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86E54B0-E746-4D15-A619-56C53DE339FF}" xr6:coauthVersionLast="47" xr6:coauthVersionMax="47" xr10:uidLastSave="{00000000-0000-0000-0000-000000000000}"/>
  <bookViews>
    <workbookView xWindow="-120" yWindow="-120" windowWidth="38640" windowHeight="15720" tabRatio="1000" firstSheet="4" activeTab="17"/>
  </bookViews>
  <sheets>
    <sheet name="NY Curve" sheetId="1" r:id="rId1"/>
    <sheet name="Michigan Curve" sheetId="2" r:id="rId2"/>
    <sheet name="FX" sheetId="3" r:id="rId3"/>
    <sheet name="Int Curves" sheetId="4" r:id="rId4"/>
    <sheet name="WC " sheetId="5" r:id="rId5"/>
    <sheet name="BS" sheetId="6" r:id="rId6"/>
    <sheet name="CF" sheetId="7" r:id="rId7"/>
    <sheet name="IS" sheetId="8" r:id="rId8"/>
    <sheet name="Debt Amort" sheetId="9" r:id="rId9"/>
    <sheet name="Temp Tax Diff" sheetId="10" r:id="rId10"/>
    <sheet name="Tax" sheetId="11" r:id="rId11"/>
    <sheet name="O &amp; M" sheetId="12" r:id="rId12"/>
    <sheet name="SemiAnnual IRR" sheetId="13" r:id="rId13"/>
    <sheet name="Construction" sheetId="14" r:id="rId14"/>
    <sheet name="Operational Detail" sheetId="15" r:id="rId15"/>
    <sheet name="Cashflow" sheetId="16" r:id="rId16"/>
    <sheet name="Tables" sheetId="17" r:id="rId17"/>
    <sheet name="Assumptions" sheetId="18" r:id="rId18"/>
    <sheet name="Monthly Table" sheetId="19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CapacityColumn">'Monthly Table'!$U$10:$U$118</definedName>
    <definedName name="CapacityRow">'Monthly Table'!$A$10:$X$10</definedName>
    <definedName name="CapacityTable">'Monthly Table'!$A$10:$X$70</definedName>
    <definedName name="CashflowColumn">Cashflow!$B:$B</definedName>
    <definedName name="CashflowRow">Cashflow!$7:$7</definedName>
    <definedName name="CashflowTable">Cashflow!$1:$1048576</definedName>
    <definedName name="Column">'WC '!$A:$A</definedName>
    <definedName name="ConBegin" localSheetId="9">#REF!</definedName>
    <definedName name="ConBegin">#REF!</definedName>
    <definedName name="ConEnd" localSheetId="9">#REF!</definedName>
    <definedName name="ConEnd">#REF!</definedName>
    <definedName name="ConstCAD" localSheetId="9">#REF!</definedName>
    <definedName name="ConstCAD">#REF!</definedName>
    <definedName name="Curve">[3]HJM!#REF!</definedName>
    <definedName name="DebtReserveColumn">'Debt Amort'!$B$103:$B$118</definedName>
    <definedName name="DebtReserveRow">'Debt Amort'!$B$103:$AB$103</definedName>
    <definedName name="DebtReserveTable">'Debt Amort'!$B$103:$AC$118</definedName>
    <definedName name="DepnColumn">BS!$A$90:$A$93</definedName>
    <definedName name="DepnRow">BS!$90:$90</definedName>
    <definedName name="DepnTable">BS!$A$90:$U$93</definedName>
    <definedName name="EnergyCurve">'Monthly Table'!#REF!:'Monthly Table'!$AK$118</definedName>
    <definedName name="EngineeringCAD" localSheetId="9">#REF!</definedName>
    <definedName name="EngineeringCAD">#REF!</definedName>
    <definedName name="EngineeringEquip" localSheetId="9">#REF!</definedName>
    <definedName name="EngineeringEquip">#REF!</definedName>
    <definedName name="EngineeringEquipCAD" localSheetId="9">#REF!</definedName>
    <definedName name="EngineeringEquipCAD">#REF!</definedName>
    <definedName name="EPV_15">#REF!</definedName>
    <definedName name="EPV_20">#REF!</definedName>
    <definedName name="EQUITY">[1]Assumpt!#REF!</definedName>
    <definedName name="FacTitle" localSheetId="9">#REF!</definedName>
    <definedName name="FacTitle">#REF!</definedName>
    <definedName name="FedTaxColumn">Tables!$A$40:$A$45</definedName>
    <definedName name="FedTaxRow">Tables!$40:$40</definedName>
    <definedName name="FedTaxTable">Tables!$A$40:$AA$45</definedName>
    <definedName name="FirstYr" localSheetId="5">BS!$C$3</definedName>
    <definedName name="FOR_THE_MONTH_OF_JUNE_1995">'[2]Division-US$'!$B$3</definedName>
    <definedName name="fxcurve">FX!$F$2:$G$28</definedName>
    <definedName name="Gas_Price_Table">'Monthly Table'!$DB$10:$DF$30</definedName>
    <definedName name="GasColumn">'Monthly Table'!$DB$10:$DB$30</definedName>
    <definedName name="GasRow">'Monthly Table'!$DB$10:$DF$10</definedName>
    <definedName name="Income_Statement">IS!$1:$1048576</definedName>
    <definedName name="IndirectCosts" localSheetId="9">#REF!</definedName>
    <definedName name="IndirectCosts">#REF!</definedName>
    <definedName name="IntDate">'Int Curves'!$L$3:$L$56</definedName>
    <definedName name="InterestColumn">'Debt Amort'!$B:$B</definedName>
    <definedName name="InterestRateCurve">'Int Curves'!$L:$M</definedName>
    <definedName name="InterestRow">'Debt Amort'!$12:$12</definedName>
    <definedName name="InterestTable">'Debt Amort'!$B$12:$AB$45</definedName>
    <definedName name="IntIncomeRate" localSheetId="9">#REF!</definedName>
    <definedName name="IntIncomeRate">#REF!</definedName>
    <definedName name="ISColumn">IS!$A:$A</definedName>
    <definedName name="ISRow">IS!$2:$2</definedName>
    <definedName name="Labour2001" localSheetId="9">'[8]O &amp; M'!#REF!</definedName>
    <definedName name="Labour2002" localSheetId="9">'[8]O &amp; M'!#REF!</definedName>
    <definedName name="Labour2003" localSheetId="9">'[8]O &amp; M'!#REF!</definedName>
    <definedName name="Labour2004" localSheetId="9">'[8]O &amp; M'!#REF!</definedName>
    <definedName name="Labour2005" localSheetId="9">'[8]O &amp; M'!#REF!</definedName>
    <definedName name="Labour2006" localSheetId="9">'[8]O &amp; M'!#REF!</definedName>
    <definedName name="Labour2007" localSheetId="9">'[8]O &amp; M'!#REF!</definedName>
    <definedName name="Labour2008" localSheetId="9">'[8]O &amp; M'!#REF!</definedName>
    <definedName name="Labour2009" localSheetId="9">'[8]O &amp; M'!#REF!</definedName>
    <definedName name="Labour2010" localSheetId="9">'[8]O &amp; M'!#REF!</definedName>
    <definedName name="Labour2011" localSheetId="9">'[8]O &amp; M'!#REF!</definedName>
    <definedName name="Labour2012" localSheetId="9">'[8]O &amp; M'!#REF!</definedName>
    <definedName name="Labour2013" localSheetId="9">'[8]O &amp; M'!#REF!</definedName>
    <definedName name="Labour2014" localSheetId="9">'[8]O &amp; M'!#REF!</definedName>
    <definedName name="Labour2015" localSheetId="9">'[8]O &amp; M'!#REF!</definedName>
    <definedName name="Labour2016" localSheetId="9">'[8]O &amp; M'!#REF!</definedName>
    <definedName name="Labour2017" localSheetId="9">'[8]O &amp; M'!#REF!</definedName>
    <definedName name="Labour2018" localSheetId="9">'[8]O &amp; M'!#REF!</definedName>
    <definedName name="Labour2019" localSheetId="9">'[8]O &amp; M'!#REF!</definedName>
    <definedName name="Labour2020" localSheetId="9">'[8]O &amp; M'!#REF!</definedName>
    <definedName name="Labour2021" localSheetId="9">'[8]O &amp; M'!#REF!</definedName>
    <definedName name="Labour2022" localSheetId="9">'[8]O &amp; M'!#REF!</definedName>
    <definedName name="Labour2023" localSheetId="9">'[8]O &amp; M'!#REF!</definedName>
    <definedName name="Labour2024" localSheetId="9">'[8]O &amp; M'!#REF!</definedName>
    <definedName name="Labour2025" localSheetId="9">'[8]O &amp; M'!#REF!</definedName>
    <definedName name="LabourBase" localSheetId="9">'[8]O &amp; M'!#REF!</definedName>
    <definedName name="LabourBase">'O &amp; M'!#REF!</definedName>
    <definedName name="LngTermDebtColumn">'Debt Amort'!$B$12:$B$39</definedName>
    <definedName name="LOAN_FEES">[1]Assumpt!#REF!</definedName>
    <definedName name="MarginCAD" localSheetId="9">#REF!</definedName>
    <definedName name="MarginCAD">#REF!</definedName>
    <definedName name="MichiganCurve">'Michigan Curve'!$A$4:$K$256</definedName>
    <definedName name="MichiganRow">'Michigan Curve'!$A$4:$K$4</definedName>
    <definedName name="NYCurve">'NY Curve'!$A$4:$L$256</definedName>
    <definedName name="NYRow">'NY Curve'!$A$4:$L$4</definedName>
    <definedName name="O_MColumn">'O &amp; M'!$B:$B</definedName>
    <definedName name="O_MRow">'O &amp; M'!$3:$3</definedName>
    <definedName name="O_MTable">'O &amp; M'!$1:$1048576</definedName>
    <definedName name="ODColumn">'Operational Detail'!$B:$B</definedName>
    <definedName name="ODRow">'Operational Detail'!$3:$3</definedName>
    <definedName name="OpCashColumn">'Debt Amort'!$B$122:$B$140</definedName>
    <definedName name="OpCashRow">'Debt Amort'!$B$122:$AB$122</definedName>
    <definedName name="OperatingCash">'Debt Amort'!$B$122:$AB$140</definedName>
    <definedName name="OperationalDetail">'Operational Detail'!$1:$1048576</definedName>
    <definedName name="Othercosts" localSheetId="9">#REF!</definedName>
    <definedName name="Othercosts">#REF!</definedName>
    <definedName name="_xlnm.Print_Area" localSheetId="17">Assumptions!$A$1:$H$80</definedName>
    <definedName name="_xlnm.Print_Area" localSheetId="5">BS!$A$1:$L$44</definedName>
    <definedName name="_xlnm.Print_Area" localSheetId="15">Cashflow!$B$1:$X$76</definedName>
    <definedName name="_xlnm.Print_Area" localSheetId="6">CF!$A$1:$AA$54</definedName>
    <definedName name="_xlnm.Print_Area" localSheetId="13">Construction!$A$1:$AA$57</definedName>
    <definedName name="_xlnm.Print_Area" localSheetId="8">'Debt Amort'!$B$2:$AC$39</definedName>
    <definedName name="_xlnm.Print_Area" localSheetId="1">'Michigan Curve'!$A$4:$K$256</definedName>
    <definedName name="_xlnm.Print_Area" localSheetId="18">'Monthly Table'!$A$4:$CZ$244</definedName>
    <definedName name="_xlnm.Print_Area" localSheetId="0">'NY Curve'!$A$4:$L$256</definedName>
    <definedName name="_xlnm.Print_Area" localSheetId="14">'Operational Detail'!$B$3:$X$141</definedName>
    <definedName name="_xlnm.Print_Area" localSheetId="12">'SemiAnnual IRR'!$A$2:$K$46</definedName>
    <definedName name="_xlnm.Print_Area" localSheetId="10">Tax!$A$1:$U$106</definedName>
    <definedName name="_xlnm.Print_Area" localSheetId="4">'WC '!$A$2:$AA$23</definedName>
    <definedName name="_xlnm.Print_Titles" localSheetId="5">BS!$A:$A,BS!$1:$1</definedName>
    <definedName name="_xlnm.Print_Titles" localSheetId="13">Construction!$A:$A</definedName>
    <definedName name="_xlnm.Print_Titles" localSheetId="7">IS!$A:$A,IS!$1:$2</definedName>
    <definedName name="_xlnm.Print_Titles" localSheetId="11">'O &amp; M'!$A:$C</definedName>
    <definedName name="_xlnm.Print_Titles" localSheetId="4">'WC '!$A:$B,'WC '!$2:$4</definedName>
    <definedName name="Project" localSheetId="5">[5]Fin!#REF!</definedName>
    <definedName name="Project" localSheetId="6">[5]Fin!#REF!</definedName>
    <definedName name="Project" localSheetId="9">#REF!</definedName>
    <definedName name="Project" localSheetId="4">[5]Fin!#REF!</definedName>
    <definedName name="Project">#REF!</definedName>
    <definedName name="ProjectMgmt" localSheetId="9">#REF!</definedName>
    <definedName name="ProjectMgmt">#REF!</definedName>
    <definedName name="ProvTaxColumn">Tables!$A$62:$A$66</definedName>
    <definedName name="ProvTaxRow">Tables!$62:$62</definedName>
    <definedName name="ProvTaxTable">Tables!$A$62:$AA$66</definedName>
    <definedName name="Row">'WC '!$4:$4</definedName>
    <definedName name="Run_Hours" localSheetId="1">RunHoursRow</definedName>
    <definedName name="Run_Hours" localSheetId="12">RunHoursRow</definedName>
    <definedName name="Run_Hours">RunHoursRow</definedName>
    <definedName name="RunHours">'Monthly Table'!$BG$10:$BI$118</definedName>
    <definedName name="RunHoursColumn">'Monthly Table'!#REF!</definedName>
    <definedName name="Saturday_Scalar">'NY Curve'!#REF!</definedName>
    <definedName name="ScalarTable" localSheetId="1">'Michigan Curve'!$X$8:$Z$19</definedName>
    <definedName name="ScalarTable">'NY Curve'!$Y$8:$AA$19</definedName>
    <definedName name="SCENARIO">[1]Assumpt!#REF!</definedName>
    <definedName name="SeasonTable" localSheetId="1">'Michigan Curve'!$U$8:$V$19</definedName>
    <definedName name="SeasonTable">'NY Curve'!$V$8:$W$19</definedName>
    <definedName name="SigmaL">[3]HJM!#REF!</definedName>
    <definedName name="SigmaS">[3]HJM!#REF!</definedName>
    <definedName name="Startup" localSheetId="9">#REF!</definedName>
    <definedName name="Startup">#REF!</definedName>
    <definedName name="SubconMargin" localSheetId="9">#REF!</definedName>
    <definedName name="SubconMargin">#REF!</definedName>
    <definedName name="TaxColumn">Tax!$A:$A</definedName>
    <definedName name="TaxRow">Tax!$3:$3</definedName>
    <definedName name="TaxTable">Tax!$1:$1048576</definedName>
    <definedName name="Tier2Column">'Debt Amort'!$B$64:$B$93</definedName>
    <definedName name="Tier2Debt">'Debt Amort'!$B$64:$AB$93</definedName>
    <definedName name="Tier2Row">'Debt Amort'!$B$64:$AB$64</definedName>
    <definedName name="Total_Credits___Voucher">[2]ECT_Form_31!$D$120</definedName>
    <definedName name="Wages2001">'[6]O &amp; M'!#REF!</definedName>
    <definedName name="WC">'WC '!$1:$1048576</definedName>
    <definedName name="Winter_Gas_Prices">#REF!</definedName>
    <definedName name="WinterGasColumn">#REF!</definedName>
    <definedName name="WinterGasRow">#REF!</definedName>
    <definedName name="WinterTable">#REF!</definedName>
    <definedName name="WorkingCapital" localSheetId="4">'WC '!$A$2</definedName>
    <definedName name="wrn.test1." localSheetId="5" hidden="1">{"Income Statement",#N/A,FALSE,"CFMODEL";"Balance Sheet",#N/A,FALSE,"CFMODEL"}</definedName>
    <definedName name="wrn.test1." localSheetId="6" hidden="1">{"Income Statement",#N/A,FALSE,"CFMODEL";"Balance Sheet",#N/A,FALSE,"CFMODEL"}</definedName>
    <definedName name="wrn.test1." localSheetId="1" hidden="1">{"Income Statement",#N/A,FALSE,"CFMODEL";"Balance Sheet",#N/A,FALSE,"CFMODEL"}</definedName>
    <definedName name="wrn.test1." localSheetId="12" hidden="1">{"Income Statement",#N/A,FALSE,"CFMODEL";"Balance Sheet",#N/A,FALSE,"CFMODEL"}</definedName>
    <definedName name="wrn.test1." localSheetId="9" hidden="1">{"Income Statement",#N/A,FALSE,"CFMODEL";"Balance Sheet",#N/A,FALSE,"CFMODEL"}</definedName>
    <definedName name="wrn.test1." localSheetId="4" hidden="1">{"Income Statement",#N/A,FALSE,"CFMODEL";"Balance Sheet",#N/A,FALSE,"CFMODEL"}</definedName>
    <definedName name="wrn.test1." hidden="1">{"Income Statement",#N/A,FALSE,"CFMODEL";"Balance Sheet",#N/A,FALSE,"CFMODEL"}</definedName>
    <definedName name="wrn.test2." localSheetId="5" hidden="1">{"SourcesUses",#N/A,TRUE,"CFMODEL";"TransOverview",#N/A,TRUE,"CFMODEL"}</definedName>
    <definedName name="wrn.test2." localSheetId="6" hidden="1">{"SourcesUses",#N/A,TRUE,"CFMODEL";"TransOverview",#N/A,TRUE,"CFMODEL"}</definedName>
    <definedName name="wrn.test2." localSheetId="1" hidden="1">{"SourcesUses",#N/A,TRUE,"CFMODEL";"TransOverview",#N/A,TRUE,"CFMODEL"}</definedName>
    <definedName name="wrn.test2." localSheetId="12" hidden="1">{"SourcesUses",#N/A,TRUE,"CFMODEL";"TransOverview",#N/A,TRUE,"CFMODEL"}</definedName>
    <definedName name="wrn.test2." localSheetId="9" hidden="1">{"SourcesUses",#N/A,TRUE,"CFMODEL";"TransOverview",#N/A,TRUE,"CFMODEL"}</definedName>
    <definedName name="wrn.test2." localSheetId="4" hidden="1">{"SourcesUses",#N/A,TRUE,"CFMODEL";"TransOverview",#N/A,TRUE,"CFMODEL"}</definedName>
    <definedName name="wrn.test2." hidden="1">{"SourcesUses",#N/A,TRUE,"CFMODEL";"TransOverview",#N/A,TRUE,"CFMODEL"}</definedName>
    <definedName name="wrn.test3." localSheetId="5" hidden="1">{"SourcesUses",#N/A,TRUE,#N/A;"TransOverview",#N/A,TRUE,"CFMODEL"}</definedName>
    <definedName name="wrn.test3." localSheetId="6" hidden="1">{"SourcesUses",#N/A,TRUE,#N/A;"TransOverview",#N/A,TRUE,"CFMODEL"}</definedName>
    <definedName name="wrn.test3." localSheetId="1" hidden="1">{"SourcesUses",#N/A,TRUE,#N/A;"TransOverview",#N/A,TRUE,"CFMODEL"}</definedName>
    <definedName name="wrn.test3." localSheetId="12" hidden="1">{"SourcesUses",#N/A,TRUE,#N/A;"TransOverview",#N/A,TRUE,"CFMODEL"}</definedName>
    <definedName name="wrn.test3." localSheetId="9" hidden="1">{"SourcesUses",#N/A,TRUE,#N/A;"TransOverview",#N/A,TRUE,"CFMODEL"}</definedName>
    <definedName name="wrn.test3." localSheetId="4" hidden="1">{"SourcesUses",#N/A,TRUE,#N/A;"TransOverview",#N/A,TRUE,"CFMODEL"}</definedName>
    <definedName name="wrn.test3." hidden="1">{"SourcesUses",#N/A,TRUE,#N/A;"TransOverview",#N/A,TRUE,"CFMODEL"}</definedName>
    <definedName name="wrn.test4." localSheetId="5" hidden="1">{"SourcesUses",#N/A,TRUE,"FundsFlow";"TransOverview",#N/A,TRUE,"FundsFlow"}</definedName>
    <definedName name="wrn.test4." localSheetId="6" hidden="1">{"SourcesUses",#N/A,TRUE,"FundsFlow";"TransOverview",#N/A,TRUE,"FundsFlow"}</definedName>
    <definedName name="wrn.test4." localSheetId="1" hidden="1">{"SourcesUses",#N/A,TRUE,"FundsFlow";"TransOverview",#N/A,TRUE,"FundsFlow"}</definedName>
    <definedName name="wrn.test4." localSheetId="12" hidden="1">{"SourcesUses",#N/A,TRUE,"FundsFlow";"TransOverview",#N/A,TRUE,"FundsFlow"}</definedName>
    <definedName name="wrn.test4." localSheetId="9" hidden="1">{"SourcesUses",#N/A,TRUE,"FundsFlow";"TransOverview",#N/A,TRUE,"FundsFlow"}</definedName>
    <definedName name="wrn.test4." localSheetId="4" hidden="1">{"SourcesUses",#N/A,TRUE,"FundsFlow";"TransOverview",#N/A,TRUE,"FundsFlow"}</definedName>
    <definedName name="wrn.test4." hidden="1">{"SourcesUses",#N/A,TRUE,"FundsFlow";"TransOverview",#N/A,TRUE,"FundsFlow"}</definedName>
  </definedNames>
  <calcPr calcId="0" fullCalcOnLoad="1"/>
</workbook>
</file>

<file path=xl/calcChain.xml><?xml version="1.0" encoding="utf-8"?>
<calcChain xmlns="http://schemas.openxmlformats.org/spreadsheetml/2006/main">
  <c r="E4" i="18" l="1"/>
  <c r="E5" i="18"/>
  <c r="B6" i="18"/>
  <c r="E6" i="18"/>
  <c r="H6" i="18"/>
  <c r="B7" i="18"/>
  <c r="E7" i="18"/>
  <c r="E8" i="18"/>
  <c r="E9" i="18"/>
  <c r="E10" i="18"/>
  <c r="E11" i="18"/>
  <c r="H11" i="18"/>
  <c r="B13" i="18"/>
  <c r="E13" i="18"/>
  <c r="R13" i="18"/>
  <c r="B14" i="18"/>
  <c r="R14" i="18"/>
  <c r="B15" i="18"/>
  <c r="E15" i="18"/>
  <c r="B16" i="18"/>
  <c r="E16" i="18"/>
  <c r="H16" i="18"/>
  <c r="E17" i="18"/>
  <c r="H17" i="18"/>
  <c r="H18" i="18"/>
  <c r="B19" i="18"/>
  <c r="B20" i="18"/>
  <c r="H20" i="18"/>
  <c r="E21" i="18"/>
  <c r="H21" i="18"/>
  <c r="E22" i="18"/>
  <c r="E25" i="18"/>
  <c r="B26" i="18"/>
  <c r="B28" i="18"/>
  <c r="B30" i="18"/>
  <c r="E30" i="18"/>
  <c r="B34" i="18"/>
  <c r="E34" i="18"/>
  <c r="E37" i="18"/>
  <c r="E44" i="18"/>
  <c r="E45" i="18"/>
  <c r="E46" i="18"/>
  <c r="E52" i="18"/>
  <c r="B58" i="18"/>
  <c r="B63" i="18"/>
  <c r="B64" i="18"/>
  <c r="E64" i="18"/>
  <c r="F64" i="18"/>
  <c r="B68" i="18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C84" i="6"/>
  <c r="C85" i="6"/>
  <c r="C86" i="6"/>
  <c r="D86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C3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C12" i="16"/>
  <c r="D12" i="16"/>
  <c r="E12" i="16"/>
  <c r="F12" i="16"/>
  <c r="G12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C41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C43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G44" i="16"/>
  <c r="I44" i="16"/>
  <c r="N44" i="16"/>
  <c r="S44" i="16"/>
  <c r="X44" i="16"/>
  <c r="C48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C49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D50" i="16"/>
  <c r="E50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D51" i="16"/>
  <c r="E51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C52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D53" i="16"/>
  <c r="E53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C55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C57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C60" i="16"/>
  <c r="D60" i="16"/>
  <c r="E60" i="16"/>
  <c r="F60" i="16"/>
  <c r="G60" i="16"/>
  <c r="H60" i="16"/>
  <c r="I60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C62" i="16"/>
  <c r="D62" i="16"/>
  <c r="E62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C64" i="16"/>
  <c r="D64" i="16"/>
  <c r="E64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D68" i="16"/>
  <c r="E68" i="16"/>
  <c r="F68" i="16"/>
  <c r="G68" i="16"/>
  <c r="H68" i="16"/>
  <c r="I68" i="16"/>
  <c r="J68" i="16"/>
  <c r="K68" i="16"/>
  <c r="L68" i="16"/>
  <c r="M68" i="16"/>
  <c r="N68" i="16"/>
  <c r="O68" i="16"/>
  <c r="P68" i="16"/>
  <c r="S68" i="16"/>
  <c r="T68" i="16"/>
  <c r="U68" i="16"/>
  <c r="V68" i="16"/>
  <c r="W68" i="16"/>
  <c r="X68" i="16"/>
  <c r="D69" i="16"/>
  <c r="E69" i="16"/>
  <c r="F69" i="16"/>
  <c r="G69" i="16"/>
  <c r="H69" i="16"/>
  <c r="I69" i="16"/>
  <c r="J69" i="16"/>
  <c r="K69" i="16"/>
  <c r="L69" i="16"/>
  <c r="M69" i="16"/>
  <c r="N69" i="16"/>
  <c r="O69" i="16"/>
  <c r="P69" i="16"/>
  <c r="D70" i="16"/>
  <c r="E70" i="16"/>
  <c r="F70" i="16"/>
  <c r="G70" i="16"/>
  <c r="H70" i="16"/>
  <c r="I70" i="16"/>
  <c r="J70" i="16"/>
  <c r="K70" i="16"/>
  <c r="L70" i="16"/>
  <c r="M70" i="16"/>
  <c r="N70" i="16"/>
  <c r="O70" i="16"/>
  <c r="P70" i="16"/>
  <c r="S70" i="16"/>
  <c r="T70" i="16"/>
  <c r="U70" i="16"/>
  <c r="V70" i="16"/>
  <c r="W70" i="16"/>
  <c r="X70" i="16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D4" i="14"/>
  <c r="D5" i="14"/>
  <c r="D9" i="14"/>
  <c r="D10" i="14"/>
  <c r="D11" i="14"/>
  <c r="D14" i="14"/>
  <c r="D15" i="14"/>
  <c r="D16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D37" i="14"/>
  <c r="E37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D41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D47" i="14"/>
  <c r="E47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E48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D55" i="14"/>
  <c r="E55" i="14"/>
  <c r="F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D56" i="14"/>
  <c r="E56" i="14"/>
  <c r="F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D61" i="14"/>
  <c r="D63" i="14"/>
  <c r="D64" i="14"/>
  <c r="D67" i="14"/>
  <c r="D68" i="14"/>
  <c r="D69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D80" i="14"/>
  <c r="E80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D82" i="14"/>
  <c r="E82" i="14"/>
  <c r="F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X82" i="14"/>
  <c r="Y82" i="14"/>
  <c r="Z82" i="14"/>
  <c r="AA82" i="14"/>
  <c r="D83" i="14"/>
  <c r="E83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X83" i="14"/>
  <c r="Y83" i="14"/>
  <c r="Z83" i="14"/>
  <c r="AA83" i="14"/>
  <c r="D85" i="14"/>
  <c r="E85" i="14"/>
  <c r="F85" i="14"/>
  <c r="G85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W85" i="14"/>
  <c r="X85" i="14"/>
  <c r="Y85" i="14"/>
  <c r="Z85" i="14"/>
  <c r="AA85" i="14"/>
  <c r="D86" i="14"/>
  <c r="E86" i="14"/>
  <c r="F86" i="14"/>
  <c r="G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X86" i="14"/>
  <c r="Y86" i="14"/>
  <c r="Z86" i="14"/>
  <c r="AA86" i="14"/>
  <c r="D90" i="14"/>
  <c r="E90" i="14"/>
  <c r="F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X90" i="14"/>
  <c r="Y90" i="14"/>
  <c r="Z90" i="14"/>
  <c r="AA90" i="14"/>
  <c r="D91" i="14"/>
  <c r="E91" i="14"/>
  <c r="F91" i="14"/>
  <c r="G91" i="14"/>
  <c r="H91" i="14"/>
  <c r="I91" i="14"/>
  <c r="J91" i="14"/>
  <c r="D92" i="14"/>
  <c r="E92" i="14"/>
  <c r="F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X92" i="14"/>
  <c r="Y92" i="14"/>
  <c r="Z92" i="14"/>
  <c r="AA92" i="14"/>
  <c r="D95" i="14"/>
  <c r="D96" i="14"/>
  <c r="E96" i="14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X96" i="14"/>
  <c r="Y96" i="14"/>
  <c r="Z96" i="14"/>
  <c r="AA96" i="14"/>
  <c r="D97" i="14"/>
  <c r="E97" i="14"/>
  <c r="F97" i="14"/>
  <c r="G97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W97" i="14"/>
  <c r="X97" i="14"/>
  <c r="Y97" i="14"/>
  <c r="Z97" i="14"/>
  <c r="AA97" i="14"/>
  <c r="D98" i="14"/>
  <c r="E98" i="14"/>
  <c r="F98" i="14"/>
  <c r="G98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W98" i="14"/>
  <c r="X98" i="14"/>
  <c r="Y98" i="14"/>
  <c r="Z98" i="14"/>
  <c r="AA98" i="14"/>
  <c r="D101" i="14"/>
  <c r="E101" i="14"/>
  <c r="F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X101" i="14"/>
  <c r="Y101" i="14"/>
  <c r="Z101" i="14"/>
  <c r="AA101" i="14"/>
  <c r="E102" i="14"/>
  <c r="F102" i="14"/>
  <c r="G102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X102" i="14"/>
  <c r="Y102" i="14"/>
  <c r="Z102" i="14"/>
  <c r="AA102" i="14"/>
  <c r="D103" i="14"/>
  <c r="E103" i="14"/>
  <c r="F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X103" i="14"/>
  <c r="Y103" i="14"/>
  <c r="Z103" i="14"/>
  <c r="AA103" i="14"/>
  <c r="D104" i="14"/>
  <c r="E104" i="14"/>
  <c r="F104" i="14"/>
  <c r="G104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X104" i="14"/>
  <c r="Y104" i="14"/>
  <c r="Z104" i="14"/>
  <c r="AA104" i="14"/>
  <c r="D106" i="14"/>
  <c r="E106" i="14"/>
  <c r="F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X106" i="14"/>
  <c r="Y106" i="14"/>
  <c r="Z106" i="14"/>
  <c r="AA106" i="14"/>
  <c r="D107" i="14"/>
  <c r="E107" i="14"/>
  <c r="F107" i="14"/>
  <c r="G107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X107" i="14"/>
  <c r="Y107" i="14"/>
  <c r="Z107" i="14"/>
  <c r="AA107" i="14"/>
  <c r="D109" i="14"/>
  <c r="E109" i="14"/>
  <c r="F109" i="14"/>
  <c r="G109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X109" i="14"/>
  <c r="Y109" i="14"/>
  <c r="Z109" i="14"/>
  <c r="AA109" i="14"/>
  <c r="D110" i="14"/>
  <c r="E110" i="14"/>
  <c r="F110" i="14"/>
  <c r="G110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W110" i="14"/>
  <c r="X110" i="14"/>
  <c r="Y110" i="14"/>
  <c r="Z110" i="14"/>
  <c r="AA110" i="14"/>
  <c r="J3" i="9"/>
  <c r="G4" i="9"/>
  <c r="J4" i="9"/>
  <c r="C5" i="9"/>
  <c r="C6" i="9"/>
  <c r="C7" i="9"/>
  <c r="C8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D31" i="9"/>
  <c r="E31" i="9"/>
  <c r="F31" i="9"/>
  <c r="G31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E37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E39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E45" i="9"/>
  <c r="E46" i="9"/>
  <c r="J55" i="9"/>
  <c r="G56" i="9"/>
  <c r="J56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D74" i="9"/>
  <c r="E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C82" i="9"/>
  <c r="D82" i="9"/>
  <c r="E82" i="9"/>
  <c r="F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E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E90" i="9"/>
  <c r="C92" i="9"/>
  <c r="D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C93" i="9"/>
  <c r="D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E96" i="9"/>
  <c r="E97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C105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C112" i="9"/>
  <c r="C113" i="9"/>
  <c r="C114" i="9"/>
  <c r="C116" i="9"/>
  <c r="C118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G3" i="3"/>
  <c r="G4" i="3"/>
  <c r="G5" i="3"/>
  <c r="B6" i="3"/>
  <c r="G6" i="3"/>
  <c r="B7" i="3"/>
  <c r="G7" i="3"/>
  <c r="B8" i="3"/>
  <c r="G8" i="3"/>
  <c r="B9" i="3"/>
  <c r="G9" i="3"/>
  <c r="B10" i="3"/>
  <c r="G10" i="3"/>
  <c r="B11" i="3"/>
  <c r="G11" i="3"/>
  <c r="B12" i="3"/>
  <c r="G12" i="3"/>
  <c r="B13" i="3"/>
  <c r="G13" i="3"/>
  <c r="B14" i="3"/>
  <c r="G14" i="3"/>
  <c r="B15" i="3"/>
  <c r="G15" i="3"/>
  <c r="B16" i="3"/>
  <c r="G16" i="3"/>
  <c r="B17" i="3"/>
  <c r="G17" i="3"/>
  <c r="B18" i="3"/>
  <c r="G18" i="3"/>
  <c r="B19" i="3"/>
  <c r="G19" i="3"/>
  <c r="B20" i="3"/>
  <c r="G20" i="3"/>
  <c r="B21" i="3"/>
  <c r="G21" i="3"/>
  <c r="B22" i="3"/>
  <c r="G22" i="3"/>
  <c r="B23" i="3"/>
  <c r="G23" i="3"/>
  <c r="B24" i="3"/>
  <c r="G24" i="3"/>
  <c r="B25" i="3"/>
  <c r="G25" i="3"/>
  <c r="B26" i="3"/>
  <c r="G26" i="3"/>
  <c r="B27" i="3"/>
  <c r="G27" i="3"/>
  <c r="B28" i="3"/>
  <c r="G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4" i="4"/>
  <c r="C4" i="4"/>
  <c r="D4" i="4"/>
  <c r="E4" i="4"/>
  <c r="Q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B5" i="4"/>
  <c r="C5" i="4"/>
  <c r="D5" i="4"/>
  <c r="E5" i="4"/>
  <c r="J5" i="4"/>
  <c r="L5" i="4"/>
  <c r="M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B6" i="4"/>
  <c r="C6" i="4"/>
  <c r="D6" i="4"/>
  <c r="E6" i="4"/>
  <c r="J6" i="4"/>
  <c r="L6" i="4"/>
  <c r="M6" i="4"/>
  <c r="Q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B7" i="4"/>
  <c r="C7" i="4"/>
  <c r="D7" i="4"/>
  <c r="E7" i="4"/>
  <c r="J7" i="4"/>
  <c r="L7" i="4"/>
  <c r="M7" i="4"/>
  <c r="B8" i="4"/>
  <c r="C8" i="4"/>
  <c r="D8" i="4"/>
  <c r="E8" i="4"/>
  <c r="J8" i="4"/>
  <c r="L8" i="4"/>
  <c r="M8" i="4"/>
  <c r="B9" i="4"/>
  <c r="C9" i="4"/>
  <c r="D9" i="4"/>
  <c r="E9" i="4"/>
  <c r="J9" i="4"/>
  <c r="L9" i="4"/>
  <c r="M9" i="4"/>
  <c r="B10" i="4"/>
  <c r="C10" i="4"/>
  <c r="D10" i="4"/>
  <c r="E10" i="4"/>
  <c r="J10" i="4"/>
  <c r="L10" i="4"/>
  <c r="M10" i="4"/>
  <c r="B11" i="4"/>
  <c r="C11" i="4"/>
  <c r="D11" i="4"/>
  <c r="E11" i="4"/>
  <c r="J11" i="4"/>
  <c r="L11" i="4"/>
  <c r="M11" i="4"/>
  <c r="B12" i="4"/>
  <c r="C12" i="4"/>
  <c r="D12" i="4"/>
  <c r="E12" i="4"/>
  <c r="J12" i="4"/>
  <c r="L12" i="4"/>
  <c r="M12" i="4"/>
  <c r="B13" i="4"/>
  <c r="C13" i="4"/>
  <c r="D13" i="4"/>
  <c r="E13" i="4"/>
  <c r="J13" i="4"/>
  <c r="L13" i="4"/>
  <c r="M13" i="4"/>
  <c r="B14" i="4"/>
  <c r="C14" i="4"/>
  <c r="D14" i="4"/>
  <c r="E14" i="4"/>
  <c r="J14" i="4"/>
  <c r="L14" i="4"/>
  <c r="M14" i="4"/>
  <c r="B15" i="4"/>
  <c r="C15" i="4"/>
  <c r="D15" i="4"/>
  <c r="E15" i="4"/>
  <c r="J15" i="4"/>
  <c r="L15" i="4"/>
  <c r="M15" i="4"/>
  <c r="B16" i="4"/>
  <c r="C16" i="4"/>
  <c r="D16" i="4"/>
  <c r="E16" i="4"/>
  <c r="J16" i="4"/>
  <c r="L16" i="4"/>
  <c r="M16" i="4"/>
  <c r="B17" i="4"/>
  <c r="C17" i="4"/>
  <c r="D17" i="4"/>
  <c r="E17" i="4"/>
  <c r="J17" i="4"/>
  <c r="L17" i="4"/>
  <c r="M17" i="4"/>
  <c r="B18" i="4"/>
  <c r="C18" i="4"/>
  <c r="D18" i="4"/>
  <c r="E18" i="4"/>
  <c r="J18" i="4"/>
  <c r="L18" i="4"/>
  <c r="M18" i="4"/>
  <c r="B19" i="4"/>
  <c r="C19" i="4"/>
  <c r="D19" i="4"/>
  <c r="E19" i="4"/>
  <c r="J19" i="4"/>
  <c r="L19" i="4"/>
  <c r="M19" i="4"/>
  <c r="B20" i="4"/>
  <c r="C20" i="4"/>
  <c r="D20" i="4"/>
  <c r="E20" i="4"/>
  <c r="J20" i="4"/>
  <c r="L20" i="4"/>
  <c r="M20" i="4"/>
  <c r="B21" i="4"/>
  <c r="C21" i="4"/>
  <c r="D21" i="4"/>
  <c r="E21" i="4"/>
  <c r="J21" i="4"/>
  <c r="L21" i="4"/>
  <c r="M21" i="4"/>
  <c r="B22" i="4"/>
  <c r="C22" i="4"/>
  <c r="D22" i="4"/>
  <c r="E22" i="4"/>
  <c r="J22" i="4"/>
  <c r="L22" i="4"/>
  <c r="M22" i="4"/>
  <c r="B23" i="4"/>
  <c r="C23" i="4"/>
  <c r="D23" i="4"/>
  <c r="E23" i="4"/>
  <c r="J23" i="4"/>
  <c r="L23" i="4"/>
  <c r="M23" i="4"/>
  <c r="B24" i="4"/>
  <c r="C24" i="4"/>
  <c r="D24" i="4"/>
  <c r="E24" i="4"/>
  <c r="J24" i="4"/>
  <c r="L24" i="4"/>
  <c r="M24" i="4"/>
  <c r="B25" i="4"/>
  <c r="C25" i="4"/>
  <c r="D25" i="4"/>
  <c r="E25" i="4"/>
  <c r="J25" i="4"/>
  <c r="L25" i="4"/>
  <c r="M25" i="4"/>
  <c r="B26" i="4"/>
  <c r="C26" i="4"/>
  <c r="D26" i="4"/>
  <c r="E26" i="4"/>
  <c r="J26" i="4"/>
  <c r="L26" i="4"/>
  <c r="M26" i="4"/>
  <c r="B27" i="4"/>
  <c r="C27" i="4"/>
  <c r="D27" i="4"/>
  <c r="E27" i="4"/>
  <c r="J27" i="4"/>
  <c r="L27" i="4"/>
  <c r="M27" i="4"/>
  <c r="B28" i="4"/>
  <c r="C28" i="4"/>
  <c r="D28" i="4"/>
  <c r="E28" i="4"/>
  <c r="J28" i="4"/>
  <c r="L28" i="4"/>
  <c r="M28" i="4"/>
  <c r="B29" i="4"/>
  <c r="C29" i="4"/>
  <c r="D29" i="4"/>
  <c r="E29" i="4"/>
  <c r="J29" i="4"/>
  <c r="L29" i="4"/>
  <c r="M29" i="4"/>
  <c r="B30" i="4"/>
  <c r="C30" i="4"/>
  <c r="D30" i="4"/>
  <c r="E30" i="4"/>
  <c r="J30" i="4"/>
  <c r="L30" i="4"/>
  <c r="M30" i="4"/>
  <c r="B31" i="4"/>
  <c r="C31" i="4"/>
  <c r="D31" i="4"/>
  <c r="E31" i="4"/>
  <c r="J31" i="4"/>
  <c r="L31" i="4"/>
  <c r="M31" i="4"/>
  <c r="B32" i="4"/>
  <c r="C32" i="4"/>
  <c r="D32" i="4"/>
  <c r="E32" i="4"/>
  <c r="J32" i="4"/>
  <c r="L32" i="4"/>
  <c r="M32" i="4"/>
  <c r="B33" i="4"/>
  <c r="C33" i="4"/>
  <c r="D33" i="4"/>
  <c r="E33" i="4"/>
  <c r="J33" i="4"/>
  <c r="L33" i="4"/>
  <c r="M33" i="4"/>
  <c r="B34" i="4"/>
  <c r="C34" i="4"/>
  <c r="D34" i="4"/>
  <c r="E34" i="4"/>
  <c r="J34" i="4"/>
  <c r="L34" i="4"/>
  <c r="M34" i="4"/>
  <c r="B35" i="4"/>
  <c r="C35" i="4"/>
  <c r="D35" i="4"/>
  <c r="E35" i="4"/>
  <c r="J35" i="4"/>
  <c r="L35" i="4"/>
  <c r="M35" i="4"/>
  <c r="B36" i="4"/>
  <c r="C36" i="4"/>
  <c r="D36" i="4"/>
  <c r="E36" i="4"/>
  <c r="J36" i="4"/>
  <c r="L36" i="4"/>
  <c r="M36" i="4"/>
  <c r="B37" i="4"/>
  <c r="C37" i="4"/>
  <c r="D37" i="4"/>
  <c r="E37" i="4"/>
  <c r="J37" i="4"/>
  <c r="L37" i="4"/>
  <c r="M37" i="4"/>
  <c r="B38" i="4"/>
  <c r="C38" i="4"/>
  <c r="D38" i="4"/>
  <c r="E38" i="4"/>
  <c r="J38" i="4"/>
  <c r="L38" i="4"/>
  <c r="M38" i="4"/>
  <c r="B39" i="4"/>
  <c r="C39" i="4"/>
  <c r="D39" i="4"/>
  <c r="E39" i="4"/>
  <c r="J39" i="4"/>
  <c r="L39" i="4"/>
  <c r="M39" i="4"/>
  <c r="B40" i="4"/>
  <c r="C40" i="4"/>
  <c r="D40" i="4"/>
  <c r="E40" i="4"/>
  <c r="J40" i="4"/>
  <c r="L40" i="4"/>
  <c r="M40" i="4"/>
  <c r="B41" i="4"/>
  <c r="C41" i="4"/>
  <c r="D41" i="4"/>
  <c r="E41" i="4"/>
  <c r="J41" i="4"/>
  <c r="L41" i="4"/>
  <c r="M41" i="4"/>
  <c r="B42" i="4"/>
  <c r="C42" i="4"/>
  <c r="D42" i="4"/>
  <c r="E42" i="4"/>
  <c r="J42" i="4"/>
  <c r="L42" i="4"/>
  <c r="M42" i="4"/>
  <c r="B43" i="4"/>
  <c r="C43" i="4"/>
  <c r="D43" i="4"/>
  <c r="E43" i="4"/>
  <c r="J43" i="4"/>
  <c r="L43" i="4"/>
  <c r="M43" i="4"/>
  <c r="B44" i="4"/>
  <c r="C44" i="4"/>
  <c r="D44" i="4"/>
  <c r="E44" i="4"/>
  <c r="J44" i="4"/>
  <c r="L44" i="4"/>
  <c r="M44" i="4"/>
  <c r="B45" i="4"/>
  <c r="C45" i="4"/>
  <c r="D45" i="4"/>
  <c r="E45" i="4"/>
  <c r="J45" i="4"/>
  <c r="L45" i="4"/>
  <c r="M45" i="4"/>
  <c r="B46" i="4"/>
  <c r="C46" i="4"/>
  <c r="D46" i="4"/>
  <c r="E46" i="4"/>
  <c r="J46" i="4"/>
  <c r="L46" i="4"/>
  <c r="M46" i="4"/>
  <c r="B47" i="4"/>
  <c r="C47" i="4"/>
  <c r="D47" i="4"/>
  <c r="E47" i="4"/>
  <c r="J47" i="4"/>
  <c r="L47" i="4"/>
  <c r="M47" i="4"/>
  <c r="B48" i="4"/>
  <c r="C48" i="4"/>
  <c r="D48" i="4"/>
  <c r="E48" i="4"/>
  <c r="J48" i="4"/>
  <c r="L48" i="4"/>
  <c r="M48" i="4"/>
  <c r="B49" i="4"/>
  <c r="C49" i="4"/>
  <c r="D49" i="4"/>
  <c r="E49" i="4"/>
  <c r="J49" i="4"/>
  <c r="L49" i="4"/>
  <c r="M49" i="4"/>
  <c r="B50" i="4"/>
  <c r="C50" i="4"/>
  <c r="D50" i="4"/>
  <c r="E50" i="4"/>
  <c r="J50" i="4"/>
  <c r="L50" i="4"/>
  <c r="M50" i="4"/>
  <c r="B51" i="4"/>
  <c r="C51" i="4"/>
  <c r="D51" i="4"/>
  <c r="E51" i="4"/>
  <c r="J51" i="4"/>
  <c r="L51" i="4"/>
  <c r="M51" i="4"/>
  <c r="B52" i="4"/>
  <c r="C52" i="4"/>
  <c r="D52" i="4"/>
  <c r="E52" i="4"/>
  <c r="J52" i="4"/>
  <c r="L52" i="4"/>
  <c r="M52" i="4"/>
  <c r="B53" i="4"/>
  <c r="C53" i="4"/>
  <c r="D53" i="4"/>
  <c r="E53" i="4"/>
  <c r="J53" i="4"/>
  <c r="L53" i="4"/>
  <c r="M53" i="4"/>
  <c r="B54" i="4"/>
  <c r="C54" i="4"/>
  <c r="D54" i="4"/>
  <c r="E54" i="4"/>
  <c r="J54" i="4"/>
  <c r="L54" i="4"/>
  <c r="M54" i="4"/>
  <c r="B55" i="4"/>
  <c r="C55" i="4"/>
  <c r="D55" i="4"/>
  <c r="E55" i="4"/>
  <c r="J55" i="4"/>
  <c r="L55" i="4"/>
  <c r="M55" i="4"/>
  <c r="B56" i="4"/>
  <c r="C56" i="4"/>
  <c r="D56" i="4"/>
  <c r="E56" i="4"/>
  <c r="J56" i="4"/>
  <c r="L56" i="4"/>
  <c r="M56" i="4"/>
  <c r="B57" i="4"/>
  <c r="C57" i="4"/>
  <c r="D57" i="4"/>
  <c r="E57" i="4"/>
  <c r="B58" i="4"/>
  <c r="C58" i="4"/>
  <c r="D58" i="4"/>
  <c r="E58" i="4"/>
  <c r="B59" i="4"/>
  <c r="C59" i="4"/>
  <c r="D59" i="4"/>
  <c r="E59" i="4"/>
  <c r="B60" i="4"/>
  <c r="C60" i="4"/>
  <c r="D60" i="4"/>
  <c r="E60" i="4"/>
  <c r="B61" i="4"/>
  <c r="C61" i="4"/>
  <c r="D61" i="4"/>
  <c r="E61" i="4"/>
  <c r="B62" i="4"/>
  <c r="C62" i="4"/>
  <c r="D62" i="4"/>
  <c r="E62" i="4"/>
  <c r="B63" i="4"/>
  <c r="C63" i="4"/>
  <c r="D63" i="4"/>
  <c r="E63" i="4"/>
  <c r="B64" i="4"/>
  <c r="C64" i="4"/>
  <c r="D64" i="4"/>
  <c r="E64" i="4"/>
  <c r="B65" i="4"/>
  <c r="C65" i="4"/>
  <c r="D65" i="4"/>
  <c r="E65" i="4"/>
  <c r="B66" i="4"/>
  <c r="C66" i="4"/>
  <c r="D66" i="4"/>
  <c r="E66" i="4"/>
  <c r="B67" i="4"/>
  <c r="C67" i="4"/>
  <c r="D67" i="4"/>
  <c r="E67" i="4"/>
  <c r="B68" i="4"/>
  <c r="C68" i="4"/>
  <c r="D68" i="4"/>
  <c r="E68" i="4"/>
  <c r="B69" i="4"/>
  <c r="C69" i="4"/>
  <c r="D69" i="4"/>
  <c r="E69" i="4"/>
  <c r="B70" i="4"/>
  <c r="C70" i="4"/>
  <c r="D70" i="4"/>
  <c r="E70" i="4"/>
  <c r="B71" i="4"/>
  <c r="C71" i="4"/>
  <c r="D71" i="4"/>
  <c r="E71" i="4"/>
  <c r="B72" i="4"/>
  <c r="C72" i="4"/>
  <c r="D72" i="4"/>
  <c r="E72" i="4"/>
  <c r="B73" i="4"/>
  <c r="C73" i="4"/>
  <c r="D73" i="4"/>
  <c r="E73" i="4"/>
  <c r="B74" i="4"/>
  <c r="C74" i="4"/>
  <c r="D74" i="4"/>
  <c r="E74" i="4"/>
  <c r="B75" i="4"/>
  <c r="C75" i="4"/>
  <c r="D75" i="4"/>
  <c r="E75" i="4"/>
  <c r="B76" i="4"/>
  <c r="C76" i="4"/>
  <c r="D76" i="4"/>
  <c r="E76" i="4"/>
  <c r="B77" i="4"/>
  <c r="C77" i="4"/>
  <c r="D77" i="4"/>
  <c r="E77" i="4"/>
  <c r="B78" i="4"/>
  <c r="C78" i="4"/>
  <c r="D78" i="4"/>
  <c r="E78" i="4"/>
  <c r="B79" i="4"/>
  <c r="C79" i="4"/>
  <c r="D79" i="4"/>
  <c r="E79" i="4"/>
  <c r="B80" i="4"/>
  <c r="C80" i="4"/>
  <c r="D80" i="4"/>
  <c r="E80" i="4"/>
  <c r="B81" i="4"/>
  <c r="C81" i="4"/>
  <c r="D81" i="4"/>
  <c r="E81" i="4"/>
  <c r="B82" i="4"/>
  <c r="C82" i="4"/>
  <c r="D82" i="4"/>
  <c r="E82" i="4"/>
  <c r="B83" i="4"/>
  <c r="C83" i="4"/>
  <c r="D83" i="4"/>
  <c r="E83" i="4"/>
  <c r="B84" i="4"/>
  <c r="C84" i="4"/>
  <c r="D84" i="4"/>
  <c r="E84" i="4"/>
  <c r="B85" i="4"/>
  <c r="C85" i="4"/>
  <c r="D85" i="4"/>
  <c r="E85" i="4"/>
  <c r="B86" i="4"/>
  <c r="C86" i="4"/>
  <c r="D86" i="4"/>
  <c r="E86" i="4"/>
  <c r="B87" i="4"/>
  <c r="C87" i="4"/>
  <c r="D87" i="4"/>
  <c r="E87" i="4"/>
  <c r="B88" i="4"/>
  <c r="C88" i="4"/>
  <c r="D88" i="4"/>
  <c r="E88" i="4"/>
  <c r="B89" i="4"/>
  <c r="C89" i="4"/>
  <c r="D89" i="4"/>
  <c r="E89" i="4"/>
  <c r="B90" i="4"/>
  <c r="C90" i="4"/>
  <c r="D90" i="4"/>
  <c r="E90" i="4"/>
  <c r="B91" i="4"/>
  <c r="C91" i="4"/>
  <c r="D91" i="4"/>
  <c r="E91" i="4"/>
  <c r="B92" i="4"/>
  <c r="C92" i="4"/>
  <c r="D92" i="4"/>
  <c r="E92" i="4"/>
  <c r="B93" i="4"/>
  <c r="C93" i="4"/>
  <c r="D93" i="4"/>
  <c r="E93" i="4"/>
  <c r="B94" i="4"/>
  <c r="C94" i="4"/>
  <c r="D94" i="4"/>
  <c r="E94" i="4"/>
  <c r="B95" i="4"/>
  <c r="C95" i="4"/>
  <c r="D95" i="4"/>
  <c r="E95" i="4"/>
  <c r="B96" i="4"/>
  <c r="C96" i="4"/>
  <c r="D96" i="4"/>
  <c r="E96" i="4"/>
  <c r="B97" i="4"/>
  <c r="C97" i="4"/>
  <c r="D97" i="4"/>
  <c r="E97" i="4"/>
  <c r="B98" i="4"/>
  <c r="C98" i="4"/>
  <c r="D98" i="4"/>
  <c r="E98" i="4"/>
  <c r="B99" i="4"/>
  <c r="C99" i="4"/>
  <c r="D99" i="4"/>
  <c r="E99" i="4"/>
  <c r="B100" i="4"/>
  <c r="C100" i="4"/>
  <c r="D100" i="4"/>
  <c r="E100" i="4"/>
  <c r="B101" i="4"/>
  <c r="C101" i="4"/>
  <c r="D101" i="4"/>
  <c r="E101" i="4"/>
  <c r="B102" i="4"/>
  <c r="C102" i="4"/>
  <c r="D102" i="4"/>
  <c r="E102" i="4"/>
  <c r="B103" i="4"/>
  <c r="C103" i="4"/>
  <c r="D103" i="4"/>
  <c r="E103" i="4"/>
  <c r="B104" i="4"/>
  <c r="C104" i="4"/>
  <c r="D104" i="4"/>
  <c r="E104" i="4"/>
  <c r="B105" i="4"/>
  <c r="C105" i="4"/>
  <c r="D105" i="4"/>
  <c r="E105" i="4"/>
  <c r="B106" i="4"/>
  <c r="C106" i="4"/>
  <c r="D106" i="4"/>
  <c r="E106" i="4"/>
  <c r="B107" i="4"/>
  <c r="C107" i="4"/>
  <c r="D107" i="4"/>
  <c r="E107" i="4"/>
  <c r="B108" i="4"/>
  <c r="C108" i="4"/>
  <c r="D108" i="4"/>
  <c r="E108" i="4"/>
  <c r="B109" i="4"/>
  <c r="C109" i="4"/>
  <c r="D109" i="4"/>
  <c r="E109" i="4"/>
  <c r="B110" i="4"/>
  <c r="C110" i="4"/>
  <c r="D110" i="4"/>
  <c r="E110" i="4"/>
  <c r="B111" i="4"/>
  <c r="C111" i="4"/>
  <c r="D111" i="4"/>
  <c r="E111" i="4"/>
  <c r="B112" i="4"/>
  <c r="C112" i="4"/>
  <c r="D112" i="4"/>
  <c r="E112" i="4"/>
  <c r="B113" i="4"/>
  <c r="C113" i="4"/>
  <c r="D113" i="4"/>
  <c r="E113" i="4"/>
  <c r="B114" i="4"/>
  <c r="C114" i="4"/>
  <c r="D114" i="4"/>
  <c r="E114" i="4"/>
  <c r="B115" i="4"/>
  <c r="C115" i="4"/>
  <c r="D115" i="4"/>
  <c r="E115" i="4"/>
  <c r="B116" i="4"/>
  <c r="C116" i="4"/>
  <c r="D116" i="4"/>
  <c r="E116" i="4"/>
  <c r="B117" i="4"/>
  <c r="C117" i="4"/>
  <c r="D117" i="4"/>
  <c r="E117" i="4"/>
  <c r="B118" i="4"/>
  <c r="C118" i="4"/>
  <c r="D118" i="4"/>
  <c r="E118" i="4"/>
  <c r="B119" i="4"/>
  <c r="C119" i="4"/>
  <c r="D119" i="4"/>
  <c r="E119" i="4"/>
  <c r="B120" i="4"/>
  <c r="C120" i="4"/>
  <c r="D120" i="4"/>
  <c r="E120" i="4"/>
  <c r="B121" i="4"/>
  <c r="C121" i="4"/>
  <c r="D121" i="4"/>
  <c r="E121" i="4"/>
  <c r="B122" i="4"/>
  <c r="C122" i="4"/>
  <c r="D122" i="4"/>
  <c r="E122" i="4"/>
  <c r="B123" i="4"/>
  <c r="C123" i="4"/>
  <c r="D123" i="4"/>
  <c r="E123" i="4"/>
  <c r="B124" i="4"/>
  <c r="C124" i="4"/>
  <c r="D124" i="4"/>
  <c r="E124" i="4"/>
  <c r="B125" i="4"/>
  <c r="C125" i="4"/>
  <c r="D125" i="4"/>
  <c r="E125" i="4"/>
  <c r="B126" i="4"/>
  <c r="C126" i="4"/>
  <c r="D126" i="4"/>
  <c r="E126" i="4"/>
  <c r="B127" i="4"/>
  <c r="C127" i="4"/>
  <c r="D127" i="4"/>
  <c r="E127" i="4"/>
  <c r="B128" i="4"/>
  <c r="C128" i="4"/>
  <c r="D128" i="4"/>
  <c r="E128" i="4"/>
  <c r="B129" i="4"/>
  <c r="C129" i="4"/>
  <c r="D129" i="4"/>
  <c r="E129" i="4"/>
  <c r="B130" i="4"/>
  <c r="C130" i="4"/>
  <c r="D130" i="4"/>
  <c r="E130" i="4"/>
  <c r="B131" i="4"/>
  <c r="C131" i="4"/>
  <c r="D131" i="4"/>
  <c r="E131" i="4"/>
  <c r="B132" i="4"/>
  <c r="C132" i="4"/>
  <c r="D132" i="4"/>
  <c r="E132" i="4"/>
  <c r="B133" i="4"/>
  <c r="C133" i="4"/>
  <c r="D133" i="4"/>
  <c r="E133" i="4"/>
  <c r="B134" i="4"/>
  <c r="C134" i="4"/>
  <c r="D134" i="4"/>
  <c r="E134" i="4"/>
  <c r="B135" i="4"/>
  <c r="C135" i="4"/>
  <c r="D135" i="4"/>
  <c r="E135" i="4"/>
  <c r="B136" i="4"/>
  <c r="C136" i="4"/>
  <c r="D136" i="4"/>
  <c r="E136" i="4"/>
  <c r="B137" i="4"/>
  <c r="C137" i="4"/>
  <c r="D137" i="4"/>
  <c r="E137" i="4"/>
  <c r="B138" i="4"/>
  <c r="C138" i="4"/>
  <c r="D138" i="4"/>
  <c r="E138" i="4"/>
  <c r="B139" i="4"/>
  <c r="C139" i="4"/>
  <c r="D139" i="4"/>
  <c r="E139" i="4"/>
  <c r="B140" i="4"/>
  <c r="C140" i="4"/>
  <c r="D140" i="4"/>
  <c r="E140" i="4"/>
  <c r="B141" i="4"/>
  <c r="C141" i="4"/>
  <c r="D141" i="4"/>
  <c r="E141" i="4"/>
  <c r="B142" i="4"/>
  <c r="C142" i="4"/>
  <c r="D142" i="4"/>
  <c r="E142" i="4"/>
  <c r="B143" i="4"/>
  <c r="C143" i="4"/>
  <c r="D143" i="4"/>
  <c r="E143" i="4"/>
  <c r="B144" i="4"/>
  <c r="C144" i="4"/>
  <c r="D144" i="4"/>
  <c r="E144" i="4"/>
  <c r="B145" i="4"/>
  <c r="C145" i="4"/>
  <c r="D145" i="4"/>
  <c r="E145" i="4"/>
  <c r="B146" i="4"/>
  <c r="C146" i="4"/>
  <c r="D146" i="4"/>
  <c r="E146" i="4"/>
  <c r="B147" i="4"/>
  <c r="C147" i="4"/>
  <c r="D147" i="4"/>
  <c r="E147" i="4"/>
  <c r="B148" i="4"/>
  <c r="C148" i="4"/>
  <c r="D148" i="4"/>
  <c r="E148" i="4"/>
  <c r="B149" i="4"/>
  <c r="C149" i="4"/>
  <c r="D149" i="4"/>
  <c r="E149" i="4"/>
  <c r="B150" i="4"/>
  <c r="C150" i="4"/>
  <c r="D150" i="4"/>
  <c r="E150" i="4"/>
  <c r="B151" i="4"/>
  <c r="C151" i="4"/>
  <c r="D151" i="4"/>
  <c r="E151" i="4"/>
  <c r="B152" i="4"/>
  <c r="C152" i="4"/>
  <c r="D152" i="4"/>
  <c r="E152" i="4"/>
  <c r="B153" i="4"/>
  <c r="C153" i="4"/>
  <c r="D153" i="4"/>
  <c r="E153" i="4"/>
  <c r="B154" i="4"/>
  <c r="C154" i="4"/>
  <c r="D154" i="4"/>
  <c r="E154" i="4"/>
  <c r="B155" i="4"/>
  <c r="C155" i="4"/>
  <c r="D155" i="4"/>
  <c r="E155" i="4"/>
  <c r="B156" i="4"/>
  <c r="C156" i="4"/>
  <c r="D156" i="4"/>
  <c r="E156" i="4"/>
  <c r="B157" i="4"/>
  <c r="C157" i="4"/>
  <c r="D157" i="4"/>
  <c r="E157" i="4"/>
  <c r="B158" i="4"/>
  <c r="C158" i="4"/>
  <c r="D158" i="4"/>
  <c r="E158" i="4"/>
  <c r="B159" i="4"/>
  <c r="C159" i="4"/>
  <c r="D159" i="4"/>
  <c r="E159" i="4"/>
  <c r="B160" i="4"/>
  <c r="C160" i="4"/>
  <c r="D160" i="4"/>
  <c r="E160" i="4"/>
  <c r="B161" i="4"/>
  <c r="C161" i="4"/>
  <c r="D161" i="4"/>
  <c r="E161" i="4"/>
  <c r="B162" i="4"/>
  <c r="C162" i="4"/>
  <c r="D162" i="4"/>
  <c r="E162" i="4"/>
  <c r="B163" i="4"/>
  <c r="C163" i="4"/>
  <c r="D163" i="4"/>
  <c r="E163" i="4"/>
  <c r="B164" i="4"/>
  <c r="C164" i="4"/>
  <c r="D164" i="4"/>
  <c r="E164" i="4"/>
  <c r="B165" i="4"/>
  <c r="C165" i="4"/>
  <c r="D165" i="4"/>
  <c r="E165" i="4"/>
  <c r="B166" i="4"/>
  <c r="C166" i="4"/>
  <c r="D166" i="4"/>
  <c r="E166" i="4"/>
  <c r="B167" i="4"/>
  <c r="C167" i="4"/>
  <c r="D167" i="4"/>
  <c r="E167" i="4"/>
  <c r="B168" i="4"/>
  <c r="C168" i="4"/>
  <c r="D168" i="4"/>
  <c r="E168" i="4"/>
  <c r="B169" i="4"/>
  <c r="C169" i="4"/>
  <c r="D169" i="4"/>
  <c r="E169" i="4"/>
  <c r="B170" i="4"/>
  <c r="C170" i="4"/>
  <c r="D170" i="4"/>
  <c r="E170" i="4"/>
  <c r="B171" i="4"/>
  <c r="C171" i="4"/>
  <c r="D171" i="4"/>
  <c r="E171" i="4"/>
  <c r="B172" i="4"/>
  <c r="C172" i="4"/>
  <c r="D172" i="4"/>
  <c r="E172" i="4"/>
  <c r="B173" i="4"/>
  <c r="C173" i="4"/>
  <c r="D173" i="4"/>
  <c r="E173" i="4"/>
  <c r="B174" i="4"/>
  <c r="C174" i="4"/>
  <c r="D174" i="4"/>
  <c r="E174" i="4"/>
  <c r="B175" i="4"/>
  <c r="C175" i="4"/>
  <c r="D175" i="4"/>
  <c r="E175" i="4"/>
  <c r="B176" i="4"/>
  <c r="C176" i="4"/>
  <c r="D176" i="4"/>
  <c r="E176" i="4"/>
  <c r="B177" i="4"/>
  <c r="C177" i="4"/>
  <c r="D177" i="4"/>
  <c r="E177" i="4"/>
  <c r="B178" i="4"/>
  <c r="C178" i="4"/>
  <c r="D178" i="4"/>
  <c r="E178" i="4"/>
  <c r="B179" i="4"/>
  <c r="C179" i="4"/>
  <c r="D179" i="4"/>
  <c r="E179" i="4"/>
  <c r="B180" i="4"/>
  <c r="C180" i="4"/>
  <c r="D180" i="4"/>
  <c r="E180" i="4"/>
  <c r="B181" i="4"/>
  <c r="C181" i="4"/>
  <c r="D181" i="4"/>
  <c r="E181" i="4"/>
  <c r="B182" i="4"/>
  <c r="C182" i="4"/>
  <c r="D182" i="4"/>
  <c r="E182" i="4"/>
  <c r="B183" i="4"/>
  <c r="C183" i="4"/>
  <c r="D183" i="4"/>
  <c r="E183" i="4"/>
  <c r="B184" i="4"/>
  <c r="C184" i="4"/>
  <c r="D184" i="4"/>
  <c r="E184" i="4"/>
  <c r="B185" i="4"/>
  <c r="C185" i="4"/>
  <c r="D185" i="4"/>
  <c r="E185" i="4"/>
  <c r="B186" i="4"/>
  <c r="C186" i="4"/>
  <c r="D186" i="4"/>
  <c r="E186" i="4"/>
  <c r="B187" i="4"/>
  <c r="C187" i="4"/>
  <c r="D187" i="4"/>
  <c r="E187" i="4"/>
  <c r="B188" i="4"/>
  <c r="C188" i="4"/>
  <c r="D188" i="4"/>
  <c r="E188" i="4"/>
  <c r="B189" i="4"/>
  <c r="C189" i="4"/>
  <c r="D189" i="4"/>
  <c r="E189" i="4"/>
  <c r="B190" i="4"/>
  <c r="C190" i="4"/>
  <c r="D190" i="4"/>
  <c r="E190" i="4"/>
  <c r="B191" i="4"/>
  <c r="C191" i="4"/>
  <c r="D191" i="4"/>
  <c r="E191" i="4"/>
  <c r="B192" i="4"/>
  <c r="C192" i="4"/>
  <c r="D192" i="4"/>
  <c r="E192" i="4"/>
  <c r="B193" i="4"/>
  <c r="C193" i="4"/>
  <c r="D193" i="4"/>
  <c r="E193" i="4"/>
  <c r="B194" i="4"/>
  <c r="C194" i="4"/>
  <c r="D194" i="4"/>
  <c r="E194" i="4"/>
  <c r="B195" i="4"/>
  <c r="C195" i="4"/>
  <c r="D195" i="4"/>
  <c r="E195" i="4"/>
  <c r="B196" i="4"/>
  <c r="C196" i="4"/>
  <c r="D196" i="4"/>
  <c r="E196" i="4"/>
  <c r="B197" i="4"/>
  <c r="C197" i="4"/>
  <c r="D197" i="4"/>
  <c r="E197" i="4"/>
  <c r="B198" i="4"/>
  <c r="C198" i="4"/>
  <c r="D198" i="4"/>
  <c r="E198" i="4"/>
  <c r="B199" i="4"/>
  <c r="C199" i="4"/>
  <c r="D199" i="4"/>
  <c r="E199" i="4"/>
  <c r="B200" i="4"/>
  <c r="C200" i="4"/>
  <c r="D200" i="4"/>
  <c r="E200" i="4"/>
  <c r="B201" i="4"/>
  <c r="C201" i="4"/>
  <c r="D201" i="4"/>
  <c r="E201" i="4"/>
  <c r="B202" i="4"/>
  <c r="C202" i="4"/>
  <c r="D202" i="4"/>
  <c r="E202" i="4"/>
  <c r="B203" i="4"/>
  <c r="C203" i="4"/>
  <c r="D203" i="4"/>
  <c r="E203" i="4"/>
  <c r="B204" i="4"/>
  <c r="C204" i="4"/>
  <c r="D204" i="4"/>
  <c r="E204" i="4"/>
  <c r="B205" i="4"/>
  <c r="C205" i="4"/>
  <c r="D205" i="4"/>
  <c r="E205" i="4"/>
  <c r="B206" i="4"/>
  <c r="C206" i="4"/>
  <c r="D206" i="4"/>
  <c r="E206" i="4"/>
  <c r="B207" i="4"/>
  <c r="C207" i="4"/>
  <c r="D207" i="4"/>
  <c r="E207" i="4"/>
  <c r="B208" i="4"/>
  <c r="C208" i="4"/>
  <c r="D208" i="4"/>
  <c r="E208" i="4"/>
  <c r="B209" i="4"/>
  <c r="C209" i="4"/>
  <c r="D209" i="4"/>
  <c r="E209" i="4"/>
  <c r="B210" i="4"/>
  <c r="C210" i="4"/>
  <c r="D210" i="4"/>
  <c r="E210" i="4"/>
  <c r="B211" i="4"/>
  <c r="C211" i="4"/>
  <c r="D211" i="4"/>
  <c r="E211" i="4"/>
  <c r="B212" i="4"/>
  <c r="C212" i="4"/>
  <c r="D212" i="4"/>
  <c r="E212" i="4"/>
  <c r="B213" i="4"/>
  <c r="C213" i="4"/>
  <c r="D213" i="4"/>
  <c r="E213" i="4"/>
  <c r="B214" i="4"/>
  <c r="C214" i="4"/>
  <c r="D214" i="4"/>
  <c r="E214" i="4"/>
  <c r="B215" i="4"/>
  <c r="C215" i="4"/>
  <c r="D215" i="4"/>
  <c r="E215" i="4"/>
  <c r="B216" i="4"/>
  <c r="C216" i="4"/>
  <c r="D216" i="4"/>
  <c r="E216" i="4"/>
  <c r="B217" i="4"/>
  <c r="C217" i="4"/>
  <c r="D217" i="4"/>
  <c r="E217" i="4"/>
  <c r="B218" i="4"/>
  <c r="C218" i="4"/>
  <c r="D218" i="4"/>
  <c r="E218" i="4"/>
  <c r="B219" i="4"/>
  <c r="C219" i="4"/>
  <c r="D219" i="4"/>
  <c r="E219" i="4"/>
  <c r="B220" i="4"/>
  <c r="C220" i="4"/>
  <c r="D220" i="4"/>
  <c r="E220" i="4"/>
  <c r="B221" i="4"/>
  <c r="C221" i="4"/>
  <c r="D221" i="4"/>
  <c r="E221" i="4"/>
  <c r="B222" i="4"/>
  <c r="C222" i="4"/>
  <c r="D222" i="4"/>
  <c r="E222" i="4"/>
  <c r="B223" i="4"/>
  <c r="C223" i="4"/>
  <c r="D223" i="4"/>
  <c r="E223" i="4"/>
  <c r="B224" i="4"/>
  <c r="C224" i="4"/>
  <c r="D224" i="4"/>
  <c r="E224" i="4"/>
  <c r="B225" i="4"/>
  <c r="C225" i="4"/>
  <c r="D225" i="4"/>
  <c r="E225" i="4"/>
  <c r="B226" i="4"/>
  <c r="C226" i="4"/>
  <c r="D226" i="4"/>
  <c r="E226" i="4"/>
  <c r="B227" i="4"/>
  <c r="C227" i="4"/>
  <c r="D227" i="4"/>
  <c r="E227" i="4"/>
  <c r="B228" i="4"/>
  <c r="C228" i="4"/>
  <c r="D228" i="4"/>
  <c r="E228" i="4"/>
  <c r="B229" i="4"/>
  <c r="C229" i="4"/>
  <c r="D229" i="4"/>
  <c r="E229" i="4"/>
  <c r="B230" i="4"/>
  <c r="C230" i="4"/>
  <c r="D230" i="4"/>
  <c r="E230" i="4"/>
  <c r="B231" i="4"/>
  <c r="C231" i="4"/>
  <c r="D231" i="4"/>
  <c r="E231" i="4"/>
  <c r="B232" i="4"/>
  <c r="C232" i="4"/>
  <c r="D232" i="4"/>
  <c r="E232" i="4"/>
  <c r="B233" i="4"/>
  <c r="C233" i="4"/>
  <c r="D233" i="4"/>
  <c r="E233" i="4"/>
  <c r="B234" i="4"/>
  <c r="C234" i="4"/>
  <c r="D234" i="4"/>
  <c r="E234" i="4"/>
  <c r="B235" i="4"/>
  <c r="C235" i="4"/>
  <c r="D235" i="4"/>
  <c r="E235" i="4"/>
  <c r="B236" i="4"/>
  <c r="C236" i="4"/>
  <c r="D236" i="4"/>
  <c r="E236" i="4"/>
  <c r="B237" i="4"/>
  <c r="C237" i="4"/>
  <c r="D237" i="4"/>
  <c r="E237" i="4"/>
  <c r="B238" i="4"/>
  <c r="C238" i="4"/>
  <c r="D238" i="4"/>
  <c r="E238" i="4"/>
  <c r="B239" i="4"/>
  <c r="C239" i="4"/>
  <c r="D239" i="4"/>
  <c r="E239" i="4"/>
  <c r="B240" i="4"/>
  <c r="C240" i="4"/>
  <c r="D240" i="4"/>
  <c r="E240" i="4"/>
  <c r="B241" i="4"/>
  <c r="C241" i="4"/>
  <c r="D241" i="4"/>
  <c r="E241" i="4"/>
  <c r="B242" i="4"/>
  <c r="C242" i="4"/>
  <c r="D242" i="4"/>
  <c r="E242" i="4"/>
  <c r="B243" i="4"/>
  <c r="C243" i="4"/>
  <c r="D243" i="4"/>
  <c r="E243" i="4"/>
  <c r="B244" i="4"/>
  <c r="C244" i="4"/>
  <c r="D244" i="4"/>
  <c r="E244" i="4"/>
  <c r="B245" i="4"/>
  <c r="C245" i="4"/>
  <c r="D245" i="4"/>
  <c r="E245" i="4"/>
  <c r="B246" i="4"/>
  <c r="C246" i="4"/>
  <c r="D246" i="4"/>
  <c r="E246" i="4"/>
  <c r="B247" i="4"/>
  <c r="C247" i="4"/>
  <c r="D247" i="4"/>
  <c r="E247" i="4"/>
  <c r="B248" i="4"/>
  <c r="C248" i="4"/>
  <c r="D248" i="4"/>
  <c r="E248" i="4"/>
  <c r="B249" i="4"/>
  <c r="C249" i="4"/>
  <c r="D249" i="4"/>
  <c r="E249" i="4"/>
  <c r="B250" i="4"/>
  <c r="C250" i="4"/>
  <c r="D250" i="4"/>
  <c r="E250" i="4"/>
  <c r="B251" i="4"/>
  <c r="C251" i="4"/>
  <c r="D251" i="4"/>
  <c r="E251" i="4"/>
  <c r="B252" i="4"/>
  <c r="C252" i="4"/>
  <c r="D252" i="4"/>
  <c r="E252" i="4"/>
  <c r="B253" i="4"/>
  <c r="C253" i="4"/>
  <c r="D253" i="4"/>
  <c r="E253" i="4"/>
  <c r="B254" i="4"/>
  <c r="C254" i="4"/>
  <c r="D254" i="4"/>
  <c r="E254" i="4"/>
  <c r="B255" i="4"/>
  <c r="C255" i="4"/>
  <c r="D255" i="4"/>
  <c r="E255" i="4"/>
  <c r="B256" i="4"/>
  <c r="C256" i="4"/>
  <c r="D256" i="4"/>
  <c r="E256" i="4"/>
  <c r="B257" i="4"/>
  <c r="C257" i="4"/>
  <c r="D257" i="4"/>
  <c r="E257" i="4"/>
  <c r="B258" i="4"/>
  <c r="C258" i="4"/>
  <c r="D258" i="4"/>
  <c r="E258" i="4"/>
  <c r="B259" i="4"/>
  <c r="C259" i="4"/>
  <c r="D259" i="4"/>
  <c r="E259" i="4"/>
  <c r="B260" i="4"/>
  <c r="C260" i="4"/>
  <c r="D260" i="4"/>
  <c r="E260" i="4"/>
  <c r="B261" i="4"/>
  <c r="C261" i="4"/>
  <c r="D261" i="4"/>
  <c r="E261" i="4"/>
  <c r="B262" i="4"/>
  <c r="C262" i="4"/>
  <c r="D262" i="4"/>
  <c r="E262" i="4"/>
  <c r="B263" i="4"/>
  <c r="C263" i="4"/>
  <c r="D263" i="4"/>
  <c r="E263" i="4"/>
  <c r="B264" i="4"/>
  <c r="C264" i="4"/>
  <c r="D264" i="4"/>
  <c r="E264" i="4"/>
  <c r="B265" i="4"/>
  <c r="C265" i="4"/>
  <c r="D265" i="4"/>
  <c r="E265" i="4"/>
  <c r="B266" i="4"/>
  <c r="C266" i="4"/>
  <c r="D266" i="4"/>
  <c r="E266" i="4"/>
  <c r="B267" i="4"/>
  <c r="C267" i="4"/>
  <c r="D267" i="4"/>
  <c r="E267" i="4"/>
  <c r="B268" i="4"/>
  <c r="C268" i="4"/>
  <c r="D268" i="4"/>
  <c r="E268" i="4"/>
  <c r="B269" i="4"/>
  <c r="C269" i="4"/>
  <c r="D269" i="4"/>
  <c r="E269" i="4"/>
  <c r="B270" i="4"/>
  <c r="C270" i="4"/>
  <c r="D270" i="4"/>
  <c r="E270" i="4"/>
  <c r="B271" i="4"/>
  <c r="C271" i="4"/>
  <c r="D271" i="4"/>
  <c r="E271" i="4"/>
  <c r="B272" i="4"/>
  <c r="C272" i="4"/>
  <c r="D272" i="4"/>
  <c r="E272" i="4"/>
  <c r="B273" i="4"/>
  <c r="C273" i="4"/>
  <c r="D273" i="4"/>
  <c r="E273" i="4"/>
  <c r="B274" i="4"/>
  <c r="C274" i="4"/>
  <c r="D274" i="4"/>
  <c r="E274" i="4"/>
  <c r="B275" i="4"/>
  <c r="C275" i="4"/>
  <c r="D275" i="4"/>
  <c r="E275" i="4"/>
  <c r="B276" i="4"/>
  <c r="C276" i="4"/>
  <c r="D276" i="4"/>
  <c r="E276" i="4"/>
  <c r="B277" i="4"/>
  <c r="C277" i="4"/>
  <c r="D277" i="4"/>
  <c r="E277" i="4"/>
  <c r="B278" i="4"/>
  <c r="C278" i="4"/>
  <c r="D278" i="4"/>
  <c r="E278" i="4"/>
  <c r="B279" i="4"/>
  <c r="C279" i="4"/>
  <c r="D279" i="4"/>
  <c r="E279" i="4"/>
  <c r="B280" i="4"/>
  <c r="C280" i="4"/>
  <c r="D280" i="4"/>
  <c r="E280" i="4"/>
  <c r="B281" i="4"/>
  <c r="C281" i="4"/>
  <c r="D281" i="4"/>
  <c r="E281" i="4"/>
  <c r="B282" i="4"/>
  <c r="C282" i="4"/>
  <c r="D282" i="4"/>
  <c r="E282" i="4"/>
  <c r="B283" i="4"/>
  <c r="C283" i="4"/>
  <c r="D283" i="4"/>
  <c r="E283" i="4"/>
  <c r="B284" i="4"/>
  <c r="C284" i="4"/>
  <c r="D284" i="4"/>
  <c r="E284" i="4"/>
  <c r="B285" i="4"/>
  <c r="C285" i="4"/>
  <c r="D285" i="4"/>
  <c r="E285" i="4"/>
  <c r="B286" i="4"/>
  <c r="C286" i="4"/>
  <c r="D286" i="4"/>
  <c r="E286" i="4"/>
  <c r="B287" i="4"/>
  <c r="C287" i="4"/>
  <c r="D287" i="4"/>
  <c r="E287" i="4"/>
  <c r="B288" i="4"/>
  <c r="C288" i="4"/>
  <c r="D288" i="4"/>
  <c r="E288" i="4"/>
  <c r="B289" i="4"/>
  <c r="C289" i="4"/>
  <c r="D289" i="4"/>
  <c r="E289" i="4"/>
  <c r="B290" i="4"/>
  <c r="C290" i="4"/>
  <c r="D290" i="4"/>
  <c r="E290" i="4"/>
  <c r="B291" i="4"/>
  <c r="C291" i="4"/>
  <c r="D291" i="4"/>
  <c r="E291" i="4"/>
  <c r="B292" i="4"/>
  <c r="C292" i="4"/>
  <c r="D292" i="4"/>
  <c r="E292" i="4"/>
  <c r="B293" i="4"/>
  <c r="C293" i="4"/>
  <c r="D293" i="4"/>
  <c r="E293" i="4"/>
  <c r="B294" i="4"/>
  <c r="C294" i="4"/>
  <c r="D294" i="4"/>
  <c r="E294" i="4"/>
  <c r="B295" i="4"/>
  <c r="C295" i="4"/>
  <c r="D295" i="4"/>
  <c r="E295" i="4"/>
  <c r="B296" i="4"/>
  <c r="C296" i="4"/>
  <c r="D296" i="4"/>
  <c r="E296" i="4"/>
  <c r="B297" i="4"/>
  <c r="C297" i="4"/>
  <c r="D297" i="4"/>
  <c r="E297" i="4"/>
  <c r="B298" i="4"/>
  <c r="C298" i="4"/>
  <c r="D298" i="4"/>
  <c r="E298" i="4"/>
  <c r="B299" i="4"/>
  <c r="C299" i="4"/>
  <c r="D299" i="4"/>
  <c r="E299" i="4"/>
  <c r="B300" i="4"/>
  <c r="C300" i="4"/>
  <c r="D300" i="4"/>
  <c r="E300" i="4"/>
  <c r="B301" i="4"/>
  <c r="C301" i="4"/>
  <c r="D301" i="4"/>
  <c r="E301" i="4"/>
  <c r="B302" i="4"/>
  <c r="C302" i="4"/>
  <c r="D302" i="4"/>
  <c r="E302" i="4"/>
  <c r="B303" i="4"/>
  <c r="C303" i="4"/>
  <c r="D303" i="4"/>
  <c r="E303" i="4"/>
  <c r="B304" i="4"/>
  <c r="C304" i="4"/>
  <c r="D304" i="4"/>
  <c r="E304" i="4"/>
  <c r="B305" i="4"/>
  <c r="C305" i="4"/>
  <c r="D305" i="4"/>
  <c r="E305" i="4"/>
  <c r="B306" i="4"/>
  <c r="C306" i="4"/>
  <c r="D306" i="4"/>
  <c r="E306" i="4"/>
  <c r="B307" i="4"/>
  <c r="C307" i="4"/>
  <c r="D307" i="4"/>
  <c r="E307" i="4"/>
  <c r="B308" i="4"/>
  <c r="C308" i="4"/>
  <c r="D308" i="4"/>
  <c r="E308" i="4"/>
  <c r="B309" i="4"/>
  <c r="C309" i="4"/>
  <c r="D309" i="4"/>
  <c r="E309" i="4"/>
  <c r="B310" i="4"/>
  <c r="C310" i="4"/>
  <c r="D310" i="4"/>
  <c r="E310" i="4"/>
  <c r="B311" i="4"/>
  <c r="C311" i="4"/>
  <c r="D311" i="4"/>
  <c r="E311" i="4"/>
  <c r="B312" i="4"/>
  <c r="C312" i="4"/>
  <c r="D312" i="4"/>
  <c r="E312" i="4"/>
  <c r="B313" i="4"/>
  <c r="C313" i="4"/>
  <c r="D313" i="4"/>
  <c r="E313" i="4"/>
  <c r="B314" i="4"/>
  <c r="C314" i="4"/>
  <c r="D314" i="4"/>
  <c r="E314" i="4"/>
  <c r="B315" i="4"/>
  <c r="C315" i="4"/>
  <c r="D315" i="4"/>
  <c r="E315" i="4"/>
  <c r="B316" i="4"/>
  <c r="C316" i="4"/>
  <c r="D316" i="4"/>
  <c r="E316" i="4"/>
  <c r="B317" i="4"/>
  <c r="C317" i="4"/>
  <c r="D317" i="4"/>
  <c r="E317" i="4"/>
  <c r="B318" i="4"/>
  <c r="C318" i="4"/>
  <c r="D318" i="4"/>
  <c r="E318" i="4"/>
  <c r="B319" i="4"/>
  <c r="C319" i="4"/>
  <c r="D319" i="4"/>
  <c r="E319" i="4"/>
  <c r="B320" i="4"/>
  <c r="C320" i="4"/>
  <c r="D320" i="4"/>
  <c r="E320" i="4"/>
  <c r="B321" i="4"/>
  <c r="C321" i="4"/>
  <c r="D321" i="4"/>
  <c r="E321" i="4"/>
  <c r="B322" i="4"/>
  <c r="C322" i="4"/>
  <c r="D322" i="4"/>
  <c r="E322" i="4"/>
  <c r="B323" i="4"/>
  <c r="C323" i="4"/>
  <c r="D323" i="4"/>
  <c r="E323" i="4"/>
  <c r="B324" i="4"/>
  <c r="C324" i="4"/>
  <c r="D324" i="4"/>
  <c r="E324" i="4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F35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E5" i="2"/>
  <c r="F5" i="2"/>
  <c r="H5" i="2"/>
  <c r="I5" i="2"/>
  <c r="J5" i="2"/>
  <c r="K5" i="2"/>
  <c r="L5" i="2"/>
  <c r="S5" i="2"/>
  <c r="E6" i="2"/>
  <c r="F6" i="2"/>
  <c r="H6" i="2"/>
  <c r="I6" i="2"/>
  <c r="J6" i="2"/>
  <c r="K6" i="2"/>
  <c r="L6" i="2"/>
  <c r="S6" i="2"/>
  <c r="E7" i="2"/>
  <c r="F7" i="2"/>
  <c r="H7" i="2"/>
  <c r="I7" i="2"/>
  <c r="J7" i="2"/>
  <c r="K7" i="2"/>
  <c r="L7" i="2"/>
  <c r="S7" i="2"/>
  <c r="E8" i="2"/>
  <c r="F8" i="2"/>
  <c r="H8" i="2"/>
  <c r="I8" i="2"/>
  <c r="J8" i="2"/>
  <c r="K8" i="2"/>
  <c r="L8" i="2"/>
  <c r="S8" i="2"/>
  <c r="AA8" i="2"/>
  <c r="E9" i="2"/>
  <c r="F9" i="2"/>
  <c r="H9" i="2"/>
  <c r="I9" i="2"/>
  <c r="J9" i="2"/>
  <c r="K9" i="2"/>
  <c r="L9" i="2"/>
  <c r="S9" i="2"/>
  <c r="AA9" i="2"/>
  <c r="E10" i="2"/>
  <c r="F10" i="2"/>
  <c r="H10" i="2"/>
  <c r="I10" i="2"/>
  <c r="J10" i="2"/>
  <c r="K10" i="2"/>
  <c r="L10" i="2"/>
  <c r="S10" i="2"/>
  <c r="AA10" i="2"/>
  <c r="E11" i="2"/>
  <c r="F11" i="2"/>
  <c r="H11" i="2"/>
  <c r="I11" i="2"/>
  <c r="J11" i="2"/>
  <c r="K11" i="2"/>
  <c r="L11" i="2"/>
  <c r="S11" i="2"/>
  <c r="AA11" i="2"/>
  <c r="E12" i="2"/>
  <c r="F12" i="2"/>
  <c r="H12" i="2"/>
  <c r="I12" i="2"/>
  <c r="J12" i="2"/>
  <c r="K12" i="2"/>
  <c r="L12" i="2"/>
  <c r="S12" i="2"/>
  <c r="AA12" i="2"/>
  <c r="E13" i="2"/>
  <c r="F13" i="2"/>
  <c r="H13" i="2"/>
  <c r="I13" i="2"/>
  <c r="J13" i="2"/>
  <c r="K13" i="2"/>
  <c r="L13" i="2"/>
  <c r="S13" i="2"/>
  <c r="AA13" i="2"/>
  <c r="E14" i="2"/>
  <c r="F14" i="2"/>
  <c r="H14" i="2"/>
  <c r="I14" i="2"/>
  <c r="J14" i="2"/>
  <c r="K14" i="2"/>
  <c r="L14" i="2"/>
  <c r="S14" i="2"/>
  <c r="AA14" i="2"/>
  <c r="E15" i="2"/>
  <c r="F15" i="2"/>
  <c r="H15" i="2"/>
  <c r="I15" i="2"/>
  <c r="J15" i="2"/>
  <c r="K15" i="2"/>
  <c r="L15" i="2"/>
  <c r="S15" i="2"/>
  <c r="AA15" i="2"/>
  <c r="E16" i="2"/>
  <c r="F16" i="2"/>
  <c r="H16" i="2"/>
  <c r="I16" i="2"/>
  <c r="J16" i="2"/>
  <c r="K16" i="2"/>
  <c r="L16" i="2"/>
  <c r="S16" i="2"/>
  <c r="AA16" i="2"/>
  <c r="E17" i="2"/>
  <c r="F17" i="2"/>
  <c r="H17" i="2"/>
  <c r="I17" i="2"/>
  <c r="J17" i="2"/>
  <c r="K17" i="2"/>
  <c r="L17" i="2"/>
  <c r="S17" i="2"/>
  <c r="AA17" i="2"/>
  <c r="E18" i="2"/>
  <c r="F18" i="2"/>
  <c r="H18" i="2"/>
  <c r="I18" i="2"/>
  <c r="J18" i="2"/>
  <c r="K18" i="2"/>
  <c r="L18" i="2"/>
  <c r="S18" i="2"/>
  <c r="AA18" i="2"/>
  <c r="E19" i="2"/>
  <c r="F19" i="2"/>
  <c r="H19" i="2"/>
  <c r="I19" i="2"/>
  <c r="J19" i="2"/>
  <c r="K19" i="2"/>
  <c r="L19" i="2"/>
  <c r="S19" i="2"/>
  <c r="AA19" i="2"/>
  <c r="E20" i="2"/>
  <c r="F20" i="2"/>
  <c r="H20" i="2"/>
  <c r="I20" i="2"/>
  <c r="J20" i="2"/>
  <c r="K20" i="2"/>
  <c r="L20" i="2"/>
  <c r="S20" i="2"/>
  <c r="E21" i="2"/>
  <c r="F21" i="2"/>
  <c r="H21" i="2"/>
  <c r="I21" i="2"/>
  <c r="J21" i="2"/>
  <c r="K21" i="2"/>
  <c r="L21" i="2"/>
  <c r="S21" i="2"/>
  <c r="E22" i="2"/>
  <c r="F22" i="2"/>
  <c r="H22" i="2"/>
  <c r="I22" i="2"/>
  <c r="J22" i="2"/>
  <c r="K22" i="2"/>
  <c r="L22" i="2"/>
  <c r="S22" i="2"/>
  <c r="E23" i="2"/>
  <c r="F23" i="2"/>
  <c r="H23" i="2"/>
  <c r="I23" i="2"/>
  <c r="J23" i="2"/>
  <c r="K23" i="2"/>
  <c r="L23" i="2"/>
  <c r="S23" i="2"/>
  <c r="E24" i="2"/>
  <c r="F24" i="2"/>
  <c r="H24" i="2"/>
  <c r="I24" i="2"/>
  <c r="J24" i="2"/>
  <c r="K24" i="2"/>
  <c r="L24" i="2"/>
  <c r="S24" i="2"/>
  <c r="E25" i="2"/>
  <c r="F25" i="2"/>
  <c r="H25" i="2"/>
  <c r="I25" i="2"/>
  <c r="J25" i="2"/>
  <c r="K25" i="2"/>
  <c r="L25" i="2"/>
  <c r="S25" i="2"/>
  <c r="E26" i="2"/>
  <c r="F26" i="2"/>
  <c r="H26" i="2"/>
  <c r="I26" i="2"/>
  <c r="J26" i="2"/>
  <c r="K26" i="2"/>
  <c r="L26" i="2"/>
  <c r="S26" i="2"/>
  <c r="E27" i="2"/>
  <c r="F27" i="2"/>
  <c r="H27" i="2"/>
  <c r="I27" i="2"/>
  <c r="J27" i="2"/>
  <c r="K27" i="2"/>
  <c r="L27" i="2"/>
  <c r="S27" i="2"/>
  <c r="E28" i="2"/>
  <c r="F28" i="2"/>
  <c r="H28" i="2"/>
  <c r="I28" i="2"/>
  <c r="J28" i="2"/>
  <c r="K28" i="2"/>
  <c r="L28" i="2"/>
  <c r="S28" i="2"/>
  <c r="E29" i="2"/>
  <c r="F29" i="2"/>
  <c r="H29" i="2"/>
  <c r="I29" i="2"/>
  <c r="J29" i="2"/>
  <c r="K29" i="2"/>
  <c r="L29" i="2"/>
  <c r="S29" i="2"/>
  <c r="E30" i="2"/>
  <c r="F30" i="2"/>
  <c r="H30" i="2"/>
  <c r="I30" i="2"/>
  <c r="J30" i="2"/>
  <c r="K30" i="2"/>
  <c r="L30" i="2"/>
  <c r="S30" i="2"/>
  <c r="E31" i="2"/>
  <c r="F31" i="2"/>
  <c r="H31" i="2"/>
  <c r="I31" i="2"/>
  <c r="J31" i="2"/>
  <c r="K31" i="2"/>
  <c r="L31" i="2"/>
  <c r="S31" i="2"/>
  <c r="E32" i="2"/>
  <c r="F32" i="2"/>
  <c r="H32" i="2"/>
  <c r="I32" i="2"/>
  <c r="J32" i="2"/>
  <c r="K32" i="2"/>
  <c r="L32" i="2"/>
  <c r="S32" i="2"/>
  <c r="E33" i="2"/>
  <c r="F33" i="2"/>
  <c r="H33" i="2"/>
  <c r="I33" i="2"/>
  <c r="J33" i="2"/>
  <c r="K33" i="2"/>
  <c r="L33" i="2"/>
  <c r="S33" i="2"/>
  <c r="E34" i="2"/>
  <c r="F34" i="2"/>
  <c r="H34" i="2"/>
  <c r="I34" i="2"/>
  <c r="J34" i="2"/>
  <c r="K34" i="2"/>
  <c r="L34" i="2"/>
  <c r="S34" i="2"/>
  <c r="E35" i="2"/>
  <c r="F35" i="2"/>
  <c r="H35" i="2"/>
  <c r="I35" i="2"/>
  <c r="J35" i="2"/>
  <c r="K35" i="2"/>
  <c r="L35" i="2"/>
  <c r="S35" i="2"/>
  <c r="E36" i="2"/>
  <c r="F36" i="2"/>
  <c r="H36" i="2"/>
  <c r="I36" i="2"/>
  <c r="J36" i="2"/>
  <c r="K36" i="2"/>
  <c r="L36" i="2"/>
  <c r="S36" i="2"/>
  <c r="E37" i="2"/>
  <c r="F37" i="2"/>
  <c r="H37" i="2"/>
  <c r="I37" i="2"/>
  <c r="J37" i="2"/>
  <c r="K37" i="2"/>
  <c r="L37" i="2"/>
  <c r="S37" i="2"/>
  <c r="E38" i="2"/>
  <c r="F38" i="2"/>
  <c r="H38" i="2"/>
  <c r="I38" i="2"/>
  <c r="J38" i="2"/>
  <c r="K38" i="2"/>
  <c r="L38" i="2"/>
  <c r="S38" i="2"/>
  <c r="E39" i="2"/>
  <c r="F39" i="2"/>
  <c r="H39" i="2"/>
  <c r="I39" i="2"/>
  <c r="J39" i="2"/>
  <c r="K39" i="2"/>
  <c r="L39" i="2"/>
  <c r="S39" i="2"/>
  <c r="E40" i="2"/>
  <c r="F40" i="2"/>
  <c r="H40" i="2"/>
  <c r="I40" i="2"/>
  <c r="J40" i="2"/>
  <c r="K40" i="2"/>
  <c r="L40" i="2"/>
  <c r="S40" i="2"/>
  <c r="E41" i="2"/>
  <c r="F41" i="2"/>
  <c r="H41" i="2"/>
  <c r="I41" i="2"/>
  <c r="J41" i="2"/>
  <c r="K41" i="2"/>
  <c r="L41" i="2"/>
  <c r="S41" i="2"/>
  <c r="E42" i="2"/>
  <c r="F42" i="2"/>
  <c r="H42" i="2"/>
  <c r="I42" i="2"/>
  <c r="J42" i="2"/>
  <c r="K42" i="2"/>
  <c r="L42" i="2"/>
  <c r="S42" i="2"/>
  <c r="E43" i="2"/>
  <c r="F43" i="2"/>
  <c r="H43" i="2"/>
  <c r="I43" i="2"/>
  <c r="J43" i="2"/>
  <c r="K43" i="2"/>
  <c r="L43" i="2"/>
  <c r="S43" i="2"/>
  <c r="E44" i="2"/>
  <c r="F44" i="2"/>
  <c r="H44" i="2"/>
  <c r="I44" i="2"/>
  <c r="J44" i="2"/>
  <c r="K44" i="2"/>
  <c r="L44" i="2"/>
  <c r="S44" i="2"/>
  <c r="E45" i="2"/>
  <c r="F45" i="2"/>
  <c r="H45" i="2"/>
  <c r="I45" i="2"/>
  <c r="J45" i="2"/>
  <c r="K45" i="2"/>
  <c r="L45" i="2"/>
  <c r="S45" i="2"/>
  <c r="E46" i="2"/>
  <c r="F46" i="2"/>
  <c r="H46" i="2"/>
  <c r="I46" i="2"/>
  <c r="J46" i="2"/>
  <c r="K46" i="2"/>
  <c r="L46" i="2"/>
  <c r="S46" i="2"/>
  <c r="E47" i="2"/>
  <c r="F47" i="2"/>
  <c r="H47" i="2"/>
  <c r="I47" i="2"/>
  <c r="J47" i="2"/>
  <c r="K47" i="2"/>
  <c r="L47" i="2"/>
  <c r="S47" i="2"/>
  <c r="E48" i="2"/>
  <c r="F48" i="2"/>
  <c r="H48" i="2"/>
  <c r="I48" i="2"/>
  <c r="J48" i="2"/>
  <c r="K48" i="2"/>
  <c r="L48" i="2"/>
  <c r="S48" i="2"/>
  <c r="E49" i="2"/>
  <c r="F49" i="2"/>
  <c r="H49" i="2"/>
  <c r="I49" i="2"/>
  <c r="J49" i="2"/>
  <c r="K49" i="2"/>
  <c r="L49" i="2"/>
  <c r="S49" i="2"/>
  <c r="E50" i="2"/>
  <c r="F50" i="2"/>
  <c r="H50" i="2"/>
  <c r="I50" i="2"/>
  <c r="J50" i="2"/>
  <c r="K50" i="2"/>
  <c r="L50" i="2"/>
  <c r="S50" i="2"/>
  <c r="E51" i="2"/>
  <c r="F51" i="2"/>
  <c r="H51" i="2"/>
  <c r="I51" i="2"/>
  <c r="J51" i="2"/>
  <c r="K51" i="2"/>
  <c r="L51" i="2"/>
  <c r="S51" i="2"/>
  <c r="E52" i="2"/>
  <c r="F52" i="2"/>
  <c r="H52" i="2"/>
  <c r="I52" i="2"/>
  <c r="J52" i="2"/>
  <c r="K52" i="2"/>
  <c r="L52" i="2"/>
  <c r="S52" i="2"/>
  <c r="E53" i="2"/>
  <c r="F53" i="2"/>
  <c r="H53" i="2"/>
  <c r="I53" i="2"/>
  <c r="J53" i="2"/>
  <c r="K53" i="2"/>
  <c r="L53" i="2"/>
  <c r="S53" i="2"/>
  <c r="E54" i="2"/>
  <c r="F54" i="2"/>
  <c r="H54" i="2"/>
  <c r="I54" i="2"/>
  <c r="J54" i="2"/>
  <c r="K54" i="2"/>
  <c r="L54" i="2"/>
  <c r="S54" i="2"/>
  <c r="E55" i="2"/>
  <c r="F55" i="2"/>
  <c r="H55" i="2"/>
  <c r="I55" i="2"/>
  <c r="J55" i="2"/>
  <c r="K55" i="2"/>
  <c r="L55" i="2"/>
  <c r="S55" i="2"/>
  <c r="E56" i="2"/>
  <c r="F56" i="2"/>
  <c r="H56" i="2"/>
  <c r="I56" i="2"/>
  <c r="J56" i="2"/>
  <c r="K56" i="2"/>
  <c r="L56" i="2"/>
  <c r="S56" i="2"/>
  <c r="E57" i="2"/>
  <c r="F57" i="2"/>
  <c r="H57" i="2"/>
  <c r="I57" i="2"/>
  <c r="J57" i="2"/>
  <c r="K57" i="2"/>
  <c r="L57" i="2"/>
  <c r="S57" i="2"/>
  <c r="E58" i="2"/>
  <c r="F58" i="2"/>
  <c r="H58" i="2"/>
  <c r="I58" i="2"/>
  <c r="J58" i="2"/>
  <c r="K58" i="2"/>
  <c r="L58" i="2"/>
  <c r="S58" i="2"/>
  <c r="E59" i="2"/>
  <c r="F59" i="2"/>
  <c r="H59" i="2"/>
  <c r="I59" i="2"/>
  <c r="J59" i="2"/>
  <c r="K59" i="2"/>
  <c r="L59" i="2"/>
  <c r="S59" i="2"/>
  <c r="E60" i="2"/>
  <c r="F60" i="2"/>
  <c r="H60" i="2"/>
  <c r="I60" i="2"/>
  <c r="J60" i="2"/>
  <c r="K60" i="2"/>
  <c r="L60" i="2"/>
  <c r="S60" i="2"/>
  <c r="E61" i="2"/>
  <c r="F61" i="2"/>
  <c r="H61" i="2"/>
  <c r="I61" i="2"/>
  <c r="J61" i="2"/>
  <c r="K61" i="2"/>
  <c r="L61" i="2"/>
  <c r="S61" i="2"/>
  <c r="E62" i="2"/>
  <c r="F62" i="2"/>
  <c r="H62" i="2"/>
  <c r="I62" i="2"/>
  <c r="J62" i="2"/>
  <c r="K62" i="2"/>
  <c r="L62" i="2"/>
  <c r="S62" i="2"/>
  <c r="E63" i="2"/>
  <c r="F63" i="2"/>
  <c r="H63" i="2"/>
  <c r="I63" i="2"/>
  <c r="J63" i="2"/>
  <c r="K63" i="2"/>
  <c r="L63" i="2"/>
  <c r="S63" i="2"/>
  <c r="E64" i="2"/>
  <c r="F64" i="2"/>
  <c r="H64" i="2"/>
  <c r="I64" i="2"/>
  <c r="J64" i="2"/>
  <c r="K64" i="2"/>
  <c r="L64" i="2"/>
  <c r="S64" i="2"/>
  <c r="E65" i="2"/>
  <c r="F65" i="2"/>
  <c r="H65" i="2"/>
  <c r="I65" i="2"/>
  <c r="J65" i="2"/>
  <c r="K65" i="2"/>
  <c r="L65" i="2"/>
  <c r="S65" i="2"/>
  <c r="E66" i="2"/>
  <c r="F66" i="2"/>
  <c r="H66" i="2"/>
  <c r="I66" i="2"/>
  <c r="J66" i="2"/>
  <c r="K66" i="2"/>
  <c r="L66" i="2"/>
  <c r="S66" i="2"/>
  <c r="E67" i="2"/>
  <c r="F67" i="2"/>
  <c r="H67" i="2"/>
  <c r="I67" i="2"/>
  <c r="J67" i="2"/>
  <c r="K67" i="2"/>
  <c r="L67" i="2"/>
  <c r="S67" i="2"/>
  <c r="E68" i="2"/>
  <c r="F68" i="2"/>
  <c r="H68" i="2"/>
  <c r="I68" i="2"/>
  <c r="J68" i="2"/>
  <c r="K68" i="2"/>
  <c r="L68" i="2"/>
  <c r="S68" i="2"/>
  <c r="E69" i="2"/>
  <c r="F69" i="2"/>
  <c r="H69" i="2"/>
  <c r="I69" i="2"/>
  <c r="J69" i="2"/>
  <c r="K69" i="2"/>
  <c r="L69" i="2"/>
  <c r="S69" i="2"/>
  <c r="E70" i="2"/>
  <c r="F70" i="2"/>
  <c r="H70" i="2"/>
  <c r="I70" i="2"/>
  <c r="J70" i="2"/>
  <c r="K70" i="2"/>
  <c r="L70" i="2"/>
  <c r="S70" i="2"/>
  <c r="E71" i="2"/>
  <c r="F71" i="2"/>
  <c r="H71" i="2"/>
  <c r="I71" i="2"/>
  <c r="J71" i="2"/>
  <c r="K71" i="2"/>
  <c r="L71" i="2"/>
  <c r="S71" i="2"/>
  <c r="E72" i="2"/>
  <c r="F72" i="2"/>
  <c r="H72" i="2"/>
  <c r="I72" i="2"/>
  <c r="J72" i="2"/>
  <c r="K72" i="2"/>
  <c r="L72" i="2"/>
  <c r="S72" i="2"/>
  <c r="E73" i="2"/>
  <c r="F73" i="2"/>
  <c r="H73" i="2"/>
  <c r="I73" i="2"/>
  <c r="J73" i="2"/>
  <c r="K73" i="2"/>
  <c r="L73" i="2"/>
  <c r="S73" i="2"/>
  <c r="E74" i="2"/>
  <c r="F74" i="2"/>
  <c r="H74" i="2"/>
  <c r="I74" i="2"/>
  <c r="J74" i="2"/>
  <c r="K74" i="2"/>
  <c r="L74" i="2"/>
  <c r="S74" i="2"/>
  <c r="E75" i="2"/>
  <c r="F75" i="2"/>
  <c r="H75" i="2"/>
  <c r="I75" i="2"/>
  <c r="J75" i="2"/>
  <c r="K75" i="2"/>
  <c r="L75" i="2"/>
  <c r="S75" i="2"/>
  <c r="E76" i="2"/>
  <c r="F76" i="2"/>
  <c r="H76" i="2"/>
  <c r="I76" i="2"/>
  <c r="J76" i="2"/>
  <c r="K76" i="2"/>
  <c r="L76" i="2"/>
  <c r="S76" i="2"/>
  <c r="E77" i="2"/>
  <c r="F77" i="2"/>
  <c r="H77" i="2"/>
  <c r="I77" i="2"/>
  <c r="J77" i="2"/>
  <c r="K77" i="2"/>
  <c r="L77" i="2"/>
  <c r="S77" i="2"/>
  <c r="E78" i="2"/>
  <c r="F78" i="2"/>
  <c r="H78" i="2"/>
  <c r="I78" i="2"/>
  <c r="J78" i="2"/>
  <c r="K78" i="2"/>
  <c r="L78" i="2"/>
  <c r="S78" i="2"/>
  <c r="E79" i="2"/>
  <c r="F79" i="2"/>
  <c r="H79" i="2"/>
  <c r="I79" i="2"/>
  <c r="J79" i="2"/>
  <c r="K79" i="2"/>
  <c r="L79" i="2"/>
  <c r="S79" i="2"/>
  <c r="E80" i="2"/>
  <c r="F80" i="2"/>
  <c r="H80" i="2"/>
  <c r="I80" i="2"/>
  <c r="J80" i="2"/>
  <c r="K80" i="2"/>
  <c r="L80" i="2"/>
  <c r="S80" i="2"/>
  <c r="E81" i="2"/>
  <c r="F81" i="2"/>
  <c r="H81" i="2"/>
  <c r="I81" i="2"/>
  <c r="J81" i="2"/>
  <c r="K81" i="2"/>
  <c r="L81" i="2"/>
  <c r="S81" i="2"/>
  <c r="E82" i="2"/>
  <c r="F82" i="2"/>
  <c r="H82" i="2"/>
  <c r="I82" i="2"/>
  <c r="J82" i="2"/>
  <c r="K82" i="2"/>
  <c r="L82" i="2"/>
  <c r="S82" i="2"/>
  <c r="E83" i="2"/>
  <c r="F83" i="2"/>
  <c r="H83" i="2"/>
  <c r="I83" i="2"/>
  <c r="J83" i="2"/>
  <c r="K83" i="2"/>
  <c r="L83" i="2"/>
  <c r="S83" i="2"/>
  <c r="E84" i="2"/>
  <c r="F84" i="2"/>
  <c r="H84" i="2"/>
  <c r="I84" i="2"/>
  <c r="J84" i="2"/>
  <c r="K84" i="2"/>
  <c r="L84" i="2"/>
  <c r="S84" i="2"/>
  <c r="E85" i="2"/>
  <c r="F85" i="2"/>
  <c r="H85" i="2"/>
  <c r="I85" i="2"/>
  <c r="J85" i="2"/>
  <c r="K85" i="2"/>
  <c r="L85" i="2"/>
  <c r="S85" i="2"/>
  <c r="E86" i="2"/>
  <c r="F86" i="2"/>
  <c r="H86" i="2"/>
  <c r="I86" i="2"/>
  <c r="J86" i="2"/>
  <c r="K86" i="2"/>
  <c r="L86" i="2"/>
  <c r="S86" i="2"/>
  <c r="E87" i="2"/>
  <c r="F87" i="2"/>
  <c r="H87" i="2"/>
  <c r="I87" i="2"/>
  <c r="J87" i="2"/>
  <c r="K87" i="2"/>
  <c r="L87" i="2"/>
  <c r="S87" i="2"/>
  <c r="E88" i="2"/>
  <c r="F88" i="2"/>
  <c r="H88" i="2"/>
  <c r="I88" i="2"/>
  <c r="J88" i="2"/>
  <c r="K88" i="2"/>
  <c r="L88" i="2"/>
  <c r="S88" i="2"/>
  <c r="E89" i="2"/>
  <c r="F89" i="2"/>
  <c r="H89" i="2"/>
  <c r="I89" i="2"/>
  <c r="J89" i="2"/>
  <c r="K89" i="2"/>
  <c r="L89" i="2"/>
  <c r="S89" i="2"/>
  <c r="E90" i="2"/>
  <c r="F90" i="2"/>
  <c r="H90" i="2"/>
  <c r="I90" i="2"/>
  <c r="J90" i="2"/>
  <c r="K90" i="2"/>
  <c r="L90" i="2"/>
  <c r="S90" i="2"/>
  <c r="E91" i="2"/>
  <c r="F91" i="2"/>
  <c r="H91" i="2"/>
  <c r="I91" i="2"/>
  <c r="J91" i="2"/>
  <c r="K91" i="2"/>
  <c r="L91" i="2"/>
  <c r="S91" i="2"/>
  <c r="E92" i="2"/>
  <c r="F92" i="2"/>
  <c r="H92" i="2"/>
  <c r="I92" i="2"/>
  <c r="J92" i="2"/>
  <c r="K92" i="2"/>
  <c r="L92" i="2"/>
  <c r="S92" i="2"/>
  <c r="E93" i="2"/>
  <c r="F93" i="2"/>
  <c r="H93" i="2"/>
  <c r="I93" i="2"/>
  <c r="J93" i="2"/>
  <c r="K93" i="2"/>
  <c r="L93" i="2"/>
  <c r="S93" i="2"/>
  <c r="E94" i="2"/>
  <c r="F94" i="2"/>
  <c r="H94" i="2"/>
  <c r="I94" i="2"/>
  <c r="J94" i="2"/>
  <c r="K94" i="2"/>
  <c r="L94" i="2"/>
  <c r="S94" i="2"/>
  <c r="E95" i="2"/>
  <c r="F95" i="2"/>
  <c r="H95" i="2"/>
  <c r="I95" i="2"/>
  <c r="J95" i="2"/>
  <c r="K95" i="2"/>
  <c r="L95" i="2"/>
  <c r="S95" i="2"/>
  <c r="E96" i="2"/>
  <c r="F96" i="2"/>
  <c r="H96" i="2"/>
  <c r="I96" i="2"/>
  <c r="J96" i="2"/>
  <c r="K96" i="2"/>
  <c r="L96" i="2"/>
  <c r="S96" i="2"/>
  <c r="E97" i="2"/>
  <c r="F97" i="2"/>
  <c r="H97" i="2"/>
  <c r="I97" i="2"/>
  <c r="J97" i="2"/>
  <c r="K97" i="2"/>
  <c r="L97" i="2"/>
  <c r="S97" i="2"/>
  <c r="E98" i="2"/>
  <c r="F98" i="2"/>
  <c r="H98" i="2"/>
  <c r="I98" i="2"/>
  <c r="J98" i="2"/>
  <c r="K98" i="2"/>
  <c r="L98" i="2"/>
  <c r="S98" i="2"/>
  <c r="E99" i="2"/>
  <c r="F99" i="2"/>
  <c r="H99" i="2"/>
  <c r="I99" i="2"/>
  <c r="J99" i="2"/>
  <c r="K99" i="2"/>
  <c r="L99" i="2"/>
  <c r="S99" i="2"/>
  <c r="E100" i="2"/>
  <c r="F100" i="2"/>
  <c r="H100" i="2"/>
  <c r="I100" i="2"/>
  <c r="J100" i="2"/>
  <c r="K100" i="2"/>
  <c r="L100" i="2"/>
  <c r="S100" i="2"/>
  <c r="E101" i="2"/>
  <c r="F101" i="2"/>
  <c r="H101" i="2"/>
  <c r="I101" i="2"/>
  <c r="J101" i="2"/>
  <c r="K101" i="2"/>
  <c r="L101" i="2"/>
  <c r="S101" i="2"/>
  <c r="E102" i="2"/>
  <c r="F102" i="2"/>
  <c r="H102" i="2"/>
  <c r="I102" i="2"/>
  <c r="J102" i="2"/>
  <c r="K102" i="2"/>
  <c r="L102" i="2"/>
  <c r="S102" i="2"/>
  <c r="E103" i="2"/>
  <c r="F103" i="2"/>
  <c r="H103" i="2"/>
  <c r="I103" i="2"/>
  <c r="J103" i="2"/>
  <c r="K103" i="2"/>
  <c r="L103" i="2"/>
  <c r="S103" i="2"/>
  <c r="E104" i="2"/>
  <c r="F104" i="2"/>
  <c r="H104" i="2"/>
  <c r="I104" i="2"/>
  <c r="J104" i="2"/>
  <c r="K104" i="2"/>
  <c r="L104" i="2"/>
  <c r="S104" i="2"/>
  <c r="E105" i="2"/>
  <c r="F105" i="2"/>
  <c r="H105" i="2"/>
  <c r="I105" i="2"/>
  <c r="J105" i="2"/>
  <c r="K105" i="2"/>
  <c r="L105" i="2"/>
  <c r="S105" i="2"/>
  <c r="E106" i="2"/>
  <c r="F106" i="2"/>
  <c r="H106" i="2"/>
  <c r="I106" i="2"/>
  <c r="J106" i="2"/>
  <c r="K106" i="2"/>
  <c r="L106" i="2"/>
  <c r="S106" i="2"/>
  <c r="E107" i="2"/>
  <c r="F107" i="2"/>
  <c r="H107" i="2"/>
  <c r="I107" i="2"/>
  <c r="J107" i="2"/>
  <c r="K107" i="2"/>
  <c r="L107" i="2"/>
  <c r="S107" i="2"/>
  <c r="E108" i="2"/>
  <c r="F108" i="2"/>
  <c r="H108" i="2"/>
  <c r="I108" i="2"/>
  <c r="J108" i="2"/>
  <c r="K108" i="2"/>
  <c r="L108" i="2"/>
  <c r="S108" i="2"/>
  <c r="E109" i="2"/>
  <c r="F109" i="2"/>
  <c r="H109" i="2"/>
  <c r="I109" i="2"/>
  <c r="J109" i="2"/>
  <c r="K109" i="2"/>
  <c r="L109" i="2"/>
  <c r="S109" i="2"/>
  <c r="E110" i="2"/>
  <c r="F110" i="2"/>
  <c r="H110" i="2"/>
  <c r="I110" i="2"/>
  <c r="J110" i="2"/>
  <c r="K110" i="2"/>
  <c r="L110" i="2"/>
  <c r="S110" i="2"/>
  <c r="E111" i="2"/>
  <c r="F111" i="2"/>
  <c r="H111" i="2"/>
  <c r="I111" i="2"/>
  <c r="J111" i="2"/>
  <c r="K111" i="2"/>
  <c r="L111" i="2"/>
  <c r="S111" i="2"/>
  <c r="E112" i="2"/>
  <c r="F112" i="2"/>
  <c r="H112" i="2"/>
  <c r="I112" i="2"/>
  <c r="J112" i="2"/>
  <c r="K112" i="2"/>
  <c r="L112" i="2"/>
  <c r="S112" i="2"/>
  <c r="E113" i="2"/>
  <c r="F113" i="2"/>
  <c r="H113" i="2"/>
  <c r="I113" i="2"/>
  <c r="J113" i="2"/>
  <c r="K113" i="2"/>
  <c r="L113" i="2"/>
  <c r="S113" i="2"/>
  <c r="E114" i="2"/>
  <c r="F114" i="2"/>
  <c r="H114" i="2"/>
  <c r="I114" i="2"/>
  <c r="J114" i="2"/>
  <c r="K114" i="2"/>
  <c r="L114" i="2"/>
  <c r="S114" i="2"/>
  <c r="E115" i="2"/>
  <c r="F115" i="2"/>
  <c r="H115" i="2"/>
  <c r="I115" i="2"/>
  <c r="J115" i="2"/>
  <c r="K115" i="2"/>
  <c r="L115" i="2"/>
  <c r="S115" i="2"/>
  <c r="E116" i="2"/>
  <c r="F116" i="2"/>
  <c r="H116" i="2"/>
  <c r="I116" i="2"/>
  <c r="J116" i="2"/>
  <c r="K116" i="2"/>
  <c r="L116" i="2"/>
  <c r="S116" i="2"/>
  <c r="E117" i="2"/>
  <c r="F117" i="2"/>
  <c r="H117" i="2"/>
  <c r="I117" i="2"/>
  <c r="J117" i="2"/>
  <c r="K117" i="2"/>
  <c r="L117" i="2"/>
  <c r="S117" i="2"/>
  <c r="E118" i="2"/>
  <c r="F118" i="2"/>
  <c r="H118" i="2"/>
  <c r="I118" i="2"/>
  <c r="J118" i="2"/>
  <c r="K118" i="2"/>
  <c r="L118" i="2"/>
  <c r="S118" i="2"/>
  <c r="E119" i="2"/>
  <c r="F119" i="2"/>
  <c r="H119" i="2"/>
  <c r="I119" i="2"/>
  <c r="J119" i="2"/>
  <c r="K119" i="2"/>
  <c r="L119" i="2"/>
  <c r="S119" i="2"/>
  <c r="E120" i="2"/>
  <c r="F120" i="2"/>
  <c r="H120" i="2"/>
  <c r="I120" i="2"/>
  <c r="J120" i="2"/>
  <c r="K120" i="2"/>
  <c r="L120" i="2"/>
  <c r="S120" i="2"/>
  <c r="E121" i="2"/>
  <c r="F121" i="2"/>
  <c r="H121" i="2"/>
  <c r="I121" i="2"/>
  <c r="J121" i="2"/>
  <c r="K121" i="2"/>
  <c r="L121" i="2"/>
  <c r="S121" i="2"/>
  <c r="E122" i="2"/>
  <c r="F122" i="2"/>
  <c r="H122" i="2"/>
  <c r="I122" i="2"/>
  <c r="J122" i="2"/>
  <c r="K122" i="2"/>
  <c r="L122" i="2"/>
  <c r="S122" i="2"/>
  <c r="E123" i="2"/>
  <c r="F123" i="2"/>
  <c r="H123" i="2"/>
  <c r="I123" i="2"/>
  <c r="J123" i="2"/>
  <c r="K123" i="2"/>
  <c r="L123" i="2"/>
  <c r="S123" i="2"/>
  <c r="E124" i="2"/>
  <c r="F124" i="2"/>
  <c r="H124" i="2"/>
  <c r="I124" i="2"/>
  <c r="J124" i="2"/>
  <c r="K124" i="2"/>
  <c r="L124" i="2"/>
  <c r="S124" i="2"/>
  <c r="E125" i="2"/>
  <c r="F125" i="2"/>
  <c r="H125" i="2"/>
  <c r="I125" i="2"/>
  <c r="J125" i="2"/>
  <c r="K125" i="2"/>
  <c r="L125" i="2"/>
  <c r="S125" i="2"/>
  <c r="E126" i="2"/>
  <c r="F126" i="2"/>
  <c r="H126" i="2"/>
  <c r="I126" i="2"/>
  <c r="J126" i="2"/>
  <c r="K126" i="2"/>
  <c r="L126" i="2"/>
  <c r="S126" i="2"/>
  <c r="E127" i="2"/>
  <c r="F127" i="2"/>
  <c r="H127" i="2"/>
  <c r="I127" i="2"/>
  <c r="J127" i="2"/>
  <c r="K127" i="2"/>
  <c r="L127" i="2"/>
  <c r="S127" i="2"/>
  <c r="E128" i="2"/>
  <c r="F128" i="2"/>
  <c r="H128" i="2"/>
  <c r="I128" i="2"/>
  <c r="J128" i="2"/>
  <c r="K128" i="2"/>
  <c r="L128" i="2"/>
  <c r="S128" i="2"/>
  <c r="E129" i="2"/>
  <c r="F129" i="2"/>
  <c r="H129" i="2"/>
  <c r="I129" i="2"/>
  <c r="J129" i="2"/>
  <c r="K129" i="2"/>
  <c r="L129" i="2"/>
  <c r="S129" i="2"/>
  <c r="E130" i="2"/>
  <c r="F130" i="2"/>
  <c r="H130" i="2"/>
  <c r="I130" i="2"/>
  <c r="J130" i="2"/>
  <c r="K130" i="2"/>
  <c r="L130" i="2"/>
  <c r="S130" i="2"/>
  <c r="E131" i="2"/>
  <c r="F131" i="2"/>
  <c r="H131" i="2"/>
  <c r="I131" i="2"/>
  <c r="J131" i="2"/>
  <c r="K131" i="2"/>
  <c r="L131" i="2"/>
  <c r="S131" i="2"/>
  <c r="E132" i="2"/>
  <c r="F132" i="2"/>
  <c r="H132" i="2"/>
  <c r="I132" i="2"/>
  <c r="J132" i="2"/>
  <c r="K132" i="2"/>
  <c r="L132" i="2"/>
  <c r="S132" i="2"/>
  <c r="E133" i="2"/>
  <c r="F133" i="2"/>
  <c r="H133" i="2"/>
  <c r="I133" i="2"/>
  <c r="J133" i="2"/>
  <c r="K133" i="2"/>
  <c r="L133" i="2"/>
  <c r="S133" i="2"/>
  <c r="E134" i="2"/>
  <c r="F134" i="2"/>
  <c r="H134" i="2"/>
  <c r="I134" i="2"/>
  <c r="J134" i="2"/>
  <c r="K134" i="2"/>
  <c r="L134" i="2"/>
  <c r="S134" i="2"/>
  <c r="E135" i="2"/>
  <c r="F135" i="2"/>
  <c r="H135" i="2"/>
  <c r="I135" i="2"/>
  <c r="J135" i="2"/>
  <c r="K135" i="2"/>
  <c r="L135" i="2"/>
  <c r="S135" i="2"/>
  <c r="E136" i="2"/>
  <c r="F136" i="2"/>
  <c r="H136" i="2"/>
  <c r="I136" i="2"/>
  <c r="J136" i="2"/>
  <c r="K136" i="2"/>
  <c r="L136" i="2"/>
  <c r="S136" i="2"/>
  <c r="E137" i="2"/>
  <c r="F137" i="2"/>
  <c r="H137" i="2"/>
  <c r="I137" i="2"/>
  <c r="J137" i="2"/>
  <c r="K137" i="2"/>
  <c r="L137" i="2"/>
  <c r="S137" i="2"/>
  <c r="E138" i="2"/>
  <c r="F138" i="2"/>
  <c r="H138" i="2"/>
  <c r="I138" i="2"/>
  <c r="J138" i="2"/>
  <c r="K138" i="2"/>
  <c r="L138" i="2"/>
  <c r="S138" i="2"/>
  <c r="E139" i="2"/>
  <c r="F139" i="2"/>
  <c r="H139" i="2"/>
  <c r="I139" i="2"/>
  <c r="J139" i="2"/>
  <c r="K139" i="2"/>
  <c r="L139" i="2"/>
  <c r="S139" i="2"/>
  <c r="E140" i="2"/>
  <c r="F140" i="2"/>
  <c r="H140" i="2"/>
  <c r="I140" i="2"/>
  <c r="J140" i="2"/>
  <c r="K140" i="2"/>
  <c r="L140" i="2"/>
  <c r="S140" i="2"/>
  <c r="E141" i="2"/>
  <c r="F141" i="2"/>
  <c r="H141" i="2"/>
  <c r="I141" i="2"/>
  <c r="J141" i="2"/>
  <c r="K141" i="2"/>
  <c r="L141" i="2"/>
  <c r="S141" i="2"/>
  <c r="E142" i="2"/>
  <c r="F142" i="2"/>
  <c r="H142" i="2"/>
  <c r="I142" i="2"/>
  <c r="J142" i="2"/>
  <c r="K142" i="2"/>
  <c r="L142" i="2"/>
  <c r="S142" i="2"/>
  <c r="E143" i="2"/>
  <c r="F143" i="2"/>
  <c r="H143" i="2"/>
  <c r="I143" i="2"/>
  <c r="J143" i="2"/>
  <c r="K143" i="2"/>
  <c r="L143" i="2"/>
  <c r="S143" i="2"/>
  <c r="E144" i="2"/>
  <c r="F144" i="2"/>
  <c r="H144" i="2"/>
  <c r="I144" i="2"/>
  <c r="J144" i="2"/>
  <c r="K144" i="2"/>
  <c r="L144" i="2"/>
  <c r="S144" i="2"/>
  <c r="E145" i="2"/>
  <c r="F145" i="2"/>
  <c r="H145" i="2"/>
  <c r="I145" i="2"/>
  <c r="J145" i="2"/>
  <c r="K145" i="2"/>
  <c r="L145" i="2"/>
  <c r="S145" i="2"/>
  <c r="E146" i="2"/>
  <c r="F146" i="2"/>
  <c r="H146" i="2"/>
  <c r="I146" i="2"/>
  <c r="J146" i="2"/>
  <c r="K146" i="2"/>
  <c r="L146" i="2"/>
  <c r="S146" i="2"/>
  <c r="E147" i="2"/>
  <c r="F147" i="2"/>
  <c r="H147" i="2"/>
  <c r="I147" i="2"/>
  <c r="J147" i="2"/>
  <c r="K147" i="2"/>
  <c r="L147" i="2"/>
  <c r="S147" i="2"/>
  <c r="E148" i="2"/>
  <c r="F148" i="2"/>
  <c r="H148" i="2"/>
  <c r="I148" i="2"/>
  <c r="J148" i="2"/>
  <c r="K148" i="2"/>
  <c r="L148" i="2"/>
  <c r="S148" i="2"/>
  <c r="E149" i="2"/>
  <c r="F149" i="2"/>
  <c r="H149" i="2"/>
  <c r="I149" i="2"/>
  <c r="J149" i="2"/>
  <c r="K149" i="2"/>
  <c r="L149" i="2"/>
  <c r="S149" i="2"/>
  <c r="E150" i="2"/>
  <c r="F150" i="2"/>
  <c r="H150" i="2"/>
  <c r="I150" i="2"/>
  <c r="J150" i="2"/>
  <c r="K150" i="2"/>
  <c r="L150" i="2"/>
  <c r="S150" i="2"/>
  <c r="E151" i="2"/>
  <c r="F151" i="2"/>
  <c r="H151" i="2"/>
  <c r="I151" i="2"/>
  <c r="J151" i="2"/>
  <c r="K151" i="2"/>
  <c r="L151" i="2"/>
  <c r="S151" i="2"/>
  <c r="E152" i="2"/>
  <c r="F152" i="2"/>
  <c r="H152" i="2"/>
  <c r="I152" i="2"/>
  <c r="J152" i="2"/>
  <c r="K152" i="2"/>
  <c r="L152" i="2"/>
  <c r="S152" i="2"/>
  <c r="E153" i="2"/>
  <c r="F153" i="2"/>
  <c r="H153" i="2"/>
  <c r="I153" i="2"/>
  <c r="J153" i="2"/>
  <c r="K153" i="2"/>
  <c r="L153" i="2"/>
  <c r="S153" i="2"/>
  <c r="E154" i="2"/>
  <c r="F154" i="2"/>
  <c r="H154" i="2"/>
  <c r="I154" i="2"/>
  <c r="J154" i="2"/>
  <c r="K154" i="2"/>
  <c r="L154" i="2"/>
  <c r="S154" i="2"/>
  <c r="E155" i="2"/>
  <c r="F155" i="2"/>
  <c r="H155" i="2"/>
  <c r="I155" i="2"/>
  <c r="J155" i="2"/>
  <c r="K155" i="2"/>
  <c r="L155" i="2"/>
  <c r="S155" i="2"/>
  <c r="E156" i="2"/>
  <c r="F156" i="2"/>
  <c r="H156" i="2"/>
  <c r="I156" i="2"/>
  <c r="J156" i="2"/>
  <c r="K156" i="2"/>
  <c r="L156" i="2"/>
  <c r="S156" i="2"/>
  <c r="E157" i="2"/>
  <c r="F157" i="2"/>
  <c r="H157" i="2"/>
  <c r="I157" i="2"/>
  <c r="J157" i="2"/>
  <c r="K157" i="2"/>
  <c r="L157" i="2"/>
  <c r="S157" i="2"/>
  <c r="E158" i="2"/>
  <c r="F158" i="2"/>
  <c r="H158" i="2"/>
  <c r="I158" i="2"/>
  <c r="J158" i="2"/>
  <c r="K158" i="2"/>
  <c r="L158" i="2"/>
  <c r="S158" i="2"/>
  <c r="E159" i="2"/>
  <c r="F159" i="2"/>
  <c r="H159" i="2"/>
  <c r="I159" i="2"/>
  <c r="J159" i="2"/>
  <c r="K159" i="2"/>
  <c r="L159" i="2"/>
  <c r="S159" i="2"/>
  <c r="E160" i="2"/>
  <c r="F160" i="2"/>
  <c r="H160" i="2"/>
  <c r="I160" i="2"/>
  <c r="J160" i="2"/>
  <c r="K160" i="2"/>
  <c r="L160" i="2"/>
  <c r="S160" i="2"/>
  <c r="E161" i="2"/>
  <c r="F161" i="2"/>
  <c r="H161" i="2"/>
  <c r="I161" i="2"/>
  <c r="J161" i="2"/>
  <c r="K161" i="2"/>
  <c r="L161" i="2"/>
  <c r="S161" i="2"/>
  <c r="E162" i="2"/>
  <c r="F162" i="2"/>
  <c r="H162" i="2"/>
  <c r="I162" i="2"/>
  <c r="J162" i="2"/>
  <c r="K162" i="2"/>
  <c r="L162" i="2"/>
  <c r="S162" i="2"/>
  <c r="E163" i="2"/>
  <c r="F163" i="2"/>
  <c r="H163" i="2"/>
  <c r="I163" i="2"/>
  <c r="J163" i="2"/>
  <c r="K163" i="2"/>
  <c r="L163" i="2"/>
  <c r="S163" i="2"/>
  <c r="E164" i="2"/>
  <c r="F164" i="2"/>
  <c r="H164" i="2"/>
  <c r="I164" i="2"/>
  <c r="J164" i="2"/>
  <c r="K164" i="2"/>
  <c r="L164" i="2"/>
  <c r="S164" i="2"/>
  <c r="E165" i="2"/>
  <c r="F165" i="2"/>
  <c r="H165" i="2"/>
  <c r="I165" i="2"/>
  <c r="J165" i="2"/>
  <c r="K165" i="2"/>
  <c r="L165" i="2"/>
  <c r="S165" i="2"/>
  <c r="E166" i="2"/>
  <c r="F166" i="2"/>
  <c r="H166" i="2"/>
  <c r="I166" i="2"/>
  <c r="J166" i="2"/>
  <c r="K166" i="2"/>
  <c r="L166" i="2"/>
  <c r="S166" i="2"/>
  <c r="E167" i="2"/>
  <c r="F167" i="2"/>
  <c r="H167" i="2"/>
  <c r="I167" i="2"/>
  <c r="J167" i="2"/>
  <c r="K167" i="2"/>
  <c r="L167" i="2"/>
  <c r="S167" i="2"/>
  <c r="E168" i="2"/>
  <c r="F168" i="2"/>
  <c r="H168" i="2"/>
  <c r="I168" i="2"/>
  <c r="J168" i="2"/>
  <c r="K168" i="2"/>
  <c r="L168" i="2"/>
  <c r="S168" i="2"/>
  <c r="E169" i="2"/>
  <c r="F169" i="2"/>
  <c r="H169" i="2"/>
  <c r="I169" i="2"/>
  <c r="J169" i="2"/>
  <c r="K169" i="2"/>
  <c r="L169" i="2"/>
  <c r="S169" i="2"/>
  <c r="E170" i="2"/>
  <c r="F170" i="2"/>
  <c r="H170" i="2"/>
  <c r="I170" i="2"/>
  <c r="J170" i="2"/>
  <c r="K170" i="2"/>
  <c r="L170" i="2"/>
  <c r="S170" i="2"/>
  <c r="E171" i="2"/>
  <c r="F171" i="2"/>
  <c r="H171" i="2"/>
  <c r="I171" i="2"/>
  <c r="J171" i="2"/>
  <c r="K171" i="2"/>
  <c r="L171" i="2"/>
  <c r="S171" i="2"/>
  <c r="E172" i="2"/>
  <c r="F172" i="2"/>
  <c r="H172" i="2"/>
  <c r="I172" i="2"/>
  <c r="J172" i="2"/>
  <c r="K172" i="2"/>
  <c r="L172" i="2"/>
  <c r="S172" i="2"/>
  <c r="E173" i="2"/>
  <c r="F173" i="2"/>
  <c r="H173" i="2"/>
  <c r="I173" i="2"/>
  <c r="J173" i="2"/>
  <c r="K173" i="2"/>
  <c r="L173" i="2"/>
  <c r="S173" i="2"/>
  <c r="E174" i="2"/>
  <c r="F174" i="2"/>
  <c r="H174" i="2"/>
  <c r="I174" i="2"/>
  <c r="J174" i="2"/>
  <c r="K174" i="2"/>
  <c r="L174" i="2"/>
  <c r="S174" i="2"/>
  <c r="E175" i="2"/>
  <c r="F175" i="2"/>
  <c r="H175" i="2"/>
  <c r="I175" i="2"/>
  <c r="J175" i="2"/>
  <c r="K175" i="2"/>
  <c r="L175" i="2"/>
  <c r="S175" i="2"/>
  <c r="E176" i="2"/>
  <c r="F176" i="2"/>
  <c r="H176" i="2"/>
  <c r="I176" i="2"/>
  <c r="J176" i="2"/>
  <c r="K176" i="2"/>
  <c r="L176" i="2"/>
  <c r="S176" i="2"/>
  <c r="E177" i="2"/>
  <c r="F177" i="2"/>
  <c r="H177" i="2"/>
  <c r="I177" i="2"/>
  <c r="J177" i="2"/>
  <c r="K177" i="2"/>
  <c r="L177" i="2"/>
  <c r="S177" i="2"/>
  <c r="E178" i="2"/>
  <c r="F178" i="2"/>
  <c r="H178" i="2"/>
  <c r="I178" i="2"/>
  <c r="J178" i="2"/>
  <c r="K178" i="2"/>
  <c r="L178" i="2"/>
  <c r="S178" i="2"/>
  <c r="E179" i="2"/>
  <c r="F179" i="2"/>
  <c r="H179" i="2"/>
  <c r="I179" i="2"/>
  <c r="J179" i="2"/>
  <c r="K179" i="2"/>
  <c r="L179" i="2"/>
  <c r="S179" i="2"/>
  <c r="E180" i="2"/>
  <c r="F180" i="2"/>
  <c r="H180" i="2"/>
  <c r="I180" i="2"/>
  <c r="J180" i="2"/>
  <c r="K180" i="2"/>
  <c r="L180" i="2"/>
  <c r="S180" i="2"/>
  <c r="E181" i="2"/>
  <c r="F181" i="2"/>
  <c r="H181" i="2"/>
  <c r="I181" i="2"/>
  <c r="J181" i="2"/>
  <c r="K181" i="2"/>
  <c r="L181" i="2"/>
  <c r="S181" i="2"/>
  <c r="E182" i="2"/>
  <c r="F182" i="2"/>
  <c r="H182" i="2"/>
  <c r="I182" i="2"/>
  <c r="J182" i="2"/>
  <c r="K182" i="2"/>
  <c r="L182" i="2"/>
  <c r="S182" i="2"/>
  <c r="E183" i="2"/>
  <c r="F183" i="2"/>
  <c r="H183" i="2"/>
  <c r="I183" i="2"/>
  <c r="J183" i="2"/>
  <c r="K183" i="2"/>
  <c r="L183" i="2"/>
  <c r="S183" i="2"/>
  <c r="E184" i="2"/>
  <c r="F184" i="2"/>
  <c r="H184" i="2"/>
  <c r="I184" i="2"/>
  <c r="J184" i="2"/>
  <c r="K184" i="2"/>
  <c r="L184" i="2"/>
  <c r="S184" i="2"/>
  <c r="E185" i="2"/>
  <c r="F185" i="2"/>
  <c r="H185" i="2"/>
  <c r="I185" i="2"/>
  <c r="J185" i="2"/>
  <c r="K185" i="2"/>
  <c r="L185" i="2"/>
  <c r="E186" i="2"/>
  <c r="F186" i="2"/>
  <c r="H186" i="2"/>
  <c r="I186" i="2"/>
  <c r="J186" i="2"/>
  <c r="K186" i="2"/>
  <c r="L186" i="2"/>
  <c r="E187" i="2"/>
  <c r="F187" i="2"/>
  <c r="H187" i="2"/>
  <c r="I187" i="2"/>
  <c r="J187" i="2"/>
  <c r="K187" i="2"/>
  <c r="L187" i="2"/>
  <c r="E188" i="2"/>
  <c r="F188" i="2"/>
  <c r="H188" i="2"/>
  <c r="I188" i="2"/>
  <c r="J188" i="2"/>
  <c r="K188" i="2"/>
  <c r="L188" i="2"/>
  <c r="E189" i="2"/>
  <c r="F189" i="2"/>
  <c r="H189" i="2"/>
  <c r="I189" i="2"/>
  <c r="J189" i="2"/>
  <c r="K189" i="2"/>
  <c r="L189" i="2"/>
  <c r="E190" i="2"/>
  <c r="F190" i="2"/>
  <c r="H190" i="2"/>
  <c r="I190" i="2"/>
  <c r="J190" i="2"/>
  <c r="K190" i="2"/>
  <c r="L190" i="2"/>
  <c r="E191" i="2"/>
  <c r="F191" i="2"/>
  <c r="H191" i="2"/>
  <c r="I191" i="2"/>
  <c r="J191" i="2"/>
  <c r="K191" i="2"/>
  <c r="L191" i="2"/>
  <c r="E192" i="2"/>
  <c r="F192" i="2"/>
  <c r="H192" i="2"/>
  <c r="I192" i="2"/>
  <c r="J192" i="2"/>
  <c r="K192" i="2"/>
  <c r="L192" i="2"/>
  <c r="E193" i="2"/>
  <c r="F193" i="2"/>
  <c r="H193" i="2"/>
  <c r="I193" i="2"/>
  <c r="J193" i="2"/>
  <c r="K193" i="2"/>
  <c r="L193" i="2"/>
  <c r="E194" i="2"/>
  <c r="F194" i="2"/>
  <c r="H194" i="2"/>
  <c r="I194" i="2"/>
  <c r="J194" i="2"/>
  <c r="K194" i="2"/>
  <c r="L194" i="2"/>
  <c r="E195" i="2"/>
  <c r="F195" i="2"/>
  <c r="H195" i="2"/>
  <c r="I195" i="2"/>
  <c r="J195" i="2"/>
  <c r="K195" i="2"/>
  <c r="L195" i="2"/>
  <c r="E196" i="2"/>
  <c r="F196" i="2"/>
  <c r="H196" i="2"/>
  <c r="I196" i="2"/>
  <c r="J196" i="2"/>
  <c r="K196" i="2"/>
  <c r="L196" i="2"/>
  <c r="E197" i="2"/>
  <c r="F197" i="2"/>
  <c r="H197" i="2"/>
  <c r="I197" i="2"/>
  <c r="J197" i="2"/>
  <c r="K197" i="2"/>
  <c r="L197" i="2"/>
  <c r="E198" i="2"/>
  <c r="F198" i="2"/>
  <c r="H198" i="2"/>
  <c r="I198" i="2"/>
  <c r="J198" i="2"/>
  <c r="K198" i="2"/>
  <c r="L198" i="2"/>
  <c r="E199" i="2"/>
  <c r="F199" i="2"/>
  <c r="H199" i="2"/>
  <c r="I199" i="2"/>
  <c r="J199" i="2"/>
  <c r="K199" i="2"/>
  <c r="L199" i="2"/>
  <c r="E200" i="2"/>
  <c r="F200" i="2"/>
  <c r="H200" i="2"/>
  <c r="I200" i="2"/>
  <c r="J200" i="2"/>
  <c r="K200" i="2"/>
  <c r="L200" i="2"/>
  <c r="E201" i="2"/>
  <c r="F201" i="2"/>
  <c r="H201" i="2"/>
  <c r="I201" i="2"/>
  <c r="J201" i="2"/>
  <c r="K201" i="2"/>
  <c r="L201" i="2"/>
  <c r="E202" i="2"/>
  <c r="F202" i="2"/>
  <c r="H202" i="2"/>
  <c r="I202" i="2"/>
  <c r="J202" i="2"/>
  <c r="K202" i="2"/>
  <c r="L202" i="2"/>
  <c r="E203" i="2"/>
  <c r="F203" i="2"/>
  <c r="H203" i="2"/>
  <c r="I203" i="2"/>
  <c r="J203" i="2"/>
  <c r="K203" i="2"/>
  <c r="L203" i="2"/>
  <c r="E204" i="2"/>
  <c r="F204" i="2"/>
  <c r="H204" i="2"/>
  <c r="I204" i="2"/>
  <c r="J204" i="2"/>
  <c r="K204" i="2"/>
  <c r="L204" i="2"/>
  <c r="E205" i="2"/>
  <c r="F205" i="2"/>
  <c r="H205" i="2"/>
  <c r="I205" i="2"/>
  <c r="J205" i="2"/>
  <c r="K205" i="2"/>
  <c r="L205" i="2"/>
  <c r="E206" i="2"/>
  <c r="F206" i="2"/>
  <c r="H206" i="2"/>
  <c r="I206" i="2"/>
  <c r="J206" i="2"/>
  <c r="K206" i="2"/>
  <c r="L206" i="2"/>
  <c r="E207" i="2"/>
  <c r="F207" i="2"/>
  <c r="H207" i="2"/>
  <c r="I207" i="2"/>
  <c r="J207" i="2"/>
  <c r="K207" i="2"/>
  <c r="L207" i="2"/>
  <c r="E208" i="2"/>
  <c r="F208" i="2"/>
  <c r="H208" i="2"/>
  <c r="I208" i="2"/>
  <c r="J208" i="2"/>
  <c r="K208" i="2"/>
  <c r="L208" i="2"/>
  <c r="E209" i="2"/>
  <c r="F209" i="2"/>
  <c r="H209" i="2"/>
  <c r="I209" i="2"/>
  <c r="J209" i="2"/>
  <c r="K209" i="2"/>
  <c r="L209" i="2"/>
  <c r="E210" i="2"/>
  <c r="F210" i="2"/>
  <c r="H210" i="2"/>
  <c r="I210" i="2"/>
  <c r="J210" i="2"/>
  <c r="K210" i="2"/>
  <c r="L210" i="2"/>
  <c r="E211" i="2"/>
  <c r="F211" i="2"/>
  <c r="H211" i="2"/>
  <c r="I211" i="2"/>
  <c r="J211" i="2"/>
  <c r="K211" i="2"/>
  <c r="L211" i="2"/>
  <c r="E212" i="2"/>
  <c r="F212" i="2"/>
  <c r="H212" i="2"/>
  <c r="I212" i="2"/>
  <c r="J212" i="2"/>
  <c r="K212" i="2"/>
  <c r="L212" i="2"/>
  <c r="E213" i="2"/>
  <c r="F213" i="2"/>
  <c r="H213" i="2"/>
  <c r="I213" i="2"/>
  <c r="J213" i="2"/>
  <c r="K213" i="2"/>
  <c r="L213" i="2"/>
  <c r="E214" i="2"/>
  <c r="F214" i="2"/>
  <c r="H214" i="2"/>
  <c r="I214" i="2"/>
  <c r="J214" i="2"/>
  <c r="K214" i="2"/>
  <c r="L214" i="2"/>
  <c r="E215" i="2"/>
  <c r="F215" i="2"/>
  <c r="H215" i="2"/>
  <c r="I215" i="2"/>
  <c r="J215" i="2"/>
  <c r="K215" i="2"/>
  <c r="L215" i="2"/>
  <c r="E216" i="2"/>
  <c r="F216" i="2"/>
  <c r="H216" i="2"/>
  <c r="I216" i="2"/>
  <c r="J216" i="2"/>
  <c r="K216" i="2"/>
  <c r="L216" i="2"/>
  <c r="E217" i="2"/>
  <c r="F217" i="2"/>
  <c r="H217" i="2"/>
  <c r="I217" i="2"/>
  <c r="J217" i="2"/>
  <c r="K217" i="2"/>
  <c r="L217" i="2"/>
  <c r="E218" i="2"/>
  <c r="F218" i="2"/>
  <c r="H218" i="2"/>
  <c r="I218" i="2"/>
  <c r="J218" i="2"/>
  <c r="K218" i="2"/>
  <c r="L218" i="2"/>
  <c r="E219" i="2"/>
  <c r="F219" i="2"/>
  <c r="H219" i="2"/>
  <c r="I219" i="2"/>
  <c r="J219" i="2"/>
  <c r="K219" i="2"/>
  <c r="L219" i="2"/>
  <c r="E220" i="2"/>
  <c r="F220" i="2"/>
  <c r="H220" i="2"/>
  <c r="I220" i="2"/>
  <c r="J220" i="2"/>
  <c r="K220" i="2"/>
  <c r="L220" i="2"/>
  <c r="E221" i="2"/>
  <c r="F221" i="2"/>
  <c r="H221" i="2"/>
  <c r="I221" i="2"/>
  <c r="J221" i="2"/>
  <c r="K221" i="2"/>
  <c r="L221" i="2"/>
  <c r="E222" i="2"/>
  <c r="F222" i="2"/>
  <c r="H222" i="2"/>
  <c r="I222" i="2"/>
  <c r="J222" i="2"/>
  <c r="K222" i="2"/>
  <c r="L222" i="2"/>
  <c r="E223" i="2"/>
  <c r="F223" i="2"/>
  <c r="H223" i="2"/>
  <c r="I223" i="2"/>
  <c r="J223" i="2"/>
  <c r="K223" i="2"/>
  <c r="L223" i="2"/>
  <c r="E224" i="2"/>
  <c r="F224" i="2"/>
  <c r="H224" i="2"/>
  <c r="I224" i="2"/>
  <c r="J224" i="2"/>
  <c r="K224" i="2"/>
  <c r="L224" i="2"/>
  <c r="E225" i="2"/>
  <c r="F225" i="2"/>
  <c r="H225" i="2"/>
  <c r="I225" i="2"/>
  <c r="J225" i="2"/>
  <c r="K225" i="2"/>
  <c r="L225" i="2"/>
  <c r="E226" i="2"/>
  <c r="F226" i="2"/>
  <c r="H226" i="2"/>
  <c r="I226" i="2"/>
  <c r="J226" i="2"/>
  <c r="K226" i="2"/>
  <c r="L226" i="2"/>
  <c r="E227" i="2"/>
  <c r="F227" i="2"/>
  <c r="H227" i="2"/>
  <c r="I227" i="2"/>
  <c r="J227" i="2"/>
  <c r="K227" i="2"/>
  <c r="L227" i="2"/>
  <c r="E228" i="2"/>
  <c r="F228" i="2"/>
  <c r="H228" i="2"/>
  <c r="I228" i="2"/>
  <c r="J228" i="2"/>
  <c r="K228" i="2"/>
  <c r="L228" i="2"/>
  <c r="E229" i="2"/>
  <c r="F229" i="2"/>
  <c r="H229" i="2"/>
  <c r="I229" i="2"/>
  <c r="J229" i="2"/>
  <c r="K229" i="2"/>
  <c r="L229" i="2"/>
  <c r="E230" i="2"/>
  <c r="F230" i="2"/>
  <c r="H230" i="2"/>
  <c r="I230" i="2"/>
  <c r="J230" i="2"/>
  <c r="K230" i="2"/>
  <c r="L230" i="2"/>
  <c r="E231" i="2"/>
  <c r="F231" i="2"/>
  <c r="H231" i="2"/>
  <c r="I231" i="2"/>
  <c r="J231" i="2"/>
  <c r="K231" i="2"/>
  <c r="L231" i="2"/>
  <c r="E232" i="2"/>
  <c r="F232" i="2"/>
  <c r="H232" i="2"/>
  <c r="I232" i="2"/>
  <c r="J232" i="2"/>
  <c r="K232" i="2"/>
  <c r="L232" i="2"/>
  <c r="E233" i="2"/>
  <c r="F233" i="2"/>
  <c r="H233" i="2"/>
  <c r="I233" i="2"/>
  <c r="J233" i="2"/>
  <c r="K233" i="2"/>
  <c r="L233" i="2"/>
  <c r="E234" i="2"/>
  <c r="F234" i="2"/>
  <c r="H234" i="2"/>
  <c r="I234" i="2"/>
  <c r="J234" i="2"/>
  <c r="K234" i="2"/>
  <c r="L234" i="2"/>
  <c r="E235" i="2"/>
  <c r="F235" i="2"/>
  <c r="H235" i="2"/>
  <c r="I235" i="2"/>
  <c r="J235" i="2"/>
  <c r="K235" i="2"/>
  <c r="L235" i="2"/>
  <c r="E236" i="2"/>
  <c r="F236" i="2"/>
  <c r="H236" i="2"/>
  <c r="I236" i="2"/>
  <c r="J236" i="2"/>
  <c r="K236" i="2"/>
  <c r="L236" i="2"/>
  <c r="E237" i="2"/>
  <c r="F237" i="2"/>
  <c r="H237" i="2"/>
  <c r="I237" i="2"/>
  <c r="J237" i="2"/>
  <c r="K237" i="2"/>
  <c r="L237" i="2"/>
  <c r="E238" i="2"/>
  <c r="F238" i="2"/>
  <c r="H238" i="2"/>
  <c r="I238" i="2"/>
  <c r="J238" i="2"/>
  <c r="K238" i="2"/>
  <c r="L238" i="2"/>
  <c r="E239" i="2"/>
  <c r="F239" i="2"/>
  <c r="H239" i="2"/>
  <c r="I239" i="2"/>
  <c r="J239" i="2"/>
  <c r="K239" i="2"/>
  <c r="L239" i="2"/>
  <c r="E240" i="2"/>
  <c r="F240" i="2"/>
  <c r="H240" i="2"/>
  <c r="I240" i="2"/>
  <c r="J240" i="2"/>
  <c r="K240" i="2"/>
  <c r="L240" i="2"/>
  <c r="E241" i="2"/>
  <c r="F241" i="2"/>
  <c r="H241" i="2"/>
  <c r="I241" i="2"/>
  <c r="J241" i="2"/>
  <c r="K241" i="2"/>
  <c r="L241" i="2"/>
  <c r="E242" i="2"/>
  <c r="F242" i="2"/>
  <c r="H242" i="2"/>
  <c r="I242" i="2"/>
  <c r="J242" i="2"/>
  <c r="K242" i="2"/>
  <c r="L242" i="2"/>
  <c r="E243" i="2"/>
  <c r="F243" i="2"/>
  <c r="H243" i="2"/>
  <c r="I243" i="2"/>
  <c r="J243" i="2"/>
  <c r="K243" i="2"/>
  <c r="L243" i="2"/>
  <c r="E244" i="2"/>
  <c r="F244" i="2"/>
  <c r="H244" i="2"/>
  <c r="I244" i="2"/>
  <c r="J244" i="2"/>
  <c r="K244" i="2"/>
  <c r="L244" i="2"/>
  <c r="E245" i="2"/>
  <c r="F245" i="2"/>
  <c r="H245" i="2"/>
  <c r="I245" i="2"/>
  <c r="J245" i="2"/>
  <c r="K245" i="2"/>
  <c r="L245" i="2"/>
  <c r="E246" i="2"/>
  <c r="F246" i="2"/>
  <c r="H246" i="2"/>
  <c r="I246" i="2"/>
  <c r="J246" i="2"/>
  <c r="K246" i="2"/>
  <c r="L246" i="2"/>
  <c r="E247" i="2"/>
  <c r="F247" i="2"/>
  <c r="H247" i="2"/>
  <c r="I247" i="2"/>
  <c r="J247" i="2"/>
  <c r="K247" i="2"/>
  <c r="L247" i="2"/>
  <c r="E248" i="2"/>
  <c r="F248" i="2"/>
  <c r="H248" i="2"/>
  <c r="I248" i="2"/>
  <c r="J248" i="2"/>
  <c r="K248" i="2"/>
  <c r="L248" i="2"/>
  <c r="E249" i="2"/>
  <c r="F249" i="2"/>
  <c r="H249" i="2"/>
  <c r="I249" i="2"/>
  <c r="J249" i="2"/>
  <c r="K249" i="2"/>
  <c r="L249" i="2"/>
  <c r="E250" i="2"/>
  <c r="F250" i="2"/>
  <c r="H250" i="2"/>
  <c r="I250" i="2"/>
  <c r="J250" i="2"/>
  <c r="K250" i="2"/>
  <c r="L250" i="2"/>
  <c r="E251" i="2"/>
  <c r="F251" i="2"/>
  <c r="H251" i="2"/>
  <c r="I251" i="2"/>
  <c r="J251" i="2"/>
  <c r="K251" i="2"/>
  <c r="L251" i="2"/>
  <c r="E252" i="2"/>
  <c r="F252" i="2"/>
  <c r="H252" i="2"/>
  <c r="I252" i="2"/>
  <c r="J252" i="2"/>
  <c r="K252" i="2"/>
  <c r="L252" i="2"/>
  <c r="E253" i="2"/>
  <c r="F253" i="2"/>
  <c r="H253" i="2"/>
  <c r="I253" i="2"/>
  <c r="J253" i="2"/>
  <c r="K253" i="2"/>
  <c r="L253" i="2"/>
  <c r="E254" i="2"/>
  <c r="F254" i="2"/>
  <c r="H254" i="2"/>
  <c r="I254" i="2"/>
  <c r="J254" i="2"/>
  <c r="K254" i="2"/>
  <c r="L254" i="2"/>
  <c r="E255" i="2"/>
  <c r="F255" i="2"/>
  <c r="H255" i="2"/>
  <c r="I255" i="2"/>
  <c r="J255" i="2"/>
  <c r="K255" i="2"/>
  <c r="L255" i="2"/>
  <c r="E256" i="2"/>
  <c r="F256" i="2"/>
  <c r="H256" i="2"/>
  <c r="I256" i="2"/>
  <c r="J256" i="2"/>
  <c r="K256" i="2"/>
  <c r="L256" i="2"/>
  <c r="BR5" i="19"/>
  <c r="Z10" i="19"/>
  <c r="AL10" i="19"/>
  <c r="BJ10" i="19"/>
  <c r="C11" i="19"/>
  <c r="I11" i="19"/>
  <c r="K11" i="19"/>
  <c r="P11" i="19"/>
  <c r="Q11" i="19"/>
  <c r="R11" i="19"/>
  <c r="S11" i="19"/>
  <c r="V11" i="19"/>
  <c r="Y11" i="19"/>
  <c r="Z11" i="19"/>
  <c r="AA11" i="19"/>
  <c r="AB11" i="19"/>
  <c r="AD11" i="19"/>
  <c r="AE11" i="19"/>
  <c r="AI11" i="19"/>
  <c r="AK11" i="19"/>
  <c r="AL11" i="19"/>
  <c r="AM11" i="19"/>
  <c r="AN11" i="19"/>
  <c r="AQ11" i="19"/>
  <c r="AR11" i="19"/>
  <c r="AS11" i="19"/>
  <c r="AU11" i="19"/>
  <c r="AV11" i="19"/>
  <c r="AW11" i="19"/>
  <c r="AX11" i="19"/>
  <c r="AY11" i="19"/>
  <c r="AZ11" i="19"/>
  <c r="BB11" i="19"/>
  <c r="BC11" i="19"/>
  <c r="BD11" i="19"/>
  <c r="BF11" i="19"/>
  <c r="BG11" i="19"/>
  <c r="BH11" i="19"/>
  <c r="BI11" i="19"/>
  <c r="BJ11" i="19"/>
  <c r="BL11" i="19"/>
  <c r="BM11" i="19"/>
  <c r="BO11" i="19"/>
  <c r="BP11" i="19"/>
  <c r="BR11" i="19"/>
  <c r="BS11" i="19"/>
  <c r="BT11" i="19"/>
  <c r="BU11" i="19"/>
  <c r="BW11" i="19"/>
  <c r="BX11" i="19"/>
  <c r="BY11" i="19"/>
  <c r="CA11" i="19"/>
  <c r="CB11" i="19"/>
  <c r="CC11" i="19"/>
  <c r="CD11" i="19"/>
  <c r="CE11" i="19"/>
  <c r="CF11" i="19"/>
  <c r="CH11" i="19"/>
  <c r="CI11" i="19"/>
  <c r="CJ11" i="19"/>
  <c r="CL11" i="19"/>
  <c r="CM11" i="19"/>
  <c r="CN11" i="19"/>
  <c r="CO11" i="19"/>
  <c r="CP11" i="19"/>
  <c r="CR11" i="19"/>
  <c r="CS11" i="19"/>
  <c r="CT11" i="19"/>
  <c r="CU11" i="19"/>
  <c r="CV11" i="19"/>
  <c r="CW11" i="19"/>
  <c r="CX11" i="19"/>
  <c r="CY11" i="19"/>
  <c r="CZ11" i="19"/>
  <c r="C12" i="19"/>
  <c r="I12" i="19"/>
  <c r="K12" i="19"/>
  <c r="P12" i="19"/>
  <c r="Q12" i="19"/>
  <c r="R12" i="19"/>
  <c r="S12" i="19"/>
  <c r="V12" i="19"/>
  <c r="Y12" i="19"/>
  <c r="Z12" i="19"/>
  <c r="AA12" i="19"/>
  <c r="AB12" i="19"/>
  <c r="AD12" i="19"/>
  <c r="AE12" i="19"/>
  <c r="AI12" i="19"/>
  <c r="AK12" i="19"/>
  <c r="AL12" i="19"/>
  <c r="AM12" i="19"/>
  <c r="AN12" i="19"/>
  <c r="AQ12" i="19"/>
  <c r="AR12" i="19"/>
  <c r="AS12" i="19"/>
  <c r="AU12" i="19"/>
  <c r="AV12" i="19"/>
  <c r="AW12" i="19"/>
  <c r="AX12" i="19"/>
  <c r="AY12" i="19"/>
  <c r="AZ12" i="19"/>
  <c r="BB12" i="19"/>
  <c r="BC12" i="19"/>
  <c r="BD12" i="19"/>
  <c r="BF12" i="19"/>
  <c r="BG12" i="19"/>
  <c r="BH12" i="19"/>
  <c r="BI12" i="19"/>
  <c r="BJ12" i="19"/>
  <c r="BL12" i="19"/>
  <c r="BM12" i="19"/>
  <c r="BO12" i="19"/>
  <c r="BP12" i="19"/>
  <c r="BR12" i="19"/>
  <c r="BS12" i="19"/>
  <c r="BT12" i="19"/>
  <c r="BU12" i="19"/>
  <c r="BW12" i="19"/>
  <c r="BX12" i="19"/>
  <c r="BY12" i="19"/>
  <c r="CA12" i="19"/>
  <c r="CB12" i="19"/>
  <c r="CC12" i="19"/>
  <c r="CD12" i="19"/>
  <c r="CE12" i="19"/>
  <c r="CF12" i="19"/>
  <c r="CH12" i="19"/>
  <c r="CI12" i="19"/>
  <c r="CJ12" i="19"/>
  <c r="CL12" i="19"/>
  <c r="CM12" i="19"/>
  <c r="CN12" i="19"/>
  <c r="CO12" i="19"/>
  <c r="CP12" i="19"/>
  <c r="CR12" i="19"/>
  <c r="CS12" i="19"/>
  <c r="CT12" i="19"/>
  <c r="CU12" i="19"/>
  <c r="CV12" i="19"/>
  <c r="CW12" i="19"/>
  <c r="CX12" i="19"/>
  <c r="CY12" i="19"/>
  <c r="CZ12" i="19"/>
  <c r="C13" i="19"/>
  <c r="I13" i="19"/>
  <c r="K13" i="19"/>
  <c r="P13" i="19"/>
  <c r="Q13" i="19"/>
  <c r="R13" i="19"/>
  <c r="S13" i="19"/>
  <c r="V13" i="19"/>
  <c r="Y13" i="19"/>
  <c r="Z13" i="19"/>
  <c r="AA13" i="19"/>
  <c r="AB13" i="19"/>
  <c r="AD13" i="19"/>
  <c r="AE13" i="19"/>
  <c r="AI13" i="19"/>
  <c r="AK13" i="19"/>
  <c r="AL13" i="19"/>
  <c r="AM13" i="19"/>
  <c r="AN13" i="19"/>
  <c r="AQ13" i="19"/>
  <c r="AR13" i="19"/>
  <c r="AS13" i="19"/>
  <c r="AU13" i="19"/>
  <c r="AV13" i="19"/>
  <c r="AW13" i="19"/>
  <c r="AX13" i="19"/>
  <c r="AY13" i="19"/>
  <c r="AZ13" i="19"/>
  <c r="BB13" i="19"/>
  <c r="BC13" i="19"/>
  <c r="BD13" i="19"/>
  <c r="BF13" i="19"/>
  <c r="BG13" i="19"/>
  <c r="BH13" i="19"/>
  <c r="BI13" i="19"/>
  <c r="BJ13" i="19"/>
  <c r="BL13" i="19"/>
  <c r="BM13" i="19"/>
  <c r="BO13" i="19"/>
  <c r="BP13" i="19"/>
  <c r="BR13" i="19"/>
  <c r="BS13" i="19"/>
  <c r="BT13" i="19"/>
  <c r="BU13" i="19"/>
  <c r="BW13" i="19"/>
  <c r="BX13" i="19"/>
  <c r="BY13" i="19"/>
  <c r="CA13" i="19"/>
  <c r="CB13" i="19"/>
  <c r="CC13" i="19"/>
  <c r="CD13" i="19"/>
  <c r="CE13" i="19"/>
  <c r="CF13" i="19"/>
  <c r="CH13" i="19"/>
  <c r="CI13" i="19"/>
  <c r="CJ13" i="19"/>
  <c r="CL13" i="19"/>
  <c r="CM13" i="19"/>
  <c r="CN13" i="19"/>
  <c r="CO13" i="19"/>
  <c r="CP13" i="19"/>
  <c r="CR13" i="19"/>
  <c r="CS13" i="19"/>
  <c r="CT13" i="19"/>
  <c r="CU13" i="19"/>
  <c r="CV13" i="19"/>
  <c r="CW13" i="19"/>
  <c r="CX13" i="19"/>
  <c r="CY13" i="19"/>
  <c r="CZ13" i="19"/>
  <c r="C14" i="19"/>
  <c r="I14" i="19"/>
  <c r="K14" i="19"/>
  <c r="P14" i="19"/>
  <c r="Q14" i="19"/>
  <c r="R14" i="19"/>
  <c r="S14" i="19"/>
  <c r="V14" i="19"/>
  <c r="Y14" i="19"/>
  <c r="Z14" i="19"/>
  <c r="AA14" i="19"/>
  <c r="AB14" i="19"/>
  <c r="AD14" i="19"/>
  <c r="AE14" i="19"/>
  <c r="AI14" i="19"/>
  <c r="AK14" i="19"/>
  <c r="AL14" i="19"/>
  <c r="AM14" i="19"/>
  <c r="AN14" i="19"/>
  <c r="AQ14" i="19"/>
  <c r="AR14" i="19"/>
  <c r="AS14" i="19"/>
  <c r="AU14" i="19"/>
  <c r="AV14" i="19"/>
  <c r="AW14" i="19"/>
  <c r="AX14" i="19"/>
  <c r="AY14" i="19"/>
  <c r="AZ14" i="19"/>
  <c r="BB14" i="19"/>
  <c r="BC14" i="19"/>
  <c r="BD14" i="19"/>
  <c r="BF14" i="19"/>
  <c r="BG14" i="19"/>
  <c r="BH14" i="19"/>
  <c r="BI14" i="19"/>
  <c r="BJ14" i="19"/>
  <c r="BL14" i="19"/>
  <c r="BM14" i="19"/>
  <c r="BO14" i="19"/>
  <c r="BP14" i="19"/>
  <c r="BR14" i="19"/>
  <c r="BS14" i="19"/>
  <c r="BT14" i="19"/>
  <c r="BU14" i="19"/>
  <c r="BW14" i="19"/>
  <c r="BX14" i="19"/>
  <c r="BY14" i="19"/>
  <c r="CA14" i="19"/>
  <c r="CB14" i="19"/>
  <c r="CC14" i="19"/>
  <c r="CD14" i="19"/>
  <c r="CE14" i="19"/>
  <c r="CF14" i="19"/>
  <c r="CH14" i="19"/>
  <c r="CI14" i="19"/>
  <c r="CJ14" i="19"/>
  <c r="CL14" i="19"/>
  <c r="CM14" i="19"/>
  <c r="CN14" i="19"/>
  <c r="CO14" i="19"/>
  <c r="CP14" i="19"/>
  <c r="CR14" i="19"/>
  <c r="CS14" i="19"/>
  <c r="CT14" i="19"/>
  <c r="CU14" i="19"/>
  <c r="CV14" i="19"/>
  <c r="CW14" i="19"/>
  <c r="CX14" i="19"/>
  <c r="CY14" i="19"/>
  <c r="CZ14" i="19"/>
  <c r="C15" i="19"/>
  <c r="I15" i="19"/>
  <c r="K15" i="19"/>
  <c r="P15" i="19"/>
  <c r="Q15" i="19"/>
  <c r="R15" i="19"/>
  <c r="S15" i="19"/>
  <c r="V15" i="19"/>
  <c r="Y15" i="19"/>
  <c r="Z15" i="19"/>
  <c r="AA15" i="19"/>
  <c r="AB15" i="19"/>
  <c r="AD15" i="19"/>
  <c r="AE15" i="19"/>
  <c r="AI15" i="19"/>
  <c r="AK15" i="19"/>
  <c r="AL15" i="19"/>
  <c r="AM15" i="19"/>
  <c r="AN15" i="19"/>
  <c r="AQ15" i="19"/>
  <c r="AR15" i="19"/>
  <c r="AS15" i="19"/>
  <c r="AU15" i="19"/>
  <c r="AV15" i="19"/>
  <c r="AW15" i="19"/>
  <c r="AX15" i="19"/>
  <c r="AY15" i="19"/>
  <c r="AZ15" i="19"/>
  <c r="BB15" i="19"/>
  <c r="BC15" i="19"/>
  <c r="BD15" i="19"/>
  <c r="BF15" i="19"/>
  <c r="BG15" i="19"/>
  <c r="BH15" i="19"/>
  <c r="BI15" i="19"/>
  <c r="BJ15" i="19"/>
  <c r="BL15" i="19"/>
  <c r="BM15" i="19"/>
  <c r="BO15" i="19"/>
  <c r="BP15" i="19"/>
  <c r="BR15" i="19"/>
  <c r="BS15" i="19"/>
  <c r="BT15" i="19"/>
  <c r="BU15" i="19"/>
  <c r="BW15" i="19"/>
  <c r="BX15" i="19"/>
  <c r="BY15" i="19"/>
  <c r="CA15" i="19"/>
  <c r="CB15" i="19"/>
  <c r="CC15" i="19"/>
  <c r="CD15" i="19"/>
  <c r="CE15" i="19"/>
  <c r="CF15" i="19"/>
  <c r="CH15" i="19"/>
  <c r="CI15" i="19"/>
  <c r="CJ15" i="19"/>
  <c r="CL15" i="19"/>
  <c r="CM15" i="19"/>
  <c r="CN15" i="19"/>
  <c r="CO15" i="19"/>
  <c r="CP15" i="19"/>
  <c r="CR15" i="19"/>
  <c r="CS15" i="19"/>
  <c r="CT15" i="19"/>
  <c r="CU15" i="19"/>
  <c r="CV15" i="19"/>
  <c r="CW15" i="19"/>
  <c r="CX15" i="19"/>
  <c r="CY15" i="19"/>
  <c r="CZ15" i="19"/>
  <c r="C16" i="19"/>
  <c r="I16" i="19"/>
  <c r="K16" i="19"/>
  <c r="P16" i="19"/>
  <c r="Q16" i="19"/>
  <c r="R16" i="19"/>
  <c r="S16" i="19"/>
  <c r="V16" i="19"/>
  <c r="Y16" i="19"/>
  <c r="Z16" i="19"/>
  <c r="AA16" i="19"/>
  <c r="AB16" i="19"/>
  <c r="AD16" i="19"/>
  <c r="AE16" i="19"/>
  <c r="AI16" i="19"/>
  <c r="AK16" i="19"/>
  <c r="AL16" i="19"/>
  <c r="AM16" i="19"/>
  <c r="AN16" i="19"/>
  <c r="AQ16" i="19"/>
  <c r="AR16" i="19"/>
  <c r="AS16" i="19"/>
  <c r="AU16" i="19"/>
  <c r="AV16" i="19"/>
  <c r="AW16" i="19"/>
  <c r="AX16" i="19"/>
  <c r="AY16" i="19"/>
  <c r="AZ16" i="19"/>
  <c r="BB16" i="19"/>
  <c r="BC16" i="19"/>
  <c r="BD16" i="19"/>
  <c r="BF16" i="19"/>
  <c r="BG16" i="19"/>
  <c r="BH16" i="19"/>
  <c r="BI16" i="19"/>
  <c r="BJ16" i="19"/>
  <c r="BL16" i="19"/>
  <c r="BM16" i="19"/>
  <c r="BO16" i="19"/>
  <c r="BP16" i="19"/>
  <c r="BR16" i="19"/>
  <c r="BS16" i="19"/>
  <c r="BT16" i="19"/>
  <c r="BU16" i="19"/>
  <c r="BW16" i="19"/>
  <c r="BX16" i="19"/>
  <c r="BY16" i="19"/>
  <c r="CA16" i="19"/>
  <c r="CB16" i="19"/>
  <c r="CC16" i="19"/>
  <c r="CD16" i="19"/>
  <c r="CE16" i="19"/>
  <c r="CF16" i="19"/>
  <c r="CH16" i="19"/>
  <c r="CI16" i="19"/>
  <c r="CJ16" i="19"/>
  <c r="CL16" i="19"/>
  <c r="CM16" i="19"/>
  <c r="CN16" i="19"/>
  <c r="CO16" i="19"/>
  <c r="CP16" i="19"/>
  <c r="CR16" i="19"/>
  <c r="CS16" i="19"/>
  <c r="CT16" i="19"/>
  <c r="CU16" i="19"/>
  <c r="CV16" i="19"/>
  <c r="CW16" i="19"/>
  <c r="CX16" i="19"/>
  <c r="CY16" i="19"/>
  <c r="CZ16" i="19"/>
  <c r="C17" i="19"/>
  <c r="D17" i="19"/>
  <c r="I17" i="19"/>
  <c r="K17" i="19"/>
  <c r="P17" i="19"/>
  <c r="Q17" i="19"/>
  <c r="R17" i="19"/>
  <c r="S17" i="19"/>
  <c r="V17" i="19"/>
  <c r="Y17" i="19"/>
  <c r="Z17" i="19"/>
  <c r="AA17" i="19"/>
  <c r="AB17" i="19"/>
  <c r="AD17" i="19"/>
  <c r="AE17" i="19"/>
  <c r="AI17" i="19"/>
  <c r="AK17" i="19"/>
  <c r="AL17" i="19"/>
  <c r="AM17" i="19"/>
  <c r="AN17" i="19"/>
  <c r="AQ17" i="19"/>
  <c r="AR17" i="19"/>
  <c r="AS17" i="19"/>
  <c r="AU17" i="19"/>
  <c r="AV17" i="19"/>
  <c r="AW17" i="19"/>
  <c r="AX17" i="19"/>
  <c r="AY17" i="19"/>
  <c r="AZ17" i="19"/>
  <c r="BB17" i="19"/>
  <c r="BC17" i="19"/>
  <c r="BD17" i="19"/>
  <c r="BF17" i="19"/>
  <c r="BG17" i="19"/>
  <c r="BH17" i="19"/>
  <c r="BI17" i="19"/>
  <c r="BJ17" i="19"/>
  <c r="BL17" i="19"/>
  <c r="BM17" i="19"/>
  <c r="BO17" i="19"/>
  <c r="BP17" i="19"/>
  <c r="BR17" i="19"/>
  <c r="BS17" i="19"/>
  <c r="BT17" i="19"/>
  <c r="BU17" i="19"/>
  <c r="BW17" i="19"/>
  <c r="BX17" i="19"/>
  <c r="BY17" i="19"/>
  <c r="CA17" i="19"/>
  <c r="CB17" i="19"/>
  <c r="CC17" i="19"/>
  <c r="CD17" i="19"/>
  <c r="CE17" i="19"/>
  <c r="CF17" i="19"/>
  <c r="CH17" i="19"/>
  <c r="CI17" i="19"/>
  <c r="CJ17" i="19"/>
  <c r="CL17" i="19"/>
  <c r="CM17" i="19"/>
  <c r="CN17" i="19"/>
  <c r="CO17" i="19"/>
  <c r="CP17" i="19"/>
  <c r="CR17" i="19"/>
  <c r="CS17" i="19"/>
  <c r="CT17" i="19"/>
  <c r="CU17" i="19"/>
  <c r="CV17" i="19"/>
  <c r="CW17" i="19"/>
  <c r="CX17" i="19"/>
  <c r="CY17" i="19"/>
  <c r="CZ17" i="19"/>
  <c r="C18" i="19"/>
  <c r="D18" i="19"/>
  <c r="I18" i="19"/>
  <c r="K18" i="19"/>
  <c r="P18" i="19"/>
  <c r="Q18" i="19"/>
  <c r="R18" i="19"/>
  <c r="S18" i="19"/>
  <c r="V18" i="19"/>
  <c r="Y18" i="19"/>
  <c r="Z18" i="19"/>
  <c r="AA18" i="19"/>
  <c r="AB18" i="19"/>
  <c r="AD18" i="19"/>
  <c r="AE18" i="19"/>
  <c r="AI18" i="19"/>
  <c r="AK18" i="19"/>
  <c r="AL18" i="19"/>
  <c r="AM18" i="19"/>
  <c r="AN18" i="19"/>
  <c r="AQ18" i="19"/>
  <c r="AR18" i="19"/>
  <c r="AS18" i="19"/>
  <c r="AU18" i="19"/>
  <c r="AV18" i="19"/>
  <c r="AW18" i="19"/>
  <c r="AX18" i="19"/>
  <c r="AY18" i="19"/>
  <c r="AZ18" i="19"/>
  <c r="BB18" i="19"/>
  <c r="BC18" i="19"/>
  <c r="BD18" i="19"/>
  <c r="BF18" i="19"/>
  <c r="BG18" i="19"/>
  <c r="BH18" i="19"/>
  <c r="BI18" i="19"/>
  <c r="BJ18" i="19"/>
  <c r="BL18" i="19"/>
  <c r="BM18" i="19"/>
  <c r="BO18" i="19"/>
  <c r="BP18" i="19"/>
  <c r="BR18" i="19"/>
  <c r="BS18" i="19"/>
  <c r="BT18" i="19"/>
  <c r="BU18" i="19"/>
  <c r="BW18" i="19"/>
  <c r="BX18" i="19"/>
  <c r="BY18" i="19"/>
  <c r="CA18" i="19"/>
  <c r="CB18" i="19"/>
  <c r="CC18" i="19"/>
  <c r="CD18" i="19"/>
  <c r="CE18" i="19"/>
  <c r="CF18" i="19"/>
  <c r="CH18" i="19"/>
  <c r="CI18" i="19"/>
  <c r="CJ18" i="19"/>
  <c r="CL18" i="19"/>
  <c r="CM18" i="19"/>
  <c r="CN18" i="19"/>
  <c r="CO18" i="19"/>
  <c r="CP18" i="19"/>
  <c r="CR18" i="19"/>
  <c r="CS18" i="19"/>
  <c r="CT18" i="19"/>
  <c r="CU18" i="19"/>
  <c r="CV18" i="19"/>
  <c r="CW18" i="19"/>
  <c r="CX18" i="19"/>
  <c r="CY18" i="19"/>
  <c r="CZ18" i="19"/>
  <c r="C19" i="19"/>
  <c r="D19" i="19"/>
  <c r="I19" i="19"/>
  <c r="K19" i="19"/>
  <c r="P19" i="19"/>
  <c r="Q19" i="19"/>
  <c r="R19" i="19"/>
  <c r="S19" i="19"/>
  <c r="V19" i="19"/>
  <c r="Y19" i="19"/>
  <c r="Z19" i="19"/>
  <c r="AA19" i="19"/>
  <c r="AB19" i="19"/>
  <c r="AD19" i="19"/>
  <c r="AE19" i="19"/>
  <c r="AI19" i="19"/>
  <c r="AK19" i="19"/>
  <c r="AL19" i="19"/>
  <c r="AM19" i="19"/>
  <c r="AN19" i="19"/>
  <c r="AQ19" i="19"/>
  <c r="AR19" i="19"/>
  <c r="AS19" i="19"/>
  <c r="AU19" i="19"/>
  <c r="AV19" i="19"/>
  <c r="AW19" i="19"/>
  <c r="AX19" i="19"/>
  <c r="AY19" i="19"/>
  <c r="AZ19" i="19"/>
  <c r="BB19" i="19"/>
  <c r="BC19" i="19"/>
  <c r="BD19" i="19"/>
  <c r="BF19" i="19"/>
  <c r="BG19" i="19"/>
  <c r="BH19" i="19"/>
  <c r="BI19" i="19"/>
  <c r="BJ19" i="19"/>
  <c r="BL19" i="19"/>
  <c r="BM19" i="19"/>
  <c r="BO19" i="19"/>
  <c r="BP19" i="19"/>
  <c r="BR19" i="19"/>
  <c r="BS19" i="19"/>
  <c r="BT19" i="19"/>
  <c r="BU19" i="19"/>
  <c r="BW19" i="19"/>
  <c r="BX19" i="19"/>
  <c r="BY19" i="19"/>
  <c r="CA19" i="19"/>
  <c r="CB19" i="19"/>
  <c r="CC19" i="19"/>
  <c r="CD19" i="19"/>
  <c r="CE19" i="19"/>
  <c r="CF19" i="19"/>
  <c r="CH19" i="19"/>
  <c r="CI19" i="19"/>
  <c r="CJ19" i="19"/>
  <c r="CL19" i="19"/>
  <c r="CM19" i="19"/>
  <c r="CN19" i="19"/>
  <c r="CO19" i="19"/>
  <c r="CP19" i="19"/>
  <c r="CR19" i="19"/>
  <c r="CS19" i="19"/>
  <c r="CT19" i="19"/>
  <c r="CU19" i="19"/>
  <c r="CV19" i="19"/>
  <c r="CW19" i="19"/>
  <c r="CX19" i="19"/>
  <c r="CY19" i="19"/>
  <c r="CZ19" i="19"/>
  <c r="C20" i="19"/>
  <c r="D20" i="19"/>
  <c r="I20" i="19"/>
  <c r="K20" i="19"/>
  <c r="P20" i="19"/>
  <c r="Q20" i="19"/>
  <c r="R20" i="19"/>
  <c r="S20" i="19"/>
  <c r="V20" i="19"/>
  <c r="Y20" i="19"/>
  <c r="Z20" i="19"/>
  <c r="AA20" i="19"/>
  <c r="AB20" i="19"/>
  <c r="AD20" i="19"/>
  <c r="AE20" i="19"/>
  <c r="AI20" i="19"/>
  <c r="AK20" i="19"/>
  <c r="AL20" i="19"/>
  <c r="AM20" i="19"/>
  <c r="AN20" i="19"/>
  <c r="AQ20" i="19"/>
  <c r="AR20" i="19"/>
  <c r="AS20" i="19"/>
  <c r="AU20" i="19"/>
  <c r="AV20" i="19"/>
  <c r="AW20" i="19"/>
  <c r="AX20" i="19"/>
  <c r="AY20" i="19"/>
  <c r="AZ20" i="19"/>
  <c r="BB20" i="19"/>
  <c r="BC20" i="19"/>
  <c r="BD20" i="19"/>
  <c r="BF20" i="19"/>
  <c r="BG20" i="19"/>
  <c r="BH20" i="19"/>
  <c r="BI20" i="19"/>
  <c r="BJ20" i="19"/>
  <c r="BL20" i="19"/>
  <c r="BM20" i="19"/>
  <c r="BO20" i="19"/>
  <c r="BP20" i="19"/>
  <c r="BR20" i="19"/>
  <c r="BS20" i="19"/>
  <c r="BT20" i="19"/>
  <c r="BU20" i="19"/>
  <c r="BW20" i="19"/>
  <c r="BX20" i="19"/>
  <c r="BY20" i="19"/>
  <c r="CA20" i="19"/>
  <c r="CB20" i="19"/>
  <c r="CC20" i="19"/>
  <c r="CD20" i="19"/>
  <c r="CE20" i="19"/>
  <c r="CF20" i="19"/>
  <c r="CH20" i="19"/>
  <c r="CI20" i="19"/>
  <c r="CJ20" i="19"/>
  <c r="CL20" i="19"/>
  <c r="CM20" i="19"/>
  <c r="CN20" i="19"/>
  <c r="CO20" i="19"/>
  <c r="CP20" i="19"/>
  <c r="CR20" i="19"/>
  <c r="CS20" i="19"/>
  <c r="CT20" i="19"/>
  <c r="CU20" i="19"/>
  <c r="CV20" i="19"/>
  <c r="CW20" i="19"/>
  <c r="CX20" i="19"/>
  <c r="CY20" i="19"/>
  <c r="CZ20" i="19"/>
  <c r="C21" i="19"/>
  <c r="D21" i="19"/>
  <c r="I21" i="19"/>
  <c r="K21" i="19"/>
  <c r="P21" i="19"/>
  <c r="Q21" i="19"/>
  <c r="R21" i="19"/>
  <c r="S21" i="19"/>
  <c r="V21" i="19"/>
  <c r="Y21" i="19"/>
  <c r="Z21" i="19"/>
  <c r="AA21" i="19"/>
  <c r="AB21" i="19"/>
  <c r="AD21" i="19"/>
  <c r="AE21" i="19"/>
  <c r="AI21" i="19"/>
  <c r="AK21" i="19"/>
  <c r="AL21" i="19"/>
  <c r="AM21" i="19"/>
  <c r="AN21" i="19"/>
  <c r="AQ21" i="19"/>
  <c r="AR21" i="19"/>
  <c r="AS21" i="19"/>
  <c r="AU21" i="19"/>
  <c r="AV21" i="19"/>
  <c r="AW21" i="19"/>
  <c r="AX21" i="19"/>
  <c r="AY21" i="19"/>
  <c r="AZ21" i="19"/>
  <c r="BB21" i="19"/>
  <c r="BC21" i="19"/>
  <c r="BD21" i="19"/>
  <c r="BF21" i="19"/>
  <c r="BG21" i="19"/>
  <c r="BH21" i="19"/>
  <c r="BI21" i="19"/>
  <c r="BJ21" i="19"/>
  <c r="BL21" i="19"/>
  <c r="BM21" i="19"/>
  <c r="BO21" i="19"/>
  <c r="BP21" i="19"/>
  <c r="BR21" i="19"/>
  <c r="BS21" i="19"/>
  <c r="BT21" i="19"/>
  <c r="BU21" i="19"/>
  <c r="BW21" i="19"/>
  <c r="BX21" i="19"/>
  <c r="BY21" i="19"/>
  <c r="CA21" i="19"/>
  <c r="CB21" i="19"/>
  <c r="CC21" i="19"/>
  <c r="CD21" i="19"/>
  <c r="CE21" i="19"/>
  <c r="CF21" i="19"/>
  <c r="CH21" i="19"/>
  <c r="CI21" i="19"/>
  <c r="CJ21" i="19"/>
  <c r="CL21" i="19"/>
  <c r="CM21" i="19"/>
  <c r="CN21" i="19"/>
  <c r="CO21" i="19"/>
  <c r="CP21" i="19"/>
  <c r="CR21" i="19"/>
  <c r="CS21" i="19"/>
  <c r="CT21" i="19"/>
  <c r="CU21" i="19"/>
  <c r="CV21" i="19"/>
  <c r="CW21" i="19"/>
  <c r="CX21" i="19"/>
  <c r="CY21" i="19"/>
  <c r="CZ21" i="19"/>
  <c r="C22" i="19"/>
  <c r="D22" i="19"/>
  <c r="I22" i="19"/>
  <c r="K22" i="19"/>
  <c r="P22" i="19"/>
  <c r="Q22" i="19"/>
  <c r="R22" i="19"/>
  <c r="S22" i="19"/>
  <c r="V22" i="19"/>
  <c r="Y22" i="19"/>
  <c r="Z22" i="19"/>
  <c r="AA22" i="19"/>
  <c r="AB22" i="19"/>
  <c r="AD22" i="19"/>
  <c r="AE22" i="19"/>
  <c r="AI22" i="19"/>
  <c r="AK22" i="19"/>
  <c r="AL22" i="19"/>
  <c r="AM22" i="19"/>
  <c r="AN22" i="19"/>
  <c r="AQ22" i="19"/>
  <c r="AR22" i="19"/>
  <c r="AS22" i="19"/>
  <c r="AU22" i="19"/>
  <c r="AV22" i="19"/>
  <c r="AW22" i="19"/>
  <c r="AX22" i="19"/>
  <c r="AY22" i="19"/>
  <c r="AZ22" i="19"/>
  <c r="BB22" i="19"/>
  <c r="BC22" i="19"/>
  <c r="BD22" i="19"/>
  <c r="BF22" i="19"/>
  <c r="BG22" i="19"/>
  <c r="BH22" i="19"/>
  <c r="BI22" i="19"/>
  <c r="BJ22" i="19"/>
  <c r="BL22" i="19"/>
  <c r="BM22" i="19"/>
  <c r="BO22" i="19"/>
  <c r="BP22" i="19"/>
  <c r="BR22" i="19"/>
  <c r="BS22" i="19"/>
  <c r="BT22" i="19"/>
  <c r="BU22" i="19"/>
  <c r="BW22" i="19"/>
  <c r="BX22" i="19"/>
  <c r="BY22" i="19"/>
  <c r="CA22" i="19"/>
  <c r="CB22" i="19"/>
  <c r="CC22" i="19"/>
  <c r="CD22" i="19"/>
  <c r="CE22" i="19"/>
  <c r="CF22" i="19"/>
  <c r="CH22" i="19"/>
  <c r="CI22" i="19"/>
  <c r="CJ22" i="19"/>
  <c r="CL22" i="19"/>
  <c r="CM22" i="19"/>
  <c r="CN22" i="19"/>
  <c r="CO22" i="19"/>
  <c r="CP22" i="19"/>
  <c r="CR22" i="19"/>
  <c r="CS22" i="19"/>
  <c r="CT22" i="19"/>
  <c r="CU22" i="19"/>
  <c r="CV22" i="19"/>
  <c r="CW22" i="19"/>
  <c r="CX22" i="19"/>
  <c r="CY22" i="19"/>
  <c r="CZ22" i="19"/>
  <c r="C23" i="19"/>
  <c r="D23" i="19"/>
  <c r="I23" i="19"/>
  <c r="K23" i="19"/>
  <c r="P23" i="19"/>
  <c r="Q23" i="19"/>
  <c r="R23" i="19"/>
  <c r="S23" i="19"/>
  <c r="V23" i="19"/>
  <c r="Y23" i="19"/>
  <c r="Z23" i="19"/>
  <c r="AA23" i="19"/>
  <c r="AB23" i="19"/>
  <c r="AD23" i="19"/>
  <c r="AE23" i="19"/>
  <c r="AI23" i="19"/>
  <c r="AK23" i="19"/>
  <c r="AL23" i="19"/>
  <c r="AM23" i="19"/>
  <c r="AN23" i="19"/>
  <c r="AQ23" i="19"/>
  <c r="AR23" i="19"/>
  <c r="AS23" i="19"/>
  <c r="AU23" i="19"/>
  <c r="AV23" i="19"/>
  <c r="AW23" i="19"/>
  <c r="AX23" i="19"/>
  <c r="AY23" i="19"/>
  <c r="AZ23" i="19"/>
  <c r="BB23" i="19"/>
  <c r="BC23" i="19"/>
  <c r="BD23" i="19"/>
  <c r="BF23" i="19"/>
  <c r="BG23" i="19"/>
  <c r="BH23" i="19"/>
  <c r="BI23" i="19"/>
  <c r="BJ23" i="19"/>
  <c r="BL23" i="19"/>
  <c r="BM23" i="19"/>
  <c r="BO23" i="19"/>
  <c r="BP23" i="19"/>
  <c r="BR23" i="19"/>
  <c r="BS23" i="19"/>
  <c r="BT23" i="19"/>
  <c r="BU23" i="19"/>
  <c r="BW23" i="19"/>
  <c r="BX23" i="19"/>
  <c r="BY23" i="19"/>
  <c r="CA23" i="19"/>
  <c r="CB23" i="19"/>
  <c r="CC23" i="19"/>
  <c r="CD23" i="19"/>
  <c r="CE23" i="19"/>
  <c r="CF23" i="19"/>
  <c r="CH23" i="19"/>
  <c r="CI23" i="19"/>
  <c r="CJ23" i="19"/>
  <c r="CL23" i="19"/>
  <c r="CM23" i="19"/>
  <c r="CN23" i="19"/>
  <c r="CO23" i="19"/>
  <c r="CP23" i="19"/>
  <c r="CR23" i="19"/>
  <c r="CS23" i="19"/>
  <c r="CT23" i="19"/>
  <c r="CU23" i="19"/>
  <c r="CV23" i="19"/>
  <c r="CW23" i="19"/>
  <c r="CX23" i="19"/>
  <c r="CY23" i="19"/>
  <c r="CZ23" i="19"/>
  <c r="C24" i="19"/>
  <c r="D24" i="19"/>
  <c r="I24" i="19"/>
  <c r="K24" i="19"/>
  <c r="P24" i="19"/>
  <c r="Q24" i="19"/>
  <c r="R24" i="19"/>
  <c r="S24" i="19"/>
  <c r="V24" i="19"/>
  <c r="Y24" i="19"/>
  <c r="Z24" i="19"/>
  <c r="AA24" i="19"/>
  <c r="AB24" i="19"/>
  <c r="AD24" i="19"/>
  <c r="AE24" i="19"/>
  <c r="AI24" i="19"/>
  <c r="AK24" i="19"/>
  <c r="AL24" i="19"/>
  <c r="AM24" i="19"/>
  <c r="AN24" i="19"/>
  <c r="AQ24" i="19"/>
  <c r="AR24" i="19"/>
  <c r="AS24" i="19"/>
  <c r="AU24" i="19"/>
  <c r="AV24" i="19"/>
  <c r="AW24" i="19"/>
  <c r="AX24" i="19"/>
  <c r="AY24" i="19"/>
  <c r="AZ24" i="19"/>
  <c r="BB24" i="19"/>
  <c r="BC24" i="19"/>
  <c r="BD24" i="19"/>
  <c r="BF24" i="19"/>
  <c r="BG24" i="19"/>
  <c r="BH24" i="19"/>
  <c r="BI24" i="19"/>
  <c r="BJ24" i="19"/>
  <c r="BL24" i="19"/>
  <c r="BM24" i="19"/>
  <c r="BO24" i="19"/>
  <c r="BP24" i="19"/>
  <c r="BR24" i="19"/>
  <c r="BS24" i="19"/>
  <c r="BT24" i="19"/>
  <c r="BU24" i="19"/>
  <c r="BW24" i="19"/>
  <c r="BX24" i="19"/>
  <c r="BY24" i="19"/>
  <c r="CA24" i="19"/>
  <c r="CB24" i="19"/>
  <c r="CC24" i="19"/>
  <c r="CD24" i="19"/>
  <c r="CE24" i="19"/>
  <c r="CF24" i="19"/>
  <c r="CH24" i="19"/>
  <c r="CI24" i="19"/>
  <c r="CJ24" i="19"/>
  <c r="CL24" i="19"/>
  <c r="CM24" i="19"/>
  <c r="CN24" i="19"/>
  <c r="CO24" i="19"/>
  <c r="CP24" i="19"/>
  <c r="CR24" i="19"/>
  <c r="CS24" i="19"/>
  <c r="CT24" i="19"/>
  <c r="CU24" i="19"/>
  <c r="CV24" i="19"/>
  <c r="CW24" i="19"/>
  <c r="CX24" i="19"/>
  <c r="CY24" i="19"/>
  <c r="CZ24" i="19"/>
  <c r="C25" i="19"/>
  <c r="D25" i="19"/>
  <c r="I25" i="19"/>
  <c r="K25" i="19"/>
  <c r="P25" i="19"/>
  <c r="Q25" i="19"/>
  <c r="R25" i="19"/>
  <c r="S25" i="19"/>
  <c r="V25" i="19"/>
  <c r="Y25" i="19"/>
  <c r="Z25" i="19"/>
  <c r="AA25" i="19"/>
  <c r="AB25" i="19"/>
  <c r="AD25" i="19"/>
  <c r="AE25" i="19"/>
  <c r="AI25" i="19"/>
  <c r="AK25" i="19"/>
  <c r="AL25" i="19"/>
  <c r="AM25" i="19"/>
  <c r="AN25" i="19"/>
  <c r="AQ25" i="19"/>
  <c r="AR25" i="19"/>
  <c r="AS25" i="19"/>
  <c r="AU25" i="19"/>
  <c r="AV25" i="19"/>
  <c r="AW25" i="19"/>
  <c r="AX25" i="19"/>
  <c r="AY25" i="19"/>
  <c r="AZ25" i="19"/>
  <c r="BB25" i="19"/>
  <c r="BC25" i="19"/>
  <c r="BD25" i="19"/>
  <c r="BF25" i="19"/>
  <c r="BG25" i="19"/>
  <c r="BH25" i="19"/>
  <c r="BI25" i="19"/>
  <c r="BJ25" i="19"/>
  <c r="BL25" i="19"/>
  <c r="BM25" i="19"/>
  <c r="BO25" i="19"/>
  <c r="BP25" i="19"/>
  <c r="BR25" i="19"/>
  <c r="BS25" i="19"/>
  <c r="BT25" i="19"/>
  <c r="BU25" i="19"/>
  <c r="BW25" i="19"/>
  <c r="BX25" i="19"/>
  <c r="BY25" i="19"/>
  <c r="CA25" i="19"/>
  <c r="CB25" i="19"/>
  <c r="CC25" i="19"/>
  <c r="CD25" i="19"/>
  <c r="CE25" i="19"/>
  <c r="CF25" i="19"/>
  <c r="CH25" i="19"/>
  <c r="CI25" i="19"/>
  <c r="CJ25" i="19"/>
  <c r="CL25" i="19"/>
  <c r="CM25" i="19"/>
  <c r="CN25" i="19"/>
  <c r="CO25" i="19"/>
  <c r="CP25" i="19"/>
  <c r="CR25" i="19"/>
  <c r="CS25" i="19"/>
  <c r="CT25" i="19"/>
  <c r="CU25" i="19"/>
  <c r="CV25" i="19"/>
  <c r="CW25" i="19"/>
  <c r="CX25" i="19"/>
  <c r="CY25" i="19"/>
  <c r="CZ25" i="19"/>
  <c r="C26" i="19"/>
  <c r="D26" i="19"/>
  <c r="I26" i="19"/>
  <c r="K26" i="19"/>
  <c r="P26" i="19"/>
  <c r="Q26" i="19"/>
  <c r="R26" i="19"/>
  <c r="S26" i="19"/>
  <c r="V26" i="19"/>
  <c r="Y26" i="19"/>
  <c r="Z26" i="19"/>
  <c r="AA26" i="19"/>
  <c r="AB26" i="19"/>
  <c r="AD26" i="19"/>
  <c r="AE26" i="19"/>
  <c r="AI26" i="19"/>
  <c r="AK26" i="19"/>
  <c r="AL26" i="19"/>
  <c r="AM26" i="19"/>
  <c r="AN26" i="19"/>
  <c r="AQ26" i="19"/>
  <c r="AR26" i="19"/>
  <c r="AS26" i="19"/>
  <c r="AU26" i="19"/>
  <c r="AV26" i="19"/>
  <c r="AW26" i="19"/>
  <c r="AX26" i="19"/>
  <c r="AY26" i="19"/>
  <c r="AZ26" i="19"/>
  <c r="BB26" i="19"/>
  <c r="BC26" i="19"/>
  <c r="BD26" i="19"/>
  <c r="BF26" i="19"/>
  <c r="BG26" i="19"/>
  <c r="BH26" i="19"/>
  <c r="BI26" i="19"/>
  <c r="BJ26" i="19"/>
  <c r="BL26" i="19"/>
  <c r="BM26" i="19"/>
  <c r="BO26" i="19"/>
  <c r="BP26" i="19"/>
  <c r="BR26" i="19"/>
  <c r="BS26" i="19"/>
  <c r="BT26" i="19"/>
  <c r="BU26" i="19"/>
  <c r="BW26" i="19"/>
  <c r="BX26" i="19"/>
  <c r="BY26" i="19"/>
  <c r="CA26" i="19"/>
  <c r="CB26" i="19"/>
  <c r="CC26" i="19"/>
  <c r="CD26" i="19"/>
  <c r="CE26" i="19"/>
  <c r="CF26" i="19"/>
  <c r="CH26" i="19"/>
  <c r="CI26" i="19"/>
  <c r="CJ26" i="19"/>
  <c r="CL26" i="19"/>
  <c r="CM26" i="19"/>
  <c r="CN26" i="19"/>
  <c r="CO26" i="19"/>
  <c r="CP26" i="19"/>
  <c r="CR26" i="19"/>
  <c r="CS26" i="19"/>
  <c r="CT26" i="19"/>
  <c r="CU26" i="19"/>
  <c r="CV26" i="19"/>
  <c r="CW26" i="19"/>
  <c r="CX26" i="19"/>
  <c r="CY26" i="19"/>
  <c r="CZ26" i="19"/>
  <c r="C27" i="19"/>
  <c r="D27" i="19"/>
  <c r="I27" i="19"/>
  <c r="K27" i="19"/>
  <c r="P27" i="19"/>
  <c r="Q27" i="19"/>
  <c r="R27" i="19"/>
  <c r="S27" i="19"/>
  <c r="V27" i="19"/>
  <c r="Y27" i="19"/>
  <c r="Z27" i="19"/>
  <c r="AA27" i="19"/>
  <c r="AB27" i="19"/>
  <c r="AD27" i="19"/>
  <c r="AE27" i="19"/>
  <c r="AI27" i="19"/>
  <c r="AK27" i="19"/>
  <c r="AL27" i="19"/>
  <c r="AM27" i="19"/>
  <c r="AN27" i="19"/>
  <c r="AQ27" i="19"/>
  <c r="AR27" i="19"/>
  <c r="AS27" i="19"/>
  <c r="AU27" i="19"/>
  <c r="AV27" i="19"/>
  <c r="AW27" i="19"/>
  <c r="AX27" i="19"/>
  <c r="AY27" i="19"/>
  <c r="AZ27" i="19"/>
  <c r="BB27" i="19"/>
  <c r="BC27" i="19"/>
  <c r="BD27" i="19"/>
  <c r="BF27" i="19"/>
  <c r="BG27" i="19"/>
  <c r="BH27" i="19"/>
  <c r="BI27" i="19"/>
  <c r="BJ27" i="19"/>
  <c r="BL27" i="19"/>
  <c r="BM27" i="19"/>
  <c r="BO27" i="19"/>
  <c r="BP27" i="19"/>
  <c r="BR27" i="19"/>
  <c r="BS27" i="19"/>
  <c r="BT27" i="19"/>
  <c r="BU27" i="19"/>
  <c r="BW27" i="19"/>
  <c r="BX27" i="19"/>
  <c r="BY27" i="19"/>
  <c r="CA27" i="19"/>
  <c r="CB27" i="19"/>
  <c r="CC27" i="19"/>
  <c r="CD27" i="19"/>
  <c r="CE27" i="19"/>
  <c r="CF27" i="19"/>
  <c r="CH27" i="19"/>
  <c r="CI27" i="19"/>
  <c r="CJ27" i="19"/>
  <c r="CL27" i="19"/>
  <c r="CM27" i="19"/>
  <c r="CN27" i="19"/>
  <c r="CO27" i="19"/>
  <c r="CP27" i="19"/>
  <c r="CR27" i="19"/>
  <c r="CS27" i="19"/>
  <c r="CT27" i="19"/>
  <c r="CU27" i="19"/>
  <c r="CV27" i="19"/>
  <c r="CW27" i="19"/>
  <c r="CX27" i="19"/>
  <c r="CY27" i="19"/>
  <c r="CZ27" i="19"/>
  <c r="C28" i="19"/>
  <c r="D28" i="19"/>
  <c r="I28" i="19"/>
  <c r="K28" i="19"/>
  <c r="P28" i="19"/>
  <c r="Q28" i="19"/>
  <c r="R28" i="19"/>
  <c r="S28" i="19"/>
  <c r="V28" i="19"/>
  <c r="Y28" i="19"/>
  <c r="Z28" i="19"/>
  <c r="AA28" i="19"/>
  <c r="AB28" i="19"/>
  <c r="AD28" i="19"/>
  <c r="AE28" i="19"/>
  <c r="AI28" i="19"/>
  <c r="AK28" i="19"/>
  <c r="AL28" i="19"/>
  <c r="AM28" i="19"/>
  <c r="AN28" i="19"/>
  <c r="AQ28" i="19"/>
  <c r="AR28" i="19"/>
  <c r="AS28" i="19"/>
  <c r="AU28" i="19"/>
  <c r="AV28" i="19"/>
  <c r="AW28" i="19"/>
  <c r="AX28" i="19"/>
  <c r="AY28" i="19"/>
  <c r="AZ28" i="19"/>
  <c r="BB28" i="19"/>
  <c r="BC28" i="19"/>
  <c r="BD28" i="19"/>
  <c r="BF28" i="19"/>
  <c r="BG28" i="19"/>
  <c r="BH28" i="19"/>
  <c r="BI28" i="19"/>
  <c r="BJ28" i="19"/>
  <c r="BL28" i="19"/>
  <c r="BM28" i="19"/>
  <c r="BO28" i="19"/>
  <c r="BP28" i="19"/>
  <c r="BR28" i="19"/>
  <c r="BS28" i="19"/>
  <c r="BT28" i="19"/>
  <c r="BU28" i="19"/>
  <c r="BW28" i="19"/>
  <c r="BX28" i="19"/>
  <c r="BY28" i="19"/>
  <c r="CA28" i="19"/>
  <c r="CB28" i="19"/>
  <c r="CC28" i="19"/>
  <c r="CD28" i="19"/>
  <c r="CE28" i="19"/>
  <c r="CF28" i="19"/>
  <c r="CH28" i="19"/>
  <c r="CI28" i="19"/>
  <c r="CJ28" i="19"/>
  <c r="CL28" i="19"/>
  <c r="CM28" i="19"/>
  <c r="CN28" i="19"/>
  <c r="CO28" i="19"/>
  <c r="CP28" i="19"/>
  <c r="CR28" i="19"/>
  <c r="CS28" i="19"/>
  <c r="CT28" i="19"/>
  <c r="CU28" i="19"/>
  <c r="CV28" i="19"/>
  <c r="CW28" i="19"/>
  <c r="CX28" i="19"/>
  <c r="CY28" i="19"/>
  <c r="CZ28" i="19"/>
  <c r="C29" i="19"/>
  <c r="D29" i="19"/>
  <c r="I29" i="19"/>
  <c r="K29" i="19"/>
  <c r="P29" i="19"/>
  <c r="Q29" i="19"/>
  <c r="R29" i="19"/>
  <c r="S29" i="19"/>
  <c r="V29" i="19"/>
  <c r="Y29" i="19"/>
  <c r="Z29" i="19"/>
  <c r="AA29" i="19"/>
  <c r="AB29" i="19"/>
  <c r="AD29" i="19"/>
  <c r="AE29" i="19"/>
  <c r="AI29" i="19"/>
  <c r="AK29" i="19"/>
  <c r="AL29" i="19"/>
  <c r="AM29" i="19"/>
  <c r="AN29" i="19"/>
  <c r="AQ29" i="19"/>
  <c r="AR29" i="19"/>
  <c r="AS29" i="19"/>
  <c r="AU29" i="19"/>
  <c r="AV29" i="19"/>
  <c r="AW29" i="19"/>
  <c r="AX29" i="19"/>
  <c r="AY29" i="19"/>
  <c r="AZ29" i="19"/>
  <c r="BB29" i="19"/>
  <c r="BC29" i="19"/>
  <c r="BD29" i="19"/>
  <c r="BF29" i="19"/>
  <c r="BG29" i="19"/>
  <c r="BH29" i="19"/>
  <c r="BI29" i="19"/>
  <c r="BJ29" i="19"/>
  <c r="BL29" i="19"/>
  <c r="BM29" i="19"/>
  <c r="BO29" i="19"/>
  <c r="BP29" i="19"/>
  <c r="BR29" i="19"/>
  <c r="BS29" i="19"/>
  <c r="BT29" i="19"/>
  <c r="BU29" i="19"/>
  <c r="BW29" i="19"/>
  <c r="BX29" i="19"/>
  <c r="BY29" i="19"/>
  <c r="CA29" i="19"/>
  <c r="CB29" i="19"/>
  <c r="CC29" i="19"/>
  <c r="CD29" i="19"/>
  <c r="CE29" i="19"/>
  <c r="CF29" i="19"/>
  <c r="CH29" i="19"/>
  <c r="CI29" i="19"/>
  <c r="CJ29" i="19"/>
  <c r="CL29" i="19"/>
  <c r="CM29" i="19"/>
  <c r="CN29" i="19"/>
  <c r="CO29" i="19"/>
  <c r="CP29" i="19"/>
  <c r="CR29" i="19"/>
  <c r="CS29" i="19"/>
  <c r="CT29" i="19"/>
  <c r="CU29" i="19"/>
  <c r="CV29" i="19"/>
  <c r="CW29" i="19"/>
  <c r="CX29" i="19"/>
  <c r="CY29" i="19"/>
  <c r="CZ29" i="19"/>
  <c r="C30" i="19"/>
  <c r="D30" i="19"/>
  <c r="I30" i="19"/>
  <c r="K30" i="19"/>
  <c r="P30" i="19"/>
  <c r="Q30" i="19"/>
  <c r="R30" i="19"/>
  <c r="S30" i="19"/>
  <c r="V30" i="19"/>
  <c r="Y30" i="19"/>
  <c r="Z30" i="19"/>
  <c r="AA30" i="19"/>
  <c r="AB30" i="19"/>
  <c r="AD30" i="19"/>
  <c r="AE30" i="19"/>
  <c r="AI30" i="19"/>
  <c r="AK30" i="19"/>
  <c r="AL30" i="19"/>
  <c r="AM30" i="19"/>
  <c r="AN30" i="19"/>
  <c r="AQ30" i="19"/>
  <c r="AR30" i="19"/>
  <c r="AS30" i="19"/>
  <c r="AU30" i="19"/>
  <c r="AV30" i="19"/>
  <c r="AW30" i="19"/>
  <c r="AX30" i="19"/>
  <c r="AY30" i="19"/>
  <c r="AZ30" i="19"/>
  <c r="BB30" i="19"/>
  <c r="BC30" i="19"/>
  <c r="BD30" i="19"/>
  <c r="BF30" i="19"/>
  <c r="BG30" i="19"/>
  <c r="BH30" i="19"/>
  <c r="BI30" i="19"/>
  <c r="BJ30" i="19"/>
  <c r="BL30" i="19"/>
  <c r="BM30" i="19"/>
  <c r="BO30" i="19"/>
  <c r="BP30" i="19"/>
  <c r="BR30" i="19"/>
  <c r="BS30" i="19"/>
  <c r="BT30" i="19"/>
  <c r="BU30" i="19"/>
  <c r="BW30" i="19"/>
  <c r="BX30" i="19"/>
  <c r="BY30" i="19"/>
  <c r="CA30" i="19"/>
  <c r="CB30" i="19"/>
  <c r="CC30" i="19"/>
  <c r="CD30" i="19"/>
  <c r="CE30" i="19"/>
  <c r="CF30" i="19"/>
  <c r="CH30" i="19"/>
  <c r="CI30" i="19"/>
  <c r="CJ30" i="19"/>
  <c r="CL30" i="19"/>
  <c r="CM30" i="19"/>
  <c r="CN30" i="19"/>
  <c r="CO30" i="19"/>
  <c r="CP30" i="19"/>
  <c r="CR30" i="19"/>
  <c r="CS30" i="19"/>
  <c r="CT30" i="19"/>
  <c r="CU30" i="19"/>
  <c r="CV30" i="19"/>
  <c r="CW30" i="19"/>
  <c r="CX30" i="19"/>
  <c r="CY30" i="19"/>
  <c r="CZ30" i="19"/>
  <c r="C31" i="19"/>
  <c r="D31" i="19"/>
  <c r="I31" i="19"/>
  <c r="K31" i="19"/>
  <c r="P31" i="19"/>
  <c r="Q31" i="19"/>
  <c r="R31" i="19"/>
  <c r="S31" i="19"/>
  <c r="V31" i="19"/>
  <c r="Y31" i="19"/>
  <c r="Z31" i="19"/>
  <c r="AA31" i="19"/>
  <c r="AB31" i="19"/>
  <c r="AD31" i="19"/>
  <c r="AE31" i="19"/>
  <c r="AI31" i="19"/>
  <c r="AK31" i="19"/>
  <c r="AL31" i="19"/>
  <c r="AM31" i="19"/>
  <c r="AN31" i="19"/>
  <c r="AQ31" i="19"/>
  <c r="AR31" i="19"/>
  <c r="AS31" i="19"/>
  <c r="AU31" i="19"/>
  <c r="AV31" i="19"/>
  <c r="AW31" i="19"/>
  <c r="AX31" i="19"/>
  <c r="AY31" i="19"/>
  <c r="AZ31" i="19"/>
  <c r="BB31" i="19"/>
  <c r="BC31" i="19"/>
  <c r="BD31" i="19"/>
  <c r="BF31" i="19"/>
  <c r="BG31" i="19"/>
  <c r="BH31" i="19"/>
  <c r="BI31" i="19"/>
  <c r="BJ31" i="19"/>
  <c r="BL31" i="19"/>
  <c r="BM31" i="19"/>
  <c r="BO31" i="19"/>
  <c r="BP31" i="19"/>
  <c r="BR31" i="19"/>
  <c r="BS31" i="19"/>
  <c r="BT31" i="19"/>
  <c r="BU31" i="19"/>
  <c r="BW31" i="19"/>
  <c r="BX31" i="19"/>
  <c r="BY31" i="19"/>
  <c r="CA31" i="19"/>
  <c r="CB31" i="19"/>
  <c r="CC31" i="19"/>
  <c r="CD31" i="19"/>
  <c r="CE31" i="19"/>
  <c r="CF31" i="19"/>
  <c r="CH31" i="19"/>
  <c r="CI31" i="19"/>
  <c r="CJ31" i="19"/>
  <c r="CL31" i="19"/>
  <c r="CM31" i="19"/>
  <c r="CN31" i="19"/>
  <c r="CO31" i="19"/>
  <c r="CP31" i="19"/>
  <c r="CR31" i="19"/>
  <c r="CS31" i="19"/>
  <c r="CT31" i="19"/>
  <c r="CU31" i="19"/>
  <c r="CV31" i="19"/>
  <c r="CW31" i="19"/>
  <c r="CX31" i="19"/>
  <c r="CY31" i="19"/>
  <c r="CZ31" i="19"/>
  <c r="C32" i="19"/>
  <c r="D32" i="19"/>
  <c r="I32" i="19"/>
  <c r="K32" i="19"/>
  <c r="P32" i="19"/>
  <c r="Q32" i="19"/>
  <c r="R32" i="19"/>
  <c r="S32" i="19"/>
  <c r="V32" i="19"/>
  <c r="Y32" i="19"/>
  <c r="Z32" i="19"/>
  <c r="AA32" i="19"/>
  <c r="AB32" i="19"/>
  <c r="AD32" i="19"/>
  <c r="AE32" i="19"/>
  <c r="AI32" i="19"/>
  <c r="AK32" i="19"/>
  <c r="AL32" i="19"/>
  <c r="AM32" i="19"/>
  <c r="AN32" i="19"/>
  <c r="AQ32" i="19"/>
  <c r="AR32" i="19"/>
  <c r="AS32" i="19"/>
  <c r="AU32" i="19"/>
  <c r="AV32" i="19"/>
  <c r="AW32" i="19"/>
  <c r="AX32" i="19"/>
  <c r="AY32" i="19"/>
  <c r="AZ32" i="19"/>
  <c r="BB32" i="19"/>
  <c r="BC32" i="19"/>
  <c r="BD32" i="19"/>
  <c r="BF32" i="19"/>
  <c r="BG32" i="19"/>
  <c r="BH32" i="19"/>
  <c r="BI32" i="19"/>
  <c r="BJ32" i="19"/>
  <c r="BL32" i="19"/>
  <c r="BM32" i="19"/>
  <c r="BO32" i="19"/>
  <c r="BP32" i="19"/>
  <c r="BR32" i="19"/>
  <c r="BS32" i="19"/>
  <c r="BT32" i="19"/>
  <c r="BU32" i="19"/>
  <c r="BW32" i="19"/>
  <c r="BX32" i="19"/>
  <c r="BY32" i="19"/>
  <c r="CA32" i="19"/>
  <c r="CB32" i="19"/>
  <c r="CC32" i="19"/>
  <c r="CD32" i="19"/>
  <c r="CE32" i="19"/>
  <c r="CF32" i="19"/>
  <c r="CH32" i="19"/>
  <c r="CI32" i="19"/>
  <c r="CJ32" i="19"/>
  <c r="CL32" i="19"/>
  <c r="CM32" i="19"/>
  <c r="CN32" i="19"/>
  <c r="CO32" i="19"/>
  <c r="CP32" i="19"/>
  <c r="CR32" i="19"/>
  <c r="CS32" i="19"/>
  <c r="CT32" i="19"/>
  <c r="CU32" i="19"/>
  <c r="CV32" i="19"/>
  <c r="CW32" i="19"/>
  <c r="CX32" i="19"/>
  <c r="CY32" i="19"/>
  <c r="CZ32" i="19"/>
  <c r="C33" i="19"/>
  <c r="D33" i="19"/>
  <c r="I33" i="19"/>
  <c r="K33" i="19"/>
  <c r="P33" i="19"/>
  <c r="Q33" i="19"/>
  <c r="R33" i="19"/>
  <c r="S33" i="19"/>
  <c r="V33" i="19"/>
  <c r="Y33" i="19"/>
  <c r="Z33" i="19"/>
  <c r="AA33" i="19"/>
  <c r="AB33" i="19"/>
  <c r="AD33" i="19"/>
  <c r="AE33" i="19"/>
  <c r="AI33" i="19"/>
  <c r="AK33" i="19"/>
  <c r="AL33" i="19"/>
  <c r="AM33" i="19"/>
  <c r="AN33" i="19"/>
  <c r="AQ33" i="19"/>
  <c r="AR33" i="19"/>
  <c r="AS33" i="19"/>
  <c r="AU33" i="19"/>
  <c r="AV33" i="19"/>
  <c r="AW33" i="19"/>
  <c r="AX33" i="19"/>
  <c r="AY33" i="19"/>
  <c r="AZ33" i="19"/>
  <c r="BB33" i="19"/>
  <c r="BC33" i="19"/>
  <c r="BD33" i="19"/>
  <c r="BF33" i="19"/>
  <c r="BG33" i="19"/>
  <c r="BH33" i="19"/>
  <c r="BI33" i="19"/>
  <c r="BJ33" i="19"/>
  <c r="BL33" i="19"/>
  <c r="BM33" i="19"/>
  <c r="BO33" i="19"/>
  <c r="BP33" i="19"/>
  <c r="BR33" i="19"/>
  <c r="BS33" i="19"/>
  <c r="BT33" i="19"/>
  <c r="BU33" i="19"/>
  <c r="BW33" i="19"/>
  <c r="BX33" i="19"/>
  <c r="BY33" i="19"/>
  <c r="CA33" i="19"/>
  <c r="CB33" i="19"/>
  <c r="CC33" i="19"/>
  <c r="CD33" i="19"/>
  <c r="CE33" i="19"/>
  <c r="CF33" i="19"/>
  <c r="CH33" i="19"/>
  <c r="CI33" i="19"/>
  <c r="CJ33" i="19"/>
  <c r="CL33" i="19"/>
  <c r="CM33" i="19"/>
  <c r="CN33" i="19"/>
  <c r="CO33" i="19"/>
  <c r="CP33" i="19"/>
  <c r="CR33" i="19"/>
  <c r="CS33" i="19"/>
  <c r="CT33" i="19"/>
  <c r="CU33" i="19"/>
  <c r="CV33" i="19"/>
  <c r="CW33" i="19"/>
  <c r="CX33" i="19"/>
  <c r="CY33" i="19"/>
  <c r="CZ33" i="19"/>
  <c r="C34" i="19"/>
  <c r="D34" i="19"/>
  <c r="I34" i="19"/>
  <c r="K34" i="19"/>
  <c r="P34" i="19"/>
  <c r="Q34" i="19"/>
  <c r="R34" i="19"/>
  <c r="S34" i="19"/>
  <c r="V34" i="19"/>
  <c r="Y34" i="19"/>
  <c r="Z34" i="19"/>
  <c r="AA34" i="19"/>
  <c r="AB34" i="19"/>
  <c r="AD34" i="19"/>
  <c r="AE34" i="19"/>
  <c r="AI34" i="19"/>
  <c r="AK34" i="19"/>
  <c r="AL34" i="19"/>
  <c r="AM34" i="19"/>
  <c r="AN34" i="19"/>
  <c r="AQ34" i="19"/>
  <c r="AR34" i="19"/>
  <c r="AS34" i="19"/>
  <c r="AU34" i="19"/>
  <c r="AV34" i="19"/>
  <c r="AW34" i="19"/>
  <c r="AX34" i="19"/>
  <c r="AY34" i="19"/>
  <c r="AZ34" i="19"/>
  <c r="BB34" i="19"/>
  <c r="BC34" i="19"/>
  <c r="BD34" i="19"/>
  <c r="BF34" i="19"/>
  <c r="BG34" i="19"/>
  <c r="BH34" i="19"/>
  <c r="BI34" i="19"/>
  <c r="BJ34" i="19"/>
  <c r="BL34" i="19"/>
  <c r="BM34" i="19"/>
  <c r="BO34" i="19"/>
  <c r="BP34" i="19"/>
  <c r="BR34" i="19"/>
  <c r="BS34" i="19"/>
  <c r="BT34" i="19"/>
  <c r="BU34" i="19"/>
  <c r="BW34" i="19"/>
  <c r="BX34" i="19"/>
  <c r="BY34" i="19"/>
  <c r="CA34" i="19"/>
  <c r="CB34" i="19"/>
  <c r="CC34" i="19"/>
  <c r="CD34" i="19"/>
  <c r="CE34" i="19"/>
  <c r="CF34" i="19"/>
  <c r="CH34" i="19"/>
  <c r="CI34" i="19"/>
  <c r="CJ34" i="19"/>
  <c r="CL34" i="19"/>
  <c r="CM34" i="19"/>
  <c r="CN34" i="19"/>
  <c r="CO34" i="19"/>
  <c r="CP34" i="19"/>
  <c r="CR34" i="19"/>
  <c r="CS34" i="19"/>
  <c r="CT34" i="19"/>
  <c r="CU34" i="19"/>
  <c r="CV34" i="19"/>
  <c r="CW34" i="19"/>
  <c r="CX34" i="19"/>
  <c r="CY34" i="19"/>
  <c r="CZ34" i="19"/>
  <c r="C35" i="19"/>
  <c r="D35" i="19"/>
  <c r="I35" i="19"/>
  <c r="K35" i="19"/>
  <c r="P35" i="19"/>
  <c r="Q35" i="19"/>
  <c r="R35" i="19"/>
  <c r="S35" i="19"/>
  <c r="V35" i="19"/>
  <c r="Y35" i="19"/>
  <c r="Z35" i="19"/>
  <c r="AA35" i="19"/>
  <c r="AB35" i="19"/>
  <c r="AD35" i="19"/>
  <c r="AE35" i="19"/>
  <c r="AI35" i="19"/>
  <c r="AK35" i="19"/>
  <c r="AL35" i="19"/>
  <c r="AM35" i="19"/>
  <c r="AN35" i="19"/>
  <c r="AQ35" i="19"/>
  <c r="AR35" i="19"/>
  <c r="AS35" i="19"/>
  <c r="AU35" i="19"/>
  <c r="AV35" i="19"/>
  <c r="AW35" i="19"/>
  <c r="AX35" i="19"/>
  <c r="AY35" i="19"/>
  <c r="AZ35" i="19"/>
  <c r="BB35" i="19"/>
  <c r="BC35" i="19"/>
  <c r="BD35" i="19"/>
  <c r="BF35" i="19"/>
  <c r="BG35" i="19"/>
  <c r="BH35" i="19"/>
  <c r="BI35" i="19"/>
  <c r="BJ35" i="19"/>
  <c r="BL35" i="19"/>
  <c r="BM35" i="19"/>
  <c r="BO35" i="19"/>
  <c r="BP35" i="19"/>
  <c r="BR35" i="19"/>
  <c r="BS35" i="19"/>
  <c r="BT35" i="19"/>
  <c r="BU35" i="19"/>
  <c r="BW35" i="19"/>
  <c r="BX35" i="19"/>
  <c r="BY35" i="19"/>
  <c r="CA35" i="19"/>
  <c r="CB35" i="19"/>
  <c r="CC35" i="19"/>
  <c r="CD35" i="19"/>
  <c r="CE35" i="19"/>
  <c r="CF35" i="19"/>
  <c r="CH35" i="19"/>
  <c r="CI35" i="19"/>
  <c r="CJ35" i="19"/>
  <c r="CL35" i="19"/>
  <c r="CM35" i="19"/>
  <c r="CN35" i="19"/>
  <c r="CO35" i="19"/>
  <c r="CP35" i="19"/>
  <c r="CR35" i="19"/>
  <c r="CS35" i="19"/>
  <c r="CT35" i="19"/>
  <c r="CU35" i="19"/>
  <c r="CV35" i="19"/>
  <c r="CW35" i="19"/>
  <c r="CX35" i="19"/>
  <c r="CY35" i="19"/>
  <c r="CZ35" i="19"/>
  <c r="C36" i="19"/>
  <c r="D36" i="19"/>
  <c r="I36" i="19"/>
  <c r="K36" i="19"/>
  <c r="P36" i="19"/>
  <c r="Q36" i="19"/>
  <c r="R36" i="19"/>
  <c r="S36" i="19"/>
  <c r="V36" i="19"/>
  <c r="Y36" i="19"/>
  <c r="Z36" i="19"/>
  <c r="AA36" i="19"/>
  <c r="AB36" i="19"/>
  <c r="AD36" i="19"/>
  <c r="AE36" i="19"/>
  <c r="AI36" i="19"/>
  <c r="AK36" i="19"/>
  <c r="AL36" i="19"/>
  <c r="AM36" i="19"/>
  <c r="AN36" i="19"/>
  <c r="AQ36" i="19"/>
  <c r="AR36" i="19"/>
  <c r="AS36" i="19"/>
  <c r="AU36" i="19"/>
  <c r="AV36" i="19"/>
  <c r="AW36" i="19"/>
  <c r="AX36" i="19"/>
  <c r="AY36" i="19"/>
  <c r="AZ36" i="19"/>
  <c r="BB36" i="19"/>
  <c r="BC36" i="19"/>
  <c r="BD36" i="19"/>
  <c r="BF36" i="19"/>
  <c r="BG36" i="19"/>
  <c r="BH36" i="19"/>
  <c r="BI36" i="19"/>
  <c r="BJ36" i="19"/>
  <c r="BL36" i="19"/>
  <c r="BM36" i="19"/>
  <c r="BO36" i="19"/>
  <c r="BP36" i="19"/>
  <c r="BR36" i="19"/>
  <c r="BS36" i="19"/>
  <c r="BT36" i="19"/>
  <c r="BU36" i="19"/>
  <c r="BW36" i="19"/>
  <c r="BX36" i="19"/>
  <c r="BY36" i="19"/>
  <c r="CA36" i="19"/>
  <c r="CB36" i="19"/>
  <c r="CC36" i="19"/>
  <c r="CD36" i="19"/>
  <c r="CE36" i="19"/>
  <c r="CF36" i="19"/>
  <c r="CH36" i="19"/>
  <c r="CI36" i="19"/>
  <c r="CJ36" i="19"/>
  <c r="CL36" i="19"/>
  <c r="CM36" i="19"/>
  <c r="CN36" i="19"/>
  <c r="CO36" i="19"/>
  <c r="CP36" i="19"/>
  <c r="CR36" i="19"/>
  <c r="CS36" i="19"/>
  <c r="CT36" i="19"/>
  <c r="CU36" i="19"/>
  <c r="CV36" i="19"/>
  <c r="CW36" i="19"/>
  <c r="CX36" i="19"/>
  <c r="CY36" i="19"/>
  <c r="CZ36" i="19"/>
  <c r="C37" i="19"/>
  <c r="D37" i="19"/>
  <c r="I37" i="19"/>
  <c r="K37" i="19"/>
  <c r="P37" i="19"/>
  <c r="Q37" i="19"/>
  <c r="R37" i="19"/>
  <c r="S37" i="19"/>
  <c r="V37" i="19"/>
  <c r="Y37" i="19"/>
  <c r="Z37" i="19"/>
  <c r="AA37" i="19"/>
  <c r="AB37" i="19"/>
  <c r="AD37" i="19"/>
  <c r="AE37" i="19"/>
  <c r="AI37" i="19"/>
  <c r="AK37" i="19"/>
  <c r="AL37" i="19"/>
  <c r="AM37" i="19"/>
  <c r="AN37" i="19"/>
  <c r="AQ37" i="19"/>
  <c r="AR37" i="19"/>
  <c r="AS37" i="19"/>
  <c r="AU37" i="19"/>
  <c r="AV37" i="19"/>
  <c r="AW37" i="19"/>
  <c r="AX37" i="19"/>
  <c r="AY37" i="19"/>
  <c r="AZ37" i="19"/>
  <c r="BB37" i="19"/>
  <c r="BC37" i="19"/>
  <c r="BD37" i="19"/>
  <c r="BF37" i="19"/>
  <c r="BG37" i="19"/>
  <c r="BH37" i="19"/>
  <c r="BI37" i="19"/>
  <c r="BJ37" i="19"/>
  <c r="BL37" i="19"/>
  <c r="BM37" i="19"/>
  <c r="BO37" i="19"/>
  <c r="BP37" i="19"/>
  <c r="BR37" i="19"/>
  <c r="BS37" i="19"/>
  <c r="BT37" i="19"/>
  <c r="BU37" i="19"/>
  <c r="BW37" i="19"/>
  <c r="BX37" i="19"/>
  <c r="BY37" i="19"/>
  <c r="CA37" i="19"/>
  <c r="CB37" i="19"/>
  <c r="CC37" i="19"/>
  <c r="CD37" i="19"/>
  <c r="CE37" i="19"/>
  <c r="CF37" i="19"/>
  <c r="CH37" i="19"/>
  <c r="CI37" i="19"/>
  <c r="CJ37" i="19"/>
  <c r="CL37" i="19"/>
  <c r="CM37" i="19"/>
  <c r="CN37" i="19"/>
  <c r="CO37" i="19"/>
  <c r="CP37" i="19"/>
  <c r="CR37" i="19"/>
  <c r="CS37" i="19"/>
  <c r="CT37" i="19"/>
  <c r="CU37" i="19"/>
  <c r="CV37" i="19"/>
  <c r="CW37" i="19"/>
  <c r="CX37" i="19"/>
  <c r="CY37" i="19"/>
  <c r="CZ37" i="19"/>
  <c r="C38" i="19"/>
  <c r="D38" i="19"/>
  <c r="I38" i="19"/>
  <c r="K38" i="19"/>
  <c r="P38" i="19"/>
  <c r="Q38" i="19"/>
  <c r="R38" i="19"/>
  <c r="S38" i="19"/>
  <c r="V38" i="19"/>
  <c r="Y38" i="19"/>
  <c r="Z38" i="19"/>
  <c r="AA38" i="19"/>
  <c r="AB38" i="19"/>
  <c r="AD38" i="19"/>
  <c r="AE38" i="19"/>
  <c r="AI38" i="19"/>
  <c r="AK38" i="19"/>
  <c r="AL38" i="19"/>
  <c r="AM38" i="19"/>
  <c r="AN38" i="19"/>
  <c r="AQ38" i="19"/>
  <c r="AR38" i="19"/>
  <c r="AS38" i="19"/>
  <c r="AU38" i="19"/>
  <c r="AV38" i="19"/>
  <c r="AW38" i="19"/>
  <c r="AX38" i="19"/>
  <c r="AY38" i="19"/>
  <c r="AZ38" i="19"/>
  <c r="BB38" i="19"/>
  <c r="BC38" i="19"/>
  <c r="BD38" i="19"/>
  <c r="BF38" i="19"/>
  <c r="BG38" i="19"/>
  <c r="BH38" i="19"/>
  <c r="BI38" i="19"/>
  <c r="BJ38" i="19"/>
  <c r="BL38" i="19"/>
  <c r="BM38" i="19"/>
  <c r="BO38" i="19"/>
  <c r="BP38" i="19"/>
  <c r="BR38" i="19"/>
  <c r="BS38" i="19"/>
  <c r="BT38" i="19"/>
  <c r="BU38" i="19"/>
  <c r="BW38" i="19"/>
  <c r="BX38" i="19"/>
  <c r="BY38" i="19"/>
  <c r="CA38" i="19"/>
  <c r="CB38" i="19"/>
  <c r="CC38" i="19"/>
  <c r="CD38" i="19"/>
  <c r="CE38" i="19"/>
  <c r="CF38" i="19"/>
  <c r="CH38" i="19"/>
  <c r="CI38" i="19"/>
  <c r="CJ38" i="19"/>
  <c r="CL38" i="19"/>
  <c r="CM38" i="19"/>
  <c r="CN38" i="19"/>
  <c r="CO38" i="19"/>
  <c r="CP38" i="19"/>
  <c r="CR38" i="19"/>
  <c r="CS38" i="19"/>
  <c r="CT38" i="19"/>
  <c r="CU38" i="19"/>
  <c r="CV38" i="19"/>
  <c r="CW38" i="19"/>
  <c r="CX38" i="19"/>
  <c r="CY38" i="19"/>
  <c r="CZ38" i="19"/>
  <c r="C39" i="19"/>
  <c r="D39" i="19"/>
  <c r="I39" i="19"/>
  <c r="K39" i="19"/>
  <c r="P39" i="19"/>
  <c r="Q39" i="19"/>
  <c r="R39" i="19"/>
  <c r="S39" i="19"/>
  <c r="V39" i="19"/>
  <c r="Y39" i="19"/>
  <c r="Z39" i="19"/>
  <c r="AA39" i="19"/>
  <c r="AB39" i="19"/>
  <c r="AD39" i="19"/>
  <c r="AE39" i="19"/>
  <c r="AI39" i="19"/>
  <c r="AK39" i="19"/>
  <c r="AL39" i="19"/>
  <c r="AM39" i="19"/>
  <c r="AN39" i="19"/>
  <c r="AQ39" i="19"/>
  <c r="AR39" i="19"/>
  <c r="AS39" i="19"/>
  <c r="AU39" i="19"/>
  <c r="AV39" i="19"/>
  <c r="AW39" i="19"/>
  <c r="AX39" i="19"/>
  <c r="AY39" i="19"/>
  <c r="AZ39" i="19"/>
  <c r="BB39" i="19"/>
  <c r="BC39" i="19"/>
  <c r="BD39" i="19"/>
  <c r="BF39" i="19"/>
  <c r="BG39" i="19"/>
  <c r="BH39" i="19"/>
  <c r="BI39" i="19"/>
  <c r="BJ39" i="19"/>
  <c r="BL39" i="19"/>
  <c r="BM39" i="19"/>
  <c r="BO39" i="19"/>
  <c r="BP39" i="19"/>
  <c r="BR39" i="19"/>
  <c r="BS39" i="19"/>
  <c r="BT39" i="19"/>
  <c r="BU39" i="19"/>
  <c r="BW39" i="19"/>
  <c r="BX39" i="19"/>
  <c r="BY39" i="19"/>
  <c r="CA39" i="19"/>
  <c r="CB39" i="19"/>
  <c r="CC39" i="19"/>
  <c r="CD39" i="19"/>
  <c r="CE39" i="19"/>
  <c r="CF39" i="19"/>
  <c r="CH39" i="19"/>
  <c r="CI39" i="19"/>
  <c r="CJ39" i="19"/>
  <c r="CL39" i="19"/>
  <c r="CM39" i="19"/>
  <c r="CN39" i="19"/>
  <c r="CO39" i="19"/>
  <c r="CP39" i="19"/>
  <c r="CR39" i="19"/>
  <c r="CS39" i="19"/>
  <c r="CT39" i="19"/>
  <c r="CU39" i="19"/>
  <c r="CV39" i="19"/>
  <c r="CW39" i="19"/>
  <c r="CX39" i="19"/>
  <c r="CY39" i="19"/>
  <c r="CZ39" i="19"/>
  <c r="C40" i="19"/>
  <c r="D40" i="19"/>
  <c r="I40" i="19"/>
  <c r="K40" i="19"/>
  <c r="P40" i="19"/>
  <c r="Q40" i="19"/>
  <c r="R40" i="19"/>
  <c r="S40" i="19"/>
  <c r="V40" i="19"/>
  <c r="Y40" i="19"/>
  <c r="Z40" i="19"/>
  <c r="AA40" i="19"/>
  <c r="AB40" i="19"/>
  <c r="AD40" i="19"/>
  <c r="AE40" i="19"/>
  <c r="AI40" i="19"/>
  <c r="AK40" i="19"/>
  <c r="AL40" i="19"/>
  <c r="AM40" i="19"/>
  <c r="AN40" i="19"/>
  <c r="AQ40" i="19"/>
  <c r="AR40" i="19"/>
  <c r="AS40" i="19"/>
  <c r="AU40" i="19"/>
  <c r="AV40" i="19"/>
  <c r="AW40" i="19"/>
  <c r="AX40" i="19"/>
  <c r="AY40" i="19"/>
  <c r="AZ40" i="19"/>
  <c r="BB40" i="19"/>
  <c r="BC40" i="19"/>
  <c r="BD40" i="19"/>
  <c r="BF40" i="19"/>
  <c r="BG40" i="19"/>
  <c r="BH40" i="19"/>
  <c r="BI40" i="19"/>
  <c r="BJ40" i="19"/>
  <c r="BL40" i="19"/>
  <c r="BM40" i="19"/>
  <c r="BO40" i="19"/>
  <c r="BP40" i="19"/>
  <c r="BR40" i="19"/>
  <c r="BS40" i="19"/>
  <c r="BT40" i="19"/>
  <c r="BU40" i="19"/>
  <c r="BW40" i="19"/>
  <c r="BX40" i="19"/>
  <c r="BY40" i="19"/>
  <c r="CA40" i="19"/>
  <c r="CB40" i="19"/>
  <c r="CC40" i="19"/>
  <c r="CD40" i="19"/>
  <c r="CE40" i="19"/>
  <c r="CF40" i="19"/>
  <c r="CH40" i="19"/>
  <c r="CI40" i="19"/>
  <c r="CJ40" i="19"/>
  <c r="CL40" i="19"/>
  <c r="CM40" i="19"/>
  <c r="CN40" i="19"/>
  <c r="CO40" i="19"/>
  <c r="CP40" i="19"/>
  <c r="CR40" i="19"/>
  <c r="CS40" i="19"/>
  <c r="CT40" i="19"/>
  <c r="CU40" i="19"/>
  <c r="CV40" i="19"/>
  <c r="CW40" i="19"/>
  <c r="CX40" i="19"/>
  <c r="CY40" i="19"/>
  <c r="CZ40" i="19"/>
  <c r="C41" i="19"/>
  <c r="D41" i="19"/>
  <c r="I41" i="19"/>
  <c r="K41" i="19"/>
  <c r="P41" i="19"/>
  <c r="Q41" i="19"/>
  <c r="R41" i="19"/>
  <c r="S41" i="19"/>
  <c r="Y41" i="19"/>
  <c r="Z41" i="19"/>
  <c r="AA41" i="19"/>
  <c r="AB41" i="19"/>
  <c r="AD41" i="19"/>
  <c r="AE41" i="19"/>
  <c r="AI41" i="19"/>
  <c r="AK41" i="19"/>
  <c r="AL41" i="19"/>
  <c r="AM41" i="19"/>
  <c r="AN41" i="19"/>
  <c r="AQ41" i="19"/>
  <c r="AR41" i="19"/>
  <c r="AS41" i="19"/>
  <c r="AU41" i="19"/>
  <c r="AV41" i="19"/>
  <c r="AW41" i="19"/>
  <c r="AX41" i="19"/>
  <c r="AY41" i="19"/>
  <c r="AZ41" i="19"/>
  <c r="BB41" i="19"/>
  <c r="BC41" i="19"/>
  <c r="BD41" i="19"/>
  <c r="BF41" i="19"/>
  <c r="BG41" i="19"/>
  <c r="BH41" i="19"/>
  <c r="BI41" i="19"/>
  <c r="BJ41" i="19"/>
  <c r="BL41" i="19"/>
  <c r="BM41" i="19"/>
  <c r="BO41" i="19"/>
  <c r="BP41" i="19"/>
  <c r="BR41" i="19"/>
  <c r="BS41" i="19"/>
  <c r="BT41" i="19"/>
  <c r="BU41" i="19"/>
  <c r="BW41" i="19"/>
  <c r="BX41" i="19"/>
  <c r="BY41" i="19"/>
  <c r="CA41" i="19"/>
  <c r="CB41" i="19"/>
  <c r="CC41" i="19"/>
  <c r="CD41" i="19"/>
  <c r="CE41" i="19"/>
  <c r="CF41" i="19"/>
  <c r="CH41" i="19"/>
  <c r="CI41" i="19"/>
  <c r="CJ41" i="19"/>
  <c r="CL41" i="19"/>
  <c r="CM41" i="19"/>
  <c r="CN41" i="19"/>
  <c r="CO41" i="19"/>
  <c r="CP41" i="19"/>
  <c r="CR41" i="19"/>
  <c r="CS41" i="19"/>
  <c r="CT41" i="19"/>
  <c r="CU41" i="19"/>
  <c r="CV41" i="19"/>
  <c r="CW41" i="19"/>
  <c r="CX41" i="19"/>
  <c r="CY41" i="19"/>
  <c r="CZ41" i="19"/>
  <c r="C42" i="19"/>
  <c r="D42" i="19"/>
  <c r="I42" i="19"/>
  <c r="K42" i="19"/>
  <c r="P42" i="19"/>
  <c r="Q42" i="19"/>
  <c r="R42" i="19"/>
  <c r="S42" i="19"/>
  <c r="Y42" i="19"/>
  <c r="Z42" i="19"/>
  <c r="AA42" i="19"/>
  <c r="AB42" i="19"/>
  <c r="AD42" i="19"/>
  <c r="AE42" i="19"/>
  <c r="AI42" i="19"/>
  <c r="AK42" i="19"/>
  <c r="AL42" i="19"/>
  <c r="AM42" i="19"/>
  <c r="AN42" i="19"/>
  <c r="AQ42" i="19"/>
  <c r="AR42" i="19"/>
  <c r="AS42" i="19"/>
  <c r="AU42" i="19"/>
  <c r="AV42" i="19"/>
  <c r="AW42" i="19"/>
  <c r="AX42" i="19"/>
  <c r="AY42" i="19"/>
  <c r="AZ42" i="19"/>
  <c r="BB42" i="19"/>
  <c r="BC42" i="19"/>
  <c r="BD42" i="19"/>
  <c r="BF42" i="19"/>
  <c r="BG42" i="19"/>
  <c r="BH42" i="19"/>
  <c r="BI42" i="19"/>
  <c r="BJ42" i="19"/>
  <c r="BL42" i="19"/>
  <c r="BM42" i="19"/>
  <c r="BO42" i="19"/>
  <c r="BP42" i="19"/>
  <c r="BR42" i="19"/>
  <c r="BS42" i="19"/>
  <c r="BT42" i="19"/>
  <c r="BU42" i="19"/>
  <c r="BW42" i="19"/>
  <c r="BX42" i="19"/>
  <c r="BY42" i="19"/>
  <c r="CA42" i="19"/>
  <c r="CB42" i="19"/>
  <c r="CC42" i="19"/>
  <c r="CD42" i="19"/>
  <c r="CE42" i="19"/>
  <c r="CF42" i="19"/>
  <c r="CH42" i="19"/>
  <c r="CI42" i="19"/>
  <c r="CJ42" i="19"/>
  <c r="CL42" i="19"/>
  <c r="CM42" i="19"/>
  <c r="CN42" i="19"/>
  <c r="CO42" i="19"/>
  <c r="CP42" i="19"/>
  <c r="CR42" i="19"/>
  <c r="CS42" i="19"/>
  <c r="CT42" i="19"/>
  <c r="CU42" i="19"/>
  <c r="CV42" i="19"/>
  <c r="CW42" i="19"/>
  <c r="CX42" i="19"/>
  <c r="CY42" i="19"/>
  <c r="CZ42" i="19"/>
  <c r="C43" i="19"/>
  <c r="D43" i="19"/>
  <c r="I43" i="19"/>
  <c r="K43" i="19"/>
  <c r="P43" i="19"/>
  <c r="Q43" i="19"/>
  <c r="R43" i="19"/>
  <c r="S43" i="19"/>
  <c r="Y43" i="19"/>
  <c r="Z43" i="19"/>
  <c r="AA43" i="19"/>
  <c r="AB43" i="19"/>
  <c r="AD43" i="19"/>
  <c r="AE43" i="19"/>
  <c r="AI43" i="19"/>
  <c r="AK43" i="19"/>
  <c r="AL43" i="19"/>
  <c r="AM43" i="19"/>
  <c r="AN43" i="19"/>
  <c r="AQ43" i="19"/>
  <c r="AR43" i="19"/>
  <c r="AS43" i="19"/>
  <c r="AU43" i="19"/>
  <c r="AV43" i="19"/>
  <c r="AW43" i="19"/>
  <c r="AX43" i="19"/>
  <c r="AY43" i="19"/>
  <c r="AZ43" i="19"/>
  <c r="BB43" i="19"/>
  <c r="BC43" i="19"/>
  <c r="BD43" i="19"/>
  <c r="BF43" i="19"/>
  <c r="BG43" i="19"/>
  <c r="BH43" i="19"/>
  <c r="BI43" i="19"/>
  <c r="BJ43" i="19"/>
  <c r="BL43" i="19"/>
  <c r="BM43" i="19"/>
  <c r="BO43" i="19"/>
  <c r="BP43" i="19"/>
  <c r="BR43" i="19"/>
  <c r="BS43" i="19"/>
  <c r="BT43" i="19"/>
  <c r="BU43" i="19"/>
  <c r="BW43" i="19"/>
  <c r="BX43" i="19"/>
  <c r="BY43" i="19"/>
  <c r="CA43" i="19"/>
  <c r="CB43" i="19"/>
  <c r="CC43" i="19"/>
  <c r="CD43" i="19"/>
  <c r="CE43" i="19"/>
  <c r="CF43" i="19"/>
  <c r="CH43" i="19"/>
  <c r="CI43" i="19"/>
  <c r="CJ43" i="19"/>
  <c r="CL43" i="19"/>
  <c r="CM43" i="19"/>
  <c r="CN43" i="19"/>
  <c r="CO43" i="19"/>
  <c r="CP43" i="19"/>
  <c r="CR43" i="19"/>
  <c r="CS43" i="19"/>
  <c r="CT43" i="19"/>
  <c r="CU43" i="19"/>
  <c r="CV43" i="19"/>
  <c r="CW43" i="19"/>
  <c r="CX43" i="19"/>
  <c r="CY43" i="19"/>
  <c r="CZ43" i="19"/>
  <c r="C44" i="19"/>
  <c r="D44" i="19"/>
  <c r="I44" i="19"/>
  <c r="K44" i="19"/>
  <c r="P44" i="19"/>
  <c r="Q44" i="19"/>
  <c r="R44" i="19"/>
  <c r="S44" i="19"/>
  <c r="Y44" i="19"/>
  <c r="Z44" i="19"/>
  <c r="AA44" i="19"/>
  <c r="AB44" i="19"/>
  <c r="AD44" i="19"/>
  <c r="AE44" i="19"/>
  <c r="AI44" i="19"/>
  <c r="AK44" i="19"/>
  <c r="AL44" i="19"/>
  <c r="AM44" i="19"/>
  <c r="AN44" i="19"/>
  <c r="AQ44" i="19"/>
  <c r="AR44" i="19"/>
  <c r="AS44" i="19"/>
  <c r="AU44" i="19"/>
  <c r="AV44" i="19"/>
  <c r="AW44" i="19"/>
  <c r="AX44" i="19"/>
  <c r="AY44" i="19"/>
  <c r="AZ44" i="19"/>
  <c r="BB44" i="19"/>
  <c r="BC44" i="19"/>
  <c r="BD44" i="19"/>
  <c r="BF44" i="19"/>
  <c r="BG44" i="19"/>
  <c r="BH44" i="19"/>
  <c r="BI44" i="19"/>
  <c r="BJ44" i="19"/>
  <c r="BL44" i="19"/>
  <c r="BM44" i="19"/>
  <c r="BO44" i="19"/>
  <c r="BP44" i="19"/>
  <c r="BR44" i="19"/>
  <c r="BS44" i="19"/>
  <c r="BT44" i="19"/>
  <c r="BU44" i="19"/>
  <c r="BW44" i="19"/>
  <c r="BX44" i="19"/>
  <c r="BY44" i="19"/>
  <c r="CA44" i="19"/>
  <c r="CB44" i="19"/>
  <c r="CC44" i="19"/>
  <c r="CD44" i="19"/>
  <c r="CE44" i="19"/>
  <c r="CF44" i="19"/>
  <c r="CH44" i="19"/>
  <c r="CI44" i="19"/>
  <c r="CJ44" i="19"/>
  <c r="CL44" i="19"/>
  <c r="CM44" i="19"/>
  <c r="CN44" i="19"/>
  <c r="CO44" i="19"/>
  <c r="CP44" i="19"/>
  <c r="CR44" i="19"/>
  <c r="CS44" i="19"/>
  <c r="CT44" i="19"/>
  <c r="CU44" i="19"/>
  <c r="CV44" i="19"/>
  <c r="CW44" i="19"/>
  <c r="CX44" i="19"/>
  <c r="CY44" i="19"/>
  <c r="CZ44" i="19"/>
  <c r="C45" i="19"/>
  <c r="D45" i="19"/>
  <c r="I45" i="19"/>
  <c r="K45" i="19"/>
  <c r="P45" i="19"/>
  <c r="Q45" i="19"/>
  <c r="R45" i="19"/>
  <c r="S45" i="19"/>
  <c r="Y45" i="19"/>
  <c r="Z45" i="19"/>
  <c r="AA45" i="19"/>
  <c r="AB45" i="19"/>
  <c r="AD45" i="19"/>
  <c r="AE45" i="19"/>
  <c r="AI45" i="19"/>
  <c r="AK45" i="19"/>
  <c r="AL45" i="19"/>
  <c r="AM45" i="19"/>
  <c r="AN45" i="19"/>
  <c r="AQ45" i="19"/>
  <c r="AR45" i="19"/>
  <c r="AS45" i="19"/>
  <c r="AU45" i="19"/>
  <c r="AV45" i="19"/>
  <c r="AW45" i="19"/>
  <c r="AX45" i="19"/>
  <c r="AY45" i="19"/>
  <c r="AZ45" i="19"/>
  <c r="BB45" i="19"/>
  <c r="BC45" i="19"/>
  <c r="BD45" i="19"/>
  <c r="BF45" i="19"/>
  <c r="BG45" i="19"/>
  <c r="BH45" i="19"/>
  <c r="BI45" i="19"/>
  <c r="BJ45" i="19"/>
  <c r="BL45" i="19"/>
  <c r="BM45" i="19"/>
  <c r="BO45" i="19"/>
  <c r="BP45" i="19"/>
  <c r="BR45" i="19"/>
  <c r="BS45" i="19"/>
  <c r="BT45" i="19"/>
  <c r="BU45" i="19"/>
  <c r="BW45" i="19"/>
  <c r="BX45" i="19"/>
  <c r="BY45" i="19"/>
  <c r="CA45" i="19"/>
  <c r="CB45" i="19"/>
  <c r="CC45" i="19"/>
  <c r="CD45" i="19"/>
  <c r="CE45" i="19"/>
  <c r="CF45" i="19"/>
  <c r="CH45" i="19"/>
  <c r="CI45" i="19"/>
  <c r="CJ45" i="19"/>
  <c r="CL45" i="19"/>
  <c r="CM45" i="19"/>
  <c r="CN45" i="19"/>
  <c r="CO45" i="19"/>
  <c r="CP45" i="19"/>
  <c r="CR45" i="19"/>
  <c r="CS45" i="19"/>
  <c r="CT45" i="19"/>
  <c r="CU45" i="19"/>
  <c r="CV45" i="19"/>
  <c r="CW45" i="19"/>
  <c r="CX45" i="19"/>
  <c r="CY45" i="19"/>
  <c r="CZ45" i="19"/>
  <c r="C46" i="19"/>
  <c r="D46" i="19"/>
  <c r="I46" i="19"/>
  <c r="K46" i="19"/>
  <c r="P46" i="19"/>
  <c r="Q46" i="19"/>
  <c r="R46" i="19"/>
  <c r="S46" i="19"/>
  <c r="Y46" i="19"/>
  <c r="Z46" i="19"/>
  <c r="AA46" i="19"/>
  <c r="AB46" i="19"/>
  <c r="AD46" i="19"/>
  <c r="AE46" i="19"/>
  <c r="AI46" i="19"/>
  <c r="AK46" i="19"/>
  <c r="AL46" i="19"/>
  <c r="AM46" i="19"/>
  <c r="AN46" i="19"/>
  <c r="AQ46" i="19"/>
  <c r="AR46" i="19"/>
  <c r="AS46" i="19"/>
  <c r="AU46" i="19"/>
  <c r="AV46" i="19"/>
  <c r="AW46" i="19"/>
  <c r="AX46" i="19"/>
  <c r="AY46" i="19"/>
  <c r="AZ46" i="19"/>
  <c r="BB46" i="19"/>
  <c r="BC46" i="19"/>
  <c r="BD46" i="19"/>
  <c r="BF46" i="19"/>
  <c r="BG46" i="19"/>
  <c r="BH46" i="19"/>
  <c r="BI46" i="19"/>
  <c r="BJ46" i="19"/>
  <c r="BL46" i="19"/>
  <c r="BM46" i="19"/>
  <c r="BO46" i="19"/>
  <c r="BP46" i="19"/>
  <c r="BR46" i="19"/>
  <c r="BS46" i="19"/>
  <c r="BT46" i="19"/>
  <c r="BU46" i="19"/>
  <c r="BW46" i="19"/>
  <c r="BX46" i="19"/>
  <c r="BY46" i="19"/>
  <c r="CA46" i="19"/>
  <c r="CB46" i="19"/>
  <c r="CC46" i="19"/>
  <c r="CD46" i="19"/>
  <c r="CE46" i="19"/>
  <c r="CF46" i="19"/>
  <c r="CH46" i="19"/>
  <c r="CI46" i="19"/>
  <c r="CJ46" i="19"/>
  <c r="CL46" i="19"/>
  <c r="CM46" i="19"/>
  <c r="CN46" i="19"/>
  <c r="CO46" i="19"/>
  <c r="CP46" i="19"/>
  <c r="CR46" i="19"/>
  <c r="CS46" i="19"/>
  <c r="CT46" i="19"/>
  <c r="CU46" i="19"/>
  <c r="CV46" i="19"/>
  <c r="CW46" i="19"/>
  <c r="CX46" i="19"/>
  <c r="CY46" i="19"/>
  <c r="CZ46" i="19"/>
  <c r="C47" i="19"/>
  <c r="D47" i="19"/>
  <c r="I47" i="19"/>
  <c r="K47" i="19"/>
  <c r="P47" i="19"/>
  <c r="Q47" i="19"/>
  <c r="R47" i="19"/>
  <c r="S47" i="19"/>
  <c r="Y47" i="19"/>
  <c r="Z47" i="19"/>
  <c r="AA47" i="19"/>
  <c r="AB47" i="19"/>
  <c r="AD47" i="19"/>
  <c r="AE47" i="19"/>
  <c r="AI47" i="19"/>
  <c r="AK47" i="19"/>
  <c r="AL47" i="19"/>
  <c r="AM47" i="19"/>
  <c r="AN47" i="19"/>
  <c r="AQ47" i="19"/>
  <c r="AR47" i="19"/>
  <c r="AS47" i="19"/>
  <c r="AU47" i="19"/>
  <c r="AV47" i="19"/>
  <c r="AW47" i="19"/>
  <c r="AX47" i="19"/>
  <c r="AY47" i="19"/>
  <c r="AZ47" i="19"/>
  <c r="BB47" i="19"/>
  <c r="BC47" i="19"/>
  <c r="BD47" i="19"/>
  <c r="BF47" i="19"/>
  <c r="BG47" i="19"/>
  <c r="BH47" i="19"/>
  <c r="BI47" i="19"/>
  <c r="BJ47" i="19"/>
  <c r="BL47" i="19"/>
  <c r="BM47" i="19"/>
  <c r="BO47" i="19"/>
  <c r="BP47" i="19"/>
  <c r="BR47" i="19"/>
  <c r="BS47" i="19"/>
  <c r="BT47" i="19"/>
  <c r="BU47" i="19"/>
  <c r="BW47" i="19"/>
  <c r="BX47" i="19"/>
  <c r="BY47" i="19"/>
  <c r="CA47" i="19"/>
  <c r="CB47" i="19"/>
  <c r="CC47" i="19"/>
  <c r="CD47" i="19"/>
  <c r="CE47" i="19"/>
  <c r="CF47" i="19"/>
  <c r="CH47" i="19"/>
  <c r="CI47" i="19"/>
  <c r="CJ47" i="19"/>
  <c r="CL47" i="19"/>
  <c r="CM47" i="19"/>
  <c r="CN47" i="19"/>
  <c r="CO47" i="19"/>
  <c r="CP47" i="19"/>
  <c r="CR47" i="19"/>
  <c r="CS47" i="19"/>
  <c r="CT47" i="19"/>
  <c r="CU47" i="19"/>
  <c r="CV47" i="19"/>
  <c r="CW47" i="19"/>
  <c r="CX47" i="19"/>
  <c r="CY47" i="19"/>
  <c r="CZ47" i="19"/>
  <c r="C48" i="19"/>
  <c r="D48" i="19"/>
  <c r="I48" i="19"/>
  <c r="K48" i="19"/>
  <c r="P48" i="19"/>
  <c r="Q48" i="19"/>
  <c r="R48" i="19"/>
  <c r="S48" i="19"/>
  <c r="Y48" i="19"/>
  <c r="Z48" i="19"/>
  <c r="AA48" i="19"/>
  <c r="AB48" i="19"/>
  <c r="AD48" i="19"/>
  <c r="AE48" i="19"/>
  <c r="AI48" i="19"/>
  <c r="AK48" i="19"/>
  <c r="AL48" i="19"/>
  <c r="AM48" i="19"/>
  <c r="AN48" i="19"/>
  <c r="AQ48" i="19"/>
  <c r="AR48" i="19"/>
  <c r="AS48" i="19"/>
  <c r="AU48" i="19"/>
  <c r="AV48" i="19"/>
  <c r="AW48" i="19"/>
  <c r="AX48" i="19"/>
  <c r="AY48" i="19"/>
  <c r="AZ48" i="19"/>
  <c r="BB48" i="19"/>
  <c r="BC48" i="19"/>
  <c r="BD48" i="19"/>
  <c r="BF48" i="19"/>
  <c r="BG48" i="19"/>
  <c r="BH48" i="19"/>
  <c r="BI48" i="19"/>
  <c r="BJ48" i="19"/>
  <c r="BL48" i="19"/>
  <c r="BM48" i="19"/>
  <c r="BO48" i="19"/>
  <c r="BP48" i="19"/>
  <c r="BR48" i="19"/>
  <c r="BS48" i="19"/>
  <c r="BT48" i="19"/>
  <c r="BU48" i="19"/>
  <c r="BW48" i="19"/>
  <c r="BX48" i="19"/>
  <c r="BY48" i="19"/>
  <c r="CA48" i="19"/>
  <c r="CB48" i="19"/>
  <c r="CC48" i="19"/>
  <c r="CD48" i="19"/>
  <c r="CE48" i="19"/>
  <c r="CF48" i="19"/>
  <c r="CH48" i="19"/>
  <c r="CI48" i="19"/>
  <c r="CJ48" i="19"/>
  <c r="CL48" i="19"/>
  <c r="CM48" i="19"/>
  <c r="CN48" i="19"/>
  <c r="CO48" i="19"/>
  <c r="CP48" i="19"/>
  <c r="CR48" i="19"/>
  <c r="CS48" i="19"/>
  <c r="CT48" i="19"/>
  <c r="CU48" i="19"/>
  <c r="CV48" i="19"/>
  <c r="CW48" i="19"/>
  <c r="CX48" i="19"/>
  <c r="CY48" i="19"/>
  <c r="CZ48" i="19"/>
  <c r="C49" i="19"/>
  <c r="D49" i="19"/>
  <c r="I49" i="19"/>
  <c r="K49" i="19"/>
  <c r="P49" i="19"/>
  <c r="Q49" i="19"/>
  <c r="R49" i="19"/>
  <c r="S49" i="19"/>
  <c r="Y49" i="19"/>
  <c r="Z49" i="19"/>
  <c r="AA49" i="19"/>
  <c r="AB49" i="19"/>
  <c r="AD49" i="19"/>
  <c r="AE49" i="19"/>
  <c r="AI49" i="19"/>
  <c r="AK49" i="19"/>
  <c r="AL49" i="19"/>
  <c r="AM49" i="19"/>
  <c r="AN49" i="19"/>
  <c r="AQ49" i="19"/>
  <c r="AR49" i="19"/>
  <c r="AS49" i="19"/>
  <c r="AU49" i="19"/>
  <c r="AV49" i="19"/>
  <c r="AW49" i="19"/>
  <c r="AX49" i="19"/>
  <c r="AY49" i="19"/>
  <c r="AZ49" i="19"/>
  <c r="BB49" i="19"/>
  <c r="BC49" i="19"/>
  <c r="BD49" i="19"/>
  <c r="BF49" i="19"/>
  <c r="BG49" i="19"/>
  <c r="BH49" i="19"/>
  <c r="BI49" i="19"/>
  <c r="BJ49" i="19"/>
  <c r="BL49" i="19"/>
  <c r="BM49" i="19"/>
  <c r="BO49" i="19"/>
  <c r="BP49" i="19"/>
  <c r="BR49" i="19"/>
  <c r="BS49" i="19"/>
  <c r="BT49" i="19"/>
  <c r="BU49" i="19"/>
  <c r="BW49" i="19"/>
  <c r="BX49" i="19"/>
  <c r="BY49" i="19"/>
  <c r="CA49" i="19"/>
  <c r="CB49" i="19"/>
  <c r="CC49" i="19"/>
  <c r="CD49" i="19"/>
  <c r="CE49" i="19"/>
  <c r="CF49" i="19"/>
  <c r="CH49" i="19"/>
  <c r="CI49" i="19"/>
  <c r="CJ49" i="19"/>
  <c r="CL49" i="19"/>
  <c r="CM49" i="19"/>
  <c r="CN49" i="19"/>
  <c r="CO49" i="19"/>
  <c r="CP49" i="19"/>
  <c r="CR49" i="19"/>
  <c r="CS49" i="19"/>
  <c r="CT49" i="19"/>
  <c r="CU49" i="19"/>
  <c r="CV49" i="19"/>
  <c r="CW49" i="19"/>
  <c r="CX49" i="19"/>
  <c r="CY49" i="19"/>
  <c r="CZ49" i="19"/>
  <c r="C50" i="19"/>
  <c r="D50" i="19"/>
  <c r="I50" i="19"/>
  <c r="K50" i="19"/>
  <c r="P50" i="19"/>
  <c r="Q50" i="19"/>
  <c r="R50" i="19"/>
  <c r="S50" i="19"/>
  <c r="Y50" i="19"/>
  <c r="Z50" i="19"/>
  <c r="AA50" i="19"/>
  <c r="AB50" i="19"/>
  <c r="AD50" i="19"/>
  <c r="AE50" i="19"/>
  <c r="AI50" i="19"/>
  <c r="AK50" i="19"/>
  <c r="AL50" i="19"/>
  <c r="AM50" i="19"/>
  <c r="AN50" i="19"/>
  <c r="AQ50" i="19"/>
  <c r="AR50" i="19"/>
  <c r="AS50" i="19"/>
  <c r="AU50" i="19"/>
  <c r="AV50" i="19"/>
  <c r="AW50" i="19"/>
  <c r="AX50" i="19"/>
  <c r="AY50" i="19"/>
  <c r="AZ50" i="19"/>
  <c r="BB50" i="19"/>
  <c r="BC50" i="19"/>
  <c r="BD50" i="19"/>
  <c r="BF50" i="19"/>
  <c r="BG50" i="19"/>
  <c r="BH50" i="19"/>
  <c r="BI50" i="19"/>
  <c r="BJ50" i="19"/>
  <c r="BL50" i="19"/>
  <c r="BM50" i="19"/>
  <c r="BO50" i="19"/>
  <c r="BP50" i="19"/>
  <c r="BR50" i="19"/>
  <c r="BS50" i="19"/>
  <c r="BT50" i="19"/>
  <c r="BU50" i="19"/>
  <c r="BW50" i="19"/>
  <c r="BX50" i="19"/>
  <c r="BY50" i="19"/>
  <c r="CA50" i="19"/>
  <c r="CB50" i="19"/>
  <c r="CC50" i="19"/>
  <c r="CD50" i="19"/>
  <c r="CE50" i="19"/>
  <c r="CF50" i="19"/>
  <c r="CH50" i="19"/>
  <c r="CI50" i="19"/>
  <c r="CJ50" i="19"/>
  <c r="CL50" i="19"/>
  <c r="CM50" i="19"/>
  <c r="CN50" i="19"/>
  <c r="CO50" i="19"/>
  <c r="CP50" i="19"/>
  <c r="CR50" i="19"/>
  <c r="CS50" i="19"/>
  <c r="CT50" i="19"/>
  <c r="CU50" i="19"/>
  <c r="CV50" i="19"/>
  <c r="CW50" i="19"/>
  <c r="CX50" i="19"/>
  <c r="CY50" i="19"/>
  <c r="CZ50" i="19"/>
  <c r="C51" i="19"/>
  <c r="D51" i="19"/>
  <c r="I51" i="19"/>
  <c r="K51" i="19"/>
  <c r="P51" i="19"/>
  <c r="Q51" i="19"/>
  <c r="R51" i="19"/>
  <c r="S51" i="19"/>
  <c r="Y51" i="19"/>
  <c r="Z51" i="19"/>
  <c r="AA51" i="19"/>
  <c r="AB51" i="19"/>
  <c r="AD51" i="19"/>
  <c r="AE51" i="19"/>
  <c r="AI51" i="19"/>
  <c r="AK51" i="19"/>
  <c r="AL51" i="19"/>
  <c r="AM51" i="19"/>
  <c r="AN51" i="19"/>
  <c r="AQ51" i="19"/>
  <c r="AR51" i="19"/>
  <c r="AS51" i="19"/>
  <c r="AU51" i="19"/>
  <c r="AV51" i="19"/>
  <c r="AW51" i="19"/>
  <c r="AX51" i="19"/>
  <c r="AY51" i="19"/>
  <c r="AZ51" i="19"/>
  <c r="BB51" i="19"/>
  <c r="BC51" i="19"/>
  <c r="BD51" i="19"/>
  <c r="BF51" i="19"/>
  <c r="BG51" i="19"/>
  <c r="BH51" i="19"/>
  <c r="BI51" i="19"/>
  <c r="BJ51" i="19"/>
  <c r="BL51" i="19"/>
  <c r="BM51" i="19"/>
  <c r="BO51" i="19"/>
  <c r="BP51" i="19"/>
  <c r="BR51" i="19"/>
  <c r="BS51" i="19"/>
  <c r="BT51" i="19"/>
  <c r="BU51" i="19"/>
  <c r="BW51" i="19"/>
  <c r="BX51" i="19"/>
  <c r="BY51" i="19"/>
  <c r="CA51" i="19"/>
  <c r="CB51" i="19"/>
  <c r="CC51" i="19"/>
  <c r="CD51" i="19"/>
  <c r="CE51" i="19"/>
  <c r="CF51" i="19"/>
  <c r="CH51" i="19"/>
  <c r="CI51" i="19"/>
  <c r="CJ51" i="19"/>
  <c r="CL51" i="19"/>
  <c r="CM51" i="19"/>
  <c r="CN51" i="19"/>
  <c r="CO51" i="19"/>
  <c r="CP51" i="19"/>
  <c r="CR51" i="19"/>
  <c r="CS51" i="19"/>
  <c r="CT51" i="19"/>
  <c r="CU51" i="19"/>
  <c r="CV51" i="19"/>
  <c r="CW51" i="19"/>
  <c r="CX51" i="19"/>
  <c r="CY51" i="19"/>
  <c r="CZ51" i="19"/>
  <c r="C52" i="19"/>
  <c r="D52" i="19"/>
  <c r="I52" i="19"/>
  <c r="K52" i="19"/>
  <c r="P52" i="19"/>
  <c r="Q52" i="19"/>
  <c r="R52" i="19"/>
  <c r="S52" i="19"/>
  <c r="Y52" i="19"/>
  <c r="Z52" i="19"/>
  <c r="AA52" i="19"/>
  <c r="AB52" i="19"/>
  <c r="AD52" i="19"/>
  <c r="AE52" i="19"/>
  <c r="AI52" i="19"/>
  <c r="AK52" i="19"/>
  <c r="AL52" i="19"/>
  <c r="AM52" i="19"/>
  <c r="AN52" i="19"/>
  <c r="AQ52" i="19"/>
  <c r="AR52" i="19"/>
  <c r="AS52" i="19"/>
  <c r="AU52" i="19"/>
  <c r="AV52" i="19"/>
  <c r="AW52" i="19"/>
  <c r="AX52" i="19"/>
  <c r="AY52" i="19"/>
  <c r="AZ52" i="19"/>
  <c r="BB52" i="19"/>
  <c r="BC52" i="19"/>
  <c r="BD52" i="19"/>
  <c r="BF52" i="19"/>
  <c r="BG52" i="19"/>
  <c r="BH52" i="19"/>
  <c r="BI52" i="19"/>
  <c r="BJ52" i="19"/>
  <c r="BL52" i="19"/>
  <c r="BM52" i="19"/>
  <c r="BO52" i="19"/>
  <c r="BP52" i="19"/>
  <c r="BR52" i="19"/>
  <c r="BS52" i="19"/>
  <c r="BT52" i="19"/>
  <c r="BU52" i="19"/>
  <c r="BW52" i="19"/>
  <c r="BX52" i="19"/>
  <c r="BY52" i="19"/>
  <c r="CA52" i="19"/>
  <c r="CB52" i="19"/>
  <c r="CC52" i="19"/>
  <c r="CD52" i="19"/>
  <c r="CE52" i="19"/>
  <c r="CF52" i="19"/>
  <c r="CH52" i="19"/>
  <c r="CI52" i="19"/>
  <c r="CJ52" i="19"/>
  <c r="CL52" i="19"/>
  <c r="CM52" i="19"/>
  <c r="CN52" i="19"/>
  <c r="CO52" i="19"/>
  <c r="CP52" i="19"/>
  <c r="CR52" i="19"/>
  <c r="CS52" i="19"/>
  <c r="CT52" i="19"/>
  <c r="CU52" i="19"/>
  <c r="CV52" i="19"/>
  <c r="CW52" i="19"/>
  <c r="CX52" i="19"/>
  <c r="CY52" i="19"/>
  <c r="CZ52" i="19"/>
  <c r="C53" i="19"/>
  <c r="D53" i="19"/>
  <c r="I53" i="19"/>
  <c r="K53" i="19"/>
  <c r="P53" i="19"/>
  <c r="Q53" i="19"/>
  <c r="R53" i="19"/>
  <c r="S53" i="19"/>
  <c r="Y53" i="19"/>
  <c r="Z53" i="19"/>
  <c r="AA53" i="19"/>
  <c r="AB53" i="19"/>
  <c r="AD53" i="19"/>
  <c r="AE53" i="19"/>
  <c r="AI53" i="19"/>
  <c r="AK53" i="19"/>
  <c r="AL53" i="19"/>
  <c r="AM53" i="19"/>
  <c r="AN53" i="19"/>
  <c r="AQ53" i="19"/>
  <c r="AR53" i="19"/>
  <c r="AS53" i="19"/>
  <c r="AU53" i="19"/>
  <c r="AV53" i="19"/>
  <c r="AW53" i="19"/>
  <c r="AX53" i="19"/>
  <c r="AY53" i="19"/>
  <c r="AZ53" i="19"/>
  <c r="BB53" i="19"/>
  <c r="BC53" i="19"/>
  <c r="BD53" i="19"/>
  <c r="BF53" i="19"/>
  <c r="BG53" i="19"/>
  <c r="BH53" i="19"/>
  <c r="BI53" i="19"/>
  <c r="BJ53" i="19"/>
  <c r="BL53" i="19"/>
  <c r="BM53" i="19"/>
  <c r="BO53" i="19"/>
  <c r="BP53" i="19"/>
  <c r="BR53" i="19"/>
  <c r="BS53" i="19"/>
  <c r="BT53" i="19"/>
  <c r="BU53" i="19"/>
  <c r="BW53" i="19"/>
  <c r="BX53" i="19"/>
  <c r="BY53" i="19"/>
  <c r="CA53" i="19"/>
  <c r="CB53" i="19"/>
  <c r="CC53" i="19"/>
  <c r="CD53" i="19"/>
  <c r="CE53" i="19"/>
  <c r="CF53" i="19"/>
  <c r="CH53" i="19"/>
  <c r="CI53" i="19"/>
  <c r="CJ53" i="19"/>
  <c r="CL53" i="19"/>
  <c r="CM53" i="19"/>
  <c r="CN53" i="19"/>
  <c r="CO53" i="19"/>
  <c r="CP53" i="19"/>
  <c r="CR53" i="19"/>
  <c r="CS53" i="19"/>
  <c r="CT53" i="19"/>
  <c r="CU53" i="19"/>
  <c r="CV53" i="19"/>
  <c r="CW53" i="19"/>
  <c r="CX53" i="19"/>
  <c r="CY53" i="19"/>
  <c r="CZ53" i="19"/>
  <c r="C54" i="19"/>
  <c r="D54" i="19"/>
  <c r="I54" i="19"/>
  <c r="K54" i="19"/>
  <c r="P54" i="19"/>
  <c r="Q54" i="19"/>
  <c r="R54" i="19"/>
  <c r="S54" i="19"/>
  <c r="Y54" i="19"/>
  <c r="Z54" i="19"/>
  <c r="AA54" i="19"/>
  <c r="AB54" i="19"/>
  <c r="AD54" i="19"/>
  <c r="AE54" i="19"/>
  <c r="AI54" i="19"/>
  <c r="AK54" i="19"/>
  <c r="AL54" i="19"/>
  <c r="AM54" i="19"/>
  <c r="AN54" i="19"/>
  <c r="AQ54" i="19"/>
  <c r="AR54" i="19"/>
  <c r="AS54" i="19"/>
  <c r="AU54" i="19"/>
  <c r="AV54" i="19"/>
  <c r="AW54" i="19"/>
  <c r="AX54" i="19"/>
  <c r="AY54" i="19"/>
  <c r="AZ54" i="19"/>
  <c r="BB54" i="19"/>
  <c r="BC54" i="19"/>
  <c r="BD54" i="19"/>
  <c r="BF54" i="19"/>
  <c r="BG54" i="19"/>
  <c r="BH54" i="19"/>
  <c r="BI54" i="19"/>
  <c r="BJ54" i="19"/>
  <c r="BL54" i="19"/>
  <c r="BM54" i="19"/>
  <c r="BO54" i="19"/>
  <c r="BP54" i="19"/>
  <c r="BR54" i="19"/>
  <c r="BS54" i="19"/>
  <c r="BT54" i="19"/>
  <c r="BU54" i="19"/>
  <c r="BW54" i="19"/>
  <c r="BX54" i="19"/>
  <c r="BY54" i="19"/>
  <c r="CA54" i="19"/>
  <c r="CB54" i="19"/>
  <c r="CC54" i="19"/>
  <c r="CD54" i="19"/>
  <c r="CE54" i="19"/>
  <c r="CF54" i="19"/>
  <c r="CH54" i="19"/>
  <c r="CI54" i="19"/>
  <c r="CJ54" i="19"/>
  <c r="CL54" i="19"/>
  <c r="CM54" i="19"/>
  <c r="CN54" i="19"/>
  <c r="CO54" i="19"/>
  <c r="CP54" i="19"/>
  <c r="CR54" i="19"/>
  <c r="CS54" i="19"/>
  <c r="CT54" i="19"/>
  <c r="CU54" i="19"/>
  <c r="CV54" i="19"/>
  <c r="CW54" i="19"/>
  <c r="CX54" i="19"/>
  <c r="CY54" i="19"/>
  <c r="CZ54" i="19"/>
  <c r="C55" i="19"/>
  <c r="D55" i="19"/>
  <c r="I55" i="19"/>
  <c r="K55" i="19"/>
  <c r="P55" i="19"/>
  <c r="Q55" i="19"/>
  <c r="R55" i="19"/>
  <c r="S55" i="19"/>
  <c r="Y55" i="19"/>
  <c r="Z55" i="19"/>
  <c r="AA55" i="19"/>
  <c r="AB55" i="19"/>
  <c r="AD55" i="19"/>
  <c r="AE55" i="19"/>
  <c r="AI55" i="19"/>
  <c r="AK55" i="19"/>
  <c r="AL55" i="19"/>
  <c r="AM55" i="19"/>
  <c r="AN55" i="19"/>
  <c r="AQ55" i="19"/>
  <c r="AR55" i="19"/>
  <c r="AS55" i="19"/>
  <c r="AU55" i="19"/>
  <c r="AV55" i="19"/>
  <c r="AW55" i="19"/>
  <c r="AX55" i="19"/>
  <c r="AY55" i="19"/>
  <c r="AZ55" i="19"/>
  <c r="BB55" i="19"/>
  <c r="BC55" i="19"/>
  <c r="BD55" i="19"/>
  <c r="BF55" i="19"/>
  <c r="BG55" i="19"/>
  <c r="BH55" i="19"/>
  <c r="BI55" i="19"/>
  <c r="BJ55" i="19"/>
  <c r="BL55" i="19"/>
  <c r="BM55" i="19"/>
  <c r="BO55" i="19"/>
  <c r="BP55" i="19"/>
  <c r="BR55" i="19"/>
  <c r="BS55" i="19"/>
  <c r="BT55" i="19"/>
  <c r="BU55" i="19"/>
  <c r="BW55" i="19"/>
  <c r="BX55" i="19"/>
  <c r="BY55" i="19"/>
  <c r="CA55" i="19"/>
  <c r="CB55" i="19"/>
  <c r="CC55" i="19"/>
  <c r="CD55" i="19"/>
  <c r="CE55" i="19"/>
  <c r="CF55" i="19"/>
  <c r="CH55" i="19"/>
  <c r="CI55" i="19"/>
  <c r="CJ55" i="19"/>
  <c r="CL55" i="19"/>
  <c r="CM55" i="19"/>
  <c r="CN55" i="19"/>
  <c r="CO55" i="19"/>
  <c r="CP55" i="19"/>
  <c r="CR55" i="19"/>
  <c r="CS55" i="19"/>
  <c r="CT55" i="19"/>
  <c r="CU55" i="19"/>
  <c r="CV55" i="19"/>
  <c r="CW55" i="19"/>
  <c r="CX55" i="19"/>
  <c r="CY55" i="19"/>
  <c r="CZ55" i="19"/>
  <c r="C56" i="19"/>
  <c r="D56" i="19"/>
  <c r="I56" i="19"/>
  <c r="K56" i="19"/>
  <c r="P56" i="19"/>
  <c r="Q56" i="19"/>
  <c r="R56" i="19"/>
  <c r="S56" i="19"/>
  <c r="Y56" i="19"/>
  <c r="Z56" i="19"/>
  <c r="AA56" i="19"/>
  <c r="AB56" i="19"/>
  <c r="AD56" i="19"/>
  <c r="AE56" i="19"/>
  <c r="AI56" i="19"/>
  <c r="AK56" i="19"/>
  <c r="AL56" i="19"/>
  <c r="AM56" i="19"/>
  <c r="AN56" i="19"/>
  <c r="AQ56" i="19"/>
  <c r="AR56" i="19"/>
  <c r="AS56" i="19"/>
  <c r="AU56" i="19"/>
  <c r="AV56" i="19"/>
  <c r="AW56" i="19"/>
  <c r="AX56" i="19"/>
  <c r="AY56" i="19"/>
  <c r="AZ56" i="19"/>
  <c r="BB56" i="19"/>
  <c r="BC56" i="19"/>
  <c r="BD56" i="19"/>
  <c r="BF56" i="19"/>
  <c r="BG56" i="19"/>
  <c r="BH56" i="19"/>
  <c r="BI56" i="19"/>
  <c r="BJ56" i="19"/>
  <c r="BL56" i="19"/>
  <c r="BM56" i="19"/>
  <c r="BO56" i="19"/>
  <c r="BP56" i="19"/>
  <c r="BR56" i="19"/>
  <c r="BS56" i="19"/>
  <c r="BT56" i="19"/>
  <c r="BU56" i="19"/>
  <c r="BW56" i="19"/>
  <c r="BX56" i="19"/>
  <c r="BY56" i="19"/>
  <c r="CA56" i="19"/>
  <c r="CB56" i="19"/>
  <c r="CC56" i="19"/>
  <c r="CD56" i="19"/>
  <c r="CE56" i="19"/>
  <c r="CF56" i="19"/>
  <c r="CH56" i="19"/>
  <c r="CI56" i="19"/>
  <c r="CJ56" i="19"/>
  <c r="CL56" i="19"/>
  <c r="CM56" i="19"/>
  <c r="CN56" i="19"/>
  <c r="CO56" i="19"/>
  <c r="CP56" i="19"/>
  <c r="CR56" i="19"/>
  <c r="CS56" i="19"/>
  <c r="CT56" i="19"/>
  <c r="CU56" i="19"/>
  <c r="CV56" i="19"/>
  <c r="CW56" i="19"/>
  <c r="CX56" i="19"/>
  <c r="CY56" i="19"/>
  <c r="CZ56" i="19"/>
  <c r="C57" i="19"/>
  <c r="D57" i="19"/>
  <c r="I57" i="19"/>
  <c r="K57" i="19"/>
  <c r="P57" i="19"/>
  <c r="Q57" i="19"/>
  <c r="R57" i="19"/>
  <c r="S57" i="19"/>
  <c r="Y57" i="19"/>
  <c r="Z57" i="19"/>
  <c r="AA57" i="19"/>
  <c r="AB57" i="19"/>
  <c r="AD57" i="19"/>
  <c r="AE57" i="19"/>
  <c r="AI57" i="19"/>
  <c r="AK57" i="19"/>
  <c r="AL57" i="19"/>
  <c r="AM57" i="19"/>
  <c r="AN57" i="19"/>
  <c r="AQ57" i="19"/>
  <c r="AR57" i="19"/>
  <c r="AS57" i="19"/>
  <c r="AU57" i="19"/>
  <c r="AV57" i="19"/>
  <c r="AW57" i="19"/>
  <c r="AX57" i="19"/>
  <c r="AY57" i="19"/>
  <c r="AZ57" i="19"/>
  <c r="BB57" i="19"/>
  <c r="BC57" i="19"/>
  <c r="BD57" i="19"/>
  <c r="BF57" i="19"/>
  <c r="BG57" i="19"/>
  <c r="BH57" i="19"/>
  <c r="BI57" i="19"/>
  <c r="BJ57" i="19"/>
  <c r="BL57" i="19"/>
  <c r="BM57" i="19"/>
  <c r="BO57" i="19"/>
  <c r="BP57" i="19"/>
  <c r="BR57" i="19"/>
  <c r="BS57" i="19"/>
  <c r="BT57" i="19"/>
  <c r="BU57" i="19"/>
  <c r="BW57" i="19"/>
  <c r="BX57" i="19"/>
  <c r="BY57" i="19"/>
  <c r="CA57" i="19"/>
  <c r="CB57" i="19"/>
  <c r="CC57" i="19"/>
  <c r="CD57" i="19"/>
  <c r="CE57" i="19"/>
  <c r="CF57" i="19"/>
  <c r="CH57" i="19"/>
  <c r="CI57" i="19"/>
  <c r="CJ57" i="19"/>
  <c r="CL57" i="19"/>
  <c r="CM57" i="19"/>
  <c r="CN57" i="19"/>
  <c r="CO57" i="19"/>
  <c r="CP57" i="19"/>
  <c r="CR57" i="19"/>
  <c r="CS57" i="19"/>
  <c r="CT57" i="19"/>
  <c r="CU57" i="19"/>
  <c r="CV57" i="19"/>
  <c r="CW57" i="19"/>
  <c r="CX57" i="19"/>
  <c r="CY57" i="19"/>
  <c r="CZ57" i="19"/>
  <c r="C58" i="19"/>
  <c r="D58" i="19"/>
  <c r="I58" i="19"/>
  <c r="K58" i="19"/>
  <c r="P58" i="19"/>
  <c r="Q58" i="19"/>
  <c r="R58" i="19"/>
  <c r="S58" i="19"/>
  <c r="Y58" i="19"/>
  <c r="Z58" i="19"/>
  <c r="AA58" i="19"/>
  <c r="AB58" i="19"/>
  <c r="AD58" i="19"/>
  <c r="AE58" i="19"/>
  <c r="AI58" i="19"/>
  <c r="AK58" i="19"/>
  <c r="AL58" i="19"/>
  <c r="AM58" i="19"/>
  <c r="AN58" i="19"/>
  <c r="AQ58" i="19"/>
  <c r="AR58" i="19"/>
  <c r="AS58" i="19"/>
  <c r="AU58" i="19"/>
  <c r="AV58" i="19"/>
  <c r="AW58" i="19"/>
  <c r="AX58" i="19"/>
  <c r="AY58" i="19"/>
  <c r="AZ58" i="19"/>
  <c r="BB58" i="19"/>
  <c r="BC58" i="19"/>
  <c r="BD58" i="19"/>
  <c r="BF58" i="19"/>
  <c r="BG58" i="19"/>
  <c r="BH58" i="19"/>
  <c r="BI58" i="19"/>
  <c r="BJ58" i="19"/>
  <c r="BL58" i="19"/>
  <c r="BM58" i="19"/>
  <c r="BO58" i="19"/>
  <c r="BP58" i="19"/>
  <c r="BR58" i="19"/>
  <c r="BS58" i="19"/>
  <c r="BT58" i="19"/>
  <c r="BU58" i="19"/>
  <c r="BW58" i="19"/>
  <c r="BX58" i="19"/>
  <c r="BY58" i="19"/>
  <c r="CA58" i="19"/>
  <c r="CB58" i="19"/>
  <c r="CC58" i="19"/>
  <c r="CD58" i="19"/>
  <c r="CE58" i="19"/>
  <c r="CF58" i="19"/>
  <c r="CH58" i="19"/>
  <c r="CI58" i="19"/>
  <c r="CJ58" i="19"/>
  <c r="CL58" i="19"/>
  <c r="CM58" i="19"/>
  <c r="CN58" i="19"/>
  <c r="CO58" i="19"/>
  <c r="CP58" i="19"/>
  <c r="CR58" i="19"/>
  <c r="CS58" i="19"/>
  <c r="CT58" i="19"/>
  <c r="CU58" i="19"/>
  <c r="CV58" i="19"/>
  <c r="CW58" i="19"/>
  <c r="CX58" i="19"/>
  <c r="CY58" i="19"/>
  <c r="CZ58" i="19"/>
  <c r="C59" i="19"/>
  <c r="D59" i="19"/>
  <c r="I59" i="19"/>
  <c r="K59" i="19"/>
  <c r="P59" i="19"/>
  <c r="Q59" i="19"/>
  <c r="R59" i="19"/>
  <c r="S59" i="19"/>
  <c r="Y59" i="19"/>
  <c r="Z59" i="19"/>
  <c r="AA59" i="19"/>
  <c r="AB59" i="19"/>
  <c r="AD59" i="19"/>
  <c r="AE59" i="19"/>
  <c r="AI59" i="19"/>
  <c r="AK59" i="19"/>
  <c r="AL59" i="19"/>
  <c r="AM59" i="19"/>
  <c r="AN59" i="19"/>
  <c r="AQ59" i="19"/>
  <c r="AR59" i="19"/>
  <c r="AS59" i="19"/>
  <c r="AU59" i="19"/>
  <c r="AV59" i="19"/>
  <c r="AW59" i="19"/>
  <c r="AX59" i="19"/>
  <c r="AY59" i="19"/>
  <c r="AZ59" i="19"/>
  <c r="BB59" i="19"/>
  <c r="BC59" i="19"/>
  <c r="BD59" i="19"/>
  <c r="BF59" i="19"/>
  <c r="BG59" i="19"/>
  <c r="BH59" i="19"/>
  <c r="BI59" i="19"/>
  <c r="BJ59" i="19"/>
  <c r="BL59" i="19"/>
  <c r="BM59" i="19"/>
  <c r="BO59" i="19"/>
  <c r="BP59" i="19"/>
  <c r="BR59" i="19"/>
  <c r="BS59" i="19"/>
  <c r="BT59" i="19"/>
  <c r="BU59" i="19"/>
  <c r="BW59" i="19"/>
  <c r="BX59" i="19"/>
  <c r="BY59" i="19"/>
  <c r="CA59" i="19"/>
  <c r="CB59" i="19"/>
  <c r="CC59" i="19"/>
  <c r="CD59" i="19"/>
  <c r="CE59" i="19"/>
  <c r="CF59" i="19"/>
  <c r="CH59" i="19"/>
  <c r="CI59" i="19"/>
  <c r="CJ59" i="19"/>
  <c r="CL59" i="19"/>
  <c r="CM59" i="19"/>
  <c r="CN59" i="19"/>
  <c r="CO59" i="19"/>
  <c r="CP59" i="19"/>
  <c r="CR59" i="19"/>
  <c r="CS59" i="19"/>
  <c r="CT59" i="19"/>
  <c r="CU59" i="19"/>
  <c r="CV59" i="19"/>
  <c r="CW59" i="19"/>
  <c r="CX59" i="19"/>
  <c r="CY59" i="19"/>
  <c r="CZ59" i="19"/>
  <c r="C60" i="19"/>
  <c r="D60" i="19"/>
  <c r="I60" i="19"/>
  <c r="K60" i="19"/>
  <c r="P60" i="19"/>
  <c r="Q60" i="19"/>
  <c r="R60" i="19"/>
  <c r="S60" i="19"/>
  <c r="Y60" i="19"/>
  <c r="Z60" i="19"/>
  <c r="AA60" i="19"/>
  <c r="AB60" i="19"/>
  <c r="AD60" i="19"/>
  <c r="AE60" i="19"/>
  <c r="AI60" i="19"/>
  <c r="AK60" i="19"/>
  <c r="AL60" i="19"/>
  <c r="AM60" i="19"/>
  <c r="AN60" i="19"/>
  <c r="AQ60" i="19"/>
  <c r="AR60" i="19"/>
  <c r="AS60" i="19"/>
  <c r="AU60" i="19"/>
  <c r="AV60" i="19"/>
  <c r="AW60" i="19"/>
  <c r="AX60" i="19"/>
  <c r="AY60" i="19"/>
  <c r="AZ60" i="19"/>
  <c r="BB60" i="19"/>
  <c r="BC60" i="19"/>
  <c r="BD60" i="19"/>
  <c r="BF60" i="19"/>
  <c r="BG60" i="19"/>
  <c r="BH60" i="19"/>
  <c r="BI60" i="19"/>
  <c r="BJ60" i="19"/>
  <c r="BL60" i="19"/>
  <c r="BM60" i="19"/>
  <c r="BO60" i="19"/>
  <c r="BP60" i="19"/>
  <c r="BR60" i="19"/>
  <c r="BS60" i="19"/>
  <c r="BT60" i="19"/>
  <c r="BU60" i="19"/>
  <c r="BW60" i="19"/>
  <c r="BX60" i="19"/>
  <c r="BY60" i="19"/>
  <c r="CA60" i="19"/>
  <c r="CB60" i="19"/>
  <c r="CC60" i="19"/>
  <c r="CD60" i="19"/>
  <c r="CE60" i="19"/>
  <c r="CF60" i="19"/>
  <c r="CH60" i="19"/>
  <c r="CI60" i="19"/>
  <c r="CJ60" i="19"/>
  <c r="CL60" i="19"/>
  <c r="CM60" i="19"/>
  <c r="CN60" i="19"/>
  <c r="CO60" i="19"/>
  <c r="CP60" i="19"/>
  <c r="CR60" i="19"/>
  <c r="CS60" i="19"/>
  <c r="CT60" i="19"/>
  <c r="CU60" i="19"/>
  <c r="CV60" i="19"/>
  <c r="CW60" i="19"/>
  <c r="CX60" i="19"/>
  <c r="CY60" i="19"/>
  <c r="CZ60" i="19"/>
  <c r="C61" i="19"/>
  <c r="D61" i="19"/>
  <c r="I61" i="19"/>
  <c r="K61" i="19"/>
  <c r="P61" i="19"/>
  <c r="Q61" i="19"/>
  <c r="R61" i="19"/>
  <c r="S61" i="19"/>
  <c r="Y61" i="19"/>
  <c r="Z61" i="19"/>
  <c r="AA61" i="19"/>
  <c r="AB61" i="19"/>
  <c r="AD61" i="19"/>
  <c r="AE61" i="19"/>
  <c r="AI61" i="19"/>
  <c r="AK61" i="19"/>
  <c r="AL61" i="19"/>
  <c r="AM61" i="19"/>
  <c r="AN61" i="19"/>
  <c r="AQ61" i="19"/>
  <c r="AR61" i="19"/>
  <c r="AS61" i="19"/>
  <c r="AU61" i="19"/>
  <c r="AV61" i="19"/>
  <c r="AW61" i="19"/>
  <c r="AX61" i="19"/>
  <c r="AY61" i="19"/>
  <c r="AZ61" i="19"/>
  <c r="BB61" i="19"/>
  <c r="BC61" i="19"/>
  <c r="BD61" i="19"/>
  <c r="BF61" i="19"/>
  <c r="BG61" i="19"/>
  <c r="BH61" i="19"/>
  <c r="BI61" i="19"/>
  <c r="BJ61" i="19"/>
  <c r="BL61" i="19"/>
  <c r="BM61" i="19"/>
  <c r="BO61" i="19"/>
  <c r="BP61" i="19"/>
  <c r="BR61" i="19"/>
  <c r="BS61" i="19"/>
  <c r="BT61" i="19"/>
  <c r="BU61" i="19"/>
  <c r="BW61" i="19"/>
  <c r="BX61" i="19"/>
  <c r="BY61" i="19"/>
  <c r="CA61" i="19"/>
  <c r="CB61" i="19"/>
  <c r="CC61" i="19"/>
  <c r="CD61" i="19"/>
  <c r="CE61" i="19"/>
  <c r="CF61" i="19"/>
  <c r="CH61" i="19"/>
  <c r="CI61" i="19"/>
  <c r="CJ61" i="19"/>
  <c r="CL61" i="19"/>
  <c r="CM61" i="19"/>
  <c r="CN61" i="19"/>
  <c r="CO61" i="19"/>
  <c r="CP61" i="19"/>
  <c r="CR61" i="19"/>
  <c r="CS61" i="19"/>
  <c r="CT61" i="19"/>
  <c r="CU61" i="19"/>
  <c r="CV61" i="19"/>
  <c r="CW61" i="19"/>
  <c r="CX61" i="19"/>
  <c r="CY61" i="19"/>
  <c r="CZ61" i="19"/>
  <c r="C62" i="19"/>
  <c r="D62" i="19"/>
  <c r="I62" i="19"/>
  <c r="K62" i="19"/>
  <c r="P62" i="19"/>
  <c r="Q62" i="19"/>
  <c r="R62" i="19"/>
  <c r="S62" i="19"/>
  <c r="Y62" i="19"/>
  <c r="Z62" i="19"/>
  <c r="AA62" i="19"/>
  <c r="AB62" i="19"/>
  <c r="AD62" i="19"/>
  <c r="AE62" i="19"/>
  <c r="AI62" i="19"/>
  <c r="AK62" i="19"/>
  <c r="AL62" i="19"/>
  <c r="AM62" i="19"/>
  <c r="AN62" i="19"/>
  <c r="AQ62" i="19"/>
  <c r="AR62" i="19"/>
  <c r="AS62" i="19"/>
  <c r="AU62" i="19"/>
  <c r="AV62" i="19"/>
  <c r="AW62" i="19"/>
  <c r="AX62" i="19"/>
  <c r="AY62" i="19"/>
  <c r="AZ62" i="19"/>
  <c r="BB62" i="19"/>
  <c r="BC62" i="19"/>
  <c r="BD62" i="19"/>
  <c r="BF62" i="19"/>
  <c r="BG62" i="19"/>
  <c r="BH62" i="19"/>
  <c r="BI62" i="19"/>
  <c r="BJ62" i="19"/>
  <c r="BL62" i="19"/>
  <c r="BM62" i="19"/>
  <c r="BO62" i="19"/>
  <c r="BP62" i="19"/>
  <c r="BR62" i="19"/>
  <c r="BS62" i="19"/>
  <c r="BT62" i="19"/>
  <c r="BU62" i="19"/>
  <c r="BW62" i="19"/>
  <c r="BX62" i="19"/>
  <c r="BY62" i="19"/>
  <c r="CA62" i="19"/>
  <c r="CB62" i="19"/>
  <c r="CC62" i="19"/>
  <c r="CD62" i="19"/>
  <c r="CE62" i="19"/>
  <c r="CF62" i="19"/>
  <c r="CH62" i="19"/>
  <c r="CI62" i="19"/>
  <c r="CJ62" i="19"/>
  <c r="CL62" i="19"/>
  <c r="CM62" i="19"/>
  <c r="CN62" i="19"/>
  <c r="CO62" i="19"/>
  <c r="CP62" i="19"/>
  <c r="CR62" i="19"/>
  <c r="CS62" i="19"/>
  <c r="CT62" i="19"/>
  <c r="CU62" i="19"/>
  <c r="CV62" i="19"/>
  <c r="CW62" i="19"/>
  <c r="CX62" i="19"/>
  <c r="CY62" i="19"/>
  <c r="CZ62" i="19"/>
  <c r="C63" i="19"/>
  <c r="D63" i="19"/>
  <c r="I63" i="19"/>
  <c r="K63" i="19"/>
  <c r="P63" i="19"/>
  <c r="Q63" i="19"/>
  <c r="R63" i="19"/>
  <c r="S63" i="19"/>
  <c r="Y63" i="19"/>
  <c r="Z63" i="19"/>
  <c r="AA63" i="19"/>
  <c r="AB63" i="19"/>
  <c r="AD63" i="19"/>
  <c r="AE63" i="19"/>
  <c r="AI63" i="19"/>
  <c r="AK63" i="19"/>
  <c r="AL63" i="19"/>
  <c r="AM63" i="19"/>
  <c r="AN63" i="19"/>
  <c r="AQ63" i="19"/>
  <c r="AR63" i="19"/>
  <c r="AS63" i="19"/>
  <c r="AU63" i="19"/>
  <c r="AV63" i="19"/>
  <c r="AW63" i="19"/>
  <c r="AX63" i="19"/>
  <c r="AY63" i="19"/>
  <c r="AZ63" i="19"/>
  <c r="BB63" i="19"/>
  <c r="BC63" i="19"/>
  <c r="BD63" i="19"/>
  <c r="BF63" i="19"/>
  <c r="BG63" i="19"/>
  <c r="BH63" i="19"/>
  <c r="BI63" i="19"/>
  <c r="BJ63" i="19"/>
  <c r="BL63" i="19"/>
  <c r="BM63" i="19"/>
  <c r="BO63" i="19"/>
  <c r="BP63" i="19"/>
  <c r="BR63" i="19"/>
  <c r="BS63" i="19"/>
  <c r="BT63" i="19"/>
  <c r="BU63" i="19"/>
  <c r="BW63" i="19"/>
  <c r="BX63" i="19"/>
  <c r="BY63" i="19"/>
  <c r="CA63" i="19"/>
  <c r="CB63" i="19"/>
  <c r="CC63" i="19"/>
  <c r="CD63" i="19"/>
  <c r="CE63" i="19"/>
  <c r="CF63" i="19"/>
  <c r="CH63" i="19"/>
  <c r="CI63" i="19"/>
  <c r="CJ63" i="19"/>
  <c r="CL63" i="19"/>
  <c r="CM63" i="19"/>
  <c r="CN63" i="19"/>
  <c r="CO63" i="19"/>
  <c r="CP63" i="19"/>
  <c r="CR63" i="19"/>
  <c r="CS63" i="19"/>
  <c r="CT63" i="19"/>
  <c r="CU63" i="19"/>
  <c r="CV63" i="19"/>
  <c r="CW63" i="19"/>
  <c r="CX63" i="19"/>
  <c r="CY63" i="19"/>
  <c r="CZ63" i="19"/>
  <c r="C64" i="19"/>
  <c r="D64" i="19"/>
  <c r="I64" i="19"/>
  <c r="K64" i="19"/>
  <c r="P64" i="19"/>
  <c r="Q64" i="19"/>
  <c r="R64" i="19"/>
  <c r="S64" i="19"/>
  <c r="Y64" i="19"/>
  <c r="Z64" i="19"/>
  <c r="AA64" i="19"/>
  <c r="AB64" i="19"/>
  <c r="AD64" i="19"/>
  <c r="AE64" i="19"/>
  <c r="AI64" i="19"/>
  <c r="AK64" i="19"/>
  <c r="AL64" i="19"/>
  <c r="AM64" i="19"/>
  <c r="AN64" i="19"/>
  <c r="AQ64" i="19"/>
  <c r="AR64" i="19"/>
  <c r="AS64" i="19"/>
  <c r="AU64" i="19"/>
  <c r="AV64" i="19"/>
  <c r="AW64" i="19"/>
  <c r="AX64" i="19"/>
  <c r="AY64" i="19"/>
  <c r="AZ64" i="19"/>
  <c r="BB64" i="19"/>
  <c r="BC64" i="19"/>
  <c r="BD64" i="19"/>
  <c r="BF64" i="19"/>
  <c r="BG64" i="19"/>
  <c r="BH64" i="19"/>
  <c r="BI64" i="19"/>
  <c r="BJ64" i="19"/>
  <c r="BL64" i="19"/>
  <c r="BM64" i="19"/>
  <c r="BO64" i="19"/>
  <c r="BP64" i="19"/>
  <c r="BR64" i="19"/>
  <c r="BS64" i="19"/>
  <c r="BT64" i="19"/>
  <c r="BU64" i="19"/>
  <c r="BW64" i="19"/>
  <c r="BX64" i="19"/>
  <c r="BY64" i="19"/>
  <c r="CA64" i="19"/>
  <c r="CB64" i="19"/>
  <c r="CC64" i="19"/>
  <c r="CD64" i="19"/>
  <c r="CE64" i="19"/>
  <c r="CF64" i="19"/>
  <c r="CH64" i="19"/>
  <c r="CI64" i="19"/>
  <c r="CJ64" i="19"/>
  <c r="CL64" i="19"/>
  <c r="CM64" i="19"/>
  <c r="CN64" i="19"/>
  <c r="CO64" i="19"/>
  <c r="CP64" i="19"/>
  <c r="CR64" i="19"/>
  <c r="CS64" i="19"/>
  <c r="CT64" i="19"/>
  <c r="CU64" i="19"/>
  <c r="CV64" i="19"/>
  <c r="CW64" i="19"/>
  <c r="CX64" i="19"/>
  <c r="CY64" i="19"/>
  <c r="CZ64" i="19"/>
  <c r="C65" i="19"/>
  <c r="D65" i="19"/>
  <c r="I65" i="19"/>
  <c r="K65" i="19"/>
  <c r="P65" i="19"/>
  <c r="Q65" i="19"/>
  <c r="R65" i="19"/>
  <c r="S65" i="19"/>
  <c r="Y65" i="19"/>
  <c r="Z65" i="19"/>
  <c r="AA65" i="19"/>
  <c r="AB65" i="19"/>
  <c r="AD65" i="19"/>
  <c r="AE65" i="19"/>
  <c r="AI65" i="19"/>
  <c r="AK65" i="19"/>
  <c r="AL65" i="19"/>
  <c r="AM65" i="19"/>
  <c r="AN65" i="19"/>
  <c r="AQ65" i="19"/>
  <c r="AR65" i="19"/>
  <c r="AS65" i="19"/>
  <c r="AU65" i="19"/>
  <c r="AV65" i="19"/>
  <c r="AW65" i="19"/>
  <c r="AX65" i="19"/>
  <c r="AY65" i="19"/>
  <c r="AZ65" i="19"/>
  <c r="BB65" i="19"/>
  <c r="BC65" i="19"/>
  <c r="BD65" i="19"/>
  <c r="BF65" i="19"/>
  <c r="BG65" i="19"/>
  <c r="BH65" i="19"/>
  <c r="BI65" i="19"/>
  <c r="BJ65" i="19"/>
  <c r="BL65" i="19"/>
  <c r="BM65" i="19"/>
  <c r="BO65" i="19"/>
  <c r="BP65" i="19"/>
  <c r="BR65" i="19"/>
  <c r="BS65" i="19"/>
  <c r="BT65" i="19"/>
  <c r="BU65" i="19"/>
  <c r="BW65" i="19"/>
  <c r="BX65" i="19"/>
  <c r="BY65" i="19"/>
  <c r="CA65" i="19"/>
  <c r="CB65" i="19"/>
  <c r="CC65" i="19"/>
  <c r="CD65" i="19"/>
  <c r="CE65" i="19"/>
  <c r="CF65" i="19"/>
  <c r="CH65" i="19"/>
  <c r="CI65" i="19"/>
  <c r="CJ65" i="19"/>
  <c r="CL65" i="19"/>
  <c r="CM65" i="19"/>
  <c r="CN65" i="19"/>
  <c r="CO65" i="19"/>
  <c r="CP65" i="19"/>
  <c r="CR65" i="19"/>
  <c r="CS65" i="19"/>
  <c r="CT65" i="19"/>
  <c r="CU65" i="19"/>
  <c r="CV65" i="19"/>
  <c r="CW65" i="19"/>
  <c r="CX65" i="19"/>
  <c r="CY65" i="19"/>
  <c r="CZ65" i="19"/>
  <c r="C66" i="19"/>
  <c r="D66" i="19"/>
  <c r="I66" i="19"/>
  <c r="K66" i="19"/>
  <c r="P66" i="19"/>
  <c r="Q66" i="19"/>
  <c r="R66" i="19"/>
  <c r="S66" i="19"/>
  <c r="Y66" i="19"/>
  <c r="Z66" i="19"/>
  <c r="AA66" i="19"/>
  <c r="AB66" i="19"/>
  <c r="AD66" i="19"/>
  <c r="AE66" i="19"/>
  <c r="AI66" i="19"/>
  <c r="AK66" i="19"/>
  <c r="AL66" i="19"/>
  <c r="AM66" i="19"/>
  <c r="AN66" i="19"/>
  <c r="AQ66" i="19"/>
  <c r="AR66" i="19"/>
  <c r="AS66" i="19"/>
  <c r="AU66" i="19"/>
  <c r="AV66" i="19"/>
  <c r="AW66" i="19"/>
  <c r="AX66" i="19"/>
  <c r="AY66" i="19"/>
  <c r="AZ66" i="19"/>
  <c r="BB66" i="19"/>
  <c r="BC66" i="19"/>
  <c r="BD66" i="19"/>
  <c r="BF66" i="19"/>
  <c r="BG66" i="19"/>
  <c r="BH66" i="19"/>
  <c r="BI66" i="19"/>
  <c r="BJ66" i="19"/>
  <c r="BL66" i="19"/>
  <c r="BM66" i="19"/>
  <c r="BO66" i="19"/>
  <c r="BP66" i="19"/>
  <c r="BR66" i="19"/>
  <c r="BS66" i="19"/>
  <c r="BT66" i="19"/>
  <c r="BU66" i="19"/>
  <c r="BW66" i="19"/>
  <c r="BX66" i="19"/>
  <c r="BY66" i="19"/>
  <c r="CA66" i="19"/>
  <c r="CB66" i="19"/>
  <c r="CC66" i="19"/>
  <c r="CD66" i="19"/>
  <c r="CE66" i="19"/>
  <c r="CF66" i="19"/>
  <c r="CH66" i="19"/>
  <c r="CI66" i="19"/>
  <c r="CJ66" i="19"/>
  <c r="CL66" i="19"/>
  <c r="CM66" i="19"/>
  <c r="CN66" i="19"/>
  <c r="CO66" i="19"/>
  <c r="CP66" i="19"/>
  <c r="CR66" i="19"/>
  <c r="CS66" i="19"/>
  <c r="CT66" i="19"/>
  <c r="CU66" i="19"/>
  <c r="CV66" i="19"/>
  <c r="CW66" i="19"/>
  <c r="CX66" i="19"/>
  <c r="CY66" i="19"/>
  <c r="CZ66" i="19"/>
  <c r="C67" i="19"/>
  <c r="D67" i="19"/>
  <c r="I67" i="19"/>
  <c r="K67" i="19"/>
  <c r="P67" i="19"/>
  <c r="Q67" i="19"/>
  <c r="R67" i="19"/>
  <c r="S67" i="19"/>
  <c r="Y67" i="19"/>
  <c r="Z67" i="19"/>
  <c r="AA67" i="19"/>
  <c r="AB67" i="19"/>
  <c r="AD67" i="19"/>
  <c r="AE67" i="19"/>
  <c r="AI67" i="19"/>
  <c r="AK67" i="19"/>
  <c r="AL67" i="19"/>
  <c r="AM67" i="19"/>
  <c r="AN67" i="19"/>
  <c r="AQ67" i="19"/>
  <c r="AR67" i="19"/>
  <c r="AS67" i="19"/>
  <c r="AU67" i="19"/>
  <c r="AV67" i="19"/>
  <c r="AW67" i="19"/>
  <c r="AX67" i="19"/>
  <c r="AY67" i="19"/>
  <c r="AZ67" i="19"/>
  <c r="BB67" i="19"/>
  <c r="BC67" i="19"/>
  <c r="BD67" i="19"/>
  <c r="BF67" i="19"/>
  <c r="BG67" i="19"/>
  <c r="BH67" i="19"/>
  <c r="BI67" i="19"/>
  <c r="BJ67" i="19"/>
  <c r="BL67" i="19"/>
  <c r="BM67" i="19"/>
  <c r="BO67" i="19"/>
  <c r="BP67" i="19"/>
  <c r="BR67" i="19"/>
  <c r="BS67" i="19"/>
  <c r="BT67" i="19"/>
  <c r="BU67" i="19"/>
  <c r="BW67" i="19"/>
  <c r="BX67" i="19"/>
  <c r="BY67" i="19"/>
  <c r="CA67" i="19"/>
  <c r="CB67" i="19"/>
  <c r="CC67" i="19"/>
  <c r="CD67" i="19"/>
  <c r="CE67" i="19"/>
  <c r="CF67" i="19"/>
  <c r="CH67" i="19"/>
  <c r="CI67" i="19"/>
  <c r="CJ67" i="19"/>
  <c r="CL67" i="19"/>
  <c r="CM67" i="19"/>
  <c r="CN67" i="19"/>
  <c r="CO67" i="19"/>
  <c r="CP67" i="19"/>
  <c r="CR67" i="19"/>
  <c r="CS67" i="19"/>
  <c r="CT67" i="19"/>
  <c r="CU67" i="19"/>
  <c r="CV67" i="19"/>
  <c r="CW67" i="19"/>
  <c r="CX67" i="19"/>
  <c r="CY67" i="19"/>
  <c r="CZ67" i="19"/>
  <c r="C68" i="19"/>
  <c r="D68" i="19"/>
  <c r="I68" i="19"/>
  <c r="K68" i="19"/>
  <c r="P68" i="19"/>
  <c r="Q68" i="19"/>
  <c r="R68" i="19"/>
  <c r="S68" i="19"/>
  <c r="Y68" i="19"/>
  <c r="Z68" i="19"/>
  <c r="AA68" i="19"/>
  <c r="AB68" i="19"/>
  <c r="AD68" i="19"/>
  <c r="AE68" i="19"/>
  <c r="AI68" i="19"/>
  <c r="AK68" i="19"/>
  <c r="AL68" i="19"/>
  <c r="AM68" i="19"/>
  <c r="AN68" i="19"/>
  <c r="AQ68" i="19"/>
  <c r="AR68" i="19"/>
  <c r="AS68" i="19"/>
  <c r="AU68" i="19"/>
  <c r="AV68" i="19"/>
  <c r="AW68" i="19"/>
  <c r="AX68" i="19"/>
  <c r="AY68" i="19"/>
  <c r="AZ68" i="19"/>
  <c r="BB68" i="19"/>
  <c r="BC68" i="19"/>
  <c r="BD68" i="19"/>
  <c r="BF68" i="19"/>
  <c r="BG68" i="19"/>
  <c r="BH68" i="19"/>
  <c r="BI68" i="19"/>
  <c r="BJ68" i="19"/>
  <c r="BL68" i="19"/>
  <c r="BM68" i="19"/>
  <c r="BO68" i="19"/>
  <c r="BP68" i="19"/>
  <c r="BR68" i="19"/>
  <c r="BS68" i="19"/>
  <c r="BT68" i="19"/>
  <c r="BU68" i="19"/>
  <c r="BW68" i="19"/>
  <c r="BX68" i="19"/>
  <c r="BY68" i="19"/>
  <c r="CA68" i="19"/>
  <c r="CB68" i="19"/>
  <c r="CC68" i="19"/>
  <c r="CD68" i="19"/>
  <c r="CE68" i="19"/>
  <c r="CF68" i="19"/>
  <c r="CH68" i="19"/>
  <c r="CI68" i="19"/>
  <c r="CJ68" i="19"/>
  <c r="CL68" i="19"/>
  <c r="CM68" i="19"/>
  <c r="CN68" i="19"/>
  <c r="CO68" i="19"/>
  <c r="CP68" i="19"/>
  <c r="CR68" i="19"/>
  <c r="CS68" i="19"/>
  <c r="CT68" i="19"/>
  <c r="CU68" i="19"/>
  <c r="CV68" i="19"/>
  <c r="CW68" i="19"/>
  <c r="CX68" i="19"/>
  <c r="CY68" i="19"/>
  <c r="CZ68" i="19"/>
  <c r="C69" i="19"/>
  <c r="D69" i="19"/>
  <c r="I69" i="19"/>
  <c r="K69" i="19"/>
  <c r="P69" i="19"/>
  <c r="Q69" i="19"/>
  <c r="R69" i="19"/>
  <c r="S69" i="19"/>
  <c r="Y69" i="19"/>
  <c r="Z69" i="19"/>
  <c r="AA69" i="19"/>
  <c r="AB69" i="19"/>
  <c r="AD69" i="19"/>
  <c r="AE69" i="19"/>
  <c r="AI69" i="19"/>
  <c r="AK69" i="19"/>
  <c r="AL69" i="19"/>
  <c r="AM69" i="19"/>
  <c r="AN69" i="19"/>
  <c r="AQ69" i="19"/>
  <c r="AR69" i="19"/>
  <c r="AS69" i="19"/>
  <c r="AU69" i="19"/>
  <c r="AV69" i="19"/>
  <c r="AW69" i="19"/>
  <c r="AX69" i="19"/>
  <c r="AY69" i="19"/>
  <c r="AZ69" i="19"/>
  <c r="BB69" i="19"/>
  <c r="BC69" i="19"/>
  <c r="BD69" i="19"/>
  <c r="BF69" i="19"/>
  <c r="BG69" i="19"/>
  <c r="BH69" i="19"/>
  <c r="BI69" i="19"/>
  <c r="BJ69" i="19"/>
  <c r="BL69" i="19"/>
  <c r="BM69" i="19"/>
  <c r="BO69" i="19"/>
  <c r="BP69" i="19"/>
  <c r="BR69" i="19"/>
  <c r="BS69" i="19"/>
  <c r="BT69" i="19"/>
  <c r="BU69" i="19"/>
  <c r="BW69" i="19"/>
  <c r="BX69" i="19"/>
  <c r="BY69" i="19"/>
  <c r="CA69" i="19"/>
  <c r="CB69" i="19"/>
  <c r="CC69" i="19"/>
  <c r="CD69" i="19"/>
  <c r="CE69" i="19"/>
  <c r="CF69" i="19"/>
  <c r="CH69" i="19"/>
  <c r="CI69" i="19"/>
  <c r="CJ69" i="19"/>
  <c r="CL69" i="19"/>
  <c r="CM69" i="19"/>
  <c r="CN69" i="19"/>
  <c r="CO69" i="19"/>
  <c r="CP69" i="19"/>
  <c r="CR69" i="19"/>
  <c r="CS69" i="19"/>
  <c r="CT69" i="19"/>
  <c r="CU69" i="19"/>
  <c r="CV69" i="19"/>
  <c r="CW69" i="19"/>
  <c r="CX69" i="19"/>
  <c r="CY69" i="19"/>
  <c r="CZ69" i="19"/>
  <c r="C70" i="19"/>
  <c r="D70" i="19"/>
  <c r="I70" i="19"/>
  <c r="K70" i="19"/>
  <c r="P70" i="19"/>
  <c r="Q70" i="19"/>
  <c r="R70" i="19"/>
  <c r="S70" i="19"/>
  <c r="Y70" i="19"/>
  <c r="Z70" i="19"/>
  <c r="AA70" i="19"/>
  <c r="AB70" i="19"/>
  <c r="AD70" i="19"/>
  <c r="AE70" i="19"/>
  <c r="AI70" i="19"/>
  <c r="AK70" i="19"/>
  <c r="AL70" i="19"/>
  <c r="AM70" i="19"/>
  <c r="AN70" i="19"/>
  <c r="AQ70" i="19"/>
  <c r="AR70" i="19"/>
  <c r="AS70" i="19"/>
  <c r="AU70" i="19"/>
  <c r="AV70" i="19"/>
  <c r="AW70" i="19"/>
  <c r="AX70" i="19"/>
  <c r="AY70" i="19"/>
  <c r="AZ70" i="19"/>
  <c r="BB70" i="19"/>
  <c r="BC70" i="19"/>
  <c r="BD70" i="19"/>
  <c r="BF70" i="19"/>
  <c r="BG70" i="19"/>
  <c r="BH70" i="19"/>
  <c r="BI70" i="19"/>
  <c r="BJ70" i="19"/>
  <c r="BL70" i="19"/>
  <c r="BM70" i="19"/>
  <c r="BO70" i="19"/>
  <c r="BP70" i="19"/>
  <c r="BR70" i="19"/>
  <c r="BS70" i="19"/>
  <c r="BT70" i="19"/>
  <c r="BU70" i="19"/>
  <c r="BW70" i="19"/>
  <c r="BX70" i="19"/>
  <c r="BY70" i="19"/>
  <c r="CA70" i="19"/>
  <c r="CB70" i="19"/>
  <c r="CC70" i="19"/>
  <c r="CD70" i="19"/>
  <c r="CE70" i="19"/>
  <c r="CF70" i="19"/>
  <c r="CH70" i="19"/>
  <c r="CI70" i="19"/>
  <c r="CJ70" i="19"/>
  <c r="CL70" i="19"/>
  <c r="CM70" i="19"/>
  <c r="CN70" i="19"/>
  <c r="CO70" i="19"/>
  <c r="CP70" i="19"/>
  <c r="CR70" i="19"/>
  <c r="CS70" i="19"/>
  <c r="CT70" i="19"/>
  <c r="CU70" i="19"/>
  <c r="CV70" i="19"/>
  <c r="CW70" i="19"/>
  <c r="CX70" i="19"/>
  <c r="CY70" i="19"/>
  <c r="CZ70" i="19"/>
  <c r="C71" i="19"/>
  <c r="D71" i="19"/>
  <c r="I71" i="19"/>
  <c r="K71" i="19"/>
  <c r="P71" i="19"/>
  <c r="Q71" i="19"/>
  <c r="R71" i="19"/>
  <c r="S71" i="19"/>
  <c r="Y71" i="19"/>
  <c r="Z71" i="19"/>
  <c r="AA71" i="19"/>
  <c r="AB71" i="19"/>
  <c r="AD71" i="19"/>
  <c r="AE71" i="19"/>
  <c r="AI71" i="19"/>
  <c r="AK71" i="19"/>
  <c r="AL71" i="19"/>
  <c r="AM71" i="19"/>
  <c r="AN71" i="19"/>
  <c r="AQ71" i="19"/>
  <c r="AR71" i="19"/>
  <c r="AS71" i="19"/>
  <c r="AU71" i="19"/>
  <c r="AV71" i="19"/>
  <c r="AW71" i="19"/>
  <c r="AX71" i="19"/>
  <c r="AY71" i="19"/>
  <c r="AZ71" i="19"/>
  <c r="BB71" i="19"/>
  <c r="BC71" i="19"/>
  <c r="BD71" i="19"/>
  <c r="BF71" i="19"/>
  <c r="BG71" i="19"/>
  <c r="BH71" i="19"/>
  <c r="BI71" i="19"/>
  <c r="BJ71" i="19"/>
  <c r="BL71" i="19"/>
  <c r="BM71" i="19"/>
  <c r="BO71" i="19"/>
  <c r="BP71" i="19"/>
  <c r="BR71" i="19"/>
  <c r="BS71" i="19"/>
  <c r="BT71" i="19"/>
  <c r="BU71" i="19"/>
  <c r="BW71" i="19"/>
  <c r="BX71" i="19"/>
  <c r="BY71" i="19"/>
  <c r="CA71" i="19"/>
  <c r="CB71" i="19"/>
  <c r="CC71" i="19"/>
  <c r="CD71" i="19"/>
  <c r="CE71" i="19"/>
  <c r="CF71" i="19"/>
  <c r="CH71" i="19"/>
  <c r="CI71" i="19"/>
  <c r="CJ71" i="19"/>
  <c r="CL71" i="19"/>
  <c r="CM71" i="19"/>
  <c r="CN71" i="19"/>
  <c r="CO71" i="19"/>
  <c r="CP71" i="19"/>
  <c r="CR71" i="19"/>
  <c r="CS71" i="19"/>
  <c r="CT71" i="19"/>
  <c r="CU71" i="19"/>
  <c r="CV71" i="19"/>
  <c r="CW71" i="19"/>
  <c r="CX71" i="19"/>
  <c r="CY71" i="19"/>
  <c r="CZ71" i="19"/>
  <c r="C72" i="19"/>
  <c r="D72" i="19"/>
  <c r="I72" i="19"/>
  <c r="K72" i="19"/>
  <c r="P72" i="19"/>
  <c r="Q72" i="19"/>
  <c r="R72" i="19"/>
  <c r="S72" i="19"/>
  <c r="Y72" i="19"/>
  <c r="Z72" i="19"/>
  <c r="AA72" i="19"/>
  <c r="AB72" i="19"/>
  <c r="AD72" i="19"/>
  <c r="AE72" i="19"/>
  <c r="AI72" i="19"/>
  <c r="AK72" i="19"/>
  <c r="AL72" i="19"/>
  <c r="AM72" i="19"/>
  <c r="AN72" i="19"/>
  <c r="AQ72" i="19"/>
  <c r="AR72" i="19"/>
  <c r="AS72" i="19"/>
  <c r="AU72" i="19"/>
  <c r="AV72" i="19"/>
  <c r="AW72" i="19"/>
  <c r="AX72" i="19"/>
  <c r="AY72" i="19"/>
  <c r="AZ72" i="19"/>
  <c r="BB72" i="19"/>
  <c r="BC72" i="19"/>
  <c r="BD72" i="19"/>
  <c r="BF72" i="19"/>
  <c r="BG72" i="19"/>
  <c r="BH72" i="19"/>
  <c r="BI72" i="19"/>
  <c r="BJ72" i="19"/>
  <c r="BL72" i="19"/>
  <c r="BM72" i="19"/>
  <c r="BO72" i="19"/>
  <c r="BP72" i="19"/>
  <c r="BR72" i="19"/>
  <c r="BS72" i="19"/>
  <c r="BT72" i="19"/>
  <c r="BU72" i="19"/>
  <c r="BW72" i="19"/>
  <c r="BX72" i="19"/>
  <c r="BY72" i="19"/>
  <c r="CA72" i="19"/>
  <c r="CB72" i="19"/>
  <c r="CC72" i="19"/>
  <c r="CD72" i="19"/>
  <c r="CE72" i="19"/>
  <c r="CF72" i="19"/>
  <c r="CH72" i="19"/>
  <c r="CI72" i="19"/>
  <c r="CJ72" i="19"/>
  <c r="CL72" i="19"/>
  <c r="CM72" i="19"/>
  <c r="CN72" i="19"/>
  <c r="CO72" i="19"/>
  <c r="CP72" i="19"/>
  <c r="CR72" i="19"/>
  <c r="CS72" i="19"/>
  <c r="CT72" i="19"/>
  <c r="CU72" i="19"/>
  <c r="CV72" i="19"/>
  <c r="CW72" i="19"/>
  <c r="CX72" i="19"/>
  <c r="CY72" i="19"/>
  <c r="CZ72" i="19"/>
  <c r="C73" i="19"/>
  <c r="D73" i="19"/>
  <c r="I73" i="19"/>
  <c r="K73" i="19"/>
  <c r="P73" i="19"/>
  <c r="Q73" i="19"/>
  <c r="R73" i="19"/>
  <c r="S73" i="19"/>
  <c r="Y73" i="19"/>
  <c r="Z73" i="19"/>
  <c r="AA73" i="19"/>
  <c r="AB73" i="19"/>
  <c r="AD73" i="19"/>
  <c r="AE73" i="19"/>
  <c r="AI73" i="19"/>
  <c r="AK73" i="19"/>
  <c r="AL73" i="19"/>
  <c r="AM73" i="19"/>
  <c r="AN73" i="19"/>
  <c r="AQ73" i="19"/>
  <c r="AR73" i="19"/>
  <c r="AS73" i="19"/>
  <c r="AU73" i="19"/>
  <c r="AV73" i="19"/>
  <c r="AW73" i="19"/>
  <c r="AX73" i="19"/>
  <c r="AY73" i="19"/>
  <c r="AZ73" i="19"/>
  <c r="BB73" i="19"/>
  <c r="BC73" i="19"/>
  <c r="BD73" i="19"/>
  <c r="BF73" i="19"/>
  <c r="BG73" i="19"/>
  <c r="BH73" i="19"/>
  <c r="BI73" i="19"/>
  <c r="BJ73" i="19"/>
  <c r="BL73" i="19"/>
  <c r="BM73" i="19"/>
  <c r="BO73" i="19"/>
  <c r="BP73" i="19"/>
  <c r="BR73" i="19"/>
  <c r="BS73" i="19"/>
  <c r="BT73" i="19"/>
  <c r="BU73" i="19"/>
  <c r="BW73" i="19"/>
  <c r="BX73" i="19"/>
  <c r="BY73" i="19"/>
  <c r="CA73" i="19"/>
  <c r="CB73" i="19"/>
  <c r="CC73" i="19"/>
  <c r="CD73" i="19"/>
  <c r="CE73" i="19"/>
  <c r="CF73" i="19"/>
  <c r="CH73" i="19"/>
  <c r="CI73" i="19"/>
  <c r="CJ73" i="19"/>
  <c r="CL73" i="19"/>
  <c r="CM73" i="19"/>
  <c r="CN73" i="19"/>
  <c r="CO73" i="19"/>
  <c r="CP73" i="19"/>
  <c r="CR73" i="19"/>
  <c r="CS73" i="19"/>
  <c r="CT73" i="19"/>
  <c r="CU73" i="19"/>
  <c r="CV73" i="19"/>
  <c r="CW73" i="19"/>
  <c r="CX73" i="19"/>
  <c r="CY73" i="19"/>
  <c r="CZ73" i="19"/>
  <c r="C74" i="19"/>
  <c r="D74" i="19"/>
  <c r="I74" i="19"/>
  <c r="K74" i="19"/>
  <c r="P74" i="19"/>
  <c r="Q74" i="19"/>
  <c r="R74" i="19"/>
  <c r="S74" i="19"/>
  <c r="Y74" i="19"/>
  <c r="Z74" i="19"/>
  <c r="AA74" i="19"/>
  <c r="AB74" i="19"/>
  <c r="AD74" i="19"/>
  <c r="AE74" i="19"/>
  <c r="AI74" i="19"/>
  <c r="AK74" i="19"/>
  <c r="AL74" i="19"/>
  <c r="AM74" i="19"/>
  <c r="AN74" i="19"/>
  <c r="AQ74" i="19"/>
  <c r="AR74" i="19"/>
  <c r="AS74" i="19"/>
  <c r="AU74" i="19"/>
  <c r="AV74" i="19"/>
  <c r="AW74" i="19"/>
  <c r="AX74" i="19"/>
  <c r="AY74" i="19"/>
  <c r="AZ74" i="19"/>
  <c r="BB74" i="19"/>
  <c r="BC74" i="19"/>
  <c r="BD74" i="19"/>
  <c r="BF74" i="19"/>
  <c r="BG74" i="19"/>
  <c r="BH74" i="19"/>
  <c r="BI74" i="19"/>
  <c r="BJ74" i="19"/>
  <c r="BL74" i="19"/>
  <c r="BM74" i="19"/>
  <c r="BO74" i="19"/>
  <c r="BP74" i="19"/>
  <c r="BR74" i="19"/>
  <c r="BS74" i="19"/>
  <c r="BT74" i="19"/>
  <c r="BU74" i="19"/>
  <c r="BW74" i="19"/>
  <c r="BX74" i="19"/>
  <c r="BY74" i="19"/>
  <c r="CA74" i="19"/>
  <c r="CB74" i="19"/>
  <c r="CC74" i="19"/>
  <c r="CD74" i="19"/>
  <c r="CE74" i="19"/>
  <c r="CF74" i="19"/>
  <c r="CH74" i="19"/>
  <c r="CI74" i="19"/>
  <c r="CJ74" i="19"/>
  <c r="CL74" i="19"/>
  <c r="CM74" i="19"/>
  <c r="CN74" i="19"/>
  <c r="CO74" i="19"/>
  <c r="CP74" i="19"/>
  <c r="CR74" i="19"/>
  <c r="CS74" i="19"/>
  <c r="CT74" i="19"/>
  <c r="CU74" i="19"/>
  <c r="CV74" i="19"/>
  <c r="CW74" i="19"/>
  <c r="CX74" i="19"/>
  <c r="CY74" i="19"/>
  <c r="CZ74" i="19"/>
  <c r="C75" i="19"/>
  <c r="D75" i="19"/>
  <c r="I75" i="19"/>
  <c r="K75" i="19"/>
  <c r="P75" i="19"/>
  <c r="Q75" i="19"/>
  <c r="R75" i="19"/>
  <c r="S75" i="19"/>
  <c r="Y75" i="19"/>
  <c r="Z75" i="19"/>
  <c r="AA75" i="19"/>
  <c r="AB75" i="19"/>
  <c r="AD75" i="19"/>
  <c r="AE75" i="19"/>
  <c r="AI75" i="19"/>
  <c r="AK75" i="19"/>
  <c r="AL75" i="19"/>
  <c r="AM75" i="19"/>
  <c r="AN75" i="19"/>
  <c r="AQ75" i="19"/>
  <c r="AR75" i="19"/>
  <c r="AS75" i="19"/>
  <c r="AU75" i="19"/>
  <c r="AV75" i="19"/>
  <c r="AW75" i="19"/>
  <c r="AX75" i="19"/>
  <c r="AY75" i="19"/>
  <c r="AZ75" i="19"/>
  <c r="BB75" i="19"/>
  <c r="BC75" i="19"/>
  <c r="BD75" i="19"/>
  <c r="BF75" i="19"/>
  <c r="BG75" i="19"/>
  <c r="BH75" i="19"/>
  <c r="BI75" i="19"/>
  <c r="BJ75" i="19"/>
  <c r="BL75" i="19"/>
  <c r="BM75" i="19"/>
  <c r="BO75" i="19"/>
  <c r="BP75" i="19"/>
  <c r="BR75" i="19"/>
  <c r="BS75" i="19"/>
  <c r="BT75" i="19"/>
  <c r="BU75" i="19"/>
  <c r="BW75" i="19"/>
  <c r="BX75" i="19"/>
  <c r="BY75" i="19"/>
  <c r="CA75" i="19"/>
  <c r="CB75" i="19"/>
  <c r="CC75" i="19"/>
  <c r="CD75" i="19"/>
  <c r="CE75" i="19"/>
  <c r="CF75" i="19"/>
  <c r="CH75" i="19"/>
  <c r="CI75" i="19"/>
  <c r="CJ75" i="19"/>
  <c r="CL75" i="19"/>
  <c r="CM75" i="19"/>
  <c r="CN75" i="19"/>
  <c r="CO75" i="19"/>
  <c r="CP75" i="19"/>
  <c r="CR75" i="19"/>
  <c r="CS75" i="19"/>
  <c r="CT75" i="19"/>
  <c r="CU75" i="19"/>
  <c r="CV75" i="19"/>
  <c r="CW75" i="19"/>
  <c r="CX75" i="19"/>
  <c r="CY75" i="19"/>
  <c r="CZ75" i="19"/>
  <c r="C76" i="19"/>
  <c r="D76" i="19"/>
  <c r="I76" i="19"/>
  <c r="K76" i="19"/>
  <c r="P76" i="19"/>
  <c r="Q76" i="19"/>
  <c r="R76" i="19"/>
  <c r="S76" i="19"/>
  <c r="Y76" i="19"/>
  <c r="Z76" i="19"/>
  <c r="AA76" i="19"/>
  <c r="AB76" i="19"/>
  <c r="AD76" i="19"/>
  <c r="AE76" i="19"/>
  <c r="AI76" i="19"/>
  <c r="AK76" i="19"/>
  <c r="AL76" i="19"/>
  <c r="AM76" i="19"/>
  <c r="AN76" i="19"/>
  <c r="AQ76" i="19"/>
  <c r="AR76" i="19"/>
  <c r="AS76" i="19"/>
  <c r="AU76" i="19"/>
  <c r="AV76" i="19"/>
  <c r="AW76" i="19"/>
  <c r="AX76" i="19"/>
  <c r="AY76" i="19"/>
  <c r="AZ76" i="19"/>
  <c r="BB76" i="19"/>
  <c r="BC76" i="19"/>
  <c r="BD76" i="19"/>
  <c r="BF76" i="19"/>
  <c r="BG76" i="19"/>
  <c r="BH76" i="19"/>
  <c r="BI76" i="19"/>
  <c r="BJ76" i="19"/>
  <c r="BL76" i="19"/>
  <c r="BM76" i="19"/>
  <c r="BO76" i="19"/>
  <c r="BP76" i="19"/>
  <c r="BR76" i="19"/>
  <c r="BS76" i="19"/>
  <c r="BT76" i="19"/>
  <c r="BU76" i="19"/>
  <c r="BW76" i="19"/>
  <c r="BX76" i="19"/>
  <c r="BY76" i="19"/>
  <c r="CA76" i="19"/>
  <c r="CB76" i="19"/>
  <c r="CC76" i="19"/>
  <c r="CD76" i="19"/>
  <c r="CE76" i="19"/>
  <c r="CF76" i="19"/>
  <c r="CH76" i="19"/>
  <c r="CI76" i="19"/>
  <c r="CJ76" i="19"/>
  <c r="CL76" i="19"/>
  <c r="CM76" i="19"/>
  <c r="CN76" i="19"/>
  <c r="CO76" i="19"/>
  <c r="CP76" i="19"/>
  <c r="CR76" i="19"/>
  <c r="CS76" i="19"/>
  <c r="CT76" i="19"/>
  <c r="CU76" i="19"/>
  <c r="CV76" i="19"/>
  <c r="CW76" i="19"/>
  <c r="CX76" i="19"/>
  <c r="CY76" i="19"/>
  <c r="CZ76" i="19"/>
  <c r="C77" i="19"/>
  <c r="D77" i="19"/>
  <c r="I77" i="19"/>
  <c r="K77" i="19"/>
  <c r="P77" i="19"/>
  <c r="Q77" i="19"/>
  <c r="R77" i="19"/>
  <c r="S77" i="19"/>
  <c r="Y77" i="19"/>
  <c r="Z77" i="19"/>
  <c r="AA77" i="19"/>
  <c r="AB77" i="19"/>
  <c r="AD77" i="19"/>
  <c r="AE77" i="19"/>
  <c r="AI77" i="19"/>
  <c r="AK77" i="19"/>
  <c r="AL77" i="19"/>
  <c r="AM77" i="19"/>
  <c r="AN77" i="19"/>
  <c r="AQ77" i="19"/>
  <c r="AR77" i="19"/>
  <c r="AS77" i="19"/>
  <c r="AU77" i="19"/>
  <c r="AV77" i="19"/>
  <c r="AW77" i="19"/>
  <c r="AX77" i="19"/>
  <c r="AY77" i="19"/>
  <c r="AZ77" i="19"/>
  <c r="BB77" i="19"/>
  <c r="BC77" i="19"/>
  <c r="BD77" i="19"/>
  <c r="BF77" i="19"/>
  <c r="BG77" i="19"/>
  <c r="BH77" i="19"/>
  <c r="BI77" i="19"/>
  <c r="BJ77" i="19"/>
  <c r="BL77" i="19"/>
  <c r="BM77" i="19"/>
  <c r="BO77" i="19"/>
  <c r="BP77" i="19"/>
  <c r="BR77" i="19"/>
  <c r="BS77" i="19"/>
  <c r="BT77" i="19"/>
  <c r="BU77" i="19"/>
  <c r="BW77" i="19"/>
  <c r="BX77" i="19"/>
  <c r="BY77" i="19"/>
  <c r="CA77" i="19"/>
  <c r="CB77" i="19"/>
  <c r="CC77" i="19"/>
  <c r="CD77" i="19"/>
  <c r="CE77" i="19"/>
  <c r="CF77" i="19"/>
  <c r="CH77" i="19"/>
  <c r="CI77" i="19"/>
  <c r="CJ77" i="19"/>
  <c r="CL77" i="19"/>
  <c r="CM77" i="19"/>
  <c r="CN77" i="19"/>
  <c r="CO77" i="19"/>
  <c r="CP77" i="19"/>
  <c r="CR77" i="19"/>
  <c r="CS77" i="19"/>
  <c r="CT77" i="19"/>
  <c r="CU77" i="19"/>
  <c r="CV77" i="19"/>
  <c r="CW77" i="19"/>
  <c r="CX77" i="19"/>
  <c r="CY77" i="19"/>
  <c r="CZ77" i="19"/>
  <c r="C78" i="19"/>
  <c r="D78" i="19"/>
  <c r="I78" i="19"/>
  <c r="K78" i="19"/>
  <c r="P78" i="19"/>
  <c r="Q78" i="19"/>
  <c r="R78" i="19"/>
  <c r="S78" i="19"/>
  <c r="Y78" i="19"/>
  <c r="Z78" i="19"/>
  <c r="AA78" i="19"/>
  <c r="AB78" i="19"/>
  <c r="AD78" i="19"/>
  <c r="AE78" i="19"/>
  <c r="AI78" i="19"/>
  <c r="AK78" i="19"/>
  <c r="AL78" i="19"/>
  <c r="AM78" i="19"/>
  <c r="AN78" i="19"/>
  <c r="AQ78" i="19"/>
  <c r="AR78" i="19"/>
  <c r="AS78" i="19"/>
  <c r="AU78" i="19"/>
  <c r="AV78" i="19"/>
  <c r="AW78" i="19"/>
  <c r="AX78" i="19"/>
  <c r="AY78" i="19"/>
  <c r="AZ78" i="19"/>
  <c r="BB78" i="19"/>
  <c r="BC78" i="19"/>
  <c r="BD78" i="19"/>
  <c r="BF78" i="19"/>
  <c r="BG78" i="19"/>
  <c r="BH78" i="19"/>
  <c r="BI78" i="19"/>
  <c r="BJ78" i="19"/>
  <c r="BL78" i="19"/>
  <c r="BM78" i="19"/>
  <c r="BO78" i="19"/>
  <c r="BP78" i="19"/>
  <c r="BR78" i="19"/>
  <c r="BS78" i="19"/>
  <c r="BT78" i="19"/>
  <c r="BU78" i="19"/>
  <c r="BW78" i="19"/>
  <c r="BX78" i="19"/>
  <c r="BY78" i="19"/>
  <c r="CA78" i="19"/>
  <c r="CB78" i="19"/>
  <c r="CC78" i="19"/>
  <c r="CD78" i="19"/>
  <c r="CE78" i="19"/>
  <c r="CF78" i="19"/>
  <c r="CH78" i="19"/>
  <c r="CI78" i="19"/>
  <c r="CJ78" i="19"/>
  <c r="CL78" i="19"/>
  <c r="CM78" i="19"/>
  <c r="CN78" i="19"/>
  <c r="CO78" i="19"/>
  <c r="CP78" i="19"/>
  <c r="CR78" i="19"/>
  <c r="CS78" i="19"/>
  <c r="CT78" i="19"/>
  <c r="CU78" i="19"/>
  <c r="CV78" i="19"/>
  <c r="CW78" i="19"/>
  <c r="CX78" i="19"/>
  <c r="CY78" i="19"/>
  <c r="CZ78" i="19"/>
  <c r="C79" i="19"/>
  <c r="D79" i="19"/>
  <c r="I79" i="19"/>
  <c r="K79" i="19"/>
  <c r="P79" i="19"/>
  <c r="Q79" i="19"/>
  <c r="R79" i="19"/>
  <c r="S79" i="19"/>
  <c r="Y79" i="19"/>
  <c r="Z79" i="19"/>
  <c r="AA79" i="19"/>
  <c r="AB79" i="19"/>
  <c r="AD79" i="19"/>
  <c r="AE79" i="19"/>
  <c r="AI79" i="19"/>
  <c r="AK79" i="19"/>
  <c r="AL79" i="19"/>
  <c r="AM79" i="19"/>
  <c r="AN79" i="19"/>
  <c r="AQ79" i="19"/>
  <c r="AR79" i="19"/>
  <c r="AS79" i="19"/>
  <c r="AU79" i="19"/>
  <c r="AV79" i="19"/>
  <c r="AW79" i="19"/>
  <c r="AX79" i="19"/>
  <c r="AY79" i="19"/>
  <c r="AZ79" i="19"/>
  <c r="BB79" i="19"/>
  <c r="BC79" i="19"/>
  <c r="BD79" i="19"/>
  <c r="BF79" i="19"/>
  <c r="BG79" i="19"/>
  <c r="BH79" i="19"/>
  <c r="BI79" i="19"/>
  <c r="BJ79" i="19"/>
  <c r="BL79" i="19"/>
  <c r="BM79" i="19"/>
  <c r="BO79" i="19"/>
  <c r="BP79" i="19"/>
  <c r="BR79" i="19"/>
  <c r="BS79" i="19"/>
  <c r="BT79" i="19"/>
  <c r="BU79" i="19"/>
  <c r="BW79" i="19"/>
  <c r="BX79" i="19"/>
  <c r="BY79" i="19"/>
  <c r="CA79" i="19"/>
  <c r="CB79" i="19"/>
  <c r="CC79" i="19"/>
  <c r="CD79" i="19"/>
  <c r="CE79" i="19"/>
  <c r="CF79" i="19"/>
  <c r="CH79" i="19"/>
  <c r="CI79" i="19"/>
  <c r="CJ79" i="19"/>
  <c r="CL79" i="19"/>
  <c r="CM79" i="19"/>
  <c r="CN79" i="19"/>
  <c r="CO79" i="19"/>
  <c r="CP79" i="19"/>
  <c r="CR79" i="19"/>
  <c r="CS79" i="19"/>
  <c r="CT79" i="19"/>
  <c r="CU79" i="19"/>
  <c r="CV79" i="19"/>
  <c r="CW79" i="19"/>
  <c r="CX79" i="19"/>
  <c r="CY79" i="19"/>
  <c r="CZ79" i="19"/>
  <c r="C80" i="19"/>
  <c r="D80" i="19"/>
  <c r="I80" i="19"/>
  <c r="K80" i="19"/>
  <c r="P80" i="19"/>
  <c r="Q80" i="19"/>
  <c r="R80" i="19"/>
  <c r="S80" i="19"/>
  <c r="Y80" i="19"/>
  <c r="Z80" i="19"/>
  <c r="AA80" i="19"/>
  <c r="AB80" i="19"/>
  <c r="AD80" i="19"/>
  <c r="AE80" i="19"/>
  <c r="AI80" i="19"/>
  <c r="AK80" i="19"/>
  <c r="AL80" i="19"/>
  <c r="AM80" i="19"/>
  <c r="AN80" i="19"/>
  <c r="AQ80" i="19"/>
  <c r="AR80" i="19"/>
  <c r="AS80" i="19"/>
  <c r="AU80" i="19"/>
  <c r="AV80" i="19"/>
  <c r="AW80" i="19"/>
  <c r="AX80" i="19"/>
  <c r="AY80" i="19"/>
  <c r="AZ80" i="19"/>
  <c r="BB80" i="19"/>
  <c r="BC80" i="19"/>
  <c r="BD80" i="19"/>
  <c r="BF80" i="19"/>
  <c r="BG80" i="19"/>
  <c r="BH80" i="19"/>
  <c r="BI80" i="19"/>
  <c r="BJ80" i="19"/>
  <c r="BL80" i="19"/>
  <c r="BM80" i="19"/>
  <c r="BO80" i="19"/>
  <c r="BP80" i="19"/>
  <c r="BR80" i="19"/>
  <c r="BS80" i="19"/>
  <c r="BT80" i="19"/>
  <c r="BU80" i="19"/>
  <c r="BW80" i="19"/>
  <c r="BX80" i="19"/>
  <c r="BY80" i="19"/>
  <c r="CA80" i="19"/>
  <c r="CB80" i="19"/>
  <c r="CC80" i="19"/>
  <c r="CD80" i="19"/>
  <c r="CE80" i="19"/>
  <c r="CF80" i="19"/>
  <c r="CH80" i="19"/>
  <c r="CI80" i="19"/>
  <c r="CJ80" i="19"/>
  <c r="CL80" i="19"/>
  <c r="CM80" i="19"/>
  <c r="CN80" i="19"/>
  <c r="CO80" i="19"/>
  <c r="CP80" i="19"/>
  <c r="CR80" i="19"/>
  <c r="CS80" i="19"/>
  <c r="CT80" i="19"/>
  <c r="CU80" i="19"/>
  <c r="CV80" i="19"/>
  <c r="CW80" i="19"/>
  <c r="CX80" i="19"/>
  <c r="CY80" i="19"/>
  <c r="CZ80" i="19"/>
  <c r="C81" i="19"/>
  <c r="D81" i="19"/>
  <c r="I81" i="19"/>
  <c r="K81" i="19"/>
  <c r="P81" i="19"/>
  <c r="Q81" i="19"/>
  <c r="R81" i="19"/>
  <c r="S81" i="19"/>
  <c r="Y81" i="19"/>
  <c r="Z81" i="19"/>
  <c r="AA81" i="19"/>
  <c r="AB81" i="19"/>
  <c r="AD81" i="19"/>
  <c r="AE81" i="19"/>
  <c r="AI81" i="19"/>
  <c r="AK81" i="19"/>
  <c r="AL81" i="19"/>
  <c r="AM81" i="19"/>
  <c r="AN81" i="19"/>
  <c r="AQ81" i="19"/>
  <c r="AR81" i="19"/>
  <c r="AS81" i="19"/>
  <c r="AU81" i="19"/>
  <c r="AV81" i="19"/>
  <c r="AW81" i="19"/>
  <c r="AX81" i="19"/>
  <c r="AY81" i="19"/>
  <c r="AZ81" i="19"/>
  <c r="BB81" i="19"/>
  <c r="BC81" i="19"/>
  <c r="BD81" i="19"/>
  <c r="BF81" i="19"/>
  <c r="BG81" i="19"/>
  <c r="BH81" i="19"/>
  <c r="BI81" i="19"/>
  <c r="BJ81" i="19"/>
  <c r="BL81" i="19"/>
  <c r="BM81" i="19"/>
  <c r="BO81" i="19"/>
  <c r="BP81" i="19"/>
  <c r="BR81" i="19"/>
  <c r="BS81" i="19"/>
  <c r="BT81" i="19"/>
  <c r="BU81" i="19"/>
  <c r="BW81" i="19"/>
  <c r="BX81" i="19"/>
  <c r="BY81" i="19"/>
  <c r="CA81" i="19"/>
  <c r="CB81" i="19"/>
  <c r="CC81" i="19"/>
  <c r="CD81" i="19"/>
  <c r="CE81" i="19"/>
  <c r="CF81" i="19"/>
  <c r="CH81" i="19"/>
  <c r="CI81" i="19"/>
  <c r="CJ81" i="19"/>
  <c r="CL81" i="19"/>
  <c r="CM81" i="19"/>
  <c r="CN81" i="19"/>
  <c r="CO81" i="19"/>
  <c r="CP81" i="19"/>
  <c r="CR81" i="19"/>
  <c r="CS81" i="19"/>
  <c r="CT81" i="19"/>
  <c r="CU81" i="19"/>
  <c r="CV81" i="19"/>
  <c r="CW81" i="19"/>
  <c r="CX81" i="19"/>
  <c r="CY81" i="19"/>
  <c r="CZ81" i="19"/>
  <c r="C82" i="19"/>
  <c r="D82" i="19"/>
  <c r="I82" i="19"/>
  <c r="K82" i="19"/>
  <c r="P82" i="19"/>
  <c r="Q82" i="19"/>
  <c r="R82" i="19"/>
  <c r="S82" i="19"/>
  <c r="Y82" i="19"/>
  <c r="Z82" i="19"/>
  <c r="AA82" i="19"/>
  <c r="AB82" i="19"/>
  <c r="AD82" i="19"/>
  <c r="AE82" i="19"/>
  <c r="AI82" i="19"/>
  <c r="AK82" i="19"/>
  <c r="AL82" i="19"/>
  <c r="AM82" i="19"/>
  <c r="AN82" i="19"/>
  <c r="AQ82" i="19"/>
  <c r="AR82" i="19"/>
  <c r="AS82" i="19"/>
  <c r="AU82" i="19"/>
  <c r="AV82" i="19"/>
  <c r="AW82" i="19"/>
  <c r="AX82" i="19"/>
  <c r="AY82" i="19"/>
  <c r="AZ82" i="19"/>
  <c r="BB82" i="19"/>
  <c r="BC82" i="19"/>
  <c r="BD82" i="19"/>
  <c r="BF82" i="19"/>
  <c r="BG82" i="19"/>
  <c r="BH82" i="19"/>
  <c r="BI82" i="19"/>
  <c r="BJ82" i="19"/>
  <c r="BL82" i="19"/>
  <c r="BM82" i="19"/>
  <c r="BO82" i="19"/>
  <c r="BP82" i="19"/>
  <c r="BR82" i="19"/>
  <c r="BS82" i="19"/>
  <c r="BT82" i="19"/>
  <c r="BU82" i="19"/>
  <c r="BW82" i="19"/>
  <c r="BX82" i="19"/>
  <c r="BY82" i="19"/>
  <c r="CA82" i="19"/>
  <c r="CB82" i="19"/>
  <c r="CC82" i="19"/>
  <c r="CD82" i="19"/>
  <c r="CE82" i="19"/>
  <c r="CF82" i="19"/>
  <c r="CH82" i="19"/>
  <c r="CI82" i="19"/>
  <c r="CJ82" i="19"/>
  <c r="CL82" i="19"/>
  <c r="CM82" i="19"/>
  <c r="CN82" i="19"/>
  <c r="CO82" i="19"/>
  <c r="CP82" i="19"/>
  <c r="CR82" i="19"/>
  <c r="CS82" i="19"/>
  <c r="CT82" i="19"/>
  <c r="CU82" i="19"/>
  <c r="CV82" i="19"/>
  <c r="CW82" i="19"/>
  <c r="CX82" i="19"/>
  <c r="CY82" i="19"/>
  <c r="CZ82" i="19"/>
  <c r="C83" i="19"/>
  <c r="D83" i="19"/>
  <c r="I83" i="19"/>
  <c r="K83" i="19"/>
  <c r="P83" i="19"/>
  <c r="Q83" i="19"/>
  <c r="R83" i="19"/>
  <c r="S83" i="19"/>
  <c r="Y83" i="19"/>
  <c r="Z83" i="19"/>
  <c r="AA83" i="19"/>
  <c r="AB83" i="19"/>
  <c r="AD83" i="19"/>
  <c r="AE83" i="19"/>
  <c r="AI83" i="19"/>
  <c r="AK83" i="19"/>
  <c r="AL83" i="19"/>
  <c r="AM83" i="19"/>
  <c r="AN83" i="19"/>
  <c r="AQ83" i="19"/>
  <c r="AR83" i="19"/>
  <c r="AS83" i="19"/>
  <c r="AU83" i="19"/>
  <c r="AV83" i="19"/>
  <c r="AW83" i="19"/>
  <c r="AX83" i="19"/>
  <c r="AY83" i="19"/>
  <c r="AZ83" i="19"/>
  <c r="BB83" i="19"/>
  <c r="BC83" i="19"/>
  <c r="BD83" i="19"/>
  <c r="BF83" i="19"/>
  <c r="BG83" i="19"/>
  <c r="BH83" i="19"/>
  <c r="BI83" i="19"/>
  <c r="BJ83" i="19"/>
  <c r="BL83" i="19"/>
  <c r="BM83" i="19"/>
  <c r="BO83" i="19"/>
  <c r="BP83" i="19"/>
  <c r="BR83" i="19"/>
  <c r="BS83" i="19"/>
  <c r="BT83" i="19"/>
  <c r="BU83" i="19"/>
  <c r="BW83" i="19"/>
  <c r="BX83" i="19"/>
  <c r="BY83" i="19"/>
  <c r="CA83" i="19"/>
  <c r="CB83" i="19"/>
  <c r="CC83" i="19"/>
  <c r="CD83" i="19"/>
  <c r="CE83" i="19"/>
  <c r="CF83" i="19"/>
  <c r="CH83" i="19"/>
  <c r="CI83" i="19"/>
  <c r="CJ83" i="19"/>
  <c r="CL83" i="19"/>
  <c r="CM83" i="19"/>
  <c r="CN83" i="19"/>
  <c r="CO83" i="19"/>
  <c r="CP83" i="19"/>
  <c r="CR83" i="19"/>
  <c r="CS83" i="19"/>
  <c r="CT83" i="19"/>
  <c r="CU83" i="19"/>
  <c r="CV83" i="19"/>
  <c r="CW83" i="19"/>
  <c r="CX83" i="19"/>
  <c r="CY83" i="19"/>
  <c r="CZ83" i="19"/>
  <c r="C84" i="19"/>
  <c r="D84" i="19"/>
  <c r="I84" i="19"/>
  <c r="K84" i="19"/>
  <c r="P84" i="19"/>
  <c r="Q84" i="19"/>
  <c r="R84" i="19"/>
  <c r="S84" i="19"/>
  <c r="Y84" i="19"/>
  <c r="Z84" i="19"/>
  <c r="AA84" i="19"/>
  <c r="AB84" i="19"/>
  <c r="AD84" i="19"/>
  <c r="AE84" i="19"/>
  <c r="AI84" i="19"/>
  <c r="AK84" i="19"/>
  <c r="AL84" i="19"/>
  <c r="AM84" i="19"/>
  <c r="AN84" i="19"/>
  <c r="AQ84" i="19"/>
  <c r="AR84" i="19"/>
  <c r="AS84" i="19"/>
  <c r="AU84" i="19"/>
  <c r="AV84" i="19"/>
  <c r="AW84" i="19"/>
  <c r="AX84" i="19"/>
  <c r="AY84" i="19"/>
  <c r="AZ84" i="19"/>
  <c r="BB84" i="19"/>
  <c r="BC84" i="19"/>
  <c r="BD84" i="19"/>
  <c r="BF84" i="19"/>
  <c r="BG84" i="19"/>
  <c r="BH84" i="19"/>
  <c r="BI84" i="19"/>
  <c r="BJ84" i="19"/>
  <c r="BL84" i="19"/>
  <c r="BM84" i="19"/>
  <c r="BO84" i="19"/>
  <c r="BP84" i="19"/>
  <c r="BR84" i="19"/>
  <c r="BS84" i="19"/>
  <c r="BT84" i="19"/>
  <c r="BU84" i="19"/>
  <c r="BW84" i="19"/>
  <c r="BX84" i="19"/>
  <c r="BY84" i="19"/>
  <c r="CA84" i="19"/>
  <c r="CB84" i="19"/>
  <c r="CC84" i="19"/>
  <c r="CD84" i="19"/>
  <c r="CE84" i="19"/>
  <c r="CF84" i="19"/>
  <c r="CH84" i="19"/>
  <c r="CI84" i="19"/>
  <c r="CJ84" i="19"/>
  <c r="CL84" i="19"/>
  <c r="CM84" i="19"/>
  <c r="CN84" i="19"/>
  <c r="CO84" i="19"/>
  <c r="CP84" i="19"/>
  <c r="CR84" i="19"/>
  <c r="CS84" i="19"/>
  <c r="CT84" i="19"/>
  <c r="CU84" i="19"/>
  <c r="CV84" i="19"/>
  <c r="CW84" i="19"/>
  <c r="CX84" i="19"/>
  <c r="CY84" i="19"/>
  <c r="CZ84" i="19"/>
  <c r="C85" i="19"/>
  <c r="D85" i="19"/>
  <c r="I85" i="19"/>
  <c r="K85" i="19"/>
  <c r="P85" i="19"/>
  <c r="Q85" i="19"/>
  <c r="R85" i="19"/>
  <c r="S85" i="19"/>
  <c r="Y85" i="19"/>
  <c r="Z85" i="19"/>
  <c r="AA85" i="19"/>
  <c r="AB85" i="19"/>
  <c r="AD85" i="19"/>
  <c r="AE85" i="19"/>
  <c r="AI85" i="19"/>
  <c r="AK85" i="19"/>
  <c r="AL85" i="19"/>
  <c r="AM85" i="19"/>
  <c r="AN85" i="19"/>
  <c r="AQ85" i="19"/>
  <c r="AR85" i="19"/>
  <c r="AS85" i="19"/>
  <c r="AU85" i="19"/>
  <c r="AV85" i="19"/>
  <c r="AW85" i="19"/>
  <c r="AX85" i="19"/>
  <c r="AY85" i="19"/>
  <c r="AZ85" i="19"/>
  <c r="BB85" i="19"/>
  <c r="BC85" i="19"/>
  <c r="BD85" i="19"/>
  <c r="BF85" i="19"/>
  <c r="BG85" i="19"/>
  <c r="BH85" i="19"/>
  <c r="BI85" i="19"/>
  <c r="BJ85" i="19"/>
  <c r="BL85" i="19"/>
  <c r="BM85" i="19"/>
  <c r="BO85" i="19"/>
  <c r="BP85" i="19"/>
  <c r="BR85" i="19"/>
  <c r="BS85" i="19"/>
  <c r="BT85" i="19"/>
  <c r="BU85" i="19"/>
  <c r="BW85" i="19"/>
  <c r="BX85" i="19"/>
  <c r="BY85" i="19"/>
  <c r="CA85" i="19"/>
  <c r="CB85" i="19"/>
  <c r="CC85" i="19"/>
  <c r="CD85" i="19"/>
  <c r="CE85" i="19"/>
  <c r="CF85" i="19"/>
  <c r="CH85" i="19"/>
  <c r="CI85" i="19"/>
  <c r="CJ85" i="19"/>
  <c r="CL85" i="19"/>
  <c r="CM85" i="19"/>
  <c r="CN85" i="19"/>
  <c r="CO85" i="19"/>
  <c r="CP85" i="19"/>
  <c r="CR85" i="19"/>
  <c r="CS85" i="19"/>
  <c r="CT85" i="19"/>
  <c r="CU85" i="19"/>
  <c r="CV85" i="19"/>
  <c r="CW85" i="19"/>
  <c r="CX85" i="19"/>
  <c r="CY85" i="19"/>
  <c r="CZ85" i="19"/>
  <c r="C86" i="19"/>
  <c r="D86" i="19"/>
  <c r="I86" i="19"/>
  <c r="K86" i="19"/>
  <c r="P86" i="19"/>
  <c r="Q86" i="19"/>
  <c r="R86" i="19"/>
  <c r="S86" i="19"/>
  <c r="Y86" i="19"/>
  <c r="Z86" i="19"/>
  <c r="AA86" i="19"/>
  <c r="AB86" i="19"/>
  <c r="AD86" i="19"/>
  <c r="AE86" i="19"/>
  <c r="AI86" i="19"/>
  <c r="AK86" i="19"/>
  <c r="AL86" i="19"/>
  <c r="AM86" i="19"/>
  <c r="AN86" i="19"/>
  <c r="AQ86" i="19"/>
  <c r="AR86" i="19"/>
  <c r="AS86" i="19"/>
  <c r="AU86" i="19"/>
  <c r="AV86" i="19"/>
  <c r="AW86" i="19"/>
  <c r="AX86" i="19"/>
  <c r="AY86" i="19"/>
  <c r="AZ86" i="19"/>
  <c r="BB86" i="19"/>
  <c r="BC86" i="19"/>
  <c r="BD86" i="19"/>
  <c r="BF86" i="19"/>
  <c r="BG86" i="19"/>
  <c r="BH86" i="19"/>
  <c r="BI86" i="19"/>
  <c r="BJ86" i="19"/>
  <c r="BL86" i="19"/>
  <c r="BM86" i="19"/>
  <c r="BO86" i="19"/>
  <c r="BP86" i="19"/>
  <c r="BR86" i="19"/>
  <c r="BS86" i="19"/>
  <c r="BT86" i="19"/>
  <c r="BU86" i="19"/>
  <c r="BW86" i="19"/>
  <c r="BX86" i="19"/>
  <c r="BY86" i="19"/>
  <c r="CA86" i="19"/>
  <c r="CB86" i="19"/>
  <c r="CC86" i="19"/>
  <c r="CD86" i="19"/>
  <c r="CE86" i="19"/>
  <c r="CF86" i="19"/>
  <c r="CH86" i="19"/>
  <c r="CI86" i="19"/>
  <c r="CJ86" i="19"/>
  <c r="CL86" i="19"/>
  <c r="CM86" i="19"/>
  <c r="CN86" i="19"/>
  <c r="CO86" i="19"/>
  <c r="CP86" i="19"/>
  <c r="CR86" i="19"/>
  <c r="CS86" i="19"/>
  <c r="CT86" i="19"/>
  <c r="CU86" i="19"/>
  <c r="CV86" i="19"/>
  <c r="CW86" i="19"/>
  <c r="CX86" i="19"/>
  <c r="CY86" i="19"/>
  <c r="CZ86" i="19"/>
  <c r="C87" i="19"/>
  <c r="D87" i="19"/>
  <c r="I87" i="19"/>
  <c r="K87" i="19"/>
  <c r="P87" i="19"/>
  <c r="Q87" i="19"/>
  <c r="R87" i="19"/>
  <c r="S87" i="19"/>
  <c r="Y87" i="19"/>
  <c r="Z87" i="19"/>
  <c r="AA87" i="19"/>
  <c r="AB87" i="19"/>
  <c r="AD87" i="19"/>
  <c r="AE87" i="19"/>
  <c r="AI87" i="19"/>
  <c r="AK87" i="19"/>
  <c r="AL87" i="19"/>
  <c r="AM87" i="19"/>
  <c r="AN87" i="19"/>
  <c r="AQ87" i="19"/>
  <c r="AR87" i="19"/>
  <c r="AS87" i="19"/>
  <c r="AU87" i="19"/>
  <c r="AV87" i="19"/>
  <c r="AW87" i="19"/>
  <c r="AX87" i="19"/>
  <c r="AY87" i="19"/>
  <c r="AZ87" i="19"/>
  <c r="BB87" i="19"/>
  <c r="BC87" i="19"/>
  <c r="BD87" i="19"/>
  <c r="BF87" i="19"/>
  <c r="BG87" i="19"/>
  <c r="BH87" i="19"/>
  <c r="BI87" i="19"/>
  <c r="BJ87" i="19"/>
  <c r="BL87" i="19"/>
  <c r="BM87" i="19"/>
  <c r="BO87" i="19"/>
  <c r="BP87" i="19"/>
  <c r="BR87" i="19"/>
  <c r="BS87" i="19"/>
  <c r="BT87" i="19"/>
  <c r="BU87" i="19"/>
  <c r="BW87" i="19"/>
  <c r="BX87" i="19"/>
  <c r="BY87" i="19"/>
  <c r="CA87" i="19"/>
  <c r="CB87" i="19"/>
  <c r="CC87" i="19"/>
  <c r="CD87" i="19"/>
  <c r="CE87" i="19"/>
  <c r="CF87" i="19"/>
  <c r="CH87" i="19"/>
  <c r="CI87" i="19"/>
  <c r="CJ87" i="19"/>
  <c r="CL87" i="19"/>
  <c r="CM87" i="19"/>
  <c r="CN87" i="19"/>
  <c r="CO87" i="19"/>
  <c r="CP87" i="19"/>
  <c r="CR87" i="19"/>
  <c r="CS87" i="19"/>
  <c r="CT87" i="19"/>
  <c r="CU87" i="19"/>
  <c r="CV87" i="19"/>
  <c r="CW87" i="19"/>
  <c r="CX87" i="19"/>
  <c r="CY87" i="19"/>
  <c r="CZ87" i="19"/>
  <c r="C88" i="19"/>
  <c r="D88" i="19"/>
  <c r="I88" i="19"/>
  <c r="K88" i="19"/>
  <c r="P88" i="19"/>
  <c r="Q88" i="19"/>
  <c r="R88" i="19"/>
  <c r="S88" i="19"/>
  <c r="Y88" i="19"/>
  <c r="Z88" i="19"/>
  <c r="AA88" i="19"/>
  <c r="AB88" i="19"/>
  <c r="AD88" i="19"/>
  <c r="AE88" i="19"/>
  <c r="AI88" i="19"/>
  <c r="AK88" i="19"/>
  <c r="AL88" i="19"/>
  <c r="AM88" i="19"/>
  <c r="AN88" i="19"/>
  <c r="AQ88" i="19"/>
  <c r="AR88" i="19"/>
  <c r="AS88" i="19"/>
  <c r="AU88" i="19"/>
  <c r="AV88" i="19"/>
  <c r="AW88" i="19"/>
  <c r="AX88" i="19"/>
  <c r="AY88" i="19"/>
  <c r="AZ88" i="19"/>
  <c r="BB88" i="19"/>
  <c r="BC88" i="19"/>
  <c r="BD88" i="19"/>
  <c r="BF88" i="19"/>
  <c r="BG88" i="19"/>
  <c r="BH88" i="19"/>
  <c r="BI88" i="19"/>
  <c r="BJ88" i="19"/>
  <c r="BL88" i="19"/>
  <c r="BM88" i="19"/>
  <c r="BO88" i="19"/>
  <c r="BP88" i="19"/>
  <c r="BR88" i="19"/>
  <c r="BS88" i="19"/>
  <c r="BT88" i="19"/>
  <c r="BU88" i="19"/>
  <c r="BW88" i="19"/>
  <c r="BX88" i="19"/>
  <c r="BY88" i="19"/>
  <c r="CA88" i="19"/>
  <c r="CB88" i="19"/>
  <c r="CC88" i="19"/>
  <c r="CD88" i="19"/>
  <c r="CE88" i="19"/>
  <c r="CF88" i="19"/>
  <c r="CH88" i="19"/>
  <c r="CI88" i="19"/>
  <c r="CJ88" i="19"/>
  <c r="CL88" i="19"/>
  <c r="CM88" i="19"/>
  <c r="CN88" i="19"/>
  <c r="CO88" i="19"/>
  <c r="CP88" i="19"/>
  <c r="CR88" i="19"/>
  <c r="CS88" i="19"/>
  <c r="CT88" i="19"/>
  <c r="CU88" i="19"/>
  <c r="CV88" i="19"/>
  <c r="CW88" i="19"/>
  <c r="CX88" i="19"/>
  <c r="CY88" i="19"/>
  <c r="CZ88" i="19"/>
  <c r="C89" i="19"/>
  <c r="D89" i="19"/>
  <c r="I89" i="19"/>
  <c r="K89" i="19"/>
  <c r="P89" i="19"/>
  <c r="Q89" i="19"/>
  <c r="R89" i="19"/>
  <c r="S89" i="19"/>
  <c r="Y89" i="19"/>
  <c r="Z89" i="19"/>
  <c r="AA89" i="19"/>
  <c r="AB89" i="19"/>
  <c r="AD89" i="19"/>
  <c r="AE89" i="19"/>
  <c r="AI89" i="19"/>
  <c r="AK89" i="19"/>
  <c r="AL89" i="19"/>
  <c r="AM89" i="19"/>
  <c r="AN89" i="19"/>
  <c r="AQ89" i="19"/>
  <c r="AR89" i="19"/>
  <c r="AS89" i="19"/>
  <c r="AU89" i="19"/>
  <c r="AV89" i="19"/>
  <c r="AW89" i="19"/>
  <c r="AX89" i="19"/>
  <c r="AY89" i="19"/>
  <c r="AZ89" i="19"/>
  <c r="BB89" i="19"/>
  <c r="BC89" i="19"/>
  <c r="BD89" i="19"/>
  <c r="BF89" i="19"/>
  <c r="BG89" i="19"/>
  <c r="BH89" i="19"/>
  <c r="BI89" i="19"/>
  <c r="BJ89" i="19"/>
  <c r="BL89" i="19"/>
  <c r="BM89" i="19"/>
  <c r="BO89" i="19"/>
  <c r="BP89" i="19"/>
  <c r="BR89" i="19"/>
  <c r="BS89" i="19"/>
  <c r="BT89" i="19"/>
  <c r="BU89" i="19"/>
  <c r="BW89" i="19"/>
  <c r="BX89" i="19"/>
  <c r="BY89" i="19"/>
  <c r="CA89" i="19"/>
  <c r="CB89" i="19"/>
  <c r="CC89" i="19"/>
  <c r="CD89" i="19"/>
  <c r="CE89" i="19"/>
  <c r="CF89" i="19"/>
  <c r="CH89" i="19"/>
  <c r="CI89" i="19"/>
  <c r="CJ89" i="19"/>
  <c r="CL89" i="19"/>
  <c r="CM89" i="19"/>
  <c r="CN89" i="19"/>
  <c r="CO89" i="19"/>
  <c r="CP89" i="19"/>
  <c r="CR89" i="19"/>
  <c r="CS89" i="19"/>
  <c r="CT89" i="19"/>
  <c r="CU89" i="19"/>
  <c r="CV89" i="19"/>
  <c r="CW89" i="19"/>
  <c r="CX89" i="19"/>
  <c r="CY89" i="19"/>
  <c r="CZ89" i="19"/>
  <c r="C90" i="19"/>
  <c r="D90" i="19"/>
  <c r="I90" i="19"/>
  <c r="K90" i="19"/>
  <c r="P90" i="19"/>
  <c r="Q90" i="19"/>
  <c r="R90" i="19"/>
  <c r="S90" i="19"/>
  <c r="Y90" i="19"/>
  <c r="Z90" i="19"/>
  <c r="AA90" i="19"/>
  <c r="AB90" i="19"/>
  <c r="AD90" i="19"/>
  <c r="AE90" i="19"/>
  <c r="AI90" i="19"/>
  <c r="AK90" i="19"/>
  <c r="AL90" i="19"/>
  <c r="AM90" i="19"/>
  <c r="AN90" i="19"/>
  <c r="AQ90" i="19"/>
  <c r="AR90" i="19"/>
  <c r="AS90" i="19"/>
  <c r="AU90" i="19"/>
  <c r="AV90" i="19"/>
  <c r="AW90" i="19"/>
  <c r="AX90" i="19"/>
  <c r="AY90" i="19"/>
  <c r="AZ90" i="19"/>
  <c r="BB90" i="19"/>
  <c r="BC90" i="19"/>
  <c r="BD90" i="19"/>
  <c r="BF90" i="19"/>
  <c r="BG90" i="19"/>
  <c r="BH90" i="19"/>
  <c r="BI90" i="19"/>
  <c r="BJ90" i="19"/>
  <c r="BL90" i="19"/>
  <c r="BM90" i="19"/>
  <c r="BO90" i="19"/>
  <c r="BP90" i="19"/>
  <c r="BR90" i="19"/>
  <c r="BS90" i="19"/>
  <c r="BT90" i="19"/>
  <c r="BU90" i="19"/>
  <c r="BW90" i="19"/>
  <c r="BX90" i="19"/>
  <c r="BY90" i="19"/>
  <c r="CA90" i="19"/>
  <c r="CB90" i="19"/>
  <c r="CC90" i="19"/>
  <c r="CD90" i="19"/>
  <c r="CE90" i="19"/>
  <c r="CF90" i="19"/>
  <c r="CH90" i="19"/>
  <c r="CI90" i="19"/>
  <c r="CJ90" i="19"/>
  <c r="CL90" i="19"/>
  <c r="CM90" i="19"/>
  <c r="CN90" i="19"/>
  <c r="CO90" i="19"/>
  <c r="CP90" i="19"/>
  <c r="CR90" i="19"/>
  <c r="CS90" i="19"/>
  <c r="CT90" i="19"/>
  <c r="CU90" i="19"/>
  <c r="CV90" i="19"/>
  <c r="CW90" i="19"/>
  <c r="CX90" i="19"/>
  <c r="CY90" i="19"/>
  <c r="CZ90" i="19"/>
  <c r="C91" i="19"/>
  <c r="D91" i="19"/>
  <c r="I91" i="19"/>
  <c r="K91" i="19"/>
  <c r="P91" i="19"/>
  <c r="Q91" i="19"/>
  <c r="R91" i="19"/>
  <c r="S91" i="19"/>
  <c r="Y91" i="19"/>
  <c r="Z91" i="19"/>
  <c r="AA91" i="19"/>
  <c r="AB91" i="19"/>
  <c r="AD91" i="19"/>
  <c r="AE91" i="19"/>
  <c r="AI91" i="19"/>
  <c r="AK91" i="19"/>
  <c r="AL91" i="19"/>
  <c r="AM91" i="19"/>
  <c r="AN91" i="19"/>
  <c r="AQ91" i="19"/>
  <c r="AR91" i="19"/>
  <c r="AS91" i="19"/>
  <c r="AU91" i="19"/>
  <c r="AV91" i="19"/>
  <c r="AW91" i="19"/>
  <c r="AX91" i="19"/>
  <c r="AY91" i="19"/>
  <c r="AZ91" i="19"/>
  <c r="BB91" i="19"/>
  <c r="BC91" i="19"/>
  <c r="BD91" i="19"/>
  <c r="BF91" i="19"/>
  <c r="BG91" i="19"/>
  <c r="BH91" i="19"/>
  <c r="BI91" i="19"/>
  <c r="BJ91" i="19"/>
  <c r="BL91" i="19"/>
  <c r="BM91" i="19"/>
  <c r="BO91" i="19"/>
  <c r="BP91" i="19"/>
  <c r="BR91" i="19"/>
  <c r="BS91" i="19"/>
  <c r="BT91" i="19"/>
  <c r="BU91" i="19"/>
  <c r="BW91" i="19"/>
  <c r="BX91" i="19"/>
  <c r="BY91" i="19"/>
  <c r="CA91" i="19"/>
  <c r="CB91" i="19"/>
  <c r="CC91" i="19"/>
  <c r="CD91" i="19"/>
  <c r="CE91" i="19"/>
  <c r="CF91" i="19"/>
  <c r="CH91" i="19"/>
  <c r="CI91" i="19"/>
  <c r="CJ91" i="19"/>
  <c r="CL91" i="19"/>
  <c r="CM91" i="19"/>
  <c r="CN91" i="19"/>
  <c r="CO91" i="19"/>
  <c r="CP91" i="19"/>
  <c r="CR91" i="19"/>
  <c r="CS91" i="19"/>
  <c r="CT91" i="19"/>
  <c r="CU91" i="19"/>
  <c r="CV91" i="19"/>
  <c r="CW91" i="19"/>
  <c r="CX91" i="19"/>
  <c r="CY91" i="19"/>
  <c r="CZ91" i="19"/>
  <c r="C92" i="19"/>
  <c r="D92" i="19"/>
  <c r="I92" i="19"/>
  <c r="K92" i="19"/>
  <c r="P92" i="19"/>
  <c r="Q92" i="19"/>
  <c r="R92" i="19"/>
  <c r="S92" i="19"/>
  <c r="Y92" i="19"/>
  <c r="Z92" i="19"/>
  <c r="AA92" i="19"/>
  <c r="AB92" i="19"/>
  <c r="AD92" i="19"/>
  <c r="AE92" i="19"/>
  <c r="AI92" i="19"/>
  <c r="AK92" i="19"/>
  <c r="AL92" i="19"/>
  <c r="AM92" i="19"/>
  <c r="AN92" i="19"/>
  <c r="AQ92" i="19"/>
  <c r="AR92" i="19"/>
  <c r="AS92" i="19"/>
  <c r="AU92" i="19"/>
  <c r="AV92" i="19"/>
  <c r="AW92" i="19"/>
  <c r="AX92" i="19"/>
  <c r="AY92" i="19"/>
  <c r="AZ92" i="19"/>
  <c r="BB92" i="19"/>
  <c r="BC92" i="19"/>
  <c r="BD92" i="19"/>
  <c r="BF92" i="19"/>
  <c r="BG92" i="19"/>
  <c r="BH92" i="19"/>
  <c r="BI92" i="19"/>
  <c r="BJ92" i="19"/>
  <c r="BL92" i="19"/>
  <c r="BM92" i="19"/>
  <c r="BO92" i="19"/>
  <c r="BP92" i="19"/>
  <c r="BR92" i="19"/>
  <c r="BS92" i="19"/>
  <c r="BT92" i="19"/>
  <c r="BU92" i="19"/>
  <c r="BW92" i="19"/>
  <c r="BX92" i="19"/>
  <c r="BY92" i="19"/>
  <c r="CA92" i="19"/>
  <c r="CB92" i="19"/>
  <c r="CC92" i="19"/>
  <c r="CD92" i="19"/>
  <c r="CE92" i="19"/>
  <c r="CF92" i="19"/>
  <c r="CH92" i="19"/>
  <c r="CI92" i="19"/>
  <c r="CJ92" i="19"/>
  <c r="CL92" i="19"/>
  <c r="CM92" i="19"/>
  <c r="CN92" i="19"/>
  <c r="CO92" i="19"/>
  <c r="CP92" i="19"/>
  <c r="CR92" i="19"/>
  <c r="CS92" i="19"/>
  <c r="CT92" i="19"/>
  <c r="CU92" i="19"/>
  <c r="CV92" i="19"/>
  <c r="CW92" i="19"/>
  <c r="CX92" i="19"/>
  <c r="CY92" i="19"/>
  <c r="CZ92" i="19"/>
  <c r="C93" i="19"/>
  <c r="D93" i="19"/>
  <c r="I93" i="19"/>
  <c r="K93" i="19"/>
  <c r="P93" i="19"/>
  <c r="Q93" i="19"/>
  <c r="R93" i="19"/>
  <c r="S93" i="19"/>
  <c r="Y93" i="19"/>
  <c r="Z93" i="19"/>
  <c r="AA93" i="19"/>
  <c r="AB93" i="19"/>
  <c r="AD93" i="19"/>
  <c r="AE93" i="19"/>
  <c r="AI93" i="19"/>
  <c r="AK93" i="19"/>
  <c r="AL93" i="19"/>
  <c r="AM93" i="19"/>
  <c r="AN93" i="19"/>
  <c r="AQ93" i="19"/>
  <c r="AR93" i="19"/>
  <c r="AS93" i="19"/>
  <c r="AU93" i="19"/>
  <c r="AV93" i="19"/>
  <c r="AW93" i="19"/>
  <c r="AX93" i="19"/>
  <c r="AY93" i="19"/>
  <c r="AZ93" i="19"/>
  <c r="BB93" i="19"/>
  <c r="BC93" i="19"/>
  <c r="BD93" i="19"/>
  <c r="BF93" i="19"/>
  <c r="BG93" i="19"/>
  <c r="BH93" i="19"/>
  <c r="BI93" i="19"/>
  <c r="BJ93" i="19"/>
  <c r="BL93" i="19"/>
  <c r="BM93" i="19"/>
  <c r="BO93" i="19"/>
  <c r="BP93" i="19"/>
  <c r="BR93" i="19"/>
  <c r="BS93" i="19"/>
  <c r="BT93" i="19"/>
  <c r="BU93" i="19"/>
  <c r="BW93" i="19"/>
  <c r="BX93" i="19"/>
  <c r="BY93" i="19"/>
  <c r="CA93" i="19"/>
  <c r="CB93" i="19"/>
  <c r="CC93" i="19"/>
  <c r="CD93" i="19"/>
  <c r="CE93" i="19"/>
  <c r="CF93" i="19"/>
  <c r="CH93" i="19"/>
  <c r="CI93" i="19"/>
  <c r="CJ93" i="19"/>
  <c r="CL93" i="19"/>
  <c r="CM93" i="19"/>
  <c r="CN93" i="19"/>
  <c r="CO93" i="19"/>
  <c r="CP93" i="19"/>
  <c r="CR93" i="19"/>
  <c r="CS93" i="19"/>
  <c r="CT93" i="19"/>
  <c r="CU93" i="19"/>
  <c r="CV93" i="19"/>
  <c r="CW93" i="19"/>
  <c r="CX93" i="19"/>
  <c r="CY93" i="19"/>
  <c r="CZ93" i="19"/>
  <c r="C94" i="19"/>
  <c r="D94" i="19"/>
  <c r="I94" i="19"/>
  <c r="K94" i="19"/>
  <c r="P94" i="19"/>
  <c r="Q94" i="19"/>
  <c r="R94" i="19"/>
  <c r="S94" i="19"/>
  <c r="Y94" i="19"/>
  <c r="Z94" i="19"/>
  <c r="AA94" i="19"/>
  <c r="AB94" i="19"/>
  <c r="AD94" i="19"/>
  <c r="AE94" i="19"/>
  <c r="AI94" i="19"/>
  <c r="AK94" i="19"/>
  <c r="AL94" i="19"/>
  <c r="AM94" i="19"/>
  <c r="AN94" i="19"/>
  <c r="AQ94" i="19"/>
  <c r="AR94" i="19"/>
  <c r="AS94" i="19"/>
  <c r="AU94" i="19"/>
  <c r="AV94" i="19"/>
  <c r="AW94" i="19"/>
  <c r="AX94" i="19"/>
  <c r="AY94" i="19"/>
  <c r="AZ94" i="19"/>
  <c r="BB94" i="19"/>
  <c r="BC94" i="19"/>
  <c r="BD94" i="19"/>
  <c r="BF94" i="19"/>
  <c r="BG94" i="19"/>
  <c r="BH94" i="19"/>
  <c r="BI94" i="19"/>
  <c r="BJ94" i="19"/>
  <c r="BL94" i="19"/>
  <c r="BM94" i="19"/>
  <c r="BO94" i="19"/>
  <c r="BP94" i="19"/>
  <c r="BR94" i="19"/>
  <c r="BS94" i="19"/>
  <c r="BT94" i="19"/>
  <c r="BU94" i="19"/>
  <c r="BW94" i="19"/>
  <c r="BX94" i="19"/>
  <c r="BY94" i="19"/>
  <c r="CA94" i="19"/>
  <c r="CB94" i="19"/>
  <c r="CC94" i="19"/>
  <c r="CD94" i="19"/>
  <c r="CE94" i="19"/>
  <c r="CF94" i="19"/>
  <c r="CH94" i="19"/>
  <c r="CI94" i="19"/>
  <c r="CJ94" i="19"/>
  <c r="CL94" i="19"/>
  <c r="CM94" i="19"/>
  <c r="CN94" i="19"/>
  <c r="CO94" i="19"/>
  <c r="CP94" i="19"/>
  <c r="CR94" i="19"/>
  <c r="CS94" i="19"/>
  <c r="CT94" i="19"/>
  <c r="CU94" i="19"/>
  <c r="CV94" i="19"/>
  <c r="CW94" i="19"/>
  <c r="CX94" i="19"/>
  <c r="CY94" i="19"/>
  <c r="CZ94" i="19"/>
  <c r="C95" i="19"/>
  <c r="D95" i="19"/>
  <c r="I95" i="19"/>
  <c r="K95" i="19"/>
  <c r="P95" i="19"/>
  <c r="Q95" i="19"/>
  <c r="R95" i="19"/>
  <c r="S95" i="19"/>
  <c r="Y95" i="19"/>
  <c r="Z95" i="19"/>
  <c r="AA95" i="19"/>
  <c r="AB95" i="19"/>
  <c r="AD95" i="19"/>
  <c r="AE95" i="19"/>
  <c r="AI95" i="19"/>
  <c r="AK95" i="19"/>
  <c r="AL95" i="19"/>
  <c r="AM95" i="19"/>
  <c r="AN95" i="19"/>
  <c r="AQ95" i="19"/>
  <c r="AR95" i="19"/>
  <c r="AS95" i="19"/>
  <c r="AU95" i="19"/>
  <c r="AV95" i="19"/>
  <c r="AW95" i="19"/>
  <c r="AX95" i="19"/>
  <c r="AY95" i="19"/>
  <c r="AZ95" i="19"/>
  <c r="BB95" i="19"/>
  <c r="BC95" i="19"/>
  <c r="BD95" i="19"/>
  <c r="BF95" i="19"/>
  <c r="BG95" i="19"/>
  <c r="BH95" i="19"/>
  <c r="BI95" i="19"/>
  <c r="BJ95" i="19"/>
  <c r="BL95" i="19"/>
  <c r="BM95" i="19"/>
  <c r="BO95" i="19"/>
  <c r="BP95" i="19"/>
  <c r="BR95" i="19"/>
  <c r="BS95" i="19"/>
  <c r="BT95" i="19"/>
  <c r="BU95" i="19"/>
  <c r="BW95" i="19"/>
  <c r="BX95" i="19"/>
  <c r="BY95" i="19"/>
  <c r="CA95" i="19"/>
  <c r="CB95" i="19"/>
  <c r="CC95" i="19"/>
  <c r="CD95" i="19"/>
  <c r="CE95" i="19"/>
  <c r="CF95" i="19"/>
  <c r="CH95" i="19"/>
  <c r="CI95" i="19"/>
  <c r="CJ95" i="19"/>
  <c r="CL95" i="19"/>
  <c r="CM95" i="19"/>
  <c r="CN95" i="19"/>
  <c r="CO95" i="19"/>
  <c r="CP95" i="19"/>
  <c r="CR95" i="19"/>
  <c r="CS95" i="19"/>
  <c r="CT95" i="19"/>
  <c r="CU95" i="19"/>
  <c r="CV95" i="19"/>
  <c r="CW95" i="19"/>
  <c r="CX95" i="19"/>
  <c r="CY95" i="19"/>
  <c r="CZ95" i="19"/>
  <c r="C96" i="19"/>
  <c r="D96" i="19"/>
  <c r="I96" i="19"/>
  <c r="K96" i="19"/>
  <c r="P96" i="19"/>
  <c r="Q96" i="19"/>
  <c r="R96" i="19"/>
  <c r="S96" i="19"/>
  <c r="Y96" i="19"/>
  <c r="Z96" i="19"/>
  <c r="AA96" i="19"/>
  <c r="AB96" i="19"/>
  <c r="AD96" i="19"/>
  <c r="AE96" i="19"/>
  <c r="AI96" i="19"/>
  <c r="AK96" i="19"/>
  <c r="AL96" i="19"/>
  <c r="AM96" i="19"/>
  <c r="AN96" i="19"/>
  <c r="AQ96" i="19"/>
  <c r="AR96" i="19"/>
  <c r="AS96" i="19"/>
  <c r="AU96" i="19"/>
  <c r="AV96" i="19"/>
  <c r="AW96" i="19"/>
  <c r="AX96" i="19"/>
  <c r="AY96" i="19"/>
  <c r="AZ96" i="19"/>
  <c r="BB96" i="19"/>
  <c r="BC96" i="19"/>
  <c r="BD96" i="19"/>
  <c r="BF96" i="19"/>
  <c r="BG96" i="19"/>
  <c r="BH96" i="19"/>
  <c r="BI96" i="19"/>
  <c r="BJ96" i="19"/>
  <c r="BL96" i="19"/>
  <c r="BM96" i="19"/>
  <c r="BO96" i="19"/>
  <c r="BP96" i="19"/>
  <c r="BR96" i="19"/>
  <c r="BS96" i="19"/>
  <c r="BT96" i="19"/>
  <c r="BU96" i="19"/>
  <c r="BW96" i="19"/>
  <c r="BX96" i="19"/>
  <c r="BY96" i="19"/>
  <c r="CA96" i="19"/>
  <c r="CB96" i="19"/>
  <c r="CC96" i="19"/>
  <c r="CD96" i="19"/>
  <c r="CE96" i="19"/>
  <c r="CF96" i="19"/>
  <c r="CH96" i="19"/>
  <c r="CI96" i="19"/>
  <c r="CJ96" i="19"/>
  <c r="CL96" i="19"/>
  <c r="CM96" i="19"/>
  <c r="CN96" i="19"/>
  <c r="CO96" i="19"/>
  <c r="CP96" i="19"/>
  <c r="CR96" i="19"/>
  <c r="CS96" i="19"/>
  <c r="CT96" i="19"/>
  <c r="CU96" i="19"/>
  <c r="CV96" i="19"/>
  <c r="CW96" i="19"/>
  <c r="CX96" i="19"/>
  <c r="CY96" i="19"/>
  <c r="CZ96" i="19"/>
  <c r="C97" i="19"/>
  <c r="D97" i="19"/>
  <c r="I97" i="19"/>
  <c r="K97" i="19"/>
  <c r="P97" i="19"/>
  <c r="Q97" i="19"/>
  <c r="R97" i="19"/>
  <c r="S97" i="19"/>
  <c r="Y97" i="19"/>
  <c r="Z97" i="19"/>
  <c r="AA97" i="19"/>
  <c r="AB97" i="19"/>
  <c r="AD97" i="19"/>
  <c r="AE97" i="19"/>
  <c r="AI97" i="19"/>
  <c r="AK97" i="19"/>
  <c r="AL97" i="19"/>
  <c r="AM97" i="19"/>
  <c r="AN97" i="19"/>
  <c r="AQ97" i="19"/>
  <c r="AR97" i="19"/>
  <c r="AS97" i="19"/>
  <c r="AU97" i="19"/>
  <c r="AV97" i="19"/>
  <c r="AW97" i="19"/>
  <c r="AX97" i="19"/>
  <c r="AY97" i="19"/>
  <c r="AZ97" i="19"/>
  <c r="BB97" i="19"/>
  <c r="BC97" i="19"/>
  <c r="BD97" i="19"/>
  <c r="BF97" i="19"/>
  <c r="BG97" i="19"/>
  <c r="BH97" i="19"/>
  <c r="BI97" i="19"/>
  <c r="BJ97" i="19"/>
  <c r="BL97" i="19"/>
  <c r="BM97" i="19"/>
  <c r="BO97" i="19"/>
  <c r="BP97" i="19"/>
  <c r="BR97" i="19"/>
  <c r="BS97" i="19"/>
  <c r="BT97" i="19"/>
  <c r="BU97" i="19"/>
  <c r="BW97" i="19"/>
  <c r="BX97" i="19"/>
  <c r="BY97" i="19"/>
  <c r="CA97" i="19"/>
  <c r="CB97" i="19"/>
  <c r="CC97" i="19"/>
  <c r="CD97" i="19"/>
  <c r="CE97" i="19"/>
  <c r="CF97" i="19"/>
  <c r="CH97" i="19"/>
  <c r="CI97" i="19"/>
  <c r="CJ97" i="19"/>
  <c r="CL97" i="19"/>
  <c r="CM97" i="19"/>
  <c r="CN97" i="19"/>
  <c r="CO97" i="19"/>
  <c r="CP97" i="19"/>
  <c r="CR97" i="19"/>
  <c r="CS97" i="19"/>
  <c r="CT97" i="19"/>
  <c r="CU97" i="19"/>
  <c r="CV97" i="19"/>
  <c r="CW97" i="19"/>
  <c r="CX97" i="19"/>
  <c r="CY97" i="19"/>
  <c r="CZ97" i="19"/>
  <c r="C98" i="19"/>
  <c r="D98" i="19"/>
  <c r="I98" i="19"/>
  <c r="K98" i="19"/>
  <c r="P98" i="19"/>
  <c r="Q98" i="19"/>
  <c r="R98" i="19"/>
  <c r="S98" i="19"/>
  <c r="Y98" i="19"/>
  <c r="Z98" i="19"/>
  <c r="AA98" i="19"/>
  <c r="AB98" i="19"/>
  <c r="AD98" i="19"/>
  <c r="AE98" i="19"/>
  <c r="AI98" i="19"/>
  <c r="AK98" i="19"/>
  <c r="AL98" i="19"/>
  <c r="AM98" i="19"/>
  <c r="AN98" i="19"/>
  <c r="AQ98" i="19"/>
  <c r="AR98" i="19"/>
  <c r="AS98" i="19"/>
  <c r="AU98" i="19"/>
  <c r="AV98" i="19"/>
  <c r="AW98" i="19"/>
  <c r="AX98" i="19"/>
  <c r="AY98" i="19"/>
  <c r="AZ98" i="19"/>
  <c r="BB98" i="19"/>
  <c r="BC98" i="19"/>
  <c r="BD98" i="19"/>
  <c r="BF98" i="19"/>
  <c r="BG98" i="19"/>
  <c r="BH98" i="19"/>
  <c r="BI98" i="19"/>
  <c r="BJ98" i="19"/>
  <c r="BL98" i="19"/>
  <c r="BM98" i="19"/>
  <c r="BO98" i="19"/>
  <c r="BP98" i="19"/>
  <c r="BR98" i="19"/>
  <c r="BS98" i="19"/>
  <c r="BT98" i="19"/>
  <c r="BU98" i="19"/>
  <c r="BW98" i="19"/>
  <c r="BX98" i="19"/>
  <c r="BY98" i="19"/>
  <c r="CA98" i="19"/>
  <c r="CB98" i="19"/>
  <c r="CC98" i="19"/>
  <c r="CD98" i="19"/>
  <c r="CE98" i="19"/>
  <c r="CF98" i="19"/>
  <c r="CH98" i="19"/>
  <c r="CI98" i="19"/>
  <c r="CJ98" i="19"/>
  <c r="CL98" i="19"/>
  <c r="CM98" i="19"/>
  <c r="CN98" i="19"/>
  <c r="CO98" i="19"/>
  <c r="CP98" i="19"/>
  <c r="CR98" i="19"/>
  <c r="CS98" i="19"/>
  <c r="CT98" i="19"/>
  <c r="CU98" i="19"/>
  <c r="CV98" i="19"/>
  <c r="CW98" i="19"/>
  <c r="CX98" i="19"/>
  <c r="CY98" i="19"/>
  <c r="CZ98" i="19"/>
  <c r="C99" i="19"/>
  <c r="D99" i="19"/>
  <c r="I99" i="19"/>
  <c r="K99" i="19"/>
  <c r="P99" i="19"/>
  <c r="Q99" i="19"/>
  <c r="R99" i="19"/>
  <c r="S99" i="19"/>
  <c r="Y99" i="19"/>
  <c r="Z99" i="19"/>
  <c r="AA99" i="19"/>
  <c r="AB99" i="19"/>
  <c r="AD99" i="19"/>
  <c r="AE99" i="19"/>
  <c r="AI99" i="19"/>
  <c r="AK99" i="19"/>
  <c r="AL99" i="19"/>
  <c r="AM99" i="19"/>
  <c r="AN99" i="19"/>
  <c r="AQ99" i="19"/>
  <c r="AR99" i="19"/>
  <c r="AS99" i="19"/>
  <c r="AU99" i="19"/>
  <c r="AV99" i="19"/>
  <c r="AW99" i="19"/>
  <c r="AX99" i="19"/>
  <c r="AY99" i="19"/>
  <c r="AZ99" i="19"/>
  <c r="BB99" i="19"/>
  <c r="BC99" i="19"/>
  <c r="BD99" i="19"/>
  <c r="BF99" i="19"/>
  <c r="BG99" i="19"/>
  <c r="BH99" i="19"/>
  <c r="BI99" i="19"/>
  <c r="BJ99" i="19"/>
  <c r="BL99" i="19"/>
  <c r="BM99" i="19"/>
  <c r="BO99" i="19"/>
  <c r="BP99" i="19"/>
  <c r="BR99" i="19"/>
  <c r="BS99" i="19"/>
  <c r="BT99" i="19"/>
  <c r="BU99" i="19"/>
  <c r="BW99" i="19"/>
  <c r="BX99" i="19"/>
  <c r="BY99" i="19"/>
  <c r="CA99" i="19"/>
  <c r="CB99" i="19"/>
  <c r="CC99" i="19"/>
  <c r="CD99" i="19"/>
  <c r="CE99" i="19"/>
  <c r="CF99" i="19"/>
  <c r="CH99" i="19"/>
  <c r="CI99" i="19"/>
  <c r="CJ99" i="19"/>
  <c r="CL99" i="19"/>
  <c r="CM99" i="19"/>
  <c r="CN99" i="19"/>
  <c r="CO99" i="19"/>
  <c r="CP99" i="19"/>
  <c r="CR99" i="19"/>
  <c r="CS99" i="19"/>
  <c r="CT99" i="19"/>
  <c r="CU99" i="19"/>
  <c r="CV99" i="19"/>
  <c r="CW99" i="19"/>
  <c r="CX99" i="19"/>
  <c r="CY99" i="19"/>
  <c r="CZ99" i="19"/>
  <c r="C100" i="19"/>
  <c r="D100" i="19"/>
  <c r="I100" i="19"/>
  <c r="K100" i="19"/>
  <c r="P100" i="19"/>
  <c r="Q100" i="19"/>
  <c r="R100" i="19"/>
  <c r="S100" i="19"/>
  <c r="Y100" i="19"/>
  <c r="Z100" i="19"/>
  <c r="AA100" i="19"/>
  <c r="AB100" i="19"/>
  <c r="AD100" i="19"/>
  <c r="AE100" i="19"/>
  <c r="AI100" i="19"/>
  <c r="AK100" i="19"/>
  <c r="AL100" i="19"/>
  <c r="AM100" i="19"/>
  <c r="AN100" i="19"/>
  <c r="AQ100" i="19"/>
  <c r="AR100" i="19"/>
  <c r="AS100" i="19"/>
  <c r="AU100" i="19"/>
  <c r="AV100" i="19"/>
  <c r="AW100" i="19"/>
  <c r="AX100" i="19"/>
  <c r="AY100" i="19"/>
  <c r="AZ100" i="19"/>
  <c r="BB100" i="19"/>
  <c r="BC100" i="19"/>
  <c r="BD100" i="19"/>
  <c r="BF100" i="19"/>
  <c r="BG100" i="19"/>
  <c r="BH100" i="19"/>
  <c r="BI100" i="19"/>
  <c r="BJ100" i="19"/>
  <c r="BL100" i="19"/>
  <c r="BM100" i="19"/>
  <c r="BO100" i="19"/>
  <c r="BP100" i="19"/>
  <c r="BR100" i="19"/>
  <c r="BS100" i="19"/>
  <c r="BT100" i="19"/>
  <c r="BU100" i="19"/>
  <c r="BW100" i="19"/>
  <c r="BX100" i="19"/>
  <c r="BY100" i="19"/>
  <c r="CA100" i="19"/>
  <c r="CB100" i="19"/>
  <c r="CC100" i="19"/>
  <c r="CD100" i="19"/>
  <c r="CE100" i="19"/>
  <c r="CF100" i="19"/>
  <c r="CH100" i="19"/>
  <c r="CI100" i="19"/>
  <c r="CJ100" i="19"/>
  <c r="CL100" i="19"/>
  <c r="CM100" i="19"/>
  <c r="CN100" i="19"/>
  <c r="CO100" i="19"/>
  <c r="CP100" i="19"/>
  <c r="CR100" i="19"/>
  <c r="CS100" i="19"/>
  <c r="CT100" i="19"/>
  <c r="CU100" i="19"/>
  <c r="CV100" i="19"/>
  <c r="CW100" i="19"/>
  <c r="CX100" i="19"/>
  <c r="CY100" i="19"/>
  <c r="CZ100" i="19"/>
  <c r="C101" i="19"/>
  <c r="D101" i="19"/>
  <c r="I101" i="19"/>
  <c r="K101" i="19"/>
  <c r="P101" i="19"/>
  <c r="Q101" i="19"/>
  <c r="R101" i="19"/>
  <c r="S101" i="19"/>
  <c r="Y101" i="19"/>
  <c r="Z101" i="19"/>
  <c r="AA101" i="19"/>
  <c r="AB101" i="19"/>
  <c r="AD101" i="19"/>
  <c r="AE101" i="19"/>
  <c r="AI101" i="19"/>
  <c r="AK101" i="19"/>
  <c r="AL101" i="19"/>
  <c r="AM101" i="19"/>
  <c r="AN101" i="19"/>
  <c r="AQ101" i="19"/>
  <c r="AR101" i="19"/>
  <c r="AS101" i="19"/>
  <c r="AU101" i="19"/>
  <c r="AV101" i="19"/>
  <c r="AW101" i="19"/>
  <c r="AX101" i="19"/>
  <c r="AY101" i="19"/>
  <c r="AZ101" i="19"/>
  <c r="BB101" i="19"/>
  <c r="BC101" i="19"/>
  <c r="BD101" i="19"/>
  <c r="BF101" i="19"/>
  <c r="BG101" i="19"/>
  <c r="BH101" i="19"/>
  <c r="BI101" i="19"/>
  <c r="BJ101" i="19"/>
  <c r="BL101" i="19"/>
  <c r="BM101" i="19"/>
  <c r="BO101" i="19"/>
  <c r="BP101" i="19"/>
  <c r="BR101" i="19"/>
  <c r="BS101" i="19"/>
  <c r="BT101" i="19"/>
  <c r="BU101" i="19"/>
  <c r="BW101" i="19"/>
  <c r="BX101" i="19"/>
  <c r="BY101" i="19"/>
  <c r="CA101" i="19"/>
  <c r="CB101" i="19"/>
  <c r="CC101" i="19"/>
  <c r="CD101" i="19"/>
  <c r="CE101" i="19"/>
  <c r="CF101" i="19"/>
  <c r="CH101" i="19"/>
  <c r="CI101" i="19"/>
  <c r="CJ101" i="19"/>
  <c r="CL101" i="19"/>
  <c r="CM101" i="19"/>
  <c r="CN101" i="19"/>
  <c r="CO101" i="19"/>
  <c r="CP101" i="19"/>
  <c r="CR101" i="19"/>
  <c r="CS101" i="19"/>
  <c r="CT101" i="19"/>
  <c r="CU101" i="19"/>
  <c r="CV101" i="19"/>
  <c r="CW101" i="19"/>
  <c r="CX101" i="19"/>
  <c r="CY101" i="19"/>
  <c r="CZ101" i="19"/>
  <c r="C102" i="19"/>
  <c r="D102" i="19"/>
  <c r="I102" i="19"/>
  <c r="K102" i="19"/>
  <c r="P102" i="19"/>
  <c r="Q102" i="19"/>
  <c r="R102" i="19"/>
  <c r="S102" i="19"/>
  <c r="Y102" i="19"/>
  <c r="Z102" i="19"/>
  <c r="AA102" i="19"/>
  <c r="AB102" i="19"/>
  <c r="AD102" i="19"/>
  <c r="AE102" i="19"/>
  <c r="AI102" i="19"/>
  <c r="AK102" i="19"/>
  <c r="AL102" i="19"/>
  <c r="AM102" i="19"/>
  <c r="AN102" i="19"/>
  <c r="AQ102" i="19"/>
  <c r="AR102" i="19"/>
  <c r="AS102" i="19"/>
  <c r="AU102" i="19"/>
  <c r="AV102" i="19"/>
  <c r="AW102" i="19"/>
  <c r="AX102" i="19"/>
  <c r="AY102" i="19"/>
  <c r="AZ102" i="19"/>
  <c r="BB102" i="19"/>
  <c r="BC102" i="19"/>
  <c r="BD102" i="19"/>
  <c r="BF102" i="19"/>
  <c r="BG102" i="19"/>
  <c r="BH102" i="19"/>
  <c r="BI102" i="19"/>
  <c r="BJ102" i="19"/>
  <c r="BL102" i="19"/>
  <c r="BM102" i="19"/>
  <c r="BO102" i="19"/>
  <c r="BP102" i="19"/>
  <c r="BR102" i="19"/>
  <c r="BS102" i="19"/>
  <c r="BT102" i="19"/>
  <c r="BU102" i="19"/>
  <c r="BW102" i="19"/>
  <c r="BX102" i="19"/>
  <c r="BY102" i="19"/>
  <c r="CA102" i="19"/>
  <c r="CB102" i="19"/>
  <c r="CC102" i="19"/>
  <c r="CD102" i="19"/>
  <c r="CE102" i="19"/>
  <c r="CF102" i="19"/>
  <c r="CH102" i="19"/>
  <c r="CI102" i="19"/>
  <c r="CJ102" i="19"/>
  <c r="CL102" i="19"/>
  <c r="CM102" i="19"/>
  <c r="CN102" i="19"/>
  <c r="CO102" i="19"/>
  <c r="CP102" i="19"/>
  <c r="CR102" i="19"/>
  <c r="CS102" i="19"/>
  <c r="CT102" i="19"/>
  <c r="CU102" i="19"/>
  <c r="CV102" i="19"/>
  <c r="CW102" i="19"/>
  <c r="CX102" i="19"/>
  <c r="CY102" i="19"/>
  <c r="CZ102" i="19"/>
  <c r="C103" i="19"/>
  <c r="D103" i="19"/>
  <c r="I103" i="19"/>
  <c r="K103" i="19"/>
  <c r="P103" i="19"/>
  <c r="Q103" i="19"/>
  <c r="R103" i="19"/>
  <c r="S103" i="19"/>
  <c r="Y103" i="19"/>
  <c r="Z103" i="19"/>
  <c r="AA103" i="19"/>
  <c r="AB103" i="19"/>
  <c r="AD103" i="19"/>
  <c r="AE103" i="19"/>
  <c r="AI103" i="19"/>
  <c r="AK103" i="19"/>
  <c r="AL103" i="19"/>
  <c r="AM103" i="19"/>
  <c r="AN103" i="19"/>
  <c r="AQ103" i="19"/>
  <c r="AR103" i="19"/>
  <c r="AS103" i="19"/>
  <c r="AU103" i="19"/>
  <c r="AV103" i="19"/>
  <c r="AW103" i="19"/>
  <c r="AX103" i="19"/>
  <c r="AY103" i="19"/>
  <c r="AZ103" i="19"/>
  <c r="BB103" i="19"/>
  <c r="BC103" i="19"/>
  <c r="BD103" i="19"/>
  <c r="BF103" i="19"/>
  <c r="BG103" i="19"/>
  <c r="BH103" i="19"/>
  <c r="BI103" i="19"/>
  <c r="BJ103" i="19"/>
  <c r="BL103" i="19"/>
  <c r="BM103" i="19"/>
  <c r="BO103" i="19"/>
  <c r="BP103" i="19"/>
  <c r="BR103" i="19"/>
  <c r="BS103" i="19"/>
  <c r="BT103" i="19"/>
  <c r="BU103" i="19"/>
  <c r="BW103" i="19"/>
  <c r="BX103" i="19"/>
  <c r="BY103" i="19"/>
  <c r="CA103" i="19"/>
  <c r="CB103" i="19"/>
  <c r="CC103" i="19"/>
  <c r="CD103" i="19"/>
  <c r="CE103" i="19"/>
  <c r="CF103" i="19"/>
  <c r="CH103" i="19"/>
  <c r="CI103" i="19"/>
  <c r="CJ103" i="19"/>
  <c r="CL103" i="19"/>
  <c r="CM103" i="19"/>
  <c r="CN103" i="19"/>
  <c r="CO103" i="19"/>
  <c r="CP103" i="19"/>
  <c r="CR103" i="19"/>
  <c r="CS103" i="19"/>
  <c r="CT103" i="19"/>
  <c r="CU103" i="19"/>
  <c r="CV103" i="19"/>
  <c r="CW103" i="19"/>
  <c r="CX103" i="19"/>
  <c r="CY103" i="19"/>
  <c r="CZ103" i="19"/>
  <c r="C104" i="19"/>
  <c r="D104" i="19"/>
  <c r="I104" i="19"/>
  <c r="K104" i="19"/>
  <c r="P104" i="19"/>
  <c r="Q104" i="19"/>
  <c r="R104" i="19"/>
  <c r="S104" i="19"/>
  <c r="Y104" i="19"/>
  <c r="Z104" i="19"/>
  <c r="AA104" i="19"/>
  <c r="AB104" i="19"/>
  <c r="AD104" i="19"/>
  <c r="AE104" i="19"/>
  <c r="AI104" i="19"/>
  <c r="AK104" i="19"/>
  <c r="AL104" i="19"/>
  <c r="AM104" i="19"/>
  <c r="AN104" i="19"/>
  <c r="AQ104" i="19"/>
  <c r="AR104" i="19"/>
  <c r="AS104" i="19"/>
  <c r="AU104" i="19"/>
  <c r="AV104" i="19"/>
  <c r="AW104" i="19"/>
  <c r="AX104" i="19"/>
  <c r="AY104" i="19"/>
  <c r="AZ104" i="19"/>
  <c r="BB104" i="19"/>
  <c r="BC104" i="19"/>
  <c r="BD104" i="19"/>
  <c r="BF104" i="19"/>
  <c r="BG104" i="19"/>
  <c r="BH104" i="19"/>
  <c r="BI104" i="19"/>
  <c r="BJ104" i="19"/>
  <c r="BL104" i="19"/>
  <c r="BM104" i="19"/>
  <c r="BO104" i="19"/>
  <c r="BP104" i="19"/>
  <c r="BR104" i="19"/>
  <c r="BS104" i="19"/>
  <c r="BT104" i="19"/>
  <c r="BU104" i="19"/>
  <c r="BW104" i="19"/>
  <c r="BX104" i="19"/>
  <c r="BY104" i="19"/>
  <c r="CA104" i="19"/>
  <c r="CB104" i="19"/>
  <c r="CC104" i="19"/>
  <c r="CD104" i="19"/>
  <c r="CE104" i="19"/>
  <c r="CF104" i="19"/>
  <c r="CH104" i="19"/>
  <c r="CI104" i="19"/>
  <c r="CJ104" i="19"/>
  <c r="CL104" i="19"/>
  <c r="CM104" i="19"/>
  <c r="CN104" i="19"/>
  <c r="CO104" i="19"/>
  <c r="CP104" i="19"/>
  <c r="CR104" i="19"/>
  <c r="CS104" i="19"/>
  <c r="CT104" i="19"/>
  <c r="CU104" i="19"/>
  <c r="CV104" i="19"/>
  <c r="CW104" i="19"/>
  <c r="CX104" i="19"/>
  <c r="CY104" i="19"/>
  <c r="CZ104" i="19"/>
  <c r="C105" i="19"/>
  <c r="D105" i="19"/>
  <c r="I105" i="19"/>
  <c r="K105" i="19"/>
  <c r="P105" i="19"/>
  <c r="Q105" i="19"/>
  <c r="R105" i="19"/>
  <c r="S105" i="19"/>
  <c r="Y105" i="19"/>
  <c r="Z105" i="19"/>
  <c r="AA105" i="19"/>
  <c r="AB105" i="19"/>
  <c r="AD105" i="19"/>
  <c r="AE105" i="19"/>
  <c r="AI105" i="19"/>
  <c r="AK105" i="19"/>
  <c r="AL105" i="19"/>
  <c r="AM105" i="19"/>
  <c r="AN105" i="19"/>
  <c r="AQ105" i="19"/>
  <c r="AR105" i="19"/>
  <c r="AS105" i="19"/>
  <c r="AU105" i="19"/>
  <c r="AV105" i="19"/>
  <c r="AW105" i="19"/>
  <c r="AX105" i="19"/>
  <c r="AY105" i="19"/>
  <c r="AZ105" i="19"/>
  <c r="BB105" i="19"/>
  <c r="BC105" i="19"/>
  <c r="BD105" i="19"/>
  <c r="BF105" i="19"/>
  <c r="BG105" i="19"/>
  <c r="BH105" i="19"/>
  <c r="BI105" i="19"/>
  <c r="BJ105" i="19"/>
  <c r="BL105" i="19"/>
  <c r="BM105" i="19"/>
  <c r="BO105" i="19"/>
  <c r="BP105" i="19"/>
  <c r="BR105" i="19"/>
  <c r="BS105" i="19"/>
  <c r="BT105" i="19"/>
  <c r="BU105" i="19"/>
  <c r="BW105" i="19"/>
  <c r="BX105" i="19"/>
  <c r="BY105" i="19"/>
  <c r="CA105" i="19"/>
  <c r="CB105" i="19"/>
  <c r="CC105" i="19"/>
  <c r="CD105" i="19"/>
  <c r="CE105" i="19"/>
  <c r="CF105" i="19"/>
  <c r="CH105" i="19"/>
  <c r="CI105" i="19"/>
  <c r="CJ105" i="19"/>
  <c r="CL105" i="19"/>
  <c r="CM105" i="19"/>
  <c r="CN105" i="19"/>
  <c r="CO105" i="19"/>
  <c r="CP105" i="19"/>
  <c r="CR105" i="19"/>
  <c r="CS105" i="19"/>
  <c r="CT105" i="19"/>
  <c r="CU105" i="19"/>
  <c r="CV105" i="19"/>
  <c r="CW105" i="19"/>
  <c r="CX105" i="19"/>
  <c r="CY105" i="19"/>
  <c r="CZ105" i="19"/>
  <c r="C106" i="19"/>
  <c r="D106" i="19"/>
  <c r="I106" i="19"/>
  <c r="K106" i="19"/>
  <c r="P106" i="19"/>
  <c r="Q106" i="19"/>
  <c r="R106" i="19"/>
  <c r="S106" i="19"/>
  <c r="Y106" i="19"/>
  <c r="Z106" i="19"/>
  <c r="AA106" i="19"/>
  <c r="AB106" i="19"/>
  <c r="AD106" i="19"/>
  <c r="AE106" i="19"/>
  <c r="AI106" i="19"/>
  <c r="AK106" i="19"/>
  <c r="AL106" i="19"/>
  <c r="AM106" i="19"/>
  <c r="AN106" i="19"/>
  <c r="AQ106" i="19"/>
  <c r="AR106" i="19"/>
  <c r="AS106" i="19"/>
  <c r="AU106" i="19"/>
  <c r="AV106" i="19"/>
  <c r="AW106" i="19"/>
  <c r="AX106" i="19"/>
  <c r="AY106" i="19"/>
  <c r="AZ106" i="19"/>
  <c r="BB106" i="19"/>
  <c r="BC106" i="19"/>
  <c r="BD106" i="19"/>
  <c r="BF106" i="19"/>
  <c r="BG106" i="19"/>
  <c r="BH106" i="19"/>
  <c r="BI106" i="19"/>
  <c r="BJ106" i="19"/>
  <c r="BL106" i="19"/>
  <c r="BM106" i="19"/>
  <c r="BO106" i="19"/>
  <c r="BP106" i="19"/>
  <c r="BR106" i="19"/>
  <c r="BS106" i="19"/>
  <c r="BT106" i="19"/>
  <c r="BU106" i="19"/>
  <c r="BW106" i="19"/>
  <c r="BX106" i="19"/>
  <c r="BY106" i="19"/>
  <c r="CA106" i="19"/>
  <c r="CB106" i="19"/>
  <c r="CC106" i="19"/>
  <c r="CD106" i="19"/>
  <c r="CE106" i="19"/>
  <c r="CF106" i="19"/>
  <c r="CH106" i="19"/>
  <c r="CI106" i="19"/>
  <c r="CJ106" i="19"/>
  <c r="CL106" i="19"/>
  <c r="CM106" i="19"/>
  <c r="CN106" i="19"/>
  <c r="CO106" i="19"/>
  <c r="CP106" i="19"/>
  <c r="CR106" i="19"/>
  <c r="CS106" i="19"/>
  <c r="CT106" i="19"/>
  <c r="CU106" i="19"/>
  <c r="CV106" i="19"/>
  <c r="CW106" i="19"/>
  <c r="CX106" i="19"/>
  <c r="CY106" i="19"/>
  <c r="CZ106" i="19"/>
  <c r="C107" i="19"/>
  <c r="D107" i="19"/>
  <c r="I107" i="19"/>
  <c r="K107" i="19"/>
  <c r="P107" i="19"/>
  <c r="Q107" i="19"/>
  <c r="R107" i="19"/>
  <c r="S107" i="19"/>
  <c r="Y107" i="19"/>
  <c r="Z107" i="19"/>
  <c r="AA107" i="19"/>
  <c r="AB107" i="19"/>
  <c r="AD107" i="19"/>
  <c r="AE107" i="19"/>
  <c r="AI107" i="19"/>
  <c r="AK107" i="19"/>
  <c r="AL107" i="19"/>
  <c r="AM107" i="19"/>
  <c r="AN107" i="19"/>
  <c r="AQ107" i="19"/>
  <c r="AR107" i="19"/>
  <c r="AS107" i="19"/>
  <c r="AU107" i="19"/>
  <c r="AV107" i="19"/>
  <c r="AW107" i="19"/>
  <c r="AX107" i="19"/>
  <c r="AY107" i="19"/>
  <c r="AZ107" i="19"/>
  <c r="BB107" i="19"/>
  <c r="BC107" i="19"/>
  <c r="BD107" i="19"/>
  <c r="BF107" i="19"/>
  <c r="BG107" i="19"/>
  <c r="BH107" i="19"/>
  <c r="BI107" i="19"/>
  <c r="BJ107" i="19"/>
  <c r="BL107" i="19"/>
  <c r="BM107" i="19"/>
  <c r="BO107" i="19"/>
  <c r="BP107" i="19"/>
  <c r="BR107" i="19"/>
  <c r="BS107" i="19"/>
  <c r="BT107" i="19"/>
  <c r="BU107" i="19"/>
  <c r="BW107" i="19"/>
  <c r="BX107" i="19"/>
  <c r="BY107" i="19"/>
  <c r="CA107" i="19"/>
  <c r="CB107" i="19"/>
  <c r="CC107" i="19"/>
  <c r="CD107" i="19"/>
  <c r="CE107" i="19"/>
  <c r="CF107" i="19"/>
  <c r="CH107" i="19"/>
  <c r="CI107" i="19"/>
  <c r="CJ107" i="19"/>
  <c r="CL107" i="19"/>
  <c r="CM107" i="19"/>
  <c r="CN107" i="19"/>
  <c r="CO107" i="19"/>
  <c r="CP107" i="19"/>
  <c r="CR107" i="19"/>
  <c r="CS107" i="19"/>
  <c r="CT107" i="19"/>
  <c r="CU107" i="19"/>
  <c r="CV107" i="19"/>
  <c r="CW107" i="19"/>
  <c r="CX107" i="19"/>
  <c r="CY107" i="19"/>
  <c r="CZ107" i="19"/>
  <c r="C108" i="19"/>
  <c r="D108" i="19"/>
  <c r="I108" i="19"/>
  <c r="K108" i="19"/>
  <c r="P108" i="19"/>
  <c r="Q108" i="19"/>
  <c r="R108" i="19"/>
  <c r="S108" i="19"/>
  <c r="Y108" i="19"/>
  <c r="Z108" i="19"/>
  <c r="AA108" i="19"/>
  <c r="AB108" i="19"/>
  <c r="AD108" i="19"/>
  <c r="AE108" i="19"/>
  <c r="AI108" i="19"/>
  <c r="AK108" i="19"/>
  <c r="AL108" i="19"/>
  <c r="AM108" i="19"/>
  <c r="AN108" i="19"/>
  <c r="AQ108" i="19"/>
  <c r="AR108" i="19"/>
  <c r="AS108" i="19"/>
  <c r="AU108" i="19"/>
  <c r="AV108" i="19"/>
  <c r="AW108" i="19"/>
  <c r="AX108" i="19"/>
  <c r="AY108" i="19"/>
  <c r="AZ108" i="19"/>
  <c r="BB108" i="19"/>
  <c r="BC108" i="19"/>
  <c r="BD108" i="19"/>
  <c r="BF108" i="19"/>
  <c r="BG108" i="19"/>
  <c r="BH108" i="19"/>
  <c r="BI108" i="19"/>
  <c r="BJ108" i="19"/>
  <c r="BL108" i="19"/>
  <c r="BM108" i="19"/>
  <c r="BO108" i="19"/>
  <c r="BP108" i="19"/>
  <c r="BR108" i="19"/>
  <c r="BS108" i="19"/>
  <c r="BT108" i="19"/>
  <c r="BU108" i="19"/>
  <c r="BW108" i="19"/>
  <c r="BX108" i="19"/>
  <c r="BY108" i="19"/>
  <c r="CA108" i="19"/>
  <c r="CB108" i="19"/>
  <c r="CC108" i="19"/>
  <c r="CD108" i="19"/>
  <c r="CE108" i="19"/>
  <c r="CF108" i="19"/>
  <c r="CH108" i="19"/>
  <c r="CI108" i="19"/>
  <c r="CJ108" i="19"/>
  <c r="CL108" i="19"/>
  <c r="CM108" i="19"/>
  <c r="CN108" i="19"/>
  <c r="CO108" i="19"/>
  <c r="CP108" i="19"/>
  <c r="CR108" i="19"/>
  <c r="CS108" i="19"/>
  <c r="CT108" i="19"/>
  <c r="CU108" i="19"/>
  <c r="CV108" i="19"/>
  <c r="CW108" i="19"/>
  <c r="CX108" i="19"/>
  <c r="CY108" i="19"/>
  <c r="CZ108" i="19"/>
  <c r="C109" i="19"/>
  <c r="D109" i="19"/>
  <c r="I109" i="19"/>
  <c r="K109" i="19"/>
  <c r="P109" i="19"/>
  <c r="Q109" i="19"/>
  <c r="R109" i="19"/>
  <c r="S109" i="19"/>
  <c r="Y109" i="19"/>
  <c r="Z109" i="19"/>
  <c r="AA109" i="19"/>
  <c r="AB109" i="19"/>
  <c r="AD109" i="19"/>
  <c r="AE109" i="19"/>
  <c r="AI109" i="19"/>
  <c r="AK109" i="19"/>
  <c r="AL109" i="19"/>
  <c r="AM109" i="19"/>
  <c r="AN109" i="19"/>
  <c r="AQ109" i="19"/>
  <c r="AR109" i="19"/>
  <c r="AS109" i="19"/>
  <c r="AU109" i="19"/>
  <c r="AV109" i="19"/>
  <c r="AW109" i="19"/>
  <c r="AX109" i="19"/>
  <c r="AY109" i="19"/>
  <c r="AZ109" i="19"/>
  <c r="BB109" i="19"/>
  <c r="BC109" i="19"/>
  <c r="BD109" i="19"/>
  <c r="BF109" i="19"/>
  <c r="BG109" i="19"/>
  <c r="BH109" i="19"/>
  <c r="BI109" i="19"/>
  <c r="BJ109" i="19"/>
  <c r="BL109" i="19"/>
  <c r="BM109" i="19"/>
  <c r="BO109" i="19"/>
  <c r="BP109" i="19"/>
  <c r="BR109" i="19"/>
  <c r="BS109" i="19"/>
  <c r="BT109" i="19"/>
  <c r="BU109" i="19"/>
  <c r="BW109" i="19"/>
  <c r="BX109" i="19"/>
  <c r="BY109" i="19"/>
  <c r="CA109" i="19"/>
  <c r="CB109" i="19"/>
  <c r="CC109" i="19"/>
  <c r="CD109" i="19"/>
  <c r="CE109" i="19"/>
  <c r="CF109" i="19"/>
  <c r="CH109" i="19"/>
  <c r="CI109" i="19"/>
  <c r="CJ109" i="19"/>
  <c r="CL109" i="19"/>
  <c r="CM109" i="19"/>
  <c r="CN109" i="19"/>
  <c r="CO109" i="19"/>
  <c r="CP109" i="19"/>
  <c r="CR109" i="19"/>
  <c r="CS109" i="19"/>
  <c r="CT109" i="19"/>
  <c r="CU109" i="19"/>
  <c r="CV109" i="19"/>
  <c r="CW109" i="19"/>
  <c r="CX109" i="19"/>
  <c r="CY109" i="19"/>
  <c r="CZ109" i="19"/>
  <c r="C110" i="19"/>
  <c r="D110" i="19"/>
  <c r="I110" i="19"/>
  <c r="K110" i="19"/>
  <c r="P110" i="19"/>
  <c r="Q110" i="19"/>
  <c r="R110" i="19"/>
  <c r="S110" i="19"/>
  <c r="Y110" i="19"/>
  <c r="Z110" i="19"/>
  <c r="AA110" i="19"/>
  <c r="AB110" i="19"/>
  <c r="AD110" i="19"/>
  <c r="AE110" i="19"/>
  <c r="AI110" i="19"/>
  <c r="AK110" i="19"/>
  <c r="AL110" i="19"/>
  <c r="AM110" i="19"/>
  <c r="AN110" i="19"/>
  <c r="AQ110" i="19"/>
  <c r="AR110" i="19"/>
  <c r="AS110" i="19"/>
  <c r="AU110" i="19"/>
  <c r="AV110" i="19"/>
  <c r="AW110" i="19"/>
  <c r="AX110" i="19"/>
  <c r="AY110" i="19"/>
  <c r="AZ110" i="19"/>
  <c r="BB110" i="19"/>
  <c r="BC110" i="19"/>
  <c r="BD110" i="19"/>
  <c r="BF110" i="19"/>
  <c r="BG110" i="19"/>
  <c r="BH110" i="19"/>
  <c r="BI110" i="19"/>
  <c r="BJ110" i="19"/>
  <c r="BL110" i="19"/>
  <c r="BM110" i="19"/>
  <c r="BO110" i="19"/>
  <c r="BP110" i="19"/>
  <c r="BR110" i="19"/>
  <c r="BS110" i="19"/>
  <c r="BT110" i="19"/>
  <c r="BU110" i="19"/>
  <c r="BW110" i="19"/>
  <c r="BX110" i="19"/>
  <c r="BY110" i="19"/>
  <c r="CA110" i="19"/>
  <c r="CB110" i="19"/>
  <c r="CC110" i="19"/>
  <c r="CD110" i="19"/>
  <c r="CE110" i="19"/>
  <c r="CF110" i="19"/>
  <c r="CH110" i="19"/>
  <c r="CI110" i="19"/>
  <c r="CJ110" i="19"/>
  <c r="CL110" i="19"/>
  <c r="CM110" i="19"/>
  <c r="CN110" i="19"/>
  <c r="CO110" i="19"/>
  <c r="CP110" i="19"/>
  <c r="CR110" i="19"/>
  <c r="CS110" i="19"/>
  <c r="CT110" i="19"/>
  <c r="CU110" i="19"/>
  <c r="CV110" i="19"/>
  <c r="CW110" i="19"/>
  <c r="CX110" i="19"/>
  <c r="CY110" i="19"/>
  <c r="CZ110" i="19"/>
  <c r="C111" i="19"/>
  <c r="D111" i="19"/>
  <c r="I111" i="19"/>
  <c r="K111" i="19"/>
  <c r="P111" i="19"/>
  <c r="Q111" i="19"/>
  <c r="R111" i="19"/>
  <c r="S111" i="19"/>
  <c r="Y111" i="19"/>
  <c r="Z111" i="19"/>
  <c r="AA111" i="19"/>
  <c r="AB111" i="19"/>
  <c r="AD111" i="19"/>
  <c r="AE111" i="19"/>
  <c r="AI111" i="19"/>
  <c r="AK111" i="19"/>
  <c r="AL111" i="19"/>
  <c r="AM111" i="19"/>
  <c r="AN111" i="19"/>
  <c r="AQ111" i="19"/>
  <c r="AR111" i="19"/>
  <c r="AS111" i="19"/>
  <c r="AU111" i="19"/>
  <c r="AV111" i="19"/>
  <c r="AW111" i="19"/>
  <c r="AX111" i="19"/>
  <c r="AY111" i="19"/>
  <c r="AZ111" i="19"/>
  <c r="BB111" i="19"/>
  <c r="BC111" i="19"/>
  <c r="BD111" i="19"/>
  <c r="BF111" i="19"/>
  <c r="BG111" i="19"/>
  <c r="BH111" i="19"/>
  <c r="BI111" i="19"/>
  <c r="BJ111" i="19"/>
  <c r="BL111" i="19"/>
  <c r="BM111" i="19"/>
  <c r="BO111" i="19"/>
  <c r="BP111" i="19"/>
  <c r="BR111" i="19"/>
  <c r="BS111" i="19"/>
  <c r="BT111" i="19"/>
  <c r="BU111" i="19"/>
  <c r="BW111" i="19"/>
  <c r="BX111" i="19"/>
  <c r="BY111" i="19"/>
  <c r="CA111" i="19"/>
  <c r="CB111" i="19"/>
  <c r="CC111" i="19"/>
  <c r="CD111" i="19"/>
  <c r="CE111" i="19"/>
  <c r="CF111" i="19"/>
  <c r="CH111" i="19"/>
  <c r="CI111" i="19"/>
  <c r="CJ111" i="19"/>
  <c r="CL111" i="19"/>
  <c r="CM111" i="19"/>
  <c r="CN111" i="19"/>
  <c r="CO111" i="19"/>
  <c r="CP111" i="19"/>
  <c r="CR111" i="19"/>
  <c r="CS111" i="19"/>
  <c r="CT111" i="19"/>
  <c r="CU111" i="19"/>
  <c r="CV111" i="19"/>
  <c r="CW111" i="19"/>
  <c r="CX111" i="19"/>
  <c r="CY111" i="19"/>
  <c r="CZ111" i="19"/>
  <c r="C112" i="19"/>
  <c r="D112" i="19"/>
  <c r="I112" i="19"/>
  <c r="K112" i="19"/>
  <c r="P112" i="19"/>
  <c r="Q112" i="19"/>
  <c r="R112" i="19"/>
  <c r="S112" i="19"/>
  <c r="Y112" i="19"/>
  <c r="Z112" i="19"/>
  <c r="AA112" i="19"/>
  <c r="AB112" i="19"/>
  <c r="AD112" i="19"/>
  <c r="AE112" i="19"/>
  <c r="AI112" i="19"/>
  <c r="AK112" i="19"/>
  <c r="AL112" i="19"/>
  <c r="AM112" i="19"/>
  <c r="AN112" i="19"/>
  <c r="AQ112" i="19"/>
  <c r="AR112" i="19"/>
  <c r="AS112" i="19"/>
  <c r="AU112" i="19"/>
  <c r="AV112" i="19"/>
  <c r="AW112" i="19"/>
  <c r="AX112" i="19"/>
  <c r="AY112" i="19"/>
  <c r="AZ112" i="19"/>
  <c r="BB112" i="19"/>
  <c r="BC112" i="19"/>
  <c r="BD112" i="19"/>
  <c r="BF112" i="19"/>
  <c r="BG112" i="19"/>
  <c r="BH112" i="19"/>
  <c r="BI112" i="19"/>
  <c r="BJ112" i="19"/>
  <c r="BL112" i="19"/>
  <c r="BM112" i="19"/>
  <c r="BO112" i="19"/>
  <c r="BP112" i="19"/>
  <c r="BR112" i="19"/>
  <c r="BS112" i="19"/>
  <c r="BT112" i="19"/>
  <c r="BU112" i="19"/>
  <c r="BW112" i="19"/>
  <c r="BX112" i="19"/>
  <c r="BY112" i="19"/>
  <c r="CA112" i="19"/>
  <c r="CB112" i="19"/>
  <c r="CC112" i="19"/>
  <c r="CD112" i="19"/>
  <c r="CE112" i="19"/>
  <c r="CF112" i="19"/>
  <c r="CH112" i="19"/>
  <c r="CI112" i="19"/>
  <c r="CJ112" i="19"/>
  <c r="CL112" i="19"/>
  <c r="CM112" i="19"/>
  <c r="CN112" i="19"/>
  <c r="CO112" i="19"/>
  <c r="CP112" i="19"/>
  <c r="CR112" i="19"/>
  <c r="CS112" i="19"/>
  <c r="CT112" i="19"/>
  <c r="CU112" i="19"/>
  <c r="CV112" i="19"/>
  <c r="CW112" i="19"/>
  <c r="CX112" i="19"/>
  <c r="CY112" i="19"/>
  <c r="CZ112" i="19"/>
  <c r="C113" i="19"/>
  <c r="D113" i="19"/>
  <c r="I113" i="19"/>
  <c r="K113" i="19"/>
  <c r="P113" i="19"/>
  <c r="Q113" i="19"/>
  <c r="R113" i="19"/>
  <c r="S113" i="19"/>
  <c r="Y113" i="19"/>
  <c r="Z113" i="19"/>
  <c r="AA113" i="19"/>
  <c r="AB113" i="19"/>
  <c r="AD113" i="19"/>
  <c r="AE113" i="19"/>
  <c r="AI113" i="19"/>
  <c r="AK113" i="19"/>
  <c r="AL113" i="19"/>
  <c r="AM113" i="19"/>
  <c r="AN113" i="19"/>
  <c r="AQ113" i="19"/>
  <c r="AR113" i="19"/>
  <c r="AS113" i="19"/>
  <c r="AU113" i="19"/>
  <c r="AV113" i="19"/>
  <c r="AW113" i="19"/>
  <c r="AX113" i="19"/>
  <c r="AY113" i="19"/>
  <c r="AZ113" i="19"/>
  <c r="BB113" i="19"/>
  <c r="BC113" i="19"/>
  <c r="BD113" i="19"/>
  <c r="BF113" i="19"/>
  <c r="BG113" i="19"/>
  <c r="BH113" i="19"/>
  <c r="BI113" i="19"/>
  <c r="BJ113" i="19"/>
  <c r="BL113" i="19"/>
  <c r="BM113" i="19"/>
  <c r="BO113" i="19"/>
  <c r="BP113" i="19"/>
  <c r="BR113" i="19"/>
  <c r="BS113" i="19"/>
  <c r="BT113" i="19"/>
  <c r="BU113" i="19"/>
  <c r="BW113" i="19"/>
  <c r="BX113" i="19"/>
  <c r="BY113" i="19"/>
  <c r="CA113" i="19"/>
  <c r="CB113" i="19"/>
  <c r="CC113" i="19"/>
  <c r="CD113" i="19"/>
  <c r="CE113" i="19"/>
  <c r="CF113" i="19"/>
  <c r="CH113" i="19"/>
  <c r="CI113" i="19"/>
  <c r="CJ113" i="19"/>
  <c r="CL113" i="19"/>
  <c r="CM113" i="19"/>
  <c r="CN113" i="19"/>
  <c r="CO113" i="19"/>
  <c r="CP113" i="19"/>
  <c r="CR113" i="19"/>
  <c r="CS113" i="19"/>
  <c r="CT113" i="19"/>
  <c r="CU113" i="19"/>
  <c r="CV113" i="19"/>
  <c r="CW113" i="19"/>
  <c r="CX113" i="19"/>
  <c r="CY113" i="19"/>
  <c r="CZ113" i="19"/>
  <c r="C114" i="19"/>
  <c r="D114" i="19"/>
  <c r="I114" i="19"/>
  <c r="K114" i="19"/>
  <c r="P114" i="19"/>
  <c r="Q114" i="19"/>
  <c r="R114" i="19"/>
  <c r="S114" i="19"/>
  <c r="Y114" i="19"/>
  <c r="Z114" i="19"/>
  <c r="AA114" i="19"/>
  <c r="AB114" i="19"/>
  <c r="AD114" i="19"/>
  <c r="AE114" i="19"/>
  <c r="AI114" i="19"/>
  <c r="AK114" i="19"/>
  <c r="AL114" i="19"/>
  <c r="AM114" i="19"/>
  <c r="AN114" i="19"/>
  <c r="AQ114" i="19"/>
  <c r="AR114" i="19"/>
  <c r="AS114" i="19"/>
  <c r="AU114" i="19"/>
  <c r="AV114" i="19"/>
  <c r="AW114" i="19"/>
  <c r="AX114" i="19"/>
  <c r="AY114" i="19"/>
  <c r="AZ114" i="19"/>
  <c r="BB114" i="19"/>
  <c r="BC114" i="19"/>
  <c r="BD114" i="19"/>
  <c r="BF114" i="19"/>
  <c r="BG114" i="19"/>
  <c r="BH114" i="19"/>
  <c r="BI114" i="19"/>
  <c r="BJ114" i="19"/>
  <c r="BL114" i="19"/>
  <c r="BM114" i="19"/>
  <c r="BO114" i="19"/>
  <c r="BP114" i="19"/>
  <c r="BR114" i="19"/>
  <c r="BS114" i="19"/>
  <c r="BT114" i="19"/>
  <c r="BU114" i="19"/>
  <c r="BW114" i="19"/>
  <c r="BX114" i="19"/>
  <c r="BY114" i="19"/>
  <c r="CA114" i="19"/>
  <c r="CB114" i="19"/>
  <c r="CC114" i="19"/>
  <c r="CD114" i="19"/>
  <c r="CE114" i="19"/>
  <c r="CF114" i="19"/>
  <c r="CH114" i="19"/>
  <c r="CI114" i="19"/>
  <c r="CJ114" i="19"/>
  <c r="CL114" i="19"/>
  <c r="CM114" i="19"/>
  <c r="CN114" i="19"/>
  <c r="CO114" i="19"/>
  <c r="CP114" i="19"/>
  <c r="CR114" i="19"/>
  <c r="CS114" i="19"/>
  <c r="CT114" i="19"/>
  <c r="CU114" i="19"/>
  <c r="CV114" i="19"/>
  <c r="CW114" i="19"/>
  <c r="CX114" i="19"/>
  <c r="CY114" i="19"/>
  <c r="CZ114" i="19"/>
  <c r="C115" i="19"/>
  <c r="D115" i="19"/>
  <c r="I115" i="19"/>
  <c r="K115" i="19"/>
  <c r="P115" i="19"/>
  <c r="Q115" i="19"/>
  <c r="R115" i="19"/>
  <c r="S115" i="19"/>
  <c r="Y115" i="19"/>
  <c r="Z115" i="19"/>
  <c r="AA115" i="19"/>
  <c r="AB115" i="19"/>
  <c r="AD115" i="19"/>
  <c r="AE115" i="19"/>
  <c r="AI115" i="19"/>
  <c r="AK115" i="19"/>
  <c r="AL115" i="19"/>
  <c r="AM115" i="19"/>
  <c r="AN115" i="19"/>
  <c r="AQ115" i="19"/>
  <c r="AR115" i="19"/>
  <c r="AS115" i="19"/>
  <c r="AU115" i="19"/>
  <c r="AV115" i="19"/>
  <c r="AW115" i="19"/>
  <c r="AX115" i="19"/>
  <c r="AY115" i="19"/>
  <c r="AZ115" i="19"/>
  <c r="BB115" i="19"/>
  <c r="BC115" i="19"/>
  <c r="BD115" i="19"/>
  <c r="BF115" i="19"/>
  <c r="BG115" i="19"/>
  <c r="BH115" i="19"/>
  <c r="BI115" i="19"/>
  <c r="BJ115" i="19"/>
  <c r="BL115" i="19"/>
  <c r="BM115" i="19"/>
  <c r="BO115" i="19"/>
  <c r="BP115" i="19"/>
  <c r="BR115" i="19"/>
  <c r="BS115" i="19"/>
  <c r="BT115" i="19"/>
  <c r="BU115" i="19"/>
  <c r="BW115" i="19"/>
  <c r="BX115" i="19"/>
  <c r="BY115" i="19"/>
  <c r="CA115" i="19"/>
  <c r="CB115" i="19"/>
  <c r="CC115" i="19"/>
  <c r="CD115" i="19"/>
  <c r="CE115" i="19"/>
  <c r="CF115" i="19"/>
  <c r="CH115" i="19"/>
  <c r="CI115" i="19"/>
  <c r="CJ115" i="19"/>
  <c r="CL115" i="19"/>
  <c r="CM115" i="19"/>
  <c r="CN115" i="19"/>
  <c r="CO115" i="19"/>
  <c r="CP115" i="19"/>
  <c r="CR115" i="19"/>
  <c r="CS115" i="19"/>
  <c r="CT115" i="19"/>
  <c r="CU115" i="19"/>
  <c r="CV115" i="19"/>
  <c r="CW115" i="19"/>
  <c r="CX115" i="19"/>
  <c r="CY115" i="19"/>
  <c r="CZ115" i="19"/>
  <c r="C116" i="19"/>
  <c r="D116" i="19"/>
  <c r="I116" i="19"/>
  <c r="K116" i="19"/>
  <c r="P116" i="19"/>
  <c r="Q116" i="19"/>
  <c r="R116" i="19"/>
  <c r="S116" i="19"/>
  <c r="Y116" i="19"/>
  <c r="Z116" i="19"/>
  <c r="AA116" i="19"/>
  <c r="AB116" i="19"/>
  <c r="AD116" i="19"/>
  <c r="AE116" i="19"/>
  <c r="AI116" i="19"/>
  <c r="AK116" i="19"/>
  <c r="AL116" i="19"/>
  <c r="AM116" i="19"/>
  <c r="AN116" i="19"/>
  <c r="AQ116" i="19"/>
  <c r="AR116" i="19"/>
  <c r="AS116" i="19"/>
  <c r="AU116" i="19"/>
  <c r="AV116" i="19"/>
  <c r="AW116" i="19"/>
  <c r="AX116" i="19"/>
  <c r="AY116" i="19"/>
  <c r="AZ116" i="19"/>
  <c r="BB116" i="19"/>
  <c r="BC116" i="19"/>
  <c r="BD116" i="19"/>
  <c r="BF116" i="19"/>
  <c r="BG116" i="19"/>
  <c r="BH116" i="19"/>
  <c r="BI116" i="19"/>
  <c r="BJ116" i="19"/>
  <c r="BL116" i="19"/>
  <c r="BM116" i="19"/>
  <c r="BO116" i="19"/>
  <c r="BP116" i="19"/>
  <c r="BR116" i="19"/>
  <c r="BS116" i="19"/>
  <c r="BT116" i="19"/>
  <c r="BU116" i="19"/>
  <c r="BW116" i="19"/>
  <c r="BX116" i="19"/>
  <c r="BY116" i="19"/>
  <c r="CA116" i="19"/>
  <c r="CB116" i="19"/>
  <c r="CC116" i="19"/>
  <c r="CD116" i="19"/>
  <c r="CE116" i="19"/>
  <c r="CF116" i="19"/>
  <c r="CH116" i="19"/>
  <c r="CI116" i="19"/>
  <c r="CJ116" i="19"/>
  <c r="CL116" i="19"/>
  <c r="CM116" i="19"/>
  <c r="CN116" i="19"/>
  <c r="CO116" i="19"/>
  <c r="CP116" i="19"/>
  <c r="CR116" i="19"/>
  <c r="CS116" i="19"/>
  <c r="CT116" i="19"/>
  <c r="CU116" i="19"/>
  <c r="CV116" i="19"/>
  <c r="CW116" i="19"/>
  <c r="CX116" i="19"/>
  <c r="CY116" i="19"/>
  <c r="CZ116" i="19"/>
  <c r="C117" i="19"/>
  <c r="D117" i="19"/>
  <c r="I117" i="19"/>
  <c r="K117" i="19"/>
  <c r="P117" i="19"/>
  <c r="Q117" i="19"/>
  <c r="R117" i="19"/>
  <c r="S117" i="19"/>
  <c r="Y117" i="19"/>
  <c r="Z117" i="19"/>
  <c r="AA117" i="19"/>
  <c r="AB117" i="19"/>
  <c r="AD117" i="19"/>
  <c r="AE117" i="19"/>
  <c r="AI117" i="19"/>
  <c r="AK117" i="19"/>
  <c r="AL117" i="19"/>
  <c r="AM117" i="19"/>
  <c r="AN117" i="19"/>
  <c r="AQ117" i="19"/>
  <c r="AR117" i="19"/>
  <c r="AS117" i="19"/>
  <c r="AU117" i="19"/>
  <c r="AV117" i="19"/>
  <c r="AW117" i="19"/>
  <c r="AX117" i="19"/>
  <c r="AY117" i="19"/>
  <c r="AZ117" i="19"/>
  <c r="BB117" i="19"/>
  <c r="BC117" i="19"/>
  <c r="BD117" i="19"/>
  <c r="BF117" i="19"/>
  <c r="BG117" i="19"/>
  <c r="BH117" i="19"/>
  <c r="BI117" i="19"/>
  <c r="BJ117" i="19"/>
  <c r="BL117" i="19"/>
  <c r="BM117" i="19"/>
  <c r="BO117" i="19"/>
  <c r="BP117" i="19"/>
  <c r="BR117" i="19"/>
  <c r="BS117" i="19"/>
  <c r="BT117" i="19"/>
  <c r="BU117" i="19"/>
  <c r="BW117" i="19"/>
  <c r="BX117" i="19"/>
  <c r="BY117" i="19"/>
  <c r="CA117" i="19"/>
  <c r="CB117" i="19"/>
  <c r="CC117" i="19"/>
  <c r="CD117" i="19"/>
  <c r="CE117" i="19"/>
  <c r="CF117" i="19"/>
  <c r="CH117" i="19"/>
  <c r="CI117" i="19"/>
  <c r="CJ117" i="19"/>
  <c r="CL117" i="19"/>
  <c r="CM117" i="19"/>
  <c r="CN117" i="19"/>
  <c r="CO117" i="19"/>
  <c r="CP117" i="19"/>
  <c r="CR117" i="19"/>
  <c r="CS117" i="19"/>
  <c r="CT117" i="19"/>
  <c r="CU117" i="19"/>
  <c r="CV117" i="19"/>
  <c r="CW117" i="19"/>
  <c r="CX117" i="19"/>
  <c r="CY117" i="19"/>
  <c r="CZ117" i="19"/>
  <c r="C118" i="19"/>
  <c r="D118" i="19"/>
  <c r="I118" i="19"/>
  <c r="K118" i="19"/>
  <c r="P118" i="19"/>
  <c r="Q118" i="19"/>
  <c r="R118" i="19"/>
  <c r="S118" i="19"/>
  <c r="Y118" i="19"/>
  <c r="Z118" i="19"/>
  <c r="AA118" i="19"/>
  <c r="AB118" i="19"/>
  <c r="AD118" i="19"/>
  <c r="AE118" i="19"/>
  <c r="AI118" i="19"/>
  <c r="AK118" i="19"/>
  <c r="AL118" i="19"/>
  <c r="AM118" i="19"/>
  <c r="AN118" i="19"/>
  <c r="AQ118" i="19"/>
  <c r="AR118" i="19"/>
  <c r="AS118" i="19"/>
  <c r="AU118" i="19"/>
  <c r="AV118" i="19"/>
  <c r="AW118" i="19"/>
  <c r="AX118" i="19"/>
  <c r="AY118" i="19"/>
  <c r="AZ118" i="19"/>
  <c r="BB118" i="19"/>
  <c r="BC118" i="19"/>
  <c r="BD118" i="19"/>
  <c r="BF118" i="19"/>
  <c r="BG118" i="19"/>
  <c r="BH118" i="19"/>
  <c r="BI118" i="19"/>
  <c r="BJ118" i="19"/>
  <c r="BL118" i="19"/>
  <c r="BM118" i="19"/>
  <c r="BO118" i="19"/>
  <c r="BP118" i="19"/>
  <c r="BR118" i="19"/>
  <c r="BS118" i="19"/>
  <c r="BT118" i="19"/>
  <c r="BU118" i="19"/>
  <c r="BW118" i="19"/>
  <c r="BX118" i="19"/>
  <c r="BY118" i="19"/>
  <c r="CA118" i="19"/>
  <c r="CB118" i="19"/>
  <c r="CC118" i="19"/>
  <c r="CD118" i="19"/>
  <c r="CE118" i="19"/>
  <c r="CF118" i="19"/>
  <c r="CH118" i="19"/>
  <c r="CI118" i="19"/>
  <c r="CJ118" i="19"/>
  <c r="CL118" i="19"/>
  <c r="CM118" i="19"/>
  <c r="CN118" i="19"/>
  <c r="CO118" i="19"/>
  <c r="CP118" i="19"/>
  <c r="CR118" i="19"/>
  <c r="CS118" i="19"/>
  <c r="CT118" i="19"/>
  <c r="CU118" i="19"/>
  <c r="CV118" i="19"/>
  <c r="CW118" i="19"/>
  <c r="CX118" i="19"/>
  <c r="CY118" i="19"/>
  <c r="CZ118" i="19"/>
  <c r="C119" i="19"/>
  <c r="D119" i="19"/>
  <c r="I119" i="19"/>
  <c r="K119" i="19"/>
  <c r="P119" i="19"/>
  <c r="Q119" i="19"/>
  <c r="R119" i="19"/>
  <c r="S119" i="19"/>
  <c r="Y119" i="19"/>
  <c r="Z119" i="19"/>
  <c r="AA119" i="19"/>
  <c r="AB119" i="19"/>
  <c r="AD119" i="19"/>
  <c r="AE119" i="19"/>
  <c r="AI119" i="19"/>
  <c r="AK119" i="19"/>
  <c r="AL119" i="19"/>
  <c r="AM119" i="19"/>
  <c r="AN119" i="19"/>
  <c r="AQ119" i="19"/>
  <c r="AR119" i="19"/>
  <c r="AS119" i="19"/>
  <c r="AU119" i="19"/>
  <c r="AV119" i="19"/>
  <c r="AW119" i="19"/>
  <c r="AX119" i="19"/>
  <c r="AY119" i="19"/>
  <c r="AZ119" i="19"/>
  <c r="BB119" i="19"/>
  <c r="BC119" i="19"/>
  <c r="BD119" i="19"/>
  <c r="BF119" i="19"/>
  <c r="BG119" i="19"/>
  <c r="BH119" i="19"/>
  <c r="BI119" i="19"/>
  <c r="BJ119" i="19"/>
  <c r="BL119" i="19"/>
  <c r="BM119" i="19"/>
  <c r="BO119" i="19"/>
  <c r="BP119" i="19"/>
  <c r="BR119" i="19"/>
  <c r="BS119" i="19"/>
  <c r="BT119" i="19"/>
  <c r="BU119" i="19"/>
  <c r="BW119" i="19"/>
  <c r="BX119" i="19"/>
  <c r="BY119" i="19"/>
  <c r="CA119" i="19"/>
  <c r="CB119" i="19"/>
  <c r="CC119" i="19"/>
  <c r="CD119" i="19"/>
  <c r="CE119" i="19"/>
  <c r="CF119" i="19"/>
  <c r="CH119" i="19"/>
  <c r="CI119" i="19"/>
  <c r="CJ119" i="19"/>
  <c r="CL119" i="19"/>
  <c r="CM119" i="19"/>
  <c r="CN119" i="19"/>
  <c r="CO119" i="19"/>
  <c r="CP119" i="19"/>
  <c r="CR119" i="19"/>
  <c r="CS119" i="19"/>
  <c r="CT119" i="19"/>
  <c r="CU119" i="19"/>
  <c r="CV119" i="19"/>
  <c r="CW119" i="19"/>
  <c r="CX119" i="19"/>
  <c r="CY119" i="19"/>
  <c r="CZ119" i="19"/>
  <c r="C120" i="19"/>
  <c r="D120" i="19"/>
  <c r="I120" i="19"/>
  <c r="K120" i="19"/>
  <c r="P120" i="19"/>
  <c r="Q120" i="19"/>
  <c r="R120" i="19"/>
  <c r="S120" i="19"/>
  <c r="Y120" i="19"/>
  <c r="Z120" i="19"/>
  <c r="AA120" i="19"/>
  <c r="AB120" i="19"/>
  <c r="AD120" i="19"/>
  <c r="AE120" i="19"/>
  <c r="AI120" i="19"/>
  <c r="AK120" i="19"/>
  <c r="AL120" i="19"/>
  <c r="AM120" i="19"/>
  <c r="AN120" i="19"/>
  <c r="AQ120" i="19"/>
  <c r="AR120" i="19"/>
  <c r="AS120" i="19"/>
  <c r="AU120" i="19"/>
  <c r="AV120" i="19"/>
  <c r="AW120" i="19"/>
  <c r="AX120" i="19"/>
  <c r="AY120" i="19"/>
  <c r="AZ120" i="19"/>
  <c r="BB120" i="19"/>
  <c r="BC120" i="19"/>
  <c r="BD120" i="19"/>
  <c r="BF120" i="19"/>
  <c r="BG120" i="19"/>
  <c r="BH120" i="19"/>
  <c r="BI120" i="19"/>
  <c r="BJ120" i="19"/>
  <c r="BL120" i="19"/>
  <c r="BM120" i="19"/>
  <c r="BO120" i="19"/>
  <c r="BP120" i="19"/>
  <c r="BR120" i="19"/>
  <c r="BS120" i="19"/>
  <c r="BT120" i="19"/>
  <c r="BU120" i="19"/>
  <c r="BW120" i="19"/>
  <c r="BX120" i="19"/>
  <c r="BY120" i="19"/>
  <c r="CA120" i="19"/>
  <c r="CB120" i="19"/>
  <c r="CC120" i="19"/>
  <c r="CD120" i="19"/>
  <c r="CE120" i="19"/>
  <c r="CF120" i="19"/>
  <c r="CH120" i="19"/>
  <c r="CI120" i="19"/>
  <c r="CJ120" i="19"/>
  <c r="CL120" i="19"/>
  <c r="CM120" i="19"/>
  <c r="CN120" i="19"/>
  <c r="CO120" i="19"/>
  <c r="CP120" i="19"/>
  <c r="CR120" i="19"/>
  <c r="CS120" i="19"/>
  <c r="CT120" i="19"/>
  <c r="CU120" i="19"/>
  <c r="CV120" i="19"/>
  <c r="CW120" i="19"/>
  <c r="CX120" i="19"/>
  <c r="CY120" i="19"/>
  <c r="CZ120" i="19"/>
  <c r="C121" i="19"/>
  <c r="D121" i="19"/>
  <c r="I121" i="19"/>
  <c r="K121" i="19"/>
  <c r="P121" i="19"/>
  <c r="Q121" i="19"/>
  <c r="R121" i="19"/>
  <c r="S121" i="19"/>
  <c r="Y121" i="19"/>
  <c r="Z121" i="19"/>
  <c r="AA121" i="19"/>
  <c r="AB121" i="19"/>
  <c r="AD121" i="19"/>
  <c r="AE121" i="19"/>
  <c r="AI121" i="19"/>
  <c r="AK121" i="19"/>
  <c r="AL121" i="19"/>
  <c r="AM121" i="19"/>
  <c r="AN121" i="19"/>
  <c r="AQ121" i="19"/>
  <c r="AR121" i="19"/>
  <c r="AS121" i="19"/>
  <c r="AU121" i="19"/>
  <c r="AV121" i="19"/>
  <c r="AW121" i="19"/>
  <c r="AX121" i="19"/>
  <c r="AY121" i="19"/>
  <c r="AZ121" i="19"/>
  <c r="BB121" i="19"/>
  <c r="BC121" i="19"/>
  <c r="BD121" i="19"/>
  <c r="BF121" i="19"/>
  <c r="BG121" i="19"/>
  <c r="BH121" i="19"/>
  <c r="BI121" i="19"/>
  <c r="BJ121" i="19"/>
  <c r="BL121" i="19"/>
  <c r="BM121" i="19"/>
  <c r="BO121" i="19"/>
  <c r="BP121" i="19"/>
  <c r="BR121" i="19"/>
  <c r="BS121" i="19"/>
  <c r="BT121" i="19"/>
  <c r="BU121" i="19"/>
  <c r="BW121" i="19"/>
  <c r="BX121" i="19"/>
  <c r="BY121" i="19"/>
  <c r="CA121" i="19"/>
  <c r="CB121" i="19"/>
  <c r="CC121" i="19"/>
  <c r="CD121" i="19"/>
  <c r="CE121" i="19"/>
  <c r="CF121" i="19"/>
  <c r="CH121" i="19"/>
  <c r="CI121" i="19"/>
  <c r="CJ121" i="19"/>
  <c r="CL121" i="19"/>
  <c r="CM121" i="19"/>
  <c r="CN121" i="19"/>
  <c r="CO121" i="19"/>
  <c r="CP121" i="19"/>
  <c r="CR121" i="19"/>
  <c r="CS121" i="19"/>
  <c r="CT121" i="19"/>
  <c r="CU121" i="19"/>
  <c r="CV121" i="19"/>
  <c r="CW121" i="19"/>
  <c r="CX121" i="19"/>
  <c r="CY121" i="19"/>
  <c r="CZ121" i="19"/>
  <c r="C122" i="19"/>
  <c r="D122" i="19"/>
  <c r="I122" i="19"/>
  <c r="K122" i="19"/>
  <c r="P122" i="19"/>
  <c r="Q122" i="19"/>
  <c r="R122" i="19"/>
  <c r="S122" i="19"/>
  <c r="Y122" i="19"/>
  <c r="Z122" i="19"/>
  <c r="AA122" i="19"/>
  <c r="AB122" i="19"/>
  <c r="AD122" i="19"/>
  <c r="AE122" i="19"/>
  <c r="AI122" i="19"/>
  <c r="AK122" i="19"/>
  <c r="AL122" i="19"/>
  <c r="AM122" i="19"/>
  <c r="AN122" i="19"/>
  <c r="AQ122" i="19"/>
  <c r="AR122" i="19"/>
  <c r="AS122" i="19"/>
  <c r="AU122" i="19"/>
  <c r="AV122" i="19"/>
  <c r="AW122" i="19"/>
  <c r="AX122" i="19"/>
  <c r="AY122" i="19"/>
  <c r="AZ122" i="19"/>
  <c r="BB122" i="19"/>
  <c r="BC122" i="19"/>
  <c r="BD122" i="19"/>
  <c r="BF122" i="19"/>
  <c r="BG122" i="19"/>
  <c r="BH122" i="19"/>
  <c r="BI122" i="19"/>
  <c r="BJ122" i="19"/>
  <c r="BL122" i="19"/>
  <c r="BM122" i="19"/>
  <c r="BO122" i="19"/>
  <c r="BP122" i="19"/>
  <c r="BR122" i="19"/>
  <c r="BS122" i="19"/>
  <c r="BT122" i="19"/>
  <c r="BU122" i="19"/>
  <c r="BW122" i="19"/>
  <c r="BX122" i="19"/>
  <c r="BY122" i="19"/>
  <c r="CA122" i="19"/>
  <c r="CB122" i="19"/>
  <c r="CC122" i="19"/>
  <c r="CD122" i="19"/>
  <c r="CE122" i="19"/>
  <c r="CF122" i="19"/>
  <c r="CH122" i="19"/>
  <c r="CI122" i="19"/>
  <c r="CJ122" i="19"/>
  <c r="CL122" i="19"/>
  <c r="CM122" i="19"/>
  <c r="CN122" i="19"/>
  <c r="CO122" i="19"/>
  <c r="CP122" i="19"/>
  <c r="CR122" i="19"/>
  <c r="CS122" i="19"/>
  <c r="CT122" i="19"/>
  <c r="CU122" i="19"/>
  <c r="CV122" i="19"/>
  <c r="CW122" i="19"/>
  <c r="CX122" i="19"/>
  <c r="CY122" i="19"/>
  <c r="CZ122" i="19"/>
  <c r="C123" i="19"/>
  <c r="D123" i="19"/>
  <c r="I123" i="19"/>
  <c r="K123" i="19"/>
  <c r="P123" i="19"/>
  <c r="Q123" i="19"/>
  <c r="R123" i="19"/>
  <c r="S123" i="19"/>
  <c r="Y123" i="19"/>
  <c r="Z123" i="19"/>
  <c r="AA123" i="19"/>
  <c r="AB123" i="19"/>
  <c r="AD123" i="19"/>
  <c r="AE123" i="19"/>
  <c r="AI123" i="19"/>
  <c r="AK123" i="19"/>
  <c r="AL123" i="19"/>
  <c r="AM123" i="19"/>
  <c r="AN123" i="19"/>
  <c r="AQ123" i="19"/>
  <c r="AR123" i="19"/>
  <c r="AS123" i="19"/>
  <c r="AU123" i="19"/>
  <c r="AV123" i="19"/>
  <c r="AW123" i="19"/>
  <c r="AX123" i="19"/>
  <c r="AY123" i="19"/>
  <c r="AZ123" i="19"/>
  <c r="BB123" i="19"/>
  <c r="BC123" i="19"/>
  <c r="BD123" i="19"/>
  <c r="BF123" i="19"/>
  <c r="BG123" i="19"/>
  <c r="BH123" i="19"/>
  <c r="BI123" i="19"/>
  <c r="BJ123" i="19"/>
  <c r="BL123" i="19"/>
  <c r="BM123" i="19"/>
  <c r="BO123" i="19"/>
  <c r="BP123" i="19"/>
  <c r="BR123" i="19"/>
  <c r="BS123" i="19"/>
  <c r="BT123" i="19"/>
  <c r="BU123" i="19"/>
  <c r="BW123" i="19"/>
  <c r="BX123" i="19"/>
  <c r="BY123" i="19"/>
  <c r="CA123" i="19"/>
  <c r="CB123" i="19"/>
  <c r="CC123" i="19"/>
  <c r="CD123" i="19"/>
  <c r="CE123" i="19"/>
  <c r="CF123" i="19"/>
  <c r="CH123" i="19"/>
  <c r="CI123" i="19"/>
  <c r="CJ123" i="19"/>
  <c r="CL123" i="19"/>
  <c r="CM123" i="19"/>
  <c r="CN123" i="19"/>
  <c r="CO123" i="19"/>
  <c r="CP123" i="19"/>
  <c r="CR123" i="19"/>
  <c r="CS123" i="19"/>
  <c r="CT123" i="19"/>
  <c r="CU123" i="19"/>
  <c r="CV123" i="19"/>
  <c r="CW123" i="19"/>
  <c r="CX123" i="19"/>
  <c r="CY123" i="19"/>
  <c r="CZ123" i="19"/>
  <c r="C124" i="19"/>
  <c r="D124" i="19"/>
  <c r="I124" i="19"/>
  <c r="K124" i="19"/>
  <c r="P124" i="19"/>
  <c r="Q124" i="19"/>
  <c r="R124" i="19"/>
  <c r="S124" i="19"/>
  <c r="Y124" i="19"/>
  <c r="Z124" i="19"/>
  <c r="AA124" i="19"/>
  <c r="AB124" i="19"/>
  <c r="AD124" i="19"/>
  <c r="AE124" i="19"/>
  <c r="AI124" i="19"/>
  <c r="AK124" i="19"/>
  <c r="AL124" i="19"/>
  <c r="AM124" i="19"/>
  <c r="AN124" i="19"/>
  <c r="AQ124" i="19"/>
  <c r="AR124" i="19"/>
  <c r="AS124" i="19"/>
  <c r="AU124" i="19"/>
  <c r="AV124" i="19"/>
  <c r="AW124" i="19"/>
  <c r="AX124" i="19"/>
  <c r="AY124" i="19"/>
  <c r="AZ124" i="19"/>
  <c r="BB124" i="19"/>
  <c r="BC124" i="19"/>
  <c r="BD124" i="19"/>
  <c r="BF124" i="19"/>
  <c r="BG124" i="19"/>
  <c r="BH124" i="19"/>
  <c r="BI124" i="19"/>
  <c r="BJ124" i="19"/>
  <c r="BL124" i="19"/>
  <c r="BM124" i="19"/>
  <c r="BO124" i="19"/>
  <c r="BP124" i="19"/>
  <c r="BR124" i="19"/>
  <c r="BS124" i="19"/>
  <c r="BT124" i="19"/>
  <c r="BU124" i="19"/>
  <c r="BW124" i="19"/>
  <c r="BX124" i="19"/>
  <c r="BY124" i="19"/>
  <c r="CA124" i="19"/>
  <c r="CB124" i="19"/>
  <c r="CC124" i="19"/>
  <c r="CD124" i="19"/>
  <c r="CE124" i="19"/>
  <c r="CF124" i="19"/>
  <c r="CH124" i="19"/>
  <c r="CI124" i="19"/>
  <c r="CJ124" i="19"/>
  <c r="CL124" i="19"/>
  <c r="CM124" i="19"/>
  <c r="CN124" i="19"/>
  <c r="CO124" i="19"/>
  <c r="CP124" i="19"/>
  <c r="CR124" i="19"/>
  <c r="CS124" i="19"/>
  <c r="CT124" i="19"/>
  <c r="CU124" i="19"/>
  <c r="CV124" i="19"/>
  <c r="CW124" i="19"/>
  <c r="CX124" i="19"/>
  <c r="CY124" i="19"/>
  <c r="CZ124" i="19"/>
  <c r="C125" i="19"/>
  <c r="D125" i="19"/>
  <c r="I125" i="19"/>
  <c r="K125" i="19"/>
  <c r="P125" i="19"/>
  <c r="Q125" i="19"/>
  <c r="R125" i="19"/>
  <c r="S125" i="19"/>
  <c r="Y125" i="19"/>
  <c r="Z125" i="19"/>
  <c r="AA125" i="19"/>
  <c r="AB125" i="19"/>
  <c r="AD125" i="19"/>
  <c r="AE125" i="19"/>
  <c r="AI125" i="19"/>
  <c r="AK125" i="19"/>
  <c r="AL125" i="19"/>
  <c r="AM125" i="19"/>
  <c r="AN125" i="19"/>
  <c r="AQ125" i="19"/>
  <c r="AR125" i="19"/>
  <c r="AS125" i="19"/>
  <c r="AU125" i="19"/>
  <c r="AV125" i="19"/>
  <c r="AW125" i="19"/>
  <c r="AX125" i="19"/>
  <c r="AY125" i="19"/>
  <c r="AZ125" i="19"/>
  <c r="BB125" i="19"/>
  <c r="BC125" i="19"/>
  <c r="BD125" i="19"/>
  <c r="BF125" i="19"/>
  <c r="BG125" i="19"/>
  <c r="BH125" i="19"/>
  <c r="BI125" i="19"/>
  <c r="BJ125" i="19"/>
  <c r="BL125" i="19"/>
  <c r="BM125" i="19"/>
  <c r="BO125" i="19"/>
  <c r="BP125" i="19"/>
  <c r="BR125" i="19"/>
  <c r="BS125" i="19"/>
  <c r="BT125" i="19"/>
  <c r="BU125" i="19"/>
  <c r="BW125" i="19"/>
  <c r="BX125" i="19"/>
  <c r="BY125" i="19"/>
  <c r="CA125" i="19"/>
  <c r="CB125" i="19"/>
  <c r="CC125" i="19"/>
  <c r="CD125" i="19"/>
  <c r="CE125" i="19"/>
  <c r="CF125" i="19"/>
  <c r="CH125" i="19"/>
  <c r="CI125" i="19"/>
  <c r="CJ125" i="19"/>
  <c r="CL125" i="19"/>
  <c r="CM125" i="19"/>
  <c r="CN125" i="19"/>
  <c r="CO125" i="19"/>
  <c r="CP125" i="19"/>
  <c r="CR125" i="19"/>
  <c r="CS125" i="19"/>
  <c r="CT125" i="19"/>
  <c r="CU125" i="19"/>
  <c r="CV125" i="19"/>
  <c r="CW125" i="19"/>
  <c r="CX125" i="19"/>
  <c r="CY125" i="19"/>
  <c r="CZ125" i="19"/>
  <c r="C126" i="19"/>
  <c r="D126" i="19"/>
  <c r="I126" i="19"/>
  <c r="K126" i="19"/>
  <c r="P126" i="19"/>
  <c r="Q126" i="19"/>
  <c r="R126" i="19"/>
  <c r="S126" i="19"/>
  <c r="Y126" i="19"/>
  <c r="Z126" i="19"/>
  <c r="AA126" i="19"/>
  <c r="AB126" i="19"/>
  <c r="AD126" i="19"/>
  <c r="AE126" i="19"/>
  <c r="AI126" i="19"/>
  <c r="AK126" i="19"/>
  <c r="AL126" i="19"/>
  <c r="AM126" i="19"/>
  <c r="AN126" i="19"/>
  <c r="AQ126" i="19"/>
  <c r="AR126" i="19"/>
  <c r="AS126" i="19"/>
  <c r="AU126" i="19"/>
  <c r="AV126" i="19"/>
  <c r="AW126" i="19"/>
  <c r="AX126" i="19"/>
  <c r="AY126" i="19"/>
  <c r="AZ126" i="19"/>
  <c r="BB126" i="19"/>
  <c r="BC126" i="19"/>
  <c r="BD126" i="19"/>
  <c r="BF126" i="19"/>
  <c r="BG126" i="19"/>
  <c r="BH126" i="19"/>
  <c r="BI126" i="19"/>
  <c r="BJ126" i="19"/>
  <c r="BL126" i="19"/>
  <c r="BM126" i="19"/>
  <c r="BO126" i="19"/>
  <c r="BP126" i="19"/>
  <c r="BR126" i="19"/>
  <c r="BS126" i="19"/>
  <c r="BT126" i="19"/>
  <c r="BU126" i="19"/>
  <c r="BW126" i="19"/>
  <c r="BX126" i="19"/>
  <c r="BY126" i="19"/>
  <c r="CA126" i="19"/>
  <c r="CB126" i="19"/>
  <c r="CC126" i="19"/>
  <c r="CD126" i="19"/>
  <c r="CE126" i="19"/>
  <c r="CF126" i="19"/>
  <c r="CH126" i="19"/>
  <c r="CI126" i="19"/>
  <c r="CJ126" i="19"/>
  <c r="CL126" i="19"/>
  <c r="CM126" i="19"/>
  <c r="CN126" i="19"/>
  <c r="CO126" i="19"/>
  <c r="CP126" i="19"/>
  <c r="CR126" i="19"/>
  <c r="CS126" i="19"/>
  <c r="CT126" i="19"/>
  <c r="CU126" i="19"/>
  <c r="CV126" i="19"/>
  <c r="CW126" i="19"/>
  <c r="CX126" i="19"/>
  <c r="CY126" i="19"/>
  <c r="CZ126" i="19"/>
  <c r="C127" i="19"/>
  <c r="D127" i="19"/>
  <c r="I127" i="19"/>
  <c r="K127" i="19"/>
  <c r="P127" i="19"/>
  <c r="Q127" i="19"/>
  <c r="R127" i="19"/>
  <c r="S127" i="19"/>
  <c r="Y127" i="19"/>
  <c r="Z127" i="19"/>
  <c r="AA127" i="19"/>
  <c r="AB127" i="19"/>
  <c r="AD127" i="19"/>
  <c r="AE127" i="19"/>
  <c r="AI127" i="19"/>
  <c r="AK127" i="19"/>
  <c r="AL127" i="19"/>
  <c r="AM127" i="19"/>
  <c r="AN127" i="19"/>
  <c r="AQ127" i="19"/>
  <c r="AR127" i="19"/>
  <c r="AS127" i="19"/>
  <c r="AU127" i="19"/>
  <c r="AV127" i="19"/>
  <c r="AW127" i="19"/>
  <c r="AX127" i="19"/>
  <c r="AY127" i="19"/>
  <c r="AZ127" i="19"/>
  <c r="BB127" i="19"/>
  <c r="BC127" i="19"/>
  <c r="BD127" i="19"/>
  <c r="BF127" i="19"/>
  <c r="BG127" i="19"/>
  <c r="BH127" i="19"/>
  <c r="BI127" i="19"/>
  <c r="BJ127" i="19"/>
  <c r="BL127" i="19"/>
  <c r="BM127" i="19"/>
  <c r="BO127" i="19"/>
  <c r="BP127" i="19"/>
  <c r="BR127" i="19"/>
  <c r="BS127" i="19"/>
  <c r="BT127" i="19"/>
  <c r="BU127" i="19"/>
  <c r="BW127" i="19"/>
  <c r="BX127" i="19"/>
  <c r="BY127" i="19"/>
  <c r="CA127" i="19"/>
  <c r="CB127" i="19"/>
  <c r="CC127" i="19"/>
  <c r="CD127" i="19"/>
  <c r="CE127" i="19"/>
  <c r="CF127" i="19"/>
  <c r="CH127" i="19"/>
  <c r="CI127" i="19"/>
  <c r="CJ127" i="19"/>
  <c r="CL127" i="19"/>
  <c r="CM127" i="19"/>
  <c r="CN127" i="19"/>
  <c r="CO127" i="19"/>
  <c r="CP127" i="19"/>
  <c r="CR127" i="19"/>
  <c r="CS127" i="19"/>
  <c r="CT127" i="19"/>
  <c r="CU127" i="19"/>
  <c r="CV127" i="19"/>
  <c r="CW127" i="19"/>
  <c r="CX127" i="19"/>
  <c r="CY127" i="19"/>
  <c r="CZ127" i="19"/>
  <c r="C128" i="19"/>
  <c r="D128" i="19"/>
  <c r="I128" i="19"/>
  <c r="K128" i="19"/>
  <c r="P128" i="19"/>
  <c r="Q128" i="19"/>
  <c r="R128" i="19"/>
  <c r="S128" i="19"/>
  <c r="Y128" i="19"/>
  <c r="Z128" i="19"/>
  <c r="AA128" i="19"/>
  <c r="AB128" i="19"/>
  <c r="AD128" i="19"/>
  <c r="AE128" i="19"/>
  <c r="AI128" i="19"/>
  <c r="AK128" i="19"/>
  <c r="AL128" i="19"/>
  <c r="AM128" i="19"/>
  <c r="AN128" i="19"/>
  <c r="AQ128" i="19"/>
  <c r="AR128" i="19"/>
  <c r="AS128" i="19"/>
  <c r="AU128" i="19"/>
  <c r="AV128" i="19"/>
  <c r="AW128" i="19"/>
  <c r="AX128" i="19"/>
  <c r="AY128" i="19"/>
  <c r="AZ128" i="19"/>
  <c r="BB128" i="19"/>
  <c r="BC128" i="19"/>
  <c r="BD128" i="19"/>
  <c r="BF128" i="19"/>
  <c r="BG128" i="19"/>
  <c r="BH128" i="19"/>
  <c r="BI128" i="19"/>
  <c r="BJ128" i="19"/>
  <c r="BL128" i="19"/>
  <c r="BM128" i="19"/>
  <c r="BO128" i="19"/>
  <c r="BP128" i="19"/>
  <c r="BR128" i="19"/>
  <c r="BS128" i="19"/>
  <c r="BT128" i="19"/>
  <c r="BU128" i="19"/>
  <c r="BW128" i="19"/>
  <c r="BX128" i="19"/>
  <c r="BY128" i="19"/>
  <c r="CA128" i="19"/>
  <c r="CB128" i="19"/>
  <c r="CC128" i="19"/>
  <c r="CD128" i="19"/>
  <c r="CE128" i="19"/>
  <c r="CF128" i="19"/>
  <c r="CH128" i="19"/>
  <c r="CI128" i="19"/>
  <c r="CJ128" i="19"/>
  <c r="CL128" i="19"/>
  <c r="CM128" i="19"/>
  <c r="CN128" i="19"/>
  <c r="CO128" i="19"/>
  <c r="CP128" i="19"/>
  <c r="CR128" i="19"/>
  <c r="CS128" i="19"/>
  <c r="CT128" i="19"/>
  <c r="CU128" i="19"/>
  <c r="CV128" i="19"/>
  <c r="CW128" i="19"/>
  <c r="CX128" i="19"/>
  <c r="CY128" i="19"/>
  <c r="CZ128" i="19"/>
  <c r="C129" i="19"/>
  <c r="D129" i="19"/>
  <c r="I129" i="19"/>
  <c r="K129" i="19"/>
  <c r="P129" i="19"/>
  <c r="Q129" i="19"/>
  <c r="R129" i="19"/>
  <c r="S129" i="19"/>
  <c r="Y129" i="19"/>
  <c r="Z129" i="19"/>
  <c r="AA129" i="19"/>
  <c r="AB129" i="19"/>
  <c r="AD129" i="19"/>
  <c r="AE129" i="19"/>
  <c r="AI129" i="19"/>
  <c r="AK129" i="19"/>
  <c r="AL129" i="19"/>
  <c r="AM129" i="19"/>
  <c r="AN129" i="19"/>
  <c r="AQ129" i="19"/>
  <c r="AR129" i="19"/>
  <c r="AS129" i="19"/>
  <c r="AU129" i="19"/>
  <c r="AV129" i="19"/>
  <c r="AW129" i="19"/>
  <c r="AX129" i="19"/>
  <c r="AY129" i="19"/>
  <c r="AZ129" i="19"/>
  <c r="BB129" i="19"/>
  <c r="BC129" i="19"/>
  <c r="BD129" i="19"/>
  <c r="BF129" i="19"/>
  <c r="BG129" i="19"/>
  <c r="BH129" i="19"/>
  <c r="BI129" i="19"/>
  <c r="BJ129" i="19"/>
  <c r="BL129" i="19"/>
  <c r="BM129" i="19"/>
  <c r="BO129" i="19"/>
  <c r="BP129" i="19"/>
  <c r="BR129" i="19"/>
  <c r="BS129" i="19"/>
  <c r="BT129" i="19"/>
  <c r="BU129" i="19"/>
  <c r="BW129" i="19"/>
  <c r="BX129" i="19"/>
  <c r="BY129" i="19"/>
  <c r="CA129" i="19"/>
  <c r="CB129" i="19"/>
  <c r="CC129" i="19"/>
  <c r="CD129" i="19"/>
  <c r="CE129" i="19"/>
  <c r="CF129" i="19"/>
  <c r="CH129" i="19"/>
  <c r="CI129" i="19"/>
  <c r="CJ129" i="19"/>
  <c r="CL129" i="19"/>
  <c r="CM129" i="19"/>
  <c r="CN129" i="19"/>
  <c r="CO129" i="19"/>
  <c r="CP129" i="19"/>
  <c r="CR129" i="19"/>
  <c r="CS129" i="19"/>
  <c r="CT129" i="19"/>
  <c r="CU129" i="19"/>
  <c r="CV129" i="19"/>
  <c r="CW129" i="19"/>
  <c r="CX129" i="19"/>
  <c r="CY129" i="19"/>
  <c r="CZ129" i="19"/>
  <c r="C130" i="19"/>
  <c r="D130" i="19"/>
  <c r="I130" i="19"/>
  <c r="K130" i="19"/>
  <c r="P130" i="19"/>
  <c r="Q130" i="19"/>
  <c r="R130" i="19"/>
  <c r="S130" i="19"/>
  <c r="Y130" i="19"/>
  <c r="Z130" i="19"/>
  <c r="AA130" i="19"/>
  <c r="AB130" i="19"/>
  <c r="AD130" i="19"/>
  <c r="AE130" i="19"/>
  <c r="AI130" i="19"/>
  <c r="AK130" i="19"/>
  <c r="AL130" i="19"/>
  <c r="AM130" i="19"/>
  <c r="AN130" i="19"/>
  <c r="AQ130" i="19"/>
  <c r="AR130" i="19"/>
  <c r="AS130" i="19"/>
  <c r="AU130" i="19"/>
  <c r="AV130" i="19"/>
  <c r="AW130" i="19"/>
  <c r="AX130" i="19"/>
  <c r="AY130" i="19"/>
  <c r="AZ130" i="19"/>
  <c r="BB130" i="19"/>
  <c r="BC130" i="19"/>
  <c r="BD130" i="19"/>
  <c r="BF130" i="19"/>
  <c r="BG130" i="19"/>
  <c r="BH130" i="19"/>
  <c r="BI130" i="19"/>
  <c r="BJ130" i="19"/>
  <c r="BL130" i="19"/>
  <c r="BM130" i="19"/>
  <c r="BO130" i="19"/>
  <c r="BP130" i="19"/>
  <c r="BR130" i="19"/>
  <c r="BS130" i="19"/>
  <c r="BT130" i="19"/>
  <c r="BU130" i="19"/>
  <c r="BW130" i="19"/>
  <c r="BX130" i="19"/>
  <c r="BY130" i="19"/>
  <c r="CA130" i="19"/>
  <c r="CB130" i="19"/>
  <c r="CC130" i="19"/>
  <c r="CD130" i="19"/>
  <c r="CE130" i="19"/>
  <c r="CF130" i="19"/>
  <c r="CH130" i="19"/>
  <c r="CI130" i="19"/>
  <c r="CJ130" i="19"/>
  <c r="CL130" i="19"/>
  <c r="CM130" i="19"/>
  <c r="CN130" i="19"/>
  <c r="CO130" i="19"/>
  <c r="CP130" i="19"/>
  <c r="CR130" i="19"/>
  <c r="CS130" i="19"/>
  <c r="CT130" i="19"/>
  <c r="CU130" i="19"/>
  <c r="CV130" i="19"/>
  <c r="CW130" i="19"/>
  <c r="CX130" i="19"/>
  <c r="CY130" i="19"/>
  <c r="CZ130" i="19"/>
  <c r="C131" i="19"/>
  <c r="D131" i="19"/>
  <c r="I131" i="19"/>
  <c r="K131" i="19"/>
  <c r="P131" i="19"/>
  <c r="Q131" i="19"/>
  <c r="R131" i="19"/>
  <c r="S131" i="19"/>
  <c r="Y131" i="19"/>
  <c r="Z131" i="19"/>
  <c r="AA131" i="19"/>
  <c r="AB131" i="19"/>
  <c r="AD131" i="19"/>
  <c r="AE131" i="19"/>
  <c r="AI131" i="19"/>
  <c r="AK131" i="19"/>
  <c r="AL131" i="19"/>
  <c r="AM131" i="19"/>
  <c r="AN131" i="19"/>
  <c r="AQ131" i="19"/>
  <c r="AR131" i="19"/>
  <c r="AS131" i="19"/>
  <c r="AU131" i="19"/>
  <c r="AV131" i="19"/>
  <c r="AW131" i="19"/>
  <c r="AX131" i="19"/>
  <c r="AY131" i="19"/>
  <c r="AZ131" i="19"/>
  <c r="BB131" i="19"/>
  <c r="BC131" i="19"/>
  <c r="BD131" i="19"/>
  <c r="BF131" i="19"/>
  <c r="BG131" i="19"/>
  <c r="BH131" i="19"/>
  <c r="BI131" i="19"/>
  <c r="BJ131" i="19"/>
  <c r="BL131" i="19"/>
  <c r="BM131" i="19"/>
  <c r="BO131" i="19"/>
  <c r="BP131" i="19"/>
  <c r="BR131" i="19"/>
  <c r="BS131" i="19"/>
  <c r="BT131" i="19"/>
  <c r="BU131" i="19"/>
  <c r="BW131" i="19"/>
  <c r="BX131" i="19"/>
  <c r="BY131" i="19"/>
  <c r="CA131" i="19"/>
  <c r="CB131" i="19"/>
  <c r="CC131" i="19"/>
  <c r="CD131" i="19"/>
  <c r="CE131" i="19"/>
  <c r="CF131" i="19"/>
  <c r="CH131" i="19"/>
  <c r="CI131" i="19"/>
  <c r="CJ131" i="19"/>
  <c r="CL131" i="19"/>
  <c r="CM131" i="19"/>
  <c r="CN131" i="19"/>
  <c r="CO131" i="19"/>
  <c r="CP131" i="19"/>
  <c r="CR131" i="19"/>
  <c r="CS131" i="19"/>
  <c r="CT131" i="19"/>
  <c r="CU131" i="19"/>
  <c r="CV131" i="19"/>
  <c r="CW131" i="19"/>
  <c r="CX131" i="19"/>
  <c r="CY131" i="19"/>
  <c r="CZ131" i="19"/>
  <c r="C132" i="19"/>
  <c r="D132" i="19"/>
  <c r="I132" i="19"/>
  <c r="K132" i="19"/>
  <c r="P132" i="19"/>
  <c r="Q132" i="19"/>
  <c r="R132" i="19"/>
  <c r="S132" i="19"/>
  <c r="Y132" i="19"/>
  <c r="Z132" i="19"/>
  <c r="AA132" i="19"/>
  <c r="AB132" i="19"/>
  <c r="AD132" i="19"/>
  <c r="AE132" i="19"/>
  <c r="AI132" i="19"/>
  <c r="AK132" i="19"/>
  <c r="AL132" i="19"/>
  <c r="AM132" i="19"/>
  <c r="AN132" i="19"/>
  <c r="AQ132" i="19"/>
  <c r="AR132" i="19"/>
  <c r="AS132" i="19"/>
  <c r="AU132" i="19"/>
  <c r="AV132" i="19"/>
  <c r="AW132" i="19"/>
  <c r="AX132" i="19"/>
  <c r="AY132" i="19"/>
  <c r="AZ132" i="19"/>
  <c r="BB132" i="19"/>
  <c r="BC132" i="19"/>
  <c r="BD132" i="19"/>
  <c r="BF132" i="19"/>
  <c r="BG132" i="19"/>
  <c r="BH132" i="19"/>
  <c r="BI132" i="19"/>
  <c r="BJ132" i="19"/>
  <c r="BL132" i="19"/>
  <c r="BM132" i="19"/>
  <c r="BO132" i="19"/>
  <c r="BP132" i="19"/>
  <c r="BR132" i="19"/>
  <c r="BS132" i="19"/>
  <c r="BT132" i="19"/>
  <c r="BU132" i="19"/>
  <c r="BW132" i="19"/>
  <c r="BX132" i="19"/>
  <c r="BY132" i="19"/>
  <c r="CA132" i="19"/>
  <c r="CB132" i="19"/>
  <c r="CC132" i="19"/>
  <c r="CD132" i="19"/>
  <c r="CE132" i="19"/>
  <c r="CF132" i="19"/>
  <c r="CH132" i="19"/>
  <c r="CI132" i="19"/>
  <c r="CJ132" i="19"/>
  <c r="CL132" i="19"/>
  <c r="CM132" i="19"/>
  <c r="CN132" i="19"/>
  <c r="CO132" i="19"/>
  <c r="CP132" i="19"/>
  <c r="CR132" i="19"/>
  <c r="CS132" i="19"/>
  <c r="CT132" i="19"/>
  <c r="CU132" i="19"/>
  <c r="CV132" i="19"/>
  <c r="CW132" i="19"/>
  <c r="CX132" i="19"/>
  <c r="CY132" i="19"/>
  <c r="CZ132" i="19"/>
  <c r="C133" i="19"/>
  <c r="D133" i="19"/>
  <c r="I133" i="19"/>
  <c r="K133" i="19"/>
  <c r="P133" i="19"/>
  <c r="Q133" i="19"/>
  <c r="R133" i="19"/>
  <c r="S133" i="19"/>
  <c r="Y133" i="19"/>
  <c r="Z133" i="19"/>
  <c r="AA133" i="19"/>
  <c r="AB133" i="19"/>
  <c r="AD133" i="19"/>
  <c r="AE133" i="19"/>
  <c r="AI133" i="19"/>
  <c r="AK133" i="19"/>
  <c r="AL133" i="19"/>
  <c r="AM133" i="19"/>
  <c r="AN133" i="19"/>
  <c r="AQ133" i="19"/>
  <c r="AR133" i="19"/>
  <c r="AS133" i="19"/>
  <c r="AU133" i="19"/>
  <c r="AV133" i="19"/>
  <c r="AW133" i="19"/>
  <c r="AX133" i="19"/>
  <c r="AY133" i="19"/>
  <c r="AZ133" i="19"/>
  <c r="BB133" i="19"/>
  <c r="BC133" i="19"/>
  <c r="BD133" i="19"/>
  <c r="BF133" i="19"/>
  <c r="BG133" i="19"/>
  <c r="BH133" i="19"/>
  <c r="BI133" i="19"/>
  <c r="BJ133" i="19"/>
  <c r="BL133" i="19"/>
  <c r="BM133" i="19"/>
  <c r="BO133" i="19"/>
  <c r="BP133" i="19"/>
  <c r="BR133" i="19"/>
  <c r="BS133" i="19"/>
  <c r="BT133" i="19"/>
  <c r="BU133" i="19"/>
  <c r="BW133" i="19"/>
  <c r="BX133" i="19"/>
  <c r="BY133" i="19"/>
  <c r="CA133" i="19"/>
  <c r="CB133" i="19"/>
  <c r="CC133" i="19"/>
  <c r="CD133" i="19"/>
  <c r="CE133" i="19"/>
  <c r="CF133" i="19"/>
  <c r="CH133" i="19"/>
  <c r="CI133" i="19"/>
  <c r="CJ133" i="19"/>
  <c r="CL133" i="19"/>
  <c r="CM133" i="19"/>
  <c r="CN133" i="19"/>
  <c r="CO133" i="19"/>
  <c r="CP133" i="19"/>
  <c r="CR133" i="19"/>
  <c r="CS133" i="19"/>
  <c r="CT133" i="19"/>
  <c r="CU133" i="19"/>
  <c r="CV133" i="19"/>
  <c r="CW133" i="19"/>
  <c r="CX133" i="19"/>
  <c r="CY133" i="19"/>
  <c r="CZ133" i="19"/>
  <c r="C134" i="19"/>
  <c r="D134" i="19"/>
  <c r="I134" i="19"/>
  <c r="K134" i="19"/>
  <c r="P134" i="19"/>
  <c r="Q134" i="19"/>
  <c r="R134" i="19"/>
  <c r="S134" i="19"/>
  <c r="Y134" i="19"/>
  <c r="Z134" i="19"/>
  <c r="AA134" i="19"/>
  <c r="AB134" i="19"/>
  <c r="AD134" i="19"/>
  <c r="AE134" i="19"/>
  <c r="AI134" i="19"/>
  <c r="AK134" i="19"/>
  <c r="AL134" i="19"/>
  <c r="AM134" i="19"/>
  <c r="AN134" i="19"/>
  <c r="AQ134" i="19"/>
  <c r="AR134" i="19"/>
  <c r="AS134" i="19"/>
  <c r="AU134" i="19"/>
  <c r="AV134" i="19"/>
  <c r="AW134" i="19"/>
  <c r="AX134" i="19"/>
  <c r="AY134" i="19"/>
  <c r="AZ134" i="19"/>
  <c r="BB134" i="19"/>
  <c r="BC134" i="19"/>
  <c r="BD134" i="19"/>
  <c r="BF134" i="19"/>
  <c r="BG134" i="19"/>
  <c r="BH134" i="19"/>
  <c r="BI134" i="19"/>
  <c r="BJ134" i="19"/>
  <c r="BL134" i="19"/>
  <c r="BM134" i="19"/>
  <c r="BO134" i="19"/>
  <c r="BP134" i="19"/>
  <c r="BR134" i="19"/>
  <c r="BS134" i="19"/>
  <c r="BT134" i="19"/>
  <c r="BU134" i="19"/>
  <c r="BW134" i="19"/>
  <c r="BX134" i="19"/>
  <c r="BY134" i="19"/>
  <c r="CA134" i="19"/>
  <c r="CB134" i="19"/>
  <c r="CC134" i="19"/>
  <c r="CD134" i="19"/>
  <c r="CE134" i="19"/>
  <c r="CF134" i="19"/>
  <c r="CH134" i="19"/>
  <c r="CI134" i="19"/>
  <c r="CJ134" i="19"/>
  <c r="CL134" i="19"/>
  <c r="CM134" i="19"/>
  <c r="CN134" i="19"/>
  <c r="CO134" i="19"/>
  <c r="CP134" i="19"/>
  <c r="CR134" i="19"/>
  <c r="CS134" i="19"/>
  <c r="CT134" i="19"/>
  <c r="CU134" i="19"/>
  <c r="CV134" i="19"/>
  <c r="CW134" i="19"/>
  <c r="CX134" i="19"/>
  <c r="CY134" i="19"/>
  <c r="CZ134" i="19"/>
  <c r="C135" i="19"/>
  <c r="D135" i="19"/>
  <c r="I135" i="19"/>
  <c r="K135" i="19"/>
  <c r="P135" i="19"/>
  <c r="Q135" i="19"/>
  <c r="R135" i="19"/>
  <c r="S135" i="19"/>
  <c r="Y135" i="19"/>
  <c r="Z135" i="19"/>
  <c r="AA135" i="19"/>
  <c r="AB135" i="19"/>
  <c r="AD135" i="19"/>
  <c r="AE135" i="19"/>
  <c r="AI135" i="19"/>
  <c r="AK135" i="19"/>
  <c r="AL135" i="19"/>
  <c r="AM135" i="19"/>
  <c r="AN135" i="19"/>
  <c r="AQ135" i="19"/>
  <c r="AR135" i="19"/>
  <c r="AS135" i="19"/>
  <c r="AU135" i="19"/>
  <c r="AV135" i="19"/>
  <c r="AW135" i="19"/>
  <c r="AX135" i="19"/>
  <c r="AY135" i="19"/>
  <c r="AZ135" i="19"/>
  <c r="BB135" i="19"/>
  <c r="BC135" i="19"/>
  <c r="BD135" i="19"/>
  <c r="BF135" i="19"/>
  <c r="BG135" i="19"/>
  <c r="BH135" i="19"/>
  <c r="BI135" i="19"/>
  <c r="BJ135" i="19"/>
  <c r="BL135" i="19"/>
  <c r="BM135" i="19"/>
  <c r="BO135" i="19"/>
  <c r="BP135" i="19"/>
  <c r="BR135" i="19"/>
  <c r="BS135" i="19"/>
  <c r="BT135" i="19"/>
  <c r="BU135" i="19"/>
  <c r="BW135" i="19"/>
  <c r="BX135" i="19"/>
  <c r="BY135" i="19"/>
  <c r="CA135" i="19"/>
  <c r="CB135" i="19"/>
  <c r="CC135" i="19"/>
  <c r="CD135" i="19"/>
  <c r="CE135" i="19"/>
  <c r="CF135" i="19"/>
  <c r="CH135" i="19"/>
  <c r="CI135" i="19"/>
  <c r="CJ135" i="19"/>
  <c r="CL135" i="19"/>
  <c r="CM135" i="19"/>
  <c r="CN135" i="19"/>
  <c r="CO135" i="19"/>
  <c r="CP135" i="19"/>
  <c r="CR135" i="19"/>
  <c r="CS135" i="19"/>
  <c r="CT135" i="19"/>
  <c r="CU135" i="19"/>
  <c r="CV135" i="19"/>
  <c r="CW135" i="19"/>
  <c r="CX135" i="19"/>
  <c r="CY135" i="19"/>
  <c r="CZ135" i="19"/>
  <c r="C136" i="19"/>
  <c r="D136" i="19"/>
  <c r="I136" i="19"/>
  <c r="K136" i="19"/>
  <c r="P136" i="19"/>
  <c r="Q136" i="19"/>
  <c r="R136" i="19"/>
  <c r="S136" i="19"/>
  <c r="Y136" i="19"/>
  <c r="Z136" i="19"/>
  <c r="AA136" i="19"/>
  <c r="AB136" i="19"/>
  <c r="AD136" i="19"/>
  <c r="AE136" i="19"/>
  <c r="AI136" i="19"/>
  <c r="AK136" i="19"/>
  <c r="AL136" i="19"/>
  <c r="AM136" i="19"/>
  <c r="AN136" i="19"/>
  <c r="AQ136" i="19"/>
  <c r="AR136" i="19"/>
  <c r="AS136" i="19"/>
  <c r="AU136" i="19"/>
  <c r="AV136" i="19"/>
  <c r="AW136" i="19"/>
  <c r="AX136" i="19"/>
  <c r="AY136" i="19"/>
  <c r="AZ136" i="19"/>
  <c r="BB136" i="19"/>
  <c r="BC136" i="19"/>
  <c r="BD136" i="19"/>
  <c r="BF136" i="19"/>
  <c r="BG136" i="19"/>
  <c r="BH136" i="19"/>
  <c r="BI136" i="19"/>
  <c r="BJ136" i="19"/>
  <c r="BL136" i="19"/>
  <c r="BM136" i="19"/>
  <c r="BO136" i="19"/>
  <c r="BP136" i="19"/>
  <c r="BR136" i="19"/>
  <c r="BS136" i="19"/>
  <c r="BT136" i="19"/>
  <c r="BU136" i="19"/>
  <c r="BW136" i="19"/>
  <c r="BX136" i="19"/>
  <c r="BY136" i="19"/>
  <c r="CA136" i="19"/>
  <c r="CB136" i="19"/>
  <c r="CC136" i="19"/>
  <c r="CD136" i="19"/>
  <c r="CE136" i="19"/>
  <c r="CF136" i="19"/>
  <c r="CH136" i="19"/>
  <c r="CI136" i="19"/>
  <c r="CJ136" i="19"/>
  <c r="CL136" i="19"/>
  <c r="CM136" i="19"/>
  <c r="CN136" i="19"/>
  <c r="CO136" i="19"/>
  <c r="CP136" i="19"/>
  <c r="CR136" i="19"/>
  <c r="CS136" i="19"/>
  <c r="CT136" i="19"/>
  <c r="CU136" i="19"/>
  <c r="CV136" i="19"/>
  <c r="CW136" i="19"/>
  <c r="CX136" i="19"/>
  <c r="CY136" i="19"/>
  <c r="CZ136" i="19"/>
  <c r="C137" i="19"/>
  <c r="D137" i="19"/>
  <c r="I137" i="19"/>
  <c r="K137" i="19"/>
  <c r="P137" i="19"/>
  <c r="Q137" i="19"/>
  <c r="R137" i="19"/>
  <c r="S137" i="19"/>
  <c r="Y137" i="19"/>
  <c r="Z137" i="19"/>
  <c r="AA137" i="19"/>
  <c r="AB137" i="19"/>
  <c r="AD137" i="19"/>
  <c r="AE137" i="19"/>
  <c r="AI137" i="19"/>
  <c r="AK137" i="19"/>
  <c r="AL137" i="19"/>
  <c r="AM137" i="19"/>
  <c r="AN137" i="19"/>
  <c r="AQ137" i="19"/>
  <c r="AR137" i="19"/>
  <c r="AS137" i="19"/>
  <c r="AU137" i="19"/>
  <c r="AV137" i="19"/>
  <c r="AW137" i="19"/>
  <c r="AX137" i="19"/>
  <c r="AY137" i="19"/>
  <c r="AZ137" i="19"/>
  <c r="BB137" i="19"/>
  <c r="BC137" i="19"/>
  <c r="BD137" i="19"/>
  <c r="BF137" i="19"/>
  <c r="BG137" i="19"/>
  <c r="BH137" i="19"/>
  <c r="BI137" i="19"/>
  <c r="BJ137" i="19"/>
  <c r="BL137" i="19"/>
  <c r="BM137" i="19"/>
  <c r="BO137" i="19"/>
  <c r="BP137" i="19"/>
  <c r="BR137" i="19"/>
  <c r="BS137" i="19"/>
  <c r="BT137" i="19"/>
  <c r="BU137" i="19"/>
  <c r="BW137" i="19"/>
  <c r="BX137" i="19"/>
  <c r="BY137" i="19"/>
  <c r="CA137" i="19"/>
  <c r="CB137" i="19"/>
  <c r="CC137" i="19"/>
  <c r="CD137" i="19"/>
  <c r="CE137" i="19"/>
  <c r="CF137" i="19"/>
  <c r="CH137" i="19"/>
  <c r="CI137" i="19"/>
  <c r="CJ137" i="19"/>
  <c r="CL137" i="19"/>
  <c r="CM137" i="19"/>
  <c r="CN137" i="19"/>
  <c r="CO137" i="19"/>
  <c r="CP137" i="19"/>
  <c r="CR137" i="19"/>
  <c r="CS137" i="19"/>
  <c r="CT137" i="19"/>
  <c r="CU137" i="19"/>
  <c r="CV137" i="19"/>
  <c r="CW137" i="19"/>
  <c r="CX137" i="19"/>
  <c r="CY137" i="19"/>
  <c r="CZ137" i="19"/>
  <c r="C138" i="19"/>
  <c r="D138" i="19"/>
  <c r="I138" i="19"/>
  <c r="K138" i="19"/>
  <c r="P138" i="19"/>
  <c r="Q138" i="19"/>
  <c r="R138" i="19"/>
  <c r="S138" i="19"/>
  <c r="Y138" i="19"/>
  <c r="Z138" i="19"/>
  <c r="AA138" i="19"/>
  <c r="AB138" i="19"/>
  <c r="AD138" i="19"/>
  <c r="AE138" i="19"/>
  <c r="AI138" i="19"/>
  <c r="AK138" i="19"/>
  <c r="AL138" i="19"/>
  <c r="AM138" i="19"/>
  <c r="AN138" i="19"/>
  <c r="AQ138" i="19"/>
  <c r="AR138" i="19"/>
  <c r="AS138" i="19"/>
  <c r="AU138" i="19"/>
  <c r="AV138" i="19"/>
  <c r="AW138" i="19"/>
  <c r="AX138" i="19"/>
  <c r="AY138" i="19"/>
  <c r="AZ138" i="19"/>
  <c r="BB138" i="19"/>
  <c r="BC138" i="19"/>
  <c r="BD138" i="19"/>
  <c r="BF138" i="19"/>
  <c r="BG138" i="19"/>
  <c r="BH138" i="19"/>
  <c r="BI138" i="19"/>
  <c r="BJ138" i="19"/>
  <c r="BL138" i="19"/>
  <c r="BM138" i="19"/>
  <c r="BO138" i="19"/>
  <c r="BP138" i="19"/>
  <c r="BR138" i="19"/>
  <c r="BS138" i="19"/>
  <c r="BT138" i="19"/>
  <c r="BU138" i="19"/>
  <c r="BW138" i="19"/>
  <c r="BX138" i="19"/>
  <c r="BY138" i="19"/>
  <c r="CA138" i="19"/>
  <c r="CB138" i="19"/>
  <c r="CC138" i="19"/>
  <c r="CD138" i="19"/>
  <c r="CE138" i="19"/>
  <c r="CF138" i="19"/>
  <c r="CH138" i="19"/>
  <c r="CI138" i="19"/>
  <c r="CJ138" i="19"/>
  <c r="CL138" i="19"/>
  <c r="CM138" i="19"/>
  <c r="CN138" i="19"/>
  <c r="CO138" i="19"/>
  <c r="CP138" i="19"/>
  <c r="CR138" i="19"/>
  <c r="CS138" i="19"/>
  <c r="CT138" i="19"/>
  <c r="CU138" i="19"/>
  <c r="CV138" i="19"/>
  <c r="CW138" i="19"/>
  <c r="CX138" i="19"/>
  <c r="CY138" i="19"/>
  <c r="CZ138" i="19"/>
  <c r="C139" i="19"/>
  <c r="D139" i="19"/>
  <c r="I139" i="19"/>
  <c r="K139" i="19"/>
  <c r="P139" i="19"/>
  <c r="Q139" i="19"/>
  <c r="R139" i="19"/>
  <c r="S139" i="19"/>
  <c r="Y139" i="19"/>
  <c r="Z139" i="19"/>
  <c r="AA139" i="19"/>
  <c r="AB139" i="19"/>
  <c r="AD139" i="19"/>
  <c r="AE139" i="19"/>
  <c r="AI139" i="19"/>
  <c r="AK139" i="19"/>
  <c r="AL139" i="19"/>
  <c r="AM139" i="19"/>
  <c r="AN139" i="19"/>
  <c r="AQ139" i="19"/>
  <c r="AR139" i="19"/>
  <c r="AS139" i="19"/>
  <c r="AU139" i="19"/>
  <c r="AV139" i="19"/>
  <c r="AW139" i="19"/>
  <c r="AX139" i="19"/>
  <c r="AY139" i="19"/>
  <c r="AZ139" i="19"/>
  <c r="BB139" i="19"/>
  <c r="BC139" i="19"/>
  <c r="BD139" i="19"/>
  <c r="BF139" i="19"/>
  <c r="BG139" i="19"/>
  <c r="BH139" i="19"/>
  <c r="BI139" i="19"/>
  <c r="BJ139" i="19"/>
  <c r="BL139" i="19"/>
  <c r="BM139" i="19"/>
  <c r="BO139" i="19"/>
  <c r="BP139" i="19"/>
  <c r="BR139" i="19"/>
  <c r="BS139" i="19"/>
  <c r="BT139" i="19"/>
  <c r="BU139" i="19"/>
  <c r="BW139" i="19"/>
  <c r="BX139" i="19"/>
  <c r="BY139" i="19"/>
  <c r="CA139" i="19"/>
  <c r="CB139" i="19"/>
  <c r="CC139" i="19"/>
  <c r="CD139" i="19"/>
  <c r="CE139" i="19"/>
  <c r="CF139" i="19"/>
  <c r="CH139" i="19"/>
  <c r="CI139" i="19"/>
  <c r="CJ139" i="19"/>
  <c r="CL139" i="19"/>
  <c r="CM139" i="19"/>
  <c r="CN139" i="19"/>
  <c r="CO139" i="19"/>
  <c r="CP139" i="19"/>
  <c r="CR139" i="19"/>
  <c r="CS139" i="19"/>
  <c r="CT139" i="19"/>
  <c r="CU139" i="19"/>
  <c r="CV139" i="19"/>
  <c r="CW139" i="19"/>
  <c r="CX139" i="19"/>
  <c r="CY139" i="19"/>
  <c r="CZ139" i="19"/>
  <c r="C140" i="19"/>
  <c r="D140" i="19"/>
  <c r="I140" i="19"/>
  <c r="K140" i="19"/>
  <c r="P140" i="19"/>
  <c r="Q140" i="19"/>
  <c r="R140" i="19"/>
  <c r="S140" i="19"/>
  <c r="Y140" i="19"/>
  <c r="Z140" i="19"/>
  <c r="AA140" i="19"/>
  <c r="AB140" i="19"/>
  <c r="AD140" i="19"/>
  <c r="AE140" i="19"/>
  <c r="AI140" i="19"/>
  <c r="AK140" i="19"/>
  <c r="AL140" i="19"/>
  <c r="AM140" i="19"/>
  <c r="AN140" i="19"/>
  <c r="AQ140" i="19"/>
  <c r="AR140" i="19"/>
  <c r="AS140" i="19"/>
  <c r="AU140" i="19"/>
  <c r="AV140" i="19"/>
  <c r="AW140" i="19"/>
  <c r="AX140" i="19"/>
  <c r="AY140" i="19"/>
  <c r="AZ140" i="19"/>
  <c r="BB140" i="19"/>
  <c r="BC140" i="19"/>
  <c r="BD140" i="19"/>
  <c r="BF140" i="19"/>
  <c r="BG140" i="19"/>
  <c r="BH140" i="19"/>
  <c r="BI140" i="19"/>
  <c r="BJ140" i="19"/>
  <c r="BL140" i="19"/>
  <c r="BM140" i="19"/>
  <c r="BO140" i="19"/>
  <c r="BP140" i="19"/>
  <c r="BR140" i="19"/>
  <c r="BS140" i="19"/>
  <c r="BT140" i="19"/>
  <c r="BU140" i="19"/>
  <c r="BW140" i="19"/>
  <c r="BX140" i="19"/>
  <c r="BY140" i="19"/>
  <c r="CA140" i="19"/>
  <c r="CB140" i="19"/>
  <c r="CC140" i="19"/>
  <c r="CD140" i="19"/>
  <c r="CE140" i="19"/>
  <c r="CF140" i="19"/>
  <c r="CH140" i="19"/>
  <c r="CI140" i="19"/>
  <c r="CJ140" i="19"/>
  <c r="CL140" i="19"/>
  <c r="CM140" i="19"/>
  <c r="CN140" i="19"/>
  <c r="CO140" i="19"/>
  <c r="CP140" i="19"/>
  <c r="CR140" i="19"/>
  <c r="CS140" i="19"/>
  <c r="CT140" i="19"/>
  <c r="CU140" i="19"/>
  <c r="CV140" i="19"/>
  <c r="CW140" i="19"/>
  <c r="CX140" i="19"/>
  <c r="CY140" i="19"/>
  <c r="CZ140" i="19"/>
  <c r="C141" i="19"/>
  <c r="D141" i="19"/>
  <c r="I141" i="19"/>
  <c r="K141" i="19"/>
  <c r="P141" i="19"/>
  <c r="Q141" i="19"/>
  <c r="R141" i="19"/>
  <c r="S141" i="19"/>
  <c r="Y141" i="19"/>
  <c r="Z141" i="19"/>
  <c r="AA141" i="19"/>
  <c r="AB141" i="19"/>
  <c r="AD141" i="19"/>
  <c r="AE141" i="19"/>
  <c r="AI141" i="19"/>
  <c r="AK141" i="19"/>
  <c r="AL141" i="19"/>
  <c r="AM141" i="19"/>
  <c r="AN141" i="19"/>
  <c r="AQ141" i="19"/>
  <c r="AR141" i="19"/>
  <c r="AS141" i="19"/>
  <c r="AU141" i="19"/>
  <c r="AV141" i="19"/>
  <c r="AW141" i="19"/>
  <c r="AX141" i="19"/>
  <c r="AY141" i="19"/>
  <c r="AZ141" i="19"/>
  <c r="BB141" i="19"/>
  <c r="BC141" i="19"/>
  <c r="BD141" i="19"/>
  <c r="BF141" i="19"/>
  <c r="BG141" i="19"/>
  <c r="BH141" i="19"/>
  <c r="BI141" i="19"/>
  <c r="BJ141" i="19"/>
  <c r="BL141" i="19"/>
  <c r="BM141" i="19"/>
  <c r="BO141" i="19"/>
  <c r="BP141" i="19"/>
  <c r="BR141" i="19"/>
  <c r="BS141" i="19"/>
  <c r="BT141" i="19"/>
  <c r="BU141" i="19"/>
  <c r="BW141" i="19"/>
  <c r="BX141" i="19"/>
  <c r="BY141" i="19"/>
  <c r="CA141" i="19"/>
  <c r="CB141" i="19"/>
  <c r="CC141" i="19"/>
  <c r="CD141" i="19"/>
  <c r="CE141" i="19"/>
  <c r="CF141" i="19"/>
  <c r="CH141" i="19"/>
  <c r="CI141" i="19"/>
  <c r="CJ141" i="19"/>
  <c r="CL141" i="19"/>
  <c r="CM141" i="19"/>
  <c r="CN141" i="19"/>
  <c r="CO141" i="19"/>
  <c r="CP141" i="19"/>
  <c r="CR141" i="19"/>
  <c r="CS141" i="19"/>
  <c r="CT141" i="19"/>
  <c r="CU141" i="19"/>
  <c r="CV141" i="19"/>
  <c r="CW141" i="19"/>
  <c r="CX141" i="19"/>
  <c r="CY141" i="19"/>
  <c r="CZ141" i="19"/>
  <c r="C142" i="19"/>
  <c r="D142" i="19"/>
  <c r="I142" i="19"/>
  <c r="K142" i="19"/>
  <c r="P142" i="19"/>
  <c r="Q142" i="19"/>
  <c r="R142" i="19"/>
  <c r="S142" i="19"/>
  <c r="Y142" i="19"/>
  <c r="Z142" i="19"/>
  <c r="AA142" i="19"/>
  <c r="AB142" i="19"/>
  <c r="AD142" i="19"/>
  <c r="AE142" i="19"/>
  <c r="AI142" i="19"/>
  <c r="AK142" i="19"/>
  <c r="AL142" i="19"/>
  <c r="AM142" i="19"/>
  <c r="AN142" i="19"/>
  <c r="AQ142" i="19"/>
  <c r="AR142" i="19"/>
  <c r="AS142" i="19"/>
  <c r="AU142" i="19"/>
  <c r="AV142" i="19"/>
  <c r="AW142" i="19"/>
  <c r="AX142" i="19"/>
  <c r="AY142" i="19"/>
  <c r="AZ142" i="19"/>
  <c r="BB142" i="19"/>
  <c r="BC142" i="19"/>
  <c r="BD142" i="19"/>
  <c r="BF142" i="19"/>
  <c r="BG142" i="19"/>
  <c r="BH142" i="19"/>
  <c r="BI142" i="19"/>
  <c r="BJ142" i="19"/>
  <c r="BL142" i="19"/>
  <c r="BM142" i="19"/>
  <c r="BO142" i="19"/>
  <c r="BP142" i="19"/>
  <c r="BR142" i="19"/>
  <c r="BS142" i="19"/>
  <c r="BT142" i="19"/>
  <c r="BU142" i="19"/>
  <c r="BW142" i="19"/>
  <c r="BX142" i="19"/>
  <c r="BY142" i="19"/>
  <c r="CA142" i="19"/>
  <c r="CB142" i="19"/>
  <c r="CC142" i="19"/>
  <c r="CD142" i="19"/>
  <c r="CE142" i="19"/>
  <c r="CF142" i="19"/>
  <c r="CH142" i="19"/>
  <c r="CI142" i="19"/>
  <c r="CJ142" i="19"/>
  <c r="CL142" i="19"/>
  <c r="CM142" i="19"/>
  <c r="CN142" i="19"/>
  <c r="CO142" i="19"/>
  <c r="CP142" i="19"/>
  <c r="CR142" i="19"/>
  <c r="CS142" i="19"/>
  <c r="CT142" i="19"/>
  <c r="CU142" i="19"/>
  <c r="CV142" i="19"/>
  <c r="CW142" i="19"/>
  <c r="CX142" i="19"/>
  <c r="CY142" i="19"/>
  <c r="CZ142" i="19"/>
  <c r="C143" i="19"/>
  <c r="D143" i="19"/>
  <c r="I143" i="19"/>
  <c r="K143" i="19"/>
  <c r="P143" i="19"/>
  <c r="Q143" i="19"/>
  <c r="R143" i="19"/>
  <c r="S143" i="19"/>
  <c r="Y143" i="19"/>
  <c r="Z143" i="19"/>
  <c r="AA143" i="19"/>
  <c r="AB143" i="19"/>
  <c r="AD143" i="19"/>
  <c r="AE143" i="19"/>
  <c r="AI143" i="19"/>
  <c r="AK143" i="19"/>
  <c r="AL143" i="19"/>
  <c r="AM143" i="19"/>
  <c r="AN143" i="19"/>
  <c r="AQ143" i="19"/>
  <c r="AR143" i="19"/>
  <c r="AS143" i="19"/>
  <c r="AU143" i="19"/>
  <c r="AV143" i="19"/>
  <c r="AW143" i="19"/>
  <c r="AX143" i="19"/>
  <c r="AY143" i="19"/>
  <c r="AZ143" i="19"/>
  <c r="BB143" i="19"/>
  <c r="BC143" i="19"/>
  <c r="BD143" i="19"/>
  <c r="BF143" i="19"/>
  <c r="BG143" i="19"/>
  <c r="BH143" i="19"/>
  <c r="BI143" i="19"/>
  <c r="BJ143" i="19"/>
  <c r="BL143" i="19"/>
  <c r="BM143" i="19"/>
  <c r="BO143" i="19"/>
  <c r="BP143" i="19"/>
  <c r="BR143" i="19"/>
  <c r="BS143" i="19"/>
  <c r="BT143" i="19"/>
  <c r="BU143" i="19"/>
  <c r="BW143" i="19"/>
  <c r="BX143" i="19"/>
  <c r="BY143" i="19"/>
  <c r="CA143" i="19"/>
  <c r="CB143" i="19"/>
  <c r="CC143" i="19"/>
  <c r="CD143" i="19"/>
  <c r="CE143" i="19"/>
  <c r="CF143" i="19"/>
  <c r="CH143" i="19"/>
  <c r="CI143" i="19"/>
  <c r="CJ143" i="19"/>
  <c r="CL143" i="19"/>
  <c r="CM143" i="19"/>
  <c r="CN143" i="19"/>
  <c r="CO143" i="19"/>
  <c r="CP143" i="19"/>
  <c r="CR143" i="19"/>
  <c r="CS143" i="19"/>
  <c r="CT143" i="19"/>
  <c r="CU143" i="19"/>
  <c r="CV143" i="19"/>
  <c r="CW143" i="19"/>
  <c r="CX143" i="19"/>
  <c r="CY143" i="19"/>
  <c r="CZ143" i="19"/>
  <c r="C144" i="19"/>
  <c r="D144" i="19"/>
  <c r="I144" i="19"/>
  <c r="K144" i="19"/>
  <c r="P144" i="19"/>
  <c r="Q144" i="19"/>
  <c r="R144" i="19"/>
  <c r="S144" i="19"/>
  <c r="Y144" i="19"/>
  <c r="Z144" i="19"/>
  <c r="AA144" i="19"/>
  <c r="AB144" i="19"/>
  <c r="AD144" i="19"/>
  <c r="AE144" i="19"/>
  <c r="AI144" i="19"/>
  <c r="AK144" i="19"/>
  <c r="AL144" i="19"/>
  <c r="AM144" i="19"/>
  <c r="AN144" i="19"/>
  <c r="AQ144" i="19"/>
  <c r="AR144" i="19"/>
  <c r="AS144" i="19"/>
  <c r="AU144" i="19"/>
  <c r="AV144" i="19"/>
  <c r="AW144" i="19"/>
  <c r="AX144" i="19"/>
  <c r="AY144" i="19"/>
  <c r="AZ144" i="19"/>
  <c r="BB144" i="19"/>
  <c r="BC144" i="19"/>
  <c r="BD144" i="19"/>
  <c r="BF144" i="19"/>
  <c r="BG144" i="19"/>
  <c r="BH144" i="19"/>
  <c r="BI144" i="19"/>
  <c r="BJ144" i="19"/>
  <c r="BL144" i="19"/>
  <c r="BM144" i="19"/>
  <c r="BO144" i="19"/>
  <c r="BP144" i="19"/>
  <c r="BR144" i="19"/>
  <c r="BS144" i="19"/>
  <c r="BT144" i="19"/>
  <c r="BU144" i="19"/>
  <c r="BW144" i="19"/>
  <c r="BX144" i="19"/>
  <c r="BY144" i="19"/>
  <c r="CA144" i="19"/>
  <c r="CB144" i="19"/>
  <c r="CC144" i="19"/>
  <c r="CD144" i="19"/>
  <c r="CE144" i="19"/>
  <c r="CF144" i="19"/>
  <c r="CH144" i="19"/>
  <c r="CI144" i="19"/>
  <c r="CJ144" i="19"/>
  <c r="CL144" i="19"/>
  <c r="CM144" i="19"/>
  <c r="CN144" i="19"/>
  <c r="CO144" i="19"/>
  <c r="CP144" i="19"/>
  <c r="CR144" i="19"/>
  <c r="CS144" i="19"/>
  <c r="CT144" i="19"/>
  <c r="CU144" i="19"/>
  <c r="CV144" i="19"/>
  <c r="CW144" i="19"/>
  <c r="CX144" i="19"/>
  <c r="CY144" i="19"/>
  <c r="CZ144" i="19"/>
  <c r="C145" i="19"/>
  <c r="D145" i="19"/>
  <c r="I145" i="19"/>
  <c r="K145" i="19"/>
  <c r="P145" i="19"/>
  <c r="Q145" i="19"/>
  <c r="R145" i="19"/>
  <c r="S145" i="19"/>
  <c r="Y145" i="19"/>
  <c r="Z145" i="19"/>
  <c r="AA145" i="19"/>
  <c r="AB145" i="19"/>
  <c r="AD145" i="19"/>
  <c r="AE145" i="19"/>
  <c r="AI145" i="19"/>
  <c r="AK145" i="19"/>
  <c r="AL145" i="19"/>
  <c r="AM145" i="19"/>
  <c r="AN145" i="19"/>
  <c r="AQ145" i="19"/>
  <c r="AR145" i="19"/>
  <c r="AS145" i="19"/>
  <c r="AU145" i="19"/>
  <c r="AV145" i="19"/>
  <c r="AW145" i="19"/>
  <c r="AX145" i="19"/>
  <c r="AY145" i="19"/>
  <c r="AZ145" i="19"/>
  <c r="BB145" i="19"/>
  <c r="BC145" i="19"/>
  <c r="BD145" i="19"/>
  <c r="BF145" i="19"/>
  <c r="BG145" i="19"/>
  <c r="BH145" i="19"/>
  <c r="BI145" i="19"/>
  <c r="BJ145" i="19"/>
  <c r="BL145" i="19"/>
  <c r="BM145" i="19"/>
  <c r="BO145" i="19"/>
  <c r="BP145" i="19"/>
  <c r="BR145" i="19"/>
  <c r="BS145" i="19"/>
  <c r="BT145" i="19"/>
  <c r="BU145" i="19"/>
  <c r="BW145" i="19"/>
  <c r="BX145" i="19"/>
  <c r="BY145" i="19"/>
  <c r="CA145" i="19"/>
  <c r="CB145" i="19"/>
  <c r="CC145" i="19"/>
  <c r="CD145" i="19"/>
  <c r="CE145" i="19"/>
  <c r="CF145" i="19"/>
  <c r="CH145" i="19"/>
  <c r="CI145" i="19"/>
  <c r="CJ145" i="19"/>
  <c r="CL145" i="19"/>
  <c r="CM145" i="19"/>
  <c r="CN145" i="19"/>
  <c r="CO145" i="19"/>
  <c r="CP145" i="19"/>
  <c r="CR145" i="19"/>
  <c r="CS145" i="19"/>
  <c r="CT145" i="19"/>
  <c r="CU145" i="19"/>
  <c r="CV145" i="19"/>
  <c r="CW145" i="19"/>
  <c r="CX145" i="19"/>
  <c r="CY145" i="19"/>
  <c r="CZ145" i="19"/>
  <c r="C146" i="19"/>
  <c r="D146" i="19"/>
  <c r="I146" i="19"/>
  <c r="K146" i="19"/>
  <c r="P146" i="19"/>
  <c r="Q146" i="19"/>
  <c r="R146" i="19"/>
  <c r="S146" i="19"/>
  <c r="Y146" i="19"/>
  <c r="Z146" i="19"/>
  <c r="AA146" i="19"/>
  <c r="AB146" i="19"/>
  <c r="AD146" i="19"/>
  <c r="AE146" i="19"/>
  <c r="AI146" i="19"/>
  <c r="AK146" i="19"/>
  <c r="AL146" i="19"/>
  <c r="AM146" i="19"/>
  <c r="AN146" i="19"/>
  <c r="AQ146" i="19"/>
  <c r="AR146" i="19"/>
  <c r="AS146" i="19"/>
  <c r="AU146" i="19"/>
  <c r="AV146" i="19"/>
  <c r="AW146" i="19"/>
  <c r="AX146" i="19"/>
  <c r="AY146" i="19"/>
  <c r="AZ146" i="19"/>
  <c r="BB146" i="19"/>
  <c r="BC146" i="19"/>
  <c r="BD146" i="19"/>
  <c r="BF146" i="19"/>
  <c r="BG146" i="19"/>
  <c r="BH146" i="19"/>
  <c r="BI146" i="19"/>
  <c r="BJ146" i="19"/>
  <c r="BL146" i="19"/>
  <c r="BM146" i="19"/>
  <c r="BO146" i="19"/>
  <c r="BP146" i="19"/>
  <c r="BR146" i="19"/>
  <c r="BS146" i="19"/>
  <c r="BT146" i="19"/>
  <c r="BU146" i="19"/>
  <c r="BW146" i="19"/>
  <c r="BX146" i="19"/>
  <c r="BY146" i="19"/>
  <c r="CA146" i="19"/>
  <c r="CB146" i="19"/>
  <c r="CC146" i="19"/>
  <c r="CD146" i="19"/>
  <c r="CE146" i="19"/>
  <c r="CF146" i="19"/>
  <c r="CH146" i="19"/>
  <c r="CI146" i="19"/>
  <c r="CJ146" i="19"/>
  <c r="CL146" i="19"/>
  <c r="CM146" i="19"/>
  <c r="CN146" i="19"/>
  <c r="CO146" i="19"/>
  <c r="CP146" i="19"/>
  <c r="CR146" i="19"/>
  <c r="CS146" i="19"/>
  <c r="CT146" i="19"/>
  <c r="CU146" i="19"/>
  <c r="CV146" i="19"/>
  <c r="CW146" i="19"/>
  <c r="CX146" i="19"/>
  <c r="CY146" i="19"/>
  <c r="CZ146" i="19"/>
  <c r="C147" i="19"/>
  <c r="D147" i="19"/>
  <c r="I147" i="19"/>
  <c r="K147" i="19"/>
  <c r="P147" i="19"/>
  <c r="Q147" i="19"/>
  <c r="R147" i="19"/>
  <c r="S147" i="19"/>
  <c r="Y147" i="19"/>
  <c r="Z147" i="19"/>
  <c r="AA147" i="19"/>
  <c r="AB147" i="19"/>
  <c r="AD147" i="19"/>
  <c r="AE147" i="19"/>
  <c r="AI147" i="19"/>
  <c r="AK147" i="19"/>
  <c r="AL147" i="19"/>
  <c r="AM147" i="19"/>
  <c r="AN147" i="19"/>
  <c r="AQ147" i="19"/>
  <c r="AR147" i="19"/>
  <c r="AS147" i="19"/>
  <c r="AU147" i="19"/>
  <c r="AV147" i="19"/>
  <c r="AW147" i="19"/>
  <c r="AX147" i="19"/>
  <c r="AY147" i="19"/>
  <c r="AZ147" i="19"/>
  <c r="BB147" i="19"/>
  <c r="BC147" i="19"/>
  <c r="BD147" i="19"/>
  <c r="BF147" i="19"/>
  <c r="BG147" i="19"/>
  <c r="BH147" i="19"/>
  <c r="BI147" i="19"/>
  <c r="BJ147" i="19"/>
  <c r="BL147" i="19"/>
  <c r="BM147" i="19"/>
  <c r="BO147" i="19"/>
  <c r="BP147" i="19"/>
  <c r="BR147" i="19"/>
  <c r="BS147" i="19"/>
  <c r="BT147" i="19"/>
  <c r="BU147" i="19"/>
  <c r="BW147" i="19"/>
  <c r="BX147" i="19"/>
  <c r="BY147" i="19"/>
  <c r="CA147" i="19"/>
  <c r="CB147" i="19"/>
  <c r="CC147" i="19"/>
  <c r="CD147" i="19"/>
  <c r="CE147" i="19"/>
  <c r="CF147" i="19"/>
  <c r="CH147" i="19"/>
  <c r="CI147" i="19"/>
  <c r="CJ147" i="19"/>
  <c r="CL147" i="19"/>
  <c r="CM147" i="19"/>
  <c r="CN147" i="19"/>
  <c r="CO147" i="19"/>
  <c r="CP147" i="19"/>
  <c r="CR147" i="19"/>
  <c r="CS147" i="19"/>
  <c r="CT147" i="19"/>
  <c r="CU147" i="19"/>
  <c r="CV147" i="19"/>
  <c r="CW147" i="19"/>
  <c r="CX147" i="19"/>
  <c r="CY147" i="19"/>
  <c r="CZ147" i="19"/>
  <c r="C148" i="19"/>
  <c r="D148" i="19"/>
  <c r="I148" i="19"/>
  <c r="K148" i="19"/>
  <c r="P148" i="19"/>
  <c r="Q148" i="19"/>
  <c r="R148" i="19"/>
  <c r="S148" i="19"/>
  <c r="Y148" i="19"/>
  <c r="Z148" i="19"/>
  <c r="AA148" i="19"/>
  <c r="AB148" i="19"/>
  <c r="AD148" i="19"/>
  <c r="AE148" i="19"/>
  <c r="AI148" i="19"/>
  <c r="AK148" i="19"/>
  <c r="AL148" i="19"/>
  <c r="AM148" i="19"/>
  <c r="AN148" i="19"/>
  <c r="AQ148" i="19"/>
  <c r="AR148" i="19"/>
  <c r="AS148" i="19"/>
  <c r="AU148" i="19"/>
  <c r="AV148" i="19"/>
  <c r="AW148" i="19"/>
  <c r="AX148" i="19"/>
  <c r="AY148" i="19"/>
  <c r="AZ148" i="19"/>
  <c r="BB148" i="19"/>
  <c r="BC148" i="19"/>
  <c r="BD148" i="19"/>
  <c r="BF148" i="19"/>
  <c r="BG148" i="19"/>
  <c r="BH148" i="19"/>
  <c r="BI148" i="19"/>
  <c r="BJ148" i="19"/>
  <c r="BL148" i="19"/>
  <c r="BM148" i="19"/>
  <c r="BO148" i="19"/>
  <c r="BP148" i="19"/>
  <c r="BR148" i="19"/>
  <c r="BS148" i="19"/>
  <c r="BT148" i="19"/>
  <c r="BU148" i="19"/>
  <c r="BW148" i="19"/>
  <c r="BX148" i="19"/>
  <c r="BY148" i="19"/>
  <c r="CA148" i="19"/>
  <c r="CB148" i="19"/>
  <c r="CC148" i="19"/>
  <c r="CD148" i="19"/>
  <c r="CE148" i="19"/>
  <c r="CF148" i="19"/>
  <c r="CH148" i="19"/>
  <c r="CI148" i="19"/>
  <c r="CJ148" i="19"/>
  <c r="CL148" i="19"/>
  <c r="CM148" i="19"/>
  <c r="CN148" i="19"/>
  <c r="CO148" i="19"/>
  <c r="CP148" i="19"/>
  <c r="CR148" i="19"/>
  <c r="CS148" i="19"/>
  <c r="CT148" i="19"/>
  <c r="CU148" i="19"/>
  <c r="CV148" i="19"/>
  <c r="CW148" i="19"/>
  <c r="CX148" i="19"/>
  <c r="CY148" i="19"/>
  <c r="CZ148" i="19"/>
  <c r="C149" i="19"/>
  <c r="D149" i="19"/>
  <c r="I149" i="19"/>
  <c r="K149" i="19"/>
  <c r="P149" i="19"/>
  <c r="Q149" i="19"/>
  <c r="R149" i="19"/>
  <c r="S149" i="19"/>
  <c r="Y149" i="19"/>
  <c r="Z149" i="19"/>
  <c r="AA149" i="19"/>
  <c r="AB149" i="19"/>
  <c r="AD149" i="19"/>
  <c r="AE149" i="19"/>
  <c r="AI149" i="19"/>
  <c r="AK149" i="19"/>
  <c r="AL149" i="19"/>
  <c r="AM149" i="19"/>
  <c r="AN149" i="19"/>
  <c r="AQ149" i="19"/>
  <c r="AR149" i="19"/>
  <c r="AS149" i="19"/>
  <c r="AU149" i="19"/>
  <c r="AV149" i="19"/>
  <c r="AW149" i="19"/>
  <c r="AX149" i="19"/>
  <c r="AY149" i="19"/>
  <c r="AZ149" i="19"/>
  <c r="BB149" i="19"/>
  <c r="BC149" i="19"/>
  <c r="BD149" i="19"/>
  <c r="BF149" i="19"/>
  <c r="BG149" i="19"/>
  <c r="BH149" i="19"/>
  <c r="BI149" i="19"/>
  <c r="BJ149" i="19"/>
  <c r="BL149" i="19"/>
  <c r="BM149" i="19"/>
  <c r="BO149" i="19"/>
  <c r="BP149" i="19"/>
  <c r="BR149" i="19"/>
  <c r="BS149" i="19"/>
  <c r="BT149" i="19"/>
  <c r="BU149" i="19"/>
  <c r="BW149" i="19"/>
  <c r="BX149" i="19"/>
  <c r="BY149" i="19"/>
  <c r="CA149" i="19"/>
  <c r="CB149" i="19"/>
  <c r="CC149" i="19"/>
  <c r="CD149" i="19"/>
  <c r="CE149" i="19"/>
  <c r="CF149" i="19"/>
  <c r="CH149" i="19"/>
  <c r="CI149" i="19"/>
  <c r="CJ149" i="19"/>
  <c r="CL149" i="19"/>
  <c r="CM149" i="19"/>
  <c r="CN149" i="19"/>
  <c r="CO149" i="19"/>
  <c r="CP149" i="19"/>
  <c r="CR149" i="19"/>
  <c r="CS149" i="19"/>
  <c r="CT149" i="19"/>
  <c r="CU149" i="19"/>
  <c r="CV149" i="19"/>
  <c r="CW149" i="19"/>
  <c r="CX149" i="19"/>
  <c r="CY149" i="19"/>
  <c r="CZ149" i="19"/>
  <c r="C150" i="19"/>
  <c r="D150" i="19"/>
  <c r="I150" i="19"/>
  <c r="K150" i="19"/>
  <c r="P150" i="19"/>
  <c r="Q150" i="19"/>
  <c r="R150" i="19"/>
  <c r="S150" i="19"/>
  <c r="Y150" i="19"/>
  <c r="Z150" i="19"/>
  <c r="AA150" i="19"/>
  <c r="AB150" i="19"/>
  <c r="AD150" i="19"/>
  <c r="AE150" i="19"/>
  <c r="AI150" i="19"/>
  <c r="AK150" i="19"/>
  <c r="AL150" i="19"/>
  <c r="AM150" i="19"/>
  <c r="AN150" i="19"/>
  <c r="AQ150" i="19"/>
  <c r="AR150" i="19"/>
  <c r="AS150" i="19"/>
  <c r="AU150" i="19"/>
  <c r="AV150" i="19"/>
  <c r="AW150" i="19"/>
  <c r="AX150" i="19"/>
  <c r="AY150" i="19"/>
  <c r="AZ150" i="19"/>
  <c r="BB150" i="19"/>
  <c r="BC150" i="19"/>
  <c r="BD150" i="19"/>
  <c r="BF150" i="19"/>
  <c r="BG150" i="19"/>
  <c r="BH150" i="19"/>
  <c r="BI150" i="19"/>
  <c r="BJ150" i="19"/>
  <c r="BL150" i="19"/>
  <c r="BM150" i="19"/>
  <c r="BO150" i="19"/>
  <c r="BP150" i="19"/>
  <c r="BR150" i="19"/>
  <c r="BS150" i="19"/>
  <c r="BT150" i="19"/>
  <c r="BU150" i="19"/>
  <c r="BW150" i="19"/>
  <c r="BX150" i="19"/>
  <c r="BY150" i="19"/>
  <c r="CA150" i="19"/>
  <c r="CB150" i="19"/>
  <c r="CC150" i="19"/>
  <c r="CD150" i="19"/>
  <c r="CE150" i="19"/>
  <c r="CF150" i="19"/>
  <c r="CH150" i="19"/>
  <c r="CI150" i="19"/>
  <c r="CJ150" i="19"/>
  <c r="CL150" i="19"/>
  <c r="CM150" i="19"/>
  <c r="CN150" i="19"/>
  <c r="CO150" i="19"/>
  <c r="CP150" i="19"/>
  <c r="CR150" i="19"/>
  <c r="CS150" i="19"/>
  <c r="CT150" i="19"/>
  <c r="CU150" i="19"/>
  <c r="CV150" i="19"/>
  <c r="CW150" i="19"/>
  <c r="CX150" i="19"/>
  <c r="CY150" i="19"/>
  <c r="CZ150" i="19"/>
  <c r="C151" i="19"/>
  <c r="D151" i="19"/>
  <c r="I151" i="19"/>
  <c r="K151" i="19"/>
  <c r="P151" i="19"/>
  <c r="Q151" i="19"/>
  <c r="R151" i="19"/>
  <c r="S151" i="19"/>
  <c r="Y151" i="19"/>
  <c r="Z151" i="19"/>
  <c r="AA151" i="19"/>
  <c r="AB151" i="19"/>
  <c r="AD151" i="19"/>
  <c r="AE151" i="19"/>
  <c r="AI151" i="19"/>
  <c r="AK151" i="19"/>
  <c r="AL151" i="19"/>
  <c r="AM151" i="19"/>
  <c r="AN151" i="19"/>
  <c r="AQ151" i="19"/>
  <c r="AR151" i="19"/>
  <c r="AS151" i="19"/>
  <c r="AU151" i="19"/>
  <c r="AV151" i="19"/>
  <c r="AW151" i="19"/>
  <c r="AX151" i="19"/>
  <c r="AY151" i="19"/>
  <c r="AZ151" i="19"/>
  <c r="BB151" i="19"/>
  <c r="BC151" i="19"/>
  <c r="BD151" i="19"/>
  <c r="BF151" i="19"/>
  <c r="BG151" i="19"/>
  <c r="BH151" i="19"/>
  <c r="BI151" i="19"/>
  <c r="BJ151" i="19"/>
  <c r="BL151" i="19"/>
  <c r="BM151" i="19"/>
  <c r="BO151" i="19"/>
  <c r="BP151" i="19"/>
  <c r="BR151" i="19"/>
  <c r="BS151" i="19"/>
  <c r="BT151" i="19"/>
  <c r="BU151" i="19"/>
  <c r="BW151" i="19"/>
  <c r="BX151" i="19"/>
  <c r="BY151" i="19"/>
  <c r="CA151" i="19"/>
  <c r="CB151" i="19"/>
  <c r="CC151" i="19"/>
  <c r="CD151" i="19"/>
  <c r="CE151" i="19"/>
  <c r="CF151" i="19"/>
  <c r="CH151" i="19"/>
  <c r="CI151" i="19"/>
  <c r="CJ151" i="19"/>
  <c r="CL151" i="19"/>
  <c r="CM151" i="19"/>
  <c r="CN151" i="19"/>
  <c r="CO151" i="19"/>
  <c r="CP151" i="19"/>
  <c r="CR151" i="19"/>
  <c r="CS151" i="19"/>
  <c r="CT151" i="19"/>
  <c r="CU151" i="19"/>
  <c r="CV151" i="19"/>
  <c r="CW151" i="19"/>
  <c r="CX151" i="19"/>
  <c r="CY151" i="19"/>
  <c r="CZ151" i="19"/>
  <c r="C152" i="19"/>
  <c r="D152" i="19"/>
  <c r="I152" i="19"/>
  <c r="K152" i="19"/>
  <c r="P152" i="19"/>
  <c r="Q152" i="19"/>
  <c r="R152" i="19"/>
  <c r="S152" i="19"/>
  <c r="Y152" i="19"/>
  <c r="Z152" i="19"/>
  <c r="AA152" i="19"/>
  <c r="AB152" i="19"/>
  <c r="AD152" i="19"/>
  <c r="AE152" i="19"/>
  <c r="AI152" i="19"/>
  <c r="AK152" i="19"/>
  <c r="AL152" i="19"/>
  <c r="AM152" i="19"/>
  <c r="AN152" i="19"/>
  <c r="AQ152" i="19"/>
  <c r="AR152" i="19"/>
  <c r="AS152" i="19"/>
  <c r="AU152" i="19"/>
  <c r="AV152" i="19"/>
  <c r="AW152" i="19"/>
  <c r="AX152" i="19"/>
  <c r="AY152" i="19"/>
  <c r="AZ152" i="19"/>
  <c r="BB152" i="19"/>
  <c r="BC152" i="19"/>
  <c r="BD152" i="19"/>
  <c r="BF152" i="19"/>
  <c r="BG152" i="19"/>
  <c r="BH152" i="19"/>
  <c r="BI152" i="19"/>
  <c r="BJ152" i="19"/>
  <c r="BL152" i="19"/>
  <c r="BM152" i="19"/>
  <c r="BO152" i="19"/>
  <c r="BP152" i="19"/>
  <c r="BR152" i="19"/>
  <c r="BS152" i="19"/>
  <c r="BT152" i="19"/>
  <c r="BU152" i="19"/>
  <c r="BW152" i="19"/>
  <c r="BX152" i="19"/>
  <c r="BY152" i="19"/>
  <c r="CA152" i="19"/>
  <c r="CB152" i="19"/>
  <c r="CC152" i="19"/>
  <c r="CD152" i="19"/>
  <c r="CE152" i="19"/>
  <c r="CF152" i="19"/>
  <c r="CH152" i="19"/>
  <c r="CI152" i="19"/>
  <c r="CJ152" i="19"/>
  <c r="CL152" i="19"/>
  <c r="CM152" i="19"/>
  <c r="CN152" i="19"/>
  <c r="CO152" i="19"/>
  <c r="CP152" i="19"/>
  <c r="CR152" i="19"/>
  <c r="CS152" i="19"/>
  <c r="CT152" i="19"/>
  <c r="CU152" i="19"/>
  <c r="CV152" i="19"/>
  <c r="CW152" i="19"/>
  <c r="CX152" i="19"/>
  <c r="CY152" i="19"/>
  <c r="CZ152" i="19"/>
  <c r="C153" i="19"/>
  <c r="D153" i="19"/>
  <c r="I153" i="19"/>
  <c r="K153" i="19"/>
  <c r="P153" i="19"/>
  <c r="Q153" i="19"/>
  <c r="R153" i="19"/>
  <c r="S153" i="19"/>
  <c r="Y153" i="19"/>
  <c r="Z153" i="19"/>
  <c r="AA153" i="19"/>
  <c r="AB153" i="19"/>
  <c r="AD153" i="19"/>
  <c r="AE153" i="19"/>
  <c r="AI153" i="19"/>
  <c r="AK153" i="19"/>
  <c r="AL153" i="19"/>
  <c r="AM153" i="19"/>
  <c r="AN153" i="19"/>
  <c r="AQ153" i="19"/>
  <c r="AR153" i="19"/>
  <c r="AS153" i="19"/>
  <c r="AU153" i="19"/>
  <c r="AV153" i="19"/>
  <c r="AW153" i="19"/>
  <c r="AX153" i="19"/>
  <c r="AY153" i="19"/>
  <c r="AZ153" i="19"/>
  <c r="BB153" i="19"/>
  <c r="BC153" i="19"/>
  <c r="BD153" i="19"/>
  <c r="BF153" i="19"/>
  <c r="BG153" i="19"/>
  <c r="BH153" i="19"/>
  <c r="BI153" i="19"/>
  <c r="BJ153" i="19"/>
  <c r="BL153" i="19"/>
  <c r="BM153" i="19"/>
  <c r="BO153" i="19"/>
  <c r="BP153" i="19"/>
  <c r="BR153" i="19"/>
  <c r="BS153" i="19"/>
  <c r="BT153" i="19"/>
  <c r="BU153" i="19"/>
  <c r="BW153" i="19"/>
  <c r="BX153" i="19"/>
  <c r="BY153" i="19"/>
  <c r="CA153" i="19"/>
  <c r="CB153" i="19"/>
  <c r="CC153" i="19"/>
  <c r="CD153" i="19"/>
  <c r="CE153" i="19"/>
  <c r="CF153" i="19"/>
  <c r="CH153" i="19"/>
  <c r="CI153" i="19"/>
  <c r="CJ153" i="19"/>
  <c r="CL153" i="19"/>
  <c r="CM153" i="19"/>
  <c r="CN153" i="19"/>
  <c r="CO153" i="19"/>
  <c r="CP153" i="19"/>
  <c r="CR153" i="19"/>
  <c r="CS153" i="19"/>
  <c r="CT153" i="19"/>
  <c r="CU153" i="19"/>
  <c r="CV153" i="19"/>
  <c r="CW153" i="19"/>
  <c r="CX153" i="19"/>
  <c r="CY153" i="19"/>
  <c r="CZ153" i="19"/>
  <c r="C154" i="19"/>
  <c r="D154" i="19"/>
  <c r="I154" i="19"/>
  <c r="K154" i="19"/>
  <c r="P154" i="19"/>
  <c r="Q154" i="19"/>
  <c r="R154" i="19"/>
  <c r="S154" i="19"/>
  <c r="Y154" i="19"/>
  <c r="Z154" i="19"/>
  <c r="AA154" i="19"/>
  <c r="AB154" i="19"/>
  <c r="AD154" i="19"/>
  <c r="AE154" i="19"/>
  <c r="AI154" i="19"/>
  <c r="AK154" i="19"/>
  <c r="AL154" i="19"/>
  <c r="AM154" i="19"/>
  <c r="AN154" i="19"/>
  <c r="AQ154" i="19"/>
  <c r="AR154" i="19"/>
  <c r="AS154" i="19"/>
  <c r="AU154" i="19"/>
  <c r="AV154" i="19"/>
  <c r="AW154" i="19"/>
  <c r="AX154" i="19"/>
  <c r="AY154" i="19"/>
  <c r="AZ154" i="19"/>
  <c r="BB154" i="19"/>
  <c r="BC154" i="19"/>
  <c r="BD154" i="19"/>
  <c r="BF154" i="19"/>
  <c r="BG154" i="19"/>
  <c r="BH154" i="19"/>
  <c r="BI154" i="19"/>
  <c r="BJ154" i="19"/>
  <c r="BL154" i="19"/>
  <c r="BM154" i="19"/>
  <c r="BO154" i="19"/>
  <c r="BP154" i="19"/>
  <c r="BR154" i="19"/>
  <c r="BS154" i="19"/>
  <c r="BT154" i="19"/>
  <c r="BU154" i="19"/>
  <c r="BW154" i="19"/>
  <c r="BX154" i="19"/>
  <c r="BY154" i="19"/>
  <c r="CA154" i="19"/>
  <c r="CB154" i="19"/>
  <c r="CC154" i="19"/>
  <c r="CD154" i="19"/>
  <c r="CE154" i="19"/>
  <c r="CF154" i="19"/>
  <c r="CH154" i="19"/>
  <c r="CI154" i="19"/>
  <c r="CJ154" i="19"/>
  <c r="CL154" i="19"/>
  <c r="CM154" i="19"/>
  <c r="CN154" i="19"/>
  <c r="CO154" i="19"/>
  <c r="CP154" i="19"/>
  <c r="CR154" i="19"/>
  <c r="CS154" i="19"/>
  <c r="CT154" i="19"/>
  <c r="CU154" i="19"/>
  <c r="CV154" i="19"/>
  <c r="CW154" i="19"/>
  <c r="CX154" i="19"/>
  <c r="CY154" i="19"/>
  <c r="CZ154" i="19"/>
  <c r="C155" i="19"/>
  <c r="D155" i="19"/>
  <c r="I155" i="19"/>
  <c r="K155" i="19"/>
  <c r="P155" i="19"/>
  <c r="Q155" i="19"/>
  <c r="R155" i="19"/>
  <c r="S155" i="19"/>
  <c r="Y155" i="19"/>
  <c r="Z155" i="19"/>
  <c r="AA155" i="19"/>
  <c r="AB155" i="19"/>
  <c r="AD155" i="19"/>
  <c r="AE155" i="19"/>
  <c r="AI155" i="19"/>
  <c r="AK155" i="19"/>
  <c r="AL155" i="19"/>
  <c r="AM155" i="19"/>
  <c r="AN155" i="19"/>
  <c r="AQ155" i="19"/>
  <c r="AR155" i="19"/>
  <c r="AS155" i="19"/>
  <c r="AU155" i="19"/>
  <c r="AV155" i="19"/>
  <c r="AW155" i="19"/>
  <c r="AX155" i="19"/>
  <c r="AY155" i="19"/>
  <c r="AZ155" i="19"/>
  <c r="BB155" i="19"/>
  <c r="BC155" i="19"/>
  <c r="BD155" i="19"/>
  <c r="BF155" i="19"/>
  <c r="BG155" i="19"/>
  <c r="BH155" i="19"/>
  <c r="BI155" i="19"/>
  <c r="BJ155" i="19"/>
  <c r="BL155" i="19"/>
  <c r="BM155" i="19"/>
  <c r="BO155" i="19"/>
  <c r="BP155" i="19"/>
  <c r="BR155" i="19"/>
  <c r="BS155" i="19"/>
  <c r="BT155" i="19"/>
  <c r="BU155" i="19"/>
  <c r="BW155" i="19"/>
  <c r="BX155" i="19"/>
  <c r="BY155" i="19"/>
  <c r="CA155" i="19"/>
  <c r="CB155" i="19"/>
  <c r="CC155" i="19"/>
  <c r="CD155" i="19"/>
  <c r="CE155" i="19"/>
  <c r="CF155" i="19"/>
  <c r="CH155" i="19"/>
  <c r="CI155" i="19"/>
  <c r="CJ155" i="19"/>
  <c r="CL155" i="19"/>
  <c r="CM155" i="19"/>
  <c r="CN155" i="19"/>
  <c r="CO155" i="19"/>
  <c r="CP155" i="19"/>
  <c r="CR155" i="19"/>
  <c r="CS155" i="19"/>
  <c r="CT155" i="19"/>
  <c r="CU155" i="19"/>
  <c r="CV155" i="19"/>
  <c r="CW155" i="19"/>
  <c r="CX155" i="19"/>
  <c r="CY155" i="19"/>
  <c r="CZ155" i="19"/>
  <c r="C156" i="19"/>
  <c r="D156" i="19"/>
  <c r="I156" i="19"/>
  <c r="K156" i="19"/>
  <c r="P156" i="19"/>
  <c r="Q156" i="19"/>
  <c r="R156" i="19"/>
  <c r="S156" i="19"/>
  <c r="Y156" i="19"/>
  <c r="Z156" i="19"/>
  <c r="AA156" i="19"/>
  <c r="AB156" i="19"/>
  <c r="AD156" i="19"/>
  <c r="AE156" i="19"/>
  <c r="AI156" i="19"/>
  <c r="AK156" i="19"/>
  <c r="AL156" i="19"/>
  <c r="AM156" i="19"/>
  <c r="AN156" i="19"/>
  <c r="AQ156" i="19"/>
  <c r="AR156" i="19"/>
  <c r="AS156" i="19"/>
  <c r="AU156" i="19"/>
  <c r="AV156" i="19"/>
  <c r="AW156" i="19"/>
  <c r="AX156" i="19"/>
  <c r="AY156" i="19"/>
  <c r="AZ156" i="19"/>
  <c r="BB156" i="19"/>
  <c r="BC156" i="19"/>
  <c r="BD156" i="19"/>
  <c r="BF156" i="19"/>
  <c r="BG156" i="19"/>
  <c r="BH156" i="19"/>
  <c r="BI156" i="19"/>
  <c r="BJ156" i="19"/>
  <c r="BL156" i="19"/>
  <c r="BM156" i="19"/>
  <c r="BO156" i="19"/>
  <c r="BP156" i="19"/>
  <c r="BR156" i="19"/>
  <c r="BS156" i="19"/>
  <c r="BT156" i="19"/>
  <c r="BU156" i="19"/>
  <c r="BW156" i="19"/>
  <c r="BX156" i="19"/>
  <c r="BY156" i="19"/>
  <c r="CA156" i="19"/>
  <c r="CB156" i="19"/>
  <c r="CC156" i="19"/>
  <c r="CD156" i="19"/>
  <c r="CE156" i="19"/>
  <c r="CF156" i="19"/>
  <c r="CH156" i="19"/>
  <c r="CI156" i="19"/>
  <c r="CJ156" i="19"/>
  <c r="CL156" i="19"/>
  <c r="CM156" i="19"/>
  <c r="CN156" i="19"/>
  <c r="CO156" i="19"/>
  <c r="CP156" i="19"/>
  <c r="CR156" i="19"/>
  <c r="CS156" i="19"/>
  <c r="CT156" i="19"/>
  <c r="CU156" i="19"/>
  <c r="CV156" i="19"/>
  <c r="CW156" i="19"/>
  <c r="CX156" i="19"/>
  <c r="CY156" i="19"/>
  <c r="CZ156" i="19"/>
  <c r="C157" i="19"/>
  <c r="D157" i="19"/>
  <c r="I157" i="19"/>
  <c r="K157" i="19"/>
  <c r="P157" i="19"/>
  <c r="Q157" i="19"/>
  <c r="R157" i="19"/>
  <c r="S157" i="19"/>
  <c r="Y157" i="19"/>
  <c r="Z157" i="19"/>
  <c r="AA157" i="19"/>
  <c r="AB157" i="19"/>
  <c r="AD157" i="19"/>
  <c r="AE157" i="19"/>
  <c r="AI157" i="19"/>
  <c r="AK157" i="19"/>
  <c r="AL157" i="19"/>
  <c r="AM157" i="19"/>
  <c r="AN157" i="19"/>
  <c r="AQ157" i="19"/>
  <c r="AR157" i="19"/>
  <c r="AS157" i="19"/>
  <c r="AU157" i="19"/>
  <c r="AV157" i="19"/>
  <c r="AW157" i="19"/>
  <c r="AX157" i="19"/>
  <c r="AY157" i="19"/>
  <c r="AZ157" i="19"/>
  <c r="BB157" i="19"/>
  <c r="BC157" i="19"/>
  <c r="BD157" i="19"/>
  <c r="BF157" i="19"/>
  <c r="BG157" i="19"/>
  <c r="BH157" i="19"/>
  <c r="BI157" i="19"/>
  <c r="BJ157" i="19"/>
  <c r="BL157" i="19"/>
  <c r="BM157" i="19"/>
  <c r="BO157" i="19"/>
  <c r="BP157" i="19"/>
  <c r="BR157" i="19"/>
  <c r="BS157" i="19"/>
  <c r="BT157" i="19"/>
  <c r="BU157" i="19"/>
  <c r="BW157" i="19"/>
  <c r="BX157" i="19"/>
  <c r="BY157" i="19"/>
  <c r="CA157" i="19"/>
  <c r="CB157" i="19"/>
  <c r="CC157" i="19"/>
  <c r="CD157" i="19"/>
  <c r="CE157" i="19"/>
  <c r="CF157" i="19"/>
  <c r="CH157" i="19"/>
  <c r="CI157" i="19"/>
  <c r="CJ157" i="19"/>
  <c r="CL157" i="19"/>
  <c r="CM157" i="19"/>
  <c r="CN157" i="19"/>
  <c r="CO157" i="19"/>
  <c r="CP157" i="19"/>
  <c r="CR157" i="19"/>
  <c r="CS157" i="19"/>
  <c r="CT157" i="19"/>
  <c r="CU157" i="19"/>
  <c r="CV157" i="19"/>
  <c r="CW157" i="19"/>
  <c r="CX157" i="19"/>
  <c r="CY157" i="19"/>
  <c r="CZ157" i="19"/>
  <c r="C158" i="19"/>
  <c r="D158" i="19"/>
  <c r="I158" i="19"/>
  <c r="K158" i="19"/>
  <c r="P158" i="19"/>
  <c r="Q158" i="19"/>
  <c r="R158" i="19"/>
  <c r="S158" i="19"/>
  <c r="Y158" i="19"/>
  <c r="Z158" i="19"/>
  <c r="AA158" i="19"/>
  <c r="AB158" i="19"/>
  <c r="AD158" i="19"/>
  <c r="AE158" i="19"/>
  <c r="AI158" i="19"/>
  <c r="AK158" i="19"/>
  <c r="AL158" i="19"/>
  <c r="AM158" i="19"/>
  <c r="AN158" i="19"/>
  <c r="AQ158" i="19"/>
  <c r="AR158" i="19"/>
  <c r="AS158" i="19"/>
  <c r="AU158" i="19"/>
  <c r="AV158" i="19"/>
  <c r="AW158" i="19"/>
  <c r="AX158" i="19"/>
  <c r="AY158" i="19"/>
  <c r="AZ158" i="19"/>
  <c r="BB158" i="19"/>
  <c r="BC158" i="19"/>
  <c r="BD158" i="19"/>
  <c r="BF158" i="19"/>
  <c r="BG158" i="19"/>
  <c r="BH158" i="19"/>
  <c r="BI158" i="19"/>
  <c r="BJ158" i="19"/>
  <c r="BL158" i="19"/>
  <c r="BM158" i="19"/>
  <c r="BO158" i="19"/>
  <c r="BP158" i="19"/>
  <c r="BR158" i="19"/>
  <c r="BS158" i="19"/>
  <c r="BT158" i="19"/>
  <c r="BU158" i="19"/>
  <c r="BW158" i="19"/>
  <c r="BX158" i="19"/>
  <c r="BY158" i="19"/>
  <c r="CA158" i="19"/>
  <c r="CB158" i="19"/>
  <c r="CC158" i="19"/>
  <c r="CD158" i="19"/>
  <c r="CE158" i="19"/>
  <c r="CF158" i="19"/>
  <c r="CH158" i="19"/>
  <c r="CI158" i="19"/>
  <c r="CJ158" i="19"/>
  <c r="CL158" i="19"/>
  <c r="CM158" i="19"/>
  <c r="CN158" i="19"/>
  <c r="CO158" i="19"/>
  <c r="CP158" i="19"/>
  <c r="CR158" i="19"/>
  <c r="CS158" i="19"/>
  <c r="CT158" i="19"/>
  <c r="CU158" i="19"/>
  <c r="CV158" i="19"/>
  <c r="CW158" i="19"/>
  <c r="CX158" i="19"/>
  <c r="CY158" i="19"/>
  <c r="CZ158" i="19"/>
  <c r="C159" i="19"/>
  <c r="D159" i="19"/>
  <c r="I159" i="19"/>
  <c r="K159" i="19"/>
  <c r="P159" i="19"/>
  <c r="Q159" i="19"/>
  <c r="R159" i="19"/>
  <c r="S159" i="19"/>
  <c r="Y159" i="19"/>
  <c r="Z159" i="19"/>
  <c r="AA159" i="19"/>
  <c r="AB159" i="19"/>
  <c r="AD159" i="19"/>
  <c r="AE159" i="19"/>
  <c r="AI159" i="19"/>
  <c r="AK159" i="19"/>
  <c r="AL159" i="19"/>
  <c r="AM159" i="19"/>
  <c r="AN159" i="19"/>
  <c r="AQ159" i="19"/>
  <c r="AR159" i="19"/>
  <c r="AS159" i="19"/>
  <c r="AU159" i="19"/>
  <c r="AV159" i="19"/>
  <c r="AW159" i="19"/>
  <c r="AX159" i="19"/>
  <c r="AY159" i="19"/>
  <c r="AZ159" i="19"/>
  <c r="BB159" i="19"/>
  <c r="BC159" i="19"/>
  <c r="BD159" i="19"/>
  <c r="BF159" i="19"/>
  <c r="BG159" i="19"/>
  <c r="BH159" i="19"/>
  <c r="BI159" i="19"/>
  <c r="BJ159" i="19"/>
  <c r="BL159" i="19"/>
  <c r="BM159" i="19"/>
  <c r="BO159" i="19"/>
  <c r="BP159" i="19"/>
  <c r="BR159" i="19"/>
  <c r="BS159" i="19"/>
  <c r="BT159" i="19"/>
  <c r="BU159" i="19"/>
  <c r="BW159" i="19"/>
  <c r="BX159" i="19"/>
  <c r="BY159" i="19"/>
  <c r="CA159" i="19"/>
  <c r="CB159" i="19"/>
  <c r="CC159" i="19"/>
  <c r="CD159" i="19"/>
  <c r="CE159" i="19"/>
  <c r="CF159" i="19"/>
  <c r="CH159" i="19"/>
  <c r="CI159" i="19"/>
  <c r="CJ159" i="19"/>
  <c r="CL159" i="19"/>
  <c r="CM159" i="19"/>
  <c r="CN159" i="19"/>
  <c r="CO159" i="19"/>
  <c r="CP159" i="19"/>
  <c r="CR159" i="19"/>
  <c r="CS159" i="19"/>
  <c r="CT159" i="19"/>
  <c r="CU159" i="19"/>
  <c r="CV159" i="19"/>
  <c r="CW159" i="19"/>
  <c r="CX159" i="19"/>
  <c r="CY159" i="19"/>
  <c r="CZ159" i="19"/>
  <c r="C160" i="19"/>
  <c r="D160" i="19"/>
  <c r="I160" i="19"/>
  <c r="K160" i="19"/>
  <c r="P160" i="19"/>
  <c r="Q160" i="19"/>
  <c r="R160" i="19"/>
  <c r="S160" i="19"/>
  <c r="Y160" i="19"/>
  <c r="Z160" i="19"/>
  <c r="AA160" i="19"/>
  <c r="AB160" i="19"/>
  <c r="AD160" i="19"/>
  <c r="AE160" i="19"/>
  <c r="AI160" i="19"/>
  <c r="AK160" i="19"/>
  <c r="AL160" i="19"/>
  <c r="AM160" i="19"/>
  <c r="AN160" i="19"/>
  <c r="AQ160" i="19"/>
  <c r="AR160" i="19"/>
  <c r="AS160" i="19"/>
  <c r="AU160" i="19"/>
  <c r="AV160" i="19"/>
  <c r="AW160" i="19"/>
  <c r="AX160" i="19"/>
  <c r="AY160" i="19"/>
  <c r="AZ160" i="19"/>
  <c r="BB160" i="19"/>
  <c r="BC160" i="19"/>
  <c r="BD160" i="19"/>
  <c r="BF160" i="19"/>
  <c r="BG160" i="19"/>
  <c r="BH160" i="19"/>
  <c r="BI160" i="19"/>
  <c r="BJ160" i="19"/>
  <c r="BL160" i="19"/>
  <c r="BM160" i="19"/>
  <c r="BO160" i="19"/>
  <c r="BP160" i="19"/>
  <c r="BR160" i="19"/>
  <c r="BS160" i="19"/>
  <c r="BT160" i="19"/>
  <c r="BU160" i="19"/>
  <c r="BW160" i="19"/>
  <c r="BX160" i="19"/>
  <c r="BY160" i="19"/>
  <c r="CA160" i="19"/>
  <c r="CB160" i="19"/>
  <c r="CC160" i="19"/>
  <c r="CD160" i="19"/>
  <c r="CE160" i="19"/>
  <c r="CF160" i="19"/>
  <c r="CH160" i="19"/>
  <c r="CI160" i="19"/>
  <c r="CJ160" i="19"/>
  <c r="CL160" i="19"/>
  <c r="CM160" i="19"/>
  <c r="CN160" i="19"/>
  <c r="CO160" i="19"/>
  <c r="CP160" i="19"/>
  <c r="CR160" i="19"/>
  <c r="CS160" i="19"/>
  <c r="CT160" i="19"/>
  <c r="CU160" i="19"/>
  <c r="CV160" i="19"/>
  <c r="CW160" i="19"/>
  <c r="CX160" i="19"/>
  <c r="CY160" i="19"/>
  <c r="CZ160" i="19"/>
  <c r="C161" i="19"/>
  <c r="D161" i="19"/>
  <c r="I161" i="19"/>
  <c r="K161" i="19"/>
  <c r="P161" i="19"/>
  <c r="Q161" i="19"/>
  <c r="R161" i="19"/>
  <c r="S161" i="19"/>
  <c r="Y161" i="19"/>
  <c r="Z161" i="19"/>
  <c r="AA161" i="19"/>
  <c r="AB161" i="19"/>
  <c r="AD161" i="19"/>
  <c r="AE161" i="19"/>
  <c r="AI161" i="19"/>
  <c r="AK161" i="19"/>
  <c r="AL161" i="19"/>
  <c r="AM161" i="19"/>
  <c r="AN161" i="19"/>
  <c r="AQ161" i="19"/>
  <c r="AR161" i="19"/>
  <c r="AS161" i="19"/>
  <c r="AU161" i="19"/>
  <c r="AV161" i="19"/>
  <c r="AW161" i="19"/>
  <c r="AX161" i="19"/>
  <c r="AY161" i="19"/>
  <c r="AZ161" i="19"/>
  <c r="BB161" i="19"/>
  <c r="BC161" i="19"/>
  <c r="BD161" i="19"/>
  <c r="BF161" i="19"/>
  <c r="BG161" i="19"/>
  <c r="BH161" i="19"/>
  <c r="BI161" i="19"/>
  <c r="BJ161" i="19"/>
  <c r="BL161" i="19"/>
  <c r="BM161" i="19"/>
  <c r="BO161" i="19"/>
  <c r="BP161" i="19"/>
  <c r="BR161" i="19"/>
  <c r="BS161" i="19"/>
  <c r="BT161" i="19"/>
  <c r="BU161" i="19"/>
  <c r="BW161" i="19"/>
  <c r="BX161" i="19"/>
  <c r="BY161" i="19"/>
  <c r="CA161" i="19"/>
  <c r="CB161" i="19"/>
  <c r="CC161" i="19"/>
  <c r="CD161" i="19"/>
  <c r="CE161" i="19"/>
  <c r="CF161" i="19"/>
  <c r="CH161" i="19"/>
  <c r="CI161" i="19"/>
  <c r="CJ161" i="19"/>
  <c r="CL161" i="19"/>
  <c r="CM161" i="19"/>
  <c r="CN161" i="19"/>
  <c r="CO161" i="19"/>
  <c r="CP161" i="19"/>
  <c r="CR161" i="19"/>
  <c r="CS161" i="19"/>
  <c r="CT161" i="19"/>
  <c r="CU161" i="19"/>
  <c r="CV161" i="19"/>
  <c r="CW161" i="19"/>
  <c r="CX161" i="19"/>
  <c r="CY161" i="19"/>
  <c r="CZ161" i="19"/>
  <c r="C162" i="19"/>
  <c r="D162" i="19"/>
  <c r="I162" i="19"/>
  <c r="K162" i="19"/>
  <c r="P162" i="19"/>
  <c r="Q162" i="19"/>
  <c r="R162" i="19"/>
  <c r="S162" i="19"/>
  <c r="Y162" i="19"/>
  <c r="Z162" i="19"/>
  <c r="AA162" i="19"/>
  <c r="AB162" i="19"/>
  <c r="AD162" i="19"/>
  <c r="AE162" i="19"/>
  <c r="AI162" i="19"/>
  <c r="AK162" i="19"/>
  <c r="AL162" i="19"/>
  <c r="AM162" i="19"/>
  <c r="AN162" i="19"/>
  <c r="AQ162" i="19"/>
  <c r="AR162" i="19"/>
  <c r="AS162" i="19"/>
  <c r="AU162" i="19"/>
  <c r="AV162" i="19"/>
  <c r="AW162" i="19"/>
  <c r="AX162" i="19"/>
  <c r="AY162" i="19"/>
  <c r="AZ162" i="19"/>
  <c r="BB162" i="19"/>
  <c r="BC162" i="19"/>
  <c r="BD162" i="19"/>
  <c r="BF162" i="19"/>
  <c r="BG162" i="19"/>
  <c r="BH162" i="19"/>
  <c r="BI162" i="19"/>
  <c r="BJ162" i="19"/>
  <c r="BL162" i="19"/>
  <c r="BM162" i="19"/>
  <c r="BO162" i="19"/>
  <c r="BP162" i="19"/>
  <c r="BR162" i="19"/>
  <c r="BS162" i="19"/>
  <c r="BT162" i="19"/>
  <c r="BU162" i="19"/>
  <c r="BW162" i="19"/>
  <c r="BX162" i="19"/>
  <c r="BY162" i="19"/>
  <c r="CA162" i="19"/>
  <c r="CB162" i="19"/>
  <c r="CC162" i="19"/>
  <c r="CD162" i="19"/>
  <c r="CE162" i="19"/>
  <c r="CF162" i="19"/>
  <c r="CH162" i="19"/>
  <c r="CI162" i="19"/>
  <c r="CJ162" i="19"/>
  <c r="CL162" i="19"/>
  <c r="CM162" i="19"/>
  <c r="CN162" i="19"/>
  <c r="CO162" i="19"/>
  <c r="CP162" i="19"/>
  <c r="CR162" i="19"/>
  <c r="CS162" i="19"/>
  <c r="CT162" i="19"/>
  <c r="CU162" i="19"/>
  <c r="CV162" i="19"/>
  <c r="CW162" i="19"/>
  <c r="CX162" i="19"/>
  <c r="CY162" i="19"/>
  <c r="CZ162" i="19"/>
  <c r="C163" i="19"/>
  <c r="D163" i="19"/>
  <c r="I163" i="19"/>
  <c r="K163" i="19"/>
  <c r="P163" i="19"/>
  <c r="Q163" i="19"/>
  <c r="R163" i="19"/>
  <c r="S163" i="19"/>
  <c r="Y163" i="19"/>
  <c r="Z163" i="19"/>
  <c r="AA163" i="19"/>
  <c r="AB163" i="19"/>
  <c r="AD163" i="19"/>
  <c r="AE163" i="19"/>
  <c r="AI163" i="19"/>
  <c r="AK163" i="19"/>
  <c r="AL163" i="19"/>
  <c r="AM163" i="19"/>
  <c r="AN163" i="19"/>
  <c r="AQ163" i="19"/>
  <c r="AR163" i="19"/>
  <c r="AS163" i="19"/>
  <c r="AU163" i="19"/>
  <c r="AV163" i="19"/>
  <c r="AW163" i="19"/>
  <c r="AX163" i="19"/>
  <c r="AY163" i="19"/>
  <c r="AZ163" i="19"/>
  <c r="BB163" i="19"/>
  <c r="BC163" i="19"/>
  <c r="BD163" i="19"/>
  <c r="BF163" i="19"/>
  <c r="BG163" i="19"/>
  <c r="BH163" i="19"/>
  <c r="BI163" i="19"/>
  <c r="BJ163" i="19"/>
  <c r="BL163" i="19"/>
  <c r="BM163" i="19"/>
  <c r="BO163" i="19"/>
  <c r="BP163" i="19"/>
  <c r="BR163" i="19"/>
  <c r="BS163" i="19"/>
  <c r="BT163" i="19"/>
  <c r="BU163" i="19"/>
  <c r="BW163" i="19"/>
  <c r="BX163" i="19"/>
  <c r="BY163" i="19"/>
  <c r="CA163" i="19"/>
  <c r="CB163" i="19"/>
  <c r="CC163" i="19"/>
  <c r="CD163" i="19"/>
  <c r="CE163" i="19"/>
  <c r="CF163" i="19"/>
  <c r="CH163" i="19"/>
  <c r="CI163" i="19"/>
  <c r="CJ163" i="19"/>
  <c r="CL163" i="19"/>
  <c r="CM163" i="19"/>
  <c r="CN163" i="19"/>
  <c r="CO163" i="19"/>
  <c r="CP163" i="19"/>
  <c r="CR163" i="19"/>
  <c r="CS163" i="19"/>
  <c r="CT163" i="19"/>
  <c r="CU163" i="19"/>
  <c r="CV163" i="19"/>
  <c r="CW163" i="19"/>
  <c r="CX163" i="19"/>
  <c r="CY163" i="19"/>
  <c r="CZ163" i="19"/>
  <c r="C164" i="19"/>
  <c r="D164" i="19"/>
  <c r="I164" i="19"/>
  <c r="K164" i="19"/>
  <c r="P164" i="19"/>
  <c r="Q164" i="19"/>
  <c r="R164" i="19"/>
  <c r="S164" i="19"/>
  <c r="Y164" i="19"/>
  <c r="Z164" i="19"/>
  <c r="AA164" i="19"/>
  <c r="AB164" i="19"/>
  <c r="AD164" i="19"/>
  <c r="AE164" i="19"/>
  <c r="AI164" i="19"/>
  <c r="AK164" i="19"/>
  <c r="AL164" i="19"/>
  <c r="AM164" i="19"/>
  <c r="AN164" i="19"/>
  <c r="AQ164" i="19"/>
  <c r="AR164" i="19"/>
  <c r="AS164" i="19"/>
  <c r="AU164" i="19"/>
  <c r="AV164" i="19"/>
  <c r="AW164" i="19"/>
  <c r="AX164" i="19"/>
  <c r="AY164" i="19"/>
  <c r="AZ164" i="19"/>
  <c r="BB164" i="19"/>
  <c r="BC164" i="19"/>
  <c r="BD164" i="19"/>
  <c r="BF164" i="19"/>
  <c r="BG164" i="19"/>
  <c r="BH164" i="19"/>
  <c r="BI164" i="19"/>
  <c r="BJ164" i="19"/>
  <c r="BL164" i="19"/>
  <c r="BM164" i="19"/>
  <c r="BO164" i="19"/>
  <c r="BP164" i="19"/>
  <c r="BR164" i="19"/>
  <c r="BS164" i="19"/>
  <c r="BT164" i="19"/>
  <c r="BU164" i="19"/>
  <c r="BW164" i="19"/>
  <c r="BX164" i="19"/>
  <c r="BY164" i="19"/>
  <c r="CA164" i="19"/>
  <c r="CB164" i="19"/>
  <c r="CC164" i="19"/>
  <c r="CD164" i="19"/>
  <c r="CE164" i="19"/>
  <c r="CF164" i="19"/>
  <c r="CH164" i="19"/>
  <c r="CI164" i="19"/>
  <c r="CJ164" i="19"/>
  <c r="CL164" i="19"/>
  <c r="CM164" i="19"/>
  <c r="CN164" i="19"/>
  <c r="CO164" i="19"/>
  <c r="CP164" i="19"/>
  <c r="CR164" i="19"/>
  <c r="CS164" i="19"/>
  <c r="CT164" i="19"/>
  <c r="CU164" i="19"/>
  <c r="CV164" i="19"/>
  <c r="CW164" i="19"/>
  <c r="CX164" i="19"/>
  <c r="CY164" i="19"/>
  <c r="CZ164" i="19"/>
  <c r="C165" i="19"/>
  <c r="D165" i="19"/>
  <c r="I165" i="19"/>
  <c r="K165" i="19"/>
  <c r="P165" i="19"/>
  <c r="Q165" i="19"/>
  <c r="R165" i="19"/>
  <c r="S165" i="19"/>
  <c r="Y165" i="19"/>
  <c r="Z165" i="19"/>
  <c r="AA165" i="19"/>
  <c r="AB165" i="19"/>
  <c r="AD165" i="19"/>
  <c r="AE165" i="19"/>
  <c r="AI165" i="19"/>
  <c r="AK165" i="19"/>
  <c r="AL165" i="19"/>
  <c r="AM165" i="19"/>
  <c r="AN165" i="19"/>
  <c r="AQ165" i="19"/>
  <c r="AR165" i="19"/>
  <c r="AS165" i="19"/>
  <c r="AU165" i="19"/>
  <c r="AV165" i="19"/>
  <c r="AW165" i="19"/>
  <c r="AX165" i="19"/>
  <c r="AY165" i="19"/>
  <c r="AZ165" i="19"/>
  <c r="BB165" i="19"/>
  <c r="BC165" i="19"/>
  <c r="BD165" i="19"/>
  <c r="BF165" i="19"/>
  <c r="BG165" i="19"/>
  <c r="BH165" i="19"/>
  <c r="BI165" i="19"/>
  <c r="BJ165" i="19"/>
  <c r="BL165" i="19"/>
  <c r="BM165" i="19"/>
  <c r="BO165" i="19"/>
  <c r="BP165" i="19"/>
  <c r="BR165" i="19"/>
  <c r="BS165" i="19"/>
  <c r="BT165" i="19"/>
  <c r="BU165" i="19"/>
  <c r="BW165" i="19"/>
  <c r="BX165" i="19"/>
  <c r="BY165" i="19"/>
  <c r="CA165" i="19"/>
  <c r="CB165" i="19"/>
  <c r="CC165" i="19"/>
  <c r="CD165" i="19"/>
  <c r="CE165" i="19"/>
  <c r="CF165" i="19"/>
  <c r="CH165" i="19"/>
  <c r="CI165" i="19"/>
  <c r="CJ165" i="19"/>
  <c r="CL165" i="19"/>
  <c r="CM165" i="19"/>
  <c r="CN165" i="19"/>
  <c r="CO165" i="19"/>
  <c r="CP165" i="19"/>
  <c r="CR165" i="19"/>
  <c r="CS165" i="19"/>
  <c r="CT165" i="19"/>
  <c r="CU165" i="19"/>
  <c r="CV165" i="19"/>
  <c r="CW165" i="19"/>
  <c r="CX165" i="19"/>
  <c r="CY165" i="19"/>
  <c r="CZ165" i="19"/>
  <c r="C166" i="19"/>
  <c r="D166" i="19"/>
  <c r="I166" i="19"/>
  <c r="K166" i="19"/>
  <c r="P166" i="19"/>
  <c r="Q166" i="19"/>
  <c r="R166" i="19"/>
  <c r="S166" i="19"/>
  <c r="Y166" i="19"/>
  <c r="Z166" i="19"/>
  <c r="AA166" i="19"/>
  <c r="AB166" i="19"/>
  <c r="AD166" i="19"/>
  <c r="AE166" i="19"/>
  <c r="AI166" i="19"/>
  <c r="AK166" i="19"/>
  <c r="AL166" i="19"/>
  <c r="AM166" i="19"/>
  <c r="AN166" i="19"/>
  <c r="AQ166" i="19"/>
  <c r="AR166" i="19"/>
  <c r="AS166" i="19"/>
  <c r="AU166" i="19"/>
  <c r="AV166" i="19"/>
  <c r="AW166" i="19"/>
  <c r="AX166" i="19"/>
  <c r="AY166" i="19"/>
  <c r="AZ166" i="19"/>
  <c r="BB166" i="19"/>
  <c r="BC166" i="19"/>
  <c r="BD166" i="19"/>
  <c r="BF166" i="19"/>
  <c r="BG166" i="19"/>
  <c r="BH166" i="19"/>
  <c r="BI166" i="19"/>
  <c r="BJ166" i="19"/>
  <c r="BL166" i="19"/>
  <c r="BM166" i="19"/>
  <c r="BO166" i="19"/>
  <c r="BP166" i="19"/>
  <c r="BR166" i="19"/>
  <c r="BS166" i="19"/>
  <c r="BT166" i="19"/>
  <c r="BU166" i="19"/>
  <c r="BW166" i="19"/>
  <c r="BX166" i="19"/>
  <c r="BY166" i="19"/>
  <c r="CA166" i="19"/>
  <c r="CB166" i="19"/>
  <c r="CC166" i="19"/>
  <c r="CD166" i="19"/>
  <c r="CE166" i="19"/>
  <c r="CF166" i="19"/>
  <c r="CH166" i="19"/>
  <c r="CI166" i="19"/>
  <c r="CJ166" i="19"/>
  <c r="CL166" i="19"/>
  <c r="CM166" i="19"/>
  <c r="CN166" i="19"/>
  <c r="CO166" i="19"/>
  <c r="CP166" i="19"/>
  <c r="CR166" i="19"/>
  <c r="CS166" i="19"/>
  <c r="CT166" i="19"/>
  <c r="CU166" i="19"/>
  <c r="CV166" i="19"/>
  <c r="CW166" i="19"/>
  <c r="CX166" i="19"/>
  <c r="CY166" i="19"/>
  <c r="CZ166" i="19"/>
  <c r="C167" i="19"/>
  <c r="D167" i="19"/>
  <c r="I167" i="19"/>
  <c r="K167" i="19"/>
  <c r="P167" i="19"/>
  <c r="Q167" i="19"/>
  <c r="R167" i="19"/>
  <c r="S167" i="19"/>
  <c r="Y167" i="19"/>
  <c r="Z167" i="19"/>
  <c r="AA167" i="19"/>
  <c r="AB167" i="19"/>
  <c r="AD167" i="19"/>
  <c r="AE167" i="19"/>
  <c r="AI167" i="19"/>
  <c r="AK167" i="19"/>
  <c r="AL167" i="19"/>
  <c r="AM167" i="19"/>
  <c r="AN167" i="19"/>
  <c r="AQ167" i="19"/>
  <c r="AR167" i="19"/>
  <c r="AS167" i="19"/>
  <c r="AU167" i="19"/>
  <c r="AV167" i="19"/>
  <c r="AW167" i="19"/>
  <c r="AX167" i="19"/>
  <c r="AY167" i="19"/>
  <c r="AZ167" i="19"/>
  <c r="BB167" i="19"/>
  <c r="BC167" i="19"/>
  <c r="BD167" i="19"/>
  <c r="BF167" i="19"/>
  <c r="BG167" i="19"/>
  <c r="BH167" i="19"/>
  <c r="BI167" i="19"/>
  <c r="BJ167" i="19"/>
  <c r="BL167" i="19"/>
  <c r="BM167" i="19"/>
  <c r="BO167" i="19"/>
  <c r="BP167" i="19"/>
  <c r="BR167" i="19"/>
  <c r="BS167" i="19"/>
  <c r="BT167" i="19"/>
  <c r="BU167" i="19"/>
  <c r="BW167" i="19"/>
  <c r="BX167" i="19"/>
  <c r="BY167" i="19"/>
  <c r="CA167" i="19"/>
  <c r="CB167" i="19"/>
  <c r="CC167" i="19"/>
  <c r="CD167" i="19"/>
  <c r="CE167" i="19"/>
  <c r="CF167" i="19"/>
  <c r="CH167" i="19"/>
  <c r="CI167" i="19"/>
  <c r="CJ167" i="19"/>
  <c r="CL167" i="19"/>
  <c r="CM167" i="19"/>
  <c r="CN167" i="19"/>
  <c r="CO167" i="19"/>
  <c r="CP167" i="19"/>
  <c r="CR167" i="19"/>
  <c r="CS167" i="19"/>
  <c r="CT167" i="19"/>
  <c r="CU167" i="19"/>
  <c r="CV167" i="19"/>
  <c r="CW167" i="19"/>
  <c r="CX167" i="19"/>
  <c r="CY167" i="19"/>
  <c r="CZ167" i="19"/>
  <c r="C168" i="19"/>
  <c r="D168" i="19"/>
  <c r="I168" i="19"/>
  <c r="K168" i="19"/>
  <c r="P168" i="19"/>
  <c r="Q168" i="19"/>
  <c r="R168" i="19"/>
  <c r="S168" i="19"/>
  <c r="Y168" i="19"/>
  <c r="Z168" i="19"/>
  <c r="AA168" i="19"/>
  <c r="AB168" i="19"/>
  <c r="AD168" i="19"/>
  <c r="AE168" i="19"/>
  <c r="AI168" i="19"/>
  <c r="AK168" i="19"/>
  <c r="AL168" i="19"/>
  <c r="AM168" i="19"/>
  <c r="AN168" i="19"/>
  <c r="AQ168" i="19"/>
  <c r="AR168" i="19"/>
  <c r="AS168" i="19"/>
  <c r="AU168" i="19"/>
  <c r="AV168" i="19"/>
  <c r="AW168" i="19"/>
  <c r="AX168" i="19"/>
  <c r="AY168" i="19"/>
  <c r="AZ168" i="19"/>
  <c r="BB168" i="19"/>
  <c r="BC168" i="19"/>
  <c r="BD168" i="19"/>
  <c r="BF168" i="19"/>
  <c r="BG168" i="19"/>
  <c r="BH168" i="19"/>
  <c r="BI168" i="19"/>
  <c r="BJ168" i="19"/>
  <c r="BL168" i="19"/>
  <c r="BM168" i="19"/>
  <c r="BO168" i="19"/>
  <c r="BP168" i="19"/>
  <c r="BR168" i="19"/>
  <c r="BS168" i="19"/>
  <c r="BT168" i="19"/>
  <c r="BU168" i="19"/>
  <c r="BW168" i="19"/>
  <c r="BX168" i="19"/>
  <c r="BY168" i="19"/>
  <c r="CA168" i="19"/>
  <c r="CB168" i="19"/>
  <c r="CC168" i="19"/>
  <c r="CD168" i="19"/>
  <c r="CE168" i="19"/>
  <c r="CF168" i="19"/>
  <c r="CH168" i="19"/>
  <c r="CI168" i="19"/>
  <c r="CJ168" i="19"/>
  <c r="CL168" i="19"/>
  <c r="CM168" i="19"/>
  <c r="CN168" i="19"/>
  <c r="CO168" i="19"/>
  <c r="CP168" i="19"/>
  <c r="CR168" i="19"/>
  <c r="CS168" i="19"/>
  <c r="CT168" i="19"/>
  <c r="CU168" i="19"/>
  <c r="CV168" i="19"/>
  <c r="CW168" i="19"/>
  <c r="CX168" i="19"/>
  <c r="CY168" i="19"/>
  <c r="CZ168" i="19"/>
  <c r="C169" i="19"/>
  <c r="D169" i="19"/>
  <c r="I169" i="19"/>
  <c r="K169" i="19"/>
  <c r="P169" i="19"/>
  <c r="Q169" i="19"/>
  <c r="R169" i="19"/>
  <c r="S169" i="19"/>
  <c r="Y169" i="19"/>
  <c r="Z169" i="19"/>
  <c r="AA169" i="19"/>
  <c r="AB169" i="19"/>
  <c r="AD169" i="19"/>
  <c r="AE169" i="19"/>
  <c r="AI169" i="19"/>
  <c r="AK169" i="19"/>
  <c r="AL169" i="19"/>
  <c r="AM169" i="19"/>
  <c r="AN169" i="19"/>
  <c r="AQ169" i="19"/>
  <c r="AR169" i="19"/>
  <c r="AS169" i="19"/>
  <c r="AU169" i="19"/>
  <c r="AV169" i="19"/>
  <c r="AW169" i="19"/>
  <c r="AX169" i="19"/>
  <c r="AY169" i="19"/>
  <c r="AZ169" i="19"/>
  <c r="BB169" i="19"/>
  <c r="BC169" i="19"/>
  <c r="BD169" i="19"/>
  <c r="BF169" i="19"/>
  <c r="BG169" i="19"/>
  <c r="BH169" i="19"/>
  <c r="BI169" i="19"/>
  <c r="BJ169" i="19"/>
  <c r="BL169" i="19"/>
  <c r="BM169" i="19"/>
  <c r="BO169" i="19"/>
  <c r="BP169" i="19"/>
  <c r="BR169" i="19"/>
  <c r="BS169" i="19"/>
  <c r="BT169" i="19"/>
  <c r="BU169" i="19"/>
  <c r="BW169" i="19"/>
  <c r="BX169" i="19"/>
  <c r="BY169" i="19"/>
  <c r="CA169" i="19"/>
  <c r="CB169" i="19"/>
  <c r="CC169" i="19"/>
  <c r="CD169" i="19"/>
  <c r="CE169" i="19"/>
  <c r="CF169" i="19"/>
  <c r="CH169" i="19"/>
  <c r="CI169" i="19"/>
  <c r="CJ169" i="19"/>
  <c r="CL169" i="19"/>
  <c r="CM169" i="19"/>
  <c r="CN169" i="19"/>
  <c r="CO169" i="19"/>
  <c r="CP169" i="19"/>
  <c r="CR169" i="19"/>
  <c r="CS169" i="19"/>
  <c r="CT169" i="19"/>
  <c r="CU169" i="19"/>
  <c r="CV169" i="19"/>
  <c r="CW169" i="19"/>
  <c r="CX169" i="19"/>
  <c r="CY169" i="19"/>
  <c r="CZ169" i="19"/>
  <c r="C170" i="19"/>
  <c r="D170" i="19"/>
  <c r="I170" i="19"/>
  <c r="K170" i="19"/>
  <c r="P170" i="19"/>
  <c r="Q170" i="19"/>
  <c r="R170" i="19"/>
  <c r="S170" i="19"/>
  <c r="Y170" i="19"/>
  <c r="Z170" i="19"/>
  <c r="AA170" i="19"/>
  <c r="AB170" i="19"/>
  <c r="AD170" i="19"/>
  <c r="AE170" i="19"/>
  <c r="AI170" i="19"/>
  <c r="AK170" i="19"/>
  <c r="AL170" i="19"/>
  <c r="AM170" i="19"/>
  <c r="AN170" i="19"/>
  <c r="AQ170" i="19"/>
  <c r="AR170" i="19"/>
  <c r="AS170" i="19"/>
  <c r="AU170" i="19"/>
  <c r="AV170" i="19"/>
  <c r="AW170" i="19"/>
  <c r="AX170" i="19"/>
  <c r="AY170" i="19"/>
  <c r="AZ170" i="19"/>
  <c r="BB170" i="19"/>
  <c r="BC170" i="19"/>
  <c r="BD170" i="19"/>
  <c r="BF170" i="19"/>
  <c r="BG170" i="19"/>
  <c r="BH170" i="19"/>
  <c r="BI170" i="19"/>
  <c r="BJ170" i="19"/>
  <c r="BL170" i="19"/>
  <c r="BM170" i="19"/>
  <c r="BO170" i="19"/>
  <c r="BP170" i="19"/>
  <c r="BR170" i="19"/>
  <c r="BS170" i="19"/>
  <c r="BT170" i="19"/>
  <c r="BU170" i="19"/>
  <c r="BW170" i="19"/>
  <c r="BX170" i="19"/>
  <c r="BY170" i="19"/>
  <c r="CA170" i="19"/>
  <c r="CB170" i="19"/>
  <c r="CC170" i="19"/>
  <c r="CD170" i="19"/>
  <c r="CE170" i="19"/>
  <c r="CF170" i="19"/>
  <c r="CH170" i="19"/>
  <c r="CI170" i="19"/>
  <c r="CJ170" i="19"/>
  <c r="CL170" i="19"/>
  <c r="CM170" i="19"/>
  <c r="CN170" i="19"/>
  <c r="CO170" i="19"/>
  <c r="CP170" i="19"/>
  <c r="CR170" i="19"/>
  <c r="CS170" i="19"/>
  <c r="CT170" i="19"/>
  <c r="CU170" i="19"/>
  <c r="CV170" i="19"/>
  <c r="CW170" i="19"/>
  <c r="CX170" i="19"/>
  <c r="CY170" i="19"/>
  <c r="CZ170" i="19"/>
  <c r="C171" i="19"/>
  <c r="D171" i="19"/>
  <c r="I171" i="19"/>
  <c r="K171" i="19"/>
  <c r="P171" i="19"/>
  <c r="Q171" i="19"/>
  <c r="R171" i="19"/>
  <c r="S171" i="19"/>
  <c r="Y171" i="19"/>
  <c r="Z171" i="19"/>
  <c r="AA171" i="19"/>
  <c r="AB171" i="19"/>
  <c r="AD171" i="19"/>
  <c r="AE171" i="19"/>
  <c r="AI171" i="19"/>
  <c r="AK171" i="19"/>
  <c r="AL171" i="19"/>
  <c r="AM171" i="19"/>
  <c r="AN171" i="19"/>
  <c r="AQ171" i="19"/>
  <c r="AR171" i="19"/>
  <c r="AS171" i="19"/>
  <c r="AU171" i="19"/>
  <c r="AV171" i="19"/>
  <c r="AW171" i="19"/>
  <c r="AX171" i="19"/>
  <c r="AY171" i="19"/>
  <c r="AZ171" i="19"/>
  <c r="BB171" i="19"/>
  <c r="BC171" i="19"/>
  <c r="BD171" i="19"/>
  <c r="BF171" i="19"/>
  <c r="BG171" i="19"/>
  <c r="BH171" i="19"/>
  <c r="BI171" i="19"/>
  <c r="BJ171" i="19"/>
  <c r="BL171" i="19"/>
  <c r="BM171" i="19"/>
  <c r="BO171" i="19"/>
  <c r="BP171" i="19"/>
  <c r="BR171" i="19"/>
  <c r="BS171" i="19"/>
  <c r="BT171" i="19"/>
  <c r="BU171" i="19"/>
  <c r="BW171" i="19"/>
  <c r="BX171" i="19"/>
  <c r="BY171" i="19"/>
  <c r="CA171" i="19"/>
  <c r="CB171" i="19"/>
  <c r="CC171" i="19"/>
  <c r="CD171" i="19"/>
  <c r="CE171" i="19"/>
  <c r="CF171" i="19"/>
  <c r="CH171" i="19"/>
  <c r="CI171" i="19"/>
  <c r="CJ171" i="19"/>
  <c r="CL171" i="19"/>
  <c r="CM171" i="19"/>
  <c r="CN171" i="19"/>
  <c r="CO171" i="19"/>
  <c r="CP171" i="19"/>
  <c r="CR171" i="19"/>
  <c r="CS171" i="19"/>
  <c r="CT171" i="19"/>
  <c r="CU171" i="19"/>
  <c r="CV171" i="19"/>
  <c r="CW171" i="19"/>
  <c r="CX171" i="19"/>
  <c r="CY171" i="19"/>
  <c r="CZ171" i="19"/>
  <c r="C172" i="19"/>
  <c r="D172" i="19"/>
  <c r="I172" i="19"/>
  <c r="K172" i="19"/>
  <c r="P172" i="19"/>
  <c r="Q172" i="19"/>
  <c r="R172" i="19"/>
  <c r="S172" i="19"/>
  <c r="Y172" i="19"/>
  <c r="Z172" i="19"/>
  <c r="AA172" i="19"/>
  <c r="AB172" i="19"/>
  <c r="AD172" i="19"/>
  <c r="AE172" i="19"/>
  <c r="AI172" i="19"/>
  <c r="AK172" i="19"/>
  <c r="AL172" i="19"/>
  <c r="AM172" i="19"/>
  <c r="AN172" i="19"/>
  <c r="AQ172" i="19"/>
  <c r="AR172" i="19"/>
  <c r="AS172" i="19"/>
  <c r="AU172" i="19"/>
  <c r="AV172" i="19"/>
  <c r="AW172" i="19"/>
  <c r="AX172" i="19"/>
  <c r="AY172" i="19"/>
  <c r="AZ172" i="19"/>
  <c r="BB172" i="19"/>
  <c r="BC172" i="19"/>
  <c r="BD172" i="19"/>
  <c r="BF172" i="19"/>
  <c r="BG172" i="19"/>
  <c r="BH172" i="19"/>
  <c r="BI172" i="19"/>
  <c r="BJ172" i="19"/>
  <c r="BL172" i="19"/>
  <c r="BM172" i="19"/>
  <c r="BO172" i="19"/>
  <c r="BP172" i="19"/>
  <c r="BR172" i="19"/>
  <c r="BS172" i="19"/>
  <c r="BT172" i="19"/>
  <c r="BU172" i="19"/>
  <c r="BW172" i="19"/>
  <c r="BX172" i="19"/>
  <c r="BY172" i="19"/>
  <c r="CA172" i="19"/>
  <c r="CB172" i="19"/>
  <c r="CC172" i="19"/>
  <c r="CD172" i="19"/>
  <c r="CE172" i="19"/>
  <c r="CF172" i="19"/>
  <c r="CH172" i="19"/>
  <c r="CI172" i="19"/>
  <c r="CJ172" i="19"/>
  <c r="CL172" i="19"/>
  <c r="CM172" i="19"/>
  <c r="CN172" i="19"/>
  <c r="CO172" i="19"/>
  <c r="CP172" i="19"/>
  <c r="CR172" i="19"/>
  <c r="CS172" i="19"/>
  <c r="CT172" i="19"/>
  <c r="CU172" i="19"/>
  <c r="CV172" i="19"/>
  <c r="CW172" i="19"/>
  <c r="CX172" i="19"/>
  <c r="CY172" i="19"/>
  <c r="CZ172" i="19"/>
  <c r="C173" i="19"/>
  <c r="D173" i="19"/>
  <c r="I173" i="19"/>
  <c r="K173" i="19"/>
  <c r="P173" i="19"/>
  <c r="Q173" i="19"/>
  <c r="R173" i="19"/>
  <c r="S173" i="19"/>
  <c r="Y173" i="19"/>
  <c r="Z173" i="19"/>
  <c r="AA173" i="19"/>
  <c r="AB173" i="19"/>
  <c r="AD173" i="19"/>
  <c r="AE173" i="19"/>
  <c r="AI173" i="19"/>
  <c r="AK173" i="19"/>
  <c r="AL173" i="19"/>
  <c r="AM173" i="19"/>
  <c r="AN173" i="19"/>
  <c r="AQ173" i="19"/>
  <c r="AR173" i="19"/>
  <c r="AS173" i="19"/>
  <c r="AU173" i="19"/>
  <c r="AV173" i="19"/>
  <c r="AW173" i="19"/>
  <c r="AX173" i="19"/>
  <c r="AY173" i="19"/>
  <c r="AZ173" i="19"/>
  <c r="BB173" i="19"/>
  <c r="BC173" i="19"/>
  <c r="BD173" i="19"/>
  <c r="BF173" i="19"/>
  <c r="BG173" i="19"/>
  <c r="BH173" i="19"/>
  <c r="BI173" i="19"/>
  <c r="BJ173" i="19"/>
  <c r="BL173" i="19"/>
  <c r="BM173" i="19"/>
  <c r="BO173" i="19"/>
  <c r="BP173" i="19"/>
  <c r="BR173" i="19"/>
  <c r="BS173" i="19"/>
  <c r="BT173" i="19"/>
  <c r="BU173" i="19"/>
  <c r="BW173" i="19"/>
  <c r="BX173" i="19"/>
  <c r="BY173" i="19"/>
  <c r="CA173" i="19"/>
  <c r="CB173" i="19"/>
  <c r="CC173" i="19"/>
  <c r="CD173" i="19"/>
  <c r="CE173" i="19"/>
  <c r="CF173" i="19"/>
  <c r="CH173" i="19"/>
  <c r="CI173" i="19"/>
  <c r="CJ173" i="19"/>
  <c r="CL173" i="19"/>
  <c r="CM173" i="19"/>
  <c r="CN173" i="19"/>
  <c r="CO173" i="19"/>
  <c r="CP173" i="19"/>
  <c r="CR173" i="19"/>
  <c r="CS173" i="19"/>
  <c r="CT173" i="19"/>
  <c r="CU173" i="19"/>
  <c r="CV173" i="19"/>
  <c r="CW173" i="19"/>
  <c r="CX173" i="19"/>
  <c r="CY173" i="19"/>
  <c r="CZ173" i="19"/>
  <c r="C174" i="19"/>
  <c r="D174" i="19"/>
  <c r="I174" i="19"/>
  <c r="K174" i="19"/>
  <c r="P174" i="19"/>
  <c r="Q174" i="19"/>
  <c r="R174" i="19"/>
  <c r="S174" i="19"/>
  <c r="Y174" i="19"/>
  <c r="Z174" i="19"/>
  <c r="AA174" i="19"/>
  <c r="AB174" i="19"/>
  <c r="AD174" i="19"/>
  <c r="AE174" i="19"/>
  <c r="AI174" i="19"/>
  <c r="AK174" i="19"/>
  <c r="AL174" i="19"/>
  <c r="AM174" i="19"/>
  <c r="AN174" i="19"/>
  <c r="AQ174" i="19"/>
  <c r="AR174" i="19"/>
  <c r="AS174" i="19"/>
  <c r="AU174" i="19"/>
  <c r="AV174" i="19"/>
  <c r="AW174" i="19"/>
  <c r="AX174" i="19"/>
  <c r="AY174" i="19"/>
  <c r="AZ174" i="19"/>
  <c r="BB174" i="19"/>
  <c r="BC174" i="19"/>
  <c r="BD174" i="19"/>
  <c r="BF174" i="19"/>
  <c r="BG174" i="19"/>
  <c r="BH174" i="19"/>
  <c r="BI174" i="19"/>
  <c r="BJ174" i="19"/>
  <c r="BL174" i="19"/>
  <c r="BM174" i="19"/>
  <c r="BO174" i="19"/>
  <c r="BP174" i="19"/>
  <c r="BR174" i="19"/>
  <c r="BS174" i="19"/>
  <c r="BT174" i="19"/>
  <c r="BU174" i="19"/>
  <c r="BW174" i="19"/>
  <c r="BX174" i="19"/>
  <c r="BY174" i="19"/>
  <c r="CA174" i="19"/>
  <c r="CB174" i="19"/>
  <c r="CC174" i="19"/>
  <c r="CD174" i="19"/>
  <c r="CE174" i="19"/>
  <c r="CF174" i="19"/>
  <c r="CH174" i="19"/>
  <c r="CI174" i="19"/>
  <c r="CJ174" i="19"/>
  <c r="CL174" i="19"/>
  <c r="CM174" i="19"/>
  <c r="CN174" i="19"/>
  <c r="CO174" i="19"/>
  <c r="CP174" i="19"/>
  <c r="CR174" i="19"/>
  <c r="CS174" i="19"/>
  <c r="CT174" i="19"/>
  <c r="CU174" i="19"/>
  <c r="CV174" i="19"/>
  <c r="CW174" i="19"/>
  <c r="CX174" i="19"/>
  <c r="CY174" i="19"/>
  <c r="CZ174" i="19"/>
  <c r="C175" i="19"/>
  <c r="D175" i="19"/>
  <c r="I175" i="19"/>
  <c r="K175" i="19"/>
  <c r="P175" i="19"/>
  <c r="Q175" i="19"/>
  <c r="R175" i="19"/>
  <c r="S175" i="19"/>
  <c r="Y175" i="19"/>
  <c r="Z175" i="19"/>
  <c r="AA175" i="19"/>
  <c r="AB175" i="19"/>
  <c r="AD175" i="19"/>
  <c r="AE175" i="19"/>
  <c r="AI175" i="19"/>
  <c r="AK175" i="19"/>
  <c r="AL175" i="19"/>
  <c r="AM175" i="19"/>
  <c r="AN175" i="19"/>
  <c r="AQ175" i="19"/>
  <c r="AR175" i="19"/>
  <c r="AS175" i="19"/>
  <c r="AU175" i="19"/>
  <c r="AV175" i="19"/>
  <c r="AW175" i="19"/>
  <c r="AX175" i="19"/>
  <c r="AY175" i="19"/>
  <c r="AZ175" i="19"/>
  <c r="BB175" i="19"/>
  <c r="BC175" i="19"/>
  <c r="BD175" i="19"/>
  <c r="BF175" i="19"/>
  <c r="BG175" i="19"/>
  <c r="BH175" i="19"/>
  <c r="BI175" i="19"/>
  <c r="BJ175" i="19"/>
  <c r="BL175" i="19"/>
  <c r="BM175" i="19"/>
  <c r="BO175" i="19"/>
  <c r="BP175" i="19"/>
  <c r="BR175" i="19"/>
  <c r="BS175" i="19"/>
  <c r="BT175" i="19"/>
  <c r="BU175" i="19"/>
  <c r="BW175" i="19"/>
  <c r="BX175" i="19"/>
  <c r="BY175" i="19"/>
  <c r="CA175" i="19"/>
  <c r="CB175" i="19"/>
  <c r="CC175" i="19"/>
  <c r="CD175" i="19"/>
  <c r="CE175" i="19"/>
  <c r="CF175" i="19"/>
  <c r="CH175" i="19"/>
  <c r="CI175" i="19"/>
  <c r="CJ175" i="19"/>
  <c r="CL175" i="19"/>
  <c r="CM175" i="19"/>
  <c r="CN175" i="19"/>
  <c r="CO175" i="19"/>
  <c r="CP175" i="19"/>
  <c r="CR175" i="19"/>
  <c r="CS175" i="19"/>
  <c r="CT175" i="19"/>
  <c r="CU175" i="19"/>
  <c r="CV175" i="19"/>
  <c r="CW175" i="19"/>
  <c r="CX175" i="19"/>
  <c r="CY175" i="19"/>
  <c r="CZ175" i="19"/>
  <c r="C176" i="19"/>
  <c r="D176" i="19"/>
  <c r="I176" i="19"/>
  <c r="K176" i="19"/>
  <c r="P176" i="19"/>
  <c r="Q176" i="19"/>
  <c r="R176" i="19"/>
  <c r="S176" i="19"/>
  <c r="Y176" i="19"/>
  <c r="Z176" i="19"/>
  <c r="AA176" i="19"/>
  <c r="AB176" i="19"/>
  <c r="AD176" i="19"/>
  <c r="AE176" i="19"/>
  <c r="AI176" i="19"/>
  <c r="AK176" i="19"/>
  <c r="AL176" i="19"/>
  <c r="AM176" i="19"/>
  <c r="AN176" i="19"/>
  <c r="AQ176" i="19"/>
  <c r="AR176" i="19"/>
  <c r="AS176" i="19"/>
  <c r="AU176" i="19"/>
  <c r="AV176" i="19"/>
  <c r="AW176" i="19"/>
  <c r="AX176" i="19"/>
  <c r="AY176" i="19"/>
  <c r="AZ176" i="19"/>
  <c r="BB176" i="19"/>
  <c r="BC176" i="19"/>
  <c r="BD176" i="19"/>
  <c r="BF176" i="19"/>
  <c r="BG176" i="19"/>
  <c r="BH176" i="19"/>
  <c r="BI176" i="19"/>
  <c r="BJ176" i="19"/>
  <c r="BL176" i="19"/>
  <c r="BM176" i="19"/>
  <c r="BO176" i="19"/>
  <c r="BP176" i="19"/>
  <c r="BR176" i="19"/>
  <c r="BS176" i="19"/>
  <c r="BT176" i="19"/>
  <c r="BU176" i="19"/>
  <c r="BW176" i="19"/>
  <c r="BX176" i="19"/>
  <c r="BY176" i="19"/>
  <c r="CA176" i="19"/>
  <c r="CB176" i="19"/>
  <c r="CC176" i="19"/>
  <c r="CD176" i="19"/>
  <c r="CE176" i="19"/>
  <c r="CF176" i="19"/>
  <c r="CH176" i="19"/>
  <c r="CI176" i="19"/>
  <c r="CJ176" i="19"/>
  <c r="CL176" i="19"/>
  <c r="CM176" i="19"/>
  <c r="CN176" i="19"/>
  <c r="CO176" i="19"/>
  <c r="CP176" i="19"/>
  <c r="CR176" i="19"/>
  <c r="CS176" i="19"/>
  <c r="CT176" i="19"/>
  <c r="CU176" i="19"/>
  <c r="CV176" i="19"/>
  <c r="CW176" i="19"/>
  <c r="CX176" i="19"/>
  <c r="CY176" i="19"/>
  <c r="CZ176" i="19"/>
  <c r="C177" i="19"/>
  <c r="D177" i="19"/>
  <c r="I177" i="19"/>
  <c r="K177" i="19"/>
  <c r="P177" i="19"/>
  <c r="Q177" i="19"/>
  <c r="R177" i="19"/>
  <c r="S177" i="19"/>
  <c r="Y177" i="19"/>
  <c r="Z177" i="19"/>
  <c r="AA177" i="19"/>
  <c r="AB177" i="19"/>
  <c r="AD177" i="19"/>
  <c r="AE177" i="19"/>
  <c r="AI177" i="19"/>
  <c r="AK177" i="19"/>
  <c r="AL177" i="19"/>
  <c r="AM177" i="19"/>
  <c r="AN177" i="19"/>
  <c r="AQ177" i="19"/>
  <c r="AR177" i="19"/>
  <c r="AS177" i="19"/>
  <c r="AU177" i="19"/>
  <c r="AV177" i="19"/>
  <c r="AW177" i="19"/>
  <c r="AX177" i="19"/>
  <c r="AY177" i="19"/>
  <c r="AZ177" i="19"/>
  <c r="BB177" i="19"/>
  <c r="BC177" i="19"/>
  <c r="BD177" i="19"/>
  <c r="BF177" i="19"/>
  <c r="BG177" i="19"/>
  <c r="BH177" i="19"/>
  <c r="BI177" i="19"/>
  <c r="BJ177" i="19"/>
  <c r="BL177" i="19"/>
  <c r="BM177" i="19"/>
  <c r="BO177" i="19"/>
  <c r="BP177" i="19"/>
  <c r="BR177" i="19"/>
  <c r="BS177" i="19"/>
  <c r="BT177" i="19"/>
  <c r="BU177" i="19"/>
  <c r="BW177" i="19"/>
  <c r="BX177" i="19"/>
  <c r="BY177" i="19"/>
  <c r="CA177" i="19"/>
  <c r="CB177" i="19"/>
  <c r="CC177" i="19"/>
  <c r="CD177" i="19"/>
  <c r="CE177" i="19"/>
  <c r="CF177" i="19"/>
  <c r="CH177" i="19"/>
  <c r="CI177" i="19"/>
  <c r="CJ177" i="19"/>
  <c r="CL177" i="19"/>
  <c r="CM177" i="19"/>
  <c r="CN177" i="19"/>
  <c r="CO177" i="19"/>
  <c r="CP177" i="19"/>
  <c r="CR177" i="19"/>
  <c r="CS177" i="19"/>
  <c r="CT177" i="19"/>
  <c r="CU177" i="19"/>
  <c r="CV177" i="19"/>
  <c r="CW177" i="19"/>
  <c r="CX177" i="19"/>
  <c r="CY177" i="19"/>
  <c r="CZ177" i="19"/>
  <c r="C178" i="19"/>
  <c r="D178" i="19"/>
  <c r="I178" i="19"/>
  <c r="K178" i="19"/>
  <c r="P178" i="19"/>
  <c r="Q178" i="19"/>
  <c r="R178" i="19"/>
  <c r="S178" i="19"/>
  <c r="Y178" i="19"/>
  <c r="Z178" i="19"/>
  <c r="AA178" i="19"/>
  <c r="AB178" i="19"/>
  <c r="AD178" i="19"/>
  <c r="AE178" i="19"/>
  <c r="AI178" i="19"/>
  <c r="AK178" i="19"/>
  <c r="AL178" i="19"/>
  <c r="AM178" i="19"/>
  <c r="AN178" i="19"/>
  <c r="AQ178" i="19"/>
  <c r="AR178" i="19"/>
  <c r="AS178" i="19"/>
  <c r="AU178" i="19"/>
  <c r="AV178" i="19"/>
  <c r="AW178" i="19"/>
  <c r="AX178" i="19"/>
  <c r="AY178" i="19"/>
  <c r="AZ178" i="19"/>
  <c r="BB178" i="19"/>
  <c r="BC178" i="19"/>
  <c r="BD178" i="19"/>
  <c r="BF178" i="19"/>
  <c r="BG178" i="19"/>
  <c r="BH178" i="19"/>
  <c r="BI178" i="19"/>
  <c r="BJ178" i="19"/>
  <c r="BL178" i="19"/>
  <c r="BM178" i="19"/>
  <c r="BO178" i="19"/>
  <c r="BP178" i="19"/>
  <c r="BR178" i="19"/>
  <c r="BS178" i="19"/>
  <c r="BT178" i="19"/>
  <c r="BU178" i="19"/>
  <c r="BW178" i="19"/>
  <c r="BX178" i="19"/>
  <c r="BY178" i="19"/>
  <c r="CA178" i="19"/>
  <c r="CB178" i="19"/>
  <c r="CC178" i="19"/>
  <c r="CD178" i="19"/>
  <c r="CE178" i="19"/>
  <c r="CF178" i="19"/>
  <c r="CH178" i="19"/>
  <c r="CI178" i="19"/>
  <c r="CJ178" i="19"/>
  <c r="CL178" i="19"/>
  <c r="CM178" i="19"/>
  <c r="CN178" i="19"/>
  <c r="CO178" i="19"/>
  <c r="CP178" i="19"/>
  <c r="CR178" i="19"/>
  <c r="CS178" i="19"/>
  <c r="CT178" i="19"/>
  <c r="CU178" i="19"/>
  <c r="CV178" i="19"/>
  <c r="CW178" i="19"/>
  <c r="CX178" i="19"/>
  <c r="CY178" i="19"/>
  <c r="CZ178" i="19"/>
  <c r="C179" i="19"/>
  <c r="D179" i="19"/>
  <c r="I179" i="19"/>
  <c r="K179" i="19"/>
  <c r="P179" i="19"/>
  <c r="Q179" i="19"/>
  <c r="R179" i="19"/>
  <c r="S179" i="19"/>
  <c r="Y179" i="19"/>
  <c r="Z179" i="19"/>
  <c r="AA179" i="19"/>
  <c r="AB179" i="19"/>
  <c r="AD179" i="19"/>
  <c r="AE179" i="19"/>
  <c r="AI179" i="19"/>
  <c r="AK179" i="19"/>
  <c r="AL179" i="19"/>
  <c r="AM179" i="19"/>
  <c r="AN179" i="19"/>
  <c r="AQ179" i="19"/>
  <c r="AR179" i="19"/>
  <c r="AS179" i="19"/>
  <c r="AU179" i="19"/>
  <c r="AV179" i="19"/>
  <c r="AW179" i="19"/>
  <c r="AX179" i="19"/>
  <c r="AY179" i="19"/>
  <c r="AZ179" i="19"/>
  <c r="BB179" i="19"/>
  <c r="BC179" i="19"/>
  <c r="BD179" i="19"/>
  <c r="BF179" i="19"/>
  <c r="BG179" i="19"/>
  <c r="BH179" i="19"/>
  <c r="BI179" i="19"/>
  <c r="BJ179" i="19"/>
  <c r="BL179" i="19"/>
  <c r="BM179" i="19"/>
  <c r="BO179" i="19"/>
  <c r="BP179" i="19"/>
  <c r="BR179" i="19"/>
  <c r="BS179" i="19"/>
  <c r="BT179" i="19"/>
  <c r="BU179" i="19"/>
  <c r="BW179" i="19"/>
  <c r="BX179" i="19"/>
  <c r="BY179" i="19"/>
  <c r="CA179" i="19"/>
  <c r="CB179" i="19"/>
  <c r="CC179" i="19"/>
  <c r="CD179" i="19"/>
  <c r="CE179" i="19"/>
  <c r="CF179" i="19"/>
  <c r="CH179" i="19"/>
  <c r="CI179" i="19"/>
  <c r="CJ179" i="19"/>
  <c r="CL179" i="19"/>
  <c r="CM179" i="19"/>
  <c r="CN179" i="19"/>
  <c r="CO179" i="19"/>
  <c r="CP179" i="19"/>
  <c r="CR179" i="19"/>
  <c r="CS179" i="19"/>
  <c r="CT179" i="19"/>
  <c r="CU179" i="19"/>
  <c r="CV179" i="19"/>
  <c r="CW179" i="19"/>
  <c r="CX179" i="19"/>
  <c r="CY179" i="19"/>
  <c r="CZ179" i="19"/>
  <c r="C180" i="19"/>
  <c r="D180" i="19"/>
  <c r="I180" i="19"/>
  <c r="K180" i="19"/>
  <c r="P180" i="19"/>
  <c r="Q180" i="19"/>
  <c r="R180" i="19"/>
  <c r="S180" i="19"/>
  <c r="Y180" i="19"/>
  <c r="Z180" i="19"/>
  <c r="AA180" i="19"/>
  <c r="AB180" i="19"/>
  <c r="AD180" i="19"/>
  <c r="AE180" i="19"/>
  <c r="AI180" i="19"/>
  <c r="AK180" i="19"/>
  <c r="AL180" i="19"/>
  <c r="AM180" i="19"/>
  <c r="AN180" i="19"/>
  <c r="AQ180" i="19"/>
  <c r="AR180" i="19"/>
  <c r="AS180" i="19"/>
  <c r="AU180" i="19"/>
  <c r="AV180" i="19"/>
  <c r="AW180" i="19"/>
  <c r="AX180" i="19"/>
  <c r="AY180" i="19"/>
  <c r="AZ180" i="19"/>
  <c r="BB180" i="19"/>
  <c r="BC180" i="19"/>
  <c r="BD180" i="19"/>
  <c r="BF180" i="19"/>
  <c r="BG180" i="19"/>
  <c r="BH180" i="19"/>
  <c r="BI180" i="19"/>
  <c r="BJ180" i="19"/>
  <c r="BL180" i="19"/>
  <c r="BM180" i="19"/>
  <c r="BO180" i="19"/>
  <c r="BP180" i="19"/>
  <c r="BR180" i="19"/>
  <c r="BS180" i="19"/>
  <c r="BT180" i="19"/>
  <c r="BU180" i="19"/>
  <c r="BW180" i="19"/>
  <c r="BX180" i="19"/>
  <c r="BY180" i="19"/>
  <c r="CA180" i="19"/>
  <c r="CB180" i="19"/>
  <c r="CC180" i="19"/>
  <c r="CD180" i="19"/>
  <c r="CE180" i="19"/>
  <c r="CF180" i="19"/>
  <c r="CH180" i="19"/>
  <c r="CI180" i="19"/>
  <c r="CJ180" i="19"/>
  <c r="CL180" i="19"/>
  <c r="CM180" i="19"/>
  <c r="CN180" i="19"/>
  <c r="CO180" i="19"/>
  <c r="CP180" i="19"/>
  <c r="CR180" i="19"/>
  <c r="CS180" i="19"/>
  <c r="CT180" i="19"/>
  <c r="CU180" i="19"/>
  <c r="CV180" i="19"/>
  <c r="CW180" i="19"/>
  <c r="CX180" i="19"/>
  <c r="CY180" i="19"/>
  <c r="CZ180" i="19"/>
  <c r="C181" i="19"/>
  <c r="D181" i="19"/>
  <c r="I181" i="19"/>
  <c r="K181" i="19"/>
  <c r="P181" i="19"/>
  <c r="Q181" i="19"/>
  <c r="R181" i="19"/>
  <c r="S181" i="19"/>
  <c r="Y181" i="19"/>
  <c r="Z181" i="19"/>
  <c r="AA181" i="19"/>
  <c r="AB181" i="19"/>
  <c r="AD181" i="19"/>
  <c r="AE181" i="19"/>
  <c r="AI181" i="19"/>
  <c r="AK181" i="19"/>
  <c r="AL181" i="19"/>
  <c r="AM181" i="19"/>
  <c r="AN181" i="19"/>
  <c r="AQ181" i="19"/>
  <c r="AR181" i="19"/>
  <c r="AS181" i="19"/>
  <c r="AU181" i="19"/>
  <c r="AV181" i="19"/>
  <c r="AW181" i="19"/>
  <c r="AX181" i="19"/>
  <c r="AY181" i="19"/>
  <c r="AZ181" i="19"/>
  <c r="BB181" i="19"/>
  <c r="BC181" i="19"/>
  <c r="BD181" i="19"/>
  <c r="BF181" i="19"/>
  <c r="BG181" i="19"/>
  <c r="BH181" i="19"/>
  <c r="BI181" i="19"/>
  <c r="BJ181" i="19"/>
  <c r="BL181" i="19"/>
  <c r="BM181" i="19"/>
  <c r="BO181" i="19"/>
  <c r="BP181" i="19"/>
  <c r="BR181" i="19"/>
  <c r="BS181" i="19"/>
  <c r="BT181" i="19"/>
  <c r="BU181" i="19"/>
  <c r="BW181" i="19"/>
  <c r="BX181" i="19"/>
  <c r="BY181" i="19"/>
  <c r="CA181" i="19"/>
  <c r="CB181" i="19"/>
  <c r="CC181" i="19"/>
  <c r="CD181" i="19"/>
  <c r="CE181" i="19"/>
  <c r="CF181" i="19"/>
  <c r="CH181" i="19"/>
  <c r="CI181" i="19"/>
  <c r="CJ181" i="19"/>
  <c r="CL181" i="19"/>
  <c r="CM181" i="19"/>
  <c r="CN181" i="19"/>
  <c r="CO181" i="19"/>
  <c r="CP181" i="19"/>
  <c r="CR181" i="19"/>
  <c r="CS181" i="19"/>
  <c r="CT181" i="19"/>
  <c r="CU181" i="19"/>
  <c r="CV181" i="19"/>
  <c r="CW181" i="19"/>
  <c r="CX181" i="19"/>
  <c r="CY181" i="19"/>
  <c r="CZ181" i="19"/>
  <c r="C182" i="19"/>
  <c r="D182" i="19"/>
  <c r="I182" i="19"/>
  <c r="K182" i="19"/>
  <c r="P182" i="19"/>
  <c r="Q182" i="19"/>
  <c r="R182" i="19"/>
  <c r="S182" i="19"/>
  <c r="Y182" i="19"/>
  <c r="Z182" i="19"/>
  <c r="AA182" i="19"/>
  <c r="AB182" i="19"/>
  <c r="AD182" i="19"/>
  <c r="AE182" i="19"/>
  <c r="AI182" i="19"/>
  <c r="AK182" i="19"/>
  <c r="AL182" i="19"/>
  <c r="AM182" i="19"/>
  <c r="AN182" i="19"/>
  <c r="AQ182" i="19"/>
  <c r="AR182" i="19"/>
  <c r="AS182" i="19"/>
  <c r="AU182" i="19"/>
  <c r="AV182" i="19"/>
  <c r="AW182" i="19"/>
  <c r="AX182" i="19"/>
  <c r="AY182" i="19"/>
  <c r="AZ182" i="19"/>
  <c r="BB182" i="19"/>
  <c r="BC182" i="19"/>
  <c r="BD182" i="19"/>
  <c r="BF182" i="19"/>
  <c r="BG182" i="19"/>
  <c r="BH182" i="19"/>
  <c r="BI182" i="19"/>
  <c r="BJ182" i="19"/>
  <c r="BL182" i="19"/>
  <c r="BM182" i="19"/>
  <c r="BO182" i="19"/>
  <c r="BP182" i="19"/>
  <c r="BR182" i="19"/>
  <c r="BS182" i="19"/>
  <c r="BT182" i="19"/>
  <c r="BU182" i="19"/>
  <c r="BW182" i="19"/>
  <c r="BX182" i="19"/>
  <c r="BY182" i="19"/>
  <c r="CA182" i="19"/>
  <c r="CB182" i="19"/>
  <c r="CC182" i="19"/>
  <c r="CD182" i="19"/>
  <c r="CE182" i="19"/>
  <c r="CF182" i="19"/>
  <c r="CH182" i="19"/>
  <c r="CI182" i="19"/>
  <c r="CJ182" i="19"/>
  <c r="CL182" i="19"/>
  <c r="CM182" i="19"/>
  <c r="CN182" i="19"/>
  <c r="CO182" i="19"/>
  <c r="CP182" i="19"/>
  <c r="CR182" i="19"/>
  <c r="CS182" i="19"/>
  <c r="CT182" i="19"/>
  <c r="CU182" i="19"/>
  <c r="CV182" i="19"/>
  <c r="CW182" i="19"/>
  <c r="CX182" i="19"/>
  <c r="CY182" i="19"/>
  <c r="CZ182" i="19"/>
  <c r="C183" i="19"/>
  <c r="D183" i="19"/>
  <c r="I183" i="19"/>
  <c r="K183" i="19"/>
  <c r="P183" i="19"/>
  <c r="Q183" i="19"/>
  <c r="R183" i="19"/>
  <c r="S183" i="19"/>
  <c r="Y183" i="19"/>
  <c r="Z183" i="19"/>
  <c r="AA183" i="19"/>
  <c r="AB183" i="19"/>
  <c r="AD183" i="19"/>
  <c r="AE183" i="19"/>
  <c r="AI183" i="19"/>
  <c r="AK183" i="19"/>
  <c r="AL183" i="19"/>
  <c r="AM183" i="19"/>
  <c r="AN183" i="19"/>
  <c r="AQ183" i="19"/>
  <c r="AR183" i="19"/>
  <c r="AS183" i="19"/>
  <c r="AU183" i="19"/>
  <c r="AV183" i="19"/>
  <c r="AW183" i="19"/>
  <c r="AX183" i="19"/>
  <c r="AY183" i="19"/>
  <c r="AZ183" i="19"/>
  <c r="BB183" i="19"/>
  <c r="BC183" i="19"/>
  <c r="BD183" i="19"/>
  <c r="BF183" i="19"/>
  <c r="BG183" i="19"/>
  <c r="BH183" i="19"/>
  <c r="BI183" i="19"/>
  <c r="BJ183" i="19"/>
  <c r="BL183" i="19"/>
  <c r="BM183" i="19"/>
  <c r="BO183" i="19"/>
  <c r="BP183" i="19"/>
  <c r="BR183" i="19"/>
  <c r="BS183" i="19"/>
  <c r="BT183" i="19"/>
  <c r="BU183" i="19"/>
  <c r="BW183" i="19"/>
  <c r="BX183" i="19"/>
  <c r="BY183" i="19"/>
  <c r="CA183" i="19"/>
  <c r="CB183" i="19"/>
  <c r="CC183" i="19"/>
  <c r="CD183" i="19"/>
  <c r="CE183" i="19"/>
  <c r="CF183" i="19"/>
  <c r="CH183" i="19"/>
  <c r="CI183" i="19"/>
  <c r="CJ183" i="19"/>
  <c r="CL183" i="19"/>
  <c r="CM183" i="19"/>
  <c r="CN183" i="19"/>
  <c r="CO183" i="19"/>
  <c r="CP183" i="19"/>
  <c r="CR183" i="19"/>
  <c r="CS183" i="19"/>
  <c r="CT183" i="19"/>
  <c r="CU183" i="19"/>
  <c r="CV183" i="19"/>
  <c r="CW183" i="19"/>
  <c r="CX183" i="19"/>
  <c r="CY183" i="19"/>
  <c r="CZ183" i="19"/>
  <c r="C184" i="19"/>
  <c r="D184" i="19"/>
  <c r="I184" i="19"/>
  <c r="K184" i="19"/>
  <c r="P184" i="19"/>
  <c r="Q184" i="19"/>
  <c r="R184" i="19"/>
  <c r="S184" i="19"/>
  <c r="Y184" i="19"/>
  <c r="Z184" i="19"/>
  <c r="AA184" i="19"/>
  <c r="AB184" i="19"/>
  <c r="AD184" i="19"/>
  <c r="AE184" i="19"/>
  <c r="AI184" i="19"/>
  <c r="AK184" i="19"/>
  <c r="AL184" i="19"/>
  <c r="AM184" i="19"/>
  <c r="AN184" i="19"/>
  <c r="AQ184" i="19"/>
  <c r="AR184" i="19"/>
  <c r="AS184" i="19"/>
  <c r="AU184" i="19"/>
  <c r="AV184" i="19"/>
  <c r="AW184" i="19"/>
  <c r="AX184" i="19"/>
  <c r="AY184" i="19"/>
  <c r="AZ184" i="19"/>
  <c r="BB184" i="19"/>
  <c r="BC184" i="19"/>
  <c r="BD184" i="19"/>
  <c r="BF184" i="19"/>
  <c r="BG184" i="19"/>
  <c r="BH184" i="19"/>
  <c r="BI184" i="19"/>
  <c r="BJ184" i="19"/>
  <c r="BL184" i="19"/>
  <c r="BM184" i="19"/>
  <c r="BO184" i="19"/>
  <c r="BP184" i="19"/>
  <c r="BR184" i="19"/>
  <c r="BS184" i="19"/>
  <c r="BT184" i="19"/>
  <c r="BU184" i="19"/>
  <c r="BW184" i="19"/>
  <c r="BX184" i="19"/>
  <c r="BY184" i="19"/>
  <c r="CA184" i="19"/>
  <c r="CB184" i="19"/>
  <c r="CC184" i="19"/>
  <c r="CD184" i="19"/>
  <c r="CE184" i="19"/>
  <c r="CF184" i="19"/>
  <c r="CH184" i="19"/>
  <c r="CI184" i="19"/>
  <c r="CJ184" i="19"/>
  <c r="CL184" i="19"/>
  <c r="CM184" i="19"/>
  <c r="CN184" i="19"/>
  <c r="CO184" i="19"/>
  <c r="CP184" i="19"/>
  <c r="CR184" i="19"/>
  <c r="CS184" i="19"/>
  <c r="CT184" i="19"/>
  <c r="CU184" i="19"/>
  <c r="CV184" i="19"/>
  <c r="CW184" i="19"/>
  <c r="CX184" i="19"/>
  <c r="CY184" i="19"/>
  <c r="CZ184" i="19"/>
  <c r="C185" i="19"/>
  <c r="D185" i="19"/>
  <c r="I185" i="19"/>
  <c r="K185" i="19"/>
  <c r="P185" i="19"/>
  <c r="Q185" i="19"/>
  <c r="R185" i="19"/>
  <c r="S185" i="19"/>
  <c r="Y185" i="19"/>
  <c r="Z185" i="19"/>
  <c r="AA185" i="19"/>
  <c r="AB185" i="19"/>
  <c r="AD185" i="19"/>
  <c r="AE185" i="19"/>
  <c r="AI185" i="19"/>
  <c r="AK185" i="19"/>
  <c r="AL185" i="19"/>
  <c r="AM185" i="19"/>
  <c r="AN185" i="19"/>
  <c r="AQ185" i="19"/>
  <c r="AR185" i="19"/>
  <c r="AS185" i="19"/>
  <c r="AU185" i="19"/>
  <c r="AV185" i="19"/>
  <c r="AW185" i="19"/>
  <c r="AX185" i="19"/>
  <c r="AY185" i="19"/>
  <c r="AZ185" i="19"/>
  <c r="BB185" i="19"/>
  <c r="BC185" i="19"/>
  <c r="BD185" i="19"/>
  <c r="BF185" i="19"/>
  <c r="BG185" i="19"/>
  <c r="BH185" i="19"/>
  <c r="BI185" i="19"/>
  <c r="BJ185" i="19"/>
  <c r="BL185" i="19"/>
  <c r="BM185" i="19"/>
  <c r="BO185" i="19"/>
  <c r="BP185" i="19"/>
  <c r="BR185" i="19"/>
  <c r="BS185" i="19"/>
  <c r="BT185" i="19"/>
  <c r="BU185" i="19"/>
  <c r="BW185" i="19"/>
  <c r="BX185" i="19"/>
  <c r="BY185" i="19"/>
  <c r="CA185" i="19"/>
  <c r="CB185" i="19"/>
  <c r="CC185" i="19"/>
  <c r="CD185" i="19"/>
  <c r="CE185" i="19"/>
  <c r="CF185" i="19"/>
  <c r="CH185" i="19"/>
  <c r="CI185" i="19"/>
  <c r="CJ185" i="19"/>
  <c r="CL185" i="19"/>
  <c r="CM185" i="19"/>
  <c r="CN185" i="19"/>
  <c r="CO185" i="19"/>
  <c r="CP185" i="19"/>
  <c r="CR185" i="19"/>
  <c r="CS185" i="19"/>
  <c r="CT185" i="19"/>
  <c r="CU185" i="19"/>
  <c r="CV185" i="19"/>
  <c r="CW185" i="19"/>
  <c r="CX185" i="19"/>
  <c r="CY185" i="19"/>
  <c r="CZ185" i="19"/>
  <c r="C186" i="19"/>
  <c r="D186" i="19"/>
  <c r="I186" i="19"/>
  <c r="K186" i="19"/>
  <c r="P186" i="19"/>
  <c r="Q186" i="19"/>
  <c r="R186" i="19"/>
  <c r="S186" i="19"/>
  <c r="Y186" i="19"/>
  <c r="Z186" i="19"/>
  <c r="AA186" i="19"/>
  <c r="AB186" i="19"/>
  <c r="AD186" i="19"/>
  <c r="AE186" i="19"/>
  <c r="AI186" i="19"/>
  <c r="AK186" i="19"/>
  <c r="AL186" i="19"/>
  <c r="AM186" i="19"/>
  <c r="AN186" i="19"/>
  <c r="AQ186" i="19"/>
  <c r="AR186" i="19"/>
  <c r="AS186" i="19"/>
  <c r="AU186" i="19"/>
  <c r="AV186" i="19"/>
  <c r="AW186" i="19"/>
  <c r="AX186" i="19"/>
  <c r="AY186" i="19"/>
  <c r="AZ186" i="19"/>
  <c r="BB186" i="19"/>
  <c r="BC186" i="19"/>
  <c r="BD186" i="19"/>
  <c r="BF186" i="19"/>
  <c r="BG186" i="19"/>
  <c r="BH186" i="19"/>
  <c r="BI186" i="19"/>
  <c r="BJ186" i="19"/>
  <c r="BL186" i="19"/>
  <c r="BM186" i="19"/>
  <c r="BO186" i="19"/>
  <c r="BP186" i="19"/>
  <c r="BR186" i="19"/>
  <c r="BS186" i="19"/>
  <c r="BT186" i="19"/>
  <c r="BU186" i="19"/>
  <c r="BW186" i="19"/>
  <c r="BX186" i="19"/>
  <c r="BY186" i="19"/>
  <c r="CA186" i="19"/>
  <c r="CB186" i="19"/>
  <c r="CC186" i="19"/>
  <c r="CD186" i="19"/>
  <c r="CE186" i="19"/>
  <c r="CF186" i="19"/>
  <c r="CH186" i="19"/>
  <c r="CI186" i="19"/>
  <c r="CJ186" i="19"/>
  <c r="CL186" i="19"/>
  <c r="CM186" i="19"/>
  <c r="CN186" i="19"/>
  <c r="CO186" i="19"/>
  <c r="CP186" i="19"/>
  <c r="CR186" i="19"/>
  <c r="CS186" i="19"/>
  <c r="CT186" i="19"/>
  <c r="CU186" i="19"/>
  <c r="CV186" i="19"/>
  <c r="CW186" i="19"/>
  <c r="CX186" i="19"/>
  <c r="CY186" i="19"/>
  <c r="CZ186" i="19"/>
  <c r="C187" i="19"/>
  <c r="D187" i="19"/>
  <c r="I187" i="19"/>
  <c r="K187" i="19"/>
  <c r="P187" i="19"/>
  <c r="Q187" i="19"/>
  <c r="R187" i="19"/>
  <c r="S187" i="19"/>
  <c r="Y187" i="19"/>
  <c r="Z187" i="19"/>
  <c r="AA187" i="19"/>
  <c r="AB187" i="19"/>
  <c r="AD187" i="19"/>
  <c r="AE187" i="19"/>
  <c r="AI187" i="19"/>
  <c r="AK187" i="19"/>
  <c r="AL187" i="19"/>
  <c r="AM187" i="19"/>
  <c r="AN187" i="19"/>
  <c r="AQ187" i="19"/>
  <c r="AR187" i="19"/>
  <c r="AS187" i="19"/>
  <c r="AU187" i="19"/>
  <c r="AV187" i="19"/>
  <c r="AW187" i="19"/>
  <c r="AX187" i="19"/>
  <c r="AY187" i="19"/>
  <c r="AZ187" i="19"/>
  <c r="BB187" i="19"/>
  <c r="BC187" i="19"/>
  <c r="BD187" i="19"/>
  <c r="BF187" i="19"/>
  <c r="BG187" i="19"/>
  <c r="BH187" i="19"/>
  <c r="BI187" i="19"/>
  <c r="BJ187" i="19"/>
  <c r="BL187" i="19"/>
  <c r="BM187" i="19"/>
  <c r="BO187" i="19"/>
  <c r="BP187" i="19"/>
  <c r="BR187" i="19"/>
  <c r="BS187" i="19"/>
  <c r="BT187" i="19"/>
  <c r="BU187" i="19"/>
  <c r="BW187" i="19"/>
  <c r="BX187" i="19"/>
  <c r="BY187" i="19"/>
  <c r="CA187" i="19"/>
  <c r="CB187" i="19"/>
  <c r="CC187" i="19"/>
  <c r="CD187" i="19"/>
  <c r="CE187" i="19"/>
  <c r="CF187" i="19"/>
  <c r="CH187" i="19"/>
  <c r="CI187" i="19"/>
  <c r="CJ187" i="19"/>
  <c r="CL187" i="19"/>
  <c r="CM187" i="19"/>
  <c r="CN187" i="19"/>
  <c r="CO187" i="19"/>
  <c r="CP187" i="19"/>
  <c r="CR187" i="19"/>
  <c r="CS187" i="19"/>
  <c r="CT187" i="19"/>
  <c r="CU187" i="19"/>
  <c r="CV187" i="19"/>
  <c r="CW187" i="19"/>
  <c r="CX187" i="19"/>
  <c r="CY187" i="19"/>
  <c r="CZ187" i="19"/>
  <c r="C188" i="19"/>
  <c r="D188" i="19"/>
  <c r="I188" i="19"/>
  <c r="K188" i="19"/>
  <c r="P188" i="19"/>
  <c r="Q188" i="19"/>
  <c r="R188" i="19"/>
  <c r="S188" i="19"/>
  <c r="Y188" i="19"/>
  <c r="Z188" i="19"/>
  <c r="AA188" i="19"/>
  <c r="AB188" i="19"/>
  <c r="AD188" i="19"/>
  <c r="AE188" i="19"/>
  <c r="AI188" i="19"/>
  <c r="AK188" i="19"/>
  <c r="AL188" i="19"/>
  <c r="AM188" i="19"/>
  <c r="AN188" i="19"/>
  <c r="AQ188" i="19"/>
  <c r="AR188" i="19"/>
  <c r="AS188" i="19"/>
  <c r="AU188" i="19"/>
  <c r="AV188" i="19"/>
  <c r="AW188" i="19"/>
  <c r="AX188" i="19"/>
  <c r="AY188" i="19"/>
  <c r="AZ188" i="19"/>
  <c r="BB188" i="19"/>
  <c r="BC188" i="19"/>
  <c r="BD188" i="19"/>
  <c r="BF188" i="19"/>
  <c r="BG188" i="19"/>
  <c r="BH188" i="19"/>
  <c r="BI188" i="19"/>
  <c r="BJ188" i="19"/>
  <c r="BL188" i="19"/>
  <c r="BM188" i="19"/>
  <c r="BO188" i="19"/>
  <c r="BP188" i="19"/>
  <c r="BR188" i="19"/>
  <c r="BS188" i="19"/>
  <c r="BT188" i="19"/>
  <c r="BU188" i="19"/>
  <c r="BW188" i="19"/>
  <c r="BX188" i="19"/>
  <c r="BY188" i="19"/>
  <c r="CA188" i="19"/>
  <c r="CB188" i="19"/>
  <c r="CC188" i="19"/>
  <c r="CD188" i="19"/>
  <c r="CE188" i="19"/>
  <c r="CF188" i="19"/>
  <c r="CH188" i="19"/>
  <c r="CI188" i="19"/>
  <c r="CJ188" i="19"/>
  <c r="CL188" i="19"/>
  <c r="CM188" i="19"/>
  <c r="CN188" i="19"/>
  <c r="CO188" i="19"/>
  <c r="CP188" i="19"/>
  <c r="CR188" i="19"/>
  <c r="CS188" i="19"/>
  <c r="CT188" i="19"/>
  <c r="CU188" i="19"/>
  <c r="CV188" i="19"/>
  <c r="CW188" i="19"/>
  <c r="CX188" i="19"/>
  <c r="CY188" i="19"/>
  <c r="CZ188" i="19"/>
  <c r="C189" i="19"/>
  <c r="D189" i="19"/>
  <c r="I189" i="19"/>
  <c r="K189" i="19"/>
  <c r="P189" i="19"/>
  <c r="Q189" i="19"/>
  <c r="R189" i="19"/>
  <c r="S189" i="19"/>
  <c r="Y189" i="19"/>
  <c r="Z189" i="19"/>
  <c r="AA189" i="19"/>
  <c r="AB189" i="19"/>
  <c r="AD189" i="19"/>
  <c r="AE189" i="19"/>
  <c r="AI189" i="19"/>
  <c r="AK189" i="19"/>
  <c r="AL189" i="19"/>
  <c r="AM189" i="19"/>
  <c r="AN189" i="19"/>
  <c r="AQ189" i="19"/>
  <c r="AR189" i="19"/>
  <c r="AS189" i="19"/>
  <c r="AU189" i="19"/>
  <c r="AV189" i="19"/>
  <c r="AW189" i="19"/>
  <c r="AX189" i="19"/>
  <c r="AY189" i="19"/>
  <c r="AZ189" i="19"/>
  <c r="BB189" i="19"/>
  <c r="BC189" i="19"/>
  <c r="BD189" i="19"/>
  <c r="BF189" i="19"/>
  <c r="BG189" i="19"/>
  <c r="BH189" i="19"/>
  <c r="BI189" i="19"/>
  <c r="BJ189" i="19"/>
  <c r="BL189" i="19"/>
  <c r="BM189" i="19"/>
  <c r="BO189" i="19"/>
  <c r="BP189" i="19"/>
  <c r="BR189" i="19"/>
  <c r="BS189" i="19"/>
  <c r="BT189" i="19"/>
  <c r="BU189" i="19"/>
  <c r="BW189" i="19"/>
  <c r="BX189" i="19"/>
  <c r="BY189" i="19"/>
  <c r="CA189" i="19"/>
  <c r="CB189" i="19"/>
  <c r="CC189" i="19"/>
  <c r="CD189" i="19"/>
  <c r="CE189" i="19"/>
  <c r="CF189" i="19"/>
  <c r="CH189" i="19"/>
  <c r="CI189" i="19"/>
  <c r="CJ189" i="19"/>
  <c r="CL189" i="19"/>
  <c r="CM189" i="19"/>
  <c r="CN189" i="19"/>
  <c r="CO189" i="19"/>
  <c r="CP189" i="19"/>
  <c r="CR189" i="19"/>
  <c r="CS189" i="19"/>
  <c r="CT189" i="19"/>
  <c r="CU189" i="19"/>
  <c r="CV189" i="19"/>
  <c r="CW189" i="19"/>
  <c r="CX189" i="19"/>
  <c r="CY189" i="19"/>
  <c r="CZ189" i="19"/>
  <c r="C190" i="19"/>
  <c r="D190" i="19"/>
  <c r="I190" i="19"/>
  <c r="K190" i="19"/>
  <c r="P190" i="19"/>
  <c r="Q190" i="19"/>
  <c r="R190" i="19"/>
  <c r="S190" i="19"/>
  <c r="Y190" i="19"/>
  <c r="Z190" i="19"/>
  <c r="AA190" i="19"/>
  <c r="AB190" i="19"/>
  <c r="AD190" i="19"/>
  <c r="AE190" i="19"/>
  <c r="AI190" i="19"/>
  <c r="AK190" i="19"/>
  <c r="AL190" i="19"/>
  <c r="AM190" i="19"/>
  <c r="AN190" i="19"/>
  <c r="AQ190" i="19"/>
  <c r="AR190" i="19"/>
  <c r="AS190" i="19"/>
  <c r="AU190" i="19"/>
  <c r="AV190" i="19"/>
  <c r="AW190" i="19"/>
  <c r="AX190" i="19"/>
  <c r="AY190" i="19"/>
  <c r="AZ190" i="19"/>
  <c r="BB190" i="19"/>
  <c r="BC190" i="19"/>
  <c r="BD190" i="19"/>
  <c r="BF190" i="19"/>
  <c r="BG190" i="19"/>
  <c r="BH190" i="19"/>
  <c r="BI190" i="19"/>
  <c r="BJ190" i="19"/>
  <c r="BL190" i="19"/>
  <c r="BM190" i="19"/>
  <c r="BO190" i="19"/>
  <c r="BP190" i="19"/>
  <c r="BR190" i="19"/>
  <c r="BS190" i="19"/>
  <c r="BT190" i="19"/>
  <c r="BU190" i="19"/>
  <c r="BW190" i="19"/>
  <c r="BX190" i="19"/>
  <c r="BY190" i="19"/>
  <c r="CA190" i="19"/>
  <c r="CB190" i="19"/>
  <c r="CC190" i="19"/>
  <c r="CD190" i="19"/>
  <c r="CE190" i="19"/>
  <c r="CF190" i="19"/>
  <c r="CH190" i="19"/>
  <c r="CI190" i="19"/>
  <c r="CJ190" i="19"/>
  <c r="CL190" i="19"/>
  <c r="CM190" i="19"/>
  <c r="CN190" i="19"/>
  <c r="CO190" i="19"/>
  <c r="CP190" i="19"/>
  <c r="CR190" i="19"/>
  <c r="CS190" i="19"/>
  <c r="CT190" i="19"/>
  <c r="CU190" i="19"/>
  <c r="CV190" i="19"/>
  <c r="CW190" i="19"/>
  <c r="CX190" i="19"/>
  <c r="CY190" i="19"/>
  <c r="CZ190" i="19"/>
  <c r="C191" i="19"/>
  <c r="D191" i="19"/>
  <c r="I191" i="19"/>
  <c r="K191" i="19"/>
  <c r="P191" i="19"/>
  <c r="Q191" i="19"/>
  <c r="R191" i="19"/>
  <c r="S191" i="19"/>
  <c r="Y191" i="19"/>
  <c r="Z191" i="19"/>
  <c r="AA191" i="19"/>
  <c r="AB191" i="19"/>
  <c r="AD191" i="19"/>
  <c r="AE191" i="19"/>
  <c r="AI191" i="19"/>
  <c r="AK191" i="19"/>
  <c r="AL191" i="19"/>
  <c r="AM191" i="19"/>
  <c r="AN191" i="19"/>
  <c r="AQ191" i="19"/>
  <c r="AR191" i="19"/>
  <c r="AS191" i="19"/>
  <c r="AU191" i="19"/>
  <c r="AV191" i="19"/>
  <c r="AW191" i="19"/>
  <c r="AX191" i="19"/>
  <c r="AY191" i="19"/>
  <c r="AZ191" i="19"/>
  <c r="BB191" i="19"/>
  <c r="BC191" i="19"/>
  <c r="BD191" i="19"/>
  <c r="BF191" i="19"/>
  <c r="BG191" i="19"/>
  <c r="BH191" i="19"/>
  <c r="BI191" i="19"/>
  <c r="BJ191" i="19"/>
  <c r="BL191" i="19"/>
  <c r="BM191" i="19"/>
  <c r="BO191" i="19"/>
  <c r="BP191" i="19"/>
  <c r="BR191" i="19"/>
  <c r="BS191" i="19"/>
  <c r="BT191" i="19"/>
  <c r="BU191" i="19"/>
  <c r="BW191" i="19"/>
  <c r="BX191" i="19"/>
  <c r="BY191" i="19"/>
  <c r="CA191" i="19"/>
  <c r="CB191" i="19"/>
  <c r="CC191" i="19"/>
  <c r="CD191" i="19"/>
  <c r="CE191" i="19"/>
  <c r="CF191" i="19"/>
  <c r="CH191" i="19"/>
  <c r="CI191" i="19"/>
  <c r="CJ191" i="19"/>
  <c r="CL191" i="19"/>
  <c r="CM191" i="19"/>
  <c r="CN191" i="19"/>
  <c r="CO191" i="19"/>
  <c r="CP191" i="19"/>
  <c r="CR191" i="19"/>
  <c r="CS191" i="19"/>
  <c r="CT191" i="19"/>
  <c r="CU191" i="19"/>
  <c r="CV191" i="19"/>
  <c r="CW191" i="19"/>
  <c r="CX191" i="19"/>
  <c r="CY191" i="19"/>
  <c r="CZ191" i="19"/>
  <c r="C192" i="19"/>
  <c r="D192" i="19"/>
  <c r="I192" i="19"/>
  <c r="K192" i="19"/>
  <c r="P192" i="19"/>
  <c r="Q192" i="19"/>
  <c r="R192" i="19"/>
  <c r="S192" i="19"/>
  <c r="Y192" i="19"/>
  <c r="Z192" i="19"/>
  <c r="AA192" i="19"/>
  <c r="AB192" i="19"/>
  <c r="AD192" i="19"/>
  <c r="AE192" i="19"/>
  <c r="AI192" i="19"/>
  <c r="AK192" i="19"/>
  <c r="AL192" i="19"/>
  <c r="AM192" i="19"/>
  <c r="AN192" i="19"/>
  <c r="AQ192" i="19"/>
  <c r="AR192" i="19"/>
  <c r="AS192" i="19"/>
  <c r="AU192" i="19"/>
  <c r="AV192" i="19"/>
  <c r="AW192" i="19"/>
  <c r="AX192" i="19"/>
  <c r="AY192" i="19"/>
  <c r="AZ192" i="19"/>
  <c r="BB192" i="19"/>
  <c r="BC192" i="19"/>
  <c r="BD192" i="19"/>
  <c r="BF192" i="19"/>
  <c r="BG192" i="19"/>
  <c r="BH192" i="19"/>
  <c r="BI192" i="19"/>
  <c r="BJ192" i="19"/>
  <c r="BL192" i="19"/>
  <c r="BM192" i="19"/>
  <c r="BO192" i="19"/>
  <c r="BP192" i="19"/>
  <c r="BR192" i="19"/>
  <c r="BS192" i="19"/>
  <c r="BT192" i="19"/>
  <c r="BU192" i="19"/>
  <c r="BW192" i="19"/>
  <c r="BX192" i="19"/>
  <c r="BY192" i="19"/>
  <c r="CA192" i="19"/>
  <c r="CB192" i="19"/>
  <c r="CC192" i="19"/>
  <c r="CD192" i="19"/>
  <c r="CE192" i="19"/>
  <c r="CF192" i="19"/>
  <c r="CH192" i="19"/>
  <c r="CI192" i="19"/>
  <c r="CJ192" i="19"/>
  <c r="CL192" i="19"/>
  <c r="CM192" i="19"/>
  <c r="CN192" i="19"/>
  <c r="CO192" i="19"/>
  <c r="CP192" i="19"/>
  <c r="CR192" i="19"/>
  <c r="CS192" i="19"/>
  <c r="CT192" i="19"/>
  <c r="CU192" i="19"/>
  <c r="CV192" i="19"/>
  <c r="CW192" i="19"/>
  <c r="CX192" i="19"/>
  <c r="CY192" i="19"/>
  <c r="CZ192" i="19"/>
  <c r="C193" i="19"/>
  <c r="D193" i="19"/>
  <c r="I193" i="19"/>
  <c r="K193" i="19"/>
  <c r="P193" i="19"/>
  <c r="Q193" i="19"/>
  <c r="R193" i="19"/>
  <c r="S193" i="19"/>
  <c r="Y193" i="19"/>
  <c r="Z193" i="19"/>
  <c r="AA193" i="19"/>
  <c r="AB193" i="19"/>
  <c r="AD193" i="19"/>
  <c r="AE193" i="19"/>
  <c r="AI193" i="19"/>
  <c r="AK193" i="19"/>
  <c r="AL193" i="19"/>
  <c r="AM193" i="19"/>
  <c r="AN193" i="19"/>
  <c r="AQ193" i="19"/>
  <c r="AR193" i="19"/>
  <c r="AS193" i="19"/>
  <c r="AU193" i="19"/>
  <c r="AV193" i="19"/>
  <c r="AW193" i="19"/>
  <c r="AX193" i="19"/>
  <c r="AY193" i="19"/>
  <c r="AZ193" i="19"/>
  <c r="BB193" i="19"/>
  <c r="BC193" i="19"/>
  <c r="BD193" i="19"/>
  <c r="BF193" i="19"/>
  <c r="BG193" i="19"/>
  <c r="BH193" i="19"/>
  <c r="BI193" i="19"/>
  <c r="BJ193" i="19"/>
  <c r="BL193" i="19"/>
  <c r="BM193" i="19"/>
  <c r="BO193" i="19"/>
  <c r="BP193" i="19"/>
  <c r="BR193" i="19"/>
  <c r="BS193" i="19"/>
  <c r="BT193" i="19"/>
  <c r="BU193" i="19"/>
  <c r="BW193" i="19"/>
  <c r="BX193" i="19"/>
  <c r="BY193" i="19"/>
  <c r="CA193" i="19"/>
  <c r="CB193" i="19"/>
  <c r="CC193" i="19"/>
  <c r="CD193" i="19"/>
  <c r="CE193" i="19"/>
  <c r="CF193" i="19"/>
  <c r="CH193" i="19"/>
  <c r="CI193" i="19"/>
  <c r="CJ193" i="19"/>
  <c r="CL193" i="19"/>
  <c r="CM193" i="19"/>
  <c r="CN193" i="19"/>
  <c r="CO193" i="19"/>
  <c r="CP193" i="19"/>
  <c r="CR193" i="19"/>
  <c r="CS193" i="19"/>
  <c r="CT193" i="19"/>
  <c r="CU193" i="19"/>
  <c r="CV193" i="19"/>
  <c r="CW193" i="19"/>
  <c r="CX193" i="19"/>
  <c r="CY193" i="19"/>
  <c r="CZ193" i="19"/>
  <c r="C194" i="19"/>
  <c r="D194" i="19"/>
  <c r="I194" i="19"/>
  <c r="K194" i="19"/>
  <c r="P194" i="19"/>
  <c r="Q194" i="19"/>
  <c r="R194" i="19"/>
  <c r="S194" i="19"/>
  <c r="Y194" i="19"/>
  <c r="Z194" i="19"/>
  <c r="AA194" i="19"/>
  <c r="AB194" i="19"/>
  <c r="AD194" i="19"/>
  <c r="AE194" i="19"/>
  <c r="AI194" i="19"/>
  <c r="AK194" i="19"/>
  <c r="AL194" i="19"/>
  <c r="AM194" i="19"/>
  <c r="AN194" i="19"/>
  <c r="AQ194" i="19"/>
  <c r="AR194" i="19"/>
  <c r="AS194" i="19"/>
  <c r="AU194" i="19"/>
  <c r="AV194" i="19"/>
  <c r="AW194" i="19"/>
  <c r="AX194" i="19"/>
  <c r="AY194" i="19"/>
  <c r="AZ194" i="19"/>
  <c r="BB194" i="19"/>
  <c r="BC194" i="19"/>
  <c r="BD194" i="19"/>
  <c r="BF194" i="19"/>
  <c r="BG194" i="19"/>
  <c r="BH194" i="19"/>
  <c r="BI194" i="19"/>
  <c r="BJ194" i="19"/>
  <c r="BL194" i="19"/>
  <c r="BM194" i="19"/>
  <c r="BO194" i="19"/>
  <c r="BP194" i="19"/>
  <c r="BR194" i="19"/>
  <c r="BS194" i="19"/>
  <c r="BT194" i="19"/>
  <c r="BU194" i="19"/>
  <c r="BW194" i="19"/>
  <c r="BX194" i="19"/>
  <c r="BY194" i="19"/>
  <c r="CA194" i="19"/>
  <c r="CB194" i="19"/>
  <c r="CC194" i="19"/>
  <c r="CD194" i="19"/>
  <c r="CE194" i="19"/>
  <c r="CF194" i="19"/>
  <c r="CH194" i="19"/>
  <c r="CI194" i="19"/>
  <c r="CJ194" i="19"/>
  <c r="CL194" i="19"/>
  <c r="CM194" i="19"/>
  <c r="CN194" i="19"/>
  <c r="CO194" i="19"/>
  <c r="CP194" i="19"/>
  <c r="CR194" i="19"/>
  <c r="CS194" i="19"/>
  <c r="CT194" i="19"/>
  <c r="CU194" i="19"/>
  <c r="CV194" i="19"/>
  <c r="CW194" i="19"/>
  <c r="CX194" i="19"/>
  <c r="CY194" i="19"/>
  <c r="CZ194" i="19"/>
  <c r="C195" i="19"/>
  <c r="D195" i="19"/>
  <c r="I195" i="19"/>
  <c r="K195" i="19"/>
  <c r="P195" i="19"/>
  <c r="Q195" i="19"/>
  <c r="R195" i="19"/>
  <c r="S195" i="19"/>
  <c r="Y195" i="19"/>
  <c r="Z195" i="19"/>
  <c r="AA195" i="19"/>
  <c r="AB195" i="19"/>
  <c r="AD195" i="19"/>
  <c r="AE195" i="19"/>
  <c r="AI195" i="19"/>
  <c r="AK195" i="19"/>
  <c r="AL195" i="19"/>
  <c r="AM195" i="19"/>
  <c r="AN195" i="19"/>
  <c r="AQ195" i="19"/>
  <c r="AR195" i="19"/>
  <c r="AS195" i="19"/>
  <c r="AU195" i="19"/>
  <c r="AV195" i="19"/>
  <c r="AW195" i="19"/>
  <c r="AX195" i="19"/>
  <c r="AY195" i="19"/>
  <c r="AZ195" i="19"/>
  <c r="BB195" i="19"/>
  <c r="BC195" i="19"/>
  <c r="BD195" i="19"/>
  <c r="BF195" i="19"/>
  <c r="BG195" i="19"/>
  <c r="BH195" i="19"/>
  <c r="BI195" i="19"/>
  <c r="BJ195" i="19"/>
  <c r="BL195" i="19"/>
  <c r="BM195" i="19"/>
  <c r="BO195" i="19"/>
  <c r="BP195" i="19"/>
  <c r="BR195" i="19"/>
  <c r="BS195" i="19"/>
  <c r="BT195" i="19"/>
  <c r="BU195" i="19"/>
  <c r="BW195" i="19"/>
  <c r="BX195" i="19"/>
  <c r="BY195" i="19"/>
  <c r="CA195" i="19"/>
  <c r="CB195" i="19"/>
  <c r="CC195" i="19"/>
  <c r="CD195" i="19"/>
  <c r="CE195" i="19"/>
  <c r="CF195" i="19"/>
  <c r="CH195" i="19"/>
  <c r="CI195" i="19"/>
  <c r="CJ195" i="19"/>
  <c r="CL195" i="19"/>
  <c r="CM195" i="19"/>
  <c r="CN195" i="19"/>
  <c r="CO195" i="19"/>
  <c r="CP195" i="19"/>
  <c r="CR195" i="19"/>
  <c r="CS195" i="19"/>
  <c r="CT195" i="19"/>
  <c r="CU195" i="19"/>
  <c r="CV195" i="19"/>
  <c r="CW195" i="19"/>
  <c r="CX195" i="19"/>
  <c r="CY195" i="19"/>
  <c r="CZ195" i="19"/>
  <c r="C196" i="19"/>
  <c r="D196" i="19"/>
  <c r="I196" i="19"/>
  <c r="K196" i="19"/>
  <c r="P196" i="19"/>
  <c r="Q196" i="19"/>
  <c r="R196" i="19"/>
  <c r="S196" i="19"/>
  <c r="Y196" i="19"/>
  <c r="Z196" i="19"/>
  <c r="AA196" i="19"/>
  <c r="AB196" i="19"/>
  <c r="AD196" i="19"/>
  <c r="AE196" i="19"/>
  <c r="AI196" i="19"/>
  <c r="AK196" i="19"/>
  <c r="AL196" i="19"/>
  <c r="AM196" i="19"/>
  <c r="AN196" i="19"/>
  <c r="AQ196" i="19"/>
  <c r="AR196" i="19"/>
  <c r="AS196" i="19"/>
  <c r="AU196" i="19"/>
  <c r="AV196" i="19"/>
  <c r="AW196" i="19"/>
  <c r="AX196" i="19"/>
  <c r="AY196" i="19"/>
  <c r="AZ196" i="19"/>
  <c r="BB196" i="19"/>
  <c r="BC196" i="19"/>
  <c r="BD196" i="19"/>
  <c r="BF196" i="19"/>
  <c r="BG196" i="19"/>
  <c r="BH196" i="19"/>
  <c r="BI196" i="19"/>
  <c r="BJ196" i="19"/>
  <c r="BL196" i="19"/>
  <c r="BM196" i="19"/>
  <c r="BO196" i="19"/>
  <c r="BP196" i="19"/>
  <c r="BR196" i="19"/>
  <c r="BS196" i="19"/>
  <c r="BT196" i="19"/>
  <c r="BU196" i="19"/>
  <c r="BW196" i="19"/>
  <c r="BX196" i="19"/>
  <c r="BY196" i="19"/>
  <c r="CA196" i="19"/>
  <c r="CB196" i="19"/>
  <c r="CC196" i="19"/>
  <c r="CD196" i="19"/>
  <c r="CE196" i="19"/>
  <c r="CF196" i="19"/>
  <c r="CH196" i="19"/>
  <c r="CI196" i="19"/>
  <c r="CJ196" i="19"/>
  <c r="CL196" i="19"/>
  <c r="CM196" i="19"/>
  <c r="CN196" i="19"/>
  <c r="CO196" i="19"/>
  <c r="CP196" i="19"/>
  <c r="CR196" i="19"/>
  <c r="CS196" i="19"/>
  <c r="CT196" i="19"/>
  <c r="CU196" i="19"/>
  <c r="CV196" i="19"/>
  <c r="CW196" i="19"/>
  <c r="CX196" i="19"/>
  <c r="CY196" i="19"/>
  <c r="CZ196" i="19"/>
  <c r="C197" i="19"/>
  <c r="D197" i="19"/>
  <c r="I197" i="19"/>
  <c r="K197" i="19"/>
  <c r="P197" i="19"/>
  <c r="Q197" i="19"/>
  <c r="R197" i="19"/>
  <c r="S197" i="19"/>
  <c r="Y197" i="19"/>
  <c r="Z197" i="19"/>
  <c r="AA197" i="19"/>
  <c r="AB197" i="19"/>
  <c r="AD197" i="19"/>
  <c r="AE197" i="19"/>
  <c r="AI197" i="19"/>
  <c r="AK197" i="19"/>
  <c r="AL197" i="19"/>
  <c r="AM197" i="19"/>
  <c r="AN197" i="19"/>
  <c r="AQ197" i="19"/>
  <c r="AR197" i="19"/>
  <c r="AS197" i="19"/>
  <c r="AU197" i="19"/>
  <c r="AV197" i="19"/>
  <c r="AW197" i="19"/>
  <c r="AX197" i="19"/>
  <c r="AY197" i="19"/>
  <c r="AZ197" i="19"/>
  <c r="BB197" i="19"/>
  <c r="BC197" i="19"/>
  <c r="BD197" i="19"/>
  <c r="BF197" i="19"/>
  <c r="BG197" i="19"/>
  <c r="BH197" i="19"/>
  <c r="BI197" i="19"/>
  <c r="BJ197" i="19"/>
  <c r="BL197" i="19"/>
  <c r="BM197" i="19"/>
  <c r="BO197" i="19"/>
  <c r="BP197" i="19"/>
  <c r="BR197" i="19"/>
  <c r="BS197" i="19"/>
  <c r="BT197" i="19"/>
  <c r="BU197" i="19"/>
  <c r="BW197" i="19"/>
  <c r="BX197" i="19"/>
  <c r="BY197" i="19"/>
  <c r="CA197" i="19"/>
  <c r="CB197" i="19"/>
  <c r="CC197" i="19"/>
  <c r="CD197" i="19"/>
  <c r="CE197" i="19"/>
  <c r="CF197" i="19"/>
  <c r="CH197" i="19"/>
  <c r="CI197" i="19"/>
  <c r="CJ197" i="19"/>
  <c r="CL197" i="19"/>
  <c r="CM197" i="19"/>
  <c r="CN197" i="19"/>
  <c r="CO197" i="19"/>
  <c r="CP197" i="19"/>
  <c r="CR197" i="19"/>
  <c r="CS197" i="19"/>
  <c r="CT197" i="19"/>
  <c r="CU197" i="19"/>
  <c r="CV197" i="19"/>
  <c r="CW197" i="19"/>
  <c r="CX197" i="19"/>
  <c r="CY197" i="19"/>
  <c r="CZ197" i="19"/>
  <c r="C198" i="19"/>
  <c r="D198" i="19"/>
  <c r="I198" i="19"/>
  <c r="K198" i="19"/>
  <c r="P198" i="19"/>
  <c r="Q198" i="19"/>
  <c r="R198" i="19"/>
  <c r="S198" i="19"/>
  <c r="Y198" i="19"/>
  <c r="Z198" i="19"/>
  <c r="AA198" i="19"/>
  <c r="AB198" i="19"/>
  <c r="AD198" i="19"/>
  <c r="AE198" i="19"/>
  <c r="AI198" i="19"/>
  <c r="AK198" i="19"/>
  <c r="AL198" i="19"/>
  <c r="AM198" i="19"/>
  <c r="AN198" i="19"/>
  <c r="AQ198" i="19"/>
  <c r="AR198" i="19"/>
  <c r="AS198" i="19"/>
  <c r="AU198" i="19"/>
  <c r="AV198" i="19"/>
  <c r="AW198" i="19"/>
  <c r="AX198" i="19"/>
  <c r="AY198" i="19"/>
  <c r="AZ198" i="19"/>
  <c r="BB198" i="19"/>
  <c r="BC198" i="19"/>
  <c r="BD198" i="19"/>
  <c r="BF198" i="19"/>
  <c r="BG198" i="19"/>
  <c r="BH198" i="19"/>
  <c r="BI198" i="19"/>
  <c r="BJ198" i="19"/>
  <c r="BL198" i="19"/>
  <c r="BM198" i="19"/>
  <c r="BO198" i="19"/>
  <c r="BP198" i="19"/>
  <c r="BR198" i="19"/>
  <c r="BS198" i="19"/>
  <c r="BT198" i="19"/>
  <c r="BU198" i="19"/>
  <c r="BW198" i="19"/>
  <c r="BX198" i="19"/>
  <c r="BY198" i="19"/>
  <c r="CA198" i="19"/>
  <c r="CB198" i="19"/>
  <c r="CC198" i="19"/>
  <c r="CD198" i="19"/>
  <c r="CE198" i="19"/>
  <c r="CF198" i="19"/>
  <c r="CH198" i="19"/>
  <c r="CI198" i="19"/>
  <c r="CJ198" i="19"/>
  <c r="CL198" i="19"/>
  <c r="CM198" i="19"/>
  <c r="CN198" i="19"/>
  <c r="CO198" i="19"/>
  <c r="CP198" i="19"/>
  <c r="CR198" i="19"/>
  <c r="CS198" i="19"/>
  <c r="CT198" i="19"/>
  <c r="CU198" i="19"/>
  <c r="CV198" i="19"/>
  <c r="CW198" i="19"/>
  <c r="CX198" i="19"/>
  <c r="CY198" i="19"/>
  <c r="CZ198" i="19"/>
  <c r="C199" i="19"/>
  <c r="D199" i="19"/>
  <c r="I199" i="19"/>
  <c r="K199" i="19"/>
  <c r="P199" i="19"/>
  <c r="Q199" i="19"/>
  <c r="R199" i="19"/>
  <c r="S199" i="19"/>
  <c r="Y199" i="19"/>
  <c r="Z199" i="19"/>
  <c r="AA199" i="19"/>
  <c r="AB199" i="19"/>
  <c r="AD199" i="19"/>
  <c r="AE199" i="19"/>
  <c r="AI199" i="19"/>
  <c r="AK199" i="19"/>
  <c r="AL199" i="19"/>
  <c r="AM199" i="19"/>
  <c r="AN199" i="19"/>
  <c r="AQ199" i="19"/>
  <c r="AR199" i="19"/>
  <c r="AS199" i="19"/>
  <c r="AU199" i="19"/>
  <c r="AV199" i="19"/>
  <c r="AW199" i="19"/>
  <c r="AX199" i="19"/>
  <c r="AY199" i="19"/>
  <c r="AZ199" i="19"/>
  <c r="BB199" i="19"/>
  <c r="BC199" i="19"/>
  <c r="BD199" i="19"/>
  <c r="BF199" i="19"/>
  <c r="BG199" i="19"/>
  <c r="BH199" i="19"/>
  <c r="BI199" i="19"/>
  <c r="BJ199" i="19"/>
  <c r="BL199" i="19"/>
  <c r="BM199" i="19"/>
  <c r="BO199" i="19"/>
  <c r="BP199" i="19"/>
  <c r="BR199" i="19"/>
  <c r="BS199" i="19"/>
  <c r="BT199" i="19"/>
  <c r="BU199" i="19"/>
  <c r="BW199" i="19"/>
  <c r="BX199" i="19"/>
  <c r="BY199" i="19"/>
  <c r="CA199" i="19"/>
  <c r="CB199" i="19"/>
  <c r="CC199" i="19"/>
  <c r="CD199" i="19"/>
  <c r="CE199" i="19"/>
  <c r="CF199" i="19"/>
  <c r="CH199" i="19"/>
  <c r="CI199" i="19"/>
  <c r="CJ199" i="19"/>
  <c r="CL199" i="19"/>
  <c r="CM199" i="19"/>
  <c r="CN199" i="19"/>
  <c r="CO199" i="19"/>
  <c r="CP199" i="19"/>
  <c r="CR199" i="19"/>
  <c r="CS199" i="19"/>
  <c r="CT199" i="19"/>
  <c r="CU199" i="19"/>
  <c r="CV199" i="19"/>
  <c r="CW199" i="19"/>
  <c r="CX199" i="19"/>
  <c r="CY199" i="19"/>
  <c r="CZ199" i="19"/>
  <c r="C200" i="19"/>
  <c r="D200" i="19"/>
  <c r="I200" i="19"/>
  <c r="K200" i="19"/>
  <c r="P200" i="19"/>
  <c r="Q200" i="19"/>
  <c r="R200" i="19"/>
  <c r="S200" i="19"/>
  <c r="Y200" i="19"/>
  <c r="Z200" i="19"/>
  <c r="AA200" i="19"/>
  <c r="AB200" i="19"/>
  <c r="AD200" i="19"/>
  <c r="AE200" i="19"/>
  <c r="AI200" i="19"/>
  <c r="AK200" i="19"/>
  <c r="AL200" i="19"/>
  <c r="AM200" i="19"/>
  <c r="AN200" i="19"/>
  <c r="AQ200" i="19"/>
  <c r="AR200" i="19"/>
  <c r="AS200" i="19"/>
  <c r="AU200" i="19"/>
  <c r="AV200" i="19"/>
  <c r="AW200" i="19"/>
  <c r="AX200" i="19"/>
  <c r="AY200" i="19"/>
  <c r="AZ200" i="19"/>
  <c r="BB200" i="19"/>
  <c r="BC200" i="19"/>
  <c r="BD200" i="19"/>
  <c r="BF200" i="19"/>
  <c r="BG200" i="19"/>
  <c r="BH200" i="19"/>
  <c r="BI200" i="19"/>
  <c r="BJ200" i="19"/>
  <c r="BL200" i="19"/>
  <c r="BM200" i="19"/>
  <c r="BO200" i="19"/>
  <c r="BP200" i="19"/>
  <c r="BR200" i="19"/>
  <c r="BS200" i="19"/>
  <c r="BT200" i="19"/>
  <c r="BU200" i="19"/>
  <c r="BW200" i="19"/>
  <c r="BX200" i="19"/>
  <c r="BY200" i="19"/>
  <c r="CA200" i="19"/>
  <c r="CB200" i="19"/>
  <c r="CC200" i="19"/>
  <c r="CD200" i="19"/>
  <c r="CE200" i="19"/>
  <c r="CF200" i="19"/>
  <c r="CH200" i="19"/>
  <c r="CI200" i="19"/>
  <c r="CJ200" i="19"/>
  <c r="CL200" i="19"/>
  <c r="CM200" i="19"/>
  <c r="CN200" i="19"/>
  <c r="CO200" i="19"/>
  <c r="CP200" i="19"/>
  <c r="CR200" i="19"/>
  <c r="CS200" i="19"/>
  <c r="CT200" i="19"/>
  <c r="CU200" i="19"/>
  <c r="CV200" i="19"/>
  <c r="CW200" i="19"/>
  <c r="CX200" i="19"/>
  <c r="CY200" i="19"/>
  <c r="CZ200" i="19"/>
  <c r="C201" i="19"/>
  <c r="D201" i="19"/>
  <c r="I201" i="19"/>
  <c r="K201" i="19"/>
  <c r="P201" i="19"/>
  <c r="Q201" i="19"/>
  <c r="R201" i="19"/>
  <c r="S201" i="19"/>
  <c r="Y201" i="19"/>
  <c r="Z201" i="19"/>
  <c r="AA201" i="19"/>
  <c r="AB201" i="19"/>
  <c r="AD201" i="19"/>
  <c r="AE201" i="19"/>
  <c r="AI201" i="19"/>
  <c r="AK201" i="19"/>
  <c r="AL201" i="19"/>
  <c r="AM201" i="19"/>
  <c r="AN201" i="19"/>
  <c r="AQ201" i="19"/>
  <c r="AR201" i="19"/>
  <c r="AS201" i="19"/>
  <c r="AU201" i="19"/>
  <c r="AV201" i="19"/>
  <c r="AW201" i="19"/>
  <c r="AX201" i="19"/>
  <c r="AY201" i="19"/>
  <c r="AZ201" i="19"/>
  <c r="BB201" i="19"/>
  <c r="BC201" i="19"/>
  <c r="BD201" i="19"/>
  <c r="BF201" i="19"/>
  <c r="BG201" i="19"/>
  <c r="BH201" i="19"/>
  <c r="BI201" i="19"/>
  <c r="BJ201" i="19"/>
  <c r="BL201" i="19"/>
  <c r="BM201" i="19"/>
  <c r="BO201" i="19"/>
  <c r="BP201" i="19"/>
  <c r="BR201" i="19"/>
  <c r="BS201" i="19"/>
  <c r="BT201" i="19"/>
  <c r="BU201" i="19"/>
  <c r="BW201" i="19"/>
  <c r="BX201" i="19"/>
  <c r="BY201" i="19"/>
  <c r="CA201" i="19"/>
  <c r="CB201" i="19"/>
  <c r="CC201" i="19"/>
  <c r="CD201" i="19"/>
  <c r="CE201" i="19"/>
  <c r="CF201" i="19"/>
  <c r="CH201" i="19"/>
  <c r="CI201" i="19"/>
  <c r="CJ201" i="19"/>
  <c r="CL201" i="19"/>
  <c r="CM201" i="19"/>
  <c r="CN201" i="19"/>
  <c r="CO201" i="19"/>
  <c r="CP201" i="19"/>
  <c r="CR201" i="19"/>
  <c r="CS201" i="19"/>
  <c r="CT201" i="19"/>
  <c r="CU201" i="19"/>
  <c r="CV201" i="19"/>
  <c r="CW201" i="19"/>
  <c r="CX201" i="19"/>
  <c r="CY201" i="19"/>
  <c r="CZ201" i="19"/>
  <c r="C202" i="19"/>
  <c r="D202" i="19"/>
  <c r="I202" i="19"/>
  <c r="K202" i="19"/>
  <c r="P202" i="19"/>
  <c r="Q202" i="19"/>
  <c r="R202" i="19"/>
  <c r="S202" i="19"/>
  <c r="Y202" i="19"/>
  <c r="Z202" i="19"/>
  <c r="AA202" i="19"/>
  <c r="AB202" i="19"/>
  <c r="AD202" i="19"/>
  <c r="AE202" i="19"/>
  <c r="AI202" i="19"/>
  <c r="AK202" i="19"/>
  <c r="AL202" i="19"/>
  <c r="AM202" i="19"/>
  <c r="AN202" i="19"/>
  <c r="AQ202" i="19"/>
  <c r="AR202" i="19"/>
  <c r="AS202" i="19"/>
  <c r="AU202" i="19"/>
  <c r="AV202" i="19"/>
  <c r="AW202" i="19"/>
  <c r="AX202" i="19"/>
  <c r="AY202" i="19"/>
  <c r="AZ202" i="19"/>
  <c r="BB202" i="19"/>
  <c r="BC202" i="19"/>
  <c r="BD202" i="19"/>
  <c r="BF202" i="19"/>
  <c r="BG202" i="19"/>
  <c r="BH202" i="19"/>
  <c r="BI202" i="19"/>
  <c r="BJ202" i="19"/>
  <c r="BL202" i="19"/>
  <c r="BM202" i="19"/>
  <c r="BO202" i="19"/>
  <c r="BP202" i="19"/>
  <c r="BR202" i="19"/>
  <c r="BS202" i="19"/>
  <c r="BT202" i="19"/>
  <c r="BU202" i="19"/>
  <c r="BW202" i="19"/>
  <c r="BX202" i="19"/>
  <c r="BY202" i="19"/>
  <c r="CA202" i="19"/>
  <c r="CB202" i="19"/>
  <c r="CC202" i="19"/>
  <c r="CD202" i="19"/>
  <c r="CE202" i="19"/>
  <c r="CF202" i="19"/>
  <c r="CH202" i="19"/>
  <c r="CI202" i="19"/>
  <c r="CJ202" i="19"/>
  <c r="CL202" i="19"/>
  <c r="CM202" i="19"/>
  <c r="CN202" i="19"/>
  <c r="CO202" i="19"/>
  <c r="CP202" i="19"/>
  <c r="CR202" i="19"/>
  <c r="CS202" i="19"/>
  <c r="CT202" i="19"/>
  <c r="CU202" i="19"/>
  <c r="CV202" i="19"/>
  <c r="CW202" i="19"/>
  <c r="CX202" i="19"/>
  <c r="CY202" i="19"/>
  <c r="CZ202" i="19"/>
  <c r="C203" i="19"/>
  <c r="D203" i="19"/>
  <c r="I203" i="19"/>
  <c r="K203" i="19"/>
  <c r="P203" i="19"/>
  <c r="Q203" i="19"/>
  <c r="R203" i="19"/>
  <c r="S203" i="19"/>
  <c r="Y203" i="19"/>
  <c r="Z203" i="19"/>
  <c r="AA203" i="19"/>
  <c r="AB203" i="19"/>
  <c r="AD203" i="19"/>
  <c r="AE203" i="19"/>
  <c r="AI203" i="19"/>
  <c r="AK203" i="19"/>
  <c r="AL203" i="19"/>
  <c r="AM203" i="19"/>
  <c r="AN203" i="19"/>
  <c r="AQ203" i="19"/>
  <c r="AR203" i="19"/>
  <c r="AS203" i="19"/>
  <c r="AU203" i="19"/>
  <c r="AV203" i="19"/>
  <c r="AW203" i="19"/>
  <c r="AX203" i="19"/>
  <c r="AY203" i="19"/>
  <c r="AZ203" i="19"/>
  <c r="BB203" i="19"/>
  <c r="BC203" i="19"/>
  <c r="BD203" i="19"/>
  <c r="BF203" i="19"/>
  <c r="BG203" i="19"/>
  <c r="BH203" i="19"/>
  <c r="BI203" i="19"/>
  <c r="BJ203" i="19"/>
  <c r="BL203" i="19"/>
  <c r="BM203" i="19"/>
  <c r="BO203" i="19"/>
  <c r="BP203" i="19"/>
  <c r="BR203" i="19"/>
  <c r="BS203" i="19"/>
  <c r="BT203" i="19"/>
  <c r="BU203" i="19"/>
  <c r="BW203" i="19"/>
  <c r="BX203" i="19"/>
  <c r="BY203" i="19"/>
  <c r="CA203" i="19"/>
  <c r="CB203" i="19"/>
  <c r="CC203" i="19"/>
  <c r="CD203" i="19"/>
  <c r="CE203" i="19"/>
  <c r="CF203" i="19"/>
  <c r="CH203" i="19"/>
  <c r="CI203" i="19"/>
  <c r="CJ203" i="19"/>
  <c r="CL203" i="19"/>
  <c r="CM203" i="19"/>
  <c r="CN203" i="19"/>
  <c r="CO203" i="19"/>
  <c r="CP203" i="19"/>
  <c r="CR203" i="19"/>
  <c r="CS203" i="19"/>
  <c r="CT203" i="19"/>
  <c r="CU203" i="19"/>
  <c r="CV203" i="19"/>
  <c r="CW203" i="19"/>
  <c r="CX203" i="19"/>
  <c r="CY203" i="19"/>
  <c r="CZ203" i="19"/>
  <c r="C204" i="19"/>
  <c r="D204" i="19"/>
  <c r="I204" i="19"/>
  <c r="K204" i="19"/>
  <c r="P204" i="19"/>
  <c r="Q204" i="19"/>
  <c r="R204" i="19"/>
  <c r="S204" i="19"/>
  <c r="Y204" i="19"/>
  <c r="Z204" i="19"/>
  <c r="AA204" i="19"/>
  <c r="AB204" i="19"/>
  <c r="AD204" i="19"/>
  <c r="AE204" i="19"/>
  <c r="AI204" i="19"/>
  <c r="AK204" i="19"/>
  <c r="AL204" i="19"/>
  <c r="AM204" i="19"/>
  <c r="AN204" i="19"/>
  <c r="AQ204" i="19"/>
  <c r="AR204" i="19"/>
  <c r="AS204" i="19"/>
  <c r="AU204" i="19"/>
  <c r="AV204" i="19"/>
  <c r="AW204" i="19"/>
  <c r="AX204" i="19"/>
  <c r="AY204" i="19"/>
  <c r="AZ204" i="19"/>
  <c r="BB204" i="19"/>
  <c r="BC204" i="19"/>
  <c r="BD204" i="19"/>
  <c r="BF204" i="19"/>
  <c r="BG204" i="19"/>
  <c r="BH204" i="19"/>
  <c r="BI204" i="19"/>
  <c r="BJ204" i="19"/>
  <c r="BL204" i="19"/>
  <c r="BM204" i="19"/>
  <c r="BO204" i="19"/>
  <c r="BP204" i="19"/>
  <c r="BR204" i="19"/>
  <c r="BS204" i="19"/>
  <c r="BT204" i="19"/>
  <c r="BU204" i="19"/>
  <c r="BW204" i="19"/>
  <c r="BX204" i="19"/>
  <c r="BY204" i="19"/>
  <c r="CA204" i="19"/>
  <c r="CB204" i="19"/>
  <c r="CC204" i="19"/>
  <c r="CD204" i="19"/>
  <c r="CE204" i="19"/>
  <c r="CF204" i="19"/>
  <c r="CH204" i="19"/>
  <c r="CI204" i="19"/>
  <c r="CJ204" i="19"/>
  <c r="CL204" i="19"/>
  <c r="CM204" i="19"/>
  <c r="CN204" i="19"/>
  <c r="CO204" i="19"/>
  <c r="CP204" i="19"/>
  <c r="CR204" i="19"/>
  <c r="CS204" i="19"/>
  <c r="CT204" i="19"/>
  <c r="CU204" i="19"/>
  <c r="CV204" i="19"/>
  <c r="CW204" i="19"/>
  <c r="CX204" i="19"/>
  <c r="CY204" i="19"/>
  <c r="CZ204" i="19"/>
  <c r="C205" i="19"/>
  <c r="D205" i="19"/>
  <c r="I205" i="19"/>
  <c r="K205" i="19"/>
  <c r="P205" i="19"/>
  <c r="Q205" i="19"/>
  <c r="R205" i="19"/>
  <c r="S205" i="19"/>
  <c r="Y205" i="19"/>
  <c r="Z205" i="19"/>
  <c r="AA205" i="19"/>
  <c r="AB205" i="19"/>
  <c r="AD205" i="19"/>
  <c r="AE205" i="19"/>
  <c r="AI205" i="19"/>
  <c r="AK205" i="19"/>
  <c r="AL205" i="19"/>
  <c r="AM205" i="19"/>
  <c r="AN205" i="19"/>
  <c r="AQ205" i="19"/>
  <c r="AR205" i="19"/>
  <c r="AS205" i="19"/>
  <c r="AU205" i="19"/>
  <c r="AV205" i="19"/>
  <c r="AW205" i="19"/>
  <c r="AX205" i="19"/>
  <c r="AY205" i="19"/>
  <c r="AZ205" i="19"/>
  <c r="BB205" i="19"/>
  <c r="BC205" i="19"/>
  <c r="BD205" i="19"/>
  <c r="BF205" i="19"/>
  <c r="BG205" i="19"/>
  <c r="BH205" i="19"/>
  <c r="BI205" i="19"/>
  <c r="BJ205" i="19"/>
  <c r="BL205" i="19"/>
  <c r="BM205" i="19"/>
  <c r="BO205" i="19"/>
  <c r="BP205" i="19"/>
  <c r="BR205" i="19"/>
  <c r="BS205" i="19"/>
  <c r="BT205" i="19"/>
  <c r="BU205" i="19"/>
  <c r="BW205" i="19"/>
  <c r="BX205" i="19"/>
  <c r="BY205" i="19"/>
  <c r="CA205" i="19"/>
  <c r="CB205" i="19"/>
  <c r="CC205" i="19"/>
  <c r="CD205" i="19"/>
  <c r="CE205" i="19"/>
  <c r="CF205" i="19"/>
  <c r="CH205" i="19"/>
  <c r="CI205" i="19"/>
  <c r="CJ205" i="19"/>
  <c r="CL205" i="19"/>
  <c r="CM205" i="19"/>
  <c r="CN205" i="19"/>
  <c r="CO205" i="19"/>
  <c r="CP205" i="19"/>
  <c r="CR205" i="19"/>
  <c r="CS205" i="19"/>
  <c r="CT205" i="19"/>
  <c r="CU205" i="19"/>
  <c r="CV205" i="19"/>
  <c r="CW205" i="19"/>
  <c r="CX205" i="19"/>
  <c r="CY205" i="19"/>
  <c r="CZ205" i="19"/>
  <c r="C206" i="19"/>
  <c r="D206" i="19"/>
  <c r="I206" i="19"/>
  <c r="K206" i="19"/>
  <c r="P206" i="19"/>
  <c r="Q206" i="19"/>
  <c r="R206" i="19"/>
  <c r="S206" i="19"/>
  <c r="Y206" i="19"/>
  <c r="Z206" i="19"/>
  <c r="AA206" i="19"/>
  <c r="AB206" i="19"/>
  <c r="AD206" i="19"/>
  <c r="AE206" i="19"/>
  <c r="AI206" i="19"/>
  <c r="AK206" i="19"/>
  <c r="AL206" i="19"/>
  <c r="AM206" i="19"/>
  <c r="AN206" i="19"/>
  <c r="AQ206" i="19"/>
  <c r="AR206" i="19"/>
  <c r="AS206" i="19"/>
  <c r="AU206" i="19"/>
  <c r="AV206" i="19"/>
  <c r="AW206" i="19"/>
  <c r="AX206" i="19"/>
  <c r="AY206" i="19"/>
  <c r="AZ206" i="19"/>
  <c r="BB206" i="19"/>
  <c r="BC206" i="19"/>
  <c r="BD206" i="19"/>
  <c r="BF206" i="19"/>
  <c r="BG206" i="19"/>
  <c r="BH206" i="19"/>
  <c r="BI206" i="19"/>
  <c r="BJ206" i="19"/>
  <c r="BL206" i="19"/>
  <c r="BM206" i="19"/>
  <c r="BO206" i="19"/>
  <c r="BP206" i="19"/>
  <c r="BR206" i="19"/>
  <c r="BS206" i="19"/>
  <c r="BT206" i="19"/>
  <c r="BU206" i="19"/>
  <c r="BW206" i="19"/>
  <c r="BX206" i="19"/>
  <c r="BY206" i="19"/>
  <c r="CA206" i="19"/>
  <c r="CB206" i="19"/>
  <c r="CC206" i="19"/>
  <c r="CD206" i="19"/>
  <c r="CE206" i="19"/>
  <c r="CF206" i="19"/>
  <c r="CH206" i="19"/>
  <c r="CI206" i="19"/>
  <c r="CJ206" i="19"/>
  <c r="CL206" i="19"/>
  <c r="CM206" i="19"/>
  <c r="CN206" i="19"/>
  <c r="CO206" i="19"/>
  <c r="CP206" i="19"/>
  <c r="CR206" i="19"/>
  <c r="CS206" i="19"/>
  <c r="CT206" i="19"/>
  <c r="CU206" i="19"/>
  <c r="CV206" i="19"/>
  <c r="CW206" i="19"/>
  <c r="CX206" i="19"/>
  <c r="CY206" i="19"/>
  <c r="CZ206" i="19"/>
  <c r="C207" i="19"/>
  <c r="D207" i="19"/>
  <c r="I207" i="19"/>
  <c r="K207" i="19"/>
  <c r="P207" i="19"/>
  <c r="Q207" i="19"/>
  <c r="R207" i="19"/>
  <c r="S207" i="19"/>
  <c r="Y207" i="19"/>
  <c r="Z207" i="19"/>
  <c r="AA207" i="19"/>
  <c r="AB207" i="19"/>
  <c r="AD207" i="19"/>
  <c r="AE207" i="19"/>
  <c r="AI207" i="19"/>
  <c r="AK207" i="19"/>
  <c r="AL207" i="19"/>
  <c r="AM207" i="19"/>
  <c r="AN207" i="19"/>
  <c r="AQ207" i="19"/>
  <c r="AR207" i="19"/>
  <c r="AS207" i="19"/>
  <c r="AU207" i="19"/>
  <c r="AV207" i="19"/>
  <c r="AW207" i="19"/>
  <c r="AX207" i="19"/>
  <c r="AY207" i="19"/>
  <c r="AZ207" i="19"/>
  <c r="BB207" i="19"/>
  <c r="BC207" i="19"/>
  <c r="BD207" i="19"/>
  <c r="BF207" i="19"/>
  <c r="BG207" i="19"/>
  <c r="BH207" i="19"/>
  <c r="BI207" i="19"/>
  <c r="BJ207" i="19"/>
  <c r="BL207" i="19"/>
  <c r="BM207" i="19"/>
  <c r="BO207" i="19"/>
  <c r="BP207" i="19"/>
  <c r="BR207" i="19"/>
  <c r="BS207" i="19"/>
  <c r="BT207" i="19"/>
  <c r="BU207" i="19"/>
  <c r="BW207" i="19"/>
  <c r="BX207" i="19"/>
  <c r="BY207" i="19"/>
  <c r="CA207" i="19"/>
  <c r="CB207" i="19"/>
  <c r="CC207" i="19"/>
  <c r="CD207" i="19"/>
  <c r="CE207" i="19"/>
  <c r="CF207" i="19"/>
  <c r="CH207" i="19"/>
  <c r="CI207" i="19"/>
  <c r="CJ207" i="19"/>
  <c r="CL207" i="19"/>
  <c r="CM207" i="19"/>
  <c r="CN207" i="19"/>
  <c r="CO207" i="19"/>
  <c r="CP207" i="19"/>
  <c r="CR207" i="19"/>
  <c r="CS207" i="19"/>
  <c r="CT207" i="19"/>
  <c r="CU207" i="19"/>
  <c r="CV207" i="19"/>
  <c r="CW207" i="19"/>
  <c r="CX207" i="19"/>
  <c r="CY207" i="19"/>
  <c r="CZ207" i="19"/>
  <c r="C208" i="19"/>
  <c r="D208" i="19"/>
  <c r="I208" i="19"/>
  <c r="K208" i="19"/>
  <c r="P208" i="19"/>
  <c r="Q208" i="19"/>
  <c r="R208" i="19"/>
  <c r="S208" i="19"/>
  <c r="Y208" i="19"/>
  <c r="Z208" i="19"/>
  <c r="AA208" i="19"/>
  <c r="AB208" i="19"/>
  <c r="AD208" i="19"/>
  <c r="AE208" i="19"/>
  <c r="AI208" i="19"/>
  <c r="AK208" i="19"/>
  <c r="AL208" i="19"/>
  <c r="AM208" i="19"/>
  <c r="AN208" i="19"/>
  <c r="AQ208" i="19"/>
  <c r="AR208" i="19"/>
  <c r="AS208" i="19"/>
  <c r="AU208" i="19"/>
  <c r="AV208" i="19"/>
  <c r="AW208" i="19"/>
  <c r="AX208" i="19"/>
  <c r="AY208" i="19"/>
  <c r="AZ208" i="19"/>
  <c r="BB208" i="19"/>
  <c r="BC208" i="19"/>
  <c r="BD208" i="19"/>
  <c r="BF208" i="19"/>
  <c r="BG208" i="19"/>
  <c r="BH208" i="19"/>
  <c r="BI208" i="19"/>
  <c r="BJ208" i="19"/>
  <c r="BL208" i="19"/>
  <c r="BM208" i="19"/>
  <c r="BO208" i="19"/>
  <c r="BP208" i="19"/>
  <c r="BR208" i="19"/>
  <c r="BS208" i="19"/>
  <c r="BT208" i="19"/>
  <c r="BU208" i="19"/>
  <c r="BW208" i="19"/>
  <c r="BX208" i="19"/>
  <c r="BY208" i="19"/>
  <c r="CA208" i="19"/>
  <c r="CB208" i="19"/>
  <c r="CC208" i="19"/>
  <c r="CD208" i="19"/>
  <c r="CE208" i="19"/>
  <c r="CF208" i="19"/>
  <c r="CH208" i="19"/>
  <c r="CI208" i="19"/>
  <c r="CJ208" i="19"/>
  <c r="CL208" i="19"/>
  <c r="CM208" i="19"/>
  <c r="CN208" i="19"/>
  <c r="CO208" i="19"/>
  <c r="CP208" i="19"/>
  <c r="CR208" i="19"/>
  <c r="CS208" i="19"/>
  <c r="CT208" i="19"/>
  <c r="CU208" i="19"/>
  <c r="CV208" i="19"/>
  <c r="CW208" i="19"/>
  <c r="CX208" i="19"/>
  <c r="CY208" i="19"/>
  <c r="CZ208" i="19"/>
  <c r="C209" i="19"/>
  <c r="D209" i="19"/>
  <c r="I209" i="19"/>
  <c r="K209" i="19"/>
  <c r="P209" i="19"/>
  <c r="Q209" i="19"/>
  <c r="R209" i="19"/>
  <c r="S209" i="19"/>
  <c r="Y209" i="19"/>
  <c r="Z209" i="19"/>
  <c r="AA209" i="19"/>
  <c r="AB209" i="19"/>
  <c r="AD209" i="19"/>
  <c r="AE209" i="19"/>
  <c r="AI209" i="19"/>
  <c r="AK209" i="19"/>
  <c r="AL209" i="19"/>
  <c r="AM209" i="19"/>
  <c r="AN209" i="19"/>
  <c r="AQ209" i="19"/>
  <c r="AR209" i="19"/>
  <c r="AS209" i="19"/>
  <c r="AU209" i="19"/>
  <c r="AV209" i="19"/>
  <c r="AW209" i="19"/>
  <c r="AX209" i="19"/>
  <c r="AY209" i="19"/>
  <c r="AZ209" i="19"/>
  <c r="BB209" i="19"/>
  <c r="BC209" i="19"/>
  <c r="BD209" i="19"/>
  <c r="BF209" i="19"/>
  <c r="BG209" i="19"/>
  <c r="BH209" i="19"/>
  <c r="BI209" i="19"/>
  <c r="BJ209" i="19"/>
  <c r="BL209" i="19"/>
  <c r="BM209" i="19"/>
  <c r="BO209" i="19"/>
  <c r="BP209" i="19"/>
  <c r="BR209" i="19"/>
  <c r="BS209" i="19"/>
  <c r="BT209" i="19"/>
  <c r="BU209" i="19"/>
  <c r="BW209" i="19"/>
  <c r="BX209" i="19"/>
  <c r="BY209" i="19"/>
  <c r="CA209" i="19"/>
  <c r="CB209" i="19"/>
  <c r="CC209" i="19"/>
  <c r="CD209" i="19"/>
  <c r="CE209" i="19"/>
  <c r="CF209" i="19"/>
  <c r="CH209" i="19"/>
  <c r="CI209" i="19"/>
  <c r="CJ209" i="19"/>
  <c r="CL209" i="19"/>
  <c r="CM209" i="19"/>
  <c r="CN209" i="19"/>
  <c r="CO209" i="19"/>
  <c r="CP209" i="19"/>
  <c r="CR209" i="19"/>
  <c r="CS209" i="19"/>
  <c r="CT209" i="19"/>
  <c r="CU209" i="19"/>
  <c r="CV209" i="19"/>
  <c r="CW209" i="19"/>
  <c r="CX209" i="19"/>
  <c r="CY209" i="19"/>
  <c r="CZ209" i="19"/>
  <c r="C210" i="19"/>
  <c r="D210" i="19"/>
  <c r="I210" i="19"/>
  <c r="K210" i="19"/>
  <c r="P210" i="19"/>
  <c r="Q210" i="19"/>
  <c r="R210" i="19"/>
  <c r="S210" i="19"/>
  <c r="Y210" i="19"/>
  <c r="Z210" i="19"/>
  <c r="AA210" i="19"/>
  <c r="AB210" i="19"/>
  <c r="AD210" i="19"/>
  <c r="AE210" i="19"/>
  <c r="AI210" i="19"/>
  <c r="AK210" i="19"/>
  <c r="AL210" i="19"/>
  <c r="AM210" i="19"/>
  <c r="AN210" i="19"/>
  <c r="AQ210" i="19"/>
  <c r="AR210" i="19"/>
  <c r="AS210" i="19"/>
  <c r="AU210" i="19"/>
  <c r="AV210" i="19"/>
  <c r="AW210" i="19"/>
  <c r="AX210" i="19"/>
  <c r="AY210" i="19"/>
  <c r="AZ210" i="19"/>
  <c r="BB210" i="19"/>
  <c r="BC210" i="19"/>
  <c r="BD210" i="19"/>
  <c r="BF210" i="19"/>
  <c r="BG210" i="19"/>
  <c r="BH210" i="19"/>
  <c r="BI210" i="19"/>
  <c r="BJ210" i="19"/>
  <c r="BL210" i="19"/>
  <c r="BM210" i="19"/>
  <c r="BO210" i="19"/>
  <c r="BP210" i="19"/>
  <c r="BR210" i="19"/>
  <c r="BS210" i="19"/>
  <c r="BT210" i="19"/>
  <c r="BU210" i="19"/>
  <c r="BW210" i="19"/>
  <c r="BX210" i="19"/>
  <c r="BY210" i="19"/>
  <c r="CA210" i="19"/>
  <c r="CB210" i="19"/>
  <c r="CC210" i="19"/>
  <c r="CD210" i="19"/>
  <c r="CE210" i="19"/>
  <c r="CF210" i="19"/>
  <c r="CH210" i="19"/>
  <c r="CI210" i="19"/>
  <c r="CJ210" i="19"/>
  <c r="CL210" i="19"/>
  <c r="CM210" i="19"/>
  <c r="CN210" i="19"/>
  <c r="CO210" i="19"/>
  <c r="CP210" i="19"/>
  <c r="CR210" i="19"/>
  <c r="CS210" i="19"/>
  <c r="CT210" i="19"/>
  <c r="CU210" i="19"/>
  <c r="CV210" i="19"/>
  <c r="CW210" i="19"/>
  <c r="CX210" i="19"/>
  <c r="CY210" i="19"/>
  <c r="CZ210" i="19"/>
  <c r="C211" i="19"/>
  <c r="D211" i="19"/>
  <c r="I211" i="19"/>
  <c r="K211" i="19"/>
  <c r="P211" i="19"/>
  <c r="Q211" i="19"/>
  <c r="R211" i="19"/>
  <c r="S211" i="19"/>
  <c r="Y211" i="19"/>
  <c r="Z211" i="19"/>
  <c r="AA211" i="19"/>
  <c r="AB211" i="19"/>
  <c r="AD211" i="19"/>
  <c r="AE211" i="19"/>
  <c r="AI211" i="19"/>
  <c r="AK211" i="19"/>
  <c r="AL211" i="19"/>
  <c r="AM211" i="19"/>
  <c r="AN211" i="19"/>
  <c r="AQ211" i="19"/>
  <c r="AR211" i="19"/>
  <c r="AS211" i="19"/>
  <c r="AU211" i="19"/>
  <c r="AV211" i="19"/>
  <c r="AW211" i="19"/>
  <c r="AX211" i="19"/>
  <c r="AY211" i="19"/>
  <c r="AZ211" i="19"/>
  <c r="BB211" i="19"/>
  <c r="BC211" i="19"/>
  <c r="BD211" i="19"/>
  <c r="BF211" i="19"/>
  <c r="BG211" i="19"/>
  <c r="BH211" i="19"/>
  <c r="BI211" i="19"/>
  <c r="BJ211" i="19"/>
  <c r="BL211" i="19"/>
  <c r="BM211" i="19"/>
  <c r="BO211" i="19"/>
  <c r="BP211" i="19"/>
  <c r="BR211" i="19"/>
  <c r="BS211" i="19"/>
  <c r="BT211" i="19"/>
  <c r="BU211" i="19"/>
  <c r="BW211" i="19"/>
  <c r="BX211" i="19"/>
  <c r="BY211" i="19"/>
  <c r="CA211" i="19"/>
  <c r="CB211" i="19"/>
  <c r="CC211" i="19"/>
  <c r="CD211" i="19"/>
  <c r="CE211" i="19"/>
  <c r="CF211" i="19"/>
  <c r="CH211" i="19"/>
  <c r="CI211" i="19"/>
  <c r="CJ211" i="19"/>
  <c r="CL211" i="19"/>
  <c r="CM211" i="19"/>
  <c r="CN211" i="19"/>
  <c r="CO211" i="19"/>
  <c r="CP211" i="19"/>
  <c r="CR211" i="19"/>
  <c r="CS211" i="19"/>
  <c r="CT211" i="19"/>
  <c r="CU211" i="19"/>
  <c r="CV211" i="19"/>
  <c r="CW211" i="19"/>
  <c r="CX211" i="19"/>
  <c r="CY211" i="19"/>
  <c r="CZ211" i="19"/>
  <c r="C212" i="19"/>
  <c r="D212" i="19"/>
  <c r="I212" i="19"/>
  <c r="K212" i="19"/>
  <c r="P212" i="19"/>
  <c r="Q212" i="19"/>
  <c r="R212" i="19"/>
  <c r="S212" i="19"/>
  <c r="Y212" i="19"/>
  <c r="Z212" i="19"/>
  <c r="AA212" i="19"/>
  <c r="AB212" i="19"/>
  <c r="AD212" i="19"/>
  <c r="AE212" i="19"/>
  <c r="AI212" i="19"/>
  <c r="AK212" i="19"/>
  <c r="AL212" i="19"/>
  <c r="AM212" i="19"/>
  <c r="AN212" i="19"/>
  <c r="AQ212" i="19"/>
  <c r="AR212" i="19"/>
  <c r="AS212" i="19"/>
  <c r="AU212" i="19"/>
  <c r="AV212" i="19"/>
  <c r="AW212" i="19"/>
  <c r="AX212" i="19"/>
  <c r="AY212" i="19"/>
  <c r="AZ212" i="19"/>
  <c r="BB212" i="19"/>
  <c r="BC212" i="19"/>
  <c r="BD212" i="19"/>
  <c r="BF212" i="19"/>
  <c r="BG212" i="19"/>
  <c r="BH212" i="19"/>
  <c r="BI212" i="19"/>
  <c r="BJ212" i="19"/>
  <c r="BL212" i="19"/>
  <c r="BM212" i="19"/>
  <c r="BO212" i="19"/>
  <c r="BP212" i="19"/>
  <c r="BR212" i="19"/>
  <c r="BS212" i="19"/>
  <c r="BT212" i="19"/>
  <c r="BU212" i="19"/>
  <c r="BW212" i="19"/>
  <c r="BX212" i="19"/>
  <c r="BY212" i="19"/>
  <c r="CA212" i="19"/>
  <c r="CB212" i="19"/>
  <c r="CC212" i="19"/>
  <c r="CD212" i="19"/>
  <c r="CE212" i="19"/>
  <c r="CF212" i="19"/>
  <c r="CH212" i="19"/>
  <c r="CI212" i="19"/>
  <c r="CJ212" i="19"/>
  <c r="CL212" i="19"/>
  <c r="CM212" i="19"/>
  <c r="CN212" i="19"/>
  <c r="CO212" i="19"/>
  <c r="CP212" i="19"/>
  <c r="CR212" i="19"/>
  <c r="CS212" i="19"/>
  <c r="CT212" i="19"/>
  <c r="CU212" i="19"/>
  <c r="CV212" i="19"/>
  <c r="CW212" i="19"/>
  <c r="CX212" i="19"/>
  <c r="CY212" i="19"/>
  <c r="CZ212" i="19"/>
  <c r="C213" i="19"/>
  <c r="D213" i="19"/>
  <c r="I213" i="19"/>
  <c r="K213" i="19"/>
  <c r="P213" i="19"/>
  <c r="Q213" i="19"/>
  <c r="R213" i="19"/>
  <c r="S213" i="19"/>
  <c r="Y213" i="19"/>
  <c r="Z213" i="19"/>
  <c r="AA213" i="19"/>
  <c r="AB213" i="19"/>
  <c r="AD213" i="19"/>
  <c r="AE213" i="19"/>
  <c r="AI213" i="19"/>
  <c r="AK213" i="19"/>
  <c r="AL213" i="19"/>
  <c r="AM213" i="19"/>
  <c r="AN213" i="19"/>
  <c r="AQ213" i="19"/>
  <c r="AR213" i="19"/>
  <c r="AS213" i="19"/>
  <c r="AU213" i="19"/>
  <c r="AV213" i="19"/>
  <c r="AW213" i="19"/>
  <c r="AX213" i="19"/>
  <c r="AY213" i="19"/>
  <c r="AZ213" i="19"/>
  <c r="BB213" i="19"/>
  <c r="BC213" i="19"/>
  <c r="BD213" i="19"/>
  <c r="BF213" i="19"/>
  <c r="BG213" i="19"/>
  <c r="BH213" i="19"/>
  <c r="BI213" i="19"/>
  <c r="BJ213" i="19"/>
  <c r="BL213" i="19"/>
  <c r="BM213" i="19"/>
  <c r="BO213" i="19"/>
  <c r="BP213" i="19"/>
  <c r="BR213" i="19"/>
  <c r="BS213" i="19"/>
  <c r="BT213" i="19"/>
  <c r="BU213" i="19"/>
  <c r="BW213" i="19"/>
  <c r="BX213" i="19"/>
  <c r="BY213" i="19"/>
  <c r="CA213" i="19"/>
  <c r="CB213" i="19"/>
  <c r="CC213" i="19"/>
  <c r="CD213" i="19"/>
  <c r="CE213" i="19"/>
  <c r="CF213" i="19"/>
  <c r="CH213" i="19"/>
  <c r="CI213" i="19"/>
  <c r="CJ213" i="19"/>
  <c r="CL213" i="19"/>
  <c r="CM213" i="19"/>
  <c r="CN213" i="19"/>
  <c r="CO213" i="19"/>
  <c r="CP213" i="19"/>
  <c r="CR213" i="19"/>
  <c r="CS213" i="19"/>
  <c r="CT213" i="19"/>
  <c r="CU213" i="19"/>
  <c r="CV213" i="19"/>
  <c r="CW213" i="19"/>
  <c r="CX213" i="19"/>
  <c r="CY213" i="19"/>
  <c r="CZ213" i="19"/>
  <c r="C214" i="19"/>
  <c r="D214" i="19"/>
  <c r="I214" i="19"/>
  <c r="K214" i="19"/>
  <c r="P214" i="19"/>
  <c r="Q214" i="19"/>
  <c r="R214" i="19"/>
  <c r="S214" i="19"/>
  <c r="Y214" i="19"/>
  <c r="Z214" i="19"/>
  <c r="AA214" i="19"/>
  <c r="AB214" i="19"/>
  <c r="AD214" i="19"/>
  <c r="AE214" i="19"/>
  <c r="AI214" i="19"/>
  <c r="AK214" i="19"/>
  <c r="AL214" i="19"/>
  <c r="AM214" i="19"/>
  <c r="AN214" i="19"/>
  <c r="AQ214" i="19"/>
  <c r="AR214" i="19"/>
  <c r="AS214" i="19"/>
  <c r="AU214" i="19"/>
  <c r="AV214" i="19"/>
  <c r="AW214" i="19"/>
  <c r="AX214" i="19"/>
  <c r="AY214" i="19"/>
  <c r="AZ214" i="19"/>
  <c r="BB214" i="19"/>
  <c r="BC214" i="19"/>
  <c r="BD214" i="19"/>
  <c r="BF214" i="19"/>
  <c r="BG214" i="19"/>
  <c r="BH214" i="19"/>
  <c r="BI214" i="19"/>
  <c r="BJ214" i="19"/>
  <c r="BL214" i="19"/>
  <c r="BM214" i="19"/>
  <c r="BO214" i="19"/>
  <c r="BP214" i="19"/>
  <c r="BR214" i="19"/>
  <c r="BS214" i="19"/>
  <c r="BT214" i="19"/>
  <c r="BU214" i="19"/>
  <c r="BW214" i="19"/>
  <c r="BX214" i="19"/>
  <c r="BY214" i="19"/>
  <c r="CA214" i="19"/>
  <c r="CB214" i="19"/>
  <c r="CC214" i="19"/>
  <c r="CD214" i="19"/>
  <c r="CE214" i="19"/>
  <c r="CF214" i="19"/>
  <c r="CH214" i="19"/>
  <c r="CI214" i="19"/>
  <c r="CJ214" i="19"/>
  <c r="CL214" i="19"/>
  <c r="CM214" i="19"/>
  <c r="CN214" i="19"/>
  <c r="CO214" i="19"/>
  <c r="CP214" i="19"/>
  <c r="CR214" i="19"/>
  <c r="CS214" i="19"/>
  <c r="CT214" i="19"/>
  <c r="CU214" i="19"/>
  <c r="CV214" i="19"/>
  <c r="CW214" i="19"/>
  <c r="CX214" i="19"/>
  <c r="CY214" i="19"/>
  <c r="CZ214" i="19"/>
  <c r="C215" i="19"/>
  <c r="D215" i="19"/>
  <c r="I215" i="19"/>
  <c r="K215" i="19"/>
  <c r="P215" i="19"/>
  <c r="Q215" i="19"/>
  <c r="R215" i="19"/>
  <c r="S215" i="19"/>
  <c r="Y215" i="19"/>
  <c r="Z215" i="19"/>
  <c r="AA215" i="19"/>
  <c r="AB215" i="19"/>
  <c r="AD215" i="19"/>
  <c r="AE215" i="19"/>
  <c r="AI215" i="19"/>
  <c r="AK215" i="19"/>
  <c r="AL215" i="19"/>
  <c r="AM215" i="19"/>
  <c r="AN215" i="19"/>
  <c r="AQ215" i="19"/>
  <c r="AR215" i="19"/>
  <c r="AS215" i="19"/>
  <c r="AU215" i="19"/>
  <c r="AV215" i="19"/>
  <c r="AW215" i="19"/>
  <c r="AX215" i="19"/>
  <c r="AY215" i="19"/>
  <c r="AZ215" i="19"/>
  <c r="BB215" i="19"/>
  <c r="BC215" i="19"/>
  <c r="BD215" i="19"/>
  <c r="BF215" i="19"/>
  <c r="BG215" i="19"/>
  <c r="BH215" i="19"/>
  <c r="BI215" i="19"/>
  <c r="BJ215" i="19"/>
  <c r="BL215" i="19"/>
  <c r="BM215" i="19"/>
  <c r="BO215" i="19"/>
  <c r="BP215" i="19"/>
  <c r="BR215" i="19"/>
  <c r="BS215" i="19"/>
  <c r="BT215" i="19"/>
  <c r="BU215" i="19"/>
  <c r="BW215" i="19"/>
  <c r="BX215" i="19"/>
  <c r="BY215" i="19"/>
  <c r="CA215" i="19"/>
  <c r="CB215" i="19"/>
  <c r="CC215" i="19"/>
  <c r="CD215" i="19"/>
  <c r="CE215" i="19"/>
  <c r="CF215" i="19"/>
  <c r="CH215" i="19"/>
  <c r="CI215" i="19"/>
  <c r="CJ215" i="19"/>
  <c r="CL215" i="19"/>
  <c r="CM215" i="19"/>
  <c r="CN215" i="19"/>
  <c r="CO215" i="19"/>
  <c r="CP215" i="19"/>
  <c r="CR215" i="19"/>
  <c r="CS215" i="19"/>
  <c r="CT215" i="19"/>
  <c r="CU215" i="19"/>
  <c r="CV215" i="19"/>
  <c r="CW215" i="19"/>
  <c r="CX215" i="19"/>
  <c r="CY215" i="19"/>
  <c r="CZ215" i="19"/>
  <c r="C216" i="19"/>
  <c r="D216" i="19"/>
  <c r="I216" i="19"/>
  <c r="K216" i="19"/>
  <c r="P216" i="19"/>
  <c r="Q216" i="19"/>
  <c r="R216" i="19"/>
  <c r="S216" i="19"/>
  <c r="Y216" i="19"/>
  <c r="Z216" i="19"/>
  <c r="AA216" i="19"/>
  <c r="AB216" i="19"/>
  <c r="AD216" i="19"/>
  <c r="AE216" i="19"/>
  <c r="AI216" i="19"/>
  <c r="AK216" i="19"/>
  <c r="AL216" i="19"/>
  <c r="AM216" i="19"/>
  <c r="AN216" i="19"/>
  <c r="AQ216" i="19"/>
  <c r="AR216" i="19"/>
  <c r="AS216" i="19"/>
  <c r="AU216" i="19"/>
  <c r="AV216" i="19"/>
  <c r="AW216" i="19"/>
  <c r="AX216" i="19"/>
  <c r="AY216" i="19"/>
  <c r="AZ216" i="19"/>
  <c r="BB216" i="19"/>
  <c r="BC216" i="19"/>
  <c r="BD216" i="19"/>
  <c r="BF216" i="19"/>
  <c r="BG216" i="19"/>
  <c r="BH216" i="19"/>
  <c r="BI216" i="19"/>
  <c r="BJ216" i="19"/>
  <c r="BL216" i="19"/>
  <c r="BM216" i="19"/>
  <c r="BO216" i="19"/>
  <c r="BP216" i="19"/>
  <c r="BR216" i="19"/>
  <c r="BS216" i="19"/>
  <c r="BT216" i="19"/>
  <c r="BU216" i="19"/>
  <c r="BW216" i="19"/>
  <c r="BX216" i="19"/>
  <c r="BY216" i="19"/>
  <c r="CA216" i="19"/>
  <c r="CB216" i="19"/>
  <c r="CC216" i="19"/>
  <c r="CD216" i="19"/>
  <c r="CE216" i="19"/>
  <c r="CF216" i="19"/>
  <c r="CH216" i="19"/>
  <c r="CI216" i="19"/>
  <c r="CJ216" i="19"/>
  <c r="CL216" i="19"/>
  <c r="CM216" i="19"/>
  <c r="CN216" i="19"/>
  <c r="CO216" i="19"/>
  <c r="CP216" i="19"/>
  <c r="CR216" i="19"/>
  <c r="CS216" i="19"/>
  <c r="CT216" i="19"/>
  <c r="CU216" i="19"/>
  <c r="CV216" i="19"/>
  <c r="CW216" i="19"/>
  <c r="CX216" i="19"/>
  <c r="CY216" i="19"/>
  <c r="CZ216" i="19"/>
  <c r="C217" i="19"/>
  <c r="D217" i="19"/>
  <c r="I217" i="19"/>
  <c r="K217" i="19"/>
  <c r="P217" i="19"/>
  <c r="Q217" i="19"/>
  <c r="R217" i="19"/>
  <c r="S217" i="19"/>
  <c r="Y217" i="19"/>
  <c r="Z217" i="19"/>
  <c r="AA217" i="19"/>
  <c r="AB217" i="19"/>
  <c r="AD217" i="19"/>
  <c r="AE217" i="19"/>
  <c r="AI217" i="19"/>
  <c r="AK217" i="19"/>
  <c r="AL217" i="19"/>
  <c r="AM217" i="19"/>
  <c r="AN217" i="19"/>
  <c r="AQ217" i="19"/>
  <c r="AR217" i="19"/>
  <c r="AS217" i="19"/>
  <c r="AU217" i="19"/>
  <c r="AV217" i="19"/>
  <c r="AW217" i="19"/>
  <c r="AX217" i="19"/>
  <c r="AY217" i="19"/>
  <c r="AZ217" i="19"/>
  <c r="BB217" i="19"/>
  <c r="BC217" i="19"/>
  <c r="BD217" i="19"/>
  <c r="BF217" i="19"/>
  <c r="BG217" i="19"/>
  <c r="BH217" i="19"/>
  <c r="BI217" i="19"/>
  <c r="BJ217" i="19"/>
  <c r="BL217" i="19"/>
  <c r="BM217" i="19"/>
  <c r="BO217" i="19"/>
  <c r="BP217" i="19"/>
  <c r="BR217" i="19"/>
  <c r="BS217" i="19"/>
  <c r="BT217" i="19"/>
  <c r="BU217" i="19"/>
  <c r="BW217" i="19"/>
  <c r="BX217" i="19"/>
  <c r="BY217" i="19"/>
  <c r="CA217" i="19"/>
  <c r="CB217" i="19"/>
  <c r="CC217" i="19"/>
  <c r="CD217" i="19"/>
  <c r="CE217" i="19"/>
  <c r="CF217" i="19"/>
  <c r="CH217" i="19"/>
  <c r="CI217" i="19"/>
  <c r="CJ217" i="19"/>
  <c r="CL217" i="19"/>
  <c r="CM217" i="19"/>
  <c r="CN217" i="19"/>
  <c r="CO217" i="19"/>
  <c r="CP217" i="19"/>
  <c r="CR217" i="19"/>
  <c r="CS217" i="19"/>
  <c r="CT217" i="19"/>
  <c r="CU217" i="19"/>
  <c r="CV217" i="19"/>
  <c r="CW217" i="19"/>
  <c r="CX217" i="19"/>
  <c r="CY217" i="19"/>
  <c r="CZ217" i="19"/>
  <c r="C218" i="19"/>
  <c r="D218" i="19"/>
  <c r="I218" i="19"/>
  <c r="K218" i="19"/>
  <c r="P218" i="19"/>
  <c r="Q218" i="19"/>
  <c r="R218" i="19"/>
  <c r="S218" i="19"/>
  <c r="Y218" i="19"/>
  <c r="Z218" i="19"/>
  <c r="AA218" i="19"/>
  <c r="AB218" i="19"/>
  <c r="AD218" i="19"/>
  <c r="AE218" i="19"/>
  <c r="AI218" i="19"/>
  <c r="AK218" i="19"/>
  <c r="AL218" i="19"/>
  <c r="AM218" i="19"/>
  <c r="AN218" i="19"/>
  <c r="AQ218" i="19"/>
  <c r="AR218" i="19"/>
  <c r="AS218" i="19"/>
  <c r="AU218" i="19"/>
  <c r="AV218" i="19"/>
  <c r="AW218" i="19"/>
  <c r="AX218" i="19"/>
  <c r="AY218" i="19"/>
  <c r="AZ218" i="19"/>
  <c r="BB218" i="19"/>
  <c r="BC218" i="19"/>
  <c r="BD218" i="19"/>
  <c r="BF218" i="19"/>
  <c r="BG218" i="19"/>
  <c r="BH218" i="19"/>
  <c r="BI218" i="19"/>
  <c r="BJ218" i="19"/>
  <c r="BL218" i="19"/>
  <c r="BM218" i="19"/>
  <c r="BO218" i="19"/>
  <c r="BP218" i="19"/>
  <c r="BR218" i="19"/>
  <c r="BS218" i="19"/>
  <c r="BT218" i="19"/>
  <c r="BU218" i="19"/>
  <c r="BW218" i="19"/>
  <c r="BX218" i="19"/>
  <c r="BY218" i="19"/>
  <c r="CA218" i="19"/>
  <c r="CB218" i="19"/>
  <c r="CC218" i="19"/>
  <c r="CD218" i="19"/>
  <c r="CE218" i="19"/>
  <c r="CF218" i="19"/>
  <c r="CH218" i="19"/>
  <c r="CI218" i="19"/>
  <c r="CJ218" i="19"/>
  <c r="CL218" i="19"/>
  <c r="CM218" i="19"/>
  <c r="CN218" i="19"/>
  <c r="CO218" i="19"/>
  <c r="CP218" i="19"/>
  <c r="CR218" i="19"/>
  <c r="CS218" i="19"/>
  <c r="CT218" i="19"/>
  <c r="CU218" i="19"/>
  <c r="CV218" i="19"/>
  <c r="CW218" i="19"/>
  <c r="CX218" i="19"/>
  <c r="CY218" i="19"/>
  <c r="CZ218" i="19"/>
  <c r="C219" i="19"/>
  <c r="D219" i="19"/>
  <c r="I219" i="19"/>
  <c r="K219" i="19"/>
  <c r="P219" i="19"/>
  <c r="Q219" i="19"/>
  <c r="R219" i="19"/>
  <c r="S219" i="19"/>
  <c r="Y219" i="19"/>
  <c r="Z219" i="19"/>
  <c r="AA219" i="19"/>
  <c r="AB219" i="19"/>
  <c r="AD219" i="19"/>
  <c r="AE219" i="19"/>
  <c r="AI219" i="19"/>
  <c r="AK219" i="19"/>
  <c r="AL219" i="19"/>
  <c r="AM219" i="19"/>
  <c r="AN219" i="19"/>
  <c r="AQ219" i="19"/>
  <c r="AR219" i="19"/>
  <c r="AS219" i="19"/>
  <c r="AU219" i="19"/>
  <c r="AV219" i="19"/>
  <c r="AW219" i="19"/>
  <c r="AX219" i="19"/>
  <c r="AY219" i="19"/>
  <c r="AZ219" i="19"/>
  <c r="BB219" i="19"/>
  <c r="BC219" i="19"/>
  <c r="BD219" i="19"/>
  <c r="BF219" i="19"/>
  <c r="BG219" i="19"/>
  <c r="BH219" i="19"/>
  <c r="BI219" i="19"/>
  <c r="BJ219" i="19"/>
  <c r="BL219" i="19"/>
  <c r="BM219" i="19"/>
  <c r="BO219" i="19"/>
  <c r="BP219" i="19"/>
  <c r="BR219" i="19"/>
  <c r="BS219" i="19"/>
  <c r="BT219" i="19"/>
  <c r="BU219" i="19"/>
  <c r="BW219" i="19"/>
  <c r="BX219" i="19"/>
  <c r="BY219" i="19"/>
  <c r="CA219" i="19"/>
  <c r="CB219" i="19"/>
  <c r="CC219" i="19"/>
  <c r="CD219" i="19"/>
  <c r="CE219" i="19"/>
  <c r="CF219" i="19"/>
  <c r="CH219" i="19"/>
  <c r="CI219" i="19"/>
  <c r="CJ219" i="19"/>
  <c r="CL219" i="19"/>
  <c r="CM219" i="19"/>
  <c r="CN219" i="19"/>
  <c r="CO219" i="19"/>
  <c r="CP219" i="19"/>
  <c r="CR219" i="19"/>
  <c r="CS219" i="19"/>
  <c r="CT219" i="19"/>
  <c r="CU219" i="19"/>
  <c r="CV219" i="19"/>
  <c r="CW219" i="19"/>
  <c r="CX219" i="19"/>
  <c r="CY219" i="19"/>
  <c r="CZ219" i="19"/>
  <c r="C220" i="19"/>
  <c r="D220" i="19"/>
  <c r="I220" i="19"/>
  <c r="K220" i="19"/>
  <c r="P220" i="19"/>
  <c r="Q220" i="19"/>
  <c r="R220" i="19"/>
  <c r="S220" i="19"/>
  <c r="Y220" i="19"/>
  <c r="Z220" i="19"/>
  <c r="AA220" i="19"/>
  <c r="AB220" i="19"/>
  <c r="AD220" i="19"/>
  <c r="AE220" i="19"/>
  <c r="AI220" i="19"/>
  <c r="AK220" i="19"/>
  <c r="AL220" i="19"/>
  <c r="AM220" i="19"/>
  <c r="AN220" i="19"/>
  <c r="AQ220" i="19"/>
  <c r="AR220" i="19"/>
  <c r="AS220" i="19"/>
  <c r="AU220" i="19"/>
  <c r="AV220" i="19"/>
  <c r="AW220" i="19"/>
  <c r="AX220" i="19"/>
  <c r="AY220" i="19"/>
  <c r="AZ220" i="19"/>
  <c r="BB220" i="19"/>
  <c r="BC220" i="19"/>
  <c r="BD220" i="19"/>
  <c r="BF220" i="19"/>
  <c r="BG220" i="19"/>
  <c r="BH220" i="19"/>
  <c r="BI220" i="19"/>
  <c r="BJ220" i="19"/>
  <c r="BL220" i="19"/>
  <c r="BM220" i="19"/>
  <c r="BO220" i="19"/>
  <c r="BP220" i="19"/>
  <c r="BR220" i="19"/>
  <c r="BS220" i="19"/>
  <c r="BT220" i="19"/>
  <c r="BU220" i="19"/>
  <c r="BW220" i="19"/>
  <c r="BX220" i="19"/>
  <c r="BY220" i="19"/>
  <c r="CA220" i="19"/>
  <c r="CB220" i="19"/>
  <c r="CC220" i="19"/>
  <c r="CD220" i="19"/>
  <c r="CE220" i="19"/>
  <c r="CF220" i="19"/>
  <c r="CH220" i="19"/>
  <c r="CI220" i="19"/>
  <c r="CJ220" i="19"/>
  <c r="CL220" i="19"/>
  <c r="CM220" i="19"/>
  <c r="CN220" i="19"/>
  <c r="CO220" i="19"/>
  <c r="CP220" i="19"/>
  <c r="CR220" i="19"/>
  <c r="CS220" i="19"/>
  <c r="CT220" i="19"/>
  <c r="CU220" i="19"/>
  <c r="CV220" i="19"/>
  <c r="CW220" i="19"/>
  <c r="CX220" i="19"/>
  <c r="CY220" i="19"/>
  <c r="CZ220" i="19"/>
  <c r="C221" i="19"/>
  <c r="D221" i="19"/>
  <c r="I221" i="19"/>
  <c r="K221" i="19"/>
  <c r="P221" i="19"/>
  <c r="Q221" i="19"/>
  <c r="R221" i="19"/>
  <c r="S221" i="19"/>
  <c r="Y221" i="19"/>
  <c r="Z221" i="19"/>
  <c r="AA221" i="19"/>
  <c r="AB221" i="19"/>
  <c r="AD221" i="19"/>
  <c r="AE221" i="19"/>
  <c r="AI221" i="19"/>
  <c r="AK221" i="19"/>
  <c r="AL221" i="19"/>
  <c r="AM221" i="19"/>
  <c r="AN221" i="19"/>
  <c r="AQ221" i="19"/>
  <c r="AR221" i="19"/>
  <c r="AS221" i="19"/>
  <c r="AU221" i="19"/>
  <c r="AV221" i="19"/>
  <c r="AW221" i="19"/>
  <c r="AX221" i="19"/>
  <c r="AY221" i="19"/>
  <c r="AZ221" i="19"/>
  <c r="BB221" i="19"/>
  <c r="BC221" i="19"/>
  <c r="BD221" i="19"/>
  <c r="BF221" i="19"/>
  <c r="BG221" i="19"/>
  <c r="BH221" i="19"/>
  <c r="BI221" i="19"/>
  <c r="BJ221" i="19"/>
  <c r="BL221" i="19"/>
  <c r="BM221" i="19"/>
  <c r="BO221" i="19"/>
  <c r="BP221" i="19"/>
  <c r="BR221" i="19"/>
  <c r="BS221" i="19"/>
  <c r="BT221" i="19"/>
  <c r="BU221" i="19"/>
  <c r="BW221" i="19"/>
  <c r="BX221" i="19"/>
  <c r="BY221" i="19"/>
  <c r="CA221" i="19"/>
  <c r="CB221" i="19"/>
  <c r="CC221" i="19"/>
  <c r="CD221" i="19"/>
  <c r="CE221" i="19"/>
  <c r="CF221" i="19"/>
  <c r="CH221" i="19"/>
  <c r="CI221" i="19"/>
  <c r="CJ221" i="19"/>
  <c r="CL221" i="19"/>
  <c r="CM221" i="19"/>
  <c r="CN221" i="19"/>
  <c r="CO221" i="19"/>
  <c r="CP221" i="19"/>
  <c r="CR221" i="19"/>
  <c r="CS221" i="19"/>
  <c r="CT221" i="19"/>
  <c r="CU221" i="19"/>
  <c r="CV221" i="19"/>
  <c r="CW221" i="19"/>
  <c r="CX221" i="19"/>
  <c r="CY221" i="19"/>
  <c r="CZ221" i="19"/>
  <c r="C222" i="19"/>
  <c r="D222" i="19"/>
  <c r="I222" i="19"/>
  <c r="K222" i="19"/>
  <c r="P222" i="19"/>
  <c r="Q222" i="19"/>
  <c r="R222" i="19"/>
  <c r="S222" i="19"/>
  <c r="Y222" i="19"/>
  <c r="Z222" i="19"/>
  <c r="AA222" i="19"/>
  <c r="AB222" i="19"/>
  <c r="AD222" i="19"/>
  <c r="AE222" i="19"/>
  <c r="AI222" i="19"/>
  <c r="AK222" i="19"/>
  <c r="AL222" i="19"/>
  <c r="AM222" i="19"/>
  <c r="AN222" i="19"/>
  <c r="AQ222" i="19"/>
  <c r="AR222" i="19"/>
  <c r="AS222" i="19"/>
  <c r="AU222" i="19"/>
  <c r="AV222" i="19"/>
  <c r="AW222" i="19"/>
  <c r="AX222" i="19"/>
  <c r="AY222" i="19"/>
  <c r="AZ222" i="19"/>
  <c r="BB222" i="19"/>
  <c r="BC222" i="19"/>
  <c r="BD222" i="19"/>
  <c r="BF222" i="19"/>
  <c r="BG222" i="19"/>
  <c r="BH222" i="19"/>
  <c r="BI222" i="19"/>
  <c r="BJ222" i="19"/>
  <c r="BL222" i="19"/>
  <c r="BM222" i="19"/>
  <c r="BO222" i="19"/>
  <c r="BP222" i="19"/>
  <c r="BR222" i="19"/>
  <c r="BS222" i="19"/>
  <c r="BT222" i="19"/>
  <c r="BU222" i="19"/>
  <c r="BW222" i="19"/>
  <c r="BX222" i="19"/>
  <c r="BY222" i="19"/>
  <c r="CA222" i="19"/>
  <c r="CB222" i="19"/>
  <c r="CC222" i="19"/>
  <c r="CD222" i="19"/>
  <c r="CE222" i="19"/>
  <c r="CF222" i="19"/>
  <c r="CH222" i="19"/>
  <c r="CI222" i="19"/>
  <c r="CJ222" i="19"/>
  <c r="CL222" i="19"/>
  <c r="CM222" i="19"/>
  <c r="CN222" i="19"/>
  <c r="CO222" i="19"/>
  <c r="CP222" i="19"/>
  <c r="CR222" i="19"/>
  <c r="CS222" i="19"/>
  <c r="CT222" i="19"/>
  <c r="CU222" i="19"/>
  <c r="CV222" i="19"/>
  <c r="CW222" i="19"/>
  <c r="CX222" i="19"/>
  <c r="CY222" i="19"/>
  <c r="CZ222" i="19"/>
  <c r="C223" i="19"/>
  <c r="D223" i="19"/>
  <c r="I223" i="19"/>
  <c r="K223" i="19"/>
  <c r="P223" i="19"/>
  <c r="Q223" i="19"/>
  <c r="R223" i="19"/>
  <c r="S223" i="19"/>
  <c r="Y223" i="19"/>
  <c r="Z223" i="19"/>
  <c r="AA223" i="19"/>
  <c r="AB223" i="19"/>
  <c r="AD223" i="19"/>
  <c r="AE223" i="19"/>
  <c r="AI223" i="19"/>
  <c r="AK223" i="19"/>
  <c r="AL223" i="19"/>
  <c r="AM223" i="19"/>
  <c r="AN223" i="19"/>
  <c r="AQ223" i="19"/>
  <c r="AR223" i="19"/>
  <c r="AS223" i="19"/>
  <c r="AU223" i="19"/>
  <c r="AV223" i="19"/>
  <c r="AW223" i="19"/>
  <c r="AX223" i="19"/>
  <c r="AY223" i="19"/>
  <c r="AZ223" i="19"/>
  <c r="BB223" i="19"/>
  <c r="BC223" i="19"/>
  <c r="BD223" i="19"/>
  <c r="BF223" i="19"/>
  <c r="BG223" i="19"/>
  <c r="BH223" i="19"/>
  <c r="BI223" i="19"/>
  <c r="BJ223" i="19"/>
  <c r="BL223" i="19"/>
  <c r="BM223" i="19"/>
  <c r="BO223" i="19"/>
  <c r="BP223" i="19"/>
  <c r="BR223" i="19"/>
  <c r="BS223" i="19"/>
  <c r="BT223" i="19"/>
  <c r="BU223" i="19"/>
  <c r="BW223" i="19"/>
  <c r="BX223" i="19"/>
  <c r="BY223" i="19"/>
  <c r="CA223" i="19"/>
  <c r="CB223" i="19"/>
  <c r="CC223" i="19"/>
  <c r="CD223" i="19"/>
  <c r="CE223" i="19"/>
  <c r="CF223" i="19"/>
  <c r="CH223" i="19"/>
  <c r="CI223" i="19"/>
  <c r="CJ223" i="19"/>
  <c r="CL223" i="19"/>
  <c r="CM223" i="19"/>
  <c r="CN223" i="19"/>
  <c r="CO223" i="19"/>
  <c r="CP223" i="19"/>
  <c r="CR223" i="19"/>
  <c r="CS223" i="19"/>
  <c r="CT223" i="19"/>
  <c r="CU223" i="19"/>
  <c r="CV223" i="19"/>
  <c r="CW223" i="19"/>
  <c r="CX223" i="19"/>
  <c r="CY223" i="19"/>
  <c r="CZ223" i="19"/>
  <c r="C224" i="19"/>
  <c r="D224" i="19"/>
  <c r="I224" i="19"/>
  <c r="K224" i="19"/>
  <c r="P224" i="19"/>
  <c r="Q224" i="19"/>
  <c r="R224" i="19"/>
  <c r="S224" i="19"/>
  <c r="Y224" i="19"/>
  <c r="Z224" i="19"/>
  <c r="AA224" i="19"/>
  <c r="AB224" i="19"/>
  <c r="AD224" i="19"/>
  <c r="AE224" i="19"/>
  <c r="AI224" i="19"/>
  <c r="AK224" i="19"/>
  <c r="AL224" i="19"/>
  <c r="AM224" i="19"/>
  <c r="AN224" i="19"/>
  <c r="AQ224" i="19"/>
  <c r="AR224" i="19"/>
  <c r="AS224" i="19"/>
  <c r="AU224" i="19"/>
  <c r="AV224" i="19"/>
  <c r="AW224" i="19"/>
  <c r="AX224" i="19"/>
  <c r="AY224" i="19"/>
  <c r="AZ224" i="19"/>
  <c r="BB224" i="19"/>
  <c r="BC224" i="19"/>
  <c r="BD224" i="19"/>
  <c r="BF224" i="19"/>
  <c r="BG224" i="19"/>
  <c r="BH224" i="19"/>
  <c r="BI224" i="19"/>
  <c r="BJ224" i="19"/>
  <c r="BL224" i="19"/>
  <c r="BM224" i="19"/>
  <c r="BO224" i="19"/>
  <c r="BP224" i="19"/>
  <c r="BR224" i="19"/>
  <c r="BS224" i="19"/>
  <c r="BT224" i="19"/>
  <c r="BU224" i="19"/>
  <c r="BW224" i="19"/>
  <c r="BX224" i="19"/>
  <c r="BY224" i="19"/>
  <c r="CA224" i="19"/>
  <c r="CB224" i="19"/>
  <c r="CC224" i="19"/>
  <c r="CD224" i="19"/>
  <c r="CE224" i="19"/>
  <c r="CF224" i="19"/>
  <c r="CH224" i="19"/>
  <c r="CI224" i="19"/>
  <c r="CJ224" i="19"/>
  <c r="CL224" i="19"/>
  <c r="CM224" i="19"/>
  <c r="CN224" i="19"/>
  <c r="CO224" i="19"/>
  <c r="CP224" i="19"/>
  <c r="CR224" i="19"/>
  <c r="CS224" i="19"/>
  <c r="CT224" i="19"/>
  <c r="CU224" i="19"/>
  <c r="CV224" i="19"/>
  <c r="CW224" i="19"/>
  <c r="CX224" i="19"/>
  <c r="CY224" i="19"/>
  <c r="CZ224" i="19"/>
  <c r="C225" i="19"/>
  <c r="D225" i="19"/>
  <c r="I225" i="19"/>
  <c r="K225" i="19"/>
  <c r="P225" i="19"/>
  <c r="Q225" i="19"/>
  <c r="R225" i="19"/>
  <c r="S225" i="19"/>
  <c r="Y225" i="19"/>
  <c r="Z225" i="19"/>
  <c r="AA225" i="19"/>
  <c r="AB225" i="19"/>
  <c r="AD225" i="19"/>
  <c r="AE225" i="19"/>
  <c r="AI225" i="19"/>
  <c r="AK225" i="19"/>
  <c r="AL225" i="19"/>
  <c r="AM225" i="19"/>
  <c r="AN225" i="19"/>
  <c r="AQ225" i="19"/>
  <c r="AR225" i="19"/>
  <c r="AS225" i="19"/>
  <c r="AU225" i="19"/>
  <c r="AV225" i="19"/>
  <c r="AW225" i="19"/>
  <c r="AX225" i="19"/>
  <c r="AY225" i="19"/>
  <c r="AZ225" i="19"/>
  <c r="BB225" i="19"/>
  <c r="BC225" i="19"/>
  <c r="BD225" i="19"/>
  <c r="BF225" i="19"/>
  <c r="BG225" i="19"/>
  <c r="BH225" i="19"/>
  <c r="BI225" i="19"/>
  <c r="BJ225" i="19"/>
  <c r="BL225" i="19"/>
  <c r="BM225" i="19"/>
  <c r="BO225" i="19"/>
  <c r="BP225" i="19"/>
  <c r="BR225" i="19"/>
  <c r="BS225" i="19"/>
  <c r="BT225" i="19"/>
  <c r="BU225" i="19"/>
  <c r="BW225" i="19"/>
  <c r="BX225" i="19"/>
  <c r="BY225" i="19"/>
  <c r="CA225" i="19"/>
  <c r="CB225" i="19"/>
  <c r="CC225" i="19"/>
  <c r="CD225" i="19"/>
  <c r="CE225" i="19"/>
  <c r="CF225" i="19"/>
  <c r="CH225" i="19"/>
  <c r="CI225" i="19"/>
  <c r="CJ225" i="19"/>
  <c r="CL225" i="19"/>
  <c r="CM225" i="19"/>
  <c r="CN225" i="19"/>
  <c r="CO225" i="19"/>
  <c r="CP225" i="19"/>
  <c r="CR225" i="19"/>
  <c r="CS225" i="19"/>
  <c r="CT225" i="19"/>
  <c r="CU225" i="19"/>
  <c r="CV225" i="19"/>
  <c r="CW225" i="19"/>
  <c r="CX225" i="19"/>
  <c r="CY225" i="19"/>
  <c r="CZ225" i="19"/>
  <c r="C226" i="19"/>
  <c r="D226" i="19"/>
  <c r="I226" i="19"/>
  <c r="K226" i="19"/>
  <c r="P226" i="19"/>
  <c r="Q226" i="19"/>
  <c r="R226" i="19"/>
  <c r="S226" i="19"/>
  <c r="Y226" i="19"/>
  <c r="Z226" i="19"/>
  <c r="AA226" i="19"/>
  <c r="AB226" i="19"/>
  <c r="AD226" i="19"/>
  <c r="AE226" i="19"/>
  <c r="AI226" i="19"/>
  <c r="AK226" i="19"/>
  <c r="AL226" i="19"/>
  <c r="AM226" i="19"/>
  <c r="AN226" i="19"/>
  <c r="AQ226" i="19"/>
  <c r="AR226" i="19"/>
  <c r="AS226" i="19"/>
  <c r="AU226" i="19"/>
  <c r="AV226" i="19"/>
  <c r="AW226" i="19"/>
  <c r="AX226" i="19"/>
  <c r="AY226" i="19"/>
  <c r="AZ226" i="19"/>
  <c r="BB226" i="19"/>
  <c r="BC226" i="19"/>
  <c r="BD226" i="19"/>
  <c r="BF226" i="19"/>
  <c r="BG226" i="19"/>
  <c r="BH226" i="19"/>
  <c r="BI226" i="19"/>
  <c r="BJ226" i="19"/>
  <c r="BL226" i="19"/>
  <c r="BM226" i="19"/>
  <c r="BO226" i="19"/>
  <c r="BP226" i="19"/>
  <c r="BR226" i="19"/>
  <c r="BS226" i="19"/>
  <c r="BT226" i="19"/>
  <c r="BU226" i="19"/>
  <c r="BW226" i="19"/>
  <c r="BX226" i="19"/>
  <c r="BY226" i="19"/>
  <c r="CA226" i="19"/>
  <c r="CB226" i="19"/>
  <c r="CC226" i="19"/>
  <c r="CD226" i="19"/>
  <c r="CE226" i="19"/>
  <c r="CF226" i="19"/>
  <c r="CH226" i="19"/>
  <c r="CI226" i="19"/>
  <c r="CJ226" i="19"/>
  <c r="CL226" i="19"/>
  <c r="CM226" i="19"/>
  <c r="CN226" i="19"/>
  <c r="CO226" i="19"/>
  <c r="CP226" i="19"/>
  <c r="CR226" i="19"/>
  <c r="CS226" i="19"/>
  <c r="CT226" i="19"/>
  <c r="CU226" i="19"/>
  <c r="CV226" i="19"/>
  <c r="CW226" i="19"/>
  <c r="CX226" i="19"/>
  <c r="CY226" i="19"/>
  <c r="CZ226" i="19"/>
  <c r="C227" i="19"/>
  <c r="D227" i="19"/>
  <c r="I227" i="19"/>
  <c r="K227" i="19"/>
  <c r="P227" i="19"/>
  <c r="Q227" i="19"/>
  <c r="R227" i="19"/>
  <c r="S227" i="19"/>
  <c r="Y227" i="19"/>
  <c r="Z227" i="19"/>
  <c r="AA227" i="19"/>
  <c r="AB227" i="19"/>
  <c r="AD227" i="19"/>
  <c r="AE227" i="19"/>
  <c r="AI227" i="19"/>
  <c r="AK227" i="19"/>
  <c r="AL227" i="19"/>
  <c r="AM227" i="19"/>
  <c r="AN227" i="19"/>
  <c r="AQ227" i="19"/>
  <c r="AR227" i="19"/>
  <c r="AS227" i="19"/>
  <c r="AU227" i="19"/>
  <c r="AV227" i="19"/>
  <c r="AW227" i="19"/>
  <c r="AX227" i="19"/>
  <c r="AY227" i="19"/>
  <c r="AZ227" i="19"/>
  <c r="BB227" i="19"/>
  <c r="BC227" i="19"/>
  <c r="BD227" i="19"/>
  <c r="BF227" i="19"/>
  <c r="BG227" i="19"/>
  <c r="BH227" i="19"/>
  <c r="BI227" i="19"/>
  <c r="BJ227" i="19"/>
  <c r="BL227" i="19"/>
  <c r="BM227" i="19"/>
  <c r="BO227" i="19"/>
  <c r="BP227" i="19"/>
  <c r="BR227" i="19"/>
  <c r="BS227" i="19"/>
  <c r="BT227" i="19"/>
  <c r="BU227" i="19"/>
  <c r="BW227" i="19"/>
  <c r="BX227" i="19"/>
  <c r="BY227" i="19"/>
  <c r="CA227" i="19"/>
  <c r="CB227" i="19"/>
  <c r="CC227" i="19"/>
  <c r="CD227" i="19"/>
  <c r="CE227" i="19"/>
  <c r="CF227" i="19"/>
  <c r="CH227" i="19"/>
  <c r="CI227" i="19"/>
  <c r="CJ227" i="19"/>
  <c r="CL227" i="19"/>
  <c r="CM227" i="19"/>
  <c r="CN227" i="19"/>
  <c r="CO227" i="19"/>
  <c r="CP227" i="19"/>
  <c r="CR227" i="19"/>
  <c r="CS227" i="19"/>
  <c r="CT227" i="19"/>
  <c r="CU227" i="19"/>
  <c r="CV227" i="19"/>
  <c r="CW227" i="19"/>
  <c r="CX227" i="19"/>
  <c r="CY227" i="19"/>
  <c r="CZ227" i="19"/>
  <c r="C228" i="19"/>
  <c r="D228" i="19"/>
  <c r="I228" i="19"/>
  <c r="K228" i="19"/>
  <c r="P228" i="19"/>
  <c r="Q228" i="19"/>
  <c r="R228" i="19"/>
  <c r="S228" i="19"/>
  <c r="Y228" i="19"/>
  <c r="Z228" i="19"/>
  <c r="AA228" i="19"/>
  <c r="AB228" i="19"/>
  <c r="AD228" i="19"/>
  <c r="AE228" i="19"/>
  <c r="AI228" i="19"/>
  <c r="AK228" i="19"/>
  <c r="AL228" i="19"/>
  <c r="AM228" i="19"/>
  <c r="AN228" i="19"/>
  <c r="AQ228" i="19"/>
  <c r="AR228" i="19"/>
  <c r="AS228" i="19"/>
  <c r="AU228" i="19"/>
  <c r="AV228" i="19"/>
  <c r="AW228" i="19"/>
  <c r="AX228" i="19"/>
  <c r="AY228" i="19"/>
  <c r="AZ228" i="19"/>
  <c r="BB228" i="19"/>
  <c r="BC228" i="19"/>
  <c r="BD228" i="19"/>
  <c r="BF228" i="19"/>
  <c r="BG228" i="19"/>
  <c r="BH228" i="19"/>
  <c r="BI228" i="19"/>
  <c r="BJ228" i="19"/>
  <c r="BL228" i="19"/>
  <c r="BM228" i="19"/>
  <c r="BO228" i="19"/>
  <c r="BP228" i="19"/>
  <c r="BR228" i="19"/>
  <c r="BS228" i="19"/>
  <c r="BT228" i="19"/>
  <c r="BU228" i="19"/>
  <c r="BW228" i="19"/>
  <c r="BX228" i="19"/>
  <c r="BY228" i="19"/>
  <c r="CA228" i="19"/>
  <c r="CB228" i="19"/>
  <c r="CC228" i="19"/>
  <c r="CD228" i="19"/>
  <c r="CE228" i="19"/>
  <c r="CF228" i="19"/>
  <c r="CH228" i="19"/>
  <c r="CI228" i="19"/>
  <c r="CJ228" i="19"/>
  <c r="CL228" i="19"/>
  <c r="CM228" i="19"/>
  <c r="CN228" i="19"/>
  <c r="CO228" i="19"/>
  <c r="CP228" i="19"/>
  <c r="CR228" i="19"/>
  <c r="CS228" i="19"/>
  <c r="CT228" i="19"/>
  <c r="CU228" i="19"/>
  <c r="CV228" i="19"/>
  <c r="CW228" i="19"/>
  <c r="CX228" i="19"/>
  <c r="CY228" i="19"/>
  <c r="CZ228" i="19"/>
  <c r="C229" i="19"/>
  <c r="D229" i="19"/>
  <c r="I229" i="19"/>
  <c r="K229" i="19"/>
  <c r="P229" i="19"/>
  <c r="Q229" i="19"/>
  <c r="R229" i="19"/>
  <c r="S229" i="19"/>
  <c r="Y229" i="19"/>
  <c r="Z229" i="19"/>
  <c r="AA229" i="19"/>
  <c r="AB229" i="19"/>
  <c r="AD229" i="19"/>
  <c r="AE229" i="19"/>
  <c r="AI229" i="19"/>
  <c r="AK229" i="19"/>
  <c r="AL229" i="19"/>
  <c r="AM229" i="19"/>
  <c r="AN229" i="19"/>
  <c r="AQ229" i="19"/>
  <c r="AR229" i="19"/>
  <c r="AS229" i="19"/>
  <c r="AU229" i="19"/>
  <c r="AV229" i="19"/>
  <c r="AW229" i="19"/>
  <c r="AX229" i="19"/>
  <c r="AY229" i="19"/>
  <c r="AZ229" i="19"/>
  <c r="BB229" i="19"/>
  <c r="BC229" i="19"/>
  <c r="BD229" i="19"/>
  <c r="BF229" i="19"/>
  <c r="BG229" i="19"/>
  <c r="BH229" i="19"/>
  <c r="BI229" i="19"/>
  <c r="BJ229" i="19"/>
  <c r="BL229" i="19"/>
  <c r="BM229" i="19"/>
  <c r="BO229" i="19"/>
  <c r="BP229" i="19"/>
  <c r="BR229" i="19"/>
  <c r="BS229" i="19"/>
  <c r="BT229" i="19"/>
  <c r="BU229" i="19"/>
  <c r="BW229" i="19"/>
  <c r="BX229" i="19"/>
  <c r="BY229" i="19"/>
  <c r="CA229" i="19"/>
  <c r="CB229" i="19"/>
  <c r="CC229" i="19"/>
  <c r="CD229" i="19"/>
  <c r="CE229" i="19"/>
  <c r="CF229" i="19"/>
  <c r="CH229" i="19"/>
  <c r="CI229" i="19"/>
  <c r="CJ229" i="19"/>
  <c r="CL229" i="19"/>
  <c r="CM229" i="19"/>
  <c r="CN229" i="19"/>
  <c r="CO229" i="19"/>
  <c r="CP229" i="19"/>
  <c r="CR229" i="19"/>
  <c r="CS229" i="19"/>
  <c r="CT229" i="19"/>
  <c r="CU229" i="19"/>
  <c r="CV229" i="19"/>
  <c r="CW229" i="19"/>
  <c r="CX229" i="19"/>
  <c r="CY229" i="19"/>
  <c r="CZ229" i="19"/>
  <c r="C230" i="19"/>
  <c r="D230" i="19"/>
  <c r="I230" i="19"/>
  <c r="K230" i="19"/>
  <c r="P230" i="19"/>
  <c r="Q230" i="19"/>
  <c r="R230" i="19"/>
  <c r="S230" i="19"/>
  <c r="Y230" i="19"/>
  <c r="Z230" i="19"/>
  <c r="AA230" i="19"/>
  <c r="AB230" i="19"/>
  <c r="AD230" i="19"/>
  <c r="AE230" i="19"/>
  <c r="AI230" i="19"/>
  <c r="AK230" i="19"/>
  <c r="AL230" i="19"/>
  <c r="AM230" i="19"/>
  <c r="AN230" i="19"/>
  <c r="AQ230" i="19"/>
  <c r="AR230" i="19"/>
  <c r="AS230" i="19"/>
  <c r="AU230" i="19"/>
  <c r="AV230" i="19"/>
  <c r="AW230" i="19"/>
  <c r="AX230" i="19"/>
  <c r="AY230" i="19"/>
  <c r="AZ230" i="19"/>
  <c r="BB230" i="19"/>
  <c r="BC230" i="19"/>
  <c r="BD230" i="19"/>
  <c r="BF230" i="19"/>
  <c r="BG230" i="19"/>
  <c r="BH230" i="19"/>
  <c r="BI230" i="19"/>
  <c r="BJ230" i="19"/>
  <c r="BL230" i="19"/>
  <c r="BM230" i="19"/>
  <c r="BO230" i="19"/>
  <c r="BP230" i="19"/>
  <c r="BR230" i="19"/>
  <c r="BS230" i="19"/>
  <c r="BT230" i="19"/>
  <c r="BU230" i="19"/>
  <c r="BW230" i="19"/>
  <c r="BX230" i="19"/>
  <c r="BY230" i="19"/>
  <c r="CA230" i="19"/>
  <c r="CB230" i="19"/>
  <c r="CC230" i="19"/>
  <c r="CD230" i="19"/>
  <c r="CE230" i="19"/>
  <c r="CF230" i="19"/>
  <c r="CH230" i="19"/>
  <c r="CI230" i="19"/>
  <c r="CJ230" i="19"/>
  <c r="CL230" i="19"/>
  <c r="CM230" i="19"/>
  <c r="CN230" i="19"/>
  <c r="CO230" i="19"/>
  <c r="CP230" i="19"/>
  <c r="CR230" i="19"/>
  <c r="CS230" i="19"/>
  <c r="CT230" i="19"/>
  <c r="CU230" i="19"/>
  <c r="CV230" i="19"/>
  <c r="CW230" i="19"/>
  <c r="CX230" i="19"/>
  <c r="CY230" i="19"/>
  <c r="CZ230" i="19"/>
  <c r="C231" i="19"/>
  <c r="D231" i="19"/>
  <c r="I231" i="19"/>
  <c r="K231" i="19"/>
  <c r="P231" i="19"/>
  <c r="Q231" i="19"/>
  <c r="R231" i="19"/>
  <c r="S231" i="19"/>
  <c r="Y231" i="19"/>
  <c r="Z231" i="19"/>
  <c r="AA231" i="19"/>
  <c r="AB231" i="19"/>
  <c r="AD231" i="19"/>
  <c r="AE231" i="19"/>
  <c r="AI231" i="19"/>
  <c r="AK231" i="19"/>
  <c r="AL231" i="19"/>
  <c r="AM231" i="19"/>
  <c r="AN231" i="19"/>
  <c r="AQ231" i="19"/>
  <c r="AR231" i="19"/>
  <c r="AS231" i="19"/>
  <c r="AU231" i="19"/>
  <c r="AV231" i="19"/>
  <c r="AW231" i="19"/>
  <c r="AX231" i="19"/>
  <c r="AY231" i="19"/>
  <c r="AZ231" i="19"/>
  <c r="BB231" i="19"/>
  <c r="BC231" i="19"/>
  <c r="BD231" i="19"/>
  <c r="BF231" i="19"/>
  <c r="BG231" i="19"/>
  <c r="BH231" i="19"/>
  <c r="BI231" i="19"/>
  <c r="BJ231" i="19"/>
  <c r="BL231" i="19"/>
  <c r="BM231" i="19"/>
  <c r="BO231" i="19"/>
  <c r="BP231" i="19"/>
  <c r="BR231" i="19"/>
  <c r="BS231" i="19"/>
  <c r="BT231" i="19"/>
  <c r="BU231" i="19"/>
  <c r="BW231" i="19"/>
  <c r="BX231" i="19"/>
  <c r="BY231" i="19"/>
  <c r="CA231" i="19"/>
  <c r="CB231" i="19"/>
  <c r="CC231" i="19"/>
  <c r="CD231" i="19"/>
  <c r="CE231" i="19"/>
  <c r="CF231" i="19"/>
  <c r="CH231" i="19"/>
  <c r="CI231" i="19"/>
  <c r="CJ231" i="19"/>
  <c r="CL231" i="19"/>
  <c r="CM231" i="19"/>
  <c r="CN231" i="19"/>
  <c r="CO231" i="19"/>
  <c r="CP231" i="19"/>
  <c r="CR231" i="19"/>
  <c r="CS231" i="19"/>
  <c r="CT231" i="19"/>
  <c r="CU231" i="19"/>
  <c r="CV231" i="19"/>
  <c r="CW231" i="19"/>
  <c r="CX231" i="19"/>
  <c r="CY231" i="19"/>
  <c r="CZ231" i="19"/>
  <c r="C232" i="19"/>
  <c r="D232" i="19"/>
  <c r="I232" i="19"/>
  <c r="K232" i="19"/>
  <c r="P232" i="19"/>
  <c r="Q232" i="19"/>
  <c r="R232" i="19"/>
  <c r="S232" i="19"/>
  <c r="Y232" i="19"/>
  <c r="Z232" i="19"/>
  <c r="AA232" i="19"/>
  <c r="AB232" i="19"/>
  <c r="AD232" i="19"/>
  <c r="AE232" i="19"/>
  <c r="AI232" i="19"/>
  <c r="AK232" i="19"/>
  <c r="AL232" i="19"/>
  <c r="AM232" i="19"/>
  <c r="AN232" i="19"/>
  <c r="AQ232" i="19"/>
  <c r="AR232" i="19"/>
  <c r="AS232" i="19"/>
  <c r="AU232" i="19"/>
  <c r="AV232" i="19"/>
  <c r="AW232" i="19"/>
  <c r="AX232" i="19"/>
  <c r="AY232" i="19"/>
  <c r="AZ232" i="19"/>
  <c r="BB232" i="19"/>
  <c r="BC232" i="19"/>
  <c r="BD232" i="19"/>
  <c r="BF232" i="19"/>
  <c r="BG232" i="19"/>
  <c r="BH232" i="19"/>
  <c r="BI232" i="19"/>
  <c r="BJ232" i="19"/>
  <c r="BL232" i="19"/>
  <c r="BM232" i="19"/>
  <c r="BO232" i="19"/>
  <c r="BP232" i="19"/>
  <c r="BR232" i="19"/>
  <c r="BS232" i="19"/>
  <c r="BT232" i="19"/>
  <c r="BU232" i="19"/>
  <c r="BW232" i="19"/>
  <c r="BX232" i="19"/>
  <c r="BY232" i="19"/>
  <c r="CA232" i="19"/>
  <c r="CB232" i="19"/>
  <c r="CC232" i="19"/>
  <c r="CD232" i="19"/>
  <c r="CE232" i="19"/>
  <c r="CF232" i="19"/>
  <c r="CH232" i="19"/>
  <c r="CI232" i="19"/>
  <c r="CJ232" i="19"/>
  <c r="CL232" i="19"/>
  <c r="CM232" i="19"/>
  <c r="CN232" i="19"/>
  <c r="CO232" i="19"/>
  <c r="CP232" i="19"/>
  <c r="CR232" i="19"/>
  <c r="CS232" i="19"/>
  <c r="CT232" i="19"/>
  <c r="CU232" i="19"/>
  <c r="CV232" i="19"/>
  <c r="CW232" i="19"/>
  <c r="CX232" i="19"/>
  <c r="CY232" i="19"/>
  <c r="CZ232" i="19"/>
  <c r="C233" i="19"/>
  <c r="D233" i="19"/>
  <c r="I233" i="19"/>
  <c r="K233" i="19"/>
  <c r="P233" i="19"/>
  <c r="Q233" i="19"/>
  <c r="R233" i="19"/>
  <c r="S233" i="19"/>
  <c r="Y233" i="19"/>
  <c r="Z233" i="19"/>
  <c r="AA233" i="19"/>
  <c r="AB233" i="19"/>
  <c r="AD233" i="19"/>
  <c r="AE233" i="19"/>
  <c r="AI233" i="19"/>
  <c r="AK233" i="19"/>
  <c r="AL233" i="19"/>
  <c r="AM233" i="19"/>
  <c r="AN233" i="19"/>
  <c r="AQ233" i="19"/>
  <c r="AR233" i="19"/>
  <c r="AS233" i="19"/>
  <c r="AU233" i="19"/>
  <c r="AV233" i="19"/>
  <c r="AW233" i="19"/>
  <c r="AX233" i="19"/>
  <c r="AY233" i="19"/>
  <c r="AZ233" i="19"/>
  <c r="BB233" i="19"/>
  <c r="BC233" i="19"/>
  <c r="BD233" i="19"/>
  <c r="BF233" i="19"/>
  <c r="BG233" i="19"/>
  <c r="BH233" i="19"/>
  <c r="BI233" i="19"/>
  <c r="BJ233" i="19"/>
  <c r="BL233" i="19"/>
  <c r="BM233" i="19"/>
  <c r="BO233" i="19"/>
  <c r="BP233" i="19"/>
  <c r="BR233" i="19"/>
  <c r="BS233" i="19"/>
  <c r="BT233" i="19"/>
  <c r="BU233" i="19"/>
  <c r="BW233" i="19"/>
  <c r="BX233" i="19"/>
  <c r="BY233" i="19"/>
  <c r="CA233" i="19"/>
  <c r="CB233" i="19"/>
  <c r="CC233" i="19"/>
  <c r="CD233" i="19"/>
  <c r="CE233" i="19"/>
  <c r="CF233" i="19"/>
  <c r="CH233" i="19"/>
  <c r="CI233" i="19"/>
  <c r="CJ233" i="19"/>
  <c r="CL233" i="19"/>
  <c r="CM233" i="19"/>
  <c r="CN233" i="19"/>
  <c r="CO233" i="19"/>
  <c r="CP233" i="19"/>
  <c r="CR233" i="19"/>
  <c r="CS233" i="19"/>
  <c r="CT233" i="19"/>
  <c r="CU233" i="19"/>
  <c r="CV233" i="19"/>
  <c r="CW233" i="19"/>
  <c r="CX233" i="19"/>
  <c r="CY233" i="19"/>
  <c r="CZ233" i="19"/>
  <c r="C234" i="19"/>
  <c r="D234" i="19"/>
  <c r="I234" i="19"/>
  <c r="K234" i="19"/>
  <c r="P234" i="19"/>
  <c r="Q234" i="19"/>
  <c r="R234" i="19"/>
  <c r="S234" i="19"/>
  <c r="Y234" i="19"/>
  <c r="Z234" i="19"/>
  <c r="AA234" i="19"/>
  <c r="AB234" i="19"/>
  <c r="AD234" i="19"/>
  <c r="AE234" i="19"/>
  <c r="AI234" i="19"/>
  <c r="AK234" i="19"/>
  <c r="AL234" i="19"/>
  <c r="AM234" i="19"/>
  <c r="AN234" i="19"/>
  <c r="AQ234" i="19"/>
  <c r="AR234" i="19"/>
  <c r="AS234" i="19"/>
  <c r="AU234" i="19"/>
  <c r="AV234" i="19"/>
  <c r="AW234" i="19"/>
  <c r="AX234" i="19"/>
  <c r="AY234" i="19"/>
  <c r="AZ234" i="19"/>
  <c r="BB234" i="19"/>
  <c r="BC234" i="19"/>
  <c r="BD234" i="19"/>
  <c r="BF234" i="19"/>
  <c r="BG234" i="19"/>
  <c r="BH234" i="19"/>
  <c r="BI234" i="19"/>
  <c r="BJ234" i="19"/>
  <c r="BL234" i="19"/>
  <c r="BM234" i="19"/>
  <c r="BO234" i="19"/>
  <c r="BP234" i="19"/>
  <c r="BR234" i="19"/>
  <c r="BS234" i="19"/>
  <c r="BT234" i="19"/>
  <c r="BU234" i="19"/>
  <c r="BW234" i="19"/>
  <c r="BX234" i="19"/>
  <c r="BY234" i="19"/>
  <c r="CA234" i="19"/>
  <c r="CB234" i="19"/>
  <c r="CC234" i="19"/>
  <c r="CD234" i="19"/>
  <c r="CE234" i="19"/>
  <c r="CF234" i="19"/>
  <c r="CH234" i="19"/>
  <c r="CI234" i="19"/>
  <c r="CJ234" i="19"/>
  <c r="CL234" i="19"/>
  <c r="CM234" i="19"/>
  <c r="CN234" i="19"/>
  <c r="CO234" i="19"/>
  <c r="CP234" i="19"/>
  <c r="CR234" i="19"/>
  <c r="CS234" i="19"/>
  <c r="CT234" i="19"/>
  <c r="CU234" i="19"/>
  <c r="CV234" i="19"/>
  <c r="CW234" i="19"/>
  <c r="CX234" i="19"/>
  <c r="CY234" i="19"/>
  <c r="CZ234" i="19"/>
  <c r="C235" i="19"/>
  <c r="D235" i="19"/>
  <c r="I235" i="19"/>
  <c r="K235" i="19"/>
  <c r="P235" i="19"/>
  <c r="Q235" i="19"/>
  <c r="R235" i="19"/>
  <c r="S235" i="19"/>
  <c r="Y235" i="19"/>
  <c r="Z235" i="19"/>
  <c r="AA235" i="19"/>
  <c r="AB235" i="19"/>
  <c r="AD235" i="19"/>
  <c r="AE235" i="19"/>
  <c r="AI235" i="19"/>
  <c r="AK235" i="19"/>
  <c r="AL235" i="19"/>
  <c r="AM235" i="19"/>
  <c r="AN235" i="19"/>
  <c r="AQ235" i="19"/>
  <c r="AR235" i="19"/>
  <c r="AS235" i="19"/>
  <c r="AU235" i="19"/>
  <c r="AV235" i="19"/>
  <c r="AW235" i="19"/>
  <c r="AX235" i="19"/>
  <c r="AY235" i="19"/>
  <c r="AZ235" i="19"/>
  <c r="BB235" i="19"/>
  <c r="BC235" i="19"/>
  <c r="BD235" i="19"/>
  <c r="BF235" i="19"/>
  <c r="BG235" i="19"/>
  <c r="BH235" i="19"/>
  <c r="BI235" i="19"/>
  <c r="BJ235" i="19"/>
  <c r="BL235" i="19"/>
  <c r="BM235" i="19"/>
  <c r="BO235" i="19"/>
  <c r="BP235" i="19"/>
  <c r="BR235" i="19"/>
  <c r="BS235" i="19"/>
  <c r="BT235" i="19"/>
  <c r="BU235" i="19"/>
  <c r="BW235" i="19"/>
  <c r="BX235" i="19"/>
  <c r="BY235" i="19"/>
  <c r="CA235" i="19"/>
  <c r="CB235" i="19"/>
  <c r="CC235" i="19"/>
  <c r="CD235" i="19"/>
  <c r="CE235" i="19"/>
  <c r="CF235" i="19"/>
  <c r="CH235" i="19"/>
  <c r="CI235" i="19"/>
  <c r="CJ235" i="19"/>
  <c r="CL235" i="19"/>
  <c r="CM235" i="19"/>
  <c r="CN235" i="19"/>
  <c r="CO235" i="19"/>
  <c r="CP235" i="19"/>
  <c r="CR235" i="19"/>
  <c r="CS235" i="19"/>
  <c r="CT235" i="19"/>
  <c r="CU235" i="19"/>
  <c r="CV235" i="19"/>
  <c r="CW235" i="19"/>
  <c r="CX235" i="19"/>
  <c r="CY235" i="19"/>
  <c r="CZ235" i="19"/>
  <c r="C236" i="19"/>
  <c r="D236" i="19"/>
  <c r="I236" i="19"/>
  <c r="K236" i="19"/>
  <c r="P236" i="19"/>
  <c r="Q236" i="19"/>
  <c r="R236" i="19"/>
  <c r="S236" i="19"/>
  <c r="Y236" i="19"/>
  <c r="Z236" i="19"/>
  <c r="AA236" i="19"/>
  <c r="AB236" i="19"/>
  <c r="AD236" i="19"/>
  <c r="AE236" i="19"/>
  <c r="AI236" i="19"/>
  <c r="AK236" i="19"/>
  <c r="AL236" i="19"/>
  <c r="AM236" i="19"/>
  <c r="AN236" i="19"/>
  <c r="AQ236" i="19"/>
  <c r="AR236" i="19"/>
  <c r="AS236" i="19"/>
  <c r="AU236" i="19"/>
  <c r="AV236" i="19"/>
  <c r="AW236" i="19"/>
  <c r="AX236" i="19"/>
  <c r="AY236" i="19"/>
  <c r="AZ236" i="19"/>
  <c r="BB236" i="19"/>
  <c r="BC236" i="19"/>
  <c r="BD236" i="19"/>
  <c r="BF236" i="19"/>
  <c r="BG236" i="19"/>
  <c r="BH236" i="19"/>
  <c r="BI236" i="19"/>
  <c r="BJ236" i="19"/>
  <c r="BL236" i="19"/>
  <c r="BM236" i="19"/>
  <c r="BO236" i="19"/>
  <c r="BP236" i="19"/>
  <c r="BR236" i="19"/>
  <c r="BS236" i="19"/>
  <c r="BT236" i="19"/>
  <c r="BU236" i="19"/>
  <c r="BW236" i="19"/>
  <c r="BX236" i="19"/>
  <c r="BY236" i="19"/>
  <c r="CA236" i="19"/>
  <c r="CB236" i="19"/>
  <c r="CC236" i="19"/>
  <c r="CD236" i="19"/>
  <c r="CE236" i="19"/>
  <c r="CF236" i="19"/>
  <c r="CH236" i="19"/>
  <c r="CI236" i="19"/>
  <c r="CJ236" i="19"/>
  <c r="CL236" i="19"/>
  <c r="CM236" i="19"/>
  <c r="CN236" i="19"/>
  <c r="CO236" i="19"/>
  <c r="CP236" i="19"/>
  <c r="CR236" i="19"/>
  <c r="CS236" i="19"/>
  <c r="CT236" i="19"/>
  <c r="CU236" i="19"/>
  <c r="CV236" i="19"/>
  <c r="CW236" i="19"/>
  <c r="CX236" i="19"/>
  <c r="CY236" i="19"/>
  <c r="CZ236" i="19"/>
  <c r="C237" i="19"/>
  <c r="D237" i="19"/>
  <c r="I237" i="19"/>
  <c r="K237" i="19"/>
  <c r="P237" i="19"/>
  <c r="Q237" i="19"/>
  <c r="R237" i="19"/>
  <c r="S237" i="19"/>
  <c r="Y237" i="19"/>
  <c r="Z237" i="19"/>
  <c r="AA237" i="19"/>
  <c r="AB237" i="19"/>
  <c r="AD237" i="19"/>
  <c r="AE237" i="19"/>
  <c r="AI237" i="19"/>
  <c r="AK237" i="19"/>
  <c r="AL237" i="19"/>
  <c r="AM237" i="19"/>
  <c r="AN237" i="19"/>
  <c r="AQ237" i="19"/>
  <c r="AR237" i="19"/>
  <c r="AS237" i="19"/>
  <c r="AU237" i="19"/>
  <c r="AV237" i="19"/>
  <c r="AW237" i="19"/>
  <c r="AX237" i="19"/>
  <c r="AY237" i="19"/>
  <c r="AZ237" i="19"/>
  <c r="BB237" i="19"/>
  <c r="BC237" i="19"/>
  <c r="BD237" i="19"/>
  <c r="BF237" i="19"/>
  <c r="BG237" i="19"/>
  <c r="BH237" i="19"/>
  <c r="BI237" i="19"/>
  <c r="BJ237" i="19"/>
  <c r="BL237" i="19"/>
  <c r="BM237" i="19"/>
  <c r="BO237" i="19"/>
  <c r="BP237" i="19"/>
  <c r="BR237" i="19"/>
  <c r="BS237" i="19"/>
  <c r="BT237" i="19"/>
  <c r="BU237" i="19"/>
  <c r="BW237" i="19"/>
  <c r="BX237" i="19"/>
  <c r="BY237" i="19"/>
  <c r="CA237" i="19"/>
  <c r="CB237" i="19"/>
  <c r="CC237" i="19"/>
  <c r="CD237" i="19"/>
  <c r="CE237" i="19"/>
  <c r="CF237" i="19"/>
  <c r="CH237" i="19"/>
  <c r="CI237" i="19"/>
  <c r="CJ237" i="19"/>
  <c r="CL237" i="19"/>
  <c r="CM237" i="19"/>
  <c r="CN237" i="19"/>
  <c r="CO237" i="19"/>
  <c r="CP237" i="19"/>
  <c r="CR237" i="19"/>
  <c r="CS237" i="19"/>
  <c r="CT237" i="19"/>
  <c r="CU237" i="19"/>
  <c r="CV237" i="19"/>
  <c r="CW237" i="19"/>
  <c r="CX237" i="19"/>
  <c r="CY237" i="19"/>
  <c r="CZ237" i="19"/>
  <c r="C238" i="19"/>
  <c r="D238" i="19"/>
  <c r="I238" i="19"/>
  <c r="K238" i="19"/>
  <c r="P238" i="19"/>
  <c r="Q238" i="19"/>
  <c r="R238" i="19"/>
  <c r="S238" i="19"/>
  <c r="Y238" i="19"/>
  <c r="Z238" i="19"/>
  <c r="AA238" i="19"/>
  <c r="AB238" i="19"/>
  <c r="AD238" i="19"/>
  <c r="AE238" i="19"/>
  <c r="AI238" i="19"/>
  <c r="AK238" i="19"/>
  <c r="AL238" i="19"/>
  <c r="AM238" i="19"/>
  <c r="AN238" i="19"/>
  <c r="AQ238" i="19"/>
  <c r="AR238" i="19"/>
  <c r="AS238" i="19"/>
  <c r="AU238" i="19"/>
  <c r="AV238" i="19"/>
  <c r="AW238" i="19"/>
  <c r="AX238" i="19"/>
  <c r="AY238" i="19"/>
  <c r="AZ238" i="19"/>
  <c r="BB238" i="19"/>
  <c r="BC238" i="19"/>
  <c r="BD238" i="19"/>
  <c r="BF238" i="19"/>
  <c r="BG238" i="19"/>
  <c r="BH238" i="19"/>
  <c r="BI238" i="19"/>
  <c r="BJ238" i="19"/>
  <c r="BL238" i="19"/>
  <c r="BM238" i="19"/>
  <c r="BO238" i="19"/>
  <c r="BP238" i="19"/>
  <c r="BR238" i="19"/>
  <c r="BS238" i="19"/>
  <c r="BT238" i="19"/>
  <c r="BU238" i="19"/>
  <c r="BW238" i="19"/>
  <c r="BX238" i="19"/>
  <c r="BY238" i="19"/>
  <c r="CA238" i="19"/>
  <c r="CB238" i="19"/>
  <c r="CC238" i="19"/>
  <c r="CD238" i="19"/>
  <c r="CE238" i="19"/>
  <c r="CF238" i="19"/>
  <c r="CH238" i="19"/>
  <c r="CI238" i="19"/>
  <c r="CJ238" i="19"/>
  <c r="CL238" i="19"/>
  <c r="CM238" i="19"/>
  <c r="CN238" i="19"/>
  <c r="CO238" i="19"/>
  <c r="CP238" i="19"/>
  <c r="CR238" i="19"/>
  <c r="CS238" i="19"/>
  <c r="CT238" i="19"/>
  <c r="CU238" i="19"/>
  <c r="CV238" i="19"/>
  <c r="CW238" i="19"/>
  <c r="CX238" i="19"/>
  <c r="CY238" i="19"/>
  <c r="CZ238" i="19"/>
  <c r="C239" i="19"/>
  <c r="D239" i="19"/>
  <c r="I239" i="19"/>
  <c r="K239" i="19"/>
  <c r="P239" i="19"/>
  <c r="Q239" i="19"/>
  <c r="R239" i="19"/>
  <c r="S239" i="19"/>
  <c r="Y239" i="19"/>
  <c r="Z239" i="19"/>
  <c r="AA239" i="19"/>
  <c r="AB239" i="19"/>
  <c r="AD239" i="19"/>
  <c r="AE239" i="19"/>
  <c r="AI239" i="19"/>
  <c r="AK239" i="19"/>
  <c r="AL239" i="19"/>
  <c r="AM239" i="19"/>
  <c r="AN239" i="19"/>
  <c r="AQ239" i="19"/>
  <c r="AR239" i="19"/>
  <c r="AS239" i="19"/>
  <c r="AU239" i="19"/>
  <c r="AV239" i="19"/>
  <c r="AW239" i="19"/>
  <c r="AX239" i="19"/>
  <c r="AY239" i="19"/>
  <c r="AZ239" i="19"/>
  <c r="BB239" i="19"/>
  <c r="BC239" i="19"/>
  <c r="BD239" i="19"/>
  <c r="BF239" i="19"/>
  <c r="BG239" i="19"/>
  <c r="BH239" i="19"/>
  <c r="BI239" i="19"/>
  <c r="BJ239" i="19"/>
  <c r="BL239" i="19"/>
  <c r="BM239" i="19"/>
  <c r="BO239" i="19"/>
  <c r="BP239" i="19"/>
  <c r="BR239" i="19"/>
  <c r="BS239" i="19"/>
  <c r="BT239" i="19"/>
  <c r="BU239" i="19"/>
  <c r="BW239" i="19"/>
  <c r="BX239" i="19"/>
  <c r="BY239" i="19"/>
  <c r="CA239" i="19"/>
  <c r="CB239" i="19"/>
  <c r="CC239" i="19"/>
  <c r="CD239" i="19"/>
  <c r="CE239" i="19"/>
  <c r="CF239" i="19"/>
  <c r="CH239" i="19"/>
  <c r="CI239" i="19"/>
  <c r="CJ239" i="19"/>
  <c r="CL239" i="19"/>
  <c r="CM239" i="19"/>
  <c r="CN239" i="19"/>
  <c r="CO239" i="19"/>
  <c r="CP239" i="19"/>
  <c r="CR239" i="19"/>
  <c r="CS239" i="19"/>
  <c r="CT239" i="19"/>
  <c r="CU239" i="19"/>
  <c r="CV239" i="19"/>
  <c r="CW239" i="19"/>
  <c r="CX239" i="19"/>
  <c r="CY239" i="19"/>
  <c r="CZ239" i="19"/>
  <c r="C240" i="19"/>
  <c r="D240" i="19"/>
  <c r="I240" i="19"/>
  <c r="K240" i="19"/>
  <c r="P240" i="19"/>
  <c r="Q240" i="19"/>
  <c r="R240" i="19"/>
  <c r="S240" i="19"/>
  <c r="Y240" i="19"/>
  <c r="Z240" i="19"/>
  <c r="AA240" i="19"/>
  <c r="AB240" i="19"/>
  <c r="AD240" i="19"/>
  <c r="AE240" i="19"/>
  <c r="AI240" i="19"/>
  <c r="AK240" i="19"/>
  <c r="AL240" i="19"/>
  <c r="AM240" i="19"/>
  <c r="AN240" i="19"/>
  <c r="AQ240" i="19"/>
  <c r="AR240" i="19"/>
  <c r="AS240" i="19"/>
  <c r="AU240" i="19"/>
  <c r="AV240" i="19"/>
  <c r="AW240" i="19"/>
  <c r="AX240" i="19"/>
  <c r="AY240" i="19"/>
  <c r="AZ240" i="19"/>
  <c r="BB240" i="19"/>
  <c r="BC240" i="19"/>
  <c r="BD240" i="19"/>
  <c r="BF240" i="19"/>
  <c r="BG240" i="19"/>
  <c r="BH240" i="19"/>
  <c r="BI240" i="19"/>
  <c r="BJ240" i="19"/>
  <c r="BL240" i="19"/>
  <c r="BM240" i="19"/>
  <c r="BO240" i="19"/>
  <c r="BP240" i="19"/>
  <c r="BR240" i="19"/>
  <c r="BS240" i="19"/>
  <c r="BT240" i="19"/>
  <c r="BU240" i="19"/>
  <c r="BW240" i="19"/>
  <c r="BX240" i="19"/>
  <c r="BY240" i="19"/>
  <c r="CA240" i="19"/>
  <c r="CB240" i="19"/>
  <c r="CC240" i="19"/>
  <c r="CD240" i="19"/>
  <c r="CE240" i="19"/>
  <c r="CF240" i="19"/>
  <c r="CH240" i="19"/>
  <c r="CI240" i="19"/>
  <c r="CJ240" i="19"/>
  <c r="CL240" i="19"/>
  <c r="CM240" i="19"/>
  <c r="CN240" i="19"/>
  <c r="CO240" i="19"/>
  <c r="CP240" i="19"/>
  <c r="CR240" i="19"/>
  <c r="CS240" i="19"/>
  <c r="CT240" i="19"/>
  <c r="CU240" i="19"/>
  <c r="CV240" i="19"/>
  <c r="CW240" i="19"/>
  <c r="CX240" i="19"/>
  <c r="CY240" i="19"/>
  <c r="CZ240" i="19"/>
  <c r="C241" i="19"/>
  <c r="D241" i="19"/>
  <c r="I241" i="19"/>
  <c r="K241" i="19"/>
  <c r="P241" i="19"/>
  <c r="Q241" i="19"/>
  <c r="R241" i="19"/>
  <c r="S241" i="19"/>
  <c r="Y241" i="19"/>
  <c r="Z241" i="19"/>
  <c r="AA241" i="19"/>
  <c r="AB241" i="19"/>
  <c r="AD241" i="19"/>
  <c r="AE241" i="19"/>
  <c r="AI241" i="19"/>
  <c r="AK241" i="19"/>
  <c r="AL241" i="19"/>
  <c r="AM241" i="19"/>
  <c r="AN241" i="19"/>
  <c r="AQ241" i="19"/>
  <c r="AR241" i="19"/>
  <c r="AS241" i="19"/>
  <c r="AU241" i="19"/>
  <c r="AV241" i="19"/>
  <c r="AW241" i="19"/>
  <c r="AX241" i="19"/>
  <c r="AY241" i="19"/>
  <c r="AZ241" i="19"/>
  <c r="BB241" i="19"/>
  <c r="BC241" i="19"/>
  <c r="BD241" i="19"/>
  <c r="BF241" i="19"/>
  <c r="BG241" i="19"/>
  <c r="BH241" i="19"/>
  <c r="BI241" i="19"/>
  <c r="BJ241" i="19"/>
  <c r="BL241" i="19"/>
  <c r="BM241" i="19"/>
  <c r="BO241" i="19"/>
  <c r="BP241" i="19"/>
  <c r="BR241" i="19"/>
  <c r="BS241" i="19"/>
  <c r="BT241" i="19"/>
  <c r="BU241" i="19"/>
  <c r="BW241" i="19"/>
  <c r="BX241" i="19"/>
  <c r="BY241" i="19"/>
  <c r="CA241" i="19"/>
  <c r="CB241" i="19"/>
  <c r="CC241" i="19"/>
  <c r="CD241" i="19"/>
  <c r="CE241" i="19"/>
  <c r="CF241" i="19"/>
  <c r="CH241" i="19"/>
  <c r="CI241" i="19"/>
  <c r="CJ241" i="19"/>
  <c r="CL241" i="19"/>
  <c r="CM241" i="19"/>
  <c r="CN241" i="19"/>
  <c r="CO241" i="19"/>
  <c r="CP241" i="19"/>
  <c r="CR241" i="19"/>
  <c r="CS241" i="19"/>
  <c r="CT241" i="19"/>
  <c r="CU241" i="19"/>
  <c r="CV241" i="19"/>
  <c r="CW241" i="19"/>
  <c r="CX241" i="19"/>
  <c r="CY241" i="19"/>
  <c r="CZ241" i="19"/>
  <c r="C242" i="19"/>
  <c r="D242" i="19"/>
  <c r="I242" i="19"/>
  <c r="K242" i="19"/>
  <c r="P242" i="19"/>
  <c r="Q242" i="19"/>
  <c r="R242" i="19"/>
  <c r="S242" i="19"/>
  <c r="Y242" i="19"/>
  <c r="Z242" i="19"/>
  <c r="AA242" i="19"/>
  <c r="AB242" i="19"/>
  <c r="AD242" i="19"/>
  <c r="AE242" i="19"/>
  <c r="AI242" i="19"/>
  <c r="AK242" i="19"/>
  <c r="AL242" i="19"/>
  <c r="AM242" i="19"/>
  <c r="AN242" i="19"/>
  <c r="AQ242" i="19"/>
  <c r="AR242" i="19"/>
  <c r="AS242" i="19"/>
  <c r="AU242" i="19"/>
  <c r="AV242" i="19"/>
  <c r="AW242" i="19"/>
  <c r="AX242" i="19"/>
  <c r="AY242" i="19"/>
  <c r="AZ242" i="19"/>
  <c r="BB242" i="19"/>
  <c r="BC242" i="19"/>
  <c r="BD242" i="19"/>
  <c r="BF242" i="19"/>
  <c r="BG242" i="19"/>
  <c r="BH242" i="19"/>
  <c r="BI242" i="19"/>
  <c r="BJ242" i="19"/>
  <c r="BL242" i="19"/>
  <c r="BM242" i="19"/>
  <c r="BO242" i="19"/>
  <c r="BP242" i="19"/>
  <c r="BR242" i="19"/>
  <c r="BS242" i="19"/>
  <c r="BT242" i="19"/>
  <c r="BU242" i="19"/>
  <c r="BW242" i="19"/>
  <c r="BX242" i="19"/>
  <c r="BY242" i="19"/>
  <c r="CA242" i="19"/>
  <c r="CB242" i="19"/>
  <c r="CC242" i="19"/>
  <c r="CD242" i="19"/>
  <c r="CE242" i="19"/>
  <c r="CF242" i="19"/>
  <c r="CH242" i="19"/>
  <c r="CI242" i="19"/>
  <c r="CJ242" i="19"/>
  <c r="CL242" i="19"/>
  <c r="CM242" i="19"/>
  <c r="CN242" i="19"/>
  <c r="CO242" i="19"/>
  <c r="CP242" i="19"/>
  <c r="CR242" i="19"/>
  <c r="CS242" i="19"/>
  <c r="CT242" i="19"/>
  <c r="CU242" i="19"/>
  <c r="CV242" i="19"/>
  <c r="CW242" i="19"/>
  <c r="CX242" i="19"/>
  <c r="CY242" i="19"/>
  <c r="CZ242" i="19"/>
  <c r="C243" i="19"/>
  <c r="D243" i="19"/>
  <c r="I243" i="19"/>
  <c r="K243" i="19"/>
  <c r="P243" i="19"/>
  <c r="Q243" i="19"/>
  <c r="R243" i="19"/>
  <c r="S243" i="19"/>
  <c r="Y243" i="19"/>
  <c r="Z243" i="19"/>
  <c r="AA243" i="19"/>
  <c r="AB243" i="19"/>
  <c r="AD243" i="19"/>
  <c r="AE243" i="19"/>
  <c r="AI243" i="19"/>
  <c r="AK243" i="19"/>
  <c r="AL243" i="19"/>
  <c r="AM243" i="19"/>
  <c r="AN243" i="19"/>
  <c r="AQ243" i="19"/>
  <c r="AR243" i="19"/>
  <c r="AS243" i="19"/>
  <c r="AU243" i="19"/>
  <c r="AV243" i="19"/>
  <c r="AW243" i="19"/>
  <c r="AX243" i="19"/>
  <c r="AY243" i="19"/>
  <c r="AZ243" i="19"/>
  <c r="BB243" i="19"/>
  <c r="BC243" i="19"/>
  <c r="BD243" i="19"/>
  <c r="BF243" i="19"/>
  <c r="BG243" i="19"/>
  <c r="BH243" i="19"/>
  <c r="BI243" i="19"/>
  <c r="BJ243" i="19"/>
  <c r="BL243" i="19"/>
  <c r="BM243" i="19"/>
  <c r="BO243" i="19"/>
  <c r="BP243" i="19"/>
  <c r="BR243" i="19"/>
  <c r="BS243" i="19"/>
  <c r="BT243" i="19"/>
  <c r="BU243" i="19"/>
  <c r="BW243" i="19"/>
  <c r="BX243" i="19"/>
  <c r="BY243" i="19"/>
  <c r="CA243" i="19"/>
  <c r="CB243" i="19"/>
  <c r="CC243" i="19"/>
  <c r="CD243" i="19"/>
  <c r="CE243" i="19"/>
  <c r="CF243" i="19"/>
  <c r="CH243" i="19"/>
  <c r="CI243" i="19"/>
  <c r="CJ243" i="19"/>
  <c r="CL243" i="19"/>
  <c r="CM243" i="19"/>
  <c r="CN243" i="19"/>
  <c r="CO243" i="19"/>
  <c r="CP243" i="19"/>
  <c r="CR243" i="19"/>
  <c r="CS243" i="19"/>
  <c r="CT243" i="19"/>
  <c r="CU243" i="19"/>
  <c r="CV243" i="19"/>
  <c r="CW243" i="19"/>
  <c r="CX243" i="19"/>
  <c r="CY243" i="19"/>
  <c r="CZ243" i="19"/>
  <c r="C244" i="19"/>
  <c r="D244" i="19"/>
  <c r="I244" i="19"/>
  <c r="K244" i="19"/>
  <c r="P244" i="19"/>
  <c r="Q244" i="19"/>
  <c r="R244" i="19"/>
  <c r="S244" i="19"/>
  <c r="Y244" i="19"/>
  <c r="Z244" i="19"/>
  <c r="AA244" i="19"/>
  <c r="AB244" i="19"/>
  <c r="AD244" i="19"/>
  <c r="AE244" i="19"/>
  <c r="AI244" i="19"/>
  <c r="AK244" i="19"/>
  <c r="AL244" i="19"/>
  <c r="AM244" i="19"/>
  <c r="AN244" i="19"/>
  <c r="AQ244" i="19"/>
  <c r="AR244" i="19"/>
  <c r="AS244" i="19"/>
  <c r="AU244" i="19"/>
  <c r="AV244" i="19"/>
  <c r="AW244" i="19"/>
  <c r="AX244" i="19"/>
  <c r="AY244" i="19"/>
  <c r="AZ244" i="19"/>
  <c r="BB244" i="19"/>
  <c r="BC244" i="19"/>
  <c r="BD244" i="19"/>
  <c r="BF244" i="19"/>
  <c r="BG244" i="19"/>
  <c r="BH244" i="19"/>
  <c r="BI244" i="19"/>
  <c r="BJ244" i="19"/>
  <c r="BL244" i="19"/>
  <c r="BM244" i="19"/>
  <c r="BO244" i="19"/>
  <c r="BP244" i="19"/>
  <c r="BR244" i="19"/>
  <c r="BS244" i="19"/>
  <c r="BT244" i="19"/>
  <c r="BU244" i="19"/>
  <c r="BW244" i="19"/>
  <c r="BX244" i="19"/>
  <c r="BY244" i="19"/>
  <c r="CA244" i="19"/>
  <c r="CB244" i="19"/>
  <c r="CC244" i="19"/>
  <c r="CD244" i="19"/>
  <c r="CE244" i="19"/>
  <c r="CF244" i="19"/>
  <c r="CH244" i="19"/>
  <c r="CI244" i="19"/>
  <c r="CJ244" i="19"/>
  <c r="CL244" i="19"/>
  <c r="CM244" i="19"/>
  <c r="CN244" i="19"/>
  <c r="CO244" i="19"/>
  <c r="CP244" i="19"/>
  <c r="CR244" i="19"/>
  <c r="CS244" i="19"/>
  <c r="CT244" i="19"/>
  <c r="CU244" i="19"/>
  <c r="CV244" i="19"/>
  <c r="CW244" i="19"/>
  <c r="CX244" i="19"/>
  <c r="CY244" i="19"/>
  <c r="CZ244" i="19"/>
  <c r="F5" i="1"/>
  <c r="G5" i="1"/>
  <c r="I5" i="1"/>
  <c r="J5" i="1"/>
  <c r="K5" i="1"/>
  <c r="L5" i="1"/>
  <c r="M5" i="1"/>
  <c r="T5" i="1"/>
  <c r="F6" i="1"/>
  <c r="G6" i="1"/>
  <c r="I6" i="1"/>
  <c r="J6" i="1"/>
  <c r="K6" i="1"/>
  <c r="L6" i="1"/>
  <c r="M6" i="1"/>
  <c r="T6" i="1"/>
  <c r="F7" i="1"/>
  <c r="G7" i="1"/>
  <c r="I7" i="1"/>
  <c r="J7" i="1"/>
  <c r="K7" i="1"/>
  <c r="L7" i="1"/>
  <c r="M7" i="1"/>
  <c r="T7" i="1"/>
  <c r="F8" i="1"/>
  <c r="G8" i="1"/>
  <c r="I8" i="1"/>
  <c r="J8" i="1"/>
  <c r="K8" i="1"/>
  <c r="L8" i="1"/>
  <c r="M8" i="1"/>
  <c r="T8" i="1"/>
  <c r="AB8" i="1"/>
  <c r="F9" i="1"/>
  <c r="G9" i="1"/>
  <c r="I9" i="1"/>
  <c r="J9" i="1"/>
  <c r="K9" i="1"/>
  <c r="L9" i="1"/>
  <c r="M9" i="1"/>
  <c r="T9" i="1"/>
  <c r="AB9" i="1"/>
  <c r="F10" i="1"/>
  <c r="G10" i="1"/>
  <c r="I10" i="1"/>
  <c r="J10" i="1"/>
  <c r="K10" i="1"/>
  <c r="L10" i="1"/>
  <c r="M10" i="1"/>
  <c r="T10" i="1"/>
  <c r="AB10" i="1"/>
  <c r="F11" i="1"/>
  <c r="G11" i="1"/>
  <c r="I11" i="1"/>
  <c r="J11" i="1"/>
  <c r="K11" i="1"/>
  <c r="L11" i="1"/>
  <c r="M11" i="1"/>
  <c r="T11" i="1"/>
  <c r="AB11" i="1"/>
  <c r="F12" i="1"/>
  <c r="G12" i="1"/>
  <c r="I12" i="1"/>
  <c r="J12" i="1"/>
  <c r="K12" i="1"/>
  <c r="L12" i="1"/>
  <c r="M12" i="1"/>
  <c r="T12" i="1"/>
  <c r="AB12" i="1"/>
  <c r="F13" i="1"/>
  <c r="G13" i="1"/>
  <c r="I13" i="1"/>
  <c r="J13" i="1"/>
  <c r="K13" i="1"/>
  <c r="L13" i="1"/>
  <c r="M13" i="1"/>
  <c r="T13" i="1"/>
  <c r="AB13" i="1"/>
  <c r="F14" i="1"/>
  <c r="G14" i="1"/>
  <c r="I14" i="1"/>
  <c r="J14" i="1"/>
  <c r="K14" i="1"/>
  <c r="L14" i="1"/>
  <c r="M14" i="1"/>
  <c r="T14" i="1"/>
  <c r="AB14" i="1"/>
  <c r="F15" i="1"/>
  <c r="G15" i="1"/>
  <c r="I15" i="1"/>
  <c r="J15" i="1"/>
  <c r="K15" i="1"/>
  <c r="L15" i="1"/>
  <c r="M15" i="1"/>
  <c r="T15" i="1"/>
  <c r="AB15" i="1"/>
  <c r="F16" i="1"/>
  <c r="G16" i="1"/>
  <c r="I16" i="1"/>
  <c r="J16" i="1"/>
  <c r="K16" i="1"/>
  <c r="L16" i="1"/>
  <c r="M16" i="1"/>
  <c r="T16" i="1"/>
  <c r="AB16" i="1"/>
  <c r="F17" i="1"/>
  <c r="G17" i="1"/>
  <c r="I17" i="1"/>
  <c r="J17" i="1"/>
  <c r="K17" i="1"/>
  <c r="L17" i="1"/>
  <c r="M17" i="1"/>
  <c r="T17" i="1"/>
  <c r="AB17" i="1"/>
  <c r="F18" i="1"/>
  <c r="G18" i="1"/>
  <c r="I18" i="1"/>
  <c r="J18" i="1"/>
  <c r="K18" i="1"/>
  <c r="L18" i="1"/>
  <c r="M18" i="1"/>
  <c r="T18" i="1"/>
  <c r="AB18" i="1"/>
  <c r="F19" i="1"/>
  <c r="G19" i="1"/>
  <c r="I19" i="1"/>
  <c r="J19" i="1"/>
  <c r="K19" i="1"/>
  <c r="L19" i="1"/>
  <c r="M19" i="1"/>
  <c r="T19" i="1"/>
  <c r="AB19" i="1"/>
  <c r="F20" i="1"/>
  <c r="G20" i="1"/>
  <c r="I20" i="1"/>
  <c r="J20" i="1"/>
  <c r="K20" i="1"/>
  <c r="L20" i="1"/>
  <c r="M20" i="1"/>
  <c r="T20" i="1"/>
  <c r="F21" i="1"/>
  <c r="G21" i="1"/>
  <c r="I21" i="1"/>
  <c r="J21" i="1"/>
  <c r="K21" i="1"/>
  <c r="L21" i="1"/>
  <c r="M21" i="1"/>
  <c r="T21" i="1"/>
  <c r="F22" i="1"/>
  <c r="G22" i="1"/>
  <c r="I22" i="1"/>
  <c r="J22" i="1"/>
  <c r="K22" i="1"/>
  <c r="L22" i="1"/>
  <c r="M22" i="1"/>
  <c r="T22" i="1"/>
  <c r="F23" i="1"/>
  <c r="G23" i="1"/>
  <c r="I23" i="1"/>
  <c r="J23" i="1"/>
  <c r="K23" i="1"/>
  <c r="L23" i="1"/>
  <c r="M23" i="1"/>
  <c r="T23" i="1"/>
  <c r="F24" i="1"/>
  <c r="G24" i="1"/>
  <c r="I24" i="1"/>
  <c r="J24" i="1"/>
  <c r="K24" i="1"/>
  <c r="L24" i="1"/>
  <c r="M24" i="1"/>
  <c r="T24" i="1"/>
  <c r="F25" i="1"/>
  <c r="G25" i="1"/>
  <c r="I25" i="1"/>
  <c r="J25" i="1"/>
  <c r="K25" i="1"/>
  <c r="L25" i="1"/>
  <c r="M25" i="1"/>
  <c r="T25" i="1"/>
  <c r="F26" i="1"/>
  <c r="G26" i="1"/>
  <c r="I26" i="1"/>
  <c r="J26" i="1"/>
  <c r="K26" i="1"/>
  <c r="L26" i="1"/>
  <c r="M26" i="1"/>
  <c r="T26" i="1"/>
  <c r="F27" i="1"/>
  <c r="G27" i="1"/>
  <c r="I27" i="1"/>
  <c r="J27" i="1"/>
  <c r="K27" i="1"/>
  <c r="L27" i="1"/>
  <c r="M27" i="1"/>
  <c r="T27" i="1"/>
  <c r="F28" i="1"/>
  <c r="G28" i="1"/>
  <c r="I28" i="1"/>
  <c r="J28" i="1"/>
  <c r="K28" i="1"/>
  <c r="L28" i="1"/>
  <c r="M28" i="1"/>
  <c r="T28" i="1"/>
  <c r="F29" i="1"/>
  <c r="G29" i="1"/>
  <c r="I29" i="1"/>
  <c r="J29" i="1"/>
  <c r="K29" i="1"/>
  <c r="L29" i="1"/>
  <c r="M29" i="1"/>
  <c r="T29" i="1"/>
  <c r="F30" i="1"/>
  <c r="G30" i="1"/>
  <c r="I30" i="1"/>
  <c r="J30" i="1"/>
  <c r="K30" i="1"/>
  <c r="L30" i="1"/>
  <c r="M30" i="1"/>
  <c r="T30" i="1"/>
  <c r="F31" i="1"/>
  <c r="G31" i="1"/>
  <c r="I31" i="1"/>
  <c r="J31" i="1"/>
  <c r="K31" i="1"/>
  <c r="L31" i="1"/>
  <c r="M31" i="1"/>
  <c r="T31" i="1"/>
  <c r="F32" i="1"/>
  <c r="G32" i="1"/>
  <c r="I32" i="1"/>
  <c r="J32" i="1"/>
  <c r="K32" i="1"/>
  <c r="L32" i="1"/>
  <c r="M32" i="1"/>
  <c r="T32" i="1"/>
  <c r="F33" i="1"/>
  <c r="G33" i="1"/>
  <c r="I33" i="1"/>
  <c r="J33" i="1"/>
  <c r="K33" i="1"/>
  <c r="L33" i="1"/>
  <c r="M33" i="1"/>
  <c r="T33" i="1"/>
  <c r="F34" i="1"/>
  <c r="G34" i="1"/>
  <c r="I34" i="1"/>
  <c r="J34" i="1"/>
  <c r="K34" i="1"/>
  <c r="L34" i="1"/>
  <c r="M34" i="1"/>
  <c r="T34" i="1"/>
  <c r="F35" i="1"/>
  <c r="G35" i="1"/>
  <c r="I35" i="1"/>
  <c r="J35" i="1"/>
  <c r="K35" i="1"/>
  <c r="L35" i="1"/>
  <c r="M35" i="1"/>
  <c r="T35" i="1"/>
  <c r="F36" i="1"/>
  <c r="G36" i="1"/>
  <c r="I36" i="1"/>
  <c r="J36" i="1"/>
  <c r="K36" i="1"/>
  <c r="L36" i="1"/>
  <c r="M36" i="1"/>
  <c r="T36" i="1"/>
  <c r="F37" i="1"/>
  <c r="G37" i="1"/>
  <c r="I37" i="1"/>
  <c r="J37" i="1"/>
  <c r="K37" i="1"/>
  <c r="L37" i="1"/>
  <c r="M37" i="1"/>
  <c r="T37" i="1"/>
  <c r="F38" i="1"/>
  <c r="G38" i="1"/>
  <c r="I38" i="1"/>
  <c r="J38" i="1"/>
  <c r="K38" i="1"/>
  <c r="L38" i="1"/>
  <c r="M38" i="1"/>
  <c r="T38" i="1"/>
  <c r="F39" i="1"/>
  <c r="G39" i="1"/>
  <c r="I39" i="1"/>
  <c r="J39" i="1"/>
  <c r="K39" i="1"/>
  <c r="L39" i="1"/>
  <c r="M39" i="1"/>
  <c r="T39" i="1"/>
  <c r="F40" i="1"/>
  <c r="G40" i="1"/>
  <c r="I40" i="1"/>
  <c r="J40" i="1"/>
  <c r="K40" i="1"/>
  <c r="L40" i="1"/>
  <c r="M40" i="1"/>
  <c r="T40" i="1"/>
  <c r="F41" i="1"/>
  <c r="G41" i="1"/>
  <c r="I41" i="1"/>
  <c r="J41" i="1"/>
  <c r="K41" i="1"/>
  <c r="L41" i="1"/>
  <c r="M41" i="1"/>
  <c r="T41" i="1"/>
  <c r="F42" i="1"/>
  <c r="G42" i="1"/>
  <c r="I42" i="1"/>
  <c r="J42" i="1"/>
  <c r="K42" i="1"/>
  <c r="L42" i="1"/>
  <c r="M42" i="1"/>
  <c r="T42" i="1"/>
  <c r="F43" i="1"/>
  <c r="G43" i="1"/>
  <c r="I43" i="1"/>
  <c r="J43" i="1"/>
  <c r="K43" i="1"/>
  <c r="L43" i="1"/>
  <c r="M43" i="1"/>
  <c r="T43" i="1"/>
  <c r="F44" i="1"/>
  <c r="G44" i="1"/>
  <c r="I44" i="1"/>
  <c r="J44" i="1"/>
  <c r="K44" i="1"/>
  <c r="L44" i="1"/>
  <c r="M44" i="1"/>
  <c r="T44" i="1"/>
  <c r="F45" i="1"/>
  <c r="G45" i="1"/>
  <c r="I45" i="1"/>
  <c r="J45" i="1"/>
  <c r="K45" i="1"/>
  <c r="L45" i="1"/>
  <c r="M45" i="1"/>
  <c r="T45" i="1"/>
  <c r="F46" i="1"/>
  <c r="G46" i="1"/>
  <c r="I46" i="1"/>
  <c r="J46" i="1"/>
  <c r="K46" i="1"/>
  <c r="L46" i="1"/>
  <c r="M46" i="1"/>
  <c r="T46" i="1"/>
  <c r="F47" i="1"/>
  <c r="G47" i="1"/>
  <c r="I47" i="1"/>
  <c r="J47" i="1"/>
  <c r="K47" i="1"/>
  <c r="L47" i="1"/>
  <c r="M47" i="1"/>
  <c r="T47" i="1"/>
  <c r="F48" i="1"/>
  <c r="G48" i="1"/>
  <c r="I48" i="1"/>
  <c r="J48" i="1"/>
  <c r="K48" i="1"/>
  <c r="L48" i="1"/>
  <c r="M48" i="1"/>
  <c r="T48" i="1"/>
  <c r="F49" i="1"/>
  <c r="G49" i="1"/>
  <c r="I49" i="1"/>
  <c r="J49" i="1"/>
  <c r="K49" i="1"/>
  <c r="L49" i="1"/>
  <c r="M49" i="1"/>
  <c r="T49" i="1"/>
  <c r="F50" i="1"/>
  <c r="G50" i="1"/>
  <c r="I50" i="1"/>
  <c r="J50" i="1"/>
  <c r="K50" i="1"/>
  <c r="L50" i="1"/>
  <c r="M50" i="1"/>
  <c r="T50" i="1"/>
  <c r="F51" i="1"/>
  <c r="G51" i="1"/>
  <c r="I51" i="1"/>
  <c r="J51" i="1"/>
  <c r="K51" i="1"/>
  <c r="L51" i="1"/>
  <c r="M51" i="1"/>
  <c r="T51" i="1"/>
  <c r="F52" i="1"/>
  <c r="G52" i="1"/>
  <c r="I52" i="1"/>
  <c r="J52" i="1"/>
  <c r="K52" i="1"/>
  <c r="L52" i="1"/>
  <c r="M52" i="1"/>
  <c r="T52" i="1"/>
  <c r="F53" i="1"/>
  <c r="G53" i="1"/>
  <c r="I53" i="1"/>
  <c r="J53" i="1"/>
  <c r="K53" i="1"/>
  <c r="L53" i="1"/>
  <c r="M53" i="1"/>
  <c r="T53" i="1"/>
  <c r="F54" i="1"/>
  <c r="G54" i="1"/>
  <c r="I54" i="1"/>
  <c r="J54" i="1"/>
  <c r="K54" i="1"/>
  <c r="L54" i="1"/>
  <c r="M54" i="1"/>
  <c r="T54" i="1"/>
  <c r="F55" i="1"/>
  <c r="G55" i="1"/>
  <c r="I55" i="1"/>
  <c r="J55" i="1"/>
  <c r="K55" i="1"/>
  <c r="L55" i="1"/>
  <c r="M55" i="1"/>
  <c r="T55" i="1"/>
  <c r="F56" i="1"/>
  <c r="G56" i="1"/>
  <c r="I56" i="1"/>
  <c r="J56" i="1"/>
  <c r="K56" i="1"/>
  <c r="L56" i="1"/>
  <c r="M56" i="1"/>
  <c r="T56" i="1"/>
  <c r="F57" i="1"/>
  <c r="G57" i="1"/>
  <c r="I57" i="1"/>
  <c r="J57" i="1"/>
  <c r="K57" i="1"/>
  <c r="L57" i="1"/>
  <c r="M57" i="1"/>
  <c r="T57" i="1"/>
  <c r="F58" i="1"/>
  <c r="G58" i="1"/>
  <c r="I58" i="1"/>
  <c r="J58" i="1"/>
  <c r="K58" i="1"/>
  <c r="L58" i="1"/>
  <c r="M58" i="1"/>
  <c r="T58" i="1"/>
  <c r="F59" i="1"/>
  <c r="G59" i="1"/>
  <c r="I59" i="1"/>
  <c r="J59" i="1"/>
  <c r="K59" i="1"/>
  <c r="L59" i="1"/>
  <c r="M59" i="1"/>
  <c r="T59" i="1"/>
  <c r="F60" i="1"/>
  <c r="G60" i="1"/>
  <c r="I60" i="1"/>
  <c r="J60" i="1"/>
  <c r="K60" i="1"/>
  <c r="L60" i="1"/>
  <c r="M60" i="1"/>
  <c r="T60" i="1"/>
  <c r="F61" i="1"/>
  <c r="G61" i="1"/>
  <c r="I61" i="1"/>
  <c r="J61" i="1"/>
  <c r="K61" i="1"/>
  <c r="L61" i="1"/>
  <c r="M61" i="1"/>
  <c r="T61" i="1"/>
  <c r="F62" i="1"/>
  <c r="G62" i="1"/>
  <c r="I62" i="1"/>
  <c r="J62" i="1"/>
  <c r="K62" i="1"/>
  <c r="L62" i="1"/>
  <c r="M62" i="1"/>
  <c r="T62" i="1"/>
  <c r="F63" i="1"/>
  <c r="G63" i="1"/>
  <c r="I63" i="1"/>
  <c r="J63" i="1"/>
  <c r="K63" i="1"/>
  <c r="L63" i="1"/>
  <c r="M63" i="1"/>
  <c r="T63" i="1"/>
  <c r="F64" i="1"/>
  <c r="G64" i="1"/>
  <c r="I64" i="1"/>
  <c r="J64" i="1"/>
  <c r="K64" i="1"/>
  <c r="L64" i="1"/>
  <c r="M64" i="1"/>
  <c r="T64" i="1"/>
  <c r="F65" i="1"/>
  <c r="G65" i="1"/>
  <c r="I65" i="1"/>
  <c r="J65" i="1"/>
  <c r="K65" i="1"/>
  <c r="L65" i="1"/>
  <c r="M65" i="1"/>
  <c r="T65" i="1"/>
  <c r="F66" i="1"/>
  <c r="G66" i="1"/>
  <c r="I66" i="1"/>
  <c r="J66" i="1"/>
  <c r="K66" i="1"/>
  <c r="L66" i="1"/>
  <c r="M66" i="1"/>
  <c r="T66" i="1"/>
  <c r="F67" i="1"/>
  <c r="G67" i="1"/>
  <c r="I67" i="1"/>
  <c r="J67" i="1"/>
  <c r="K67" i="1"/>
  <c r="L67" i="1"/>
  <c r="M67" i="1"/>
  <c r="T67" i="1"/>
  <c r="F68" i="1"/>
  <c r="G68" i="1"/>
  <c r="I68" i="1"/>
  <c r="J68" i="1"/>
  <c r="K68" i="1"/>
  <c r="L68" i="1"/>
  <c r="M68" i="1"/>
  <c r="T68" i="1"/>
  <c r="F69" i="1"/>
  <c r="G69" i="1"/>
  <c r="I69" i="1"/>
  <c r="J69" i="1"/>
  <c r="K69" i="1"/>
  <c r="L69" i="1"/>
  <c r="M69" i="1"/>
  <c r="T69" i="1"/>
  <c r="F70" i="1"/>
  <c r="G70" i="1"/>
  <c r="I70" i="1"/>
  <c r="J70" i="1"/>
  <c r="K70" i="1"/>
  <c r="L70" i="1"/>
  <c r="M70" i="1"/>
  <c r="T70" i="1"/>
  <c r="F71" i="1"/>
  <c r="G71" i="1"/>
  <c r="I71" i="1"/>
  <c r="J71" i="1"/>
  <c r="K71" i="1"/>
  <c r="L71" i="1"/>
  <c r="M71" i="1"/>
  <c r="T71" i="1"/>
  <c r="F72" i="1"/>
  <c r="G72" i="1"/>
  <c r="I72" i="1"/>
  <c r="J72" i="1"/>
  <c r="K72" i="1"/>
  <c r="L72" i="1"/>
  <c r="M72" i="1"/>
  <c r="T72" i="1"/>
  <c r="F73" i="1"/>
  <c r="G73" i="1"/>
  <c r="I73" i="1"/>
  <c r="J73" i="1"/>
  <c r="K73" i="1"/>
  <c r="L73" i="1"/>
  <c r="M73" i="1"/>
  <c r="T73" i="1"/>
  <c r="F74" i="1"/>
  <c r="G74" i="1"/>
  <c r="I74" i="1"/>
  <c r="J74" i="1"/>
  <c r="K74" i="1"/>
  <c r="L74" i="1"/>
  <c r="M74" i="1"/>
  <c r="T74" i="1"/>
  <c r="F75" i="1"/>
  <c r="G75" i="1"/>
  <c r="I75" i="1"/>
  <c r="J75" i="1"/>
  <c r="K75" i="1"/>
  <c r="L75" i="1"/>
  <c r="M75" i="1"/>
  <c r="T75" i="1"/>
  <c r="F76" i="1"/>
  <c r="G76" i="1"/>
  <c r="I76" i="1"/>
  <c r="J76" i="1"/>
  <c r="K76" i="1"/>
  <c r="L76" i="1"/>
  <c r="M76" i="1"/>
  <c r="T76" i="1"/>
  <c r="F77" i="1"/>
  <c r="G77" i="1"/>
  <c r="I77" i="1"/>
  <c r="J77" i="1"/>
  <c r="K77" i="1"/>
  <c r="L77" i="1"/>
  <c r="M77" i="1"/>
  <c r="T77" i="1"/>
  <c r="F78" i="1"/>
  <c r="G78" i="1"/>
  <c r="I78" i="1"/>
  <c r="J78" i="1"/>
  <c r="K78" i="1"/>
  <c r="L78" i="1"/>
  <c r="M78" i="1"/>
  <c r="T78" i="1"/>
  <c r="F79" i="1"/>
  <c r="G79" i="1"/>
  <c r="I79" i="1"/>
  <c r="J79" i="1"/>
  <c r="K79" i="1"/>
  <c r="L79" i="1"/>
  <c r="M79" i="1"/>
  <c r="T79" i="1"/>
  <c r="F80" i="1"/>
  <c r="G80" i="1"/>
  <c r="I80" i="1"/>
  <c r="J80" i="1"/>
  <c r="K80" i="1"/>
  <c r="L80" i="1"/>
  <c r="M80" i="1"/>
  <c r="T80" i="1"/>
  <c r="F81" i="1"/>
  <c r="G81" i="1"/>
  <c r="I81" i="1"/>
  <c r="J81" i="1"/>
  <c r="K81" i="1"/>
  <c r="L81" i="1"/>
  <c r="M81" i="1"/>
  <c r="T81" i="1"/>
  <c r="F82" i="1"/>
  <c r="G82" i="1"/>
  <c r="I82" i="1"/>
  <c r="J82" i="1"/>
  <c r="K82" i="1"/>
  <c r="L82" i="1"/>
  <c r="M82" i="1"/>
  <c r="T82" i="1"/>
  <c r="F83" i="1"/>
  <c r="G83" i="1"/>
  <c r="I83" i="1"/>
  <c r="J83" i="1"/>
  <c r="K83" i="1"/>
  <c r="L83" i="1"/>
  <c r="M83" i="1"/>
  <c r="T83" i="1"/>
  <c r="F84" i="1"/>
  <c r="G84" i="1"/>
  <c r="I84" i="1"/>
  <c r="J84" i="1"/>
  <c r="K84" i="1"/>
  <c r="L84" i="1"/>
  <c r="M84" i="1"/>
  <c r="T84" i="1"/>
  <c r="F85" i="1"/>
  <c r="G85" i="1"/>
  <c r="I85" i="1"/>
  <c r="J85" i="1"/>
  <c r="K85" i="1"/>
  <c r="L85" i="1"/>
  <c r="M85" i="1"/>
  <c r="T85" i="1"/>
  <c r="F86" i="1"/>
  <c r="G86" i="1"/>
  <c r="I86" i="1"/>
  <c r="J86" i="1"/>
  <c r="K86" i="1"/>
  <c r="L86" i="1"/>
  <c r="M86" i="1"/>
  <c r="T86" i="1"/>
  <c r="F87" i="1"/>
  <c r="G87" i="1"/>
  <c r="I87" i="1"/>
  <c r="J87" i="1"/>
  <c r="K87" i="1"/>
  <c r="L87" i="1"/>
  <c r="M87" i="1"/>
  <c r="T87" i="1"/>
  <c r="F88" i="1"/>
  <c r="G88" i="1"/>
  <c r="I88" i="1"/>
  <c r="J88" i="1"/>
  <c r="K88" i="1"/>
  <c r="L88" i="1"/>
  <c r="M88" i="1"/>
  <c r="T88" i="1"/>
  <c r="F89" i="1"/>
  <c r="G89" i="1"/>
  <c r="I89" i="1"/>
  <c r="J89" i="1"/>
  <c r="K89" i="1"/>
  <c r="L89" i="1"/>
  <c r="M89" i="1"/>
  <c r="T89" i="1"/>
  <c r="F90" i="1"/>
  <c r="G90" i="1"/>
  <c r="I90" i="1"/>
  <c r="J90" i="1"/>
  <c r="K90" i="1"/>
  <c r="L90" i="1"/>
  <c r="M90" i="1"/>
  <c r="T90" i="1"/>
  <c r="F91" i="1"/>
  <c r="G91" i="1"/>
  <c r="I91" i="1"/>
  <c r="J91" i="1"/>
  <c r="K91" i="1"/>
  <c r="L91" i="1"/>
  <c r="M91" i="1"/>
  <c r="T91" i="1"/>
  <c r="F92" i="1"/>
  <c r="G92" i="1"/>
  <c r="I92" i="1"/>
  <c r="J92" i="1"/>
  <c r="K92" i="1"/>
  <c r="L92" i="1"/>
  <c r="M92" i="1"/>
  <c r="T92" i="1"/>
  <c r="F93" i="1"/>
  <c r="G93" i="1"/>
  <c r="I93" i="1"/>
  <c r="J93" i="1"/>
  <c r="K93" i="1"/>
  <c r="L93" i="1"/>
  <c r="M93" i="1"/>
  <c r="T93" i="1"/>
  <c r="F94" i="1"/>
  <c r="G94" i="1"/>
  <c r="I94" i="1"/>
  <c r="J94" i="1"/>
  <c r="K94" i="1"/>
  <c r="L94" i="1"/>
  <c r="M94" i="1"/>
  <c r="T94" i="1"/>
  <c r="F95" i="1"/>
  <c r="G95" i="1"/>
  <c r="I95" i="1"/>
  <c r="J95" i="1"/>
  <c r="K95" i="1"/>
  <c r="L95" i="1"/>
  <c r="M95" i="1"/>
  <c r="T95" i="1"/>
  <c r="F96" i="1"/>
  <c r="G96" i="1"/>
  <c r="I96" i="1"/>
  <c r="J96" i="1"/>
  <c r="K96" i="1"/>
  <c r="L96" i="1"/>
  <c r="M96" i="1"/>
  <c r="T96" i="1"/>
  <c r="F97" i="1"/>
  <c r="G97" i="1"/>
  <c r="I97" i="1"/>
  <c r="J97" i="1"/>
  <c r="K97" i="1"/>
  <c r="L97" i="1"/>
  <c r="M97" i="1"/>
  <c r="T97" i="1"/>
  <c r="F98" i="1"/>
  <c r="G98" i="1"/>
  <c r="I98" i="1"/>
  <c r="J98" i="1"/>
  <c r="K98" i="1"/>
  <c r="L98" i="1"/>
  <c r="M98" i="1"/>
  <c r="T98" i="1"/>
  <c r="F99" i="1"/>
  <c r="G99" i="1"/>
  <c r="I99" i="1"/>
  <c r="J99" i="1"/>
  <c r="K99" i="1"/>
  <c r="L99" i="1"/>
  <c r="M99" i="1"/>
  <c r="T99" i="1"/>
  <c r="F100" i="1"/>
  <c r="G100" i="1"/>
  <c r="I100" i="1"/>
  <c r="J100" i="1"/>
  <c r="K100" i="1"/>
  <c r="L100" i="1"/>
  <c r="M100" i="1"/>
  <c r="T100" i="1"/>
  <c r="F101" i="1"/>
  <c r="G101" i="1"/>
  <c r="I101" i="1"/>
  <c r="J101" i="1"/>
  <c r="K101" i="1"/>
  <c r="L101" i="1"/>
  <c r="M101" i="1"/>
  <c r="T101" i="1"/>
  <c r="F102" i="1"/>
  <c r="G102" i="1"/>
  <c r="I102" i="1"/>
  <c r="J102" i="1"/>
  <c r="K102" i="1"/>
  <c r="L102" i="1"/>
  <c r="M102" i="1"/>
  <c r="T102" i="1"/>
  <c r="F103" i="1"/>
  <c r="G103" i="1"/>
  <c r="I103" i="1"/>
  <c r="J103" i="1"/>
  <c r="K103" i="1"/>
  <c r="L103" i="1"/>
  <c r="M103" i="1"/>
  <c r="T103" i="1"/>
  <c r="F104" i="1"/>
  <c r="G104" i="1"/>
  <c r="I104" i="1"/>
  <c r="J104" i="1"/>
  <c r="K104" i="1"/>
  <c r="L104" i="1"/>
  <c r="M104" i="1"/>
  <c r="T104" i="1"/>
  <c r="F105" i="1"/>
  <c r="G105" i="1"/>
  <c r="I105" i="1"/>
  <c r="J105" i="1"/>
  <c r="K105" i="1"/>
  <c r="L105" i="1"/>
  <c r="M105" i="1"/>
  <c r="T105" i="1"/>
  <c r="F106" i="1"/>
  <c r="G106" i="1"/>
  <c r="I106" i="1"/>
  <c r="J106" i="1"/>
  <c r="K106" i="1"/>
  <c r="L106" i="1"/>
  <c r="M106" i="1"/>
  <c r="T106" i="1"/>
  <c r="F107" i="1"/>
  <c r="G107" i="1"/>
  <c r="I107" i="1"/>
  <c r="J107" i="1"/>
  <c r="K107" i="1"/>
  <c r="L107" i="1"/>
  <c r="M107" i="1"/>
  <c r="T107" i="1"/>
  <c r="F108" i="1"/>
  <c r="G108" i="1"/>
  <c r="I108" i="1"/>
  <c r="J108" i="1"/>
  <c r="K108" i="1"/>
  <c r="L108" i="1"/>
  <c r="M108" i="1"/>
  <c r="T108" i="1"/>
  <c r="F109" i="1"/>
  <c r="G109" i="1"/>
  <c r="I109" i="1"/>
  <c r="J109" i="1"/>
  <c r="K109" i="1"/>
  <c r="L109" i="1"/>
  <c r="M109" i="1"/>
  <c r="T109" i="1"/>
  <c r="F110" i="1"/>
  <c r="G110" i="1"/>
  <c r="I110" i="1"/>
  <c r="J110" i="1"/>
  <c r="K110" i="1"/>
  <c r="L110" i="1"/>
  <c r="M110" i="1"/>
  <c r="T110" i="1"/>
  <c r="F111" i="1"/>
  <c r="G111" i="1"/>
  <c r="I111" i="1"/>
  <c r="J111" i="1"/>
  <c r="K111" i="1"/>
  <c r="L111" i="1"/>
  <c r="M111" i="1"/>
  <c r="T111" i="1"/>
  <c r="F112" i="1"/>
  <c r="G112" i="1"/>
  <c r="I112" i="1"/>
  <c r="J112" i="1"/>
  <c r="K112" i="1"/>
  <c r="L112" i="1"/>
  <c r="M112" i="1"/>
  <c r="T112" i="1"/>
  <c r="F113" i="1"/>
  <c r="G113" i="1"/>
  <c r="I113" i="1"/>
  <c r="J113" i="1"/>
  <c r="K113" i="1"/>
  <c r="L113" i="1"/>
  <c r="M113" i="1"/>
  <c r="T113" i="1"/>
  <c r="F114" i="1"/>
  <c r="G114" i="1"/>
  <c r="I114" i="1"/>
  <c r="J114" i="1"/>
  <c r="K114" i="1"/>
  <c r="L114" i="1"/>
  <c r="M114" i="1"/>
  <c r="T114" i="1"/>
  <c r="F115" i="1"/>
  <c r="G115" i="1"/>
  <c r="I115" i="1"/>
  <c r="J115" i="1"/>
  <c r="K115" i="1"/>
  <c r="L115" i="1"/>
  <c r="M115" i="1"/>
  <c r="T115" i="1"/>
  <c r="F116" i="1"/>
  <c r="G116" i="1"/>
  <c r="I116" i="1"/>
  <c r="J116" i="1"/>
  <c r="K116" i="1"/>
  <c r="L116" i="1"/>
  <c r="M116" i="1"/>
  <c r="T116" i="1"/>
  <c r="F117" i="1"/>
  <c r="G117" i="1"/>
  <c r="I117" i="1"/>
  <c r="J117" i="1"/>
  <c r="K117" i="1"/>
  <c r="L117" i="1"/>
  <c r="M117" i="1"/>
  <c r="T117" i="1"/>
  <c r="F118" i="1"/>
  <c r="G118" i="1"/>
  <c r="I118" i="1"/>
  <c r="J118" i="1"/>
  <c r="K118" i="1"/>
  <c r="L118" i="1"/>
  <c r="M118" i="1"/>
  <c r="T118" i="1"/>
  <c r="F119" i="1"/>
  <c r="G119" i="1"/>
  <c r="I119" i="1"/>
  <c r="J119" i="1"/>
  <c r="K119" i="1"/>
  <c r="L119" i="1"/>
  <c r="M119" i="1"/>
  <c r="T119" i="1"/>
  <c r="F120" i="1"/>
  <c r="G120" i="1"/>
  <c r="I120" i="1"/>
  <c r="J120" i="1"/>
  <c r="K120" i="1"/>
  <c r="L120" i="1"/>
  <c r="M120" i="1"/>
  <c r="T120" i="1"/>
  <c r="F121" i="1"/>
  <c r="G121" i="1"/>
  <c r="I121" i="1"/>
  <c r="J121" i="1"/>
  <c r="K121" i="1"/>
  <c r="L121" i="1"/>
  <c r="M121" i="1"/>
  <c r="T121" i="1"/>
  <c r="F122" i="1"/>
  <c r="G122" i="1"/>
  <c r="I122" i="1"/>
  <c r="J122" i="1"/>
  <c r="K122" i="1"/>
  <c r="L122" i="1"/>
  <c r="M122" i="1"/>
  <c r="T122" i="1"/>
  <c r="F123" i="1"/>
  <c r="G123" i="1"/>
  <c r="I123" i="1"/>
  <c r="J123" i="1"/>
  <c r="K123" i="1"/>
  <c r="L123" i="1"/>
  <c r="M123" i="1"/>
  <c r="T123" i="1"/>
  <c r="F124" i="1"/>
  <c r="G124" i="1"/>
  <c r="I124" i="1"/>
  <c r="J124" i="1"/>
  <c r="K124" i="1"/>
  <c r="L124" i="1"/>
  <c r="M124" i="1"/>
  <c r="T124" i="1"/>
  <c r="F125" i="1"/>
  <c r="G125" i="1"/>
  <c r="I125" i="1"/>
  <c r="J125" i="1"/>
  <c r="K125" i="1"/>
  <c r="L125" i="1"/>
  <c r="M125" i="1"/>
  <c r="T125" i="1"/>
  <c r="F126" i="1"/>
  <c r="G126" i="1"/>
  <c r="I126" i="1"/>
  <c r="J126" i="1"/>
  <c r="K126" i="1"/>
  <c r="L126" i="1"/>
  <c r="M126" i="1"/>
  <c r="T126" i="1"/>
  <c r="F127" i="1"/>
  <c r="G127" i="1"/>
  <c r="I127" i="1"/>
  <c r="J127" i="1"/>
  <c r="K127" i="1"/>
  <c r="L127" i="1"/>
  <c r="M127" i="1"/>
  <c r="T127" i="1"/>
  <c r="F128" i="1"/>
  <c r="G128" i="1"/>
  <c r="I128" i="1"/>
  <c r="J128" i="1"/>
  <c r="K128" i="1"/>
  <c r="L128" i="1"/>
  <c r="M128" i="1"/>
  <c r="T128" i="1"/>
  <c r="F129" i="1"/>
  <c r="G129" i="1"/>
  <c r="I129" i="1"/>
  <c r="J129" i="1"/>
  <c r="K129" i="1"/>
  <c r="L129" i="1"/>
  <c r="M129" i="1"/>
  <c r="T129" i="1"/>
  <c r="F130" i="1"/>
  <c r="G130" i="1"/>
  <c r="I130" i="1"/>
  <c r="J130" i="1"/>
  <c r="K130" i="1"/>
  <c r="L130" i="1"/>
  <c r="M130" i="1"/>
  <c r="T130" i="1"/>
  <c r="F131" i="1"/>
  <c r="G131" i="1"/>
  <c r="I131" i="1"/>
  <c r="J131" i="1"/>
  <c r="K131" i="1"/>
  <c r="L131" i="1"/>
  <c r="M131" i="1"/>
  <c r="T131" i="1"/>
  <c r="F132" i="1"/>
  <c r="G132" i="1"/>
  <c r="I132" i="1"/>
  <c r="J132" i="1"/>
  <c r="K132" i="1"/>
  <c r="L132" i="1"/>
  <c r="M132" i="1"/>
  <c r="T132" i="1"/>
  <c r="F133" i="1"/>
  <c r="G133" i="1"/>
  <c r="I133" i="1"/>
  <c r="J133" i="1"/>
  <c r="K133" i="1"/>
  <c r="L133" i="1"/>
  <c r="M133" i="1"/>
  <c r="T133" i="1"/>
  <c r="F134" i="1"/>
  <c r="G134" i="1"/>
  <c r="I134" i="1"/>
  <c r="J134" i="1"/>
  <c r="K134" i="1"/>
  <c r="L134" i="1"/>
  <c r="M134" i="1"/>
  <c r="T134" i="1"/>
  <c r="F135" i="1"/>
  <c r="G135" i="1"/>
  <c r="I135" i="1"/>
  <c r="J135" i="1"/>
  <c r="K135" i="1"/>
  <c r="L135" i="1"/>
  <c r="M135" i="1"/>
  <c r="T135" i="1"/>
  <c r="F136" i="1"/>
  <c r="G136" i="1"/>
  <c r="I136" i="1"/>
  <c r="J136" i="1"/>
  <c r="K136" i="1"/>
  <c r="L136" i="1"/>
  <c r="M136" i="1"/>
  <c r="T136" i="1"/>
  <c r="F137" i="1"/>
  <c r="G137" i="1"/>
  <c r="I137" i="1"/>
  <c r="J137" i="1"/>
  <c r="K137" i="1"/>
  <c r="L137" i="1"/>
  <c r="M137" i="1"/>
  <c r="T137" i="1"/>
  <c r="F138" i="1"/>
  <c r="G138" i="1"/>
  <c r="I138" i="1"/>
  <c r="J138" i="1"/>
  <c r="K138" i="1"/>
  <c r="L138" i="1"/>
  <c r="M138" i="1"/>
  <c r="T138" i="1"/>
  <c r="F139" i="1"/>
  <c r="G139" i="1"/>
  <c r="I139" i="1"/>
  <c r="J139" i="1"/>
  <c r="K139" i="1"/>
  <c r="L139" i="1"/>
  <c r="M139" i="1"/>
  <c r="T139" i="1"/>
  <c r="F140" i="1"/>
  <c r="G140" i="1"/>
  <c r="I140" i="1"/>
  <c r="J140" i="1"/>
  <c r="K140" i="1"/>
  <c r="L140" i="1"/>
  <c r="M140" i="1"/>
  <c r="T140" i="1"/>
  <c r="F141" i="1"/>
  <c r="G141" i="1"/>
  <c r="I141" i="1"/>
  <c r="J141" i="1"/>
  <c r="K141" i="1"/>
  <c r="L141" i="1"/>
  <c r="M141" i="1"/>
  <c r="T141" i="1"/>
  <c r="F142" i="1"/>
  <c r="G142" i="1"/>
  <c r="I142" i="1"/>
  <c r="J142" i="1"/>
  <c r="K142" i="1"/>
  <c r="L142" i="1"/>
  <c r="M142" i="1"/>
  <c r="T142" i="1"/>
  <c r="F143" i="1"/>
  <c r="G143" i="1"/>
  <c r="I143" i="1"/>
  <c r="J143" i="1"/>
  <c r="K143" i="1"/>
  <c r="L143" i="1"/>
  <c r="M143" i="1"/>
  <c r="T143" i="1"/>
  <c r="F144" i="1"/>
  <c r="G144" i="1"/>
  <c r="I144" i="1"/>
  <c r="J144" i="1"/>
  <c r="K144" i="1"/>
  <c r="L144" i="1"/>
  <c r="M144" i="1"/>
  <c r="T144" i="1"/>
  <c r="F145" i="1"/>
  <c r="G145" i="1"/>
  <c r="I145" i="1"/>
  <c r="J145" i="1"/>
  <c r="K145" i="1"/>
  <c r="L145" i="1"/>
  <c r="M145" i="1"/>
  <c r="T145" i="1"/>
  <c r="F146" i="1"/>
  <c r="G146" i="1"/>
  <c r="I146" i="1"/>
  <c r="J146" i="1"/>
  <c r="K146" i="1"/>
  <c r="L146" i="1"/>
  <c r="M146" i="1"/>
  <c r="T146" i="1"/>
  <c r="F147" i="1"/>
  <c r="G147" i="1"/>
  <c r="I147" i="1"/>
  <c r="J147" i="1"/>
  <c r="K147" i="1"/>
  <c r="L147" i="1"/>
  <c r="M147" i="1"/>
  <c r="T147" i="1"/>
  <c r="F148" i="1"/>
  <c r="G148" i="1"/>
  <c r="I148" i="1"/>
  <c r="J148" i="1"/>
  <c r="K148" i="1"/>
  <c r="L148" i="1"/>
  <c r="M148" i="1"/>
  <c r="T148" i="1"/>
  <c r="F149" i="1"/>
  <c r="G149" i="1"/>
  <c r="I149" i="1"/>
  <c r="J149" i="1"/>
  <c r="K149" i="1"/>
  <c r="L149" i="1"/>
  <c r="M149" i="1"/>
  <c r="T149" i="1"/>
  <c r="F150" i="1"/>
  <c r="G150" i="1"/>
  <c r="I150" i="1"/>
  <c r="J150" i="1"/>
  <c r="K150" i="1"/>
  <c r="L150" i="1"/>
  <c r="M150" i="1"/>
  <c r="T150" i="1"/>
  <c r="F151" i="1"/>
  <c r="G151" i="1"/>
  <c r="I151" i="1"/>
  <c r="J151" i="1"/>
  <c r="K151" i="1"/>
  <c r="L151" i="1"/>
  <c r="M151" i="1"/>
  <c r="T151" i="1"/>
  <c r="F152" i="1"/>
  <c r="G152" i="1"/>
  <c r="I152" i="1"/>
  <c r="J152" i="1"/>
  <c r="K152" i="1"/>
  <c r="L152" i="1"/>
  <c r="M152" i="1"/>
  <c r="T152" i="1"/>
  <c r="F153" i="1"/>
  <c r="G153" i="1"/>
  <c r="I153" i="1"/>
  <c r="J153" i="1"/>
  <c r="K153" i="1"/>
  <c r="L153" i="1"/>
  <c r="M153" i="1"/>
  <c r="T153" i="1"/>
  <c r="F154" i="1"/>
  <c r="G154" i="1"/>
  <c r="I154" i="1"/>
  <c r="J154" i="1"/>
  <c r="K154" i="1"/>
  <c r="L154" i="1"/>
  <c r="M154" i="1"/>
  <c r="T154" i="1"/>
  <c r="F155" i="1"/>
  <c r="G155" i="1"/>
  <c r="I155" i="1"/>
  <c r="J155" i="1"/>
  <c r="K155" i="1"/>
  <c r="L155" i="1"/>
  <c r="M155" i="1"/>
  <c r="T155" i="1"/>
  <c r="F156" i="1"/>
  <c r="G156" i="1"/>
  <c r="I156" i="1"/>
  <c r="J156" i="1"/>
  <c r="K156" i="1"/>
  <c r="L156" i="1"/>
  <c r="M156" i="1"/>
  <c r="T156" i="1"/>
  <c r="F157" i="1"/>
  <c r="G157" i="1"/>
  <c r="I157" i="1"/>
  <c r="J157" i="1"/>
  <c r="K157" i="1"/>
  <c r="L157" i="1"/>
  <c r="M157" i="1"/>
  <c r="T157" i="1"/>
  <c r="F158" i="1"/>
  <c r="G158" i="1"/>
  <c r="I158" i="1"/>
  <c r="J158" i="1"/>
  <c r="K158" i="1"/>
  <c r="L158" i="1"/>
  <c r="M158" i="1"/>
  <c r="T158" i="1"/>
  <c r="F159" i="1"/>
  <c r="G159" i="1"/>
  <c r="I159" i="1"/>
  <c r="J159" i="1"/>
  <c r="K159" i="1"/>
  <c r="L159" i="1"/>
  <c r="M159" i="1"/>
  <c r="T159" i="1"/>
  <c r="F160" i="1"/>
  <c r="G160" i="1"/>
  <c r="I160" i="1"/>
  <c r="J160" i="1"/>
  <c r="K160" i="1"/>
  <c r="L160" i="1"/>
  <c r="M160" i="1"/>
  <c r="T160" i="1"/>
  <c r="F161" i="1"/>
  <c r="G161" i="1"/>
  <c r="I161" i="1"/>
  <c r="J161" i="1"/>
  <c r="K161" i="1"/>
  <c r="L161" i="1"/>
  <c r="M161" i="1"/>
  <c r="T161" i="1"/>
  <c r="F162" i="1"/>
  <c r="G162" i="1"/>
  <c r="I162" i="1"/>
  <c r="J162" i="1"/>
  <c r="K162" i="1"/>
  <c r="L162" i="1"/>
  <c r="M162" i="1"/>
  <c r="T162" i="1"/>
  <c r="F163" i="1"/>
  <c r="G163" i="1"/>
  <c r="I163" i="1"/>
  <c r="J163" i="1"/>
  <c r="K163" i="1"/>
  <c r="L163" i="1"/>
  <c r="M163" i="1"/>
  <c r="T163" i="1"/>
  <c r="F164" i="1"/>
  <c r="G164" i="1"/>
  <c r="I164" i="1"/>
  <c r="J164" i="1"/>
  <c r="K164" i="1"/>
  <c r="L164" i="1"/>
  <c r="M164" i="1"/>
  <c r="T164" i="1"/>
  <c r="F165" i="1"/>
  <c r="G165" i="1"/>
  <c r="I165" i="1"/>
  <c r="J165" i="1"/>
  <c r="K165" i="1"/>
  <c r="L165" i="1"/>
  <c r="M165" i="1"/>
  <c r="T165" i="1"/>
  <c r="F166" i="1"/>
  <c r="G166" i="1"/>
  <c r="I166" i="1"/>
  <c r="J166" i="1"/>
  <c r="K166" i="1"/>
  <c r="L166" i="1"/>
  <c r="M166" i="1"/>
  <c r="T166" i="1"/>
  <c r="F167" i="1"/>
  <c r="G167" i="1"/>
  <c r="I167" i="1"/>
  <c r="J167" i="1"/>
  <c r="K167" i="1"/>
  <c r="L167" i="1"/>
  <c r="M167" i="1"/>
  <c r="T167" i="1"/>
  <c r="F168" i="1"/>
  <c r="G168" i="1"/>
  <c r="I168" i="1"/>
  <c r="J168" i="1"/>
  <c r="K168" i="1"/>
  <c r="L168" i="1"/>
  <c r="M168" i="1"/>
  <c r="T168" i="1"/>
  <c r="F169" i="1"/>
  <c r="G169" i="1"/>
  <c r="I169" i="1"/>
  <c r="J169" i="1"/>
  <c r="K169" i="1"/>
  <c r="L169" i="1"/>
  <c r="M169" i="1"/>
  <c r="T169" i="1"/>
  <c r="F170" i="1"/>
  <c r="G170" i="1"/>
  <c r="I170" i="1"/>
  <c r="J170" i="1"/>
  <c r="K170" i="1"/>
  <c r="L170" i="1"/>
  <c r="M170" i="1"/>
  <c r="T170" i="1"/>
  <c r="F171" i="1"/>
  <c r="G171" i="1"/>
  <c r="I171" i="1"/>
  <c r="J171" i="1"/>
  <c r="K171" i="1"/>
  <c r="L171" i="1"/>
  <c r="M171" i="1"/>
  <c r="T171" i="1"/>
  <c r="F172" i="1"/>
  <c r="G172" i="1"/>
  <c r="I172" i="1"/>
  <c r="J172" i="1"/>
  <c r="K172" i="1"/>
  <c r="L172" i="1"/>
  <c r="M172" i="1"/>
  <c r="T172" i="1"/>
  <c r="F173" i="1"/>
  <c r="G173" i="1"/>
  <c r="I173" i="1"/>
  <c r="J173" i="1"/>
  <c r="K173" i="1"/>
  <c r="L173" i="1"/>
  <c r="M173" i="1"/>
  <c r="T173" i="1"/>
  <c r="F174" i="1"/>
  <c r="G174" i="1"/>
  <c r="I174" i="1"/>
  <c r="J174" i="1"/>
  <c r="K174" i="1"/>
  <c r="L174" i="1"/>
  <c r="M174" i="1"/>
  <c r="T174" i="1"/>
  <c r="F175" i="1"/>
  <c r="G175" i="1"/>
  <c r="I175" i="1"/>
  <c r="J175" i="1"/>
  <c r="K175" i="1"/>
  <c r="L175" i="1"/>
  <c r="M175" i="1"/>
  <c r="T175" i="1"/>
  <c r="F176" i="1"/>
  <c r="G176" i="1"/>
  <c r="I176" i="1"/>
  <c r="J176" i="1"/>
  <c r="K176" i="1"/>
  <c r="L176" i="1"/>
  <c r="M176" i="1"/>
  <c r="T176" i="1"/>
  <c r="F177" i="1"/>
  <c r="G177" i="1"/>
  <c r="I177" i="1"/>
  <c r="J177" i="1"/>
  <c r="K177" i="1"/>
  <c r="L177" i="1"/>
  <c r="M177" i="1"/>
  <c r="T177" i="1"/>
  <c r="F178" i="1"/>
  <c r="G178" i="1"/>
  <c r="I178" i="1"/>
  <c r="J178" i="1"/>
  <c r="K178" i="1"/>
  <c r="L178" i="1"/>
  <c r="M178" i="1"/>
  <c r="T178" i="1"/>
  <c r="F179" i="1"/>
  <c r="G179" i="1"/>
  <c r="I179" i="1"/>
  <c r="J179" i="1"/>
  <c r="K179" i="1"/>
  <c r="L179" i="1"/>
  <c r="M179" i="1"/>
  <c r="T179" i="1"/>
  <c r="F180" i="1"/>
  <c r="G180" i="1"/>
  <c r="I180" i="1"/>
  <c r="J180" i="1"/>
  <c r="K180" i="1"/>
  <c r="L180" i="1"/>
  <c r="M180" i="1"/>
  <c r="T180" i="1"/>
  <c r="F181" i="1"/>
  <c r="G181" i="1"/>
  <c r="I181" i="1"/>
  <c r="J181" i="1"/>
  <c r="K181" i="1"/>
  <c r="L181" i="1"/>
  <c r="M181" i="1"/>
  <c r="T181" i="1"/>
  <c r="F182" i="1"/>
  <c r="G182" i="1"/>
  <c r="I182" i="1"/>
  <c r="J182" i="1"/>
  <c r="K182" i="1"/>
  <c r="L182" i="1"/>
  <c r="M182" i="1"/>
  <c r="T182" i="1"/>
  <c r="F183" i="1"/>
  <c r="G183" i="1"/>
  <c r="I183" i="1"/>
  <c r="J183" i="1"/>
  <c r="K183" i="1"/>
  <c r="L183" i="1"/>
  <c r="M183" i="1"/>
  <c r="T183" i="1"/>
  <c r="F184" i="1"/>
  <c r="G184" i="1"/>
  <c r="I184" i="1"/>
  <c r="J184" i="1"/>
  <c r="K184" i="1"/>
  <c r="L184" i="1"/>
  <c r="M184" i="1"/>
  <c r="T184" i="1"/>
  <c r="F185" i="1"/>
  <c r="G185" i="1"/>
  <c r="I185" i="1"/>
  <c r="J185" i="1"/>
  <c r="K185" i="1"/>
  <c r="L185" i="1"/>
  <c r="M185" i="1"/>
  <c r="F186" i="1"/>
  <c r="G186" i="1"/>
  <c r="I186" i="1"/>
  <c r="J186" i="1"/>
  <c r="K186" i="1"/>
  <c r="L186" i="1"/>
  <c r="M186" i="1"/>
  <c r="F187" i="1"/>
  <c r="G187" i="1"/>
  <c r="I187" i="1"/>
  <c r="J187" i="1"/>
  <c r="K187" i="1"/>
  <c r="L187" i="1"/>
  <c r="M187" i="1"/>
  <c r="F188" i="1"/>
  <c r="G188" i="1"/>
  <c r="I188" i="1"/>
  <c r="J188" i="1"/>
  <c r="K188" i="1"/>
  <c r="L188" i="1"/>
  <c r="M188" i="1"/>
  <c r="F189" i="1"/>
  <c r="G189" i="1"/>
  <c r="I189" i="1"/>
  <c r="J189" i="1"/>
  <c r="K189" i="1"/>
  <c r="L189" i="1"/>
  <c r="M189" i="1"/>
  <c r="F190" i="1"/>
  <c r="G190" i="1"/>
  <c r="I190" i="1"/>
  <c r="J190" i="1"/>
  <c r="K190" i="1"/>
  <c r="L190" i="1"/>
  <c r="M190" i="1"/>
  <c r="F191" i="1"/>
  <c r="G191" i="1"/>
  <c r="I191" i="1"/>
  <c r="J191" i="1"/>
  <c r="K191" i="1"/>
  <c r="L191" i="1"/>
  <c r="M191" i="1"/>
  <c r="F192" i="1"/>
  <c r="G192" i="1"/>
  <c r="I192" i="1"/>
  <c r="J192" i="1"/>
  <c r="K192" i="1"/>
  <c r="L192" i="1"/>
  <c r="M192" i="1"/>
  <c r="F193" i="1"/>
  <c r="G193" i="1"/>
  <c r="I193" i="1"/>
  <c r="J193" i="1"/>
  <c r="K193" i="1"/>
  <c r="L193" i="1"/>
  <c r="M193" i="1"/>
  <c r="F194" i="1"/>
  <c r="G194" i="1"/>
  <c r="I194" i="1"/>
  <c r="J194" i="1"/>
  <c r="K194" i="1"/>
  <c r="L194" i="1"/>
  <c r="M194" i="1"/>
  <c r="F195" i="1"/>
  <c r="G195" i="1"/>
  <c r="I195" i="1"/>
  <c r="J195" i="1"/>
  <c r="K195" i="1"/>
  <c r="L195" i="1"/>
  <c r="M195" i="1"/>
  <c r="F196" i="1"/>
  <c r="G196" i="1"/>
  <c r="I196" i="1"/>
  <c r="J196" i="1"/>
  <c r="K196" i="1"/>
  <c r="L196" i="1"/>
  <c r="M196" i="1"/>
  <c r="F197" i="1"/>
  <c r="G197" i="1"/>
  <c r="I197" i="1"/>
  <c r="J197" i="1"/>
  <c r="K197" i="1"/>
  <c r="L197" i="1"/>
  <c r="M197" i="1"/>
  <c r="F198" i="1"/>
  <c r="G198" i="1"/>
  <c r="I198" i="1"/>
  <c r="J198" i="1"/>
  <c r="K198" i="1"/>
  <c r="L198" i="1"/>
  <c r="M198" i="1"/>
  <c r="F199" i="1"/>
  <c r="G199" i="1"/>
  <c r="I199" i="1"/>
  <c r="J199" i="1"/>
  <c r="K199" i="1"/>
  <c r="L199" i="1"/>
  <c r="M199" i="1"/>
  <c r="F200" i="1"/>
  <c r="G200" i="1"/>
  <c r="I200" i="1"/>
  <c r="J200" i="1"/>
  <c r="K200" i="1"/>
  <c r="L200" i="1"/>
  <c r="M200" i="1"/>
  <c r="F201" i="1"/>
  <c r="G201" i="1"/>
  <c r="I201" i="1"/>
  <c r="J201" i="1"/>
  <c r="K201" i="1"/>
  <c r="L201" i="1"/>
  <c r="M201" i="1"/>
  <c r="F202" i="1"/>
  <c r="G202" i="1"/>
  <c r="I202" i="1"/>
  <c r="J202" i="1"/>
  <c r="K202" i="1"/>
  <c r="L202" i="1"/>
  <c r="M202" i="1"/>
  <c r="F203" i="1"/>
  <c r="G203" i="1"/>
  <c r="I203" i="1"/>
  <c r="J203" i="1"/>
  <c r="K203" i="1"/>
  <c r="L203" i="1"/>
  <c r="M203" i="1"/>
  <c r="F204" i="1"/>
  <c r="G204" i="1"/>
  <c r="I204" i="1"/>
  <c r="J204" i="1"/>
  <c r="K204" i="1"/>
  <c r="L204" i="1"/>
  <c r="M204" i="1"/>
  <c r="F205" i="1"/>
  <c r="G205" i="1"/>
  <c r="I205" i="1"/>
  <c r="J205" i="1"/>
  <c r="K205" i="1"/>
  <c r="L205" i="1"/>
  <c r="M205" i="1"/>
  <c r="F206" i="1"/>
  <c r="G206" i="1"/>
  <c r="I206" i="1"/>
  <c r="J206" i="1"/>
  <c r="K206" i="1"/>
  <c r="L206" i="1"/>
  <c r="M206" i="1"/>
  <c r="F207" i="1"/>
  <c r="G207" i="1"/>
  <c r="I207" i="1"/>
  <c r="J207" i="1"/>
  <c r="K207" i="1"/>
  <c r="L207" i="1"/>
  <c r="M207" i="1"/>
  <c r="F208" i="1"/>
  <c r="G208" i="1"/>
  <c r="I208" i="1"/>
  <c r="J208" i="1"/>
  <c r="K208" i="1"/>
  <c r="L208" i="1"/>
  <c r="M208" i="1"/>
  <c r="F209" i="1"/>
  <c r="G209" i="1"/>
  <c r="I209" i="1"/>
  <c r="J209" i="1"/>
  <c r="K209" i="1"/>
  <c r="L209" i="1"/>
  <c r="M209" i="1"/>
  <c r="F210" i="1"/>
  <c r="G210" i="1"/>
  <c r="I210" i="1"/>
  <c r="J210" i="1"/>
  <c r="K210" i="1"/>
  <c r="L210" i="1"/>
  <c r="M210" i="1"/>
  <c r="F211" i="1"/>
  <c r="G211" i="1"/>
  <c r="I211" i="1"/>
  <c r="J211" i="1"/>
  <c r="K211" i="1"/>
  <c r="L211" i="1"/>
  <c r="M211" i="1"/>
  <c r="F212" i="1"/>
  <c r="G212" i="1"/>
  <c r="I212" i="1"/>
  <c r="J212" i="1"/>
  <c r="K212" i="1"/>
  <c r="L212" i="1"/>
  <c r="M212" i="1"/>
  <c r="F213" i="1"/>
  <c r="G213" i="1"/>
  <c r="I213" i="1"/>
  <c r="J213" i="1"/>
  <c r="K213" i="1"/>
  <c r="L213" i="1"/>
  <c r="M213" i="1"/>
  <c r="F214" i="1"/>
  <c r="G214" i="1"/>
  <c r="I214" i="1"/>
  <c r="J214" i="1"/>
  <c r="K214" i="1"/>
  <c r="L214" i="1"/>
  <c r="M214" i="1"/>
  <c r="F215" i="1"/>
  <c r="G215" i="1"/>
  <c r="I215" i="1"/>
  <c r="J215" i="1"/>
  <c r="K215" i="1"/>
  <c r="L215" i="1"/>
  <c r="M215" i="1"/>
  <c r="F216" i="1"/>
  <c r="G216" i="1"/>
  <c r="I216" i="1"/>
  <c r="J216" i="1"/>
  <c r="K216" i="1"/>
  <c r="L216" i="1"/>
  <c r="M216" i="1"/>
  <c r="F217" i="1"/>
  <c r="G217" i="1"/>
  <c r="I217" i="1"/>
  <c r="J217" i="1"/>
  <c r="K217" i="1"/>
  <c r="L217" i="1"/>
  <c r="M217" i="1"/>
  <c r="F218" i="1"/>
  <c r="G218" i="1"/>
  <c r="I218" i="1"/>
  <c r="J218" i="1"/>
  <c r="K218" i="1"/>
  <c r="L218" i="1"/>
  <c r="M218" i="1"/>
  <c r="F219" i="1"/>
  <c r="G219" i="1"/>
  <c r="I219" i="1"/>
  <c r="J219" i="1"/>
  <c r="K219" i="1"/>
  <c r="L219" i="1"/>
  <c r="M219" i="1"/>
  <c r="F220" i="1"/>
  <c r="G220" i="1"/>
  <c r="I220" i="1"/>
  <c r="J220" i="1"/>
  <c r="K220" i="1"/>
  <c r="L220" i="1"/>
  <c r="M220" i="1"/>
  <c r="F221" i="1"/>
  <c r="G221" i="1"/>
  <c r="I221" i="1"/>
  <c r="J221" i="1"/>
  <c r="K221" i="1"/>
  <c r="L221" i="1"/>
  <c r="M221" i="1"/>
  <c r="F222" i="1"/>
  <c r="G222" i="1"/>
  <c r="I222" i="1"/>
  <c r="J222" i="1"/>
  <c r="K222" i="1"/>
  <c r="L222" i="1"/>
  <c r="M222" i="1"/>
  <c r="F223" i="1"/>
  <c r="G223" i="1"/>
  <c r="I223" i="1"/>
  <c r="J223" i="1"/>
  <c r="K223" i="1"/>
  <c r="L223" i="1"/>
  <c r="M223" i="1"/>
  <c r="F224" i="1"/>
  <c r="G224" i="1"/>
  <c r="I224" i="1"/>
  <c r="J224" i="1"/>
  <c r="K224" i="1"/>
  <c r="L224" i="1"/>
  <c r="M224" i="1"/>
  <c r="F225" i="1"/>
  <c r="G225" i="1"/>
  <c r="I225" i="1"/>
  <c r="J225" i="1"/>
  <c r="K225" i="1"/>
  <c r="L225" i="1"/>
  <c r="M225" i="1"/>
  <c r="F226" i="1"/>
  <c r="G226" i="1"/>
  <c r="I226" i="1"/>
  <c r="J226" i="1"/>
  <c r="K226" i="1"/>
  <c r="L226" i="1"/>
  <c r="M226" i="1"/>
  <c r="F227" i="1"/>
  <c r="G227" i="1"/>
  <c r="I227" i="1"/>
  <c r="J227" i="1"/>
  <c r="K227" i="1"/>
  <c r="L227" i="1"/>
  <c r="M227" i="1"/>
  <c r="F228" i="1"/>
  <c r="G228" i="1"/>
  <c r="I228" i="1"/>
  <c r="J228" i="1"/>
  <c r="K228" i="1"/>
  <c r="L228" i="1"/>
  <c r="M228" i="1"/>
  <c r="F229" i="1"/>
  <c r="G229" i="1"/>
  <c r="I229" i="1"/>
  <c r="J229" i="1"/>
  <c r="K229" i="1"/>
  <c r="L229" i="1"/>
  <c r="M229" i="1"/>
  <c r="F230" i="1"/>
  <c r="G230" i="1"/>
  <c r="I230" i="1"/>
  <c r="J230" i="1"/>
  <c r="K230" i="1"/>
  <c r="L230" i="1"/>
  <c r="M230" i="1"/>
  <c r="F231" i="1"/>
  <c r="G231" i="1"/>
  <c r="I231" i="1"/>
  <c r="J231" i="1"/>
  <c r="K231" i="1"/>
  <c r="L231" i="1"/>
  <c r="M231" i="1"/>
  <c r="F232" i="1"/>
  <c r="G232" i="1"/>
  <c r="I232" i="1"/>
  <c r="J232" i="1"/>
  <c r="K232" i="1"/>
  <c r="L232" i="1"/>
  <c r="M232" i="1"/>
  <c r="F233" i="1"/>
  <c r="G233" i="1"/>
  <c r="I233" i="1"/>
  <c r="J233" i="1"/>
  <c r="K233" i="1"/>
  <c r="L233" i="1"/>
  <c r="M233" i="1"/>
  <c r="F234" i="1"/>
  <c r="G234" i="1"/>
  <c r="I234" i="1"/>
  <c r="J234" i="1"/>
  <c r="K234" i="1"/>
  <c r="L234" i="1"/>
  <c r="M234" i="1"/>
  <c r="F235" i="1"/>
  <c r="G235" i="1"/>
  <c r="I235" i="1"/>
  <c r="J235" i="1"/>
  <c r="K235" i="1"/>
  <c r="L235" i="1"/>
  <c r="M235" i="1"/>
  <c r="F236" i="1"/>
  <c r="G236" i="1"/>
  <c r="I236" i="1"/>
  <c r="J236" i="1"/>
  <c r="K236" i="1"/>
  <c r="L236" i="1"/>
  <c r="M236" i="1"/>
  <c r="F237" i="1"/>
  <c r="G237" i="1"/>
  <c r="I237" i="1"/>
  <c r="J237" i="1"/>
  <c r="K237" i="1"/>
  <c r="L237" i="1"/>
  <c r="M237" i="1"/>
  <c r="F238" i="1"/>
  <c r="G238" i="1"/>
  <c r="I238" i="1"/>
  <c r="J238" i="1"/>
  <c r="K238" i="1"/>
  <c r="L238" i="1"/>
  <c r="M238" i="1"/>
  <c r="F239" i="1"/>
  <c r="G239" i="1"/>
  <c r="I239" i="1"/>
  <c r="J239" i="1"/>
  <c r="K239" i="1"/>
  <c r="L239" i="1"/>
  <c r="M239" i="1"/>
  <c r="F240" i="1"/>
  <c r="G240" i="1"/>
  <c r="I240" i="1"/>
  <c r="J240" i="1"/>
  <c r="K240" i="1"/>
  <c r="L240" i="1"/>
  <c r="M240" i="1"/>
  <c r="F241" i="1"/>
  <c r="G241" i="1"/>
  <c r="I241" i="1"/>
  <c r="J241" i="1"/>
  <c r="K241" i="1"/>
  <c r="L241" i="1"/>
  <c r="M241" i="1"/>
  <c r="F242" i="1"/>
  <c r="G242" i="1"/>
  <c r="I242" i="1"/>
  <c r="J242" i="1"/>
  <c r="K242" i="1"/>
  <c r="L242" i="1"/>
  <c r="M242" i="1"/>
  <c r="F243" i="1"/>
  <c r="G243" i="1"/>
  <c r="I243" i="1"/>
  <c r="J243" i="1"/>
  <c r="K243" i="1"/>
  <c r="L243" i="1"/>
  <c r="M243" i="1"/>
  <c r="F244" i="1"/>
  <c r="G244" i="1"/>
  <c r="I244" i="1"/>
  <c r="J244" i="1"/>
  <c r="K244" i="1"/>
  <c r="L244" i="1"/>
  <c r="M244" i="1"/>
  <c r="F245" i="1"/>
  <c r="G245" i="1"/>
  <c r="I245" i="1"/>
  <c r="J245" i="1"/>
  <c r="K245" i="1"/>
  <c r="L245" i="1"/>
  <c r="M245" i="1"/>
  <c r="F246" i="1"/>
  <c r="G246" i="1"/>
  <c r="I246" i="1"/>
  <c r="J246" i="1"/>
  <c r="K246" i="1"/>
  <c r="L246" i="1"/>
  <c r="M246" i="1"/>
  <c r="F247" i="1"/>
  <c r="G247" i="1"/>
  <c r="I247" i="1"/>
  <c r="J247" i="1"/>
  <c r="K247" i="1"/>
  <c r="L247" i="1"/>
  <c r="M247" i="1"/>
  <c r="F248" i="1"/>
  <c r="G248" i="1"/>
  <c r="I248" i="1"/>
  <c r="J248" i="1"/>
  <c r="K248" i="1"/>
  <c r="L248" i="1"/>
  <c r="M248" i="1"/>
  <c r="F249" i="1"/>
  <c r="G249" i="1"/>
  <c r="I249" i="1"/>
  <c r="J249" i="1"/>
  <c r="K249" i="1"/>
  <c r="L249" i="1"/>
  <c r="M249" i="1"/>
  <c r="F250" i="1"/>
  <c r="G250" i="1"/>
  <c r="I250" i="1"/>
  <c r="J250" i="1"/>
  <c r="K250" i="1"/>
  <c r="L250" i="1"/>
  <c r="M250" i="1"/>
  <c r="F251" i="1"/>
  <c r="G251" i="1"/>
  <c r="I251" i="1"/>
  <c r="J251" i="1"/>
  <c r="K251" i="1"/>
  <c r="L251" i="1"/>
  <c r="M251" i="1"/>
  <c r="F252" i="1"/>
  <c r="G252" i="1"/>
  <c r="I252" i="1"/>
  <c r="J252" i="1"/>
  <c r="K252" i="1"/>
  <c r="L252" i="1"/>
  <c r="M252" i="1"/>
  <c r="F253" i="1"/>
  <c r="G253" i="1"/>
  <c r="I253" i="1"/>
  <c r="J253" i="1"/>
  <c r="K253" i="1"/>
  <c r="L253" i="1"/>
  <c r="M253" i="1"/>
  <c r="F254" i="1"/>
  <c r="G254" i="1"/>
  <c r="I254" i="1"/>
  <c r="J254" i="1"/>
  <c r="K254" i="1"/>
  <c r="L254" i="1"/>
  <c r="M254" i="1"/>
  <c r="F255" i="1"/>
  <c r="G255" i="1"/>
  <c r="I255" i="1"/>
  <c r="J255" i="1"/>
  <c r="K255" i="1"/>
  <c r="L255" i="1"/>
  <c r="M255" i="1"/>
  <c r="F256" i="1"/>
  <c r="G256" i="1"/>
  <c r="I256" i="1"/>
  <c r="J256" i="1"/>
  <c r="K256" i="1"/>
  <c r="L256" i="1"/>
  <c r="M256" i="1"/>
  <c r="E2" i="12"/>
  <c r="I2" i="12"/>
  <c r="J2" i="12"/>
  <c r="O2" i="12"/>
  <c r="T2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C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C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C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C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C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C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C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C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C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C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C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C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C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C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C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C57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F1" i="15"/>
  <c r="I1" i="15"/>
  <c r="N1" i="15"/>
  <c r="S1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D63" i="15"/>
  <c r="E63" i="15"/>
  <c r="F63" i="15"/>
  <c r="G63" i="15"/>
  <c r="E64" i="15"/>
  <c r="F64" i="15"/>
  <c r="G64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D76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D82" i="15"/>
  <c r="E82" i="15"/>
  <c r="F82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F87" i="15"/>
  <c r="G87" i="15"/>
  <c r="H87" i="15"/>
  <c r="I87" i="15"/>
  <c r="J87" i="15"/>
  <c r="K87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W91" i="15"/>
  <c r="X91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W92" i="15"/>
  <c r="X92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W93" i="15"/>
  <c r="X93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D99" i="15"/>
  <c r="E99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D101" i="15"/>
  <c r="E101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W101" i="15"/>
  <c r="X101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E105" i="15"/>
  <c r="F105" i="15"/>
  <c r="G105" i="15"/>
  <c r="H105" i="15"/>
  <c r="I105" i="15"/>
  <c r="D111" i="15"/>
  <c r="E111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  <c r="W111" i="15"/>
  <c r="X111" i="15"/>
  <c r="D112" i="15"/>
  <c r="E112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D113" i="15"/>
  <c r="E113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D114" i="15"/>
  <c r="E114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D115" i="15"/>
  <c r="E115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D117" i="15"/>
  <c r="E117" i="15"/>
  <c r="F117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T117" i="15"/>
  <c r="U117" i="15"/>
  <c r="V117" i="15"/>
  <c r="W117" i="15"/>
  <c r="X117" i="15"/>
  <c r="D118" i="15"/>
  <c r="E118" i="15"/>
  <c r="F118" i="15"/>
  <c r="G118" i="15"/>
  <c r="H118" i="15"/>
  <c r="I118" i="15"/>
  <c r="J118" i="15"/>
  <c r="K118" i="15"/>
  <c r="L118" i="15"/>
  <c r="M118" i="15"/>
  <c r="N118" i="15"/>
  <c r="O118" i="15"/>
  <c r="P118" i="15"/>
  <c r="Q118" i="15"/>
  <c r="R118" i="15"/>
  <c r="S118" i="15"/>
  <c r="T118" i="15"/>
  <c r="U118" i="15"/>
  <c r="V118" i="15"/>
  <c r="W118" i="15"/>
  <c r="X118" i="15"/>
  <c r="D119" i="15"/>
  <c r="E119" i="15"/>
  <c r="F119" i="15"/>
  <c r="G119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T119" i="15"/>
  <c r="U119" i="15"/>
  <c r="V119" i="15"/>
  <c r="W119" i="15"/>
  <c r="X119" i="15"/>
  <c r="D121" i="15"/>
  <c r="E121" i="15"/>
  <c r="F121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T121" i="15"/>
  <c r="U121" i="15"/>
  <c r="V121" i="15"/>
  <c r="W121" i="15"/>
  <c r="X121" i="15"/>
  <c r="D123" i="15"/>
  <c r="E123" i="15"/>
  <c r="F123" i="15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T123" i="15"/>
  <c r="U123" i="15"/>
  <c r="V123" i="15"/>
  <c r="W123" i="15"/>
  <c r="X123" i="15"/>
  <c r="D126" i="15"/>
  <c r="E126" i="15"/>
  <c r="F126" i="15"/>
  <c r="G126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T126" i="15"/>
  <c r="U126" i="15"/>
  <c r="V126" i="15"/>
  <c r="W126" i="15"/>
  <c r="X126" i="15"/>
  <c r="D129" i="15"/>
  <c r="E129" i="15"/>
  <c r="F129" i="15"/>
  <c r="G129" i="15"/>
  <c r="H129" i="15"/>
  <c r="I129" i="15"/>
  <c r="J129" i="15"/>
  <c r="K129" i="15"/>
  <c r="L129" i="15"/>
  <c r="M129" i="15"/>
  <c r="N129" i="15"/>
  <c r="O129" i="15"/>
  <c r="P129" i="15"/>
  <c r="Q129" i="15"/>
  <c r="R129" i="15"/>
  <c r="S129" i="15"/>
  <c r="T129" i="15"/>
  <c r="U129" i="15"/>
  <c r="V129" i="15"/>
  <c r="W129" i="15"/>
  <c r="X129" i="15"/>
  <c r="D130" i="15"/>
  <c r="E130" i="15"/>
  <c r="F130" i="15"/>
  <c r="G130" i="15"/>
  <c r="H130" i="15"/>
  <c r="I130" i="15"/>
  <c r="J130" i="15"/>
  <c r="K130" i="15"/>
  <c r="L130" i="15"/>
  <c r="M130" i="15"/>
  <c r="N130" i="15"/>
  <c r="O130" i="15"/>
  <c r="P130" i="15"/>
  <c r="Q130" i="15"/>
  <c r="R130" i="15"/>
  <c r="S130" i="15"/>
  <c r="T130" i="15"/>
  <c r="U130" i="15"/>
  <c r="V130" i="15"/>
  <c r="W130" i="15"/>
  <c r="X130" i="15"/>
  <c r="D138" i="15"/>
  <c r="E138" i="15"/>
  <c r="F138" i="15"/>
  <c r="G138" i="15"/>
  <c r="H138" i="15"/>
  <c r="I138" i="15"/>
  <c r="J138" i="15"/>
  <c r="K138" i="15"/>
  <c r="L138" i="15"/>
  <c r="M138" i="15"/>
  <c r="N138" i="15"/>
  <c r="O138" i="15"/>
  <c r="P138" i="15"/>
  <c r="Q138" i="15"/>
  <c r="R138" i="15"/>
  <c r="S138" i="15"/>
  <c r="T138" i="15"/>
  <c r="U138" i="15"/>
  <c r="V138" i="15"/>
  <c r="W138" i="15"/>
  <c r="X138" i="15"/>
  <c r="D139" i="15"/>
  <c r="E139" i="15"/>
  <c r="F139" i="15"/>
  <c r="G139" i="15"/>
  <c r="H139" i="15"/>
  <c r="I139" i="15"/>
  <c r="J139" i="15"/>
  <c r="K139" i="15"/>
  <c r="L139" i="15"/>
  <c r="M139" i="15"/>
  <c r="N139" i="15"/>
  <c r="O139" i="15"/>
  <c r="P139" i="15"/>
  <c r="Q139" i="15"/>
  <c r="R139" i="15"/>
  <c r="D140" i="15"/>
  <c r="E140" i="15"/>
  <c r="F140" i="15"/>
  <c r="G140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T140" i="15"/>
  <c r="U140" i="15"/>
  <c r="V140" i="15"/>
  <c r="W140" i="15"/>
  <c r="X140" i="15"/>
  <c r="B201" i="15"/>
  <c r="B203" i="15"/>
  <c r="D206" i="15"/>
  <c r="E206" i="15"/>
  <c r="F206" i="15"/>
  <c r="G206" i="15"/>
  <c r="H206" i="15"/>
  <c r="I206" i="15"/>
  <c r="J206" i="15"/>
  <c r="K206" i="15"/>
  <c r="L206" i="15"/>
  <c r="M206" i="15"/>
  <c r="N206" i="15"/>
  <c r="O206" i="15"/>
  <c r="P206" i="15"/>
  <c r="Q206" i="15"/>
  <c r="R206" i="15"/>
  <c r="S206" i="15"/>
  <c r="B207" i="15"/>
  <c r="D208" i="15"/>
  <c r="E208" i="15"/>
  <c r="F208" i="15"/>
  <c r="G208" i="15"/>
  <c r="H208" i="15"/>
  <c r="I208" i="15"/>
  <c r="J208" i="15"/>
  <c r="K208" i="15"/>
  <c r="L208" i="15"/>
  <c r="M208" i="15"/>
  <c r="N208" i="15"/>
  <c r="O208" i="15"/>
  <c r="P208" i="15"/>
  <c r="Q208" i="15"/>
  <c r="R208" i="15"/>
  <c r="S208" i="15"/>
  <c r="B209" i="15"/>
  <c r="D214" i="15"/>
  <c r="E214" i="15"/>
  <c r="D215" i="15"/>
  <c r="D216" i="15"/>
  <c r="E216" i="15"/>
  <c r="D219" i="15"/>
  <c r="E219" i="15"/>
  <c r="D220" i="15"/>
  <c r="E220" i="15"/>
  <c r="D221" i="15"/>
  <c r="E221" i="15"/>
  <c r="D223" i="15"/>
  <c r="E223" i="15"/>
  <c r="D225" i="15"/>
  <c r="E225" i="15"/>
  <c r="C4" i="13"/>
  <c r="I4" i="13"/>
  <c r="O4" i="13"/>
  <c r="U4" i="13"/>
  <c r="C5" i="13"/>
  <c r="I5" i="13"/>
  <c r="O5" i="13"/>
  <c r="U5" i="13"/>
  <c r="I6" i="13"/>
  <c r="U6" i="13"/>
  <c r="I7" i="13"/>
  <c r="U7" i="13"/>
  <c r="I8" i="13"/>
  <c r="U8" i="13"/>
  <c r="H11" i="13"/>
  <c r="I11" i="13"/>
  <c r="L11" i="13"/>
  <c r="T11" i="13"/>
  <c r="U11" i="13"/>
  <c r="A14" i="13"/>
  <c r="B14" i="13"/>
  <c r="C14" i="13"/>
  <c r="D14" i="13"/>
  <c r="E14" i="13"/>
  <c r="F14" i="13"/>
  <c r="H14" i="13"/>
  <c r="I14" i="13"/>
  <c r="M14" i="13"/>
  <c r="N14" i="13"/>
  <c r="O14" i="13"/>
  <c r="P14" i="13"/>
  <c r="Q14" i="13"/>
  <c r="R14" i="13"/>
  <c r="T14" i="13"/>
  <c r="U14" i="13"/>
  <c r="A15" i="13"/>
  <c r="B15" i="13"/>
  <c r="C15" i="13"/>
  <c r="D15" i="13"/>
  <c r="E15" i="13"/>
  <c r="F15" i="13"/>
  <c r="H15" i="13"/>
  <c r="I15" i="13"/>
  <c r="M15" i="13"/>
  <c r="N15" i="13"/>
  <c r="O15" i="13"/>
  <c r="P15" i="13"/>
  <c r="Q15" i="13"/>
  <c r="R15" i="13"/>
  <c r="T15" i="13"/>
  <c r="U15" i="13"/>
  <c r="A16" i="13"/>
  <c r="B16" i="13"/>
  <c r="C16" i="13"/>
  <c r="D16" i="13"/>
  <c r="E16" i="13"/>
  <c r="F16" i="13"/>
  <c r="H16" i="13"/>
  <c r="I16" i="13"/>
  <c r="M16" i="13"/>
  <c r="N16" i="13"/>
  <c r="O16" i="13"/>
  <c r="P16" i="13"/>
  <c r="Q16" i="13"/>
  <c r="R16" i="13"/>
  <c r="T16" i="13"/>
  <c r="U16" i="13"/>
  <c r="A17" i="13"/>
  <c r="B17" i="13"/>
  <c r="C17" i="13"/>
  <c r="D17" i="13"/>
  <c r="E17" i="13"/>
  <c r="F17" i="13"/>
  <c r="H17" i="13"/>
  <c r="I17" i="13"/>
  <c r="M17" i="13"/>
  <c r="N17" i="13"/>
  <c r="O17" i="13"/>
  <c r="P17" i="13"/>
  <c r="Q17" i="13"/>
  <c r="R17" i="13"/>
  <c r="T17" i="13"/>
  <c r="U17" i="13"/>
  <c r="A18" i="13"/>
  <c r="B18" i="13"/>
  <c r="C18" i="13"/>
  <c r="D18" i="13"/>
  <c r="E18" i="13"/>
  <c r="F18" i="13"/>
  <c r="H18" i="13"/>
  <c r="I18" i="13"/>
  <c r="M18" i="13"/>
  <c r="N18" i="13"/>
  <c r="O18" i="13"/>
  <c r="P18" i="13"/>
  <c r="Q18" i="13"/>
  <c r="R18" i="13"/>
  <c r="T18" i="13"/>
  <c r="U18" i="13"/>
  <c r="A19" i="13"/>
  <c r="B19" i="13"/>
  <c r="C19" i="13"/>
  <c r="D19" i="13"/>
  <c r="E19" i="13"/>
  <c r="F19" i="13"/>
  <c r="H19" i="13"/>
  <c r="I19" i="13"/>
  <c r="M19" i="13"/>
  <c r="N19" i="13"/>
  <c r="O19" i="13"/>
  <c r="P19" i="13"/>
  <c r="Q19" i="13"/>
  <c r="R19" i="13"/>
  <c r="T19" i="13"/>
  <c r="U19" i="13"/>
  <c r="A20" i="13"/>
  <c r="B20" i="13"/>
  <c r="C20" i="13"/>
  <c r="D20" i="13"/>
  <c r="E20" i="13"/>
  <c r="F20" i="13"/>
  <c r="H20" i="13"/>
  <c r="I20" i="13"/>
  <c r="M20" i="13"/>
  <c r="N20" i="13"/>
  <c r="O20" i="13"/>
  <c r="P20" i="13"/>
  <c r="Q20" i="13"/>
  <c r="R20" i="13"/>
  <c r="T20" i="13"/>
  <c r="U20" i="13"/>
  <c r="A21" i="13"/>
  <c r="B21" i="13"/>
  <c r="C21" i="13"/>
  <c r="D21" i="13"/>
  <c r="E21" i="13"/>
  <c r="F21" i="13"/>
  <c r="G21" i="13"/>
  <c r="H21" i="13"/>
  <c r="I21" i="13"/>
  <c r="M21" i="13"/>
  <c r="N21" i="13"/>
  <c r="O21" i="13"/>
  <c r="P21" i="13"/>
  <c r="Q21" i="13"/>
  <c r="R21" i="13"/>
  <c r="S21" i="13"/>
  <c r="T21" i="13"/>
  <c r="U21" i="13"/>
  <c r="A22" i="13"/>
  <c r="B22" i="13"/>
  <c r="C22" i="13"/>
  <c r="D22" i="13"/>
  <c r="E22" i="13"/>
  <c r="F22" i="13"/>
  <c r="H22" i="13"/>
  <c r="I22" i="13"/>
  <c r="M22" i="13"/>
  <c r="N22" i="13"/>
  <c r="O22" i="13"/>
  <c r="P22" i="13"/>
  <c r="Q22" i="13"/>
  <c r="R22" i="13"/>
  <c r="T22" i="13"/>
  <c r="U22" i="13"/>
  <c r="A23" i="13"/>
  <c r="B23" i="13"/>
  <c r="C23" i="13"/>
  <c r="D23" i="13"/>
  <c r="E23" i="13"/>
  <c r="F23" i="13"/>
  <c r="H23" i="13"/>
  <c r="I23" i="13"/>
  <c r="M23" i="13"/>
  <c r="N23" i="13"/>
  <c r="O23" i="13"/>
  <c r="P23" i="13"/>
  <c r="Q23" i="13"/>
  <c r="R23" i="13"/>
  <c r="T23" i="13"/>
  <c r="U23" i="13"/>
  <c r="A24" i="13"/>
  <c r="B24" i="13"/>
  <c r="C24" i="13"/>
  <c r="D24" i="13"/>
  <c r="E24" i="13"/>
  <c r="F24" i="13"/>
  <c r="H24" i="13"/>
  <c r="I24" i="13"/>
  <c r="M24" i="13"/>
  <c r="N24" i="13"/>
  <c r="O24" i="13"/>
  <c r="P24" i="13"/>
  <c r="Q24" i="13"/>
  <c r="R24" i="13"/>
  <c r="T24" i="13"/>
  <c r="U24" i="13"/>
  <c r="A25" i="13"/>
  <c r="B25" i="13"/>
  <c r="C25" i="13"/>
  <c r="D25" i="13"/>
  <c r="E25" i="13"/>
  <c r="F25" i="13"/>
  <c r="G25" i="13"/>
  <c r="H25" i="13"/>
  <c r="I25" i="13"/>
  <c r="M25" i="13"/>
  <c r="N25" i="13"/>
  <c r="O25" i="13"/>
  <c r="P25" i="13"/>
  <c r="Q25" i="13"/>
  <c r="R25" i="13"/>
  <c r="S25" i="13"/>
  <c r="T25" i="13"/>
  <c r="U25" i="13"/>
  <c r="A26" i="13"/>
  <c r="B26" i="13"/>
  <c r="C26" i="13"/>
  <c r="D26" i="13"/>
  <c r="E26" i="13"/>
  <c r="F26" i="13"/>
  <c r="H26" i="13"/>
  <c r="I26" i="13"/>
  <c r="M26" i="13"/>
  <c r="N26" i="13"/>
  <c r="O26" i="13"/>
  <c r="P26" i="13"/>
  <c r="Q26" i="13"/>
  <c r="R26" i="13"/>
  <c r="T26" i="13"/>
  <c r="U26" i="13"/>
  <c r="A27" i="13"/>
  <c r="B27" i="13"/>
  <c r="C27" i="13"/>
  <c r="D27" i="13"/>
  <c r="E27" i="13"/>
  <c r="F27" i="13"/>
  <c r="H27" i="13"/>
  <c r="I27" i="13"/>
  <c r="M27" i="13"/>
  <c r="N27" i="13"/>
  <c r="O27" i="13"/>
  <c r="P27" i="13"/>
  <c r="Q27" i="13"/>
  <c r="R27" i="13"/>
  <c r="T27" i="13"/>
  <c r="U27" i="13"/>
  <c r="A28" i="13"/>
  <c r="B28" i="13"/>
  <c r="C28" i="13"/>
  <c r="D28" i="13"/>
  <c r="E28" i="13"/>
  <c r="F28" i="13"/>
  <c r="H28" i="13"/>
  <c r="I28" i="13"/>
  <c r="M28" i="13"/>
  <c r="N28" i="13"/>
  <c r="O28" i="13"/>
  <c r="P28" i="13"/>
  <c r="Q28" i="13"/>
  <c r="R28" i="13"/>
  <c r="T28" i="13"/>
  <c r="U28" i="13"/>
  <c r="A29" i="13"/>
  <c r="B29" i="13"/>
  <c r="C29" i="13"/>
  <c r="D29" i="13"/>
  <c r="E29" i="13"/>
  <c r="F29" i="13"/>
  <c r="H29" i="13"/>
  <c r="I29" i="13"/>
  <c r="M29" i="13"/>
  <c r="N29" i="13"/>
  <c r="O29" i="13"/>
  <c r="P29" i="13"/>
  <c r="Q29" i="13"/>
  <c r="R29" i="13"/>
  <c r="T29" i="13"/>
  <c r="U29" i="13"/>
  <c r="A30" i="13"/>
  <c r="B30" i="13"/>
  <c r="C30" i="13"/>
  <c r="D30" i="13"/>
  <c r="E30" i="13"/>
  <c r="F30" i="13"/>
  <c r="H30" i="13"/>
  <c r="I30" i="13"/>
  <c r="M30" i="13"/>
  <c r="N30" i="13"/>
  <c r="O30" i="13"/>
  <c r="P30" i="13"/>
  <c r="Q30" i="13"/>
  <c r="R30" i="13"/>
  <c r="T30" i="13"/>
  <c r="U30" i="13"/>
  <c r="A31" i="13"/>
  <c r="B31" i="13"/>
  <c r="C31" i="13"/>
  <c r="D31" i="13"/>
  <c r="E31" i="13"/>
  <c r="F31" i="13"/>
  <c r="H31" i="13"/>
  <c r="I31" i="13"/>
  <c r="M31" i="13"/>
  <c r="N31" i="13"/>
  <c r="O31" i="13"/>
  <c r="P31" i="13"/>
  <c r="Q31" i="13"/>
  <c r="R31" i="13"/>
  <c r="T31" i="13"/>
  <c r="U31" i="13"/>
  <c r="A32" i="13"/>
  <c r="B32" i="13"/>
  <c r="C32" i="13"/>
  <c r="D32" i="13"/>
  <c r="E32" i="13"/>
  <c r="F32" i="13"/>
  <c r="H32" i="13"/>
  <c r="I32" i="13"/>
  <c r="M32" i="13"/>
  <c r="N32" i="13"/>
  <c r="O32" i="13"/>
  <c r="P32" i="13"/>
  <c r="Q32" i="13"/>
  <c r="R32" i="13"/>
  <c r="T32" i="13"/>
  <c r="U32" i="13"/>
  <c r="A33" i="13"/>
  <c r="B33" i="13"/>
  <c r="C33" i="13"/>
  <c r="D33" i="13"/>
  <c r="E33" i="13"/>
  <c r="F33" i="13"/>
  <c r="H33" i="13"/>
  <c r="I33" i="13"/>
  <c r="M33" i="13"/>
  <c r="N33" i="13"/>
  <c r="O33" i="13"/>
  <c r="P33" i="13"/>
  <c r="Q33" i="13"/>
  <c r="R33" i="13"/>
  <c r="T33" i="13"/>
  <c r="U33" i="13"/>
  <c r="A34" i="13"/>
  <c r="B34" i="13"/>
  <c r="C34" i="13"/>
  <c r="D34" i="13"/>
  <c r="E34" i="13"/>
  <c r="F34" i="13"/>
  <c r="H34" i="13"/>
  <c r="I34" i="13"/>
  <c r="M34" i="13"/>
  <c r="N34" i="13"/>
  <c r="O34" i="13"/>
  <c r="P34" i="13"/>
  <c r="Q34" i="13"/>
  <c r="R34" i="13"/>
  <c r="T34" i="13"/>
  <c r="U34" i="13"/>
  <c r="A35" i="13"/>
  <c r="B35" i="13"/>
  <c r="C35" i="13"/>
  <c r="D35" i="13"/>
  <c r="E35" i="13"/>
  <c r="F35" i="13"/>
  <c r="G35" i="13"/>
  <c r="H35" i="13"/>
  <c r="I35" i="13"/>
  <c r="M35" i="13"/>
  <c r="N35" i="13"/>
  <c r="O35" i="13"/>
  <c r="P35" i="13"/>
  <c r="Q35" i="13"/>
  <c r="R35" i="13"/>
  <c r="S35" i="13"/>
  <c r="T35" i="13"/>
  <c r="U35" i="13"/>
  <c r="A36" i="13"/>
  <c r="B36" i="13"/>
  <c r="C36" i="13"/>
  <c r="D36" i="13"/>
  <c r="E36" i="13"/>
  <c r="F36" i="13"/>
  <c r="H36" i="13"/>
  <c r="I36" i="13"/>
  <c r="M36" i="13"/>
  <c r="N36" i="13"/>
  <c r="O36" i="13"/>
  <c r="P36" i="13"/>
  <c r="Q36" i="13"/>
  <c r="R36" i="13"/>
  <c r="T36" i="13"/>
  <c r="U36" i="13"/>
  <c r="A37" i="13"/>
  <c r="B37" i="13"/>
  <c r="C37" i="13"/>
  <c r="D37" i="13"/>
  <c r="E37" i="13"/>
  <c r="F37" i="13"/>
  <c r="H37" i="13"/>
  <c r="I37" i="13"/>
  <c r="M37" i="13"/>
  <c r="N37" i="13"/>
  <c r="O37" i="13"/>
  <c r="P37" i="13"/>
  <c r="Q37" i="13"/>
  <c r="R37" i="13"/>
  <c r="T37" i="13"/>
  <c r="U37" i="13"/>
  <c r="A38" i="13"/>
  <c r="B38" i="13"/>
  <c r="C38" i="13"/>
  <c r="D38" i="13"/>
  <c r="E38" i="13"/>
  <c r="F38" i="13"/>
  <c r="H38" i="13"/>
  <c r="I38" i="13"/>
  <c r="M38" i="13"/>
  <c r="N38" i="13"/>
  <c r="O38" i="13"/>
  <c r="P38" i="13"/>
  <c r="Q38" i="13"/>
  <c r="R38" i="13"/>
  <c r="T38" i="13"/>
  <c r="U38" i="13"/>
  <c r="A39" i="13"/>
  <c r="B39" i="13"/>
  <c r="C39" i="13"/>
  <c r="D39" i="13"/>
  <c r="E39" i="13"/>
  <c r="F39" i="13"/>
  <c r="H39" i="13"/>
  <c r="I39" i="13"/>
  <c r="M39" i="13"/>
  <c r="N39" i="13"/>
  <c r="O39" i="13"/>
  <c r="P39" i="13"/>
  <c r="Q39" i="13"/>
  <c r="R39" i="13"/>
  <c r="T39" i="13"/>
  <c r="U39" i="13"/>
  <c r="A40" i="13"/>
  <c r="B40" i="13"/>
  <c r="C40" i="13"/>
  <c r="D40" i="13"/>
  <c r="E40" i="13"/>
  <c r="F40" i="13"/>
  <c r="H40" i="13"/>
  <c r="I40" i="13"/>
  <c r="M40" i="13"/>
  <c r="N40" i="13"/>
  <c r="O40" i="13"/>
  <c r="P40" i="13"/>
  <c r="Q40" i="13"/>
  <c r="R40" i="13"/>
  <c r="T40" i="13"/>
  <c r="U40" i="13"/>
  <c r="A41" i="13"/>
  <c r="B41" i="13"/>
  <c r="C41" i="13"/>
  <c r="D41" i="13"/>
  <c r="E41" i="13"/>
  <c r="F41" i="13"/>
  <c r="H41" i="13"/>
  <c r="I41" i="13"/>
  <c r="M41" i="13"/>
  <c r="N41" i="13"/>
  <c r="O41" i="13"/>
  <c r="P41" i="13"/>
  <c r="Q41" i="13"/>
  <c r="R41" i="13"/>
  <c r="T41" i="13"/>
  <c r="U41" i="13"/>
  <c r="A42" i="13"/>
  <c r="B42" i="13"/>
  <c r="C42" i="13"/>
  <c r="D42" i="13"/>
  <c r="E42" i="13"/>
  <c r="F42" i="13"/>
  <c r="H42" i="13"/>
  <c r="I42" i="13"/>
  <c r="M42" i="13"/>
  <c r="N42" i="13"/>
  <c r="O42" i="13"/>
  <c r="P42" i="13"/>
  <c r="Q42" i="13"/>
  <c r="R42" i="13"/>
  <c r="T42" i="13"/>
  <c r="U42" i="13"/>
  <c r="A43" i="13"/>
  <c r="B43" i="13"/>
  <c r="C43" i="13"/>
  <c r="D43" i="13"/>
  <c r="E43" i="13"/>
  <c r="F43" i="13"/>
  <c r="H43" i="13"/>
  <c r="I43" i="13"/>
  <c r="M43" i="13"/>
  <c r="N43" i="13"/>
  <c r="O43" i="13"/>
  <c r="P43" i="13"/>
  <c r="Q43" i="13"/>
  <c r="R43" i="13"/>
  <c r="T43" i="13"/>
  <c r="U43" i="13"/>
  <c r="A44" i="13"/>
  <c r="B44" i="13"/>
  <c r="C44" i="13"/>
  <c r="D44" i="13"/>
  <c r="E44" i="13"/>
  <c r="F44" i="13"/>
  <c r="H44" i="13"/>
  <c r="I44" i="13"/>
  <c r="M44" i="13"/>
  <c r="N44" i="13"/>
  <c r="O44" i="13"/>
  <c r="P44" i="13"/>
  <c r="Q44" i="13"/>
  <c r="R44" i="13"/>
  <c r="T44" i="13"/>
  <c r="U44" i="13"/>
  <c r="A45" i="13"/>
  <c r="B45" i="13"/>
  <c r="C45" i="13"/>
  <c r="D45" i="13"/>
  <c r="E45" i="13"/>
  <c r="F45" i="13"/>
  <c r="G45" i="13"/>
  <c r="H45" i="13"/>
  <c r="I45" i="13"/>
  <c r="M45" i="13"/>
  <c r="N45" i="13"/>
  <c r="O45" i="13"/>
  <c r="P45" i="13"/>
  <c r="Q45" i="13"/>
  <c r="R45" i="13"/>
  <c r="S45" i="13"/>
  <c r="T45" i="13"/>
  <c r="U45" i="13"/>
  <c r="A46" i="13"/>
  <c r="B46" i="13"/>
  <c r="C46" i="13"/>
  <c r="D46" i="13"/>
  <c r="E46" i="13"/>
  <c r="F46" i="13"/>
  <c r="H46" i="13"/>
  <c r="I46" i="13"/>
  <c r="M46" i="13"/>
  <c r="N46" i="13"/>
  <c r="O46" i="13"/>
  <c r="P46" i="13"/>
  <c r="Q46" i="13"/>
  <c r="R46" i="13"/>
  <c r="T46" i="13"/>
  <c r="U46" i="13"/>
  <c r="A47" i="13"/>
  <c r="B47" i="13"/>
  <c r="C47" i="13"/>
  <c r="D47" i="13"/>
  <c r="E47" i="13"/>
  <c r="F47" i="13"/>
  <c r="H47" i="13"/>
  <c r="I47" i="13"/>
  <c r="M47" i="13"/>
  <c r="N47" i="13"/>
  <c r="O47" i="13"/>
  <c r="P47" i="13"/>
  <c r="Q47" i="13"/>
  <c r="R47" i="13"/>
  <c r="T47" i="13"/>
  <c r="U47" i="13"/>
  <c r="A48" i="13"/>
  <c r="B48" i="13"/>
  <c r="C48" i="13"/>
  <c r="D48" i="13"/>
  <c r="E48" i="13"/>
  <c r="F48" i="13"/>
  <c r="H48" i="13"/>
  <c r="I48" i="13"/>
  <c r="M48" i="13"/>
  <c r="N48" i="13"/>
  <c r="O48" i="13"/>
  <c r="P48" i="13"/>
  <c r="Q48" i="13"/>
  <c r="R48" i="13"/>
  <c r="T48" i="13"/>
  <c r="U48" i="13"/>
  <c r="A49" i="13"/>
  <c r="B49" i="13"/>
  <c r="C49" i="13"/>
  <c r="D49" i="13"/>
  <c r="E49" i="13"/>
  <c r="F49" i="13"/>
  <c r="H49" i="13"/>
  <c r="I49" i="13"/>
  <c r="M49" i="13"/>
  <c r="N49" i="13"/>
  <c r="O49" i="13"/>
  <c r="P49" i="13"/>
  <c r="Q49" i="13"/>
  <c r="R49" i="13"/>
  <c r="T49" i="13"/>
  <c r="U49" i="13"/>
  <c r="A50" i="13"/>
  <c r="B50" i="13"/>
  <c r="C50" i="13"/>
  <c r="D50" i="13"/>
  <c r="E50" i="13"/>
  <c r="F50" i="13"/>
  <c r="H50" i="13"/>
  <c r="I50" i="13"/>
  <c r="M50" i="13"/>
  <c r="N50" i="13"/>
  <c r="O50" i="13"/>
  <c r="P50" i="13"/>
  <c r="Q50" i="13"/>
  <c r="R50" i="13"/>
  <c r="T50" i="13"/>
  <c r="U50" i="13"/>
  <c r="A51" i="13"/>
  <c r="B51" i="13"/>
  <c r="C51" i="13"/>
  <c r="D51" i="13"/>
  <c r="E51" i="13"/>
  <c r="F51" i="13"/>
  <c r="H51" i="13"/>
  <c r="I51" i="13"/>
  <c r="M51" i="13"/>
  <c r="N51" i="13"/>
  <c r="O51" i="13"/>
  <c r="P51" i="13"/>
  <c r="Q51" i="13"/>
  <c r="R51" i="13"/>
  <c r="T51" i="13"/>
  <c r="U51" i="13"/>
  <c r="A52" i="13"/>
  <c r="B52" i="13"/>
  <c r="C52" i="13"/>
  <c r="D52" i="13"/>
  <c r="E52" i="13"/>
  <c r="F52" i="13"/>
  <c r="H52" i="13"/>
  <c r="I52" i="13"/>
  <c r="M52" i="13"/>
  <c r="N52" i="13"/>
  <c r="O52" i="13"/>
  <c r="P52" i="13"/>
  <c r="Q52" i="13"/>
  <c r="R52" i="13"/>
  <c r="T52" i="13"/>
  <c r="U52" i="13"/>
  <c r="A53" i="13"/>
  <c r="B53" i="13"/>
  <c r="C53" i="13"/>
  <c r="D53" i="13"/>
  <c r="E53" i="13"/>
  <c r="F53" i="13"/>
  <c r="H53" i="13"/>
  <c r="I53" i="13"/>
  <c r="M53" i="13"/>
  <c r="N53" i="13"/>
  <c r="O53" i="13"/>
  <c r="P53" i="13"/>
  <c r="Q53" i="13"/>
  <c r="R53" i="13"/>
  <c r="T53" i="13"/>
  <c r="U53" i="13"/>
  <c r="A54" i="13"/>
  <c r="B54" i="13"/>
  <c r="C54" i="13"/>
  <c r="D54" i="13"/>
  <c r="E54" i="13"/>
  <c r="F54" i="13"/>
  <c r="G54" i="13"/>
  <c r="H54" i="13"/>
  <c r="I54" i="13"/>
  <c r="M54" i="13"/>
  <c r="N54" i="13"/>
  <c r="O54" i="13"/>
  <c r="P54" i="13"/>
  <c r="Q54" i="13"/>
  <c r="R54" i="13"/>
  <c r="S54" i="13"/>
  <c r="T54" i="13"/>
  <c r="U54" i="13"/>
  <c r="A55" i="13"/>
  <c r="B55" i="13"/>
  <c r="C55" i="13"/>
  <c r="G55" i="13"/>
  <c r="H55" i="13"/>
  <c r="I55" i="13"/>
  <c r="M55" i="13"/>
  <c r="N55" i="13"/>
  <c r="O55" i="13"/>
  <c r="S55" i="13"/>
  <c r="T55" i="13"/>
  <c r="U55" i="13"/>
  <c r="C4" i="17"/>
  <c r="D4" i="17"/>
  <c r="J4" i="17"/>
  <c r="C5" i="17"/>
  <c r="D5" i="17"/>
  <c r="E5" i="17"/>
  <c r="J5" i="17"/>
  <c r="K5" i="17"/>
  <c r="L5" i="17"/>
  <c r="C6" i="17"/>
  <c r="D6" i="17"/>
  <c r="E6" i="17"/>
  <c r="J6" i="17"/>
  <c r="C7" i="17"/>
  <c r="D7" i="17"/>
  <c r="J7" i="17"/>
  <c r="K7" i="17"/>
  <c r="L7" i="17"/>
  <c r="C8" i="17"/>
  <c r="D8" i="17"/>
  <c r="J8" i="17"/>
  <c r="B10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C15" i="17"/>
  <c r="D15" i="17"/>
  <c r="C16" i="17"/>
  <c r="D16" i="17"/>
  <c r="C17" i="17"/>
  <c r="D17" i="17"/>
  <c r="C18" i="17"/>
  <c r="D18" i="17"/>
  <c r="C19" i="17"/>
  <c r="D19" i="17"/>
  <c r="B21" i="17"/>
  <c r="C21" i="17"/>
  <c r="D21" i="17"/>
  <c r="B30" i="17"/>
  <c r="E30" i="17"/>
  <c r="C34" i="17"/>
  <c r="E34" i="17"/>
  <c r="F34" i="17"/>
  <c r="G34" i="17"/>
  <c r="H34" i="17"/>
  <c r="I34" i="17"/>
  <c r="J34" i="17"/>
  <c r="C35" i="17"/>
  <c r="D35" i="17"/>
  <c r="E35" i="17"/>
  <c r="F35" i="17"/>
  <c r="G35" i="17"/>
  <c r="H35" i="17"/>
  <c r="I35" i="17"/>
  <c r="S35" i="17"/>
  <c r="B36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B43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B50" i="17"/>
  <c r="C53" i="17"/>
  <c r="D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C58" i="17"/>
  <c r="D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B62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B64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B65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B66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B74" i="17"/>
  <c r="C74" i="17"/>
  <c r="D74" i="17"/>
  <c r="E74" i="17"/>
  <c r="B75" i="17"/>
  <c r="C75" i="17"/>
  <c r="D75" i="17"/>
  <c r="E75" i="17"/>
  <c r="B76" i="17"/>
  <c r="C76" i="17"/>
  <c r="D76" i="17"/>
  <c r="E76" i="17"/>
  <c r="B77" i="17"/>
  <c r="C77" i="17"/>
  <c r="D77" i="17"/>
  <c r="E77" i="17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BD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C28" i="11"/>
  <c r="D28" i="11"/>
  <c r="E28" i="11"/>
  <c r="F28" i="11"/>
  <c r="G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T60" i="11"/>
  <c r="C61" i="11"/>
  <c r="D61" i="11"/>
  <c r="E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T62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P69" i="11"/>
  <c r="Q69" i="11"/>
  <c r="R69" i="11"/>
  <c r="S69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O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G88" i="11"/>
  <c r="H88" i="11"/>
  <c r="P88" i="11"/>
  <c r="U88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B94" i="11"/>
  <c r="F94" i="11"/>
  <c r="G94" i="11"/>
  <c r="H94" i="11"/>
  <c r="I94" i="11"/>
  <c r="J94" i="11"/>
  <c r="K94" i="11"/>
  <c r="L94" i="11"/>
  <c r="M94" i="11"/>
  <c r="B95" i="11"/>
  <c r="M95" i="11"/>
  <c r="N95" i="11"/>
  <c r="P95" i="11"/>
  <c r="B96" i="11"/>
  <c r="B97" i="11"/>
  <c r="B98" i="11"/>
  <c r="B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E119" i="11"/>
  <c r="H119" i="11"/>
  <c r="M119" i="11"/>
  <c r="R119" i="11"/>
  <c r="W119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R143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C202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B2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B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</calcChain>
</file>

<file path=xl/comments1.xml><?xml version="1.0" encoding="utf-8"?>
<comments xmlns="http://schemas.openxmlformats.org/spreadsheetml/2006/main">
  <authors>
    <author>ECT</author>
  </authors>
  <commentList>
    <comment ref="Q5" authorId="0" shapeId="0">
      <text>
        <r>
          <rPr>
            <b/>
            <sz val="8"/>
            <color indexed="81"/>
            <rFont val="Tahoma"/>
          </rPr>
          <t>ECT:</t>
        </r>
        <r>
          <rPr>
            <sz val="8"/>
            <color indexed="81"/>
            <rFont val="Tahoma"/>
          </rPr>
          <t xml:space="preserve">
Per Conversation with Brian Kerrigan 12/21/1999 should be BA + 150 pts.</t>
        </r>
      </text>
    </comment>
  </commentList>
</comments>
</file>

<file path=xl/comments2.xml><?xml version="1.0" encoding="utf-8"?>
<comments xmlns="http://schemas.openxmlformats.org/spreadsheetml/2006/main">
  <authors>
    <author>A satisfied Microsoft Office user</author>
  </authors>
  <commentList>
    <comment ref="A6" authorId="0" shapeId="0">
      <text>
        <r>
          <rPr>
            <sz val="8"/>
            <color indexed="81"/>
            <rFont val="Tahoma"/>
          </rPr>
          <t>Total Revenues excluding interest income.</t>
        </r>
      </text>
    </comment>
    <comment ref="A7" authorId="0" shapeId="0">
      <text>
        <r>
          <rPr>
            <sz val="8"/>
            <color indexed="81"/>
            <rFont val="Tahoma"/>
          </rPr>
          <t>Total Expenses, excluding Capital Expenditures</t>
        </r>
      </text>
    </comment>
    <comment ref="A9" authorId="0" shapeId="0">
      <text>
        <r>
          <rPr>
            <sz val="8"/>
            <color indexed="81"/>
            <rFont val="Tahoma"/>
          </rPr>
          <t xml:space="preserve">Current Assets are calculated from Total Production Revenues.
</t>
        </r>
      </text>
    </comment>
    <comment ref="A14" authorId="0" shapeId="0">
      <text>
        <r>
          <rPr>
            <sz val="8"/>
            <color indexed="81"/>
            <rFont val="Tahoma"/>
          </rPr>
          <t xml:space="preserve">Current Liabilities are calculated from Total Expenses.
</t>
        </r>
      </text>
    </comment>
    <comment ref="A19" authorId="0" shapeId="0">
      <text>
        <r>
          <rPr>
            <sz val="8"/>
            <color indexed="81"/>
            <rFont val="Tahoma"/>
          </rPr>
          <t xml:space="preserve">The sum of the Current Assets minus the Current Liabilities.
</t>
        </r>
      </text>
    </comment>
    <comment ref="A21" authorId="0" shapeId="0">
      <text>
        <r>
          <rPr>
            <sz val="8"/>
            <color indexed="81"/>
            <rFont val="Tahoma"/>
          </rPr>
          <t xml:space="preserve">This starts with what is budgeted in the drawdown and then is the Required Working Capital.  It is not allowed to get smaller.
</t>
        </r>
      </text>
    </comment>
  </commentList>
</comments>
</file>

<file path=xl/comments3.xml><?xml version="1.0" encoding="utf-8"?>
<comments xmlns="http://schemas.openxmlformats.org/spreadsheetml/2006/main">
  <authors>
    <author>sbrodeu</author>
    <author>Lon Draper</author>
    <author>Kate Chaney</author>
  </authors>
  <commentList>
    <comment ref="A5" authorId="0" shapeId="0">
      <text>
        <r>
          <rPr>
            <b/>
            <sz val="8"/>
            <color indexed="81"/>
            <rFont val="Tahoma"/>
          </rPr>
          <t>sbrodeu:</t>
        </r>
        <r>
          <rPr>
            <sz val="8"/>
            <color indexed="81"/>
            <rFont val="Tahoma"/>
          </rPr>
          <t xml:space="preserve">
See bottom for Origination
</t>
        </r>
      </text>
    </comment>
    <comment ref="A56" authorId="1" shapeId="0">
      <text>
        <r>
          <rPr>
            <b/>
            <sz val="8"/>
            <color indexed="81"/>
            <rFont val="Tahoma"/>
          </rPr>
          <t>Lon Draper:</t>
        </r>
        <r>
          <rPr>
            <sz val="8"/>
            <color indexed="81"/>
            <rFont val="Tahoma"/>
          </rPr>
          <t xml:space="preserve">
Don't change name</t>
        </r>
      </text>
    </comment>
    <comment ref="A86" authorId="2" shapeId="0">
      <text>
        <r>
          <rPr>
            <b/>
            <sz val="8"/>
            <color indexed="81"/>
            <rFont val="Tahoma"/>
          </rPr>
          <t>Kate Chaney:
Combined Cycle Addition would be made in 2003 ready for Operation in 2004</t>
        </r>
      </text>
    </comment>
  </commentList>
</comments>
</file>

<file path=xl/comments4.xml><?xml version="1.0" encoding="utf-8"?>
<comments xmlns="http://schemas.openxmlformats.org/spreadsheetml/2006/main">
  <authors>
    <author>KChaney</author>
  </authors>
  <commentList>
    <comment ref="B124" authorId="0" shapeId="0">
      <text>
        <r>
          <rPr>
            <b/>
            <sz val="8"/>
            <color indexed="81"/>
            <rFont val="Tahoma"/>
          </rPr>
          <t>KChaney:</t>
        </r>
        <r>
          <rPr>
            <sz val="8"/>
            <color indexed="81"/>
            <rFont val="Tahoma"/>
          </rPr>
          <t xml:space="preserve">
I spoke with the Royal Bank 6/23/99 .  Harry Reid said that an Operating account would be a 364 day facility renewable annually.  BA - 1/4 %.</t>
        </r>
      </text>
    </comment>
    <comment ref="B136" authorId="0" shapeId="0">
      <text>
        <r>
          <rPr>
            <b/>
            <sz val="8"/>
            <color indexed="81"/>
            <rFont val="Tahoma"/>
          </rPr>
          <t>KChaney:</t>
        </r>
        <r>
          <rPr>
            <sz val="8"/>
            <color indexed="81"/>
            <rFont val="Tahoma"/>
          </rPr>
          <t xml:space="preserve">
I spoke with the Royal Bank 6/23/99 .  Harry Reid said that an Operating account would be a 364 day facility renewable annually.  BA - 1/4 %.</t>
        </r>
      </text>
    </comment>
  </commentList>
</comments>
</file>

<file path=xl/comments5.xml><?xml version="1.0" encoding="utf-8"?>
<comments xmlns="http://schemas.openxmlformats.org/spreadsheetml/2006/main">
  <authors>
    <author>ECT</author>
    <author>Lon Draper</author>
  </authors>
  <commentList>
    <comment ref="A22" authorId="0" shapeId="0">
      <text>
        <r>
          <rPr>
            <b/>
            <sz val="8"/>
            <color indexed="81"/>
            <rFont val="Tahoma"/>
          </rPr>
          <t>ECT:</t>
        </r>
        <r>
          <rPr>
            <sz val="8"/>
            <color indexed="81"/>
            <rFont val="Tahoma"/>
          </rPr>
          <t xml:space="preserve">
</t>
        </r>
      </text>
    </comment>
    <comment ref="A28" authorId="0" shapeId="0">
      <text>
        <r>
          <rPr>
            <b/>
            <sz val="8"/>
            <color indexed="81"/>
            <rFont val="Tahoma"/>
          </rPr>
          <t>ECT:</t>
        </r>
        <r>
          <rPr>
            <sz val="8"/>
            <color indexed="81"/>
            <rFont val="Tahoma"/>
          </rPr>
          <t xml:space="preserve">
This has to be paid even if the company is not earning Income</t>
        </r>
      </text>
    </comment>
    <comment ref="A46" authorId="1" shapeId="0">
      <text>
        <r>
          <rPr>
            <b/>
            <sz val="8"/>
            <color indexed="81"/>
            <rFont val="Tahoma"/>
          </rPr>
          <t>Lon Draper:</t>
        </r>
        <r>
          <rPr>
            <sz val="8"/>
            <color indexed="81"/>
            <rFont val="Tahoma"/>
          </rPr>
          <t xml:space="preserve">
don't change name</t>
        </r>
      </text>
    </comment>
  </commentList>
</comments>
</file>

<file path=xl/comments6.xml><?xml version="1.0" encoding="utf-8"?>
<comments xmlns="http://schemas.openxmlformats.org/spreadsheetml/2006/main">
  <authors>
    <author>Kate Chaney</author>
  </authors>
  <commentList>
    <comment ref="B19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Per Conversation with Dave Ehler 3/6/2000 we should use $3.70 US MWhr for total fixed &amp; variable O &amp; M escalating at 2 % p.a.
</t>
        </r>
      </text>
    </comment>
    <comment ref="C22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2001 has been used for run hours as it is the first full year</t>
        </r>
      </text>
    </comment>
    <comment ref="E50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$US600,000 based on 1200 run hours</t>
        </r>
      </text>
    </comment>
  </commentList>
</comments>
</file>

<file path=xl/comments7.xml><?xml version="1.0" encoding="utf-8"?>
<comments xmlns="http://schemas.openxmlformats.org/spreadsheetml/2006/main">
  <authors>
    <author>Kate Chaney</author>
  </authors>
  <commentList>
    <comment ref="D1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In year one 3 months of summer so 75% of starts assumed.
</t>
        </r>
      </text>
    </comment>
    <comment ref="E1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In year one 3 months of summer so 75% of starts assumed.
</t>
        </r>
      </text>
    </comment>
    <comment ref="F1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In the last year of Contract only 1 month of summer ie 1/4 of total summer.</t>
        </r>
      </text>
    </comment>
    <comment ref="I1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In the last year of Contract only 1 month of summer ie 1/4 of total summer.</t>
        </r>
      </text>
    </comment>
    <comment ref="N1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In the last year of Contract only 1 month of summer ie 1/4 of total summer.</t>
        </r>
      </text>
    </comment>
    <comment ref="S1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In the last year of Contract only 1 month of summer ie 1/4 of total summer.</t>
        </r>
      </text>
    </comment>
    <comment ref="X1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In the last year of Contract only 1 month of summer ie 1/4 of total summer.</t>
        </r>
      </text>
    </comment>
    <comment ref="B105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Likely to start receiving Royalties in 2001</t>
        </r>
      </text>
    </comment>
  </commentList>
</comments>
</file>

<file path=xl/comments8.xml><?xml version="1.0" encoding="utf-8"?>
<comments xmlns="http://schemas.openxmlformats.org/spreadsheetml/2006/main">
  <authors>
    <author>Kate Chaney</author>
  </authors>
  <commentList>
    <comment ref="D68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Brian Kerrigan wanted to set the Debt Coverage Ratio to 1.4 however this creates -ve cash in the B/S</t>
        </r>
      </text>
    </comment>
  </commentList>
</comments>
</file>

<file path=xl/comments9.xml><?xml version="1.0" encoding="utf-8"?>
<comments xmlns="http://schemas.openxmlformats.org/spreadsheetml/2006/main">
  <authors>
    <author>Kate Chaney</author>
  </authors>
  <commentList>
    <comment ref="E4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Weighted Avg.  
ABB GT11N1 11800
W501 D5A 11339
</t>
        </r>
      </text>
    </comment>
    <comment ref="J5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$2.5 MM added 3/6/2000 for the exciter retrofit $2.7 MM added for the extra cost of fuel conversion (G&amp;A reduced from original budget)</t>
        </r>
      </text>
    </comment>
    <comment ref="E6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Weighted Avg 
LM 1500 14,566
ABB 11800</t>
        </r>
      </text>
    </comment>
    <comment ref="N6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To achieve a weighted aversge variable cost of $5.29</t>
        </r>
      </text>
    </comment>
    <comment ref="E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Weighted Average 
GT11N2 = 11,407
GT11N1 = 11,800</t>
        </r>
      </text>
    </comment>
    <comment ref="J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$2.5 MM added 3/6/2000 for the exciter retrofit $2.7 MM added for the extra cost of fuel conversion (G&amp;A reduced from original budget)</t>
        </r>
      </text>
    </comment>
    <comment ref="J8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$2.5 MM added 3/6/2000 for the exciter retrofit $2.7 MM added for the extra cost of fuel conversion (G&amp;A reduced from original budget)</t>
        </r>
      </text>
    </comment>
  </commentList>
</comments>
</file>

<file path=xl/comments10.xml><?xml version="1.0" encoding="utf-8"?>
<comments xmlns="http://schemas.openxmlformats.org/spreadsheetml/2006/main">
  <authors>
    <author>Kate Chaney</author>
  </authors>
  <commentList>
    <comment ref="B1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Weighted Average ABB GT11N &amp; new Turbinbes
</t>
        </r>
      </text>
    </comment>
    <comment ref="B60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Weighted avg of NIPS and AEP</t>
        </r>
      </text>
    </comment>
    <comment ref="F64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Assumes margin will be recognized July 1, 2000
</t>
        </r>
      </text>
    </comment>
    <comment ref="A67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The proposed contract with Detroit Edison enables us to get royalties on future conversions of ABB Turbines</t>
        </r>
      </text>
    </comment>
    <comment ref="A69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Bob Virgo said that we will get a 10 % Royalty
</t>
        </r>
      </text>
    </comment>
  </commentList>
</comments>
</file>

<file path=xl/comments11.xml><?xml version="1.0" encoding="utf-8"?>
<comments xmlns="http://schemas.openxmlformats.org/spreadsheetml/2006/main">
  <authors>
    <author>Kate Chaney</author>
  </authors>
  <commentList>
    <comment ref="AK10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Michigan Bid Curve with Scalar</t>
        </r>
      </text>
    </comment>
    <comment ref="CX10" authorId="0" shapeId="0">
      <text>
        <r>
          <rPr>
            <b/>
            <sz val="8"/>
            <color indexed="81"/>
            <rFont val="Tahoma"/>
          </rPr>
          <t>Kate Chaney:</t>
        </r>
        <r>
          <rPr>
            <sz val="8"/>
            <color indexed="81"/>
            <rFont val="Tahoma"/>
          </rPr>
          <t xml:space="preserve">
Enron ECAR Offer Curve</t>
        </r>
      </text>
    </comment>
  </commentList>
</comments>
</file>

<file path=xl/sharedStrings.xml><?xml version="1.0" encoding="utf-8"?>
<sst xmlns="http://schemas.openxmlformats.org/spreadsheetml/2006/main" count="1491" uniqueCount="822">
  <si>
    <t>Revised NY West curve</t>
  </si>
  <si>
    <t>Dispatch Model (8 super pk, intrinsic)</t>
  </si>
  <si>
    <t>Explanation of Differences:</t>
  </si>
  <si>
    <t>VOM Diff (Estimate - still verifying w/KC)</t>
  </si>
  <si>
    <t>Base Case (8 hr super pk, intrinsic)</t>
  </si>
  <si>
    <t>* Still looking into Option value, VOM, and updating gas curve</t>
  </si>
  <si>
    <t>C$ (000's)</t>
  </si>
  <si>
    <t>US$ (000's)</t>
  </si>
  <si>
    <t>Project Moore Dispatch model tie-out</t>
  </si>
  <si>
    <t>Summary NY West</t>
  </si>
  <si>
    <t>Corrected Price Scalars (removed Dynamic):</t>
  </si>
  <si>
    <t>Corrected Price Scalars (use NY Sup Pk, not Mich):</t>
  </si>
  <si>
    <t>Revised Gas curves</t>
  </si>
  <si>
    <t>Difference due to updated Gas Curves</t>
  </si>
  <si>
    <t xml:space="preserve"> ~ Approximately $13m of intrinsic for Shoulder Peak &amp; Sat Pk value</t>
  </si>
  <si>
    <t>DEBT AMORTIZATION SCHEDULES</t>
  </si>
  <si>
    <t>Interest Rate</t>
  </si>
  <si>
    <t>Term</t>
  </si>
  <si>
    <t>Debt</t>
  </si>
  <si>
    <t>Equity</t>
  </si>
  <si>
    <t>Period</t>
  </si>
  <si>
    <t>Period Active?</t>
  </si>
  <si>
    <t>Beginning of Year Debt</t>
  </si>
  <si>
    <t>End of 2nd Quarter Payment</t>
  </si>
  <si>
    <t>End of 2nd Quarter Interest</t>
  </si>
  <si>
    <t>End of 2nd Quarter Prinicipal</t>
  </si>
  <si>
    <t>End of 2nd Quarter Debt Level</t>
  </si>
  <si>
    <t>End of 4th Quarter Payment</t>
  </si>
  <si>
    <t>End of 4th Quarter Interest</t>
  </si>
  <si>
    <t>End of 4th Quarter Prinicipal</t>
  </si>
  <si>
    <t>Total Debt Service</t>
  </si>
  <si>
    <t>Total Principal</t>
  </si>
  <si>
    <t>Amortization Schedule</t>
  </si>
  <si>
    <t>Percent Paid Down</t>
  </si>
  <si>
    <t>Average Life of Debt</t>
  </si>
  <si>
    <t>Check</t>
  </si>
  <si>
    <t xml:space="preserve"> </t>
  </si>
  <si>
    <t>Cost of Acquisitions during the year</t>
  </si>
  <si>
    <t>50% Rule</t>
  </si>
  <si>
    <t>Capital Cost Allowance</t>
  </si>
  <si>
    <t>Income Tax Calculation</t>
  </si>
  <si>
    <t>Net Income before Taxes</t>
  </si>
  <si>
    <t>Add back:</t>
  </si>
  <si>
    <t>Depreciation</t>
  </si>
  <si>
    <t>Deduct:</t>
  </si>
  <si>
    <t>CCA</t>
  </si>
  <si>
    <t>Financing Cost</t>
  </si>
  <si>
    <t>Deferred Taxes</t>
  </si>
  <si>
    <t>Total Book Tax Provision</t>
  </si>
  <si>
    <t>Net Income after Taxes</t>
  </si>
  <si>
    <t>IRR Calculation</t>
  </si>
  <si>
    <t>"Pre-tax"</t>
  </si>
  <si>
    <t>PV Date</t>
  </si>
  <si>
    <t>Start</t>
  </si>
  <si>
    <t>End</t>
  </si>
  <si>
    <t>Discount Rate</t>
  </si>
  <si>
    <t>Notional Amount</t>
  </si>
  <si>
    <t>PV Amount</t>
  </si>
  <si>
    <t>Federal Income Tax Rate</t>
  </si>
  <si>
    <t>Plant Type</t>
  </si>
  <si>
    <t>Provincial Income Tax</t>
  </si>
  <si>
    <t>Effective Tax Rate</t>
  </si>
  <si>
    <t>Revenues</t>
  </si>
  <si>
    <t xml:space="preserve">DEBT AMORTIZATION SCHEDULE </t>
  </si>
  <si>
    <t>Annual Material Escalation</t>
  </si>
  <si>
    <t>O &amp; M Cost Summary</t>
  </si>
  <si>
    <t>$ Year</t>
  </si>
  <si>
    <t>Labour Escalation from Base Year</t>
  </si>
  <si>
    <t>Labour</t>
  </si>
  <si>
    <t>Consumables</t>
  </si>
  <si>
    <t>Chemicals</t>
  </si>
  <si>
    <t>Training</t>
  </si>
  <si>
    <t>Administrative &amp; Support</t>
  </si>
  <si>
    <t>Tools &amp; Equipment</t>
  </si>
  <si>
    <t>Contract Services</t>
  </si>
  <si>
    <t>General Liability Insurance</t>
  </si>
  <si>
    <t>Maintenance &amp; Minor Repairs</t>
  </si>
  <si>
    <t>Operator Management Fee</t>
  </si>
  <si>
    <t>Total</t>
  </si>
  <si>
    <t>Base</t>
  </si>
  <si>
    <t>Total Capital</t>
  </si>
  <si>
    <t>Total Operating Revenues</t>
  </si>
  <si>
    <t>Operating Expenses</t>
  </si>
  <si>
    <t>Total Operating Expense</t>
  </si>
  <si>
    <t>OPERATING CASHFLOW (EBITDA)</t>
  </si>
  <si>
    <t>less</t>
  </si>
  <si>
    <t xml:space="preserve">   Insurance</t>
  </si>
  <si>
    <t xml:space="preserve">   Principal Payments</t>
  </si>
  <si>
    <t>DISTRIBUTABLE CASHFLOW     (including equity injection)</t>
  </si>
  <si>
    <t xml:space="preserve">  Current</t>
  </si>
  <si>
    <t xml:space="preserve">  Deferred</t>
  </si>
  <si>
    <t>OPERATIONAL DETAIL</t>
  </si>
  <si>
    <t>F</t>
  </si>
  <si>
    <t>Working Capital</t>
  </si>
  <si>
    <t>Days</t>
  </si>
  <si>
    <t>Assets</t>
  </si>
  <si>
    <t>Operating Cash Balance</t>
  </si>
  <si>
    <t>Cash</t>
  </si>
  <si>
    <t>Accounts Receivable</t>
  </si>
  <si>
    <t>Other Current Assets</t>
  </si>
  <si>
    <t>Accounts Payable</t>
  </si>
  <si>
    <t>Accrued Expenses</t>
  </si>
  <si>
    <t>Other Payables</t>
  </si>
  <si>
    <t>Total Current Assets</t>
  </si>
  <si>
    <t>Beginning Working Capital</t>
  </si>
  <si>
    <t>Net PP&amp;E</t>
  </si>
  <si>
    <t>Land</t>
  </si>
  <si>
    <t>Other Assets</t>
  </si>
  <si>
    <t>Total Assets</t>
  </si>
  <si>
    <t>Liabilities</t>
  </si>
  <si>
    <t>Total Current Liabilities</t>
  </si>
  <si>
    <t>Long Term Debt</t>
  </si>
  <si>
    <t>Total Long-term Liabilities</t>
  </si>
  <si>
    <t>Stockholders' Equity</t>
  </si>
  <si>
    <t>Preferred Stock</t>
  </si>
  <si>
    <t>Common Stock</t>
  </si>
  <si>
    <t>Retained Earnings</t>
  </si>
  <si>
    <t>Total Stockholders' Equity</t>
  </si>
  <si>
    <t>Total Liabilities &amp; Equity</t>
  </si>
  <si>
    <t>Proof</t>
  </si>
  <si>
    <t>Provincial</t>
  </si>
  <si>
    <t>Book Depreciation</t>
  </si>
  <si>
    <t>Intangibles</t>
  </si>
  <si>
    <t>Goodwill</t>
  </si>
  <si>
    <t>Accumulated Amortization</t>
  </si>
  <si>
    <t>Total Intangibles</t>
  </si>
  <si>
    <t>Gross PP&amp;E</t>
  </si>
  <si>
    <t>Accumulated Depreciation</t>
  </si>
  <si>
    <t>Other Non-Current Liabilities</t>
  </si>
  <si>
    <t>Total Prod Rev</t>
  </si>
  <si>
    <t>Total Expense</t>
  </si>
  <si>
    <t>Current Assets</t>
  </si>
  <si>
    <t>Current Liabilities</t>
  </si>
  <si>
    <t>Required Working Capital</t>
  </si>
  <si>
    <t>Change in Working Capital</t>
  </si>
  <si>
    <t>Cash Flows from Operating Activities</t>
  </si>
  <si>
    <t>Net Income</t>
  </si>
  <si>
    <t>Depreciation and Depletion</t>
  </si>
  <si>
    <t>Change in A/R</t>
  </si>
  <si>
    <t>Change in Other Current Assets</t>
  </si>
  <si>
    <t>Change in Accounts Payable</t>
  </si>
  <si>
    <t>Change in Accrued Expenses</t>
  </si>
  <si>
    <t>Change in Other Payables</t>
  </si>
  <si>
    <t>Net Cash Provided by (Used in) Operating Activities</t>
  </si>
  <si>
    <t>Cash Flows from Investing Activities</t>
  </si>
  <si>
    <t>Change in Gross PP&amp;E</t>
  </si>
  <si>
    <t>Net Cash Provided by (Used in) Investing Activities</t>
  </si>
  <si>
    <t>Cash Flows from Financing Activities</t>
  </si>
  <si>
    <t>Change in Long Term Debt</t>
  </si>
  <si>
    <t>Change in Other Non-Current Liabilities</t>
  </si>
  <si>
    <t>Change in Preferred Stock</t>
  </si>
  <si>
    <t>Change in Common Stock</t>
  </si>
  <si>
    <t>Net Cash Provided by (Used in) Financing Activities</t>
  </si>
  <si>
    <t>Increase (Decrease) in Cash</t>
  </si>
  <si>
    <t>Cash, Beginning of Year</t>
  </si>
  <si>
    <t>Cash, End of Year</t>
  </si>
  <si>
    <t>Spare Parts</t>
  </si>
  <si>
    <t>Interest During Construction</t>
  </si>
  <si>
    <t xml:space="preserve">  Interest Coverage (EBITDA/Interest)</t>
  </si>
  <si>
    <t xml:space="preserve">  Debt Coverage Ratio (EBITDA/Interest + Principal)</t>
  </si>
  <si>
    <t xml:space="preserve">  Total Debt/EBITDA</t>
  </si>
  <si>
    <t># Payments in year</t>
  </si>
  <si>
    <t>Interest Rate Curve</t>
  </si>
  <si>
    <t>Semi Annual Calculation</t>
  </si>
  <si>
    <t>All in interest rate (2nd Quarter)</t>
  </si>
  <si>
    <t>All in interest rate (4th Quarter)</t>
  </si>
  <si>
    <t>Deferred income taxes</t>
  </si>
  <si>
    <t>Income Statement</t>
  </si>
  <si>
    <t xml:space="preserve">  Power</t>
  </si>
  <si>
    <t xml:space="preserve"> Operating deductions</t>
  </si>
  <si>
    <t xml:space="preserve">  Depreciation</t>
  </si>
  <si>
    <t>Operating Income</t>
  </si>
  <si>
    <t xml:space="preserve">     Total Revenues</t>
  </si>
  <si>
    <t>($CAD 000's)</t>
  </si>
  <si>
    <t>Beginning Balance</t>
  </si>
  <si>
    <t>Amount Required</t>
  </si>
  <si>
    <t>Addition (Release)</t>
  </si>
  <si>
    <t>Interest Payment</t>
  </si>
  <si>
    <t>Debt Reserve Account</t>
  </si>
  <si>
    <t>Beginning Balance 2nd Quarter</t>
  </si>
  <si>
    <t>Ending Balance 2nd Quarter</t>
  </si>
  <si>
    <t>Beginning Balance 4th Quarter</t>
  </si>
  <si>
    <t>Ending Balance 4th Quarter</t>
  </si>
  <si>
    <t>Annual Addition Release of Debt Reserve Account</t>
  </si>
  <si>
    <t>Change in Reserves</t>
  </si>
  <si>
    <t>Current Portion of Long Term Debt</t>
  </si>
  <si>
    <t>Change in Current Portion of Long Term Debt</t>
  </si>
  <si>
    <t>Provision for Income Taxes</t>
  </si>
  <si>
    <t>Federal Surtax</t>
  </si>
  <si>
    <t>Federal Tax after M &amp; P</t>
  </si>
  <si>
    <t>Large Corporations Tax</t>
  </si>
  <si>
    <t>Annual Capital Deduction</t>
  </si>
  <si>
    <t>Less Surtax Creditable</t>
  </si>
  <si>
    <t>Net Large Corporations Tax</t>
  </si>
  <si>
    <t>Current Taxes Payable</t>
  </si>
  <si>
    <t>Large Corporations Tax Calculation</t>
  </si>
  <si>
    <t>Losses Carried Forward</t>
  </si>
  <si>
    <t>Balance at the Beginning of the Year</t>
  </si>
  <si>
    <t>Plus: Current Year's losses</t>
  </si>
  <si>
    <t>Utilization of LCF</t>
  </si>
  <si>
    <t>Total Utilization</t>
  </si>
  <si>
    <t>Total LCF</t>
  </si>
  <si>
    <t>Taxable Income that can be offset against LCF</t>
  </si>
  <si>
    <t>Included in Capital Calculation for the Large Corporations Tax</t>
  </si>
  <si>
    <t>Changes in Current Taxes Payable</t>
  </si>
  <si>
    <t xml:space="preserve">   Items not affecting cash flow</t>
  </si>
  <si>
    <t>Items Not Affecting Cash Flows</t>
  </si>
  <si>
    <t>Increase/(Decrease) in Working Capital</t>
  </si>
  <si>
    <t>Statement of Cash Flows (CAD $000's)</t>
  </si>
  <si>
    <t xml:space="preserve">   Increase/(Decrease) in Working Capital</t>
  </si>
  <si>
    <t>Balance Sheet (CAD $000's)</t>
  </si>
  <si>
    <t>Surtax Carry Forward Adjustment Made</t>
  </si>
  <si>
    <t>Average CAD BA</t>
  </si>
  <si>
    <t>Construction Schedule</t>
  </si>
  <si>
    <t>Cummulative Expenditure %</t>
  </si>
  <si>
    <t>Incremental Expenditure %</t>
  </si>
  <si>
    <t>Opening Balance</t>
  </si>
  <si>
    <t>Equity Drawdown</t>
  </si>
  <si>
    <t>Closing Balance</t>
  </si>
  <si>
    <t>Surtax Carried Back</t>
  </si>
  <si>
    <t>Surtax Carried Forward</t>
  </si>
  <si>
    <t>NET LCT AFTER CARRY-OVERS</t>
  </si>
  <si>
    <t>Year of Expiry</t>
  </si>
  <si>
    <t>Earliest Year of LCF which could be used</t>
  </si>
  <si>
    <t>Less:  Expired LCF's</t>
  </si>
  <si>
    <t>2002 Losses</t>
  </si>
  <si>
    <t>Taxable Income, before LCF</t>
  </si>
  <si>
    <t>LCF</t>
  </si>
  <si>
    <t>Taxable Income, after LCF</t>
  </si>
  <si>
    <t>LCF Available, before current year utilization</t>
  </si>
  <si>
    <t>Balance at the End of the Year</t>
  </si>
  <si>
    <t>2003 Losses</t>
  </si>
  <si>
    <t>2004 Losses</t>
  </si>
  <si>
    <t>2005 Losses</t>
  </si>
  <si>
    <t>2006 Losses</t>
  </si>
  <si>
    <t>2007 Losses</t>
  </si>
  <si>
    <t>Total Taxable Capital</t>
  </si>
  <si>
    <t>Working Capital Account</t>
  </si>
  <si>
    <t>Interest</t>
  </si>
  <si>
    <t xml:space="preserve">   Interest on Term Loan</t>
  </si>
  <si>
    <t xml:space="preserve">   Interest on Operating Line</t>
  </si>
  <si>
    <t>Addition/(Release)</t>
  </si>
  <si>
    <t xml:space="preserve">  Cash Taxes</t>
  </si>
  <si>
    <t>Equity Cash Flow (After Cash taxes)</t>
  </si>
  <si>
    <t>Gross PP &amp; E</t>
  </si>
  <si>
    <t>Net PP &amp; E</t>
  </si>
  <si>
    <t>Capital Cost</t>
  </si>
  <si>
    <t>Life of Asset</t>
  </si>
  <si>
    <t>ECT BA</t>
  </si>
  <si>
    <t>Less: 1/4 %</t>
  </si>
  <si>
    <t xml:space="preserve">Quarterly Inspections </t>
  </si>
  <si>
    <t>V</t>
  </si>
  <si>
    <t>Fixed</t>
  </si>
  <si>
    <t>Variable</t>
  </si>
  <si>
    <t xml:space="preserve">   Fixed O&amp;M</t>
  </si>
  <si>
    <t>Heat Rate (HHV)</t>
  </si>
  <si>
    <t>Nominal Capacity</t>
  </si>
  <si>
    <t>Actual Average Capacity</t>
  </si>
  <si>
    <t>100% Capacity Degradation</t>
  </si>
  <si>
    <t>Major Overhaul (hrs)</t>
  </si>
  <si>
    <t>100% Heat Rate Degradation</t>
  </si>
  <si>
    <t>Technical Assumptions</t>
  </si>
  <si>
    <t>Choices</t>
  </si>
  <si>
    <t>Plant Types</t>
  </si>
  <si>
    <t xml:space="preserve">Chosen </t>
  </si>
  <si>
    <t>Actual Capacity</t>
  </si>
  <si>
    <t>100% Heat Rate Degragation</t>
  </si>
  <si>
    <t>100% Capacity Degragation</t>
  </si>
  <si>
    <t>Transmission Costs</t>
  </si>
  <si>
    <t>Owners DLE Costs</t>
  </si>
  <si>
    <t>Capital Assumptions</t>
  </si>
  <si>
    <t>EPCM Costs</t>
  </si>
  <si>
    <t>Total Capital Costs</t>
  </si>
  <si>
    <t>Equity %</t>
  </si>
  <si>
    <t>Debt %</t>
  </si>
  <si>
    <t>Capitalized Interest Costs</t>
  </si>
  <si>
    <t>Total Capital Costs (US$)</t>
  </si>
  <si>
    <t>Working Capital Interest Rate</t>
  </si>
  <si>
    <t>Interest Rate During Construction</t>
  </si>
  <si>
    <t>Charges</t>
  </si>
  <si>
    <t>Capital Amortization Period</t>
  </si>
  <si>
    <t>Investment Term</t>
  </si>
  <si>
    <t xml:space="preserve">Residual Value </t>
  </si>
  <si>
    <t>Investment Term (yrs)</t>
  </si>
  <si>
    <t>Chosen</t>
  </si>
  <si>
    <t>Years</t>
  </si>
  <si>
    <t>% of Debt paid during Investment</t>
  </si>
  <si>
    <t xml:space="preserve">Residual Value to Equity </t>
  </si>
  <si>
    <t>Inflation Rate</t>
  </si>
  <si>
    <t>Project Name</t>
  </si>
  <si>
    <t>Class 1 (Building) % of Capital Cost</t>
  </si>
  <si>
    <t>Class 6 (Generating Equipment) % of Capital Cost</t>
  </si>
  <si>
    <t>Class 10 (Computer Equipment) % of Capital Cost</t>
  </si>
  <si>
    <t>Load Factor</t>
  </si>
  <si>
    <t xml:space="preserve">   Variable O&amp;M </t>
  </si>
  <si>
    <t>Tax</t>
  </si>
  <si>
    <t>Federal Income Tax</t>
  </si>
  <si>
    <t>Manufacturing Credit</t>
  </si>
  <si>
    <t>Federal Income Tax after M &amp; P Credit</t>
  </si>
  <si>
    <t>Provincial Tax Rate</t>
  </si>
  <si>
    <t>Alberta</t>
  </si>
  <si>
    <t>Federal Large Corporations Tax</t>
  </si>
  <si>
    <t>CCA &amp; Capital Gains Calculation</t>
  </si>
  <si>
    <t>Proceeds from Disposal</t>
  </si>
  <si>
    <t>Capital Gains Tax</t>
  </si>
  <si>
    <t>Acquisition Cost</t>
  </si>
  <si>
    <t>Future Income Tax Expense (benefit)</t>
  </si>
  <si>
    <t>Investment Term 5 Years</t>
  </si>
  <si>
    <t>Investment Term 10 Years</t>
  </si>
  <si>
    <t>Investment Term 15 Years</t>
  </si>
  <si>
    <t>Investment Term 20 Years</t>
  </si>
  <si>
    <t>Carrying Amount</t>
  </si>
  <si>
    <t>Tax Basis</t>
  </si>
  <si>
    <t>Taxable Temporary Difference</t>
  </si>
  <si>
    <t>Opening future income tax liability (asset)</t>
  </si>
  <si>
    <t>Closing future income tax liability (asset)</t>
  </si>
  <si>
    <t>Cost (benefit) of future income taxes</t>
  </si>
  <si>
    <t>Temporary Tax Differences</t>
  </si>
  <si>
    <t>Reconciliation to Cashflow</t>
  </si>
  <si>
    <t>Equity Income after Tax</t>
  </si>
  <si>
    <t>Addback</t>
  </si>
  <si>
    <t xml:space="preserve">  Principal</t>
  </si>
  <si>
    <t xml:space="preserve">  Debt Reserve</t>
  </si>
  <si>
    <t>Less</t>
  </si>
  <si>
    <t xml:space="preserve">  Amortization of Capitalized Fees</t>
  </si>
  <si>
    <t xml:space="preserve">  Future Income Tax Expense</t>
  </si>
  <si>
    <t>Difference</t>
  </si>
  <si>
    <t>Reconciliation of Cash</t>
  </si>
  <si>
    <t>Change in Current Assets</t>
  </si>
  <si>
    <t>Change in Current Liabilities</t>
  </si>
  <si>
    <t>Change in PP&amp;E</t>
  </si>
  <si>
    <t>Change in long term debt</t>
  </si>
  <si>
    <t>Class 12 (Computer Software) % of Capital Cost</t>
  </si>
  <si>
    <t>Capital Gain</t>
  </si>
  <si>
    <t>LCB</t>
  </si>
  <si>
    <t xml:space="preserve">   Property Tax (@.5% of installed cost</t>
  </si>
  <si>
    <t>Calculate LCB</t>
  </si>
  <si>
    <t>Calculate Capital Gains</t>
  </si>
  <si>
    <t>Variable O&amp;M</t>
  </si>
  <si>
    <t>Federal</t>
  </si>
  <si>
    <t>Alberta Tax</t>
  </si>
  <si>
    <t>Ontario Tax</t>
  </si>
  <si>
    <t>Ontario Corporate Minimum Tax</t>
  </si>
  <si>
    <t>Provincial Capital Tax</t>
  </si>
  <si>
    <t>Corporate Minimum Tax</t>
  </si>
  <si>
    <t>Less Creditable CMT</t>
  </si>
  <si>
    <t>Net Provincial Tax Payable</t>
  </si>
  <si>
    <t>Ontario Corporate Min Tax</t>
  </si>
  <si>
    <t>Balance at Beginning of Year</t>
  </si>
  <si>
    <t>Current Year Tax</t>
  </si>
  <si>
    <t>Less Expired CMT</t>
  </si>
  <si>
    <t>Less CMT Utilized Against Provincial Tax</t>
  </si>
  <si>
    <t>Cummulative CMT Carried Forward</t>
  </si>
  <si>
    <t>Province</t>
  </si>
  <si>
    <t>Ontario</t>
  </si>
  <si>
    <t>Year Of Operation</t>
  </si>
  <si>
    <t>Equivilent Operating Hours per Start</t>
  </si>
  <si>
    <t># of starts per year</t>
  </si>
  <si>
    <t>Start Date Project (MM/YY)</t>
  </si>
  <si>
    <t>Operational Start Date (MM/YY)</t>
  </si>
  <si>
    <t>Number of Months Operation 1st Year</t>
  </si>
  <si>
    <t>Month</t>
  </si>
  <si>
    <t xml:space="preserve">  Equity Injection</t>
  </si>
  <si>
    <t>Date Of Analysis</t>
  </si>
  <si>
    <t>Heat Rate (HHV) BTU/KWh</t>
  </si>
  <si>
    <t>Interest on Negative Cash Balance</t>
  </si>
  <si>
    <t>Cash Balance</t>
  </si>
  <si>
    <t>Tax (First Year) &amp; Accounting Assumptions</t>
  </si>
  <si>
    <t xml:space="preserve">Total Current Tax Payable </t>
  </si>
  <si>
    <t>Future Tax Liability</t>
  </si>
  <si>
    <t>Losses Carried Back</t>
  </si>
  <si>
    <t>Construction Period Months</t>
  </si>
  <si>
    <t>Manual Amortization</t>
  </si>
  <si>
    <t>Timing of Equity Drawdown Split over the last X (Months)</t>
  </si>
  <si>
    <t>Debt Ratio</t>
  </si>
  <si>
    <t>Equity Ratio</t>
  </si>
  <si>
    <t>Automatic Amortization</t>
  </si>
  <si>
    <t>Manual Capex Drawdown (Yes/No)</t>
  </si>
  <si>
    <t>NO</t>
  </si>
  <si>
    <t>Selected Amortization of Capital</t>
  </si>
  <si>
    <t>Cummulative Expenditure</t>
  </si>
  <si>
    <t>Last Day of Month</t>
  </si>
  <si>
    <t>Equity Available</t>
  </si>
  <si>
    <t>Debt Available</t>
  </si>
  <si>
    <t>Debt Drawdown</t>
  </si>
  <si>
    <t>Manual Amortization (Yes/No)</t>
  </si>
  <si>
    <t>Initial Equity Injection</t>
  </si>
  <si>
    <t>Project Drawdown Schedule</t>
  </si>
  <si>
    <t xml:space="preserve">Cummulative Project Drawdown </t>
  </si>
  <si>
    <t>Cummulative Interest During Construction</t>
  </si>
  <si>
    <t>IDC attributable to Equity</t>
  </si>
  <si>
    <t>Equity Injection</t>
  </si>
  <si>
    <t>Construction Countdown</t>
  </si>
  <si>
    <t>Start of Period</t>
  </si>
  <si>
    <t>End of Period</t>
  </si>
  <si>
    <t>Operating Year</t>
  </si>
  <si>
    <t>Other Current Payables</t>
  </si>
  <si>
    <t>Working Capital Assumptions</t>
  </si>
  <si>
    <t>Q2</t>
  </si>
  <si>
    <t>Q4</t>
  </si>
  <si>
    <t>Class 1 Electrical Generating Equipment</t>
  </si>
  <si>
    <t>UCC at Beginning of Year</t>
  </si>
  <si>
    <t>Disposals</t>
  </si>
  <si>
    <t>UCC</t>
  </si>
  <si>
    <t>Reduced UCC</t>
  </si>
  <si>
    <t>Undepreciated Capital Cost at yr End</t>
  </si>
  <si>
    <t>Class 8 Furniture</t>
  </si>
  <si>
    <t>Class 10 Computer</t>
  </si>
  <si>
    <t>Class 12 Computer Software</t>
  </si>
  <si>
    <t>Class 17 Telecommunications Equipment</t>
  </si>
  <si>
    <t>Class 43 Electrical Generating Equipment</t>
  </si>
  <si>
    <t>CCA Required to make Tax = 0</t>
  </si>
  <si>
    <t>Maximum Allowable by Class</t>
  </si>
  <si>
    <t>Class 43 to be claimed</t>
  </si>
  <si>
    <t>Carrying Value of Asset</t>
  </si>
  <si>
    <t>Tax and Accounting Assumptions</t>
  </si>
  <si>
    <t>Class 43 Eligible (Yes or No)</t>
  </si>
  <si>
    <t>Yes</t>
  </si>
  <si>
    <t>CCA Schedule</t>
  </si>
  <si>
    <t>% of Capital Cost</t>
  </si>
  <si>
    <t>Class 1   - Property</t>
  </si>
  <si>
    <t>Class 8   - Furniture</t>
  </si>
  <si>
    <t>Class 10 - Computer</t>
  </si>
  <si>
    <t>Class 12 - Computer Software</t>
  </si>
  <si>
    <t>Class 17 - Telecommunications</t>
  </si>
  <si>
    <t>Class 43 - Electrical Generating</t>
  </si>
  <si>
    <t>50% Rule applies in Year 1 (Yes/No)</t>
  </si>
  <si>
    <t>No</t>
  </si>
  <si>
    <t>Cashflow</t>
  </si>
  <si>
    <t>CAD BA Q2</t>
  </si>
  <si>
    <t>CAD BA Q4</t>
  </si>
  <si>
    <t>Table in Semi Annual Format for Debt Amortization</t>
  </si>
  <si>
    <t>Scenario 1</t>
  </si>
  <si>
    <t>Scenario 2</t>
  </si>
  <si>
    <t>Scenario 3</t>
  </si>
  <si>
    <t>Capacity Charge US $kWh</t>
  </si>
  <si>
    <t>Run Hours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</si>
  <si>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</si>
  <si>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</si>
  <si>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</si>
  <si>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</si>
  <si>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</si>
  <si>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</si>
  <si>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</si>
  <si>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</si>
  <si>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</si>
  <si>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</si>
  <si>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</si>
  <si>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</si>
  <si>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Energy Curve US $MWhr</t>
  </si>
  <si>
    <t>Cost of Gas</t>
  </si>
  <si>
    <t>Operating and Maintenance Expense</t>
  </si>
  <si>
    <t>Plant Operating</t>
  </si>
  <si>
    <t>Annual Average</t>
  </si>
  <si>
    <t>Forward F/X Curve</t>
  </si>
  <si>
    <t>Energy Price US$/MWh</t>
  </si>
  <si>
    <t>Energy Price Cdn $/MWh</t>
  </si>
  <si>
    <t>Energy Revenue</t>
  </si>
  <si>
    <t>Capacity Degradation</t>
  </si>
  <si>
    <t>Run Hours Without Overhaul</t>
  </si>
  <si>
    <t>Plant Energy Revenue</t>
  </si>
  <si>
    <t>Plant Capacity Revenue</t>
  </si>
  <si>
    <t>Energy Capacity (MW)</t>
  </si>
  <si>
    <t>Energy Capacity</t>
  </si>
  <si>
    <t xml:space="preserve">Capacity Revenue </t>
  </si>
  <si>
    <t>Capacity Revenue</t>
  </si>
  <si>
    <t>Start Charge Revenue</t>
  </si>
  <si>
    <t>Charge per Start US$</t>
  </si>
  <si>
    <t>Escalator on Start Charge</t>
  </si>
  <si>
    <t>Charge per Start Cdn$</t>
  </si>
  <si>
    <t>Start Revenue</t>
  </si>
  <si>
    <t xml:space="preserve">   Plant Fuel</t>
  </si>
  <si>
    <t>Fuel Cost $k</t>
  </si>
  <si>
    <t>Fuel Heat Rate (Btu/kWh) HHV</t>
  </si>
  <si>
    <t>Heat Rate Degradation</t>
  </si>
  <si>
    <t>Fuel Natural Gas (000's MMBtus)</t>
  </si>
  <si>
    <t>Property Tax</t>
  </si>
  <si>
    <t>Property Tax as % of Capital</t>
  </si>
  <si>
    <t>Insurance</t>
  </si>
  <si>
    <t>Insurance as % of Capital</t>
  </si>
  <si>
    <t>Total Cash Taxes</t>
  </si>
  <si>
    <t>Total Interest on Term Loan</t>
  </si>
  <si>
    <t>WC Interest</t>
  </si>
  <si>
    <t>Interest on Cash Balance</t>
  </si>
  <si>
    <t>Standby Charge</t>
  </si>
  <si>
    <t>Standby Energy Price Cdn$/MWhr</t>
  </si>
  <si>
    <t>Equivalent Run Hours - Starts</t>
  </si>
  <si>
    <t>End of Year Debt</t>
  </si>
  <si>
    <t>Net Income After Tax</t>
  </si>
  <si>
    <t>Natural Gas Price (US$/MMBtu)</t>
  </si>
  <si>
    <t>Natural Gas Price (Cdn$/MMBtu)</t>
  </si>
  <si>
    <t>All in Gas Price Cdn$/MMBtu</t>
  </si>
  <si>
    <t>Transportation -Union Cdn$/MMBtu</t>
  </si>
  <si>
    <t>Transportation Union $Cdn/MMBtu</t>
  </si>
  <si>
    <t>Capacity MW</t>
  </si>
  <si>
    <t>Capacity Revenue US$</t>
  </si>
  <si>
    <t>Capacity Revenue Cdn$</t>
  </si>
  <si>
    <t>Energy Revenue US $</t>
  </si>
  <si>
    <t>5 Years</t>
  </si>
  <si>
    <t>10 Years</t>
  </si>
  <si>
    <t>Starts per Year</t>
  </si>
  <si>
    <t xml:space="preserve">Cashflow PV Date </t>
  </si>
  <si>
    <t>Scenario Run Hours</t>
  </si>
  <si>
    <t>20 Year Premium over C$ BA (esclating at 1/4 %)</t>
  </si>
  <si>
    <t>Starts Maintenance Cost($/MWh)</t>
  </si>
  <si>
    <t>Start Revenue US$</t>
  </si>
  <si>
    <t>Debt Coverage (EBITDA/Interest +Principal)</t>
  </si>
  <si>
    <t>Interest Coverage(EBITDA/Interest)</t>
  </si>
  <si>
    <t>Total Debt/EBITDA</t>
  </si>
  <si>
    <t>M &amp; P Credit</t>
  </si>
  <si>
    <t>F/X Curve</t>
  </si>
  <si>
    <t>Monthly Curve</t>
  </si>
  <si>
    <t>Energy Revenue Cdn $</t>
  </si>
  <si>
    <t>Scenario Capacity Charge</t>
  </si>
  <si>
    <t xml:space="preserve">   Standby Charge (.5% of Capacity @$45 per MW)</t>
  </si>
  <si>
    <t>Gas Cdn $/MMBtu - 5 Year Swap</t>
  </si>
  <si>
    <t xml:space="preserve">Per Discussion with Grant Zimmerman (Houston Treasury) they managed to negotiate taking out a letter of credit for 12 months principal and interest </t>
  </si>
  <si>
    <t>@ a rate of 2 % p.a.  This is preferable to locking up cash.</t>
  </si>
  <si>
    <t>The line of credit amount was set using the max debt payment for a 5 year period.</t>
  </si>
  <si>
    <t>Line of Credit for Debt Reserve Account</t>
  </si>
  <si>
    <t>Capacity Revenue CDN $</t>
  </si>
  <si>
    <t>Energy Charge US $/MWhr</t>
  </si>
  <si>
    <t>Year</t>
  </si>
  <si>
    <t>Residual Value</t>
  </si>
  <si>
    <t>IDC attributable to Debt</t>
  </si>
  <si>
    <t>15 Years</t>
  </si>
  <si>
    <t>20 Years</t>
  </si>
  <si>
    <t>Check Match</t>
  </si>
  <si>
    <t>Detroit 1-2</t>
  </si>
  <si>
    <t>Accelerated Amortization Year 1</t>
  </si>
  <si>
    <t>Accelerated Amortization Year 2</t>
  </si>
  <si>
    <t>After Accelerated Repayment new term</t>
  </si>
  <si>
    <t>Sensitivity</t>
  </si>
  <si>
    <t>Equivalent Run Hours</t>
  </si>
  <si>
    <t>Cummulative Equivalent Run Hours</t>
  </si>
  <si>
    <t>Standby Charge US$/MWhr</t>
  </si>
  <si>
    <t>F/X</t>
  </si>
  <si>
    <t>Standby CDN $ MWhr</t>
  </si>
  <si>
    <t>US $</t>
  </si>
  <si>
    <t>F/X Sensitivity</t>
  </si>
  <si>
    <t>Equivalent Operating Hours at Start</t>
  </si>
  <si>
    <t>Accelerated Amortization Year 3</t>
  </si>
  <si>
    <t>Accelerated Amortization Year 4</t>
  </si>
  <si>
    <t xml:space="preserve">Super Peak Hours </t>
  </si>
  <si>
    <t>Super Peak Hours</t>
  </si>
  <si>
    <t>Super Peak Hours US$</t>
  </si>
  <si>
    <t>NEPCO Margin</t>
  </si>
  <si>
    <t>CDN $MM</t>
  </si>
  <si>
    <t>Generated MW</t>
  </si>
  <si>
    <t>Escalated Amount</t>
  </si>
  <si>
    <t>Incremental Equivalent Run Hours</t>
  </si>
  <si>
    <t>Congestion Pricing</t>
  </si>
  <si>
    <t>Congestion Pricing Cdn $MWhr</t>
  </si>
  <si>
    <t>Escalating at %</t>
  </si>
  <si>
    <t xml:space="preserve"> Congestion Revenue</t>
  </si>
  <si>
    <t>Equivalent Run Hours Cdn $per Equiv MWhr</t>
  </si>
  <si>
    <t>Chemicals  Cdn $ per MWhr</t>
  </si>
  <si>
    <t>Consumables Cdn$ per MWhr</t>
  </si>
  <si>
    <t>Maintenance &amp; Minor Repairs Cdn $ per MWhr</t>
  </si>
  <si>
    <t>2000</t>
  </si>
  <si>
    <t>8 hour scalar Adjustment</t>
  </si>
  <si>
    <t>Month Designation</t>
  </si>
  <si>
    <t>Super Peak Curve</t>
  </si>
  <si>
    <t>8 Most</t>
  </si>
  <si>
    <t xml:space="preserve">8 Least </t>
  </si>
  <si>
    <t xml:space="preserve">Check </t>
  </si>
  <si>
    <t>Season</t>
  </si>
  <si>
    <t>Expensive Hrs</t>
  </si>
  <si>
    <t>Average = 1.00</t>
  </si>
  <si>
    <t>Winter</t>
  </si>
  <si>
    <t>Shoulder</t>
  </si>
  <si>
    <t>Summer</t>
  </si>
  <si>
    <t>Transmission into Ontario is added in year 2003</t>
  </si>
  <si>
    <t>% of Savings passed on to customer</t>
  </si>
  <si>
    <t>Spot F/X Rate</t>
  </si>
  <si>
    <t>Transmission Swap US$MWhr</t>
  </si>
  <si>
    <t>Transmission Swap Cdn $/MWh</t>
  </si>
  <si>
    <t>Transmissions Swap</t>
  </si>
  <si>
    <t>Transmission Swap Revenue</t>
  </si>
  <si>
    <t xml:space="preserve">Transmission Swap US$MWhr </t>
  </si>
  <si>
    <t>Capital for Transmission Line into Ontario in 2003</t>
  </si>
  <si>
    <t>Link</t>
  </si>
  <si>
    <t xml:space="preserve">   Interest on Credit Line</t>
  </si>
  <si>
    <t>Input Curve</t>
  </si>
  <si>
    <t>Input</t>
  </si>
  <si>
    <t>Degraded Heat Rate</t>
  </si>
  <si>
    <t>Distribution Date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</si>
  <si>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</si>
  <si>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</si>
  <si>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</si>
  <si>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</si>
  <si>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</si>
  <si>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</si>
  <si>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</si>
  <si>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</si>
  <si>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</si>
  <si>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</si>
  <si>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</si>
  <si>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</si>
  <si>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</si>
  <si>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</si>
  <si>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</si>
  <si>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</si>
  <si>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</si>
  <si>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</si>
  <si>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</si>
  <si>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</si>
  <si>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Semi Annual Pre Tax PV</t>
  </si>
  <si>
    <t>% of Total Debt</t>
  </si>
  <si>
    <t>Debt Paid down in the first 24 months</t>
  </si>
  <si>
    <t>Royalty Income</t>
  </si>
  <si>
    <t>Royalty Income on Fuel Conversion</t>
  </si>
  <si>
    <t>Cost of the Fuel Conversion Cdn $</t>
  </si>
  <si>
    <t>Number of ABB GT11N1 Units in North America</t>
  </si>
  <si>
    <t>% of units that we will receive royalties on</t>
  </si>
  <si>
    <t xml:space="preserve">Years to amortize royalty income over </t>
  </si>
  <si>
    <t>Royalty Income as % of Original Cost</t>
  </si>
  <si>
    <t>End of Year Long Term Debt</t>
  </si>
  <si>
    <t>Total Run Hours</t>
  </si>
  <si>
    <t>Total Generated MWh</t>
  </si>
  <si>
    <t>Total Energy Revenue</t>
  </si>
  <si>
    <t>FUEL</t>
  </si>
  <si>
    <t>TOTAL FUEL COST $k</t>
  </si>
  <si>
    <t>Semi Annual Distributions (Pre-Tax)</t>
  </si>
  <si>
    <t>NPV C$MM</t>
  </si>
  <si>
    <t>Total Gas US$/MMBtu</t>
  </si>
  <si>
    <t>Transportation C$/MMBtu</t>
  </si>
  <si>
    <t>Total Fuel Price C$/MMBtu</t>
  </si>
  <si>
    <t>Dawn Basis US$/MMBtu</t>
  </si>
  <si>
    <t>NYMEX Gas Prices US$/MMBtu</t>
  </si>
  <si>
    <t>Curve adj per Lavo/Geri</t>
  </si>
  <si>
    <t>NB Gas Curves only run until Dec 2014</t>
  </si>
  <si>
    <t>Gas Curves updated Feb 22, 2000</t>
  </si>
  <si>
    <t>Fuel Cost C$/MWhr</t>
  </si>
  <si>
    <t>Variable O &amp; M</t>
  </si>
  <si>
    <t>Total Cost C$/MWh</t>
  </si>
  <si>
    <t>Dispatch</t>
  </si>
  <si>
    <t>1= Yes</t>
  </si>
  <si>
    <t>0 = No</t>
  </si>
  <si>
    <t>Spread between Price and Cost to dispatch</t>
  </si>
  <si>
    <t>Dispatch (hours a day on weekdays)</t>
  </si>
  <si>
    <t>3 = Enron SuperScalarCurve</t>
  </si>
  <si>
    <t>Total Dawn Basis</t>
  </si>
  <si>
    <t xml:space="preserve">  US$MWhr</t>
  </si>
  <si>
    <t>Importer Transmission Charge</t>
  </si>
  <si>
    <t xml:space="preserve">Importer Transmission Charge US$MWhr </t>
  </si>
  <si>
    <t>Importer Transmission Charge CDN$/MWhr</t>
  </si>
  <si>
    <t>Importer Transmission Charge Revenue</t>
  </si>
  <si>
    <t>Additional Debt Repayment at year end</t>
  </si>
  <si>
    <t>Debt Acceleration</t>
  </si>
  <si>
    <t>Debt Acceleration Year 1</t>
  </si>
  <si>
    <t>Debt Acceleration Year 2</t>
  </si>
  <si>
    <t>Debt Acceleration Year 3</t>
  </si>
  <si>
    <t>Debt Acceleration Year 4</t>
  </si>
  <si>
    <t>Debt Service Ratio</t>
  </si>
  <si>
    <t>Minimum Debt Service Ratio</t>
  </si>
  <si>
    <t>Maximum Debt Service Ratio</t>
  </si>
  <si>
    <t>New York 5 X 16</t>
  </si>
  <si>
    <t>Moore Power Project</t>
  </si>
  <si>
    <t>Simple Cycle</t>
  </si>
  <si>
    <t>Combined Cycle</t>
  </si>
  <si>
    <t>Configuration</t>
  </si>
  <si>
    <t>Incremental EPCM Costs</t>
  </si>
  <si>
    <t>Configuration After Year 3</t>
  </si>
  <si>
    <t>Incremental Capital Costs in 2003</t>
  </si>
  <si>
    <t>Capital to Upgrade to a Combined Cycle Configuration</t>
  </si>
  <si>
    <t>Total Incremental Capital Costs</t>
  </si>
  <si>
    <t>Curve Selected</t>
  </si>
  <si>
    <t>DEBT AMORTIZATION SCHEDULES ON INCREMENTAL CAPITAL</t>
  </si>
  <si>
    <t>Amortization Period of Incremental Capital</t>
  </si>
  <si>
    <t xml:space="preserve">   Interest on Incremental Capital</t>
  </si>
  <si>
    <t>Principal on Incremental Capital</t>
  </si>
  <si>
    <t>Combined Cycle Load Factor</t>
  </si>
  <si>
    <t>Fuel</t>
  </si>
  <si>
    <t>Run Hours Scenario 1 = Using Dispatch Function ENA Curve Only</t>
  </si>
  <si>
    <t>Scenario 2 = ENA Curve until after the summer of 2003 then Combined Cycle</t>
  </si>
  <si>
    <t>ENA Curve</t>
  </si>
  <si>
    <t>ENA Curve + Combined Cycle</t>
  </si>
  <si>
    <t>Pricing Assumptions</t>
  </si>
  <si>
    <t>Monthly Data Table</t>
  </si>
  <si>
    <t>Sinking Fund - Steam Turbine</t>
  </si>
  <si>
    <t>Sinking Maintenance Fund</t>
  </si>
  <si>
    <t>Labour - Steam Engineers</t>
  </si>
  <si>
    <t>Water</t>
  </si>
  <si>
    <t>Volume 54.5 m3/day</t>
  </si>
  <si>
    <t xml:space="preserve">Water Consumption m3 </t>
  </si>
  <si>
    <t>MOORE POWER PROJECT Model is in CDN$</t>
  </si>
  <si>
    <t>Flat NY West</t>
  </si>
  <si>
    <t>NY West Flat</t>
  </si>
  <si>
    <t>New York Flat</t>
  </si>
  <si>
    <t>Capacity Charge $kWmonth</t>
  </si>
  <si>
    <t>Congestion Pricing C$MWhr</t>
  </si>
  <si>
    <t>Revenue Required to get a 0 NPV</t>
  </si>
  <si>
    <t>Revenue to get to 0 NPV $MWhr</t>
  </si>
  <si>
    <t>$ / MWhr</t>
  </si>
  <si>
    <t>Custom</t>
  </si>
  <si>
    <t>Flat Electricity Price US$MWhr</t>
  </si>
  <si>
    <t>Super Peak Hours US$10000</t>
  </si>
  <si>
    <t>Increase for Combined Cycle</t>
  </si>
  <si>
    <t>Increase in O &amp; M</t>
  </si>
  <si>
    <t>Combined Cycle Construction Schedule</t>
  </si>
  <si>
    <t>Combined Cycle Construction</t>
  </si>
  <si>
    <t>Construction period months</t>
  </si>
  <si>
    <t>Combined Cycle Construction period (months)</t>
  </si>
  <si>
    <t>Primary Construction period (months)</t>
  </si>
  <si>
    <t>Transmission Line &amp; Combined Cycle 2004</t>
  </si>
  <si>
    <t>Total capacity Revenue (Intrinsic C$)</t>
  </si>
  <si>
    <t>Total capacity Revenue (Intrinsic US$)</t>
  </si>
  <si>
    <t>New York Shoulder Hour Curve Mon-Fri</t>
  </si>
  <si>
    <t>Shoulder Scalar</t>
  </si>
  <si>
    <t>New York Saturday Super Peak</t>
  </si>
  <si>
    <t>SCALARS - Monday - Friday</t>
  </si>
  <si>
    <t>Saturday Curve</t>
  </si>
  <si>
    <t>New York Saturday Shoulder Peak</t>
  </si>
  <si>
    <t>Michigan Shoulder Hour Curve Mon-Fri</t>
  </si>
  <si>
    <t>Michigan Saturday Super Peak</t>
  </si>
  <si>
    <t>Michigan Saturday Shoulder Peak</t>
  </si>
  <si>
    <t>ENA Curve Peak Hours</t>
  </si>
  <si>
    <t>ENA Curve Peak Shoulder Hours</t>
  </si>
  <si>
    <t>PEAK HOURS</t>
  </si>
  <si>
    <t>SHOULDER PEAK HOURS</t>
  </si>
  <si>
    <t>Energy CDN$/MWhr</t>
  </si>
  <si>
    <t>US$ /MWhr</t>
  </si>
  <si>
    <t>CDN$/MWhr</t>
  </si>
  <si>
    <t>Based on Curve Used</t>
  </si>
  <si>
    <t>Sat Super Peak Hrs</t>
  </si>
  <si>
    <t>Sat Shoulder Peak Hrs</t>
  </si>
  <si>
    <t xml:space="preserve">MON - FRI </t>
  </si>
  <si>
    <t>SATURDAY</t>
  </si>
  <si>
    <t>Mon-Friday</t>
  </si>
  <si>
    <t>Sat</t>
  </si>
  <si>
    <t>Peak Run Hours (Mon-Fri)</t>
  </si>
  <si>
    <t>SCALARS - All Days-Hours</t>
  </si>
  <si>
    <t>8 hour Super Peak scalar Adjustment</t>
  </si>
  <si>
    <t>Michigan Saturday US$/MWhr</t>
  </si>
  <si>
    <t>Michigan 5 X 16 US$/MWhr</t>
  </si>
  <si>
    <t>=2- Super Peak Scalar</t>
  </si>
  <si>
    <t>Michigan Uses Dynamic Scalars</t>
  </si>
  <si>
    <t>Michigan Super Peak Curve US$/MWhr</t>
  </si>
  <si>
    <t>Hol</t>
  </si>
  <si>
    <t>Week - Hol</t>
  </si>
  <si>
    <t>Sat - Hol</t>
  </si>
  <si>
    <t>Sun - Hol</t>
  </si>
  <si>
    <t>Number of Days</t>
  </si>
  <si>
    <t>Shoulder Peak Run Hours</t>
  </si>
  <si>
    <t>Sat Peak Run Hours</t>
  </si>
  <si>
    <t>Mon - Fri Peak Hours</t>
  </si>
  <si>
    <t>Mon-Fri Shoulder Hours</t>
  </si>
  <si>
    <t>Saturday</t>
  </si>
  <si>
    <t>Generated MW Peak Hours</t>
  </si>
  <si>
    <t>Generated MW Shoulder Hrs</t>
  </si>
  <si>
    <t>Saturday - Peak Hrs</t>
  </si>
  <si>
    <t>Saturday - Shoulder Hrs</t>
  </si>
  <si>
    <t>Saturday Shoulder Run Hours</t>
  </si>
  <si>
    <t>Mon-Fri Shoulder Run Hours</t>
  </si>
  <si>
    <t>Mon-Fri Peak Run Hours</t>
  </si>
  <si>
    <t>Saturday Peak Run Hours</t>
  </si>
  <si>
    <t>Shoulder Mon-Fri</t>
  </si>
  <si>
    <t xml:space="preserve">Peak </t>
  </si>
  <si>
    <t>Mon- Fri</t>
  </si>
  <si>
    <t>Sat - Super Peak</t>
  </si>
  <si>
    <t>Sat - Shoulder</t>
  </si>
  <si>
    <t>Shoulder Mon-Fri Energy Revenue</t>
  </si>
  <si>
    <t>Sat - Super Peak Energy Revenue</t>
  </si>
  <si>
    <t>Super Peak Mon-Friday</t>
  </si>
  <si>
    <t>Super Peak Mon-Friday Energy Revenue</t>
  </si>
  <si>
    <t>Sat - Shoulder Peak Energy Revenue</t>
  </si>
  <si>
    <t>Total Plant Energy Revenue</t>
  </si>
  <si>
    <t>Michigan Sunday US $MWhr</t>
  </si>
  <si>
    <t>Michigan Sunday Super Peak</t>
  </si>
  <si>
    <t>Sunday Super Peak Hrs</t>
  </si>
  <si>
    <t>Sunday Curve</t>
  </si>
  <si>
    <t>NY Sunday Super Peak</t>
  </si>
  <si>
    <t>Sun Peak Run Hours</t>
  </si>
  <si>
    <t>SUNDAY</t>
  </si>
  <si>
    <t>SUNDAY Peak Hrs</t>
  </si>
  <si>
    <t>Sunday Peak Run Hours</t>
  </si>
  <si>
    <t>Peak</t>
  </si>
  <si>
    <t>Sunday</t>
  </si>
  <si>
    <t>Sun - Super Peak</t>
  </si>
  <si>
    <t>Sun - Super Peak Energy Revenue</t>
  </si>
  <si>
    <t>Option Revenue</t>
  </si>
  <si>
    <t>Option Value US$/month</t>
  </si>
  <si>
    <t>Option Value Cdn$/month</t>
  </si>
  <si>
    <t>Option Value</t>
  </si>
  <si>
    <t xml:space="preserve">Extrinsic Value CDN $ </t>
  </si>
  <si>
    <t>Option Pricing</t>
  </si>
  <si>
    <t>3 Years</t>
  </si>
  <si>
    <t>Average Debt Service Ratio</t>
  </si>
  <si>
    <t>Taxable Capital, at the end of the year</t>
  </si>
  <si>
    <t>Brian Kerrigan March 22 said to model using a rolling 12 month debt reserve - 2% is conservative</t>
  </si>
  <si>
    <t>Interest Rate Curves Updated on March 28, 2000</t>
  </si>
  <si>
    <t>PRE TAX</t>
  </si>
  <si>
    <t>AFTER TAX</t>
  </si>
  <si>
    <t>"After-tax"</t>
  </si>
  <si>
    <t xml:space="preserve">After Tax Distributions </t>
  </si>
  <si>
    <t>After Tax Semi Annual</t>
  </si>
  <si>
    <t>NB R18 cannot be greater than income for the past 3 years</t>
  </si>
  <si>
    <t>Goal Seek Average Debt Service Ratio to 2.5 by changing Equity E33</t>
  </si>
  <si>
    <t>New York Curve (Zone A)  Updated March 30, 2000 - Mids</t>
  </si>
  <si>
    <t>Curve Updated March 30, 2000 - Mids</t>
  </si>
  <si>
    <t>LM 1500</t>
  </si>
  <si>
    <t>2 X GT11N1</t>
  </si>
  <si>
    <t>Michigan Selected Option Value US$/month</t>
  </si>
  <si>
    <t>2 X GT11N1 + GT13D</t>
  </si>
  <si>
    <t>2 X ABB GT11N1 (164 MW)</t>
  </si>
  <si>
    <t>2 X ABB GT11N1 + 2 X ABB GT13D (324 MW)</t>
  </si>
  <si>
    <t>EXTRINSIC OPTION VALUE FROM COMMODITY STRUCTURING MODEL</t>
  </si>
  <si>
    <t>New York Selected Option Value US$/month</t>
  </si>
  <si>
    <t>2 X GT11N1 + 2 X GT11N2</t>
  </si>
  <si>
    <t>2 X ABB GT11N1 + 1 X ABB GT11N2 (363 MW)</t>
  </si>
  <si>
    <t>2 X GT11N1 + 1 W501 D5A</t>
  </si>
  <si>
    <t>2 X ABB GT11N1 + W501D5A (273 MW)</t>
  </si>
  <si>
    <t>Heat Rate (Degraded)</t>
  </si>
  <si>
    <t>2 X GT11N1 + 15 X LM 1500</t>
  </si>
  <si>
    <t>2 X ABB GT11N1 + 15 X LM1500 (132 MW)</t>
  </si>
  <si>
    <t>F/X Curve as of April 4, 2000</t>
  </si>
  <si>
    <t>Michigan</t>
  </si>
  <si>
    <t>New York</t>
  </si>
  <si>
    <t>PEAK HOURS - Mon - Fri</t>
  </si>
  <si>
    <t>If you are looking at the model on an after tax basis update the Taxable Capital.  At the first screen input 2, input 3.</t>
  </si>
  <si>
    <t>Incremental Capital Structure (Future Combined Cycle)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</si>
</sst>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2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&quot;$&quot;#,##0.0"/>
    <numFmt numFmtId="166" formatCode="&quot;$&quot;#,##0.00"/>
    <numFmt numFmtId="167" formatCode="0.0%"/>
    <numFmt numFmtId="168" formatCode="#,##0.0000_);\(#,##0.0000\)"/>
    <numFmt numFmtId="176" formatCode="General_)"/>
    <numFmt numFmtId="180" formatCode="&quot;$&quot;#,##0.000_);\(&quot;$&quot;#,##0.000\)"/>
    <numFmt numFmtId="182" formatCode="0.000%"/>
    <numFmt numFmtId="190" formatCode="_(* #,##0_);_(* \(#,##0\);_(* &quot;-&quot;??_);_(@_)"/>
    <numFmt numFmtId="191" formatCode="0.00000"/>
    <numFmt numFmtId="192" formatCode="0.0000"/>
    <numFmt numFmtId="193" formatCode="0.000000"/>
    <numFmt numFmtId="194" formatCode="_(* #,##0.000_);_(* \(#,##0.000\);_(* &quot;-&quot;??_);_(@_)"/>
    <numFmt numFmtId="197" formatCode="_(&quot;$&quot;* #,##0_);_(&quot;$&quot;* \(#,##0\);_(&quot;$&quot;* &quot;-&quot;??_);_(@_)"/>
    <numFmt numFmtId="202" formatCode="0.000"/>
    <numFmt numFmtId="208" formatCode="_-&quot;$&quot;* #,##0_-;\-&quot;$&quot;* #,##0_-;_-&quot;$&quot;* &quot;-&quot;_-;_-@_-"/>
    <numFmt numFmtId="209" formatCode="_-* #,##0_-;\-* #,##0_-;_-* &quot;-&quot;_-;_-@_-"/>
    <numFmt numFmtId="210" formatCode="_-&quot;$&quot;* #,##0.00_-;\-&quot;$&quot;* #,##0.00_-;_-&quot;$&quot;* &quot;-&quot;??_-;_-@_-"/>
    <numFmt numFmtId="211" formatCode="_-* #,##0.00_-;\-* #,##0.00_-;_-* &quot;-&quot;??_-;_-@_-"/>
    <numFmt numFmtId="232" formatCode="&quot;$&quot;#,##0.0000"/>
    <numFmt numFmtId="235" formatCode="mm/dd/yy"/>
    <numFmt numFmtId="237" formatCode="&quot;$&quot;#,##0.0_);[Red]\(&quot;$&quot;#,##0.0\)"/>
    <numFmt numFmtId="251" formatCode="0.0000%"/>
    <numFmt numFmtId="272" formatCode="&quot;$&quot;#,##0.0000000000_);\(&quot;$&quot;#,##0.0000000000\)"/>
    <numFmt numFmtId="273" formatCode="&quot;$&quot;#,##0.00000_);[Red]\(&quot;$&quot;#,##0.00000\)"/>
    <numFmt numFmtId="274" formatCode="&quot;$&quot;#,##0.000000_);[Red]\(&quot;$&quot;#,##0.000000\)"/>
    <numFmt numFmtId="276" formatCode="0.000000_)"/>
    <numFmt numFmtId="287" formatCode="0_);\(0\)"/>
    <numFmt numFmtId="289" formatCode="yyyy"/>
    <numFmt numFmtId="304" formatCode="&quot;$&quot;#,##0.000"/>
    <numFmt numFmtId="305" formatCode="mmmm\-yy"/>
    <numFmt numFmtId="357" formatCode="_ * #,##0_ ;_ * \-#,##0_ ;_ * &quot;-&quot;_ ;_ @_ "/>
    <numFmt numFmtId="358" formatCode="_ * #,##0.00_ ;_ * \-#,##0.00_ ;_ * &quot;-&quot;??_ ;_ @_ "/>
    <numFmt numFmtId="359" formatCode="_ &quot;CHF&quot;\ * #,##0.00_ ;_ &quot;CHF&quot;\ * \-#,##0.00_ ;_ &quot;CHF&quot;\ * &quot;-&quot;??_ ;_ @_ "/>
  </numFmts>
  <fonts count="67">
    <font>
      <sz val="10"/>
      <name val="Arial"/>
    </font>
    <font>
      <b/>
      <sz val="10"/>
      <name val="Arial"/>
    </font>
    <font>
      <sz val="10"/>
      <name val="Arial"/>
    </font>
    <font>
      <sz val="8"/>
      <name val="Arial"/>
      <family val="2"/>
    </font>
    <font>
      <b/>
      <sz val="8"/>
      <name val="Arial"/>
    </font>
    <font>
      <sz val="8"/>
      <name val="Arial"/>
    </font>
    <font>
      <u/>
      <sz val="8"/>
      <name val="Arial"/>
      <family val="2"/>
    </font>
    <font>
      <sz val="10"/>
      <name val="MS Sans Serif"/>
    </font>
    <font>
      <sz val="12"/>
      <color indexed="8"/>
      <name val="Arial MT"/>
    </font>
    <font>
      <sz val="10"/>
      <name val="Courier"/>
    </font>
    <font>
      <sz val="12"/>
      <name val="Arial"/>
    </font>
    <font>
      <sz val="11"/>
      <color indexed="8"/>
      <name val="P-TIMES"/>
    </font>
    <font>
      <sz val="8"/>
      <color indexed="12"/>
      <name val="Arial"/>
      <family val="2"/>
    </font>
    <font>
      <b/>
      <u/>
      <sz val="8"/>
      <name val="Arial"/>
      <family val="2"/>
    </font>
    <font>
      <sz val="10"/>
      <name val="Arial"/>
      <family val="2"/>
    </font>
    <font>
      <b/>
      <sz val="8"/>
      <color indexed="10"/>
      <name val="Arial"/>
    </font>
    <font>
      <b/>
      <sz val="12"/>
      <name val="Arial"/>
      <family val="2"/>
    </font>
    <font>
      <b/>
      <sz val="8"/>
      <color indexed="10"/>
      <name val="Arial"/>
      <family val="2"/>
    </font>
    <font>
      <sz val="8"/>
      <color indexed="10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b/>
      <sz val="8"/>
      <color indexed="12"/>
      <name val="Arial"/>
    </font>
    <font>
      <sz val="8"/>
      <color indexed="17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i/>
      <sz val="8"/>
      <name val="Arial"/>
      <family val="2"/>
    </font>
    <font>
      <sz val="10"/>
      <color indexed="8"/>
      <name val="Arial"/>
      <family val="2"/>
    </font>
    <font>
      <sz val="12"/>
      <name val="Helv"/>
    </font>
    <font>
      <b/>
      <sz val="9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i/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8"/>
      <name val="Arial Narrow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8"/>
      <color indexed="12"/>
      <name val="Arial"/>
      <family val="2"/>
    </font>
    <font>
      <b/>
      <sz val="10"/>
      <color indexed="12"/>
      <name val="Arial"/>
      <family val="2"/>
    </font>
    <font>
      <u/>
      <sz val="8"/>
      <color indexed="12"/>
      <name val="Arial"/>
      <family val="2"/>
    </font>
    <font>
      <b/>
      <i/>
      <sz val="8"/>
      <color indexed="12"/>
      <name val="Arial"/>
      <family val="2"/>
    </font>
    <font>
      <sz val="8"/>
      <color indexed="48"/>
      <name val="Arial"/>
      <family val="2"/>
    </font>
    <font>
      <b/>
      <sz val="8"/>
      <color indexed="48"/>
      <name val="Arial"/>
      <family val="2"/>
    </font>
    <font>
      <b/>
      <sz val="12"/>
      <color indexed="8"/>
      <name val="Arial MT"/>
    </font>
    <font>
      <sz val="10"/>
      <name val="Britannic Bold"/>
      <family val="2"/>
    </font>
    <font>
      <sz val="10"/>
      <name val="Britannic Bold"/>
    </font>
    <font>
      <sz val="10"/>
      <color indexed="8"/>
      <name val="Arial MT"/>
    </font>
    <font>
      <sz val="8"/>
      <color indexed="18"/>
      <name val="Arial"/>
      <family val="2"/>
    </font>
    <font>
      <b/>
      <sz val="12"/>
      <color indexed="12"/>
      <name val="Arial"/>
      <family val="2"/>
    </font>
    <font>
      <sz val="10"/>
      <color indexed="9"/>
      <name val="Arial"/>
      <family val="2"/>
    </font>
    <font>
      <sz val="10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b/>
      <sz val="8"/>
      <color indexed="10"/>
      <name val="Times New Roman"/>
      <family val="1"/>
    </font>
    <font>
      <u/>
      <sz val="8"/>
      <name val="Times New Roman"/>
      <family val="1"/>
    </font>
    <font>
      <b/>
      <u/>
      <sz val="8"/>
      <color indexed="10"/>
      <name val="Times New Roman"/>
      <family val="1"/>
    </font>
    <font>
      <b/>
      <sz val="10"/>
      <name val="Times New Roman"/>
      <family val="1"/>
    </font>
    <font>
      <b/>
      <sz val="18"/>
      <name val="Arial"/>
      <family val="2"/>
    </font>
    <font>
      <b/>
      <sz val="14"/>
      <color indexed="56"/>
      <name val="Arial"/>
      <family val="2"/>
    </font>
    <font>
      <b/>
      <sz val="10"/>
      <name val="Britannic Bold"/>
    </font>
    <font>
      <sz val="8"/>
      <name val="Helv"/>
    </font>
    <font>
      <sz val="11"/>
      <name val="Arial"/>
    </font>
    <font>
      <sz val="9"/>
      <name val="Times New Roman"/>
      <family val="1"/>
    </font>
    <font>
      <b/>
      <u/>
      <sz val="10"/>
      <name val="Arial"/>
      <family val="2"/>
    </font>
    <font>
      <i/>
      <sz val="8"/>
      <name val="Arial"/>
      <family val="2"/>
    </font>
    <font>
      <b/>
      <sz val="20"/>
      <name val="Arial"/>
      <family val="2"/>
    </font>
    <font>
      <sz val="9"/>
      <name val="Arial"/>
      <family val="2"/>
    </font>
    <font>
      <b/>
      <sz val="12"/>
      <color indexed="9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64"/>
      </patternFill>
    </fill>
  </fills>
  <borders count="8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10"/>
      </left>
      <right/>
      <top style="thick">
        <color indexed="10"/>
      </top>
      <bottom/>
      <diagonal/>
    </border>
    <border>
      <left/>
      <right/>
      <top style="thick">
        <color indexed="10"/>
      </top>
      <bottom/>
      <diagonal/>
    </border>
    <border>
      <left style="thick">
        <color indexed="10"/>
      </left>
      <right/>
      <top/>
      <bottom/>
      <diagonal/>
    </border>
    <border>
      <left/>
      <right style="thick">
        <color indexed="10"/>
      </right>
      <top/>
      <bottom/>
      <diagonal/>
    </border>
    <border>
      <left style="medium">
        <color indexed="64"/>
      </left>
      <right style="thick">
        <color indexed="1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10"/>
      </right>
      <top/>
      <bottom/>
      <diagonal/>
    </border>
    <border>
      <left style="thick">
        <color indexed="10"/>
      </left>
      <right/>
      <top/>
      <bottom style="thin">
        <color indexed="64"/>
      </bottom>
      <diagonal/>
    </border>
    <border>
      <left style="medium">
        <color indexed="64"/>
      </left>
      <right style="thick">
        <color indexed="10"/>
      </right>
      <top/>
      <bottom style="thin">
        <color indexed="64"/>
      </bottom>
      <diagonal/>
    </border>
    <border>
      <left style="thick">
        <color indexed="10"/>
      </left>
      <right/>
      <top/>
      <bottom style="thick">
        <color indexed="10"/>
      </bottom>
      <diagonal/>
    </border>
    <border>
      <left/>
      <right/>
      <top/>
      <bottom style="thick">
        <color indexed="10"/>
      </bottom>
      <diagonal/>
    </border>
    <border>
      <left style="medium">
        <color indexed="64"/>
      </left>
      <right style="medium">
        <color indexed="64"/>
      </right>
      <top/>
      <bottom style="thick">
        <color indexed="10"/>
      </bottom>
      <diagonal/>
    </border>
    <border>
      <left style="medium">
        <color indexed="64"/>
      </left>
      <right style="thick">
        <color indexed="10"/>
      </right>
      <top/>
      <bottom style="thick">
        <color indexed="10"/>
      </bottom>
      <diagonal/>
    </border>
    <border>
      <left/>
      <right style="thick">
        <color indexed="10"/>
      </right>
      <top/>
      <bottom style="thick">
        <color indexed="10"/>
      </bottom>
      <diagonal/>
    </border>
    <border>
      <left style="thick">
        <color indexed="10"/>
      </left>
      <right/>
      <top/>
      <bottom style="medium">
        <color indexed="64"/>
      </bottom>
      <diagonal/>
    </border>
    <border>
      <left/>
      <right style="thick">
        <color indexed="10"/>
      </right>
      <top/>
      <bottom style="medium">
        <color indexed="64"/>
      </bottom>
      <diagonal/>
    </border>
    <border>
      <left style="medium">
        <color indexed="64"/>
      </left>
      <right style="thick">
        <color indexed="10"/>
      </right>
      <top/>
      <bottom style="medium">
        <color indexed="64"/>
      </bottom>
      <diagonal/>
    </border>
    <border>
      <left/>
      <right style="thick">
        <color indexed="10"/>
      </right>
      <top style="thick">
        <color indexed="10"/>
      </top>
      <bottom style="medium">
        <color indexed="64"/>
      </bottom>
      <diagonal/>
    </border>
    <border>
      <left/>
      <right style="thick">
        <color indexed="1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ck">
        <color indexed="10"/>
      </top>
      <bottom style="thick">
        <color indexed="10"/>
      </bottom>
      <diagonal/>
    </border>
    <border>
      <left/>
      <right style="thick">
        <color indexed="10"/>
      </right>
      <top style="thick">
        <color indexed="10"/>
      </top>
      <bottom/>
      <diagonal/>
    </border>
    <border>
      <left style="thick">
        <color indexed="10"/>
      </left>
      <right/>
      <top style="thick">
        <color indexed="10"/>
      </top>
      <bottom style="thick">
        <color indexed="10"/>
      </bottom>
      <diagonal/>
    </border>
    <border>
      <left/>
      <right style="thick">
        <color indexed="10"/>
      </right>
      <top style="thick">
        <color indexed="10"/>
      </top>
      <bottom style="thick">
        <color indexed="10"/>
      </bottom>
      <diagonal/>
    </border>
  </borders>
  <cellStyleXfs count="16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11" fontId="2" fillId="0" borderId="0" applyFont="0" applyFill="0" applyBorder="0" applyAlignment="0" applyProtection="0"/>
    <xf numFmtId="37" fontId="5" fillId="0" borderId="0" applyBorder="0" applyAlignment="0" applyProtection="0">
      <alignment horizontal="center"/>
    </xf>
    <xf numFmtId="37" fontId="5" fillId="0" borderId="0" applyBorder="0" applyAlignment="0" applyProtection="0">
      <alignment horizontal="center"/>
    </xf>
    <xf numFmtId="0" fontId="8" fillId="0" borderId="0"/>
    <xf numFmtId="0" fontId="2" fillId="0" borderId="0"/>
    <xf numFmtId="9" fontId="2" fillId="0" borderId="0" applyFont="0" applyFill="0" applyBorder="0" applyAlignment="0" applyProtection="0"/>
    <xf numFmtId="0" fontId="2" fillId="3" borderId="0"/>
    <xf numFmtId="37" fontId="3" fillId="4" borderId="0" applyNumberFormat="0" applyBorder="0" applyAlignment="0" applyProtection="0"/>
    <xf numFmtId="37" fontId="5" fillId="0" borderId="0"/>
    <xf numFmtId="3" fontId="12" fillId="5" borderId="2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</cellStyleXfs>
  <cellXfs count="1108">
    <xf numFmtId="0" fontId="0" fillId="0" borderId="0" xfId="0"/>
    <xf numFmtId="0" fontId="3" fillId="0" borderId="0" xfId="0" applyFont="1"/>
    <xf numFmtId="0" fontId="3" fillId="0" borderId="0" xfId="0" applyFont="1" applyAlignment="1">
      <alignment horizontal="right"/>
    </xf>
    <xf numFmtId="164" fontId="3" fillId="0" borderId="0" xfId="0" applyNumberFormat="1" applyFont="1"/>
    <xf numFmtId="0" fontId="4" fillId="0" borderId="0" xfId="0" applyFont="1"/>
    <xf numFmtId="0" fontId="4" fillId="0" borderId="0" xfId="0" applyFont="1" applyAlignment="1">
      <alignment horizontal="center"/>
    </xf>
    <xf numFmtId="166" fontId="3" fillId="0" borderId="0" xfId="0" applyNumberFormat="1" applyFont="1" applyFill="1"/>
    <xf numFmtId="0" fontId="3" fillId="0" borderId="0" xfId="0" applyFont="1" applyBorder="1"/>
    <xf numFmtId="164" fontId="3" fillId="0" borderId="0" xfId="0" applyNumberFormat="1" applyFont="1" applyBorder="1"/>
    <xf numFmtId="0" fontId="3" fillId="0" borderId="0" xfId="0" applyFont="1" applyFill="1"/>
    <xf numFmtId="0" fontId="11" fillId="0" borderId="0" xfId="7" applyFont="1"/>
    <xf numFmtId="0" fontId="8" fillId="0" borderId="0" xfId="7"/>
    <xf numFmtId="5" fontId="8" fillId="0" borderId="0" xfId="7" applyNumberFormat="1"/>
    <xf numFmtId="167" fontId="8" fillId="0" borderId="0" xfId="7" applyNumberFormat="1"/>
    <xf numFmtId="10" fontId="8" fillId="0" borderId="0" xfId="7" applyNumberFormat="1"/>
    <xf numFmtId="5" fontId="3" fillId="0" borderId="0" xfId="0" applyNumberFormat="1" applyFont="1"/>
    <xf numFmtId="197" fontId="2" fillId="0" borderId="0" xfId="2" applyNumberFormat="1"/>
    <xf numFmtId="0" fontId="0" fillId="0" borderId="0" xfId="0" applyBorder="1"/>
    <xf numFmtId="0" fontId="6" fillId="0" borderId="0" xfId="0" applyFont="1"/>
    <xf numFmtId="164" fontId="6" fillId="0" borderId="0" xfId="0" applyNumberFormat="1" applyFont="1"/>
    <xf numFmtId="9" fontId="0" fillId="0" borderId="0" xfId="0" applyNumberFormat="1"/>
    <xf numFmtId="197" fontId="3" fillId="0" borderId="0" xfId="2" applyNumberFormat="1" applyFont="1"/>
    <xf numFmtId="0" fontId="3" fillId="0" borderId="0" xfId="0" applyFont="1" applyBorder="1" applyAlignment="1">
      <alignment horizontal="right"/>
    </xf>
    <xf numFmtId="197" fontId="3" fillId="0" borderId="0" xfId="2" applyNumberFormat="1" applyFont="1" applyBorder="1"/>
    <xf numFmtId="9" fontId="3" fillId="0" borderId="0" xfId="0" applyNumberFormat="1" applyFont="1"/>
    <xf numFmtId="0" fontId="3" fillId="0" borderId="0" xfId="0" applyFont="1" applyFill="1" applyBorder="1"/>
    <xf numFmtId="0" fontId="16" fillId="0" borderId="0" xfId="0" applyFont="1"/>
    <xf numFmtId="3" fontId="3" fillId="0" borderId="0" xfId="0" applyNumberFormat="1" applyFont="1" applyBorder="1"/>
    <xf numFmtId="166" fontId="3" fillId="0" borderId="0" xfId="0" applyNumberFormat="1" applyFont="1" applyBorder="1"/>
    <xf numFmtId="0" fontId="3" fillId="0" borderId="0" xfId="0" applyFont="1" applyFill="1" applyBorder="1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/>
    <xf numFmtId="0" fontId="17" fillId="4" borderId="0" xfId="0" applyFont="1" applyFill="1" applyAlignment="1">
      <alignment horizontal="center" wrapText="1"/>
    </xf>
    <xf numFmtId="4" fontId="3" fillId="0" borderId="0" xfId="0" applyNumberFormat="1" applyFont="1" applyBorder="1"/>
    <xf numFmtId="0" fontId="17" fillId="0" borderId="0" xfId="0" applyFont="1"/>
    <xf numFmtId="0" fontId="18" fillId="0" borderId="0" xfId="0" applyFont="1"/>
    <xf numFmtId="14" fontId="3" fillId="0" borderId="0" xfId="0" applyNumberFormat="1" applyFont="1"/>
    <xf numFmtId="5" fontId="3" fillId="0" borderId="0" xfId="0" applyNumberFormat="1" applyFont="1" applyBorder="1"/>
    <xf numFmtId="166" fontId="17" fillId="0" borderId="0" xfId="0" applyNumberFormat="1" applyFont="1" applyBorder="1"/>
    <xf numFmtId="164" fontId="3" fillId="0" borderId="0" xfId="0" applyNumberFormat="1" applyFont="1" applyFill="1" applyBorder="1"/>
    <xf numFmtId="0" fontId="6" fillId="0" borderId="0" xfId="0" applyFont="1" applyBorder="1"/>
    <xf numFmtId="0" fontId="18" fillId="0" borderId="0" xfId="0" applyFont="1" applyBorder="1"/>
    <xf numFmtId="164" fontId="18" fillId="0" borderId="0" xfId="0" applyNumberFormat="1" applyFont="1" applyBorder="1"/>
    <xf numFmtId="0" fontId="0" fillId="0" borderId="0" xfId="0" applyFill="1" applyBorder="1"/>
    <xf numFmtId="0" fontId="15" fillId="0" borderId="0" xfId="0" applyFont="1" applyBorder="1" applyAlignment="1">
      <alignment horizontal="right"/>
    </xf>
    <xf numFmtId="164" fontId="3" fillId="0" borderId="0" xfId="0" applyNumberFormat="1" applyFont="1" applyFill="1"/>
    <xf numFmtId="0" fontId="5" fillId="0" borderId="0" xfId="0" applyFont="1" applyBorder="1"/>
    <xf numFmtId="0" fontId="3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17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7" fontId="3" fillId="0" borderId="0" xfId="9" applyNumberFormat="1" applyFont="1" applyFill="1" applyBorder="1"/>
    <xf numFmtId="182" fontId="3" fillId="0" borderId="0" xfId="9" applyNumberFormat="1" applyFont="1" applyFill="1" applyBorder="1"/>
    <xf numFmtId="10" fontId="3" fillId="0" borderId="0" xfId="9" applyNumberFormat="1" applyFont="1" applyFill="1" applyBorder="1"/>
    <xf numFmtId="3" fontId="3" fillId="0" borderId="0" xfId="0" applyNumberFormat="1" applyFont="1" applyFill="1" applyBorder="1"/>
    <xf numFmtId="166" fontId="3" fillId="0" borderId="0" xfId="0" applyNumberFormat="1" applyFont="1" applyFill="1" applyBorder="1"/>
    <xf numFmtId="5" fontId="3" fillId="0" borderId="0" xfId="0" applyNumberFormat="1" applyFont="1" applyFill="1" applyBorder="1"/>
    <xf numFmtId="0" fontId="18" fillId="0" borderId="0" xfId="0" applyFont="1" applyFill="1" applyBorder="1"/>
    <xf numFmtId="0" fontId="3" fillId="0" borderId="0" xfId="0" applyFont="1" applyFill="1" applyBorder="1" applyAlignment="1">
      <alignment horizontal="center"/>
    </xf>
    <xf numFmtId="197" fontId="3" fillId="0" borderId="0" xfId="2" applyNumberFormat="1" applyFont="1" applyFill="1" applyBorder="1"/>
    <xf numFmtId="164" fontId="23" fillId="0" borderId="0" xfId="0" applyNumberFormat="1" applyFont="1"/>
    <xf numFmtId="1" fontId="3" fillId="0" borderId="0" xfId="0" applyNumberFormat="1" applyFont="1" applyBorder="1"/>
    <xf numFmtId="0" fontId="24" fillId="0" borderId="0" xfId="0" applyFont="1" applyAlignment="1">
      <alignment horizontal="center"/>
    </xf>
    <xf numFmtId="0" fontId="24" fillId="0" borderId="0" xfId="0" applyFont="1"/>
    <xf numFmtId="0" fontId="23" fillId="0" borderId="0" xfId="0" applyFont="1" applyAlignment="1">
      <alignment horizontal="right"/>
    </xf>
    <xf numFmtId="0" fontId="25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Border="1" applyAlignment="1">
      <alignment horizontal="left"/>
    </xf>
    <xf numFmtId="0" fontId="23" fillId="0" borderId="0" xfId="0" applyFont="1" applyAlignment="1">
      <alignment horizontal="left"/>
    </xf>
    <xf numFmtId="1" fontId="3" fillId="0" borderId="0" xfId="0" applyNumberFormat="1" applyFont="1" applyFill="1" applyBorder="1" applyAlignment="1">
      <alignment horizontal="right"/>
    </xf>
    <xf numFmtId="192" fontId="3" fillId="0" borderId="0" xfId="0" applyNumberFormat="1" applyFont="1" applyFill="1" applyBorder="1" applyAlignment="1">
      <alignment horizontal="right"/>
    </xf>
    <xf numFmtId="167" fontId="3" fillId="0" borderId="0" xfId="9" applyNumberFormat="1" applyFont="1" applyFill="1" applyBorder="1" applyAlignment="1">
      <alignment horizontal="right"/>
    </xf>
    <xf numFmtId="3" fontId="3" fillId="0" borderId="0" xfId="0" applyNumberFormat="1" applyFont="1" applyFill="1" applyBorder="1" applyAlignment="1">
      <alignment horizontal="right"/>
    </xf>
    <xf numFmtId="9" fontId="3" fillId="0" borderId="0" xfId="9" applyFont="1" applyFill="1" applyBorder="1" applyAlignment="1">
      <alignment horizontal="right"/>
    </xf>
    <xf numFmtId="0" fontId="4" fillId="0" borderId="0" xfId="0" applyFont="1" applyFill="1" applyBorder="1" applyAlignment="1">
      <alignment horizontal="right"/>
    </xf>
    <xf numFmtId="194" fontId="3" fillId="0" borderId="0" xfId="1" applyNumberFormat="1" applyFont="1" applyFill="1" applyBorder="1" applyAlignment="1">
      <alignment horizontal="right"/>
    </xf>
    <xf numFmtId="0" fontId="23" fillId="0" borderId="0" xfId="0" applyFont="1" applyAlignment="1">
      <alignment horizontal="left" wrapText="1"/>
    </xf>
    <xf numFmtId="0" fontId="23" fillId="0" borderId="0" xfId="0" applyFont="1"/>
    <xf numFmtId="0" fontId="3" fillId="0" borderId="0" xfId="0" applyFont="1" applyFill="1" applyBorder="1" applyAlignment="1">
      <alignment horizontal="left"/>
    </xf>
    <xf numFmtId="164" fontId="18" fillId="0" borderId="0" xfId="0" applyNumberFormat="1" applyFont="1" applyFill="1" applyBorder="1"/>
    <xf numFmtId="166" fontId="15" fillId="0" borderId="0" xfId="0" applyNumberFormat="1" applyFont="1" applyFill="1" applyBorder="1"/>
    <xf numFmtId="166" fontId="21" fillId="0" borderId="0" xfId="0" applyNumberFormat="1" applyFont="1" applyFill="1" applyBorder="1"/>
    <xf numFmtId="164" fontId="22" fillId="0" borderId="0" xfId="0" applyNumberFormat="1" applyFont="1" applyFill="1" applyBorder="1"/>
    <xf numFmtId="0" fontId="22" fillId="0" borderId="0" xfId="0" applyFont="1" applyFill="1" applyBorder="1"/>
    <xf numFmtId="5" fontId="20" fillId="0" borderId="0" xfId="0" applyNumberFormat="1" applyFont="1" applyFill="1" applyBorder="1"/>
    <xf numFmtId="0" fontId="20" fillId="0" borderId="0" xfId="0" applyFont="1" applyFill="1" applyBorder="1"/>
    <xf numFmtId="164" fontId="20" fillId="0" borderId="0" xfId="0" applyNumberFormat="1" applyFont="1" applyFill="1" applyBorder="1"/>
    <xf numFmtId="164" fontId="15" fillId="0" borderId="0" xfId="0" applyNumberFormat="1" applyFont="1" applyFill="1" applyBorder="1"/>
    <xf numFmtId="0" fontId="15" fillId="0" borderId="0" xfId="0" applyFont="1" applyFill="1" applyBorder="1"/>
    <xf numFmtId="10" fontId="15" fillId="0" borderId="0" xfId="9" applyNumberFormat="1" applyFont="1" applyFill="1" applyBorder="1"/>
    <xf numFmtId="5" fontId="12" fillId="0" borderId="0" xfId="0" applyNumberFormat="1" applyFont="1" applyFill="1" applyBorder="1"/>
    <xf numFmtId="0" fontId="12" fillId="0" borderId="0" xfId="0" applyFont="1" applyFill="1" applyBorder="1"/>
    <xf numFmtId="0" fontId="23" fillId="0" borderId="0" xfId="0" applyFont="1" applyBorder="1" applyAlignment="1">
      <alignment horizontal="left"/>
    </xf>
    <xf numFmtId="166" fontId="23" fillId="0" borderId="0" xfId="0" applyNumberFormat="1" applyFont="1" applyFill="1" applyBorder="1"/>
    <xf numFmtId="0" fontId="23" fillId="0" borderId="0" xfId="0" applyFont="1" applyBorder="1"/>
    <xf numFmtId="0" fontId="0" fillId="0" borderId="3" xfId="0" applyBorder="1"/>
    <xf numFmtId="0" fontId="3" fillId="0" borderId="0" xfId="0" applyFont="1" applyBorder="1" applyAlignment="1">
      <alignment horizontal="left" indent="1"/>
    </xf>
    <xf numFmtId="37" fontId="3" fillId="0" borderId="0" xfId="0" applyNumberFormat="1" applyFont="1" applyBorder="1"/>
    <xf numFmtId="0" fontId="3" fillId="0" borderId="0" xfId="0" applyFont="1" applyFill="1" applyBorder="1" applyAlignment="1">
      <alignment horizontal="left" indent="1"/>
    </xf>
    <xf numFmtId="37" fontId="3" fillId="0" borderId="0" xfId="0" applyNumberFormat="1" applyFont="1" applyFill="1" applyBorder="1"/>
    <xf numFmtId="37" fontId="3" fillId="0" borderId="0" xfId="0" applyNumberFormat="1" applyFont="1"/>
    <xf numFmtId="37" fontId="24" fillId="6" borderId="0" xfId="5" applyFont="1" applyFill="1" applyBorder="1" applyAlignment="1"/>
    <xf numFmtId="37" fontId="3" fillId="6" borderId="0" xfId="5" applyFont="1" applyFill="1" applyBorder="1" applyAlignment="1"/>
    <xf numFmtId="37" fontId="3" fillId="0" borderId="0" xfId="5" applyFont="1" applyAlignment="1"/>
    <xf numFmtId="37" fontId="3" fillId="6" borderId="0" xfId="5" applyFont="1" applyFill="1" applyAlignment="1"/>
    <xf numFmtId="37" fontId="23" fillId="6" borderId="0" xfId="5" applyFont="1" applyFill="1" applyAlignment="1"/>
    <xf numFmtId="287" fontId="3" fillId="6" borderId="0" xfId="5" applyNumberFormat="1" applyFont="1" applyFill="1" applyAlignment="1"/>
    <xf numFmtId="0" fontId="23" fillId="6" borderId="0" xfId="0" applyFont="1" applyFill="1"/>
    <xf numFmtId="0" fontId="3" fillId="6" borderId="0" xfId="0" applyFont="1" applyFill="1"/>
    <xf numFmtId="3" fontId="3" fillId="6" borderId="0" xfId="0" applyNumberFormat="1" applyFont="1" applyFill="1"/>
    <xf numFmtId="0" fontId="3" fillId="6" borderId="4" xfId="0" applyFont="1" applyFill="1" applyBorder="1"/>
    <xf numFmtId="3" fontId="3" fillId="6" borderId="4" xfId="0" applyNumberFormat="1" applyFont="1" applyFill="1" applyBorder="1"/>
    <xf numFmtId="37" fontId="3" fillId="6" borderId="4" xfId="0" applyNumberFormat="1" applyFont="1" applyFill="1" applyBorder="1"/>
    <xf numFmtId="0" fontId="23" fillId="0" borderId="0" xfId="0" applyFont="1" applyBorder="1" applyAlignment="1">
      <alignment horizontal="center"/>
    </xf>
    <xf numFmtId="0" fontId="23" fillId="0" borderId="0" xfId="0" applyFont="1" applyBorder="1" applyAlignment="1">
      <alignment horizontal="left" indent="1"/>
    </xf>
    <xf numFmtId="39" fontId="3" fillId="0" borderId="0" xfId="1" applyNumberFormat="1" applyFont="1" applyBorder="1"/>
    <xf numFmtId="17" fontId="4" fillId="6" borderId="5" xfId="0" applyNumberFormat="1" applyFont="1" applyFill="1" applyBorder="1" applyAlignment="1">
      <alignment horizontal="center"/>
    </xf>
    <xf numFmtId="0" fontId="20" fillId="0" borderId="0" xfId="7" applyFont="1"/>
    <xf numFmtId="0" fontId="19" fillId="0" borderId="0" xfId="7" applyFont="1"/>
    <xf numFmtId="0" fontId="20" fillId="0" borderId="6" xfId="7" applyFont="1" applyBorder="1"/>
    <xf numFmtId="0" fontId="20" fillId="0" borderId="7" xfId="7" applyFont="1" applyBorder="1"/>
    <xf numFmtId="0" fontId="20" fillId="0" borderId="8" xfId="7" applyFont="1" applyBorder="1"/>
    <xf numFmtId="5" fontId="20" fillId="0" borderId="9" xfId="7" applyNumberFormat="1" applyFont="1" applyBorder="1"/>
    <xf numFmtId="5" fontId="20" fillId="0" borderId="0" xfId="7" applyNumberFormat="1" applyFont="1"/>
    <xf numFmtId="0" fontId="20" fillId="0" borderId="10" xfId="7" applyFont="1" applyBorder="1"/>
    <xf numFmtId="5" fontId="20" fillId="0" borderId="11" xfId="7" applyNumberFormat="1" applyFont="1" applyBorder="1"/>
    <xf numFmtId="5" fontId="20" fillId="0" borderId="8" xfId="7" applyNumberFormat="1" applyFont="1" applyBorder="1"/>
    <xf numFmtId="167" fontId="31" fillId="0" borderId="12" xfId="7" applyNumberFormat="1" applyFont="1" applyBorder="1"/>
    <xf numFmtId="167" fontId="20" fillId="0" borderId="9" xfId="7" applyNumberFormat="1" applyFont="1" applyBorder="1"/>
    <xf numFmtId="167" fontId="20" fillId="0" borderId="0" xfId="7" applyNumberFormat="1" applyFont="1"/>
    <xf numFmtId="167" fontId="20" fillId="0" borderId="11" xfId="7" applyNumberFormat="1" applyFont="1" applyBorder="1"/>
    <xf numFmtId="0" fontId="19" fillId="0" borderId="13" xfId="7" applyFont="1" applyBorder="1"/>
    <xf numFmtId="0" fontId="20" fillId="0" borderId="14" xfId="7" applyFont="1" applyBorder="1"/>
    <xf numFmtId="9" fontId="20" fillId="0" borderId="15" xfId="9" applyFont="1" applyBorder="1"/>
    <xf numFmtId="0" fontId="20" fillId="0" borderId="16" xfId="7" applyFont="1" applyBorder="1"/>
    <xf numFmtId="0" fontId="20" fillId="0" borderId="17" xfId="7" applyFont="1" applyBorder="1"/>
    <xf numFmtId="197" fontId="20" fillId="0" borderId="15" xfId="2" applyNumberFormat="1" applyFont="1" applyBorder="1"/>
    <xf numFmtId="197" fontId="20" fillId="0" borderId="17" xfId="2" applyNumberFormat="1" applyFont="1" applyBorder="1"/>
    <xf numFmtId="0" fontId="20" fillId="6" borderId="0" xfId="7" applyFont="1" applyFill="1"/>
    <xf numFmtId="0" fontId="20" fillId="6" borderId="6" xfId="7" applyFont="1" applyFill="1" applyBorder="1"/>
    <xf numFmtId="0" fontId="20" fillId="6" borderId="9" xfId="7" applyFont="1" applyFill="1" applyBorder="1"/>
    <xf numFmtId="0" fontId="20" fillId="6" borderId="7" xfId="7" applyFont="1" applyFill="1" applyBorder="1"/>
    <xf numFmtId="0" fontId="20" fillId="6" borderId="8" xfId="7" applyFont="1" applyFill="1" applyBorder="1"/>
    <xf numFmtId="0" fontId="20" fillId="0" borderId="0" xfId="7" applyFont="1" applyBorder="1"/>
    <xf numFmtId="0" fontId="20" fillId="0" borderId="18" xfId="7" applyFont="1" applyBorder="1"/>
    <xf numFmtId="5" fontId="20" fillId="0" borderId="19" xfId="7" applyNumberFormat="1" applyFont="1" applyBorder="1"/>
    <xf numFmtId="0" fontId="20" fillId="0" borderId="0" xfId="7" applyFont="1" applyFill="1"/>
    <xf numFmtId="197" fontId="3" fillId="0" borderId="20" xfId="2" applyNumberFormat="1" applyFont="1" applyBorder="1"/>
    <xf numFmtId="17" fontId="23" fillId="0" borderId="0" xfId="0" applyNumberFormat="1" applyFont="1" applyFill="1" applyBorder="1" applyAlignment="1">
      <alignment horizontal="center"/>
    </xf>
    <xf numFmtId="0" fontId="32" fillId="0" borderId="0" xfId="7" applyFont="1"/>
    <xf numFmtId="5" fontId="3" fillId="0" borderId="0" xfId="2" applyNumberFormat="1" applyFont="1"/>
    <xf numFmtId="164" fontId="3" fillId="0" borderId="0" xfId="2" applyNumberFormat="1" applyFont="1"/>
    <xf numFmtId="190" fontId="3" fillId="0" borderId="0" xfId="1" applyNumberFormat="1" applyFont="1"/>
    <xf numFmtId="0" fontId="3" fillId="0" borderId="21" xfId="0" applyFont="1" applyBorder="1"/>
    <xf numFmtId="0" fontId="3" fillId="0" borderId="22" xfId="0" applyFont="1" applyBorder="1"/>
    <xf numFmtId="10" fontId="3" fillId="0" borderId="0" xfId="0" applyNumberFormat="1" applyFont="1" applyBorder="1"/>
    <xf numFmtId="167" fontId="3" fillId="0" borderId="0" xfId="9" applyNumberFormat="1" applyFont="1" applyBorder="1"/>
    <xf numFmtId="0" fontId="3" fillId="0" borderId="23" xfId="0" applyFont="1" applyBorder="1"/>
    <xf numFmtId="0" fontId="3" fillId="0" borderId="24" xfId="0" applyFont="1" applyBorder="1"/>
    <xf numFmtId="10" fontId="3" fillId="0" borderId="24" xfId="0" applyNumberFormat="1" applyFont="1" applyBorder="1"/>
    <xf numFmtId="167" fontId="3" fillId="0" borderId="24" xfId="9" applyNumberFormat="1" applyFont="1" applyBorder="1"/>
    <xf numFmtId="0" fontId="23" fillId="0" borderId="0" xfId="0" applyFont="1" applyAlignment="1">
      <alignment horizontal="center"/>
    </xf>
    <xf numFmtId="164" fontId="3" fillId="0" borderId="20" xfId="2" applyNumberFormat="1" applyFont="1" applyBorder="1"/>
    <xf numFmtId="0" fontId="17" fillId="7" borderId="25" xfId="0" applyFont="1" applyFill="1" applyBorder="1"/>
    <xf numFmtId="17" fontId="3" fillId="0" borderId="0" xfId="0" applyNumberFormat="1" applyFont="1" applyBorder="1" applyAlignment="1">
      <alignment horizontal="center"/>
    </xf>
    <xf numFmtId="9" fontId="3" fillId="0" borderId="0" xfId="9" applyFont="1" applyBorder="1" applyAlignment="1">
      <alignment horizontal="center"/>
    </xf>
    <xf numFmtId="0" fontId="23" fillId="8" borderId="14" xfId="0" applyFont="1" applyFill="1" applyBorder="1"/>
    <xf numFmtId="9" fontId="23" fillId="8" borderId="15" xfId="9" applyFont="1" applyFill="1" applyBorder="1"/>
    <xf numFmtId="0" fontId="3" fillId="8" borderId="16" xfId="0" applyFont="1" applyFill="1" applyBorder="1"/>
    <xf numFmtId="235" fontId="3" fillId="8" borderId="17" xfId="0" applyNumberFormat="1" applyFont="1" applyFill="1" applyBorder="1"/>
    <xf numFmtId="0" fontId="3" fillId="0" borderId="26" xfId="0" applyFont="1" applyBorder="1"/>
    <xf numFmtId="190" fontId="3" fillId="0" borderId="0" xfId="1" applyNumberFormat="1" applyFont="1" applyFill="1" applyBorder="1"/>
    <xf numFmtId="17" fontId="3" fillId="0" borderId="0" xfId="0" applyNumberFormat="1" applyFont="1"/>
    <xf numFmtId="0" fontId="33" fillId="0" borderId="0" xfId="0" applyFont="1"/>
    <xf numFmtId="0" fontId="5" fillId="0" borderId="0" xfId="0" applyFont="1" applyFill="1" applyBorder="1"/>
    <xf numFmtId="0" fontId="5" fillId="0" borderId="0" xfId="0" applyFont="1" applyFill="1"/>
    <xf numFmtId="166" fontId="5" fillId="0" borderId="0" xfId="0" applyNumberFormat="1" applyFont="1" applyBorder="1"/>
    <xf numFmtId="5" fontId="15" fillId="0" borderId="0" xfId="0" applyNumberFormat="1" applyFont="1" applyBorder="1"/>
    <xf numFmtId="164" fontId="3" fillId="0" borderId="0" xfId="2" applyNumberFormat="1" applyFont="1" applyBorder="1"/>
    <xf numFmtId="9" fontId="3" fillId="0" borderId="0" xfId="9" applyFont="1" applyFill="1"/>
    <xf numFmtId="192" fontId="18" fillId="0" borderId="0" xfId="0" applyNumberFormat="1" applyFont="1" applyFill="1" applyBorder="1"/>
    <xf numFmtId="6" fontId="5" fillId="0" borderId="0" xfId="0" applyNumberFormat="1" applyFont="1" applyBorder="1"/>
    <xf numFmtId="0" fontId="20" fillId="0" borderId="27" xfId="7" applyFont="1" applyBorder="1"/>
    <xf numFmtId="0" fontId="20" fillId="0" borderId="3" xfId="7" applyFont="1" applyBorder="1"/>
    <xf numFmtId="0" fontId="20" fillId="0" borderId="16" xfId="7" quotePrefix="1" applyFont="1" applyBorder="1"/>
    <xf numFmtId="197" fontId="20" fillId="0" borderId="0" xfId="2" applyNumberFormat="1" applyFont="1" applyBorder="1"/>
    <xf numFmtId="0" fontId="20" fillId="0" borderId="10" xfId="7" applyFont="1" applyFill="1" applyBorder="1"/>
    <xf numFmtId="0" fontId="20" fillId="0" borderId="11" xfId="7" applyFont="1" applyFill="1" applyBorder="1"/>
    <xf numFmtId="10" fontId="20" fillId="0" borderId="11" xfId="9" applyNumberFormat="1" applyFont="1" applyFill="1" applyBorder="1"/>
    <xf numFmtId="251" fontId="20" fillId="0" borderId="11" xfId="9" applyNumberFormat="1" applyFont="1" applyFill="1" applyBorder="1"/>
    <xf numFmtId="15" fontId="0" fillId="0" borderId="0" xfId="0" applyNumberFormat="1"/>
    <xf numFmtId="14" fontId="0" fillId="0" borderId="0" xfId="0" applyNumberFormat="1"/>
    <xf numFmtId="10" fontId="20" fillId="6" borderId="11" xfId="7" applyNumberFormat="1" applyFont="1" applyFill="1" applyBorder="1"/>
    <xf numFmtId="37" fontId="3" fillId="0" borderId="0" xfId="5" applyFont="1" applyFill="1" applyBorder="1" applyAlignment="1"/>
    <xf numFmtId="287" fontId="3" fillId="0" borderId="0" xfId="5" applyNumberFormat="1" applyFont="1" applyFill="1" applyBorder="1" applyAlignment="1"/>
    <xf numFmtId="0" fontId="28" fillId="0" borderId="0" xfId="0" applyFont="1" applyFill="1" applyBorder="1"/>
    <xf numFmtId="0" fontId="24" fillId="0" borderId="0" xfId="0" applyFont="1" applyFill="1" applyBorder="1"/>
    <xf numFmtId="0" fontId="14" fillId="0" borderId="0" xfId="0" applyFont="1" applyFill="1" applyBorder="1"/>
    <xf numFmtId="0" fontId="4" fillId="0" borderId="0" xfId="0" applyFont="1" applyFill="1" applyBorder="1"/>
    <xf numFmtId="0" fontId="23" fillId="0" borderId="0" xfId="0" applyFont="1" applyFill="1" applyBorder="1" applyAlignment="1">
      <alignment horizontal="left" indent="1"/>
    </xf>
    <xf numFmtId="190" fontId="3" fillId="0" borderId="0" xfId="0" applyNumberFormat="1" applyFont="1" applyBorder="1"/>
    <xf numFmtId="0" fontId="8" fillId="0" borderId="0" xfId="7" applyBorder="1"/>
    <xf numFmtId="5" fontId="20" fillId="0" borderId="0" xfId="7" applyNumberFormat="1" applyFont="1" applyBorder="1"/>
    <xf numFmtId="166" fontId="3" fillId="0" borderId="0" xfId="2" applyNumberFormat="1" applyFont="1" applyBorder="1"/>
    <xf numFmtId="182" fontId="3" fillId="0" borderId="0" xfId="0" applyNumberFormat="1" applyFont="1"/>
    <xf numFmtId="5" fontId="3" fillId="0" borderId="0" xfId="0" applyNumberFormat="1" applyFont="1" applyFill="1"/>
    <xf numFmtId="0" fontId="24" fillId="0" borderId="4" xfId="0" applyFont="1" applyFill="1" applyBorder="1"/>
    <xf numFmtId="0" fontId="14" fillId="0" borderId="4" xfId="0" applyFont="1" applyFill="1" applyBorder="1"/>
    <xf numFmtId="190" fontId="3" fillId="0" borderId="0" xfId="2" applyNumberFormat="1" applyFont="1"/>
    <xf numFmtId="0" fontId="3" fillId="9" borderId="0" xfId="0" applyFont="1" applyFill="1" applyBorder="1"/>
    <xf numFmtId="17" fontId="13" fillId="0" borderId="0" xfId="0" applyNumberFormat="1" applyFont="1" applyFill="1" applyAlignment="1">
      <alignment horizontal="center"/>
    </xf>
    <xf numFmtId="37" fontId="3" fillId="0" borderId="28" xfId="0" applyNumberFormat="1" applyFont="1" applyBorder="1"/>
    <xf numFmtId="0" fontId="34" fillId="0" borderId="0" xfId="0" applyFont="1" applyFill="1" applyBorder="1"/>
    <xf numFmtId="0" fontId="35" fillId="0" borderId="0" xfId="0" applyFont="1"/>
    <xf numFmtId="0" fontId="0" fillId="0" borderId="0" xfId="0" applyFill="1"/>
    <xf numFmtId="289" fontId="23" fillId="0" borderId="0" xfId="5" applyNumberFormat="1" applyFont="1" applyFill="1" applyBorder="1" applyAlignment="1"/>
    <xf numFmtId="37" fontId="23" fillId="0" borderId="0" xfId="5" applyFont="1" applyAlignment="1"/>
    <xf numFmtId="0" fontId="24" fillId="0" borderId="0" xfId="0" applyFont="1" applyAlignment="1">
      <alignment wrapText="1"/>
    </xf>
    <xf numFmtId="37" fontId="3" fillId="0" borderId="0" xfId="0" applyNumberFormat="1" applyFont="1" applyFill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26" xfId="0" applyBorder="1"/>
    <xf numFmtId="10" fontId="0" fillId="0" borderId="32" xfId="9" applyNumberFormat="1" applyFont="1" applyBorder="1"/>
    <xf numFmtId="10" fontId="0" fillId="0" borderId="33" xfId="9" applyNumberFormat="1" applyFont="1" applyBorder="1"/>
    <xf numFmtId="10" fontId="0" fillId="0" borderId="34" xfId="0" applyNumberFormat="1" applyBorder="1"/>
    <xf numFmtId="0" fontId="0" fillId="0" borderId="1" xfId="0" applyBorder="1"/>
    <xf numFmtId="0" fontId="24" fillId="0" borderId="35" xfId="0" applyFont="1" applyBorder="1"/>
    <xf numFmtId="17" fontId="3" fillId="0" borderId="0" xfId="0" applyNumberFormat="1" applyFont="1" applyFill="1"/>
    <xf numFmtId="0" fontId="34" fillId="0" borderId="0" xfId="0" applyFont="1"/>
    <xf numFmtId="164" fontId="3" fillId="0" borderId="0" xfId="1" applyNumberFormat="1" applyFont="1" applyFill="1"/>
    <xf numFmtId="164" fontId="0" fillId="0" borderId="0" xfId="0" applyNumberFormat="1"/>
    <xf numFmtId="10" fontId="3" fillId="0" borderId="0" xfId="9" applyNumberFormat="1" applyFont="1" applyFill="1"/>
    <xf numFmtId="0" fontId="17" fillId="0" borderId="0" xfId="0" applyFont="1" applyFill="1" applyBorder="1"/>
    <xf numFmtId="5" fontId="17" fillId="0" borderId="0" xfId="0" applyNumberFormat="1" applyFont="1" applyFill="1" applyBorder="1"/>
    <xf numFmtId="37" fontId="3" fillId="7" borderId="0" xfId="0" applyNumberFormat="1" applyFont="1" applyFill="1" applyBorder="1"/>
    <xf numFmtId="0" fontId="3" fillId="7" borderId="0" xfId="0" applyFont="1" applyFill="1" applyBorder="1" applyAlignment="1">
      <alignment horizontal="left" indent="1"/>
    </xf>
    <xf numFmtId="0" fontId="3" fillId="7" borderId="0" xfId="0" applyFont="1" applyFill="1" applyBorder="1"/>
    <xf numFmtId="0" fontId="3" fillId="7" borderId="0" xfId="0" applyFont="1" applyFill="1"/>
    <xf numFmtId="197" fontId="2" fillId="7" borderId="0" xfId="2" applyNumberFormat="1" applyFill="1"/>
    <xf numFmtId="197" fontId="3" fillId="7" borderId="0" xfId="2" applyNumberFormat="1" applyFont="1" applyFill="1"/>
    <xf numFmtId="0" fontId="0" fillId="7" borderId="0" xfId="0" applyFill="1"/>
    <xf numFmtId="197" fontId="3" fillId="7" borderId="28" xfId="2" applyNumberFormat="1" applyFont="1" applyFill="1" applyBorder="1"/>
    <xf numFmtId="197" fontId="3" fillId="7" borderId="0" xfId="2" applyNumberFormat="1" applyFont="1" applyFill="1" applyBorder="1"/>
    <xf numFmtId="5" fontId="3" fillId="7" borderId="0" xfId="0" applyNumberFormat="1" applyFont="1" applyFill="1" applyBorder="1"/>
    <xf numFmtId="5" fontId="3" fillId="7" borderId="28" xfId="0" applyNumberFormat="1" applyFont="1" applyFill="1" applyBorder="1"/>
    <xf numFmtId="5" fontId="23" fillId="7" borderId="25" xfId="0" applyNumberFormat="1" applyFont="1" applyFill="1" applyBorder="1"/>
    <xf numFmtId="197" fontId="3" fillId="0" borderId="26" xfId="2" applyNumberFormat="1" applyFont="1" applyBorder="1"/>
    <xf numFmtId="190" fontId="3" fillId="7" borderId="28" xfId="1" applyNumberFormat="1" applyFont="1" applyFill="1" applyBorder="1"/>
    <xf numFmtId="0" fontId="0" fillId="10" borderId="0" xfId="0" applyFill="1"/>
    <xf numFmtId="0" fontId="0" fillId="0" borderId="3" xfId="0" applyFill="1" applyBorder="1"/>
    <xf numFmtId="37" fontId="3" fillId="7" borderId="28" xfId="0" applyNumberFormat="1" applyFont="1" applyFill="1" applyBorder="1"/>
    <xf numFmtId="5" fontId="23" fillId="7" borderId="28" xfId="0" applyNumberFormat="1" applyFont="1" applyFill="1" applyBorder="1"/>
    <xf numFmtId="5" fontId="23" fillId="7" borderId="36" xfId="0" applyNumberFormat="1" applyFont="1" applyFill="1" applyBorder="1"/>
    <xf numFmtId="164" fontId="12" fillId="0" borderId="0" xfId="0" applyNumberFormat="1" applyFont="1" applyBorder="1"/>
    <xf numFmtId="164" fontId="12" fillId="0" borderId="0" xfId="0" applyNumberFormat="1" applyFont="1" applyFill="1"/>
    <xf numFmtId="0" fontId="12" fillId="0" borderId="0" xfId="0" applyFont="1"/>
    <xf numFmtId="0" fontId="12" fillId="0" borderId="0" xfId="0" applyFont="1" applyAlignment="1">
      <alignment horizontal="right"/>
    </xf>
    <xf numFmtId="0" fontId="12" fillId="0" borderId="0" xfId="0" applyFont="1" applyAlignment="1">
      <alignment horizontal="left"/>
    </xf>
    <xf numFmtId="164" fontId="38" fillId="0" borderId="0" xfId="0" applyNumberFormat="1" applyFont="1"/>
    <xf numFmtId="164" fontId="36" fillId="0" borderId="0" xfId="0" applyNumberFormat="1" applyFont="1"/>
    <xf numFmtId="0" fontId="39" fillId="0" borderId="0" xfId="0" applyFont="1"/>
    <xf numFmtId="0" fontId="36" fillId="0" borderId="0" xfId="0" applyFont="1" applyAlignment="1">
      <alignment horizontal="right"/>
    </xf>
    <xf numFmtId="5" fontId="12" fillId="0" borderId="0" xfId="0" applyNumberFormat="1" applyFont="1"/>
    <xf numFmtId="5" fontId="12" fillId="0" borderId="0" xfId="0" applyNumberFormat="1" applyFont="1" applyFill="1"/>
    <xf numFmtId="5" fontId="12" fillId="0" borderId="20" xfId="0" applyNumberFormat="1" applyFont="1" applyBorder="1"/>
    <xf numFmtId="5" fontId="12" fillId="0" borderId="0" xfId="0" applyNumberFormat="1" applyFont="1" applyBorder="1"/>
    <xf numFmtId="10" fontId="12" fillId="0" borderId="0" xfId="9" applyNumberFormat="1" applyFont="1" applyBorder="1"/>
    <xf numFmtId="164" fontId="3" fillId="0" borderId="0" xfId="1" applyNumberFormat="1" applyFont="1" applyFill="1" applyBorder="1"/>
    <xf numFmtId="0" fontId="3" fillId="0" borderId="26" xfId="0" applyFont="1" applyFill="1" applyBorder="1"/>
    <xf numFmtId="3" fontId="3" fillId="0" borderId="26" xfId="0" applyNumberFormat="1" applyFont="1" applyFill="1" applyBorder="1"/>
    <xf numFmtId="37" fontId="3" fillId="0" borderId="26" xfId="0" applyNumberFormat="1" applyFont="1" applyFill="1" applyBorder="1"/>
    <xf numFmtId="0" fontId="28" fillId="0" borderId="26" xfId="0" applyFont="1" applyFill="1" applyBorder="1"/>
    <xf numFmtId="3" fontId="23" fillId="0" borderId="26" xfId="0" applyNumberFormat="1" applyFont="1" applyFill="1" applyBorder="1"/>
    <xf numFmtId="37" fontId="3" fillId="0" borderId="26" xfId="0" applyNumberFormat="1" applyFont="1" applyBorder="1"/>
    <xf numFmtId="0" fontId="23" fillId="0" borderId="26" xfId="0" applyFont="1" applyFill="1" applyBorder="1"/>
    <xf numFmtId="0" fontId="3" fillId="0" borderId="28" xfId="0" applyFont="1" applyBorder="1"/>
    <xf numFmtId="0" fontId="3" fillId="0" borderId="28" xfId="0" applyFont="1" applyFill="1" applyBorder="1"/>
    <xf numFmtId="3" fontId="3" fillId="0" borderId="28" xfId="0" applyNumberFormat="1" applyFont="1" applyFill="1" applyBorder="1"/>
    <xf numFmtId="0" fontId="28" fillId="0" borderId="28" xfId="0" applyFont="1" applyFill="1" applyBorder="1"/>
    <xf numFmtId="37" fontId="3" fillId="0" borderId="28" xfId="0" applyNumberFormat="1" applyFont="1" applyFill="1" applyBorder="1"/>
    <xf numFmtId="0" fontId="4" fillId="0" borderId="28" xfId="0" applyFont="1" applyBorder="1"/>
    <xf numFmtId="37" fontId="23" fillId="0" borderId="28" xfId="0" applyNumberFormat="1" applyFont="1" applyFill="1" applyBorder="1"/>
    <xf numFmtId="0" fontId="23" fillId="0" borderId="28" xfId="0" applyFont="1" applyFill="1" applyBorder="1"/>
    <xf numFmtId="289" fontId="36" fillId="0" borderId="26" xfId="0" applyNumberFormat="1" applyFont="1" applyFill="1" applyBorder="1"/>
    <xf numFmtId="289" fontId="23" fillId="0" borderId="26" xfId="0" applyNumberFormat="1" applyFont="1" applyFill="1" applyBorder="1"/>
    <xf numFmtId="0" fontId="3" fillId="0" borderId="26" xfId="0" applyFont="1" applyFill="1" applyBorder="1" applyAlignment="1">
      <alignment vertical="center"/>
    </xf>
    <xf numFmtId="0" fontId="3" fillId="0" borderId="28" xfId="0" applyFont="1" applyFill="1" applyBorder="1" applyAlignment="1">
      <alignment horizontal="left" indent="1"/>
    </xf>
    <xf numFmtId="164" fontId="3" fillId="7" borderId="0" xfId="2" applyNumberFormat="1" applyFont="1" applyFill="1"/>
    <xf numFmtId="17" fontId="23" fillId="0" borderId="0" xfId="0" applyNumberFormat="1" applyFont="1" applyFill="1" applyBorder="1"/>
    <xf numFmtId="10" fontId="3" fillId="0" borderId="26" xfId="9" applyNumberFormat="1" applyFont="1" applyFill="1" applyBorder="1"/>
    <xf numFmtId="0" fontId="24" fillId="0" borderId="0" xfId="0" applyFont="1" applyFill="1"/>
    <xf numFmtId="9" fontId="40" fillId="0" borderId="0" xfId="9" applyFont="1" applyBorder="1" applyAlignment="1">
      <alignment horizontal="center"/>
    </xf>
    <xf numFmtId="0" fontId="40" fillId="0" borderId="0" xfId="0" applyFont="1" applyFill="1" applyBorder="1"/>
    <xf numFmtId="164" fontId="12" fillId="0" borderId="28" xfId="0" applyNumberFormat="1" applyFont="1" applyBorder="1" applyAlignment="1">
      <alignment horizontal="right"/>
    </xf>
    <xf numFmtId="164" fontId="3" fillId="0" borderId="28" xfId="0" applyNumberFormat="1" applyFont="1" applyBorder="1" applyAlignment="1">
      <alignment horizontal="right"/>
    </xf>
    <xf numFmtId="197" fontId="0" fillId="0" borderId="0" xfId="2" applyNumberFormat="1" applyFont="1"/>
    <xf numFmtId="6" fontId="0" fillId="0" borderId="0" xfId="0" applyNumberFormat="1" applyBorder="1"/>
    <xf numFmtId="6" fontId="0" fillId="0" borderId="0" xfId="0" applyNumberFormat="1"/>
    <xf numFmtId="6" fontId="0" fillId="0" borderId="20" xfId="0" applyNumberFormat="1" applyBorder="1"/>
    <xf numFmtId="37" fontId="24" fillId="0" borderId="0" xfId="0" applyNumberFormat="1" applyFont="1" applyFill="1" applyBorder="1"/>
    <xf numFmtId="0" fontId="8" fillId="0" borderId="0" xfId="7" applyFont="1"/>
    <xf numFmtId="10" fontId="18" fillId="11" borderId="0" xfId="7" applyNumberFormat="1" applyFont="1" applyFill="1"/>
    <xf numFmtId="10" fontId="18" fillId="11" borderId="0" xfId="9" applyNumberFormat="1" applyFont="1" applyFill="1"/>
    <xf numFmtId="190" fontId="0" fillId="0" borderId="0" xfId="1" applyNumberFormat="1" applyFont="1"/>
    <xf numFmtId="17" fontId="18" fillId="6" borderId="0" xfId="7" applyNumberFormat="1" applyFont="1" applyFill="1"/>
    <xf numFmtId="17" fontId="40" fillId="0" borderId="0" xfId="0" applyNumberFormat="1" applyFont="1" applyFill="1" applyBorder="1" applyAlignment="1">
      <alignment horizontal="center"/>
    </xf>
    <xf numFmtId="9" fontId="12" fillId="0" borderId="0" xfId="9" applyFont="1" applyFill="1" applyAlignment="1">
      <alignment horizontal="center"/>
    </xf>
    <xf numFmtId="192" fontId="12" fillId="0" borderId="0" xfId="0" applyNumberFormat="1" applyFont="1" applyFill="1"/>
    <xf numFmtId="17" fontId="12" fillId="0" borderId="0" xfId="0" applyNumberFormat="1" applyFont="1" applyFill="1" applyAlignment="1">
      <alignment horizontal="center"/>
    </xf>
    <xf numFmtId="0" fontId="14" fillId="4" borderId="27" xfId="0" applyFont="1" applyFill="1" applyBorder="1"/>
    <xf numFmtId="0" fontId="14" fillId="4" borderId="27" xfId="0" applyFont="1" applyFill="1" applyBorder="1" applyAlignment="1">
      <alignment horizontal="left"/>
    </xf>
    <xf numFmtId="0" fontId="0" fillId="4" borderId="27" xfId="0" applyFill="1" applyBorder="1"/>
    <xf numFmtId="0" fontId="16" fillId="4" borderId="14" xfId="0" applyFont="1" applyFill="1" applyBorder="1"/>
    <xf numFmtId="0" fontId="0" fillId="4" borderId="15" xfId="0" applyFill="1" applyBorder="1"/>
    <xf numFmtId="0" fontId="0" fillId="4" borderId="3" xfId="0" applyFill="1" applyBorder="1"/>
    <xf numFmtId="0" fontId="14" fillId="4" borderId="3" xfId="0" applyFont="1" applyFill="1" applyBorder="1"/>
    <xf numFmtId="0" fontId="0" fillId="4" borderId="16" xfId="0" applyFill="1" applyBorder="1"/>
    <xf numFmtId="9" fontId="0" fillId="0" borderId="3" xfId="9" applyFont="1" applyFill="1" applyBorder="1"/>
    <xf numFmtId="167" fontId="0" fillId="0" borderId="0" xfId="9" applyNumberFormat="1" applyFont="1"/>
    <xf numFmtId="1" fontId="14" fillId="4" borderId="3" xfId="0" applyNumberFormat="1" applyFont="1" applyFill="1" applyBorder="1" applyAlignment="1">
      <alignment horizontal="right"/>
    </xf>
    <xf numFmtId="9" fontId="14" fillId="4" borderId="3" xfId="9" applyFont="1" applyFill="1" applyBorder="1" applyAlignment="1">
      <alignment horizontal="right"/>
    </xf>
    <xf numFmtId="164" fontId="0" fillId="4" borderId="3" xfId="2" applyNumberFormat="1" applyFont="1" applyFill="1" applyBorder="1"/>
    <xf numFmtId="164" fontId="0" fillId="4" borderId="3" xfId="0" applyNumberFormat="1" applyFill="1" applyBorder="1"/>
    <xf numFmtId="0" fontId="14" fillId="0" borderId="3" xfId="0" applyFont="1" applyFill="1" applyBorder="1"/>
    <xf numFmtId="304" fontId="14" fillId="0" borderId="3" xfId="0" applyNumberFormat="1" applyFont="1" applyFill="1" applyBorder="1"/>
    <xf numFmtId="0" fontId="14" fillId="0" borderId="0" xfId="0" applyFont="1"/>
    <xf numFmtId="166" fontId="14" fillId="0" borderId="3" xfId="0" applyNumberFormat="1" applyFont="1" applyFill="1" applyBorder="1"/>
    <xf numFmtId="9" fontId="14" fillId="0" borderId="3" xfId="9" applyFont="1" applyFill="1" applyBorder="1"/>
    <xf numFmtId="164" fontId="3" fillId="0" borderId="0" xfId="9" applyNumberFormat="1" applyFont="1" applyFill="1" applyBorder="1"/>
    <xf numFmtId="197" fontId="2" fillId="4" borderId="3" xfId="0" applyNumberFormat="1" applyFont="1" applyFill="1" applyBorder="1"/>
    <xf numFmtId="0" fontId="14" fillId="0" borderId="0" xfId="0" applyFont="1" applyAlignment="1">
      <alignment horizontal="right"/>
    </xf>
    <xf numFmtId="0" fontId="36" fillId="0" borderId="0" xfId="0" applyFont="1" applyFill="1" applyBorder="1" applyAlignment="1">
      <alignment horizontal="right"/>
    </xf>
    <xf numFmtId="10" fontId="14" fillId="0" borderId="3" xfId="9" applyNumberFormat="1" applyFont="1" applyFill="1" applyBorder="1"/>
    <xf numFmtId="0" fontId="3" fillId="4" borderId="15" xfId="0" applyFont="1" applyFill="1" applyBorder="1"/>
    <xf numFmtId="10" fontId="44" fillId="0" borderId="3" xfId="9" applyNumberFormat="1" applyFont="1" applyBorder="1"/>
    <xf numFmtId="0" fontId="14" fillId="4" borderId="27" xfId="5" applyNumberFormat="1" applyFont="1" applyFill="1" applyBorder="1" applyAlignment="1"/>
    <xf numFmtId="0" fontId="14" fillId="4" borderId="16" xfId="0" applyFont="1" applyFill="1" applyBorder="1"/>
    <xf numFmtId="0" fontId="14" fillId="0" borderId="0" xfId="0" applyFont="1" applyFill="1" applyBorder="1" applyAlignment="1">
      <alignment horizontal="right"/>
    </xf>
    <xf numFmtId="0" fontId="0" fillId="0" borderId="0" xfId="0" applyAlignment="1">
      <alignment wrapText="1"/>
    </xf>
    <xf numFmtId="9" fontId="0" fillId="0" borderId="0" xfId="9" applyFont="1"/>
    <xf numFmtId="10" fontId="0" fillId="0" borderId="0" xfId="9" applyNumberFormat="1" applyFont="1"/>
    <xf numFmtId="0" fontId="0" fillId="0" borderId="25" xfId="0" applyBorder="1"/>
    <xf numFmtId="0" fontId="0" fillId="0" borderId="28" xfId="0" applyBorder="1"/>
    <xf numFmtId="10" fontId="0" fillId="0" borderId="0" xfId="0" applyNumberFormat="1"/>
    <xf numFmtId="10" fontId="0" fillId="4" borderId="0" xfId="9" applyNumberFormat="1" applyFont="1" applyFill="1"/>
    <xf numFmtId="167" fontId="0" fillId="4" borderId="0" xfId="0" applyNumberFormat="1" applyFill="1"/>
    <xf numFmtId="10" fontId="0" fillId="0" borderId="0" xfId="0" applyNumberFormat="1" applyFill="1"/>
    <xf numFmtId="2" fontId="36" fillId="0" borderId="0" xfId="0" applyNumberFormat="1" applyFont="1" applyFill="1" applyBorder="1" applyAlignment="1">
      <alignment horizontal="right"/>
    </xf>
    <xf numFmtId="43" fontId="3" fillId="0" borderId="0" xfId="1" applyFont="1"/>
    <xf numFmtId="0" fontId="24" fillId="0" borderId="0" xfId="0" applyFont="1" applyAlignment="1">
      <alignment horizontal="center" wrapText="1"/>
    </xf>
    <xf numFmtId="5" fontId="0" fillId="0" borderId="0" xfId="0" applyNumberFormat="1"/>
    <xf numFmtId="197" fontId="0" fillId="0" borderId="0" xfId="0" applyNumberFormat="1"/>
    <xf numFmtId="164" fontId="0" fillId="0" borderId="0" xfId="0" applyNumberFormat="1" applyBorder="1"/>
    <xf numFmtId="289" fontId="36" fillId="0" borderId="0" xfId="0" applyNumberFormat="1" applyFont="1" applyFill="1" applyBorder="1"/>
    <xf numFmtId="37" fontId="0" fillId="0" borderId="0" xfId="0" applyNumberFormat="1" applyFill="1" applyBorder="1"/>
    <xf numFmtId="190" fontId="2" fillId="0" borderId="0" xfId="1" applyNumberFormat="1" applyFill="1" applyBorder="1"/>
    <xf numFmtId="3" fontId="14" fillId="0" borderId="0" xfId="0" applyNumberFormat="1" applyFont="1" applyFill="1" applyBorder="1"/>
    <xf numFmtId="0" fontId="23" fillId="0" borderId="0" xfId="0" applyFont="1" applyFill="1" applyBorder="1"/>
    <xf numFmtId="289" fontId="36" fillId="0" borderId="24" xfId="0" applyNumberFormat="1" applyFont="1" applyFill="1" applyBorder="1"/>
    <xf numFmtId="289" fontId="23" fillId="0" borderId="24" xfId="0" applyNumberFormat="1" applyFont="1" applyFill="1" applyBorder="1"/>
    <xf numFmtId="10" fontId="14" fillId="4" borderId="3" xfId="0" applyNumberFormat="1" applyFont="1" applyFill="1" applyBorder="1"/>
    <xf numFmtId="182" fontId="14" fillId="4" borderId="17" xfId="0" applyNumberFormat="1" applyFont="1" applyFill="1" applyBorder="1"/>
    <xf numFmtId="10" fontId="0" fillId="4" borderId="3" xfId="9" applyNumberFormat="1" applyFont="1" applyFill="1" applyBorder="1"/>
    <xf numFmtId="0" fontId="24" fillId="0" borderId="0" xfId="0" applyFont="1" applyAlignment="1">
      <alignment horizontal="right"/>
    </xf>
    <xf numFmtId="182" fontId="14" fillId="0" borderId="0" xfId="0" applyNumberFormat="1" applyFont="1" applyFill="1" applyBorder="1"/>
    <xf numFmtId="167" fontId="0" fillId="4" borderId="0" xfId="9" applyNumberFormat="1" applyFont="1" applyFill="1"/>
    <xf numFmtId="182" fontId="0" fillId="0" borderId="0" xfId="0" applyNumberFormat="1" applyFill="1" applyBorder="1"/>
    <xf numFmtId="182" fontId="0" fillId="0" borderId="0" xfId="0" applyNumberFormat="1"/>
    <xf numFmtId="10" fontId="0" fillId="0" borderId="0" xfId="9" applyNumberFormat="1" applyFont="1" applyFill="1" applyBorder="1"/>
    <xf numFmtId="197" fontId="3" fillId="0" borderId="0" xfId="2" applyNumberFormat="1" applyFont="1" applyFill="1"/>
    <xf numFmtId="167" fontId="0" fillId="0" borderId="0" xfId="0" applyNumberFormat="1" applyFill="1"/>
    <xf numFmtId="0" fontId="23" fillId="7" borderId="0" xfId="0" applyFont="1" applyFill="1"/>
    <xf numFmtId="197" fontId="3" fillId="0" borderId="28" xfId="2" applyNumberFormat="1" applyFont="1" applyFill="1" applyBorder="1"/>
    <xf numFmtId="197" fontId="2" fillId="0" borderId="0" xfId="2" applyNumberFormat="1" applyFill="1"/>
    <xf numFmtId="190" fontId="0" fillId="0" borderId="0" xfId="1" applyNumberFormat="1" applyFont="1" applyFill="1" applyBorder="1"/>
    <xf numFmtId="197" fontId="23" fillId="0" borderId="0" xfId="2" applyNumberFormat="1" applyFont="1" applyFill="1" applyBorder="1"/>
    <xf numFmtId="0" fontId="3" fillId="10" borderId="0" xfId="0" applyFont="1" applyFill="1"/>
    <xf numFmtId="197" fontId="2" fillId="10" borderId="0" xfId="2" applyNumberFormat="1" applyFill="1"/>
    <xf numFmtId="197" fontId="3" fillId="10" borderId="0" xfId="2" applyNumberFormat="1" applyFont="1" applyFill="1"/>
    <xf numFmtId="0" fontId="0" fillId="10" borderId="0" xfId="0" applyFill="1" applyBorder="1"/>
    <xf numFmtId="1" fontId="3" fillId="0" borderId="0" xfId="0" applyNumberFormat="1" applyFont="1" applyFill="1"/>
    <xf numFmtId="1" fontId="23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/>
    <xf numFmtId="0" fontId="0" fillId="0" borderId="0" xfId="0" applyAlignment="1">
      <alignment horizontal="left" wrapText="1"/>
    </xf>
    <xf numFmtId="44" fontId="0" fillId="0" borderId="0" xfId="2" applyNumberFormat="1" applyFont="1"/>
    <xf numFmtId="9" fontId="0" fillId="4" borderId="3" xfId="9" applyFont="1" applyFill="1" applyBorder="1"/>
    <xf numFmtId="190" fontId="0" fillId="0" borderId="3" xfId="1" applyNumberFormat="1" applyFont="1" applyFill="1" applyBorder="1"/>
    <xf numFmtId="305" fontId="0" fillId="0" borderId="3" xfId="1" applyNumberFormat="1" applyFont="1" applyFill="1" applyBorder="1"/>
    <xf numFmtId="17" fontId="36" fillId="0" borderId="0" xfId="0" applyNumberFormat="1" applyFont="1" applyFill="1" applyBorder="1" applyAlignment="1">
      <alignment horizontal="center"/>
    </xf>
    <xf numFmtId="9" fontId="14" fillId="4" borderId="3" xfId="9" applyNumberFormat="1" applyFont="1" applyFill="1" applyBorder="1" applyAlignment="1">
      <alignment horizontal="right"/>
    </xf>
    <xf numFmtId="17" fontId="8" fillId="0" borderId="0" xfId="7" applyNumberFormat="1"/>
    <xf numFmtId="17" fontId="20" fillId="0" borderId="0" xfId="7" applyNumberFormat="1" applyFont="1" applyBorder="1"/>
    <xf numFmtId="197" fontId="18" fillId="0" borderId="0" xfId="2" applyNumberFormat="1" applyFont="1" applyBorder="1"/>
    <xf numFmtId="197" fontId="18" fillId="0" borderId="0" xfId="0" applyNumberFormat="1" applyFont="1" applyBorder="1"/>
    <xf numFmtId="37" fontId="18" fillId="0" borderId="0" xfId="0" applyNumberFormat="1" applyFont="1" applyBorder="1"/>
    <xf numFmtId="38" fontId="3" fillId="0" borderId="0" xfId="0" applyNumberFormat="1" applyFont="1"/>
    <xf numFmtId="38" fontId="3" fillId="0" borderId="0" xfId="0" applyNumberFormat="1" applyFont="1" applyFill="1" applyBorder="1"/>
    <xf numFmtId="38" fontId="45" fillId="0" borderId="0" xfId="7" applyNumberFormat="1" applyFont="1"/>
    <xf numFmtId="38" fontId="8" fillId="0" borderId="0" xfId="7" applyNumberFormat="1"/>
    <xf numFmtId="197" fontId="3" fillId="0" borderId="0" xfId="0" applyNumberFormat="1" applyFont="1" applyBorder="1"/>
    <xf numFmtId="166" fontId="14" fillId="0" borderId="17" xfId="0" applyNumberFormat="1" applyFont="1" applyFill="1" applyBorder="1"/>
    <xf numFmtId="5" fontId="3" fillId="10" borderId="0" xfId="0" applyNumberFormat="1" applyFont="1" applyFill="1"/>
    <xf numFmtId="1" fontId="3" fillId="0" borderId="0" xfId="0" applyNumberFormat="1" applyFont="1"/>
    <xf numFmtId="9" fontId="3" fillId="0" borderId="26" xfId="9" applyFont="1" applyFill="1" applyBorder="1"/>
    <xf numFmtId="9" fontId="3" fillId="0" borderId="1" xfId="9" applyFont="1" applyFill="1" applyBorder="1"/>
    <xf numFmtId="9" fontId="24" fillId="0" borderId="0" xfId="0" applyNumberFormat="1" applyFont="1"/>
    <xf numFmtId="15" fontId="3" fillId="0" borderId="0" xfId="0" applyNumberFormat="1" applyFont="1" applyFill="1" applyBorder="1"/>
    <xf numFmtId="10" fontId="23" fillId="0" borderId="0" xfId="9" applyNumberFormat="1" applyFont="1" applyFill="1" applyBorder="1"/>
    <xf numFmtId="10" fontId="3" fillId="7" borderId="0" xfId="9" applyNumberFormat="1" applyFont="1" applyFill="1" applyBorder="1"/>
    <xf numFmtId="1" fontId="23" fillId="0" borderId="0" xfId="1" applyNumberFormat="1" applyFont="1" applyFill="1" applyBorder="1"/>
    <xf numFmtId="9" fontId="3" fillId="0" borderId="0" xfId="0" applyNumberFormat="1" applyFont="1" applyFill="1"/>
    <xf numFmtId="17" fontId="3" fillId="0" borderId="0" xfId="0" applyNumberFormat="1" applyFont="1" applyFill="1" applyBorder="1"/>
    <xf numFmtId="164" fontId="0" fillId="0" borderId="0" xfId="0" applyNumberFormat="1" applyFill="1" applyBorder="1"/>
    <xf numFmtId="164" fontId="14" fillId="0" borderId="0" xfId="0" applyNumberFormat="1" applyFont="1"/>
    <xf numFmtId="10" fontId="3" fillId="7" borderId="33" xfId="9" applyNumberFormat="1" applyFont="1" applyFill="1" applyBorder="1"/>
    <xf numFmtId="10" fontId="3" fillId="0" borderId="1" xfId="9" applyNumberFormat="1" applyFont="1" applyFill="1" applyBorder="1"/>
    <xf numFmtId="190" fontId="3" fillId="7" borderId="0" xfId="1" applyNumberFormat="1" applyFont="1" applyFill="1" applyBorder="1"/>
    <xf numFmtId="190" fontId="3" fillId="7" borderId="33" xfId="1" applyNumberFormat="1" applyFont="1" applyFill="1" applyBorder="1"/>
    <xf numFmtId="9" fontId="3" fillId="7" borderId="0" xfId="9" applyFont="1" applyFill="1" applyBorder="1"/>
    <xf numFmtId="43" fontId="3" fillId="0" borderId="0" xfId="1" applyFont="1" applyFill="1"/>
    <xf numFmtId="0" fontId="3" fillId="0" borderId="0" xfId="0" applyFont="1" applyAlignment="1">
      <alignment horizontal="left" indent="1"/>
    </xf>
    <xf numFmtId="15" fontId="36" fillId="0" borderId="0" xfId="1" applyNumberFormat="1" applyFont="1" applyFill="1" applyBorder="1" applyAlignment="1">
      <alignment horizontal="center"/>
    </xf>
    <xf numFmtId="15" fontId="23" fillId="0" borderId="0" xfId="1" applyNumberFormat="1" applyFont="1"/>
    <xf numFmtId="15" fontId="23" fillId="0" borderId="0" xfId="1" applyNumberFormat="1" applyFont="1" applyFill="1"/>
    <xf numFmtId="0" fontId="4" fillId="0" borderId="0" xfId="0" applyFont="1" applyFill="1" applyAlignment="1">
      <alignment horizontal="left" indent="1"/>
    </xf>
    <xf numFmtId="15" fontId="23" fillId="0" borderId="0" xfId="1" applyNumberFormat="1" applyFont="1" applyFill="1" applyBorder="1" applyAlignment="1">
      <alignment horizontal="center"/>
    </xf>
    <xf numFmtId="0" fontId="5" fillId="0" borderId="3" xfId="0" applyFont="1" applyFill="1" applyBorder="1"/>
    <xf numFmtId="0" fontId="5" fillId="0" borderId="3" xfId="0" applyFont="1" applyBorder="1"/>
    <xf numFmtId="0" fontId="3" fillId="0" borderId="17" xfId="0" applyFont="1" applyFill="1" applyBorder="1"/>
    <xf numFmtId="2" fontId="0" fillId="0" borderId="0" xfId="0" applyNumberFormat="1"/>
    <xf numFmtId="1" fontId="0" fillId="0" borderId="0" xfId="0" applyNumberFormat="1"/>
    <xf numFmtId="9" fontId="3" fillId="0" borderId="0" xfId="9" applyFont="1"/>
    <xf numFmtId="6" fontId="3" fillId="0" borderId="0" xfId="0" applyNumberFormat="1" applyFont="1"/>
    <xf numFmtId="6" fontId="46" fillId="0" borderId="0" xfId="0" applyNumberFormat="1" applyFont="1" applyFill="1" applyBorder="1"/>
    <xf numFmtId="6" fontId="23" fillId="0" borderId="0" xfId="0" applyNumberFormat="1" applyFont="1"/>
    <xf numFmtId="17" fontId="36" fillId="0" borderId="0" xfId="0" applyNumberFormat="1" applyFont="1" applyAlignment="1">
      <alignment horizontal="center"/>
    </xf>
    <xf numFmtId="6" fontId="3" fillId="0" borderId="20" xfId="0" applyNumberFormat="1" applyFont="1" applyBorder="1"/>
    <xf numFmtId="10" fontId="5" fillId="0" borderId="3" xfId="9" applyNumberFormat="1" applyFont="1" applyFill="1" applyBorder="1"/>
    <xf numFmtId="10" fontId="5" fillId="0" borderId="3" xfId="9" applyNumberFormat="1" applyFont="1" applyBorder="1"/>
    <xf numFmtId="182" fontId="3" fillId="0" borderId="17" xfId="0" applyNumberFormat="1" applyFont="1" applyFill="1" applyBorder="1" applyAlignment="1">
      <alignment horizontal="right"/>
    </xf>
    <xf numFmtId="37" fontId="23" fillId="0" borderId="0" xfId="5" applyFont="1" applyFill="1" applyAlignment="1"/>
    <xf numFmtId="0" fontId="23" fillId="0" borderId="37" xfId="0" applyFont="1" applyBorder="1"/>
    <xf numFmtId="0" fontId="3" fillId="0" borderId="0" xfId="0" applyFont="1" applyFill="1" applyAlignment="1">
      <alignment horizontal="center"/>
    </xf>
    <xf numFmtId="0" fontId="34" fillId="0" borderId="0" xfId="0" applyFont="1" applyFill="1" applyBorder="1" applyAlignment="1">
      <alignment horizontal="left"/>
    </xf>
    <xf numFmtId="191" fontId="0" fillId="0" borderId="0" xfId="0" applyNumberFormat="1"/>
    <xf numFmtId="1" fontId="20" fillId="0" borderId="0" xfId="7" applyNumberFormat="1" applyFont="1"/>
    <xf numFmtId="0" fontId="20" fillId="0" borderId="0" xfId="7" applyNumberFormat="1" applyFont="1"/>
    <xf numFmtId="0" fontId="0" fillId="0" borderId="0" xfId="0" applyAlignment="1">
      <alignment horizontal="right"/>
    </xf>
    <xf numFmtId="43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1" fontId="23" fillId="6" borderId="0" xfId="1" applyNumberFormat="1" applyFont="1" applyFill="1" applyBorder="1"/>
    <xf numFmtId="190" fontId="23" fillId="0" borderId="0" xfId="1" applyNumberFormat="1" applyFont="1" applyFill="1" applyAlignment="1">
      <alignment horizontal="center"/>
    </xf>
    <xf numFmtId="190" fontId="23" fillId="0" borderId="0" xfId="1" applyNumberFormat="1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5" fontId="3" fillId="0" borderId="20" xfId="0" applyNumberFormat="1" applyFont="1" applyBorder="1"/>
    <xf numFmtId="192" fontId="3" fillId="0" borderId="0" xfId="0" applyNumberFormat="1" applyFont="1" applyFill="1" applyBorder="1"/>
    <xf numFmtId="166" fontId="23" fillId="0" borderId="0" xfId="0" applyNumberFormat="1" applyFont="1" applyBorder="1"/>
    <xf numFmtId="14" fontId="3" fillId="0" borderId="0" xfId="0" applyNumberFormat="1" applyFont="1" applyFill="1"/>
    <xf numFmtId="192" fontId="22" fillId="0" borderId="0" xfId="0" applyNumberFormat="1" applyFont="1" applyFill="1" applyBorder="1"/>
    <xf numFmtId="164" fontId="14" fillId="0" borderId="3" xfId="0" applyNumberFormat="1" applyFont="1" applyFill="1" applyBorder="1"/>
    <xf numFmtId="6" fontId="0" fillId="4" borderId="0" xfId="0" applyNumberFormat="1" applyFill="1" applyBorder="1"/>
    <xf numFmtId="6" fontId="0" fillId="0" borderId="0" xfId="0" applyNumberFormat="1" applyFill="1" applyBorder="1"/>
    <xf numFmtId="0" fontId="3" fillId="0" borderId="0" xfId="0" applyFont="1" applyFill="1" applyBorder="1" applyAlignment="1">
      <alignment horizontal="left" indent="2"/>
    </xf>
    <xf numFmtId="0" fontId="3" fillId="0" borderId="0" xfId="0" applyFont="1" applyAlignment="1">
      <alignment horizontal="left" indent="2"/>
    </xf>
    <xf numFmtId="235" fontId="0" fillId="0" borderId="0" xfId="0" applyNumberFormat="1"/>
    <xf numFmtId="164" fontId="3" fillId="0" borderId="20" xfId="0" applyNumberFormat="1" applyFont="1" applyFill="1" applyBorder="1"/>
    <xf numFmtId="164" fontId="3" fillId="0" borderId="20" xfId="0" applyNumberFormat="1" applyFont="1" applyBorder="1"/>
    <xf numFmtId="0" fontId="24" fillId="0" borderId="21" xfId="0" applyFont="1" applyBorder="1" applyAlignment="1">
      <alignment horizontal="center"/>
    </xf>
    <xf numFmtId="164" fontId="12" fillId="0" borderId="0" xfId="0" applyNumberFormat="1" applyFont="1" applyFill="1" applyBorder="1"/>
    <xf numFmtId="0" fontId="3" fillId="12" borderId="0" xfId="0" applyFont="1" applyFill="1"/>
    <xf numFmtId="0" fontId="3" fillId="12" borderId="0" xfId="0" applyFont="1" applyFill="1" applyBorder="1"/>
    <xf numFmtId="10" fontId="0" fillId="0" borderId="0" xfId="1" applyNumberFormat="1" applyFont="1"/>
    <xf numFmtId="0" fontId="23" fillId="12" borderId="0" xfId="0" applyFont="1" applyFill="1" applyAlignment="1">
      <alignment horizontal="right"/>
    </xf>
    <xf numFmtId="164" fontId="36" fillId="12" borderId="0" xfId="0" applyNumberFormat="1" applyFont="1" applyFill="1"/>
    <xf numFmtId="164" fontId="23" fillId="12" borderId="0" xfId="0" applyNumberFormat="1" applyFont="1" applyFill="1"/>
    <xf numFmtId="0" fontId="16" fillId="0" borderId="0" xfId="0" applyFont="1" applyFill="1" applyAlignment="1">
      <alignment horizontal="center"/>
    </xf>
    <xf numFmtId="0" fontId="16" fillId="0" borderId="0" xfId="0" applyFont="1" applyFill="1" applyAlignment="1">
      <alignment horizontal="left" indent="1"/>
    </xf>
    <xf numFmtId="17" fontId="16" fillId="0" borderId="0" xfId="0" applyNumberFormat="1" applyFont="1" applyFill="1" applyBorder="1" applyAlignment="1">
      <alignment horizontal="center"/>
    </xf>
    <xf numFmtId="289" fontId="24" fillId="0" borderId="0" xfId="0" applyNumberFormat="1" applyFont="1"/>
    <xf numFmtId="289" fontId="23" fillId="0" borderId="0" xfId="0" applyNumberFormat="1" applyFont="1" applyFill="1" applyBorder="1"/>
    <xf numFmtId="17" fontId="23" fillId="12" borderId="0" xfId="0" applyNumberFormat="1" applyFont="1" applyFill="1" applyBorder="1" applyAlignment="1">
      <alignment horizontal="center"/>
    </xf>
    <xf numFmtId="0" fontId="23" fillId="0" borderId="0" xfId="0" applyFont="1" applyFill="1"/>
    <xf numFmtId="10" fontId="12" fillId="0" borderId="0" xfId="9" applyNumberFormat="1" applyFont="1" applyFill="1" applyBorder="1"/>
    <xf numFmtId="9" fontId="12" fillId="0" borderId="0" xfId="9" applyFont="1" applyFill="1"/>
    <xf numFmtId="15" fontId="3" fillId="0" borderId="0" xfId="0" applyNumberFormat="1" applyFont="1" applyFill="1"/>
    <xf numFmtId="164" fontId="14" fillId="0" borderId="0" xfId="0" applyNumberFormat="1" applyFont="1" applyFill="1" applyBorder="1"/>
    <xf numFmtId="0" fontId="41" fillId="0" borderId="0" xfId="0" applyFont="1" applyAlignment="1">
      <alignment horizontal="center"/>
    </xf>
    <xf numFmtId="5" fontId="40" fillId="0" borderId="0" xfId="0" applyNumberFormat="1" applyFont="1" applyFill="1" applyBorder="1"/>
    <xf numFmtId="0" fontId="36" fillId="0" borderId="0" xfId="0" applyFont="1" applyFill="1" applyBorder="1" applyAlignment="1">
      <alignment horizontal="left"/>
    </xf>
    <xf numFmtId="15" fontId="3" fillId="6" borderId="0" xfId="7" applyNumberFormat="1" applyFont="1" applyFill="1"/>
    <xf numFmtId="0" fontId="3" fillId="0" borderId="0" xfId="0" applyFont="1" applyFill="1" applyAlignment="1">
      <alignment horizontal="left"/>
    </xf>
    <xf numFmtId="164" fontId="38" fillId="0" borderId="0" xfId="0" applyNumberFormat="1" applyFont="1" applyFill="1"/>
    <xf numFmtId="5" fontId="6" fillId="0" borderId="0" xfId="0" applyNumberFormat="1" applyFont="1" applyFill="1"/>
    <xf numFmtId="0" fontId="6" fillId="0" borderId="0" xfId="0" applyFont="1" applyFill="1"/>
    <xf numFmtId="164" fontId="6" fillId="0" borderId="0" xfId="0" applyNumberFormat="1" applyFont="1" applyFill="1"/>
    <xf numFmtId="164" fontId="40" fillId="0" borderId="0" xfId="0" applyNumberFormat="1" applyFont="1" applyFill="1" applyBorder="1"/>
    <xf numFmtId="0" fontId="32" fillId="0" borderId="0" xfId="7" applyFont="1" applyBorder="1"/>
    <xf numFmtId="17" fontId="8" fillId="0" borderId="0" xfId="7" applyNumberFormat="1" applyBorder="1"/>
    <xf numFmtId="0" fontId="42" fillId="0" borderId="0" xfId="7" applyFont="1" applyBorder="1"/>
    <xf numFmtId="0" fontId="24" fillId="0" borderId="0" xfId="0" applyFont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4" fillId="0" borderId="0" xfId="0" applyFont="1" applyFill="1" applyBorder="1" applyAlignment="1">
      <alignment horizontal="center"/>
    </xf>
    <xf numFmtId="44" fontId="3" fillId="0" borderId="20" xfId="2" applyNumberFormat="1" applyFont="1" applyBorder="1"/>
    <xf numFmtId="197" fontId="3" fillId="0" borderId="0" xfId="0" applyNumberFormat="1" applyFont="1"/>
    <xf numFmtId="0" fontId="24" fillId="0" borderId="0" xfId="0" applyFont="1" applyBorder="1"/>
    <xf numFmtId="191" fontId="0" fillId="0" borderId="0" xfId="0" applyNumberFormat="1" applyFill="1"/>
    <xf numFmtId="6" fontId="0" fillId="0" borderId="0" xfId="0" applyNumberFormat="1" applyFill="1"/>
    <xf numFmtId="14" fontId="0" fillId="0" borderId="0" xfId="0" applyNumberFormat="1" applyBorder="1"/>
    <xf numFmtId="2" fontId="0" fillId="0" borderId="0" xfId="0" applyNumberFormat="1" applyBorder="1"/>
    <xf numFmtId="0" fontId="12" fillId="0" borderId="0" xfId="0" applyFont="1" applyBorder="1"/>
    <xf numFmtId="0" fontId="0" fillId="0" borderId="38" xfId="0" applyBorder="1"/>
    <xf numFmtId="17" fontId="40" fillId="0" borderId="0" xfId="0" applyNumberFormat="1" applyFont="1" applyBorder="1" applyAlignment="1">
      <alignment horizontal="center"/>
    </xf>
    <xf numFmtId="0" fontId="14" fillId="0" borderId="0" xfId="0" applyFont="1" applyBorder="1"/>
    <xf numFmtId="9" fontId="3" fillId="0" borderId="0" xfId="0" applyNumberFormat="1" applyFont="1" applyBorder="1"/>
    <xf numFmtId="9" fontId="3" fillId="0" borderId="0" xfId="9" applyFont="1" applyFill="1" applyBorder="1"/>
    <xf numFmtId="9" fontId="24" fillId="0" borderId="0" xfId="0" applyNumberFormat="1" applyFont="1" applyBorder="1"/>
    <xf numFmtId="197" fontId="0" fillId="0" borderId="0" xfId="2" applyNumberFormat="1" applyFont="1" applyBorder="1"/>
    <xf numFmtId="9" fontId="3" fillId="0" borderId="0" xfId="0" applyNumberFormat="1" applyFont="1" applyFill="1" applyBorder="1"/>
    <xf numFmtId="164" fontId="14" fillId="0" borderId="0" xfId="0" applyNumberFormat="1" applyFont="1" applyBorder="1"/>
    <xf numFmtId="9" fontId="3" fillId="0" borderId="38" xfId="9" applyFont="1" applyBorder="1" applyAlignment="1">
      <alignment horizontal="center"/>
    </xf>
    <xf numFmtId="0" fontId="24" fillId="0" borderId="38" xfId="0" applyFont="1" applyBorder="1"/>
    <xf numFmtId="9" fontId="23" fillId="0" borderId="38" xfId="9" applyFont="1" applyFill="1" applyBorder="1"/>
    <xf numFmtId="10" fontId="23" fillId="0" borderId="38" xfId="9" applyNumberFormat="1" applyFont="1" applyFill="1" applyBorder="1"/>
    <xf numFmtId="10" fontId="3" fillId="0" borderId="38" xfId="9" applyNumberFormat="1" applyFont="1" applyFill="1" applyBorder="1"/>
    <xf numFmtId="164" fontId="3" fillId="0" borderId="38" xfId="1" applyNumberFormat="1" applyFont="1" applyFill="1" applyBorder="1"/>
    <xf numFmtId="190" fontId="0" fillId="0" borderId="28" xfId="1" applyNumberFormat="1" applyFont="1" applyBorder="1"/>
    <xf numFmtId="9" fontId="0" fillId="0" borderId="0" xfId="9" applyFont="1" applyBorder="1"/>
    <xf numFmtId="14" fontId="2" fillId="0" borderId="3" xfId="0" applyNumberFormat="1" applyFont="1" applyFill="1" applyBorder="1"/>
    <xf numFmtId="9" fontId="14" fillId="4" borderId="3" xfId="9" applyFont="1" applyFill="1" applyBorder="1"/>
    <xf numFmtId="10" fontId="0" fillId="0" borderId="3" xfId="1" applyNumberFormat="1" applyFont="1" applyFill="1" applyBorder="1"/>
    <xf numFmtId="37" fontId="0" fillId="0" borderId="0" xfId="0" applyNumberFormat="1"/>
    <xf numFmtId="10" fontId="5" fillId="4" borderId="3" xfId="9" applyNumberFormat="1" applyFont="1" applyFill="1" applyBorder="1"/>
    <xf numFmtId="0" fontId="5" fillId="4" borderId="27" xfId="0" applyFont="1" applyFill="1" applyBorder="1"/>
    <xf numFmtId="0" fontId="3" fillId="4" borderId="16" xfId="0" applyFont="1" applyFill="1" applyBorder="1"/>
    <xf numFmtId="0" fontId="5" fillId="4" borderId="3" xfId="0" applyFont="1" applyFill="1" applyBorder="1"/>
    <xf numFmtId="0" fontId="23" fillId="4" borderId="27" xfId="0" applyFont="1" applyFill="1" applyBorder="1"/>
    <xf numFmtId="0" fontId="23" fillId="4" borderId="3" xfId="0" applyFont="1" applyFill="1" applyBorder="1" applyAlignment="1">
      <alignment horizontal="right" shrinkToFit="1"/>
    </xf>
    <xf numFmtId="0" fontId="5" fillId="4" borderId="15" xfId="0" applyFont="1" applyFill="1" applyBorder="1"/>
    <xf numFmtId="0" fontId="23" fillId="4" borderId="3" xfId="0" applyFont="1" applyFill="1" applyBorder="1" applyAlignment="1">
      <alignment horizontal="right"/>
    </xf>
    <xf numFmtId="0" fontId="5" fillId="4" borderId="16" xfId="0" applyFont="1" applyFill="1" applyBorder="1"/>
    <xf numFmtId="43" fontId="3" fillId="0" borderId="0" xfId="1" applyFont="1" applyFill="1" applyBorder="1"/>
    <xf numFmtId="197" fontId="3" fillId="0" borderId="20" xfId="2" applyNumberFormat="1" applyFont="1" applyFill="1" applyBorder="1"/>
    <xf numFmtId="0" fontId="24" fillId="0" borderId="38" xfId="0" applyFont="1" applyFill="1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23" fillId="0" borderId="39" xfId="0" applyFont="1" applyFill="1" applyBorder="1"/>
    <xf numFmtId="0" fontId="23" fillId="0" borderId="40" xfId="0" applyFont="1" applyFill="1" applyBorder="1"/>
    <xf numFmtId="0" fontId="3" fillId="0" borderId="41" xfId="0" applyFont="1" applyFill="1" applyBorder="1"/>
    <xf numFmtId="5" fontId="3" fillId="0" borderId="41" xfId="0" applyNumberFormat="1" applyFont="1" applyFill="1" applyBorder="1"/>
    <xf numFmtId="0" fontId="23" fillId="0" borderId="42" xfId="0" applyFont="1" applyFill="1" applyBorder="1"/>
    <xf numFmtId="5" fontId="3" fillId="0" borderId="40" xfId="0" applyNumberFormat="1" applyFont="1" applyFill="1" applyBorder="1"/>
    <xf numFmtId="5" fontId="3" fillId="0" borderId="28" xfId="0" applyNumberFormat="1" applyFont="1" applyFill="1" applyBorder="1"/>
    <xf numFmtId="17" fontId="23" fillId="0" borderId="33" xfId="0" applyNumberFormat="1" applyFont="1" applyFill="1" applyBorder="1"/>
    <xf numFmtId="190" fontId="3" fillId="0" borderId="33" xfId="1" applyNumberFormat="1" applyFont="1" applyFill="1" applyBorder="1"/>
    <xf numFmtId="1" fontId="23" fillId="0" borderId="26" xfId="1" applyNumberFormat="1" applyFont="1" applyFill="1" applyBorder="1"/>
    <xf numFmtId="0" fontId="35" fillId="0" borderId="0" xfId="0" applyFont="1" applyAlignment="1">
      <alignment horizontal="center"/>
    </xf>
    <xf numFmtId="44" fontId="0" fillId="0" borderId="0" xfId="0" applyNumberFormat="1" applyFill="1"/>
    <xf numFmtId="190" fontId="3" fillId="0" borderId="20" xfId="2" applyNumberFormat="1" applyFont="1" applyFill="1" applyBorder="1"/>
    <xf numFmtId="37" fontId="3" fillId="4" borderId="0" xfId="0" applyNumberFormat="1" applyFont="1" applyFill="1"/>
    <xf numFmtId="2" fontId="14" fillId="4" borderId="3" xfId="0" applyNumberFormat="1" applyFont="1" applyFill="1" applyBorder="1"/>
    <xf numFmtId="182" fontId="20" fillId="0" borderId="11" xfId="9" applyNumberFormat="1" applyFont="1" applyFill="1" applyBorder="1"/>
    <xf numFmtId="166" fontId="14" fillId="4" borderId="3" xfId="0" applyNumberFormat="1" applyFont="1" applyFill="1" applyBorder="1"/>
    <xf numFmtId="167" fontId="0" fillId="4" borderId="3" xfId="9" applyNumberFormat="1" applyFont="1" applyFill="1" applyBorder="1"/>
    <xf numFmtId="0" fontId="8" fillId="0" borderId="0" xfId="7" quotePrefix="1" applyFont="1"/>
    <xf numFmtId="14" fontId="0" fillId="0" borderId="26" xfId="0" applyNumberFormat="1" applyBorder="1"/>
    <xf numFmtId="0" fontId="0" fillId="0" borderId="26" xfId="0" applyFill="1" applyBorder="1"/>
    <xf numFmtId="6" fontId="0" fillId="4" borderId="26" xfId="0" applyNumberFormat="1" applyFill="1" applyBorder="1"/>
    <xf numFmtId="2" fontId="0" fillId="0" borderId="26" xfId="0" applyNumberFormat="1" applyBorder="1"/>
    <xf numFmtId="0" fontId="47" fillId="0" borderId="0" xfId="0" applyFont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237" fontId="0" fillId="13" borderId="27" xfId="0" applyNumberFormat="1" applyFill="1" applyBorder="1"/>
    <xf numFmtId="193" fontId="0" fillId="0" borderId="0" xfId="0" applyNumberFormat="1"/>
    <xf numFmtId="193" fontId="0" fillId="0" borderId="0" xfId="0" applyNumberFormat="1" applyFill="1" applyBorder="1"/>
    <xf numFmtId="0" fontId="47" fillId="0" borderId="0" xfId="0" applyFont="1" applyFill="1" applyBorder="1" applyAlignment="1">
      <alignment horizontal="center"/>
    </xf>
    <xf numFmtId="0" fontId="24" fillId="0" borderId="0" xfId="0" applyFont="1" applyFill="1" applyBorder="1" applyAlignment="1">
      <alignment horizontal="center" wrapText="1"/>
    </xf>
    <xf numFmtId="0" fontId="48" fillId="14" borderId="0" xfId="0" applyFont="1" applyFill="1"/>
    <xf numFmtId="0" fontId="24" fillId="0" borderId="27" xfId="0" applyFont="1" applyBorder="1" applyAlignment="1">
      <alignment horizontal="center"/>
    </xf>
    <xf numFmtId="0" fontId="16" fillId="0" borderId="43" xfId="0" applyFont="1" applyBorder="1" applyAlignment="1"/>
    <xf numFmtId="0" fontId="16" fillId="0" borderId="44" xfId="0" applyFont="1" applyBorder="1" applyAlignment="1"/>
    <xf numFmtId="0" fontId="24" fillId="4" borderId="43" xfId="0" applyFont="1" applyFill="1" applyBorder="1" applyAlignment="1">
      <alignment horizontal="center" wrapText="1"/>
    </xf>
    <xf numFmtId="0" fontId="24" fillId="4" borderId="45" xfId="0" applyFont="1" applyFill="1" applyBorder="1" applyAlignment="1">
      <alignment horizontal="center" wrapText="1"/>
    </xf>
    <xf numFmtId="237" fontId="0" fillId="4" borderId="46" xfId="0" applyNumberFormat="1" applyFill="1" applyBorder="1"/>
    <xf numFmtId="237" fontId="0" fillId="4" borderId="47" xfId="0" applyNumberFormat="1" applyFill="1" applyBorder="1"/>
    <xf numFmtId="0" fontId="0" fillId="4" borderId="46" xfId="0" applyFill="1" applyBorder="1"/>
    <xf numFmtId="6" fontId="0" fillId="4" borderId="46" xfId="0" applyNumberFormat="1" applyFill="1" applyBorder="1"/>
    <xf numFmtId="8" fontId="0" fillId="4" borderId="46" xfId="0" applyNumberFormat="1" applyFill="1" applyBorder="1"/>
    <xf numFmtId="0" fontId="0" fillId="4" borderId="48" xfId="0" applyFill="1" applyBorder="1"/>
    <xf numFmtId="0" fontId="0" fillId="4" borderId="0" xfId="0" applyFill="1"/>
    <xf numFmtId="190" fontId="0" fillId="4" borderId="46" xfId="1" applyNumberFormat="1" applyFont="1" applyFill="1" applyBorder="1"/>
    <xf numFmtId="6" fontId="0" fillId="10" borderId="3" xfId="0" applyNumberFormat="1" applyFill="1" applyBorder="1"/>
    <xf numFmtId="237" fontId="0" fillId="13" borderId="16" xfId="0" applyNumberFormat="1" applyFill="1" applyBorder="1"/>
    <xf numFmtId="6" fontId="0" fillId="10" borderId="17" xfId="0" applyNumberFormat="1" applyFill="1" applyBorder="1"/>
    <xf numFmtId="6" fontId="0" fillId="10" borderId="46" xfId="0" applyNumberFormat="1" applyFill="1" applyBorder="1"/>
    <xf numFmtId="6" fontId="0" fillId="10" borderId="48" xfId="0" applyNumberFormat="1" applyFill="1" applyBorder="1"/>
    <xf numFmtId="0" fontId="24" fillId="13" borderId="49" xfId="0" applyFont="1" applyFill="1" applyBorder="1" applyAlignment="1">
      <alignment horizontal="center" wrapText="1"/>
    </xf>
    <xf numFmtId="0" fontId="24" fillId="10" borderId="45" xfId="0" applyFont="1" applyFill="1" applyBorder="1" applyAlignment="1">
      <alignment horizontal="center" wrapText="1"/>
    </xf>
    <xf numFmtId="0" fontId="24" fillId="10" borderId="44" xfId="0" applyFont="1" applyFill="1" applyBorder="1" applyAlignment="1">
      <alignment horizontal="center" wrapText="1"/>
    </xf>
    <xf numFmtId="0" fontId="24" fillId="13" borderId="45" xfId="0" applyFont="1" applyFill="1" applyBorder="1" applyAlignment="1">
      <alignment horizontal="center" wrapText="1"/>
    </xf>
    <xf numFmtId="14" fontId="0" fillId="0" borderId="27" xfId="0" applyNumberFormat="1" applyBorder="1"/>
    <xf numFmtId="0" fontId="0" fillId="0" borderId="49" xfId="0" applyBorder="1"/>
    <xf numFmtId="14" fontId="0" fillId="0" borderId="16" xfId="0" applyNumberFormat="1" applyBorder="1"/>
    <xf numFmtId="6" fontId="0" fillId="13" borderId="3" xfId="0" applyNumberFormat="1" applyFill="1" applyBorder="1"/>
    <xf numFmtId="6" fontId="0" fillId="13" borderId="46" xfId="0" applyNumberFormat="1" applyFill="1" applyBorder="1"/>
    <xf numFmtId="6" fontId="0" fillId="13" borderId="48" xfId="0" applyNumberFormat="1" applyFill="1" applyBorder="1"/>
    <xf numFmtId="0" fontId="16" fillId="0" borderId="49" xfId="0" applyFont="1" applyBorder="1" applyAlignment="1"/>
    <xf numFmtId="17" fontId="4" fillId="6" borderId="50" xfId="0" applyNumberFormat="1" applyFont="1" applyFill="1" applyBorder="1" applyAlignment="1">
      <alignment horizontal="center"/>
    </xf>
    <xf numFmtId="15" fontId="23" fillId="0" borderId="0" xfId="0" applyNumberFormat="1" applyFont="1" applyFill="1" applyBorder="1"/>
    <xf numFmtId="168" fontId="5" fillId="0" borderId="0" xfId="6" applyNumberFormat="1" applyFont="1" applyFill="1" applyBorder="1" applyAlignment="1"/>
    <xf numFmtId="10" fontId="5" fillId="0" borderId="0" xfId="9" applyNumberFormat="1" applyFont="1" applyFill="1" applyBorder="1"/>
    <xf numFmtId="190" fontId="3" fillId="0" borderId="0" xfId="0" applyNumberFormat="1" applyFont="1" applyFill="1" applyBorder="1"/>
    <xf numFmtId="4" fontId="3" fillId="0" borderId="0" xfId="0" applyNumberFormat="1" applyFont="1" applyFill="1" applyBorder="1"/>
    <xf numFmtId="0" fontId="17" fillId="7" borderId="31" xfId="0" applyFont="1" applyFill="1" applyBorder="1"/>
    <xf numFmtId="5" fontId="17" fillId="7" borderId="40" xfId="0" applyNumberFormat="1" applyFont="1" applyFill="1" applyBorder="1"/>
    <xf numFmtId="5" fontId="17" fillId="7" borderId="42" xfId="0" applyNumberFormat="1" applyFont="1" applyFill="1" applyBorder="1"/>
    <xf numFmtId="9" fontId="23" fillId="0" borderId="0" xfId="9" applyFont="1" applyFill="1" applyBorder="1"/>
    <xf numFmtId="235" fontId="3" fillId="0" borderId="0" xfId="0" applyNumberFormat="1" applyFont="1" applyFill="1" applyBorder="1"/>
    <xf numFmtId="37" fontId="23" fillId="0" borderId="0" xfId="5" applyFont="1" applyFill="1" applyBorder="1" applyAlignment="1"/>
    <xf numFmtId="164" fontId="3" fillId="0" borderId="28" xfId="0" applyNumberFormat="1" applyFont="1" applyFill="1" applyBorder="1" applyAlignment="1">
      <alignment horizontal="right"/>
    </xf>
    <xf numFmtId="0" fontId="20" fillId="0" borderId="0" xfId="7" applyNumberFormat="1" applyFont="1" applyBorder="1"/>
    <xf numFmtId="164" fontId="3" fillId="10" borderId="0" xfId="2" applyNumberFormat="1" applyFont="1" applyFill="1"/>
    <xf numFmtId="164" fontId="6" fillId="10" borderId="0" xfId="0" applyNumberFormat="1" applyFont="1" applyFill="1"/>
    <xf numFmtId="0" fontId="0" fillId="0" borderId="0" xfId="0" applyFill="1" applyBorder="1" applyAlignment="1">
      <alignment horizontal="center"/>
    </xf>
    <xf numFmtId="190" fontId="3" fillId="0" borderId="0" xfId="1" applyNumberFormat="1" applyFont="1" applyBorder="1"/>
    <xf numFmtId="164" fontId="6" fillId="0" borderId="0" xfId="0" applyNumberFormat="1" applyFont="1" applyBorder="1"/>
    <xf numFmtId="164" fontId="3" fillId="0" borderId="0" xfId="2" applyNumberFormat="1" applyFont="1" applyFill="1" applyBorder="1"/>
    <xf numFmtId="43" fontId="3" fillId="0" borderId="0" xfId="1" applyFont="1" applyBorder="1"/>
    <xf numFmtId="5" fontId="40" fillId="4" borderId="0" xfId="0" applyNumberFormat="1" applyFont="1" applyFill="1" applyBorder="1"/>
    <xf numFmtId="5" fontId="3" fillId="4" borderId="0" xfId="0" applyNumberFormat="1" applyFont="1" applyFill="1" applyBorder="1"/>
    <xf numFmtId="164" fontId="23" fillId="0" borderId="0" xfId="0" applyNumberFormat="1" applyFont="1" applyFill="1"/>
    <xf numFmtId="8" fontId="0" fillId="4" borderId="0" xfId="0" applyNumberFormat="1" applyFill="1" applyBorder="1"/>
    <xf numFmtId="190" fontId="40" fillId="0" borderId="0" xfId="1" applyNumberFormat="1" applyFont="1" applyFill="1" applyBorder="1"/>
    <xf numFmtId="0" fontId="14" fillId="0" borderId="0" xfId="0" applyFont="1" applyFill="1"/>
    <xf numFmtId="232" fontId="14" fillId="0" borderId="0" xfId="0" applyNumberFormat="1" applyFont="1" applyFill="1" applyBorder="1"/>
    <xf numFmtId="166" fontId="14" fillId="13" borderId="46" xfId="0" applyNumberFormat="1" applyFont="1" applyFill="1" applyBorder="1"/>
    <xf numFmtId="0" fontId="14" fillId="0" borderId="49" xfId="0" applyFont="1" applyFill="1" applyBorder="1"/>
    <xf numFmtId="0" fontId="24" fillId="0" borderId="45" xfId="0" applyFont="1" applyBorder="1" applyAlignment="1">
      <alignment wrapText="1"/>
    </xf>
    <xf numFmtId="0" fontId="24" fillId="0" borderId="43" xfId="0" applyFont="1" applyBorder="1" applyAlignment="1">
      <alignment wrapText="1"/>
    </xf>
    <xf numFmtId="0" fontId="24" fillId="13" borderId="45" xfId="0" applyFont="1" applyFill="1" applyBorder="1" applyAlignment="1">
      <alignment wrapText="1"/>
    </xf>
    <xf numFmtId="232" fontId="14" fillId="0" borderId="38" xfId="0" applyNumberFormat="1" applyFont="1" applyFill="1" applyBorder="1"/>
    <xf numFmtId="166" fontId="14" fillId="13" borderId="48" xfId="0" applyNumberFormat="1" applyFont="1" applyFill="1" applyBorder="1"/>
    <xf numFmtId="190" fontId="14" fillId="4" borderId="3" xfId="1" applyNumberFormat="1" applyFont="1" applyFill="1" applyBorder="1" applyAlignment="1">
      <alignment horizontal="right"/>
    </xf>
    <xf numFmtId="7" fontId="20" fillId="0" borderId="0" xfId="7" applyNumberFormat="1" applyFont="1" applyBorder="1"/>
    <xf numFmtId="165" fontId="0" fillId="0" borderId="0" xfId="0" applyNumberFormat="1" applyFill="1" applyBorder="1" applyAlignment="1">
      <alignment horizontal="center"/>
    </xf>
    <xf numFmtId="165" fontId="0" fillId="0" borderId="0" xfId="0" applyNumberFormat="1" applyFill="1" applyBorder="1"/>
    <xf numFmtId="0" fontId="24" fillId="0" borderId="0" xfId="0" applyFont="1" applyFill="1" applyBorder="1" applyAlignment="1">
      <alignment horizontal="center" wrapText="1" shrinkToFit="1"/>
    </xf>
    <xf numFmtId="0" fontId="24" fillId="0" borderId="0" xfId="0" applyFont="1" applyFill="1" applyBorder="1" applyAlignment="1">
      <alignment wrapText="1"/>
    </xf>
    <xf numFmtId="164" fontId="3" fillId="0" borderId="28" xfId="0" applyNumberFormat="1" applyFont="1" applyFill="1" applyBorder="1"/>
    <xf numFmtId="165" fontId="0" fillId="4" borderId="38" xfId="0" applyNumberFormat="1" applyFill="1" applyBorder="1" applyAlignment="1">
      <alignment horizontal="center"/>
    </xf>
    <xf numFmtId="166" fontId="0" fillId="0" borderId="28" xfId="0" applyNumberFormat="1" applyBorder="1"/>
    <xf numFmtId="0" fontId="23" fillId="0" borderId="21" xfId="0" quotePrefix="1" applyFont="1" applyBorder="1" applyAlignment="1">
      <alignment horizontal="center"/>
    </xf>
    <xf numFmtId="0" fontId="49" fillId="0" borderId="0" xfId="0" applyFont="1" applyAlignment="1">
      <alignment wrapText="1"/>
    </xf>
    <xf numFmtId="43" fontId="2" fillId="0" borderId="0" xfId="1"/>
    <xf numFmtId="0" fontId="50" fillId="0" borderId="35" xfId="0" applyFont="1" applyFill="1" applyBorder="1"/>
    <xf numFmtId="0" fontId="49" fillId="0" borderId="32" xfId="0" applyFont="1" applyBorder="1"/>
    <xf numFmtId="0" fontId="49" fillId="0" borderId="0" xfId="0" applyFont="1"/>
    <xf numFmtId="0" fontId="50" fillId="0" borderId="29" xfId="0" applyFont="1" applyBorder="1" applyAlignment="1">
      <alignment horizontal="center"/>
    </xf>
    <xf numFmtId="0" fontId="51" fillId="0" borderId="32" xfId="0" applyFont="1" applyBorder="1"/>
    <xf numFmtId="0" fontId="49" fillId="0" borderId="30" xfId="0" applyFont="1" applyBorder="1"/>
    <xf numFmtId="0" fontId="49" fillId="0" borderId="33" xfId="0" applyFont="1" applyBorder="1"/>
    <xf numFmtId="0" fontId="51" fillId="0" borderId="30" xfId="0" applyFont="1" applyBorder="1"/>
    <xf numFmtId="0" fontId="51" fillId="0" borderId="0" xfId="0" applyFont="1" applyBorder="1" applyAlignment="1">
      <alignment horizontal="center"/>
    </xf>
    <xf numFmtId="0" fontId="52" fillId="0" borderId="33" xfId="0" applyFont="1" applyBorder="1" applyAlignment="1">
      <alignment horizontal="center"/>
    </xf>
    <xf numFmtId="0" fontId="51" fillId="0" borderId="33" xfId="0" applyFont="1" applyFill="1" applyBorder="1"/>
    <xf numFmtId="0" fontId="53" fillId="0" borderId="0" xfId="0" applyFont="1" applyBorder="1" applyAlignment="1">
      <alignment horizontal="center"/>
    </xf>
    <xf numFmtId="0" fontId="54" fillId="0" borderId="33" xfId="0" applyFont="1" applyBorder="1" applyAlignment="1">
      <alignment horizontal="center"/>
    </xf>
    <xf numFmtId="0" fontId="51" fillId="0" borderId="30" xfId="0" applyFont="1" applyFill="1" applyBorder="1"/>
    <xf numFmtId="202" fontId="55" fillId="0" borderId="0" xfId="8" applyNumberFormat="1" applyFont="1" applyFill="1" applyBorder="1"/>
    <xf numFmtId="202" fontId="52" fillId="0" borderId="33" xfId="0" applyNumberFormat="1" applyFont="1" applyBorder="1"/>
    <xf numFmtId="0" fontId="51" fillId="0" borderId="31" xfId="0" applyFont="1" applyFill="1" applyBorder="1"/>
    <xf numFmtId="0" fontId="51" fillId="0" borderId="1" xfId="0" applyFont="1" applyFill="1" applyBorder="1"/>
    <xf numFmtId="0" fontId="51" fillId="0" borderId="31" xfId="0" applyFont="1" applyBorder="1"/>
    <xf numFmtId="202" fontId="55" fillId="0" borderId="26" xfId="8" applyNumberFormat="1" applyFont="1" applyFill="1" applyBorder="1"/>
    <xf numFmtId="202" fontId="52" fillId="0" borderId="1" xfId="0" applyNumberFormat="1" applyFont="1" applyBorder="1"/>
    <xf numFmtId="0" fontId="0" fillId="4" borderId="27" xfId="0" applyFill="1" applyBorder="1" applyAlignment="1">
      <alignment horizontal="left" indent="2"/>
    </xf>
    <xf numFmtId="0" fontId="0" fillId="4" borderId="27" xfId="0" applyFill="1" applyBorder="1" applyAlignment="1">
      <alignment horizontal="left"/>
    </xf>
    <xf numFmtId="167" fontId="14" fillId="0" borderId="3" xfId="9" applyNumberFormat="1" applyFont="1" applyFill="1" applyBorder="1"/>
    <xf numFmtId="166" fontId="3" fillId="0" borderId="28" xfId="0" applyNumberFormat="1" applyFont="1" applyFill="1" applyBorder="1"/>
    <xf numFmtId="8" fontId="0" fillId="4" borderId="26" xfId="0" applyNumberFormat="1" applyFill="1" applyBorder="1"/>
    <xf numFmtId="237" fontId="0" fillId="13" borderId="51" xfId="0" applyNumberFormat="1" applyFill="1" applyBorder="1"/>
    <xf numFmtId="6" fontId="0" fillId="10" borderId="47" xfId="0" applyNumberFormat="1" applyFill="1" applyBorder="1"/>
    <xf numFmtId="6" fontId="0" fillId="10" borderId="52" xfId="0" applyNumberFormat="1" applyFill="1" applyBorder="1"/>
    <xf numFmtId="0" fontId="0" fillId="5" borderId="0" xfId="0" applyFill="1"/>
    <xf numFmtId="37" fontId="3" fillId="5" borderId="0" xfId="0" applyNumberFormat="1" applyFont="1" applyFill="1" applyBorder="1"/>
    <xf numFmtId="6" fontId="0" fillId="5" borderId="0" xfId="0" applyNumberFormat="1" applyFill="1"/>
    <xf numFmtId="190" fontId="3" fillId="5" borderId="0" xfId="1" applyNumberFormat="1" applyFont="1" applyFill="1" applyBorder="1"/>
    <xf numFmtId="192" fontId="40" fillId="0" borderId="0" xfId="0" applyNumberFormat="1" applyFont="1" applyFill="1" applyBorder="1"/>
    <xf numFmtId="9" fontId="3" fillId="0" borderId="0" xfId="9" applyFont="1" applyFill="1" applyBorder="1" applyAlignment="1">
      <alignment horizontal="center"/>
    </xf>
    <xf numFmtId="7" fontId="3" fillId="0" borderId="0" xfId="0" applyNumberFormat="1" applyFont="1" applyFill="1" applyBorder="1"/>
    <xf numFmtId="17" fontId="3" fillId="0" borderId="0" xfId="0" applyNumberFormat="1" applyFont="1" applyFill="1" applyBorder="1" applyAlignment="1">
      <alignment horizontal="center"/>
    </xf>
    <xf numFmtId="14" fontId="3" fillId="0" borderId="0" xfId="0" applyNumberFormat="1" applyFont="1" applyFill="1" applyBorder="1"/>
    <xf numFmtId="15" fontId="40" fillId="0" borderId="0" xfId="0" applyNumberFormat="1" applyFont="1" applyFill="1" applyBorder="1" applyAlignment="1">
      <alignment horizontal="center"/>
    </xf>
    <xf numFmtId="190" fontId="40" fillId="0" borderId="0" xfId="1" applyNumberFormat="1" applyFont="1" applyFill="1" applyBorder="1" applyAlignment="1">
      <alignment horizontal="center"/>
    </xf>
    <xf numFmtId="5" fontId="3" fillId="5" borderId="0" xfId="0" applyNumberFormat="1" applyFont="1" applyFill="1" applyBorder="1"/>
    <xf numFmtId="0" fontId="24" fillId="4" borderId="27" xfId="0" applyFont="1" applyFill="1" applyBorder="1"/>
    <xf numFmtId="0" fontId="3" fillId="5" borderId="0" xfId="0" applyFont="1" applyFill="1" applyBorder="1" applyAlignment="1">
      <alignment horizontal="left" indent="1"/>
    </xf>
    <xf numFmtId="0" fontId="16" fillId="0" borderId="0" xfId="0" applyFont="1" applyBorder="1" applyAlignment="1">
      <alignment horizontal="center"/>
    </xf>
    <xf numFmtId="167" fontId="3" fillId="0" borderId="0" xfId="0" applyNumberFormat="1" applyFont="1"/>
    <xf numFmtId="0" fontId="3" fillId="5" borderId="0" xfId="0" applyFont="1" applyFill="1"/>
    <xf numFmtId="0" fontId="24" fillId="0" borderId="27" xfId="0" applyFont="1" applyFill="1" applyBorder="1"/>
    <xf numFmtId="0" fontId="19" fillId="0" borderId="0" xfId="7" applyFont="1" applyBorder="1"/>
    <xf numFmtId="0" fontId="3" fillId="5" borderId="0" xfId="0" applyFont="1" applyFill="1" applyBorder="1"/>
    <xf numFmtId="17" fontId="3" fillId="5" borderId="0" xfId="0" applyNumberFormat="1" applyFont="1" applyFill="1"/>
    <xf numFmtId="166" fontId="3" fillId="5" borderId="0" xfId="0" applyNumberFormat="1" applyFont="1" applyFill="1"/>
    <xf numFmtId="0" fontId="3" fillId="5" borderId="26" xfId="0" applyFont="1" applyFill="1" applyBorder="1" applyAlignment="1">
      <alignment horizontal="left" indent="1"/>
    </xf>
    <xf numFmtId="37" fontId="3" fillId="5" borderId="26" xfId="0" applyNumberFormat="1" applyFont="1" applyFill="1" applyBorder="1"/>
    <xf numFmtId="0" fontId="3" fillId="5" borderId="26" xfId="0" applyFont="1" applyFill="1" applyBorder="1"/>
    <xf numFmtId="190" fontId="3" fillId="5" borderId="0" xfId="2" applyNumberFormat="1" applyFont="1" applyFill="1"/>
    <xf numFmtId="0" fontId="56" fillId="0" borderId="0" xfId="0" applyFont="1"/>
    <xf numFmtId="237" fontId="0" fillId="0" borderId="0" xfId="0" applyNumberFormat="1" applyFill="1" applyBorder="1"/>
    <xf numFmtId="3" fontId="3" fillId="0" borderId="28" xfId="0" applyNumberFormat="1" applyFont="1" applyBorder="1"/>
    <xf numFmtId="0" fontId="24" fillId="0" borderId="0" xfId="0" applyFont="1" applyBorder="1" applyAlignment="1">
      <alignment horizontal="left"/>
    </xf>
    <xf numFmtId="0" fontId="3" fillId="8" borderId="0" xfId="0" applyFont="1" applyFill="1"/>
    <xf numFmtId="17" fontId="3" fillId="8" borderId="0" xfId="0" applyNumberFormat="1" applyFont="1" applyFill="1"/>
    <xf numFmtId="190" fontId="3" fillId="8" borderId="0" xfId="1" applyNumberFormat="1" applyFont="1" applyFill="1" applyBorder="1"/>
    <xf numFmtId="0" fontId="24" fillId="4" borderId="14" xfId="0" applyFont="1" applyFill="1" applyBorder="1"/>
    <xf numFmtId="166" fontId="14" fillId="4" borderId="15" xfId="0" applyNumberFormat="1" applyFont="1" applyFill="1" applyBorder="1"/>
    <xf numFmtId="0" fontId="0" fillId="0" borderId="17" xfId="0" applyFill="1" applyBorder="1"/>
    <xf numFmtId="0" fontId="3" fillId="0" borderId="0" xfId="0" applyFont="1" applyFill="1" applyAlignment="1">
      <alignment horizontal="left" indent="1"/>
    </xf>
    <xf numFmtId="192" fontId="0" fillId="0" borderId="0" xfId="0" applyNumberFormat="1"/>
    <xf numFmtId="0" fontId="0" fillId="15" borderId="0" xfId="0" applyFill="1" applyBorder="1" applyAlignment="1">
      <alignment horizontal="center"/>
    </xf>
    <xf numFmtId="0" fontId="16" fillId="0" borderId="49" xfId="0" applyFont="1" applyBorder="1" applyAlignment="1">
      <alignment horizontal="left"/>
    </xf>
    <xf numFmtId="0" fontId="16" fillId="0" borderId="43" xfId="0" applyFont="1" applyBorder="1" applyAlignment="1">
      <alignment horizontal="left"/>
    </xf>
    <xf numFmtId="180" fontId="0" fillId="0" borderId="0" xfId="2" applyNumberFormat="1" applyFont="1" applyFill="1" applyBorder="1"/>
    <xf numFmtId="180" fontId="0" fillId="0" borderId="0" xfId="0" applyNumberFormat="1" applyFill="1" applyBorder="1"/>
    <xf numFmtId="193" fontId="0" fillId="4" borderId="27" xfId="0" applyNumberFormat="1" applyFill="1" applyBorder="1"/>
    <xf numFmtId="193" fontId="0" fillId="4" borderId="16" xfId="0" applyNumberFormat="1" applyFill="1" applyBorder="1"/>
    <xf numFmtId="180" fontId="0" fillId="0" borderId="38" xfId="0" applyNumberFormat="1" applyFill="1" applyBorder="1"/>
    <xf numFmtId="0" fontId="24" fillId="0" borderId="49" xfId="0" applyFont="1" applyFill="1" applyBorder="1" applyAlignment="1">
      <alignment horizontal="center" wrapText="1"/>
    </xf>
    <xf numFmtId="0" fontId="24" fillId="0" borderId="43" xfId="0" applyFont="1" applyFill="1" applyBorder="1" applyAlignment="1">
      <alignment horizontal="center" wrapText="1"/>
    </xf>
    <xf numFmtId="0" fontId="24" fillId="0" borderId="45" xfId="0" applyFont="1" applyFill="1" applyBorder="1" applyAlignment="1">
      <alignment horizontal="center" wrapText="1"/>
    </xf>
    <xf numFmtId="166" fontId="0" fillId="0" borderId="46" xfId="0" applyNumberFormat="1" applyFill="1" applyBorder="1"/>
    <xf numFmtId="166" fontId="0" fillId="0" borderId="48" xfId="0" applyNumberFormat="1" applyFill="1" applyBorder="1"/>
    <xf numFmtId="193" fontId="0" fillId="0" borderId="46" xfId="0" applyNumberFormat="1" applyFill="1" applyBorder="1"/>
    <xf numFmtId="193" fontId="0" fillId="0" borderId="48" xfId="0" applyNumberFormat="1" applyFill="1" applyBorder="1"/>
    <xf numFmtId="43" fontId="3" fillId="0" borderId="0" xfId="0" applyNumberFormat="1" applyFont="1" applyBorder="1"/>
    <xf numFmtId="166" fontId="3" fillId="0" borderId="0" xfId="0" applyNumberFormat="1" applyFont="1"/>
    <xf numFmtId="166" fontId="0" fillId="0" borderId="0" xfId="0" applyNumberFormat="1"/>
    <xf numFmtId="166" fontId="0" fillId="0" borderId="0" xfId="0" applyNumberFormat="1" applyBorder="1"/>
    <xf numFmtId="166" fontId="0" fillId="0" borderId="38" xfId="0" applyNumberFormat="1" applyBorder="1"/>
    <xf numFmtId="0" fontId="24" fillId="0" borderId="49" xfId="0" applyFont="1" applyBorder="1" applyAlignment="1">
      <alignment wrapText="1"/>
    </xf>
    <xf numFmtId="0" fontId="24" fillId="0" borderId="43" xfId="0" applyFont="1" applyBorder="1" applyAlignment="1">
      <alignment horizontal="center" wrapText="1"/>
    </xf>
    <xf numFmtId="166" fontId="0" fillId="0" borderId="46" xfId="0" applyNumberFormat="1" applyBorder="1"/>
    <xf numFmtId="166" fontId="0" fillId="0" borderId="48" xfId="0" applyNumberFormat="1" applyBorder="1"/>
    <xf numFmtId="6" fontId="26" fillId="4" borderId="46" xfId="0" applyNumberFormat="1" applyFont="1" applyFill="1" applyBorder="1"/>
    <xf numFmtId="3" fontId="3" fillId="13" borderId="0" xfId="0" applyNumberFormat="1" applyFont="1" applyFill="1" applyBorder="1"/>
    <xf numFmtId="192" fontId="24" fillId="0" borderId="0" xfId="0" applyNumberFormat="1" applyFont="1" applyBorder="1" applyAlignment="1">
      <alignment horizontal="center"/>
    </xf>
    <xf numFmtId="2" fontId="0" fillId="4" borderId="0" xfId="0" applyNumberFormat="1" applyFill="1" applyBorder="1"/>
    <xf numFmtId="2" fontId="0" fillId="4" borderId="38" xfId="0" applyNumberFormat="1" applyFill="1" applyBorder="1"/>
    <xf numFmtId="0" fontId="3" fillId="0" borderId="0" xfId="0" applyFont="1" applyBorder="1" applyAlignment="1">
      <alignment horizontal="left" indent="2"/>
    </xf>
    <xf numFmtId="5" fontId="20" fillId="0" borderId="0" xfId="7" applyNumberFormat="1" applyFont="1" applyFill="1" applyBorder="1"/>
    <xf numFmtId="0" fontId="24" fillId="4" borderId="27" xfId="0" applyFont="1" applyFill="1" applyBorder="1" applyAlignment="1">
      <alignment horizontal="left"/>
    </xf>
    <xf numFmtId="0" fontId="24" fillId="0" borderId="0" xfId="0" applyFont="1" applyAlignment="1">
      <alignment horizontal="left" wrapText="1"/>
    </xf>
    <xf numFmtId="190" fontId="0" fillId="0" borderId="0" xfId="0" applyNumberFormat="1"/>
    <xf numFmtId="167" fontId="0" fillId="0" borderId="0" xfId="0" applyNumberFormat="1"/>
    <xf numFmtId="43" fontId="14" fillId="0" borderId="0" xfId="1" applyFont="1" applyFill="1" applyBorder="1"/>
    <xf numFmtId="190" fontId="0" fillId="0" borderId="0" xfId="1" applyNumberFormat="1" applyFont="1" applyBorder="1"/>
    <xf numFmtId="9" fontId="0" fillId="0" borderId="28" xfId="9" applyFont="1" applyBorder="1"/>
    <xf numFmtId="190" fontId="14" fillId="4" borderId="3" xfId="1" applyNumberFormat="1" applyFont="1" applyFill="1" applyBorder="1"/>
    <xf numFmtId="1" fontId="0" fillId="0" borderId="28" xfId="0" applyNumberFormat="1" applyBorder="1"/>
    <xf numFmtId="164" fontId="0" fillId="4" borderId="53" xfId="0" applyNumberFormat="1" applyFill="1" applyBorder="1"/>
    <xf numFmtId="0" fontId="0" fillId="0" borderId="32" xfId="0" applyBorder="1"/>
    <xf numFmtId="0" fontId="0" fillId="0" borderId="33" xfId="0" applyBorder="1"/>
    <xf numFmtId="6" fontId="26" fillId="4" borderId="47" xfId="0" applyNumberFormat="1" applyFont="1" applyFill="1" applyBorder="1"/>
    <xf numFmtId="197" fontId="20" fillId="0" borderId="9" xfId="7" applyNumberFormat="1" applyFont="1" applyBorder="1"/>
    <xf numFmtId="1" fontId="0" fillId="4" borderId="46" xfId="0" applyNumberFormat="1" applyFill="1" applyBorder="1"/>
    <xf numFmtId="0" fontId="14" fillId="0" borderId="27" xfId="0" applyFont="1" applyFill="1" applyBorder="1"/>
    <xf numFmtId="197" fontId="0" fillId="0" borderId="0" xfId="0" applyNumberFormat="1" applyFill="1"/>
    <xf numFmtId="0" fontId="23" fillId="0" borderId="0" xfId="0" applyFont="1" applyFill="1" applyBorder="1" applyAlignment="1">
      <alignment horizontal="left"/>
    </xf>
    <xf numFmtId="165" fontId="0" fillId="0" borderId="0" xfId="0" applyNumberFormat="1" applyFill="1" applyBorder="1" applyAlignment="1"/>
    <xf numFmtId="0" fontId="0" fillId="4" borderId="14" xfId="0" applyFill="1" applyBorder="1"/>
    <xf numFmtId="165" fontId="0" fillId="4" borderId="4" xfId="0" applyNumberFormat="1" applyFill="1" applyBorder="1" applyAlignment="1">
      <alignment horizontal="center"/>
    </xf>
    <xf numFmtId="165" fontId="0" fillId="4" borderId="15" xfId="0" applyNumberFormat="1" applyFill="1" applyBorder="1" applyAlignment="1">
      <alignment horizontal="center"/>
    </xf>
    <xf numFmtId="164" fontId="0" fillId="4" borderId="17" xfId="0" applyNumberFormat="1" applyFill="1" applyBorder="1"/>
    <xf numFmtId="190" fontId="0" fillId="0" borderId="0" xfId="1" quotePrefix="1" applyNumberFormat="1" applyFont="1" applyFill="1" applyBorder="1"/>
    <xf numFmtId="190" fontId="14" fillId="0" borderId="0" xfId="1" applyNumberFormat="1" applyFont="1" applyFill="1" applyBorder="1" applyAlignment="1">
      <alignment horizontal="right" wrapText="1" shrinkToFit="1"/>
    </xf>
    <xf numFmtId="0" fontId="24" fillId="0" borderId="0" xfId="0" applyFont="1" applyBorder="1" applyAlignment="1">
      <alignment wrapText="1"/>
    </xf>
    <xf numFmtId="14" fontId="24" fillId="0" borderId="0" xfId="0" applyNumberFormat="1" applyFont="1" applyBorder="1" applyAlignment="1">
      <alignment horizontal="center" wrapText="1"/>
    </xf>
    <xf numFmtId="202" fontId="0" fillId="0" borderId="0" xfId="0" applyNumberFormat="1" applyBorder="1"/>
    <xf numFmtId="0" fontId="14" fillId="4" borderId="16" xfId="0" applyFont="1" applyFill="1" applyBorder="1" applyAlignment="1">
      <alignment horizontal="left"/>
    </xf>
    <xf numFmtId="9" fontId="14" fillId="0" borderId="17" xfId="9" applyFont="1" applyFill="1" applyBorder="1" applyAlignment="1">
      <alignment horizontal="right"/>
    </xf>
    <xf numFmtId="164" fontId="3" fillId="9" borderId="0" xfId="2" applyNumberFormat="1" applyFont="1" applyFill="1"/>
    <xf numFmtId="8" fontId="14" fillId="4" borderId="3" xfId="9" applyNumberFormat="1" applyFont="1" applyFill="1" applyBorder="1"/>
    <xf numFmtId="190" fontId="24" fillId="0" borderId="0" xfId="0" applyNumberFormat="1" applyFont="1" applyFill="1" applyBorder="1" applyAlignment="1">
      <alignment wrapText="1"/>
    </xf>
    <xf numFmtId="190" fontId="0" fillId="9" borderId="46" xfId="1" applyNumberFormat="1" applyFont="1" applyFill="1" applyBorder="1"/>
    <xf numFmtId="190" fontId="0" fillId="9" borderId="47" xfId="1" applyNumberFormat="1" applyFont="1" applyFill="1" applyBorder="1"/>
    <xf numFmtId="190" fontId="0" fillId="9" borderId="27" xfId="1" applyNumberFormat="1" applyFont="1" applyFill="1" applyBorder="1"/>
    <xf numFmtId="0" fontId="24" fillId="9" borderId="45" xfId="0" applyFont="1" applyFill="1" applyBorder="1" applyAlignment="1">
      <alignment wrapText="1"/>
    </xf>
    <xf numFmtId="6" fontId="26" fillId="9" borderId="0" xfId="0" applyNumberFormat="1" applyFont="1" applyFill="1" applyBorder="1"/>
    <xf numFmtId="166" fontId="14" fillId="0" borderId="3" xfId="9" applyNumberFormat="1" applyFont="1" applyFill="1" applyBorder="1"/>
    <xf numFmtId="197" fontId="20" fillId="0" borderId="0" xfId="7" applyNumberFormat="1" applyFont="1" applyBorder="1"/>
    <xf numFmtId="166" fontId="0" fillId="0" borderId="0" xfId="0" applyNumberFormat="1" applyFill="1" applyBorder="1" applyAlignment="1">
      <alignment horizontal="right"/>
    </xf>
    <xf numFmtId="6" fontId="26" fillId="4" borderId="3" xfId="0" applyNumberFormat="1" applyFont="1" applyFill="1" applyBorder="1"/>
    <xf numFmtId="166" fontId="3" fillId="0" borderId="0" xfId="2" applyNumberFormat="1" applyFont="1"/>
    <xf numFmtId="9" fontId="0" fillId="4" borderId="3" xfId="9" applyNumberFormat="1" applyFont="1" applyFill="1" applyBorder="1"/>
    <xf numFmtId="202" fontId="3" fillId="0" borderId="0" xfId="0" applyNumberFormat="1" applyFont="1"/>
    <xf numFmtId="7" fontId="20" fillId="0" borderId="0" xfId="7" applyNumberFormat="1" applyFont="1" applyFill="1" applyBorder="1"/>
    <xf numFmtId="7" fontId="0" fillId="0" borderId="0" xfId="0" applyNumberFormat="1"/>
    <xf numFmtId="2" fontId="0" fillId="0" borderId="46" xfId="0" applyNumberFormat="1" applyBorder="1"/>
    <xf numFmtId="2" fontId="0" fillId="0" borderId="48" xfId="0" applyNumberFormat="1" applyBorder="1"/>
    <xf numFmtId="43" fontId="0" fillId="2" borderId="46" xfId="0" applyNumberFormat="1" applyFill="1" applyBorder="1"/>
    <xf numFmtId="17" fontId="16" fillId="0" borderId="0" xfId="0" applyNumberFormat="1" applyFont="1" applyFill="1" applyBorder="1"/>
    <xf numFmtId="43" fontId="0" fillId="4" borderId="3" xfId="9" applyNumberFormat="1" applyFont="1" applyFill="1" applyBorder="1"/>
    <xf numFmtId="305" fontId="0" fillId="0" borderId="3" xfId="9" applyNumberFormat="1" applyFont="1" applyFill="1" applyBorder="1"/>
    <xf numFmtId="235" fontId="0" fillId="0" borderId="3" xfId="1" applyNumberFormat="1" applyFont="1" applyFill="1" applyBorder="1"/>
    <xf numFmtId="305" fontId="0" fillId="0" borderId="3" xfId="0" applyNumberFormat="1" applyBorder="1"/>
    <xf numFmtId="0" fontId="0" fillId="0" borderId="16" xfId="0" applyBorder="1"/>
    <xf numFmtId="0" fontId="0" fillId="0" borderId="17" xfId="0" applyBorder="1"/>
    <xf numFmtId="17" fontId="14" fillId="0" borderId="0" xfId="0" applyNumberFormat="1" applyFont="1" applyFill="1" applyBorder="1"/>
    <xf numFmtId="17" fontId="57" fillId="0" borderId="0" xfId="0" applyNumberFormat="1" applyFont="1" applyFill="1" applyBorder="1"/>
    <xf numFmtId="197" fontId="20" fillId="0" borderId="0" xfId="7" applyNumberFormat="1" applyFont="1"/>
    <xf numFmtId="164" fontId="0" fillId="0" borderId="28" xfId="0" applyNumberFormat="1" applyBorder="1"/>
    <xf numFmtId="164" fontId="0" fillId="0" borderId="0" xfId="2" applyNumberFormat="1" applyFont="1"/>
    <xf numFmtId="197" fontId="58" fillId="4" borderId="45" xfId="9" applyNumberFormat="1" applyFont="1" applyFill="1" applyBorder="1"/>
    <xf numFmtId="43" fontId="14" fillId="0" borderId="3" xfId="1" applyFont="1" applyFill="1" applyBorder="1"/>
    <xf numFmtId="164" fontId="0" fillId="0" borderId="3" xfId="0" applyNumberFormat="1" applyFill="1" applyBorder="1"/>
    <xf numFmtId="8" fontId="0" fillId="0" borderId="0" xfId="0" applyNumberFormat="1" applyBorder="1" applyAlignment="1">
      <alignment horizontal="right"/>
    </xf>
    <xf numFmtId="197" fontId="20" fillId="0" borderId="9" xfId="7" applyNumberFormat="1" applyFont="1" applyFill="1" applyBorder="1"/>
    <xf numFmtId="5" fontId="20" fillId="0" borderId="9" xfId="7" applyNumberFormat="1" applyFont="1" applyFill="1" applyBorder="1"/>
    <xf numFmtId="6" fontId="0" fillId="4" borderId="3" xfId="0" applyNumberFormat="1" applyFill="1" applyBorder="1"/>
    <xf numFmtId="0" fontId="0" fillId="15" borderId="26" xfId="0" applyFill="1" applyBorder="1" applyAlignment="1">
      <alignment horizontal="center"/>
    </xf>
    <xf numFmtId="193" fontId="0" fillId="0" borderId="26" xfId="0" applyNumberFormat="1" applyFill="1" applyBorder="1"/>
    <xf numFmtId="193" fontId="0" fillId="4" borderId="51" xfId="0" applyNumberFormat="1" applyFill="1" applyBorder="1"/>
    <xf numFmtId="2" fontId="0" fillId="4" borderId="26" xfId="0" applyNumberFormat="1" applyFill="1" applyBorder="1"/>
    <xf numFmtId="0" fontId="0" fillId="4" borderId="26" xfId="0" applyFill="1" applyBorder="1"/>
    <xf numFmtId="2" fontId="0" fillId="0" borderId="47" xfId="0" applyNumberFormat="1" applyBorder="1"/>
    <xf numFmtId="193" fontId="0" fillId="0" borderId="47" xfId="0" applyNumberFormat="1" applyFill="1" applyBorder="1"/>
    <xf numFmtId="180" fontId="0" fillId="0" borderId="26" xfId="2" applyNumberFormat="1" applyFont="1" applyFill="1" applyBorder="1"/>
    <xf numFmtId="166" fontId="0" fillId="0" borderId="47" xfId="0" applyNumberFormat="1" applyFill="1" applyBorder="1"/>
    <xf numFmtId="6" fontId="0" fillId="0" borderId="26" xfId="0" applyNumberFormat="1" applyFill="1" applyBorder="1"/>
    <xf numFmtId="14" fontId="0" fillId="0" borderId="51" xfId="0" applyNumberFormat="1" applyBorder="1"/>
    <xf numFmtId="0" fontId="0" fillId="4" borderId="47" xfId="0" applyFill="1" applyBorder="1"/>
    <xf numFmtId="0" fontId="0" fillId="4" borderId="52" xfId="0" applyFill="1" applyBorder="1"/>
    <xf numFmtId="190" fontId="0" fillId="9" borderId="51" xfId="1" applyNumberFormat="1" applyFont="1" applyFill="1" applyBorder="1"/>
    <xf numFmtId="6" fontId="0" fillId="13" borderId="47" xfId="0" applyNumberFormat="1" applyFill="1" applyBorder="1"/>
    <xf numFmtId="6" fontId="0" fillId="13" borderId="52" xfId="0" applyNumberFormat="1" applyFill="1" applyBorder="1"/>
    <xf numFmtId="166" fontId="0" fillId="0" borderId="26" xfId="0" applyNumberFormat="1" applyBorder="1"/>
    <xf numFmtId="166" fontId="0" fillId="0" borderId="47" xfId="0" applyNumberFormat="1" applyBorder="1"/>
    <xf numFmtId="180" fontId="0" fillId="0" borderId="26" xfId="0" applyNumberFormat="1" applyFill="1" applyBorder="1"/>
    <xf numFmtId="6" fontId="0" fillId="4" borderId="47" xfId="0" applyNumberFormat="1" applyFill="1" applyBorder="1"/>
    <xf numFmtId="190" fontId="0" fillId="4" borderId="47" xfId="1" applyNumberFormat="1" applyFont="1" applyFill="1" applyBorder="1"/>
    <xf numFmtId="1" fontId="0" fillId="4" borderId="47" xfId="0" applyNumberFormat="1" applyFill="1" applyBorder="1"/>
    <xf numFmtId="0" fontId="48" fillId="14" borderId="26" xfId="0" applyFont="1" applyFill="1" applyBorder="1"/>
    <xf numFmtId="0" fontId="24" fillId="0" borderId="51" xfId="0" applyFont="1" applyBorder="1" applyAlignment="1">
      <alignment horizontal="center"/>
    </xf>
    <xf numFmtId="6" fontId="26" fillId="9" borderId="26" xfId="0" applyNumberFormat="1" applyFont="1" applyFill="1" applyBorder="1"/>
    <xf numFmtId="232" fontId="14" fillId="0" borderId="26" xfId="0" applyNumberFormat="1" applyFont="1" applyFill="1" applyBorder="1"/>
    <xf numFmtId="166" fontId="14" fillId="13" borderId="47" xfId="0" applyNumberFormat="1" applyFont="1" applyFill="1" applyBorder="1"/>
    <xf numFmtId="43" fontId="0" fillId="0" borderId="0" xfId="1" applyFont="1" applyFill="1" applyBorder="1"/>
    <xf numFmtId="14" fontId="0" fillId="0" borderId="0" xfId="0" applyNumberFormat="1" applyFill="1" applyBorder="1"/>
    <xf numFmtId="2" fontId="0" fillId="4" borderId="17" xfId="0" applyNumberFormat="1" applyFill="1" applyBorder="1"/>
    <xf numFmtId="190" fontId="0" fillId="4" borderId="48" xfId="1" applyNumberFormat="1" applyFont="1" applyFill="1" applyBorder="1"/>
    <xf numFmtId="0" fontId="0" fillId="0" borderId="38" xfId="0" applyFill="1" applyBorder="1"/>
    <xf numFmtId="0" fontId="0" fillId="4" borderId="17" xfId="0" applyFill="1" applyBorder="1"/>
    <xf numFmtId="1" fontId="0" fillId="4" borderId="48" xfId="0" applyNumberFormat="1" applyFill="1" applyBorder="1"/>
    <xf numFmtId="190" fontId="0" fillId="9" borderId="16" xfId="1" applyNumberFormat="1" applyFont="1" applyFill="1" applyBorder="1"/>
    <xf numFmtId="0" fontId="48" fillId="14" borderId="38" xfId="0" applyFont="1" applyFill="1" applyBorder="1"/>
    <xf numFmtId="6" fontId="26" fillId="9" borderId="38" xfId="0" applyNumberFormat="1" applyFont="1" applyFill="1" applyBorder="1"/>
    <xf numFmtId="0" fontId="61" fillId="0" borderId="0" xfId="0" applyFont="1" applyAlignment="1">
      <alignment horizontal="center"/>
    </xf>
    <xf numFmtId="190" fontId="24" fillId="0" borderId="0" xfId="1" applyNumberFormat="1" applyFont="1" applyBorder="1" applyAlignment="1">
      <alignment horizontal="center"/>
    </xf>
    <xf numFmtId="1" fontId="0" fillId="0" borderId="0" xfId="0" applyNumberFormat="1" applyBorder="1"/>
    <xf numFmtId="190" fontId="0" fillId="0" borderId="0" xfId="0" applyNumberFormat="1" applyBorder="1"/>
    <xf numFmtId="14" fontId="3" fillId="10" borderId="27" xfId="0" applyNumberFormat="1" applyFont="1" applyFill="1" applyBorder="1"/>
    <xf numFmtId="164" fontId="4" fillId="10" borderId="27" xfId="0" applyNumberFormat="1" applyFont="1" applyFill="1" applyBorder="1"/>
    <xf numFmtId="0" fontId="5" fillId="10" borderId="27" xfId="0" applyFont="1" applyFill="1" applyBorder="1"/>
    <xf numFmtId="164" fontId="20" fillId="10" borderId="0" xfId="0" applyNumberFormat="1" applyFont="1" applyFill="1" applyBorder="1"/>
    <xf numFmtId="164" fontId="20" fillId="10" borderId="3" xfId="0" applyNumberFormat="1" applyFont="1" applyFill="1" applyBorder="1"/>
    <xf numFmtId="0" fontId="20" fillId="10" borderId="0" xfId="0" applyFont="1" applyFill="1" applyBorder="1"/>
    <xf numFmtId="0" fontId="19" fillId="10" borderId="27" xfId="0" applyFont="1" applyFill="1" applyBorder="1"/>
    <xf numFmtId="0" fontId="23" fillId="10" borderId="27" xfId="0" applyFont="1" applyFill="1" applyBorder="1"/>
    <xf numFmtId="0" fontId="3" fillId="10" borderId="27" xfId="0" applyFont="1" applyFill="1" applyBorder="1" applyAlignment="1">
      <alignment horizontal="left"/>
    </xf>
    <xf numFmtId="0" fontId="0" fillId="10" borderId="16" xfId="0" applyFill="1" applyBorder="1"/>
    <xf numFmtId="0" fontId="0" fillId="10" borderId="38" xfId="0" applyFill="1" applyBorder="1"/>
    <xf numFmtId="0" fontId="0" fillId="10" borderId="17" xfId="0" applyFill="1" applyBorder="1"/>
    <xf numFmtId="0" fontId="62" fillId="0" borderId="0" xfId="0" applyFont="1" applyFill="1"/>
    <xf numFmtId="190" fontId="3" fillId="0" borderId="0" xfId="0" applyNumberFormat="1" applyFont="1" applyFill="1"/>
    <xf numFmtId="190" fontId="3" fillId="0" borderId="26" xfId="1" applyNumberFormat="1" applyFont="1" applyFill="1" applyBorder="1"/>
    <xf numFmtId="0" fontId="63" fillId="0" borderId="0" xfId="0" applyFont="1" applyFill="1"/>
    <xf numFmtId="0" fontId="13" fillId="0" borderId="0" xfId="0" applyFont="1" applyFill="1" applyAlignment="1">
      <alignment horizontal="center"/>
    </xf>
    <xf numFmtId="2" fontId="0" fillId="4" borderId="3" xfId="0" applyNumberFormat="1" applyFill="1" applyBorder="1"/>
    <xf numFmtId="2" fontId="0" fillId="4" borderId="52" xfId="0" applyNumberFormat="1" applyFill="1" applyBorder="1"/>
    <xf numFmtId="237" fontId="0" fillId="0" borderId="26" xfId="0" applyNumberFormat="1" applyFill="1" applyBorder="1"/>
    <xf numFmtId="190" fontId="0" fillId="0" borderId="26" xfId="1" applyNumberFormat="1" applyFont="1" applyBorder="1"/>
    <xf numFmtId="190" fontId="24" fillId="0" borderId="26" xfId="1" applyNumberFormat="1" applyFont="1" applyBorder="1" applyAlignment="1">
      <alignment horizontal="center"/>
    </xf>
    <xf numFmtId="0" fontId="24" fillId="0" borderId="26" xfId="0" applyFont="1" applyBorder="1" applyAlignment="1">
      <alignment horizontal="center"/>
    </xf>
    <xf numFmtId="192" fontId="24" fillId="0" borderId="26" xfId="0" applyNumberFormat="1" applyFont="1" applyBorder="1" applyAlignment="1">
      <alignment horizontal="center"/>
    </xf>
    <xf numFmtId="1" fontId="0" fillId="0" borderId="26" xfId="0" applyNumberFormat="1" applyBorder="1"/>
    <xf numFmtId="0" fontId="0" fillId="0" borderId="0" xfId="0" applyAlignment="1">
      <alignment horizontal="left"/>
    </xf>
    <xf numFmtId="0" fontId="24" fillId="0" borderId="0" xfId="0" applyFont="1" applyAlignment="1">
      <alignment horizontal="left"/>
    </xf>
    <xf numFmtId="194" fontId="1" fillId="0" borderId="0" xfId="1" applyNumberFormat="1" applyFont="1" applyFill="1" applyBorder="1"/>
    <xf numFmtId="194" fontId="1" fillId="0" borderId="26" xfId="1" applyNumberFormat="1" applyFont="1" applyFill="1" applyBorder="1"/>
    <xf numFmtId="43" fontId="2" fillId="4" borderId="33" xfId="1" applyFill="1" applyBorder="1"/>
    <xf numFmtId="43" fontId="2" fillId="4" borderId="1" xfId="1" applyFill="1" applyBorder="1"/>
    <xf numFmtId="194" fontId="2" fillId="10" borderId="0" xfId="1" applyNumberFormat="1" applyFill="1"/>
    <xf numFmtId="0" fontId="0" fillId="10" borderId="25" xfId="0" applyFill="1" applyBorder="1" applyAlignment="1">
      <alignment wrapText="1"/>
    </xf>
    <xf numFmtId="0" fontId="0" fillId="10" borderId="28" xfId="0" applyFill="1" applyBorder="1" applyAlignment="1">
      <alignment horizontal="center" wrapText="1"/>
    </xf>
    <xf numFmtId="44" fontId="0" fillId="4" borderId="30" xfId="0" applyNumberFormat="1" applyFill="1" applyBorder="1"/>
    <xf numFmtId="43" fontId="26" fillId="4" borderId="33" xfId="0" applyNumberFormat="1" applyFont="1" applyFill="1" applyBorder="1"/>
    <xf numFmtId="44" fontId="0" fillId="4" borderId="31" xfId="0" applyNumberFormat="1" applyFill="1" applyBorder="1"/>
    <xf numFmtId="0" fontId="24" fillId="4" borderId="0" xfId="0" applyFont="1" applyFill="1" applyAlignment="1">
      <alignment wrapText="1"/>
    </xf>
    <xf numFmtId="0" fontId="0" fillId="4" borderId="25" xfId="0" applyFill="1" applyBorder="1"/>
    <xf numFmtId="43" fontId="2" fillId="4" borderId="36" xfId="1" applyFont="1" applyFill="1" applyBorder="1" applyAlignment="1">
      <alignment horizontal="center" wrapText="1"/>
    </xf>
    <xf numFmtId="43" fontId="2" fillId="4" borderId="40" xfId="1" applyFont="1" applyFill="1" applyBorder="1" applyAlignment="1">
      <alignment horizontal="center" wrapText="1"/>
    </xf>
    <xf numFmtId="43" fontId="26" fillId="4" borderId="41" xfId="0" applyNumberFormat="1" applyFont="1" applyFill="1" applyBorder="1"/>
    <xf numFmtId="43" fontId="2" fillId="4" borderId="41" xfId="1" applyFill="1" applyBorder="1"/>
    <xf numFmtId="43" fontId="2" fillId="4" borderId="42" xfId="1" applyFill="1" applyBorder="1"/>
    <xf numFmtId="0" fontId="50" fillId="0" borderId="35" xfId="0" applyFont="1" applyBorder="1" applyAlignment="1">
      <alignment horizontal="left"/>
    </xf>
    <xf numFmtId="38" fontId="0" fillId="0" borderId="0" xfId="0" applyNumberFormat="1" applyFill="1" applyBorder="1"/>
    <xf numFmtId="38" fontId="0" fillId="0" borderId="26" xfId="0" applyNumberFormat="1" applyFill="1" applyBorder="1"/>
    <xf numFmtId="38" fontId="0" fillId="0" borderId="38" xfId="0" applyNumberFormat="1" applyFill="1" applyBorder="1"/>
    <xf numFmtId="0" fontId="0" fillId="0" borderId="54" xfId="0" applyFill="1" applyBorder="1"/>
    <xf numFmtId="0" fontId="0" fillId="0" borderId="55" xfId="0" applyBorder="1"/>
    <xf numFmtId="0" fontId="0" fillId="0" borderId="56" xfId="0" applyFill="1" applyBorder="1"/>
    <xf numFmtId="0" fontId="47" fillId="0" borderId="57" xfId="0" applyFont="1" applyBorder="1" applyAlignment="1">
      <alignment horizontal="center"/>
    </xf>
    <xf numFmtId="0" fontId="47" fillId="0" borderId="57" xfId="0" applyFont="1" applyFill="1" applyBorder="1" applyAlignment="1">
      <alignment horizontal="center"/>
    </xf>
    <xf numFmtId="0" fontId="24" fillId="0" borderId="56" xfId="0" applyFont="1" applyFill="1" applyBorder="1" applyAlignment="1">
      <alignment horizontal="center" wrapText="1"/>
    </xf>
    <xf numFmtId="0" fontId="24" fillId="0" borderId="58" xfId="0" applyFont="1" applyFill="1" applyBorder="1" applyAlignment="1">
      <alignment horizontal="center" wrapText="1"/>
    </xf>
    <xf numFmtId="6" fontId="0" fillId="0" borderId="56" xfId="0" applyNumberFormat="1" applyFill="1" applyBorder="1"/>
    <xf numFmtId="38" fontId="0" fillId="0" borderId="59" xfId="0" applyNumberFormat="1" applyFill="1" applyBorder="1"/>
    <xf numFmtId="6" fontId="0" fillId="0" borderId="60" xfId="0" applyNumberFormat="1" applyFill="1" applyBorder="1"/>
    <xf numFmtId="38" fontId="0" fillId="0" borderId="61" xfId="0" applyNumberFormat="1" applyFill="1" applyBorder="1"/>
    <xf numFmtId="6" fontId="0" fillId="0" borderId="62" xfId="0" applyNumberFormat="1" applyFill="1" applyBorder="1"/>
    <xf numFmtId="0" fontId="0" fillId="0" borderId="63" xfId="0" applyBorder="1"/>
    <xf numFmtId="6" fontId="26" fillId="4" borderId="64" xfId="0" applyNumberFormat="1" applyFont="1" applyFill="1" applyBorder="1"/>
    <xf numFmtId="237" fontId="0" fillId="0" borderId="63" xfId="0" applyNumberFormat="1" applyFill="1" applyBorder="1"/>
    <xf numFmtId="38" fontId="0" fillId="0" borderId="65" xfId="0" applyNumberFormat="1" applyFill="1" applyBorder="1"/>
    <xf numFmtId="8" fontId="26" fillId="13" borderId="0" xfId="0" applyNumberFormat="1" applyFont="1" applyFill="1" applyBorder="1"/>
    <xf numFmtId="8" fontId="26" fillId="0" borderId="0" xfId="0" applyNumberFormat="1" applyFont="1" applyFill="1" applyBorder="1"/>
    <xf numFmtId="8" fontId="26" fillId="13" borderId="56" xfId="0" applyNumberFormat="1" applyFont="1" applyFill="1" applyBorder="1"/>
    <xf numFmtId="38" fontId="0" fillId="0" borderId="57" xfId="0" applyNumberFormat="1" applyFill="1" applyBorder="1"/>
    <xf numFmtId="38" fontId="0" fillId="0" borderId="66" xfId="0" applyNumberFormat="1" applyFill="1" applyBorder="1"/>
    <xf numFmtId="0" fontId="24" fillId="0" borderId="67" xfId="0" applyFont="1" applyFill="1" applyBorder="1" applyAlignment="1">
      <alignment horizontal="center" wrapText="1"/>
    </xf>
    <xf numFmtId="0" fontId="24" fillId="0" borderId="38" xfId="0" applyFont="1" applyFill="1" applyBorder="1" applyAlignment="1">
      <alignment horizontal="center" wrapText="1"/>
    </xf>
    <xf numFmtId="0" fontId="47" fillId="0" borderId="38" xfId="0" applyFont="1" applyFill="1" applyBorder="1" applyAlignment="1">
      <alignment horizontal="center"/>
    </xf>
    <xf numFmtId="0" fontId="47" fillId="0" borderId="68" xfId="0" applyFont="1" applyFill="1" applyBorder="1" applyAlignment="1">
      <alignment horizontal="center"/>
    </xf>
    <xf numFmtId="0" fontId="47" fillId="0" borderId="67" xfId="0" applyFont="1" applyFill="1" applyBorder="1" applyAlignment="1">
      <alignment horizontal="left"/>
    </xf>
    <xf numFmtId="8" fontId="0" fillId="0" borderId="0" xfId="0" applyNumberFormat="1" applyFill="1" applyBorder="1"/>
    <xf numFmtId="8" fontId="26" fillId="0" borderId="63" xfId="0" applyNumberFormat="1" applyFont="1" applyFill="1" applyBorder="1"/>
    <xf numFmtId="8" fontId="0" fillId="0" borderId="63" xfId="0" applyNumberFormat="1" applyFill="1" applyBorder="1"/>
    <xf numFmtId="0" fontId="24" fillId="0" borderId="69" xfId="0" applyFont="1" applyFill="1" applyBorder="1" applyAlignment="1">
      <alignment horizontal="center" wrapText="1"/>
    </xf>
    <xf numFmtId="0" fontId="24" fillId="0" borderId="70" xfId="0" applyFont="1" applyFill="1" applyBorder="1" applyAlignment="1">
      <alignment horizontal="center" wrapText="1"/>
    </xf>
    <xf numFmtId="0" fontId="0" fillId="10" borderId="25" xfId="0" applyFill="1" applyBorder="1" applyAlignment="1">
      <alignment horizontal="center" wrapText="1"/>
    </xf>
    <xf numFmtId="0" fontId="0" fillId="13" borderId="28" xfId="0" applyFill="1" applyBorder="1" applyAlignment="1">
      <alignment horizontal="center" wrapText="1"/>
    </xf>
    <xf numFmtId="43" fontId="0" fillId="13" borderId="0" xfId="0" applyNumberFormat="1" applyFill="1"/>
    <xf numFmtId="0" fontId="0" fillId="13" borderId="36" xfId="0" applyFill="1" applyBorder="1" applyAlignment="1">
      <alignment horizontal="center" wrapText="1"/>
    </xf>
    <xf numFmtId="43" fontId="0" fillId="13" borderId="33" xfId="0" applyNumberFormat="1" applyFill="1" applyBorder="1"/>
    <xf numFmtId="43" fontId="0" fillId="13" borderId="41" xfId="0" applyNumberFormat="1" applyFill="1" applyBorder="1"/>
    <xf numFmtId="0" fontId="0" fillId="13" borderId="40" xfId="0" applyFill="1" applyBorder="1" applyAlignment="1">
      <alignment horizontal="center" wrapText="1"/>
    </xf>
    <xf numFmtId="202" fontId="0" fillId="0" borderId="0" xfId="0" applyNumberFormat="1"/>
    <xf numFmtId="194" fontId="0" fillId="0" borderId="0" xfId="0" applyNumberFormat="1"/>
    <xf numFmtId="0" fontId="0" fillId="0" borderId="0" xfId="0" quotePrefix="1"/>
    <xf numFmtId="44" fontId="0" fillId="13" borderId="33" xfId="0" applyNumberFormat="1" applyFill="1" applyBorder="1"/>
    <xf numFmtId="7" fontId="0" fillId="13" borderId="41" xfId="0" applyNumberFormat="1" applyFill="1" applyBorder="1"/>
    <xf numFmtId="7" fontId="0" fillId="13" borderId="42" xfId="0" applyNumberFormat="1" applyFill="1" applyBorder="1"/>
    <xf numFmtId="44" fontId="0" fillId="13" borderId="41" xfId="0" applyNumberFormat="1" applyFill="1" applyBorder="1"/>
    <xf numFmtId="44" fontId="0" fillId="13" borderId="42" xfId="0" applyNumberFormat="1" applyFill="1" applyBorder="1"/>
    <xf numFmtId="0" fontId="0" fillId="10" borderId="40" xfId="0" applyFill="1" applyBorder="1" applyAlignment="1">
      <alignment horizontal="center" wrapText="1"/>
    </xf>
    <xf numFmtId="194" fontId="2" fillId="10" borderId="41" xfId="1" applyNumberFormat="1" applyFill="1" applyBorder="1"/>
    <xf numFmtId="194" fontId="2" fillId="10" borderId="42" xfId="1" applyNumberFormat="1" applyFill="1" applyBorder="1"/>
    <xf numFmtId="194" fontId="2" fillId="10" borderId="0" xfId="1" applyNumberFormat="1" applyFill="1" applyBorder="1"/>
    <xf numFmtId="43" fontId="2" fillId="4" borderId="30" xfId="1" applyFill="1" applyBorder="1"/>
    <xf numFmtId="43" fontId="2" fillId="4" borderId="31" xfId="1" applyFill="1" applyBorder="1"/>
    <xf numFmtId="194" fontId="2" fillId="10" borderId="26" xfId="1" applyNumberFormat="1" applyFill="1" applyBorder="1"/>
    <xf numFmtId="44" fontId="0" fillId="4" borderId="33" xfId="0" applyNumberFormat="1" applyFill="1" applyBorder="1"/>
    <xf numFmtId="43" fontId="2" fillId="4" borderId="25" xfId="1" applyFont="1" applyFill="1" applyBorder="1" applyAlignment="1">
      <alignment horizontal="center" wrapText="1"/>
    </xf>
    <xf numFmtId="0" fontId="0" fillId="13" borderId="40" xfId="0" applyFill="1" applyBorder="1" applyAlignment="1">
      <alignment wrapText="1"/>
    </xf>
    <xf numFmtId="43" fontId="0" fillId="13" borderId="42" xfId="0" applyNumberFormat="1" applyFill="1" applyBorder="1"/>
    <xf numFmtId="8" fontId="0" fillId="13" borderId="46" xfId="0" applyNumberFormat="1" applyFill="1" applyBorder="1"/>
    <xf numFmtId="8" fontId="0" fillId="13" borderId="47" xfId="0" applyNumberFormat="1" applyFill="1" applyBorder="1"/>
    <xf numFmtId="8" fontId="0" fillId="13" borderId="64" xfId="0" applyNumberFormat="1" applyFill="1" applyBorder="1"/>
    <xf numFmtId="193" fontId="0" fillId="0" borderId="0" xfId="0" applyNumberFormat="1" applyFill="1"/>
    <xf numFmtId="0" fontId="0" fillId="0" borderId="26" xfId="0" applyFill="1" applyBorder="1" applyAlignment="1">
      <alignment horizontal="center"/>
    </xf>
    <xf numFmtId="0" fontId="65" fillId="0" borderId="0" xfId="0" applyFont="1"/>
    <xf numFmtId="0" fontId="65" fillId="0" borderId="0" xfId="0" applyFont="1" applyBorder="1"/>
    <xf numFmtId="0" fontId="65" fillId="0" borderId="27" xfId="0" applyFont="1" applyBorder="1"/>
    <xf numFmtId="0" fontId="65" fillId="0" borderId="16" xfId="0" applyFont="1" applyBorder="1"/>
    <xf numFmtId="0" fontId="65" fillId="0" borderId="38" xfId="0" applyFont="1" applyBorder="1"/>
    <xf numFmtId="0" fontId="65" fillId="0" borderId="45" xfId="0" applyFont="1" applyBorder="1"/>
    <xf numFmtId="0" fontId="65" fillId="0" borderId="46" xfId="0" applyFont="1" applyBorder="1"/>
    <xf numFmtId="0" fontId="65" fillId="0" borderId="49" xfId="0" applyFont="1" applyBorder="1" applyAlignment="1">
      <alignment horizontal="center" wrapText="1" shrinkToFit="1"/>
    </xf>
    <xf numFmtId="0" fontId="65" fillId="0" borderId="43" xfId="0" applyFont="1" applyBorder="1"/>
    <xf numFmtId="0" fontId="65" fillId="0" borderId="44" xfId="0" applyFont="1" applyBorder="1"/>
    <xf numFmtId="0" fontId="65" fillId="0" borderId="51" xfId="0" applyFont="1" applyBorder="1"/>
    <xf numFmtId="0" fontId="65" fillId="0" borderId="26" xfId="0" applyFont="1" applyBorder="1"/>
    <xf numFmtId="0" fontId="65" fillId="0" borderId="47" xfId="0" applyFont="1" applyBorder="1"/>
    <xf numFmtId="8" fontId="26" fillId="0" borderId="26" xfId="0" applyNumberFormat="1" applyFont="1" applyFill="1" applyBorder="1"/>
    <xf numFmtId="38" fontId="0" fillId="0" borderId="71" xfId="0" applyNumberFormat="1" applyFill="1" applyBorder="1"/>
    <xf numFmtId="8" fontId="0" fillId="0" borderId="26" xfId="0" applyNumberFormat="1" applyFill="1" applyBorder="1"/>
    <xf numFmtId="0" fontId="47" fillId="0" borderId="44" xfId="0" applyFont="1" applyFill="1" applyBorder="1" applyAlignment="1">
      <alignment horizontal="center"/>
    </xf>
    <xf numFmtId="0" fontId="0" fillId="13" borderId="46" xfId="0" applyFill="1" applyBorder="1"/>
    <xf numFmtId="0" fontId="0" fillId="13" borderId="47" xfId="0" applyFill="1" applyBorder="1"/>
    <xf numFmtId="0" fontId="0" fillId="13" borderId="48" xfId="0" applyFill="1" applyBorder="1"/>
    <xf numFmtId="0" fontId="16" fillId="0" borderId="49" xfId="0" applyFont="1" applyFill="1" applyBorder="1" applyAlignment="1">
      <alignment horizontal="left"/>
    </xf>
    <xf numFmtId="6" fontId="0" fillId="13" borderId="17" xfId="0" applyNumberFormat="1" applyFill="1" applyBorder="1"/>
    <xf numFmtId="0" fontId="24" fillId="9" borderId="72" xfId="0" applyFont="1" applyFill="1" applyBorder="1" applyAlignment="1">
      <alignment horizontal="center" wrapText="1"/>
    </xf>
    <xf numFmtId="10" fontId="0" fillId="9" borderId="30" xfId="9" applyNumberFormat="1" applyFont="1" applyFill="1" applyBorder="1"/>
    <xf numFmtId="190" fontId="0" fillId="9" borderId="73" xfId="1" applyNumberFormat="1" applyFont="1" applyFill="1" applyBorder="1"/>
    <xf numFmtId="10" fontId="0" fillId="9" borderId="31" xfId="9" applyNumberFormat="1" applyFont="1" applyFill="1" applyBorder="1"/>
    <xf numFmtId="190" fontId="0" fillId="9" borderId="74" xfId="1" applyNumberFormat="1" applyFont="1" applyFill="1" applyBorder="1"/>
    <xf numFmtId="0" fontId="24" fillId="13" borderId="17" xfId="0" applyFont="1" applyFill="1" applyBorder="1" applyAlignment="1">
      <alignment horizontal="center" wrapText="1"/>
    </xf>
    <xf numFmtId="0" fontId="24" fillId="9" borderId="75" xfId="0" applyFont="1" applyFill="1" applyBorder="1" applyAlignment="1">
      <alignment horizontal="center" wrapText="1"/>
    </xf>
    <xf numFmtId="6" fontId="0" fillId="0" borderId="27" xfId="0" applyNumberFormat="1" applyFill="1" applyBorder="1"/>
    <xf numFmtId="0" fontId="24" fillId="0" borderId="46" xfId="0" applyFont="1" applyFill="1" applyBorder="1" applyAlignment="1">
      <alignment horizontal="center" wrapText="1"/>
    </xf>
    <xf numFmtId="6" fontId="0" fillId="0" borderId="38" xfId="0" applyNumberFormat="1" applyFill="1" applyBorder="1"/>
    <xf numFmtId="0" fontId="24" fillId="9" borderId="16" xfId="0" applyFont="1" applyFill="1" applyBorder="1" applyAlignment="1">
      <alignment horizontal="center" wrapText="1"/>
    </xf>
    <xf numFmtId="0" fontId="48" fillId="14" borderId="0" xfId="0" applyFont="1" applyFill="1" applyAlignment="1">
      <alignment horizontal="center"/>
    </xf>
    <xf numFmtId="43" fontId="2" fillId="4" borderId="28" xfId="1" applyFont="1" applyFill="1" applyBorder="1" applyAlignment="1">
      <alignment horizontal="center" wrapText="1"/>
    </xf>
    <xf numFmtId="44" fontId="0" fillId="4" borderId="0" xfId="0" applyNumberFormat="1" applyFill="1" applyBorder="1"/>
    <xf numFmtId="43" fontId="2" fillId="4" borderId="0" xfId="1" applyFill="1" applyBorder="1"/>
    <xf numFmtId="43" fontId="2" fillId="4" borderId="26" xfId="1" applyFill="1" applyBorder="1"/>
    <xf numFmtId="43" fontId="0" fillId="4" borderId="0" xfId="1" applyFont="1" applyFill="1"/>
    <xf numFmtId="44" fontId="26" fillId="4" borderId="0" xfId="0" applyNumberFormat="1" applyFont="1" applyFill="1" applyBorder="1"/>
    <xf numFmtId="44" fontId="2" fillId="4" borderId="0" xfId="1" applyNumberFormat="1" applyFill="1" applyBorder="1"/>
    <xf numFmtId="44" fontId="0" fillId="13" borderId="0" xfId="0" applyNumberFormat="1" applyFill="1"/>
    <xf numFmtId="0" fontId="24" fillId="13" borderId="48" xfId="0" applyFont="1" applyFill="1" applyBorder="1" applyAlignment="1">
      <alignment horizontal="center" wrapText="1"/>
    </xf>
    <xf numFmtId="0" fontId="24" fillId="0" borderId="49" xfId="0" applyFont="1" applyBorder="1"/>
    <xf numFmtId="0" fontId="24" fillId="0" borderId="43" xfId="0" applyFont="1" applyBorder="1"/>
    <xf numFmtId="0" fontId="0" fillId="0" borderId="44" xfId="0" applyBorder="1"/>
    <xf numFmtId="0" fontId="66" fillId="14" borderId="0" xfId="0" applyFont="1" applyFill="1"/>
    <xf numFmtId="0" fontId="24" fillId="0" borderId="44" xfId="0" applyFont="1" applyBorder="1" applyAlignment="1">
      <alignment horizontal="center" wrapText="1"/>
    </xf>
    <xf numFmtId="2" fontId="0" fillId="0" borderId="27" xfId="0" applyNumberFormat="1" applyBorder="1"/>
    <xf numFmtId="166" fontId="0" fillId="0" borderId="3" xfId="0" applyNumberFormat="1" applyBorder="1"/>
    <xf numFmtId="166" fontId="0" fillId="0" borderId="52" xfId="0" applyNumberFormat="1" applyBorder="1"/>
    <xf numFmtId="166" fontId="0" fillId="9" borderId="3" xfId="0" applyNumberFormat="1" applyFill="1" applyBorder="1"/>
    <xf numFmtId="2" fontId="0" fillId="0" borderId="16" xfId="0" applyNumberFormat="1" applyBorder="1"/>
    <xf numFmtId="166" fontId="0" fillId="0" borderId="17" xfId="0" applyNumberFormat="1" applyBorder="1"/>
    <xf numFmtId="2" fontId="0" fillId="0" borderId="51" xfId="0" applyNumberFormat="1" applyBorder="1"/>
    <xf numFmtId="0" fontId="0" fillId="0" borderId="46" xfId="0" applyFill="1" applyBorder="1"/>
    <xf numFmtId="0" fontId="24" fillId="13" borderId="44" xfId="0" applyFont="1" applyFill="1" applyBorder="1" applyAlignment="1">
      <alignment horizontal="center" wrapText="1"/>
    </xf>
    <xf numFmtId="6" fontId="0" fillId="13" borderId="27" xfId="0" applyNumberFormat="1" applyFill="1" applyBorder="1"/>
    <xf numFmtId="0" fontId="16" fillId="0" borderId="0" xfId="0" applyFont="1" applyFill="1" applyBorder="1"/>
    <xf numFmtId="164" fontId="0" fillId="0" borderId="0" xfId="0" applyNumberFormat="1" applyFill="1" applyBorder="1" applyAlignment="1">
      <alignment horizontal="center"/>
    </xf>
    <xf numFmtId="10" fontId="43" fillId="0" borderId="17" xfId="9" applyNumberFormat="1" applyFont="1" applyFill="1" applyBorder="1"/>
    <xf numFmtId="191" fontId="0" fillId="4" borderId="0" xfId="0" applyNumberFormat="1" applyFill="1"/>
    <xf numFmtId="7" fontId="0" fillId="4" borderId="41" xfId="1" applyNumberFormat="1" applyFont="1" applyFill="1" applyBorder="1"/>
    <xf numFmtId="7" fontId="0" fillId="4" borderId="42" xfId="1" applyNumberFormat="1" applyFont="1" applyFill="1" applyBorder="1"/>
    <xf numFmtId="0" fontId="0" fillId="0" borderId="0" xfId="0" applyFill="1" applyAlignment="1">
      <alignment horizontal="center" wrapText="1"/>
    </xf>
    <xf numFmtId="5" fontId="0" fillId="0" borderId="0" xfId="0" applyNumberFormat="1" applyFill="1"/>
    <xf numFmtId="44" fontId="0" fillId="0" borderId="36" xfId="2" applyFont="1" applyFill="1" applyBorder="1"/>
    <xf numFmtId="190" fontId="0" fillId="0" borderId="0" xfId="1" applyNumberFormat="1" applyFont="1" applyFill="1"/>
    <xf numFmtId="167" fontId="0" fillId="0" borderId="0" xfId="9" applyNumberFormat="1" applyFont="1" applyFill="1"/>
    <xf numFmtId="197" fontId="0" fillId="0" borderId="0" xfId="2" applyNumberFormat="1" applyFont="1" applyFill="1"/>
    <xf numFmtId="164" fontId="0" fillId="0" borderId="0" xfId="2" applyNumberFormat="1" applyFont="1" applyFill="1"/>
    <xf numFmtId="9" fontId="0" fillId="0" borderId="0" xfId="9" applyFont="1" applyFill="1"/>
    <xf numFmtId="14" fontId="4" fillId="0" borderId="0" xfId="0" applyNumberFormat="1" applyFont="1" applyFill="1" applyBorder="1"/>
    <xf numFmtId="4" fontId="22" fillId="0" borderId="0" xfId="0" applyNumberFormat="1" applyFont="1" applyFill="1" applyBorder="1"/>
    <xf numFmtId="0" fontId="64" fillId="0" borderId="0" xfId="0" applyFont="1" applyFill="1" applyBorder="1" applyAlignment="1">
      <alignment horizontal="left"/>
    </xf>
    <xf numFmtId="164" fontId="3" fillId="0" borderId="0" xfId="0" applyNumberFormat="1" applyFont="1" applyFill="1" applyBorder="1" applyAlignment="1">
      <alignment horizontal="right"/>
    </xf>
    <xf numFmtId="9" fontId="23" fillId="0" borderId="0" xfId="0" applyNumberFormat="1" applyFont="1" applyFill="1" applyBorder="1"/>
    <xf numFmtId="164" fontId="4" fillId="0" borderId="0" xfId="0" applyNumberFormat="1" applyFont="1" applyFill="1" applyBorder="1"/>
    <xf numFmtId="0" fontId="19" fillId="0" borderId="0" xfId="0" applyFont="1" applyFill="1" applyBorder="1"/>
    <xf numFmtId="1" fontId="14" fillId="4" borderId="3" xfId="0" applyNumberFormat="1" applyFont="1" applyFill="1" applyBorder="1"/>
    <xf numFmtId="43" fontId="2" fillId="13" borderId="40" xfId="1" applyFont="1" applyFill="1" applyBorder="1" applyAlignment="1">
      <alignment horizontal="center" wrapText="1"/>
    </xf>
    <xf numFmtId="7" fontId="0" fillId="13" borderId="41" xfId="1" applyNumberFormat="1" applyFont="1" applyFill="1" applyBorder="1"/>
    <xf numFmtId="7" fontId="0" fillId="4" borderId="0" xfId="1" applyNumberFormat="1" applyFont="1" applyFill="1" applyBorder="1"/>
    <xf numFmtId="166" fontId="0" fillId="0" borderId="0" xfId="2" applyNumberFormat="1" applyFont="1" applyFill="1"/>
    <xf numFmtId="166" fontId="0" fillId="0" borderId="0" xfId="2" applyNumberFormat="1" applyFont="1"/>
    <xf numFmtId="192" fontId="0" fillId="4" borderId="0" xfId="0" applyNumberFormat="1" applyFill="1"/>
    <xf numFmtId="43" fontId="0" fillId="5" borderId="3" xfId="9" applyNumberFormat="1" applyFont="1" applyFill="1" applyBorder="1"/>
    <xf numFmtId="192" fontId="61" fillId="4" borderId="27" xfId="0" applyNumberFormat="1" applyFont="1" applyFill="1" applyBorder="1" applyAlignment="1">
      <alignment horizontal="center"/>
    </xf>
    <xf numFmtId="164" fontId="3" fillId="4" borderId="0" xfId="2" applyNumberFormat="1" applyFont="1" applyFill="1"/>
    <xf numFmtId="164" fontId="3" fillId="4" borderId="0" xfId="2" applyNumberFormat="1" applyFont="1" applyFill="1" applyBorder="1"/>
    <xf numFmtId="166" fontId="3" fillId="4" borderId="0" xfId="2" applyNumberFormat="1" applyFont="1" applyFill="1" applyBorder="1"/>
    <xf numFmtId="166" fontId="3" fillId="4" borderId="0" xfId="0" applyNumberFormat="1" applyFont="1" applyFill="1"/>
    <xf numFmtId="5" fontId="3" fillId="13" borderId="0" xfId="0" applyNumberFormat="1" applyFont="1" applyFill="1" applyBorder="1"/>
    <xf numFmtId="5" fontId="40" fillId="13" borderId="0" xfId="0" applyNumberFormat="1" applyFont="1" applyFill="1" applyBorder="1"/>
    <xf numFmtId="10" fontId="0" fillId="0" borderId="0" xfId="9" applyNumberFormat="1" applyFont="1" applyFill="1"/>
    <xf numFmtId="192" fontId="61" fillId="4" borderId="14" xfId="0" applyNumberFormat="1" applyFont="1" applyFill="1" applyBorder="1" applyAlignment="1">
      <alignment horizontal="center"/>
    </xf>
    <xf numFmtId="192" fontId="61" fillId="4" borderId="4" xfId="0" applyNumberFormat="1" applyFont="1" applyFill="1" applyBorder="1" applyAlignment="1">
      <alignment horizontal="center"/>
    </xf>
    <xf numFmtId="192" fontId="61" fillId="4" borderId="0" xfId="0" applyNumberFormat="1" applyFont="1" applyFill="1" applyBorder="1" applyAlignment="1">
      <alignment horizontal="center"/>
    </xf>
    <xf numFmtId="192" fontId="61" fillId="4" borderId="51" xfId="0" applyNumberFormat="1" applyFont="1" applyFill="1" applyBorder="1" applyAlignment="1">
      <alignment horizontal="center"/>
    </xf>
    <xf numFmtId="192" fontId="61" fillId="4" borderId="26" xfId="0" applyNumberFormat="1" applyFont="1" applyFill="1" applyBorder="1" applyAlignment="1">
      <alignment horizontal="center"/>
    </xf>
    <xf numFmtId="0" fontId="61" fillId="4" borderId="27" xfId="0" applyFont="1" applyFill="1" applyBorder="1" applyAlignment="1">
      <alignment horizontal="center"/>
    </xf>
    <xf numFmtId="0" fontId="61" fillId="4" borderId="0" xfId="0" applyFont="1" applyFill="1" applyBorder="1" applyAlignment="1">
      <alignment horizontal="center"/>
    </xf>
    <xf numFmtId="0" fontId="61" fillId="4" borderId="51" xfId="0" applyFont="1" applyFill="1" applyBorder="1" applyAlignment="1">
      <alignment horizontal="center"/>
    </xf>
    <xf numFmtId="0" fontId="61" fillId="4" borderId="26" xfId="0" applyFont="1" applyFill="1" applyBorder="1" applyAlignment="1">
      <alignment horizontal="center"/>
    </xf>
    <xf numFmtId="190" fontId="14" fillId="16" borderId="3" xfId="1" applyNumberFormat="1" applyFont="1" applyFill="1" applyBorder="1" applyAlignment="1">
      <alignment horizontal="right"/>
    </xf>
    <xf numFmtId="9" fontId="24" fillId="16" borderId="3" xfId="9" applyFont="1" applyFill="1" applyBorder="1"/>
    <xf numFmtId="9" fontId="0" fillId="16" borderId="3" xfId="9" applyFont="1" applyFill="1" applyBorder="1"/>
    <xf numFmtId="0" fontId="50" fillId="0" borderId="35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2" xfId="0" applyBorder="1" applyAlignment="1">
      <alignment horizontal="center"/>
    </xf>
    <xf numFmtId="0" fontId="24" fillId="0" borderId="0" xfId="0" applyFont="1" applyAlignment="1">
      <alignment horizontal="center" wrapText="1"/>
    </xf>
    <xf numFmtId="0" fontId="24" fillId="0" borderId="0" xfId="0" applyFont="1" applyAlignment="1">
      <alignment horizontal="center"/>
    </xf>
    <xf numFmtId="0" fontId="24" fillId="0" borderId="26" xfId="0" applyFont="1" applyBorder="1" applyAlignment="1">
      <alignment horizontal="center" wrapText="1"/>
    </xf>
    <xf numFmtId="0" fontId="37" fillId="0" borderId="0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66" fillId="14" borderId="0" xfId="0" applyFont="1" applyFill="1" applyAlignment="1">
      <alignment horizontal="center"/>
    </xf>
    <xf numFmtId="0" fontId="47" fillId="0" borderId="78" xfId="0" applyFont="1" applyFill="1" applyBorder="1" applyAlignment="1">
      <alignment horizontal="center" wrapText="1"/>
    </xf>
    <xf numFmtId="0" fontId="47" fillId="0" borderId="76" xfId="0" applyFont="1" applyFill="1" applyBorder="1" applyAlignment="1">
      <alignment horizontal="center" wrapText="1"/>
    </xf>
    <xf numFmtId="0" fontId="47" fillId="0" borderId="79" xfId="0" applyFont="1" applyFill="1" applyBorder="1" applyAlignment="1">
      <alignment horizontal="center" wrapText="1"/>
    </xf>
    <xf numFmtId="0" fontId="16" fillId="0" borderId="14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35" fillId="0" borderId="14" xfId="0" applyFont="1" applyFill="1" applyBorder="1" applyAlignment="1">
      <alignment horizontal="center"/>
    </xf>
    <xf numFmtId="0" fontId="35" fillId="0" borderId="4" xfId="0" applyFont="1" applyFill="1" applyBorder="1" applyAlignment="1">
      <alignment horizontal="center"/>
    </xf>
    <xf numFmtId="0" fontId="35" fillId="0" borderId="15" xfId="0" applyFont="1" applyFill="1" applyBorder="1" applyAlignment="1">
      <alignment horizontal="center"/>
    </xf>
    <xf numFmtId="0" fontId="16" fillId="0" borderId="49" xfId="0" applyFont="1" applyBorder="1" applyAlignment="1">
      <alignment horizontal="center"/>
    </xf>
    <xf numFmtId="0" fontId="16" fillId="0" borderId="43" xfId="0" applyFont="1" applyBorder="1" applyAlignment="1">
      <alignment horizontal="center"/>
    </xf>
    <xf numFmtId="0" fontId="16" fillId="0" borderId="44" xfId="0" applyFont="1" applyBorder="1" applyAlignment="1">
      <alignment horizontal="center"/>
    </xf>
    <xf numFmtId="0" fontId="35" fillId="0" borderId="54" xfId="0" applyFont="1" applyBorder="1" applyAlignment="1">
      <alignment horizontal="center"/>
    </xf>
    <xf numFmtId="0" fontId="35" fillId="0" borderId="55" xfId="0" applyFont="1" applyBorder="1" applyAlignment="1">
      <alignment horizontal="center"/>
    </xf>
    <xf numFmtId="0" fontId="35" fillId="0" borderId="77" xfId="0" applyFont="1" applyBorder="1" applyAlignment="1">
      <alignment horizontal="center"/>
    </xf>
    <xf numFmtId="0" fontId="35" fillId="0" borderId="56" xfId="0" applyFont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35" fillId="0" borderId="57" xfId="0" applyFont="1" applyBorder="1" applyAlignment="1">
      <alignment horizontal="center"/>
    </xf>
    <xf numFmtId="0" fontId="16" fillId="0" borderId="49" xfId="0" applyFont="1" applyFill="1" applyBorder="1" applyAlignment="1">
      <alignment horizontal="center"/>
    </xf>
    <xf numFmtId="0" fontId="16" fillId="0" borderId="43" xfId="0" applyFont="1" applyFill="1" applyBorder="1" applyAlignment="1">
      <alignment horizontal="center"/>
    </xf>
    <xf numFmtId="0" fontId="16" fillId="0" borderId="44" xfId="0" applyFont="1" applyFill="1" applyBorder="1" applyAlignment="1">
      <alignment horizontal="center"/>
    </xf>
  </cellXfs>
  <cellStyles count="16">
    <cellStyle name="Comma" xfId="1" builtinId="3"/>
    <cellStyle name="Currency" xfId="2" builtinId="4"/>
    <cellStyle name="Dezimal [0]_Compiling Utility Macros" xfId="3"/>
    <cellStyle name="Dezimal_Compiling Utility Macros" xfId="4"/>
    <cellStyle name="Normal" xfId="0" builtinId="0"/>
    <cellStyle name="Normal_CFTEST49" xfId="5"/>
    <cellStyle name="Normal_Curve_Economics" xfId="6"/>
    <cellStyle name="Normal_D" xfId="7"/>
    <cellStyle name="Normal_Input" xfId="8"/>
    <cellStyle name="Percent" xfId="9" builtinId="5"/>
    <cellStyle name="Standard_Anpassen der Amortisation" xfId="10"/>
    <cellStyle name="Unprot" xfId="11"/>
    <cellStyle name="Unprot$" xfId="12"/>
    <cellStyle name="Unprotect" xfId="13"/>
    <cellStyle name="Währung [0]_Compiling Utility Macros" xfId="14"/>
    <cellStyle name="Währung_Compiling Utility Macros" xfId="1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Lines="6" dropStyle="combo" dx="22" fmlaLink="Tables!$B$2" fmlaRange="Tables!$B$4:$B$8" noThreeD="1" sel="5" val="0"/>
</file>

<file path=xl/ctrlProps/ctrlProp2.xml><?xml version="1.0" encoding="utf-8"?>
<formControlPr xmlns="http://schemas.microsoft.com/office/spreadsheetml/2009/9/main" objectType="Drop" dropStyle="combo" dx="22" fmlaLink="Tables!$B$13" fmlaRange="Tables!$B$15:$B$19" noThreeD="1" sel="3" val="0"/>
</file>

<file path=xl/ctrlProps/ctrlProp3.xml><?xml version="1.0" encoding="utf-8"?>
<formControlPr xmlns="http://schemas.microsoft.com/office/spreadsheetml/2009/9/main" objectType="Drop" dropLines="4" dropStyle="combo" dx="22" fmlaLink="Tables!$B$24" fmlaRange="Tables!$B$25:$B$28" noThreeD="1" sel="1" val="0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Drop" dropLines="2" dropStyle="combo" dx="22" fmlaLink="Tables!$B$47" fmlaRange="Tables!$B$48:$B$49" noThreeD="1" sel="2" val="0"/>
</file>

<file path=xl/ctrlProps/ctrlProp6.xml><?xml version="1.0" encoding="utf-8"?>
<formControlPr xmlns="http://schemas.microsoft.com/office/spreadsheetml/2009/9/main" objectType="Drop" dropLines="3" dropStyle="combo" dx="22" fmlaLink="'Monthly Table'!$Z$9" fmlaRange="'Monthly Table'!$A$1:$A$3" noThreeD="1" sel="1" val="0"/>
</file>

<file path=xl/ctrlProps/ctrlProp7.xml><?xml version="1.0" encoding="utf-8"?>
<formControlPr xmlns="http://schemas.microsoft.com/office/spreadsheetml/2009/9/main" objectType="Drop" dropLines="3" dropStyle="combo" dx="22" fmlaLink="'Monthly Table'!$BJ$9" fmlaRange="'Monthly Table'!$B$1:$B$3" noThreeD="1" sel="1" val="0"/>
</file>

<file path=xl/ctrlProps/ctrlProp8.xml><?xml version="1.0" encoding="utf-8"?>
<formControlPr xmlns="http://schemas.microsoft.com/office/spreadsheetml/2009/9/main" objectType="Drop" dropLines="2" dropStyle="combo" dx="22" fmlaLink="Tables!$B$32" fmlaRange="Tables!$B$34:$B$35" noThreeD="1" sel="2" val="0"/>
</file>

<file path=xl/ctrlProps/ctrlProp9.xml><?xml version="1.0" encoding="utf-8"?>
<formControlPr xmlns="http://schemas.microsoft.com/office/spreadsheetml/2009/9/main" objectType="Drop" dropLines="4" dropStyle="combo" dx="22" fmlaLink="Tables!$E$24" fmlaRange="Tables!$E$25:$E$28" noThreeD="1" sel="1" val="0"/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14</xdr:row>
      <xdr:rowOff>104775</xdr:rowOff>
    </xdr:from>
    <xdr:to>
      <xdr:col>7</xdr:col>
      <xdr:colOff>76200</xdr:colOff>
      <xdr:row>15</xdr:row>
      <xdr:rowOff>85725</xdr:rowOff>
    </xdr:to>
    <xdr:sp macro="" textlink="">
      <xdr:nvSpPr>
        <xdr:cNvPr id="25601" name="Text Box 1">
          <a:extLst>
            <a:ext uri="{FF2B5EF4-FFF2-40B4-BE49-F238E27FC236}">
              <a16:creationId xmlns:a16="http://schemas.microsoft.com/office/drawing/2014/main" id="{2B53E015-BF78-96B8-FD85-F0D7B222F47A}"/>
            </a:ext>
          </a:extLst>
        </xdr:cNvPr>
        <xdr:cNvSpPr txBox="1">
          <a:spLocks noChangeArrowheads="1"/>
        </xdr:cNvSpPr>
      </xdr:nvSpPr>
      <xdr:spPr bwMode="auto">
        <a:xfrm>
          <a:off x="12039600" y="2924175"/>
          <a:ext cx="762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28575</xdr:rowOff>
        </xdr:from>
        <xdr:to>
          <xdr:col>1</xdr:col>
          <xdr:colOff>1647825</xdr:colOff>
          <xdr:row>8</xdr:row>
          <xdr:rowOff>66675</xdr:rowOff>
        </xdr:to>
        <xdr:sp macro="" textlink="">
          <xdr:nvSpPr>
            <xdr:cNvPr id="25619" name="Drop Down 19" hidden="1">
              <a:extLst>
                <a:ext uri="{63B3BB69-23CF-44E3-9099-C40C66FF867C}">
                  <a14:compatExt spid="_x0000_s25619"/>
                </a:ext>
                <a:ext uri="{FF2B5EF4-FFF2-40B4-BE49-F238E27FC236}">
                  <a16:creationId xmlns:a16="http://schemas.microsoft.com/office/drawing/2014/main" id="{D8C571AE-0B7D-59B2-728E-401B8258E9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27</xdr:row>
          <xdr:rowOff>0</xdr:rowOff>
        </xdr:from>
        <xdr:to>
          <xdr:col>4</xdr:col>
          <xdr:colOff>1552575</xdr:colOff>
          <xdr:row>27</xdr:row>
          <xdr:rowOff>200025</xdr:rowOff>
        </xdr:to>
        <xdr:sp macro="" textlink="">
          <xdr:nvSpPr>
            <xdr:cNvPr id="25659" name="Drop Down 59" hidden="1">
              <a:extLst>
                <a:ext uri="{63B3BB69-23CF-44E3-9099-C40C66FF867C}">
                  <a14:compatExt spid="_x0000_s25659"/>
                </a:ext>
                <a:ext uri="{FF2B5EF4-FFF2-40B4-BE49-F238E27FC236}">
                  <a16:creationId xmlns:a16="http://schemas.microsoft.com/office/drawing/2014/main" id="{A6E6D193-9C52-E447-B737-5585433258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21</xdr:row>
          <xdr:rowOff>104775</xdr:rowOff>
        </xdr:from>
        <xdr:to>
          <xdr:col>1</xdr:col>
          <xdr:colOff>1600200</xdr:colOff>
          <xdr:row>22</xdr:row>
          <xdr:rowOff>142875</xdr:rowOff>
        </xdr:to>
        <xdr:sp macro="" textlink="">
          <xdr:nvSpPr>
            <xdr:cNvPr id="25705" name="Drop Down 105" hidden="1">
              <a:extLst>
                <a:ext uri="{63B3BB69-23CF-44E3-9099-C40C66FF867C}">
                  <a14:compatExt spid="_x0000_s25705"/>
                </a:ext>
                <a:ext uri="{FF2B5EF4-FFF2-40B4-BE49-F238E27FC236}">
                  <a16:creationId xmlns:a16="http://schemas.microsoft.com/office/drawing/2014/main" id="{746C5EDF-4F7C-8790-2BF3-D8145B0E30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219075</xdr:colOff>
          <xdr:row>73</xdr:row>
          <xdr:rowOff>0</xdr:rowOff>
        </xdr:from>
        <xdr:to>
          <xdr:col>1</xdr:col>
          <xdr:colOff>1352550</xdr:colOff>
          <xdr:row>75</xdr:row>
          <xdr:rowOff>66675</xdr:rowOff>
        </xdr:to>
        <xdr:sp macro="" textlink="">
          <xdr:nvSpPr>
            <xdr:cNvPr id="25731" name="Button 131" hidden="1">
              <a:extLst>
                <a:ext uri="{63B3BB69-23CF-44E3-9099-C40C66FF867C}">
                  <a14:compatExt spid="_x0000_s25731"/>
                </a:ext>
                <a:ext uri="{FF2B5EF4-FFF2-40B4-BE49-F238E27FC236}">
                  <a16:creationId xmlns:a16="http://schemas.microsoft.com/office/drawing/2014/main" id="{A8C95906-5060-FBDC-04D6-11521F40FA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Taxable Capital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4</xdr:row>
          <xdr:rowOff>0</xdr:rowOff>
        </xdr:from>
        <xdr:to>
          <xdr:col>1</xdr:col>
          <xdr:colOff>1638300</xdr:colOff>
          <xdr:row>5</xdr:row>
          <xdr:rowOff>0</xdr:rowOff>
        </xdr:to>
        <xdr:sp macro="" textlink="">
          <xdr:nvSpPr>
            <xdr:cNvPr id="25741" name="Drop Down 141" hidden="1">
              <a:extLst>
                <a:ext uri="{63B3BB69-23CF-44E3-9099-C40C66FF867C}">
                  <a14:compatExt spid="_x0000_s25741"/>
                </a:ext>
                <a:ext uri="{FF2B5EF4-FFF2-40B4-BE49-F238E27FC236}">
                  <a16:creationId xmlns:a16="http://schemas.microsoft.com/office/drawing/2014/main" id="{26A49862-15AA-CCF9-4A2F-07EC87EEB2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76200</xdr:rowOff>
        </xdr:from>
        <xdr:to>
          <xdr:col>1</xdr:col>
          <xdr:colOff>1638300</xdr:colOff>
          <xdr:row>40</xdr:row>
          <xdr:rowOff>114300</xdr:rowOff>
        </xdr:to>
        <xdr:sp macro="" textlink="">
          <xdr:nvSpPr>
            <xdr:cNvPr id="25795" name="Drop Down 195" hidden="1">
              <a:extLst>
                <a:ext uri="{63B3BB69-23CF-44E3-9099-C40C66FF867C}">
                  <a14:compatExt spid="_x0000_s25795"/>
                </a:ext>
                <a:ext uri="{FF2B5EF4-FFF2-40B4-BE49-F238E27FC236}">
                  <a16:creationId xmlns:a16="http://schemas.microsoft.com/office/drawing/2014/main" id="{C88328CB-92D5-E2F0-D208-22922389DF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43</xdr:row>
          <xdr:rowOff>114300</xdr:rowOff>
        </xdr:from>
        <xdr:to>
          <xdr:col>1</xdr:col>
          <xdr:colOff>1647825</xdr:colOff>
          <xdr:row>44</xdr:row>
          <xdr:rowOff>152400</xdr:rowOff>
        </xdr:to>
        <xdr:sp macro="" textlink="">
          <xdr:nvSpPr>
            <xdr:cNvPr id="25796" name="Drop Down 196" hidden="1">
              <a:extLst>
                <a:ext uri="{63B3BB69-23CF-44E3-9099-C40C66FF867C}">
                  <a14:compatExt spid="_x0000_s25796"/>
                </a:ext>
                <a:ext uri="{FF2B5EF4-FFF2-40B4-BE49-F238E27FC236}">
                  <a16:creationId xmlns:a16="http://schemas.microsoft.com/office/drawing/2014/main" id="{44B95B68-1A89-72E0-A328-00FEAB44B1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142875</xdr:rowOff>
        </xdr:from>
        <xdr:to>
          <xdr:col>2</xdr:col>
          <xdr:colOff>0</xdr:colOff>
          <xdr:row>10</xdr:row>
          <xdr:rowOff>28575</xdr:rowOff>
        </xdr:to>
        <xdr:sp macro="" textlink="">
          <xdr:nvSpPr>
            <xdr:cNvPr id="25818" name="Drop Down 218" hidden="1">
              <a:extLst>
                <a:ext uri="{63B3BB69-23CF-44E3-9099-C40C66FF867C}">
                  <a14:compatExt spid="_x0000_s25818"/>
                </a:ext>
                <a:ext uri="{FF2B5EF4-FFF2-40B4-BE49-F238E27FC236}">
                  <a16:creationId xmlns:a16="http://schemas.microsoft.com/office/drawing/2014/main" id="{EAC0CDD3-9C7E-086A-A003-E469B585A2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36</xdr:row>
          <xdr:rowOff>314325</xdr:rowOff>
        </xdr:from>
        <xdr:to>
          <xdr:col>1</xdr:col>
          <xdr:colOff>1628775</xdr:colOff>
          <xdr:row>37</xdr:row>
          <xdr:rowOff>180975</xdr:rowOff>
        </xdr:to>
        <xdr:sp macro="" textlink="">
          <xdr:nvSpPr>
            <xdr:cNvPr id="25819" name="Drop Down 219" hidden="1">
              <a:extLst>
                <a:ext uri="{63B3BB69-23CF-44E3-9099-C40C66FF867C}">
                  <a14:compatExt spid="_x0000_s25819"/>
                </a:ext>
                <a:ext uri="{FF2B5EF4-FFF2-40B4-BE49-F238E27FC236}">
                  <a16:creationId xmlns:a16="http://schemas.microsoft.com/office/drawing/2014/main" id="{6ED27410-2FA4-2106-7E9A-C168AC3C0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anadian%20Energy%20Services/Integrated%20Solutions/JWILSON/POWER/Petro_Can/ONTARIO/westwin-dec1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OMMON/ACCOUNTG/FINANCIA/FIN96/GLMS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/WONG/MODELS/714CASES/COBPLAY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8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anadian%20Energy%20Services/Integrated%20Solutions/KChaney/Pulp%20&amp;%20Paper/Fort-James/marathon-2-7-99-paynothing9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Canadian%20Energy%20Services/Integrated%20Solutions/KChaney/Power/McKay%20River/Once%20through%20July12%2015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Canadian%20Energy%20Services/Integrated%20Solutions/KChaney/Fonn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Once%20through%20July1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anadian%20Energy%20Services/Integrated%20Solutions/ATempleman/New%20Peaker%20Model/Ontario%20Peaker%20Dec%2023/Canadian%20Energy%20Services/Integrated%20Solutions/KChaney/Power/McKay%20River/Dec%2014%20Models/501-05A%20Steam%20Curv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Assumpt"/>
      <sheetName val="FX"/>
      <sheetName val="Int Curves"/>
      <sheetName val="WC "/>
      <sheetName val="BS"/>
      <sheetName val="CF"/>
      <sheetName val="IS"/>
      <sheetName val="Debt Amort"/>
      <sheetName val="Temp Tax Diff"/>
      <sheetName val="Tax"/>
      <sheetName val="O &amp; M"/>
      <sheetName val="IRR"/>
      <sheetName val="Construction"/>
      <sheetName val="Operational Detail"/>
      <sheetName val="Cashflow"/>
      <sheetName val="Assumptions"/>
      <sheetName val="Capacity_Energ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lgQuery"/>
      <sheetName val="vbaQuery"/>
      <sheetName val="JnlQuery"/>
      <sheetName val="Criteria"/>
      <sheetName val="CriteriaIS"/>
      <sheetName val="I.S."/>
      <sheetName val="B.S."/>
      <sheetName val="Division-US$"/>
      <sheetName val="Division-Cdn$"/>
      <sheetName val="CshFlow"/>
      <sheetName val="CshFlow Supp"/>
      <sheetName val="Flash"/>
      <sheetName val="IncTax"/>
      <sheetName val="Perm"/>
      <sheetName val="Temp"/>
      <sheetName val="ECT_Form_BS"/>
      <sheetName val="ECT_Form_777"/>
      <sheetName val="ECT_Form_600"/>
      <sheetName val="ECT_Form_641"/>
      <sheetName val="ECT_Form_31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 refreshError="1">
        <row r="3">
          <cell r="B3" t="str">
            <v>AS OF MAY 31, 1996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120">
          <cell r="D120">
            <v>-14146038.030000001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JM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Chart1"/>
      <sheetName val="Chart2"/>
      <sheetName val="Sheet2"/>
      <sheetName val="Sheet3"/>
      <sheetName val="EBITDA"/>
      <sheetName val="*****"/>
      <sheetName val="Heat_rate"/>
      <sheetName val="Peak_pool"/>
      <sheetName val="off_pool"/>
      <sheetName val="Pool_vs_MidC"/>
      <sheetName val="Loads"/>
      <sheetName val="Scalars"/>
      <sheetName val="Monthly (2)"/>
      <sheetName val="Monthly"/>
      <sheetName val="Prices"/>
      <sheetName val="Pool_MidC"/>
      <sheetName val="Prices_loads2"/>
      <sheetName val="DATA"/>
      <sheetName val="MidC"/>
      <sheetName val="load_data"/>
      <sheetName val="Flat_"/>
      <sheetName val="Peak"/>
      <sheetName val="Off Peak"/>
      <sheetName val="graph_data"/>
      <sheetName val="CDD Flat"/>
      <sheetName val="daily Stats"/>
      <sheetName val="CDD Relationship 96"/>
      <sheetName val="CDD Relationship"/>
      <sheetName val="Chart4"/>
      <sheetName val="Chart6"/>
      <sheetName val="Chart7"/>
      <sheetName val="Chart8"/>
      <sheetName val="Chart9"/>
      <sheetName val="daily"/>
      <sheetName val="Sheet4"/>
      <sheetName val="Sheet5"/>
      <sheetName val="Sheet6"/>
      <sheetName val="Sheet7"/>
      <sheetName val="Sheet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n"/>
      <sheetName val="Sheet1"/>
      <sheetName val="monthly"/>
      <sheetName val="Returns"/>
      <sheetName val="Chart1"/>
      <sheetName val="DS"/>
      <sheetName val="BS"/>
      <sheetName val="CF"/>
      <sheetName val="SU"/>
      <sheetName val="Sum"/>
      <sheetName val="IS"/>
      <sheetName val="Rev"/>
      <sheetName val="EA"/>
      <sheetName val="Exp"/>
      <sheetName val="Prod"/>
      <sheetName val="Tax"/>
      <sheetName val="WC"/>
      <sheetName val="Dep"/>
      <sheetName val="Ratios"/>
      <sheetName val="Hold"/>
      <sheetName val="Modul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RR Check"/>
      <sheetName val="Mid C"/>
      <sheetName val="Int Curves"/>
      <sheetName val="WC "/>
      <sheetName val="BS"/>
      <sheetName val="CF"/>
      <sheetName val="IS"/>
      <sheetName val="CCA "/>
      <sheetName val="Debt Amort"/>
      <sheetName val="Temporary Tax Differences"/>
      <sheetName val="Tax"/>
      <sheetName val="O &amp; M"/>
      <sheetName val="IRR"/>
      <sheetName val="Construction"/>
      <sheetName val="Capital "/>
      <sheetName val="Steam "/>
      <sheetName val="CCA Eligibility"/>
      <sheetName val="Cashflow"/>
      <sheetName val="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x"/>
      <sheetName val="Cashflow"/>
      <sheetName val="Temporary Tax Differences "/>
      <sheetName val="IS"/>
      <sheetName val="B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id C"/>
      <sheetName val="Int Curves"/>
      <sheetName val="WC "/>
      <sheetName val="BS"/>
      <sheetName val="CF"/>
      <sheetName val="IS"/>
      <sheetName val="CCA "/>
      <sheetName val="Debt Amort"/>
      <sheetName val="Temporary Tax Differences"/>
      <sheetName val="Tax"/>
      <sheetName val="O &amp; M"/>
      <sheetName val="IRR"/>
      <sheetName val="Construction"/>
      <sheetName val="Capital "/>
      <sheetName val="Steam "/>
      <sheetName val="CCA Eligibility"/>
      <sheetName val="Cashflow"/>
      <sheetName val="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 Curves"/>
      <sheetName val="WC "/>
      <sheetName val="CF"/>
      <sheetName val="BS"/>
      <sheetName val="IS"/>
      <sheetName val="Debt Amort"/>
      <sheetName val="Temp. Tax Diff"/>
      <sheetName val="Tax"/>
      <sheetName val="O &amp; M"/>
      <sheetName val="IRR"/>
      <sheetName val="Capital "/>
      <sheetName val="Construction"/>
      <sheetName val="Table"/>
      <sheetName val="Assumptions"/>
      <sheetName val="Cashflow"/>
      <sheetName val="Notes"/>
      <sheetName val="Operatio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67">
          <cell r="C167">
            <v>0</v>
          </cell>
          <cell r="D167">
            <v>0</v>
          </cell>
          <cell r="E167">
            <v>100041910.46165074</v>
          </cell>
          <cell r="F167">
            <v>91389910.202548027</v>
          </cell>
          <cell r="G167">
            <v>86829697.897350281</v>
          </cell>
          <cell r="H167">
            <v>76018279.569337174</v>
          </cell>
          <cell r="I167">
            <v>64009273.576529942</v>
          </cell>
          <cell r="J167">
            <v>61481457.056639858</v>
          </cell>
          <cell r="K167">
            <v>46889236.356699087</v>
          </cell>
          <cell r="L167">
            <v>32822465.449689358</v>
          </cell>
          <cell r="M167">
            <v>22975725.814782552</v>
          </cell>
          <cell r="N167">
            <v>16083008.070347786</v>
          </cell>
          <cell r="O167">
            <v>11258105.649243452</v>
          </cell>
          <cell r="P167">
            <v>7880673.9544704165</v>
          </cell>
          <cell r="Q167">
            <v>5516471.768129291</v>
          </cell>
          <cell r="R167">
            <v>3861530.2376905037</v>
          </cell>
          <cell r="S167">
            <v>2703071.1663833526</v>
          </cell>
          <cell r="T167">
            <v>1892149.8164683469</v>
          </cell>
          <cell r="U167">
            <v>1324504.8715278427</v>
          </cell>
          <cell r="V167">
            <v>927153.41006948985</v>
          </cell>
          <cell r="W167">
            <v>649007.38704864285</v>
          </cell>
          <cell r="X167">
            <v>454305.17093404999</v>
          </cell>
        </row>
      </sheetData>
      <sheetData sheetId="8"/>
      <sheetData sheetId="9"/>
      <sheetData sheetId="10"/>
      <sheetData sheetId="11"/>
      <sheetData sheetId="12"/>
      <sheetData sheetId="13">
        <row r="47">
          <cell r="F47" t="str">
            <v>Yes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omments" Target="../comments10.xml"/><Relationship Id="rId3" Type="http://schemas.openxmlformats.org/officeDocument/2006/relationships/vmlDrawing" Target="../drawings/vmlDrawing10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C256"/>
  <sheetViews>
    <sheetView workbookViewId="0">
      <selection activeCell="I5" sqref="I5"/>
    </sheetView>
  </sheetViews>
  <sheetFormatPr defaultRowHeight="12.75"/>
  <cols>
    <col min="1" max="2" width="11.85546875" customWidth="1"/>
    <col min="3" max="5" width="9.140625" style="651"/>
    <col min="6" max="6" width="12.42578125" customWidth="1"/>
    <col min="7" max="7" width="10.5703125" customWidth="1"/>
    <col min="8" max="8" width="2.28515625" customWidth="1"/>
    <col min="9" max="9" width="12.42578125" customWidth="1"/>
    <col min="10" max="10" width="13.42578125" customWidth="1"/>
    <col min="14" max="14" width="3.85546875" customWidth="1"/>
    <col min="15" max="15" width="13.28515625" bestFit="1" customWidth="1"/>
    <col min="16" max="19" width="13.28515625" customWidth="1"/>
    <col min="20" max="20" width="13.28515625" bestFit="1" customWidth="1"/>
    <col min="23" max="23" width="4.7109375" customWidth="1"/>
    <col min="27" max="27" width="12" customWidth="1"/>
  </cols>
  <sheetData>
    <row r="1" spans="1:29" s="339" customFormat="1" ht="27" customHeight="1">
      <c r="A1" s="886" t="s">
        <v>799</v>
      </c>
      <c r="G1" s="897" t="s">
        <v>584</v>
      </c>
      <c r="J1" s="217"/>
      <c r="U1" s="650"/>
      <c r="V1" s="650"/>
      <c r="W1" s="650"/>
      <c r="X1" s="650"/>
      <c r="Y1" s="650"/>
      <c r="Z1" s="650"/>
      <c r="AA1" s="650"/>
      <c r="AB1" s="650"/>
    </row>
    <row r="2" spans="1:29">
      <c r="O2" s="1080" t="s">
        <v>807</v>
      </c>
      <c r="P2" s="1080"/>
      <c r="Q2" s="1080"/>
      <c r="R2" s="1080"/>
      <c r="S2" s="1080"/>
      <c r="AB2" s="654"/>
    </row>
    <row r="3" spans="1:29">
      <c r="B3" s="63"/>
      <c r="AB3" s="654"/>
    </row>
    <row r="4" spans="1:29" ht="79.5" customHeight="1">
      <c r="B4" s="898" t="s">
        <v>687</v>
      </c>
      <c r="C4" s="900" t="s">
        <v>657</v>
      </c>
      <c r="D4" s="899" t="s">
        <v>712</v>
      </c>
      <c r="E4" s="1004" t="s">
        <v>771</v>
      </c>
      <c r="F4" s="939" t="s">
        <v>733</v>
      </c>
      <c r="G4" s="940" t="s">
        <v>562</v>
      </c>
      <c r="H4" s="343"/>
      <c r="I4" s="893" t="s">
        <v>709</v>
      </c>
      <c r="J4" s="945" t="s">
        <v>708</v>
      </c>
      <c r="K4" s="942" t="s">
        <v>710</v>
      </c>
      <c r="L4" s="945" t="s">
        <v>713</v>
      </c>
      <c r="M4" s="942" t="s">
        <v>772</v>
      </c>
      <c r="O4" s="900" t="s">
        <v>812</v>
      </c>
      <c r="P4" s="900" t="s">
        <v>805</v>
      </c>
      <c r="Q4" s="900" t="s">
        <v>810</v>
      </c>
      <c r="R4" s="900" t="s">
        <v>806</v>
      </c>
      <c r="S4" s="900" t="s">
        <v>815</v>
      </c>
      <c r="T4" s="1050" t="s">
        <v>808</v>
      </c>
      <c r="AC4" s="654"/>
    </row>
    <row r="5" spans="1:29">
      <c r="A5" s="465">
        <v>36892</v>
      </c>
      <c r="B5" s="894">
        <v>27.616845176333474</v>
      </c>
      <c r="C5" s="901">
        <v>32.5</v>
      </c>
      <c r="D5" s="895">
        <v>25.498748779296875</v>
      </c>
      <c r="E5" s="1009">
        <v>26.002500534057617</v>
      </c>
      <c r="F5" s="891">
        <f t="shared" ref="F5:F65" si="0">VLOOKUP(MONTH(A5),ScalarTable,2,0)</f>
        <v>1.0080802540450913</v>
      </c>
      <c r="G5" s="941">
        <f t="shared" ref="G5:G68" si="1">+F5*C5</f>
        <v>32.762608256465469</v>
      </c>
      <c r="I5" s="891">
        <f t="shared" ref="I5:I67" si="2">VLOOKUP(MONTH(A5),ScalarTable,3,0)</f>
        <v>0.99191974595490895</v>
      </c>
      <c r="J5" s="944">
        <f t="shared" ref="J5:J67" si="3">C5*I5</f>
        <v>32.237391743534538</v>
      </c>
      <c r="K5" s="943">
        <f>D5*F5</f>
        <v>25.704785147265554</v>
      </c>
      <c r="L5" s="944">
        <f>D5*I5</f>
        <v>25.2927124113282</v>
      </c>
      <c r="M5" s="1011">
        <f>E5*F5</f>
        <v>26.212607344180423</v>
      </c>
      <c r="O5" s="587">
        <v>800</v>
      </c>
      <c r="P5" s="1032">
        <v>5</v>
      </c>
      <c r="Q5" s="1052">
        <v>139562.2847846628</v>
      </c>
      <c r="R5" s="1052">
        <v>98062.928760780444</v>
      </c>
      <c r="S5" s="1052">
        <v>60</v>
      </c>
      <c r="T5" s="1051">
        <f>IF(Tables!$B$2=1,'NY Curve'!O5,IF(Tables!$B$2=2,P5,IF(Tables!$B$2=4,Q5,IF(Tables!$B$2=5,R5,IF(Tables!$B$2=3,S5,0)))))</f>
        <v>98062.928760780444</v>
      </c>
      <c r="V5" s="652" t="s">
        <v>561</v>
      </c>
      <c r="W5" s="653"/>
      <c r="X5" s="654"/>
      <c r="Y5" s="1077" t="s">
        <v>732</v>
      </c>
      <c r="Z5" s="1078"/>
      <c r="AA5" s="1078"/>
      <c r="AB5" s="1079"/>
      <c r="AC5" s="654"/>
    </row>
    <row r="6" spans="1:29">
      <c r="A6" s="465">
        <v>36923</v>
      </c>
      <c r="B6" s="894">
        <v>27.141963686261857</v>
      </c>
      <c r="C6" s="901">
        <v>32.5</v>
      </c>
      <c r="D6" s="895">
        <v>24.496250152587891</v>
      </c>
      <c r="E6" s="1009">
        <v>23.997499465942383</v>
      </c>
      <c r="F6" s="891">
        <f t="shared" si="0"/>
        <v>1.0080802540450913</v>
      </c>
      <c r="G6" s="941">
        <f t="shared" si="1"/>
        <v>32.762608256465469</v>
      </c>
      <c r="I6" s="891">
        <f t="shared" si="2"/>
        <v>0.99191974595490906</v>
      </c>
      <c r="J6" s="944">
        <f t="shared" si="3"/>
        <v>32.237391743534545</v>
      </c>
      <c r="K6" s="943">
        <f t="shared" ref="K6:K69" si="4">D6*F6</f>
        <v>24.694186076972908</v>
      </c>
      <c r="L6" s="944">
        <f t="shared" ref="L6:L69" si="5">D6*I6</f>
        <v>24.298314228202884</v>
      </c>
      <c r="M6" s="1011">
        <f t="shared" ref="M6:M69" si="6">E6*F6</f>
        <v>24.191405358074139</v>
      </c>
      <c r="O6" s="587"/>
      <c r="P6" s="1032"/>
      <c r="Q6" s="1052">
        <v>124565.4317375206</v>
      </c>
      <c r="R6" s="1052">
        <v>105983.89549542475</v>
      </c>
      <c r="S6" s="1052"/>
      <c r="T6" s="1051">
        <f>IF(Tables!$B$2=1,'NY Curve'!O6,IF(Tables!$B$2=2,P6,IF(Tables!$B$2=4,Q6,IF(Tables!$B$2=5,R6,IF(Tables!$B$2=3,S6,0)))))</f>
        <v>105983.89549542475</v>
      </c>
      <c r="V6" s="657"/>
      <c r="W6" s="658"/>
      <c r="X6" s="654"/>
      <c r="Y6" s="659"/>
      <c r="Z6" s="660" t="s">
        <v>563</v>
      </c>
      <c r="AA6" s="660" t="s">
        <v>564</v>
      </c>
      <c r="AB6" s="661" t="s">
        <v>565</v>
      </c>
      <c r="AC6" s="654"/>
    </row>
    <row r="7" spans="1:29">
      <c r="A7" s="465">
        <v>36951</v>
      </c>
      <c r="B7" s="894">
        <v>22.880844933646067</v>
      </c>
      <c r="C7" s="901">
        <v>27.5</v>
      </c>
      <c r="D7" s="895">
        <v>17.684749603271484</v>
      </c>
      <c r="E7" s="1009">
        <v>19.314498901367188</v>
      </c>
      <c r="F7" s="891">
        <f t="shared" si="0"/>
        <v>1.0080875</v>
      </c>
      <c r="G7" s="941">
        <f t="shared" si="1"/>
        <v>27.722406250000002</v>
      </c>
      <c r="I7" s="891">
        <f t="shared" si="2"/>
        <v>0.99191250000000009</v>
      </c>
      <c r="J7" s="944">
        <f t="shared" si="3"/>
        <v>27.277593750000001</v>
      </c>
      <c r="K7" s="943">
        <f t="shared" si="4"/>
        <v>17.827775015687944</v>
      </c>
      <c r="L7" s="944">
        <f t="shared" si="5"/>
        <v>17.541724190855028</v>
      </c>
      <c r="M7" s="1011">
        <f t="shared" si="6"/>
        <v>19.470704911231994</v>
      </c>
      <c r="O7" s="587"/>
      <c r="P7" s="1032"/>
      <c r="Q7" s="1052">
        <v>9725.818740322271</v>
      </c>
      <c r="R7" s="1052">
        <v>17555.357709938809</v>
      </c>
      <c r="S7" s="1052"/>
      <c r="T7" s="1051">
        <f>IF(Tables!$B$2=1,'NY Curve'!O7,IF(Tables!$B$2=2,P7,IF(Tables!$B$2=4,Q7,IF(Tables!$B$2=5,R7,IF(Tables!$B$2=3,S7,0)))))</f>
        <v>17555.357709938809</v>
      </c>
      <c r="V7" s="657" t="s">
        <v>361</v>
      </c>
      <c r="W7" s="662" t="s">
        <v>566</v>
      </c>
      <c r="X7" s="654"/>
      <c r="Y7" s="659"/>
      <c r="Z7" s="663" t="s">
        <v>567</v>
      </c>
      <c r="AA7" s="663" t="s">
        <v>567</v>
      </c>
      <c r="AB7" s="664" t="s">
        <v>568</v>
      </c>
      <c r="AC7" s="654"/>
    </row>
    <row r="8" spans="1:29">
      <c r="A8" s="465">
        <v>36982</v>
      </c>
      <c r="B8" s="894">
        <v>22.350356510707311</v>
      </c>
      <c r="C8" s="901">
        <v>26.25</v>
      </c>
      <c r="D8" s="895">
        <v>18.367500305175781</v>
      </c>
      <c r="E8" s="1009">
        <v>19.084999084472656</v>
      </c>
      <c r="F8" s="891">
        <f t="shared" si="0"/>
        <v>1.07269528338234</v>
      </c>
      <c r="G8" s="941">
        <f t="shared" si="1"/>
        <v>28.158251188786426</v>
      </c>
      <c r="I8" s="891">
        <f t="shared" si="2"/>
        <v>0.92730471661766001</v>
      </c>
      <c r="J8" s="944">
        <f t="shared" si="3"/>
        <v>24.341748811213574</v>
      </c>
      <c r="K8" s="943">
        <f t="shared" si="4"/>
        <v>19.702730944885751</v>
      </c>
      <c r="L8" s="944">
        <f t="shared" si="5"/>
        <v>17.032269665465812</v>
      </c>
      <c r="M8" s="1011">
        <f t="shared" si="6"/>
        <v>20.472388501270096</v>
      </c>
      <c r="O8" s="587"/>
      <c r="P8" s="1032"/>
      <c r="Q8" s="1052">
        <v>29395.850562386124</v>
      </c>
      <c r="R8" s="1052">
        <v>63271.008992155403</v>
      </c>
      <c r="S8" s="1052"/>
      <c r="T8" s="1051">
        <f>IF(Tables!$B$2=1,'NY Curve'!O8,IF(Tables!$B$2=2,P8,IF(Tables!$B$2=4,Q8,IF(Tables!$B$2=5,R8,IF(Tables!$B$2=3,S8,0)))))</f>
        <v>63271.008992155403</v>
      </c>
      <c r="V8" s="665">
        <v>1</v>
      </c>
      <c r="W8" s="662" t="s">
        <v>569</v>
      </c>
      <c r="X8" s="654"/>
      <c r="Y8" s="659">
        <v>1</v>
      </c>
      <c r="Z8" s="887">
        <v>1.0080802540450913</v>
      </c>
      <c r="AA8" s="887">
        <v>0.99191974595490895</v>
      </c>
      <c r="AB8" s="667">
        <f t="shared" ref="AB8:AB19" si="7">AVERAGE(Z8:AA8)</f>
        <v>1</v>
      </c>
      <c r="AC8" s="654"/>
    </row>
    <row r="9" spans="1:29">
      <c r="A9" s="465">
        <v>37012</v>
      </c>
      <c r="B9" s="894">
        <v>24.466308957054501</v>
      </c>
      <c r="C9" s="901">
        <v>30.5</v>
      </c>
      <c r="D9" s="895">
        <v>18.482500076293945</v>
      </c>
      <c r="E9" s="1009">
        <v>19.614999771118164</v>
      </c>
      <c r="F9" s="891">
        <f t="shared" si="0"/>
        <v>1.058490237990529</v>
      </c>
      <c r="G9" s="941">
        <f t="shared" si="1"/>
        <v>32.283952258711132</v>
      </c>
      <c r="I9" s="891">
        <f t="shared" si="2"/>
        <v>0.94150976200947101</v>
      </c>
      <c r="J9" s="944">
        <f t="shared" si="3"/>
        <v>28.716047741288865</v>
      </c>
      <c r="K9" s="943">
        <f t="shared" si="4"/>
        <v>19.563545904416348</v>
      </c>
      <c r="L9" s="944">
        <f t="shared" si="5"/>
        <v>17.401454248171543</v>
      </c>
      <c r="M9" s="1011">
        <f t="shared" si="6"/>
        <v>20.762285775915036</v>
      </c>
      <c r="O9" s="587"/>
      <c r="P9" s="1032"/>
      <c r="Q9" s="1052">
        <v>272780.02047176281</v>
      </c>
      <c r="R9" s="1052">
        <v>236778.06566339626</v>
      </c>
      <c r="S9" s="1052"/>
      <c r="T9" s="1051">
        <f>IF(Tables!$B$2=1,'NY Curve'!O9,IF(Tables!$B$2=2,P9,IF(Tables!$B$2=4,Q9,IF(Tables!$B$2=5,R9,IF(Tables!$B$2=3,S9,0)))))</f>
        <v>236778.06566339626</v>
      </c>
      <c r="V9" s="665">
        <v>2</v>
      </c>
      <c r="W9" s="662" t="s">
        <v>569</v>
      </c>
      <c r="X9" s="654"/>
      <c r="Y9" s="659">
        <v>2</v>
      </c>
      <c r="Z9" s="887">
        <v>1.0080802540450913</v>
      </c>
      <c r="AA9" s="887">
        <v>0.99191974595490906</v>
      </c>
      <c r="AB9" s="667">
        <f t="shared" si="7"/>
        <v>1.0000000000000002</v>
      </c>
      <c r="AC9" s="654"/>
    </row>
    <row r="10" spans="1:29">
      <c r="A10" s="465">
        <v>37043</v>
      </c>
      <c r="B10" s="894">
        <v>34.253749665759855</v>
      </c>
      <c r="C10" s="901">
        <v>50</v>
      </c>
      <c r="D10" s="895">
        <v>23.058750152587891</v>
      </c>
      <c r="E10" s="1009">
        <v>18.542499542236328</v>
      </c>
      <c r="F10" s="891">
        <f t="shared" si="0"/>
        <v>1.1693830474353057</v>
      </c>
      <c r="G10" s="941">
        <f t="shared" si="1"/>
        <v>58.46915237176529</v>
      </c>
      <c r="I10" s="891">
        <f t="shared" si="2"/>
        <v>0.83061695843935013</v>
      </c>
      <c r="J10" s="944">
        <f t="shared" si="3"/>
        <v>41.530847921967506</v>
      </c>
      <c r="K10" s="943">
        <f t="shared" si="4"/>
        <v>26.96451152348255</v>
      </c>
      <c r="L10" s="944">
        <f t="shared" si="5"/>
        <v>19.152988917155454</v>
      </c>
      <c r="M10" s="1011">
        <f t="shared" si="6"/>
        <v>21.683284621768077</v>
      </c>
      <c r="O10" s="587"/>
      <c r="P10" s="1032"/>
      <c r="Q10" s="1052">
        <v>769189.32292338728</v>
      </c>
      <c r="R10" s="1052">
        <v>701811.46613309113</v>
      </c>
      <c r="S10" s="1052"/>
      <c r="T10" s="1051">
        <f>IF(Tables!$B$2=1,'NY Curve'!O10,IF(Tables!$B$2=2,P10,IF(Tables!$B$2=4,Q10,IF(Tables!$B$2=5,R10,IF(Tables!$B$2=3,S10,0)))))</f>
        <v>701811.46613309113</v>
      </c>
      <c r="V10" s="665">
        <v>3</v>
      </c>
      <c r="W10" s="662" t="s">
        <v>570</v>
      </c>
      <c r="X10" s="654"/>
      <c r="Y10" s="659">
        <v>3</v>
      </c>
      <c r="Z10" s="887">
        <v>1.0080875</v>
      </c>
      <c r="AA10" s="887">
        <v>0.99191250000000009</v>
      </c>
      <c r="AB10" s="667">
        <f t="shared" si="7"/>
        <v>1</v>
      </c>
      <c r="AC10" s="654"/>
    </row>
    <row r="11" spans="1:29">
      <c r="A11" s="465">
        <v>37073</v>
      </c>
      <c r="B11" s="894">
        <v>50.429820741925923</v>
      </c>
      <c r="C11" s="901">
        <v>76.5</v>
      </c>
      <c r="D11" s="895">
        <v>37.511249542236328</v>
      </c>
      <c r="E11" s="1009">
        <v>28.997499465942383</v>
      </c>
      <c r="F11" s="891">
        <f t="shared" si="0"/>
        <v>1.2214070997107602</v>
      </c>
      <c r="G11" s="941">
        <f t="shared" si="1"/>
        <v>93.437643127873159</v>
      </c>
      <c r="I11" s="891">
        <f t="shared" si="2"/>
        <v>0.77859290689229965</v>
      </c>
      <c r="J11" s="944">
        <f t="shared" si="3"/>
        <v>59.562357377260923</v>
      </c>
      <c r="K11" s="943">
        <f t="shared" si="4"/>
        <v>45.816506509909459</v>
      </c>
      <c r="L11" s="944">
        <f t="shared" si="5"/>
        <v>29.205992822252227</v>
      </c>
      <c r="M11" s="1011">
        <f t="shared" si="6"/>
        <v>35.417751721561004</v>
      </c>
      <c r="O11" s="587"/>
      <c r="P11" s="1032"/>
      <c r="Q11" s="1052">
        <v>2100011.5400470635</v>
      </c>
      <c r="R11" s="1052">
        <v>1895669.0723216124</v>
      </c>
      <c r="S11" s="1052"/>
      <c r="T11" s="1051">
        <f>IF(Tables!$B$2=1,'NY Curve'!O11,IF(Tables!$B$2=2,P11,IF(Tables!$B$2=4,Q11,IF(Tables!$B$2=5,R11,IF(Tables!$B$2=3,S11,0)))))</f>
        <v>1895669.0723216124</v>
      </c>
      <c r="V11" s="665">
        <v>4</v>
      </c>
      <c r="W11" s="662" t="s">
        <v>570</v>
      </c>
      <c r="X11" s="654"/>
      <c r="Y11" s="659">
        <v>4</v>
      </c>
      <c r="Z11" s="887">
        <v>1.07269528338234</v>
      </c>
      <c r="AA11" s="887">
        <v>0.92730471661766001</v>
      </c>
      <c r="AB11" s="667">
        <f t="shared" si="7"/>
        <v>1</v>
      </c>
      <c r="AC11" s="654"/>
    </row>
    <row r="12" spans="1:29">
      <c r="A12" s="465">
        <v>37104</v>
      </c>
      <c r="B12" s="894">
        <v>47.478690011160715</v>
      </c>
      <c r="C12" s="901">
        <v>69</v>
      </c>
      <c r="D12" s="895">
        <v>39.772499084472656</v>
      </c>
      <c r="E12" s="1009">
        <v>30.495000839233398</v>
      </c>
      <c r="F12" s="891">
        <f t="shared" si="0"/>
        <v>1.1576814286317387</v>
      </c>
      <c r="G12" s="941">
        <f t="shared" si="1"/>
        <v>79.880018575589972</v>
      </c>
      <c r="I12" s="891">
        <f t="shared" si="2"/>
        <v>0.84209904074668884</v>
      </c>
      <c r="J12" s="944">
        <f t="shared" si="3"/>
        <v>58.10483381152153</v>
      </c>
      <c r="K12" s="943">
        <f t="shared" si="4"/>
        <v>46.043883560366822</v>
      </c>
      <c r="L12" s="944">
        <f t="shared" si="5"/>
        <v>33.492383327132984</v>
      </c>
      <c r="M12" s="1011">
        <f t="shared" si="6"/>
        <v>35.303496137689791</v>
      </c>
      <c r="O12" s="587"/>
      <c r="P12" s="1032"/>
      <c r="Q12" s="1052">
        <v>2262622.36959991</v>
      </c>
      <c r="R12" s="1052">
        <v>2033765.7274419195</v>
      </c>
      <c r="S12" s="1052"/>
      <c r="T12" s="1051">
        <f>IF(Tables!$B$2=1,'NY Curve'!O12,IF(Tables!$B$2=2,P12,IF(Tables!$B$2=4,Q12,IF(Tables!$B$2=5,R12,IF(Tables!$B$2=3,S12,0)))))</f>
        <v>2033765.7274419195</v>
      </c>
      <c r="V12" s="665">
        <v>5</v>
      </c>
      <c r="W12" s="662" t="s">
        <v>570</v>
      </c>
      <c r="X12" s="654"/>
      <c r="Y12" s="659">
        <v>5</v>
      </c>
      <c r="Z12" s="887">
        <v>1.058490237990529</v>
      </c>
      <c r="AA12" s="887">
        <v>0.94150976200947101</v>
      </c>
      <c r="AB12" s="667">
        <f t="shared" si="7"/>
        <v>1</v>
      </c>
    </row>
    <row r="13" spans="1:29">
      <c r="A13" s="465">
        <v>37135</v>
      </c>
      <c r="B13" s="894">
        <v>23.041428111848376</v>
      </c>
      <c r="C13" s="901">
        <v>30.5</v>
      </c>
      <c r="D13" s="895">
        <v>14.979999542236328</v>
      </c>
      <c r="E13" s="1009">
        <v>12.560000419616699</v>
      </c>
      <c r="F13" s="891">
        <f t="shared" si="0"/>
        <v>1.0965337923205105</v>
      </c>
      <c r="G13" s="941">
        <f t="shared" si="1"/>
        <v>33.444280665775572</v>
      </c>
      <c r="I13" s="891">
        <f t="shared" si="2"/>
        <v>0.90346620767948926</v>
      </c>
      <c r="J13" s="944">
        <f t="shared" si="3"/>
        <v>27.555719334224424</v>
      </c>
      <c r="K13" s="943">
        <f t="shared" si="4"/>
        <v>16.426075707007911</v>
      </c>
      <c r="L13" s="944">
        <f t="shared" si="5"/>
        <v>13.53392337746474</v>
      </c>
      <c r="M13" s="1011">
        <f t="shared" si="6"/>
        <v>13.772464891669502</v>
      </c>
      <c r="O13" s="587"/>
      <c r="P13" s="1032"/>
      <c r="Q13" s="1052">
        <v>314014.41646133532</v>
      </c>
      <c r="R13" s="1052">
        <v>254833.73522893043</v>
      </c>
      <c r="S13" s="1052"/>
      <c r="T13" s="1051">
        <f>IF(Tables!$B$2=1,'NY Curve'!O13,IF(Tables!$B$2=2,P13,IF(Tables!$B$2=4,Q13,IF(Tables!$B$2=5,R13,IF(Tables!$B$2=3,S13,0)))))</f>
        <v>254833.73522893043</v>
      </c>
      <c r="V13" s="665">
        <v>6</v>
      </c>
      <c r="W13" s="662" t="s">
        <v>571</v>
      </c>
      <c r="X13" s="654"/>
      <c r="Y13" s="659">
        <v>6</v>
      </c>
      <c r="Z13" s="887">
        <v>1.1693830474353057</v>
      </c>
      <c r="AA13" s="887">
        <v>0.83061695843935013</v>
      </c>
      <c r="AB13" s="667">
        <f t="shared" si="7"/>
        <v>1.0000000029373279</v>
      </c>
      <c r="AC13" s="17"/>
    </row>
    <row r="14" spans="1:29">
      <c r="A14" s="465">
        <v>37165</v>
      </c>
      <c r="B14" s="894">
        <v>22.683547337849934</v>
      </c>
      <c r="C14" s="901">
        <v>26.25</v>
      </c>
      <c r="D14" s="895">
        <v>19.850500106811523</v>
      </c>
      <c r="E14" s="1009">
        <v>19.85099983215332</v>
      </c>
      <c r="F14" s="891">
        <f t="shared" si="0"/>
        <v>1.0119875</v>
      </c>
      <c r="G14" s="941">
        <f t="shared" si="1"/>
        <v>26.564671875000002</v>
      </c>
      <c r="I14" s="891">
        <f t="shared" si="2"/>
        <v>0.98801249999999996</v>
      </c>
      <c r="J14" s="944">
        <f t="shared" si="3"/>
        <v>25.935328124999998</v>
      </c>
      <c r="K14" s="943">
        <f t="shared" si="4"/>
        <v>20.088457976841926</v>
      </c>
      <c r="L14" s="944">
        <f t="shared" si="5"/>
        <v>19.61254223678112</v>
      </c>
      <c r="M14" s="1011">
        <f t="shared" si="6"/>
        <v>20.088963692641258</v>
      </c>
      <c r="O14" s="587"/>
      <c r="P14" s="1032"/>
      <c r="Q14" s="1052">
        <v>112387.51624258989</v>
      </c>
      <c r="R14" s="1052">
        <v>83935.593729836197</v>
      </c>
      <c r="S14" s="1052"/>
      <c r="T14" s="1051">
        <f>IF(Tables!$B$2=1,'NY Curve'!O14,IF(Tables!$B$2=2,P14,IF(Tables!$B$2=4,Q14,IF(Tables!$B$2=5,R14,IF(Tables!$B$2=3,S14,0)))))</f>
        <v>83935.593729836197</v>
      </c>
      <c r="V14" s="665">
        <v>7</v>
      </c>
      <c r="W14" s="662" t="s">
        <v>571</v>
      </c>
      <c r="X14" s="654"/>
      <c r="Y14" s="659">
        <v>7</v>
      </c>
      <c r="Z14" s="887">
        <v>1.2214070997107602</v>
      </c>
      <c r="AA14" s="887">
        <v>0.77859290689229965</v>
      </c>
      <c r="AB14" s="667">
        <f t="shared" si="7"/>
        <v>1.0000000033015299</v>
      </c>
      <c r="AC14" s="17"/>
    </row>
    <row r="15" spans="1:29">
      <c r="A15" s="465">
        <v>37196</v>
      </c>
      <c r="B15" s="894">
        <v>23.190606889270601</v>
      </c>
      <c r="C15" s="901">
        <v>26.75</v>
      </c>
      <c r="D15" s="895">
        <v>20.854751586914063</v>
      </c>
      <c r="E15" s="1009">
        <v>20.854499816894531</v>
      </c>
      <c r="F15" s="891">
        <f t="shared" si="0"/>
        <v>1.0158500000000001</v>
      </c>
      <c r="G15" s="941">
        <f t="shared" si="1"/>
        <v>27.173987500000003</v>
      </c>
      <c r="I15" s="891">
        <f t="shared" si="2"/>
        <v>0.98414999999999986</v>
      </c>
      <c r="J15" s="944">
        <f t="shared" si="3"/>
        <v>26.326012499999997</v>
      </c>
      <c r="K15" s="943">
        <f t="shared" si="4"/>
        <v>21.185299399566652</v>
      </c>
      <c r="L15" s="944">
        <f t="shared" si="5"/>
        <v>20.524203774261473</v>
      </c>
      <c r="M15" s="1011">
        <f t="shared" si="6"/>
        <v>21.185043638992312</v>
      </c>
      <c r="O15" s="587"/>
      <c r="P15" s="1032"/>
      <c r="Q15" s="1052">
        <v>115925.24339693552</v>
      </c>
      <c r="R15" s="1052">
        <v>70580.008597202803</v>
      </c>
      <c r="S15" s="1052"/>
      <c r="T15" s="1051">
        <f>IF(Tables!$B$2=1,'NY Curve'!O15,IF(Tables!$B$2=2,P15,IF(Tables!$B$2=4,Q15,IF(Tables!$B$2=5,R15,IF(Tables!$B$2=3,S15,0)))))</f>
        <v>70580.008597202803</v>
      </c>
      <c r="V15" s="665">
        <v>8</v>
      </c>
      <c r="W15" s="662" t="s">
        <v>571</v>
      </c>
      <c r="X15" s="654"/>
      <c r="Y15" s="659">
        <v>8</v>
      </c>
      <c r="Z15" s="887">
        <v>1.1576814286317387</v>
      </c>
      <c r="AA15" s="887">
        <v>0.84209904074668884</v>
      </c>
      <c r="AB15" s="667">
        <f t="shared" si="7"/>
        <v>0.99989023468921379</v>
      </c>
      <c r="AC15" s="17"/>
    </row>
    <row r="16" spans="1:29">
      <c r="A16" s="465">
        <v>37226</v>
      </c>
      <c r="B16" s="894">
        <v>23.967380432855514</v>
      </c>
      <c r="C16" s="901">
        <v>27.25</v>
      </c>
      <c r="D16" s="895">
        <v>22.304998397827148</v>
      </c>
      <c r="E16" s="1009">
        <v>20.799999237060547</v>
      </c>
      <c r="F16" s="891">
        <f t="shared" si="0"/>
        <v>1.0153259918063107</v>
      </c>
      <c r="G16" s="941">
        <f t="shared" si="1"/>
        <v>27.667633276721965</v>
      </c>
      <c r="I16" s="891">
        <f t="shared" si="2"/>
        <v>0.98467400819368933</v>
      </c>
      <c r="J16" s="944">
        <f t="shared" si="3"/>
        <v>26.832366723278035</v>
      </c>
      <c r="K16" s="943">
        <f t="shared" si="4"/>
        <v>22.64684462051202</v>
      </c>
      <c r="L16" s="944">
        <f t="shared" si="5"/>
        <v>21.963152175142277</v>
      </c>
      <c r="M16" s="1011">
        <f t="shared" si="6"/>
        <v>21.118779854939007</v>
      </c>
      <c r="O16" s="587"/>
      <c r="P16" s="1032"/>
      <c r="Q16" s="1052">
        <v>99740.1857208812</v>
      </c>
      <c r="R16" s="1052">
        <v>61704.329609027976</v>
      </c>
      <c r="S16" s="1052"/>
      <c r="T16" s="1051">
        <f>IF(Tables!$B$2=1,'NY Curve'!O16,IF(Tables!$B$2=2,P16,IF(Tables!$B$2=4,Q16,IF(Tables!$B$2=5,R16,IF(Tables!$B$2=3,S16,0)))))</f>
        <v>61704.329609027976</v>
      </c>
      <c r="V16" s="665">
        <v>9</v>
      </c>
      <c r="W16" s="662" t="s">
        <v>570</v>
      </c>
      <c r="X16" s="654"/>
      <c r="Y16" s="659">
        <v>9</v>
      </c>
      <c r="Z16" s="887">
        <v>1.0965337923205105</v>
      </c>
      <c r="AA16" s="887">
        <v>0.90346620767948926</v>
      </c>
      <c r="AB16" s="667">
        <f t="shared" si="7"/>
        <v>0.99999999999999989</v>
      </c>
      <c r="AC16" s="17"/>
    </row>
    <row r="17" spans="1:29">
      <c r="A17" s="465">
        <v>37257</v>
      </c>
      <c r="B17" s="894">
        <v>27.338273820422945</v>
      </c>
      <c r="C17" s="901">
        <v>32</v>
      </c>
      <c r="D17" s="895">
        <v>25.398748397827148</v>
      </c>
      <c r="E17" s="1009">
        <v>25.902500152587891</v>
      </c>
      <c r="F17" s="891">
        <f t="shared" si="0"/>
        <v>1.0080802540450913</v>
      </c>
      <c r="G17" s="941">
        <f t="shared" si="1"/>
        <v>32.258568129442921</v>
      </c>
      <c r="I17" s="891">
        <f t="shared" si="2"/>
        <v>0.99191974595490895</v>
      </c>
      <c r="J17" s="944">
        <f t="shared" si="3"/>
        <v>31.741431870557086</v>
      </c>
      <c r="K17" s="943">
        <f t="shared" si="4"/>
        <v>25.603976737308948</v>
      </c>
      <c r="L17" s="944">
        <f t="shared" si="5"/>
        <v>25.193520058345356</v>
      </c>
      <c r="M17" s="1011">
        <f t="shared" si="6"/>
        <v>26.111798934223817</v>
      </c>
      <c r="O17" s="587"/>
      <c r="P17" s="1032"/>
      <c r="Q17" s="1052">
        <v>215991.17566177298</v>
      </c>
      <c r="R17" s="1052">
        <v>156545.68175490721</v>
      </c>
      <c r="S17" s="1052"/>
      <c r="T17" s="1051">
        <f>IF(Tables!$B$2=1,'NY Curve'!O17,IF(Tables!$B$2=2,P17,IF(Tables!$B$2=4,Q17,IF(Tables!$B$2=5,R17,IF(Tables!$B$2=3,S17,0)))))</f>
        <v>156545.68175490721</v>
      </c>
      <c r="V17" s="665">
        <v>10</v>
      </c>
      <c r="W17" s="662" t="s">
        <v>570</v>
      </c>
      <c r="X17" s="654"/>
      <c r="Y17" s="659">
        <v>10</v>
      </c>
      <c r="Z17" s="887">
        <v>1.0119875</v>
      </c>
      <c r="AA17" s="887">
        <v>0.98801249999999996</v>
      </c>
      <c r="AB17" s="667">
        <f t="shared" si="7"/>
        <v>1</v>
      </c>
      <c r="AC17" s="17"/>
    </row>
    <row r="18" spans="1:29">
      <c r="A18" s="465">
        <v>37288</v>
      </c>
      <c r="B18" s="894">
        <v>26.863392257690428</v>
      </c>
      <c r="C18" s="901">
        <v>32</v>
      </c>
      <c r="D18" s="895">
        <v>24.396250152587889</v>
      </c>
      <c r="E18" s="1009">
        <v>23.897499465942381</v>
      </c>
      <c r="F18" s="891">
        <f t="shared" si="0"/>
        <v>1.0080802540450913</v>
      </c>
      <c r="G18" s="941">
        <f t="shared" si="1"/>
        <v>32.258568129442921</v>
      </c>
      <c r="I18" s="891">
        <f t="shared" si="2"/>
        <v>0.99191974595490906</v>
      </c>
      <c r="J18" s="944">
        <f t="shared" si="3"/>
        <v>31.74143187055709</v>
      </c>
      <c r="K18" s="943">
        <f t="shared" si="4"/>
        <v>24.593378051568397</v>
      </c>
      <c r="L18" s="944">
        <f t="shared" si="5"/>
        <v>24.199122253607392</v>
      </c>
      <c r="M18" s="1011">
        <f t="shared" si="6"/>
        <v>24.090597332669628</v>
      </c>
      <c r="O18" s="587"/>
      <c r="P18" s="1032"/>
      <c r="Q18" s="1052">
        <v>186238.7957514381</v>
      </c>
      <c r="R18" s="1052">
        <v>157199.90810839622</v>
      </c>
      <c r="S18" s="1052"/>
      <c r="T18" s="1051">
        <f>IF(Tables!$B$2=1,'NY Curve'!O18,IF(Tables!$B$2=2,P18,IF(Tables!$B$2=4,Q18,IF(Tables!$B$2=5,R18,IF(Tables!$B$2=3,S18,0)))))</f>
        <v>157199.90810839622</v>
      </c>
      <c r="V18" s="665">
        <v>11</v>
      </c>
      <c r="W18" s="662" t="s">
        <v>570</v>
      </c>
      <c r="X18" s="654"/>
      <c r="Y18" s="659">
        <v>11</v>
      </c>
      <c r="Z18" s="887">
        <v>1.0158500000000001</v>
      </c>
      <c r="AA18" s="887">
        <v>0.98414999999999986</v>
      </c>
      <c r="AB18" s="667">
        <f t="shared" si="7"/>
        <v>1</v>
      </c>
      <c r="AC18" s="17"/>
    </row>
    <row r="19" spans="1:29">
      <c r="A19" s="465">
        <v>37316</v>
      </c>
      <c r="B19" s="894">
        <v>22.602273505074635</v>
      </c>
      <c r="C19" s="901">
        <v>27</v>
      </c>
      <c r="D19" s="895">
        <v>17.584749603271483</v>
      </c>
      <c r="E19" s="1009">
        <v>19.214498901367186</v>
      </c>
      <c r="F19" s="891">
        <f t="shared" si="0"/>
        <v>1.0080875</v>
      </c>
      <c r="G19" s="941">
        <f t="shared" si="1"/>
        <v>27.218362500000001</v>
      </c>
      <c r="I19" s="891">
        <f t="shared" si="2"/>
        <v>0.99191250000000009</v>
      </c>
      <c r="J19" s="944">
        <f t="shared" si="3"/>
        <v>26.781637500000002</v>
      </c>
      <c r="K19" s="943">
        <f t="shared" si="4"/>
        <v>17.726966265687942</v>
      </c>
      <c r="L19" s="944">
        <f t="shared" si="5"/>
        <v>17.442532940855028</v>
      </c>
      <c r="M19" s="1011">
        <f t="shared" si="6"/>
        <v>19.369896161231992</v>
      </c>
      <c r="O19" s="587"/>
      <c r="P19" s="1032"/>
      <c r="Q19" s="1052">
        <v>63601.219958622401</v>
      </c>
      <c r="R19" s="1052">
        <v>75591.414892524364</v>
      </c>
      <c r="S19" s="1052"/>
      <c r="T19" s="1051">
        <f>IF(Tables!$B$2=1,'NY Curve'!O19,IF(Tables!$B$2=2,P19,IF(Tables!$B$2=4,Q19,IF(Tables!$B$2=5,R19,IF(Tables!$B$2=3,S19,0)))))</f>
        <v>75591.414892524364</v>
      </c>
      <c r="V19" s="668">
        <v>12</v>
      </c>
      <c r="W19" s="669" t="s">
        <v>569</v>
      </c>
      <c r="X19" s="654"/>
      <c r="Y19" s="670">
        <v>12</v>
      </c>
      <c r="Z19" s="888">
        <v>1.0153259918063107</v>
      </c>
      <c r="AA19" s="888">
        <v>0.98467400819368933</v>
      </c>
      <c r="AB19" s="672">
        <f t="shared" si="7"/>
        <v>1</v>
      </c>
      <c r="AC19" s="17"/>
    </row>
    <row r="20" spans="1:29">
      <c r="A20" s="465">
        <v>37347</v>
      </c>
      <c r="B20" s="894">
        <v>22.071785082135882</v>
      </c>
      <c r="C20" s="901">
        <v>25.75</v>
      </c>
      <c r="D20" s="895">
        <v>18.26750030517578</v>
      </c>
      <c r="E20" s="1009">
        <v>18.984999084472655</v>
      </c>
      <c r="F20" s="891">
        <f t="shared" si="0"/>
        <v>1.07269528338234</v>
      </c>
      <c r="G20" s="941">
        <f t="shared" si="1"/>
        <v>27.621903547095254</v>
      </c>
      <c r="I20" s="891">
        <f t="shared" si="2"/>
        <v>0.92730471661766001</v>
      </c>
      <c r="J20" s="944">
        <f t="shared" si="3"/>
        <v>23.878096452904746</v>
      </c>
      <c r="K20" s="943">
        <f t="shared" si="4"/>
        <v>19.595461416547515</v>
      </c>
      <c r="L20" s="944">
        <f t="shared" si="5"/>
        <v>16.939539193804045</v>
      </c>
      <c r="M20" s="1011">
        <f t="shared" si="6"/>
        <v>20.36511897293186</v>
      </c>
      <c r="O20" s="587"/>
      <c r="P20" s="1032"/>
      <c r="Q20" s="1052">
        <v>108239.42652616705</v>
      </c>
      <c r="R20" s="1052">
        <v>138005.74793106579</v>
      </c>
      <c r="S20" s="1052"/>
      <c r="T20" s="1051">
        <f>IF(Tables!$B$2=1,'NY Curve'!O20,IF(Tables!$B$2=2,P20,IF(Tables!$B$2=4,Q20,IF(Tables!$B$2=5,R20,IF(Tables!$B$2=3,S20,0)))))</f>
        <v>138005.74793106579</v>
      </c>
      <c r="AC20" s="17"/>
    </row>
    <row r="21" spans="1:29">
      <c r="A21" s="465">
        <v>37377</v>
      </c>
      <c r="B21" s="894">
        <v>24.187737528483073</v>
      </c>
      <c r="C21" s="901">
        <v>30</v>
      </c>
      <c r="D21" s="895">
        <v>18.382500076293944</v>
      </c>
      <c r="E21" s="1009">
        <v>19.514999771118163</v>
      </c>
      <c r="F21" s="891">
        <f t="shared" si="0"/>
        <v>1.058490237990529</v>
      </c>
      <c r="G21" s="941">
        <f t="shared" si="1"/>
        <v>31.754707139715869</v>
      </c>
      <c r="I21" s="891">
        <f t="shared" si="2"/>
        <v>0.94150976200947101</v>
      </c>
      <c r="J21" s="944">
        <f t="shared" si="3"/>
        <v>28.245292860284131</v>
      </c>
      <c r="K21" s="943">
        <f t="shared" si="4"/>
        <v>19.457696880617295</v>
      </c>
      <c r="L21" s="944">
        <f t="shared" si="5"/>
        <v>17.307303271970593</v>
      </c>
      <c r="M21" s="1011">
        <f t="shared" si="6"/>
        <v>20.656436752115983</v>
      </c>
      <c r="O21" s="587"/>
      <c r="P21" s="1032"/>
      <c r="Q21" s="1052">
        <v>342818.76112775633</v>
      </c>
      <c r="R21" s="1052">
        <v>284439.60372459609</v>
      </c>
      <c r="S21" s="1052"/>
      <c r="T21" s="1051">
        <f>IF(Tables!$B$2=1,'NY Curve'!O21,IF(Tables!$B$2=2,P21,IF(Tables!$B$2=4,Q21,IF(Tables!$B$2=5,R21,IF(Tables!$B$2=3,S21,0)))))</f>
        <v>284439.60372459609</v>
      </c>
      <c r="AC21" s="17"/>
    </row>
    <row r="22" spans="1:29">
      <c r="A22" s="465">
        <v>37408</v>
      </c>
      <c r="B22" s="894">
        <v>33.563273475283665</v>
      </c>
      <c r="C22" s="901">
        <v>48.75</v>
      </c>
      <c r="D22" s="895">
        <v>22.808750152587891</v>
      </c>
      <c r="E22" s="1009">
        <v>18.292499542236328</v>
      </c>
      <c r="F22" s="891">
        <f t="shared" si="0"/>
        <v>1.1693830474353057</v>
      </c>
      <c r="G22" s="941">
        <f t="shared" si="1"/>
        <v>57.007423562471153</v>
      </c>
      <c r="I22" s="891">
        <f t="shared" si="2"/>
        <v>0.83061695843935013</v>
      </c>
      <c r="J22" s="944">
        <f t="shared" si="3"/>
        <v>40.492576723918319</v>
      </c>
      <c r="K22" s="943">
        <f t="shared" si="4"/>
        <v>26.672165761623724</v>
      </c>
      <c r="L22" s="944">
        <f t="shared" si="5"/>
        <v>18.945334677545617</v>
      </c>
      <c r="M22" s="1011">
        <f t="shared" si="6"/>
        <v>21.390938859909252</v>
      </c>
      <c r="O22" s="587"/>
      <c r="P22" s="1032"/>
      <c r="Q22" s="1052">
        <v>689568.23930339073</v>
      </c>
      <c r="R22" s="1052">
        <v>623894.39696995856</v>
      </c>
      <c r="S22" s="1052"/>
      <c r="T22" s="1051">
        <f>IF(Tables!$B$2=1,'NY Curve'!O22,IF(Tables!$B$2=2,P22,IF(Tables!$B$2=4,Q22,IF(Tables!$B$2=5,R22,IF(Tables!$B$2=3,S22,0)))))</f>
        <v>623894.39696995856</v>
      </c>
      <c r="AC22" s="17"/>
    </row>
    <row r="23" spans="1:29">
      <c r="A23" s="465">
        <v>37438</v>
      </c>
      <c r="B23" s="894">
        <v>48.929820741925923</v>
      </c>
      <c r="C23" s="901">
        <v>74</v>
      </c>
      <c r="D23" s="895">
        <v>36.511249542236328</v>
      </c>
      <c r="E23" s="1009">
        <v>27.997499465942383</v>
      </c>
      <c r="F23" s="891">
        <f t="shared" si="0"/>
        <v>1.2214070997107602</v>
      </c>
      <c r="G23" s="941">
        <f t="shared" si="1"/>
        <v>90.384125378596252</v>
      </c>
      <c r="I23" s="891">
        <f t="shared" si="2"/>
        <v>0.77859290689229965</v>
      </c>
      <c r="J23" s="944">
        <f t="shared" si="3"/>
        <v>57.615875110030174</v>
      </c>
      <c r="K23" s="943">
        <f t="shared" si="4"/>
        <v>44.595099410198692</v>
      </c>
      <c r="L23" s="944">
        <f t="shared" si="5"/>
        <v>28.427399915359928</v>
      </c>
      <c r="M23" s="1011">
        <f t="shared" si="6"/>
        <v>34.196344621850244</v>
      </c>
      <c r="O23" s="587"/>
      <c r="P23" s="1032"/>
      <c r="Q23" s="1052">
        <v>1831330.1444689678</v>
      </c>
      <c r="R23" s="1052">
        <v>1660534.8294470329</v>
      </c>
      <c r="S23" s="1052"/>
      <c r="T23" s="1051">
        <f>IF(Tables!$B$2=1,'NY Curve'!O23,IF(Tables!$B$2=2,P23,IF(Tables!$B$2=4,Q23,IF(Tables!$B$2=5,R23,IF(Tables!$B$2=3,S23,0)))))</f>
        <v>1660534.8294470329</v>
      </c>
      <c r="AC23" s="17"/>
    </row>
    <row r="24" spans="1:29">
      <c r="A24" s="465">
        <v>37469</v>
      </c>
      <c r="B24" s="894">
        <v>45.978690011160715</v>
      </c>
      <c r="C24" s="901">
        <v>66.5</v>
      </c>
      <c r="D24" s="895">
        <v>38.772499084472656</v>
      </c>
      <c r="E24" s="1009">
        <v>29.495000839233398</v>
      </c>
      <c r="F24" s="891">
        <f t="shared" si="0"/>
        <v>1.1576814286317387</v>
      </c>
      <c r="G24" s="941">
        <f t="shared" si="1"/>
        <v>76.985815004010632</v>
      </c>
      <c r="I24" s="891">
        <f t="shared" si="2"/>
        <v>0.84209904074668884</v>
      </c>
      <c r="J24" s="944">
        <f t="shared" si="3"/>
        <v>55.999586209654808</v>
      </c>
      <c r="K24" s="943">
        <f t="shared" si="4"/>
        <v>44.886202131735089</v>
      </c>
      <c r="L24" s="944">
        <f t="shared" si="5"/>
        <v>32.650284286386295</v>
      </c>
      <c r="M24" s="1011">
        <f t="shared" si="6"/>
        <v>34.145814709058051</v>
      </c>
      <c r="O24" s="587"/>
      <c r="P24" s="1032"/>
      <c r="Q24" s="1052">
        <v>1903526.3027760563</v>
      </c>
      <c r="R24" s="1052">
        <v>1717498.9090850623</v>
      </c>
      <c r="S24" s="1052"/>
      <c r="T24" s="1051">
        <f>IF(Tables!$B$2=1,'NY Curve'!O24,IF(Tables!$B$2=2,P24,IF(Tables!$B$2=4,Q24,IF(Tables!$B$2=5,R24,IF(Tables!$B$2=3,S24,0)))))</f>
        <v>1717498.9090850623</v>
      </c>
      <c r="AC24" s="17"/>
    </row>
    <row r="25" spans="1:29">
      <c r="A25" s="465">
        <v>37500</v>
      </c>
      <c r="B25" s="894">
        <v>22.762856683276947</v>
      </c>
      <c r="C25" s="901">
        <v>30</v>
      </c>
      <c r="D25" s="895">
        <v>14.879999542236328</v>
      </c>
      <c r="E25" s="1009">
        <v>12.4600004196167</v>
      </c>
      <c r="F25" s="891">
        <f t="shared" si="0"/>
        <v>1.0965337923205105</v>
      </c>
      <c r="G25" s="941">
        <f t="shared" si="1"/>
        <v>32.896013769615315</v>
      </c>
      <c r="I25" s="891">
        <f t="shared" si="2"/>
        <v>0.90346620767948926</v>
      </c>
      <c r="J25" s="944">
        <f t="shared" si="3"/>
        <v>27.103986230384677</v>
      </c>
      <c r="K25" s="943">
        <f t="shared" si="4"/>
        <v>16.316422327775861</v>
      </c>
      <c r="L25" s="944">
        <f t="shared" si="5"/>
        <v>13.443576756696793</v>
      </c>
      <c r="M25" s="1011">
        <f t="shared" si="6"/>
        <v>13.662811512437452</v>
      </c>
      <c r="O25" s="587"/>
      <c r="P25" s="1032"/>
      <c r="Q25" s="1052">
        <v>392269.21941763547</v>
      </c>
      <c r="R25" s="1052">
        <v>322765.18212123303</v>
      </c>
      <c r="S25" s="1052"/>
      <c r="T25" s="1051">
        <f>IF(Tables!$B$2=1,'NY Curve'!O25,IF(Tables!$B$2=2,P25,IF(Tables!$B$2=4,Q25,IF(Tables!$B$2=5,R25,IF(Tables!$B$2=3,S25,0)))))</f>
        <v>322765.18212123303</v>
      </c>
      <c r="AC25" s="17"/>
    </row>
    <row r="26" spans="1:29">
      <c r="A26" s="465">
        <v>37530</v>
      </c>
      <c r="B26" s="894">
        <v>22.404975909278505</v>
      </c>
      <c r="C26" s="901">
        <v>25.75</v>
      </c>
      <c r="D26" s="895">
        <v>19.750500106811522</v>
      </c>
      <c r="E26" s="1009">
        <v>19.750999832153319</v>
      </c>
      <c r="F26" s="891">
        <f t="shared" si="0"/>
        <v>1.0119875</v>
      </c>
      <c r="G26" s="941">
        <f t="shared" si="1"/>
        <v>26.058678125</v>
      </c>
      <c r="I26" s="891">
        <f t="shared" si="2"/>
        <v>0.98801249999999996</v>
      </c>
      <c r="J26" s="944">
        <f t="shared" si="3"/>
        <v>25.441321875</v>
      </c>
      <c r="K26" s="943">
        <f t="shared" si="4"/>
        <v>19.987259226841925</v>
      </c>
      <c r="L26" s="944">
        <f t="shared" si="5"/>
        <v>19.513740986781119</v>
      </c>
      <c r="M26" s="1011">
        <f t="shared" si="6"/>
        <v>19.987764942641256</v>
      </c>
      <c r="O26" s="587"/>
      <c r="P26" s="1032"/>
      <c r="Q26" s="1052">
        <v>151112.59327985675</v>
      </c>
      <c r="R26" s="1052">
        <v>116609.96367142431</v>
      </c>
      <c r="S26" s="1052"/>
      <c r="T26" s="1051">
        <f>IF(Tables!$B$2=1,'NY Curve'!O26,IF(Tables!$B$2=2,P26,IF(Tables!$B$2=4,Q26,IF(Tables!$B$2=5,R26,IF(Tables!$B$2=3,S26,0)))))</f>
        <v>116609.96367142431</v>
      </c>
      <c r="AC26" s="17"/>
    </row>
    <row r="27" spans="1:29">
      <c r="A27" s="465">
        <v>37561</v>
      </c>
      <c r="B27" s="894">
        <v>22.912035460699173</v>
      </c>
      <c r="C27" s="901">
        <v>26.25</v>
      </c>
      <c r="D27" s="895">
        <v>20.754751586914061</v>
      </c>
      <c r="E27" s="1009">
        <v>20.75449981689453</v>
      </c>
      <c r="F27" s="891">
        <f t="shared" si="0"/>
        <v>1.0158500000000001</v>
      </c>
      <c r="G27" s="941">
        <f t="shared" si="1"/>
        <v>26.666062500000002</v>
      </c>
      <c r="I27" s="891">
        <f t="shared" si="2"/>
        <v>0.98414999999999986</v>
      </c>
      <c r="J27" s="944">
        <f t="shared" si="3"/>
        <v>25.833937499999998</v>
      </c>
      <c r="K27" s="943">
        <f t="shared" si="4"/>
        <v>21.083714399566652</v>
      </c>
      <c r="L27" s="944">
        <f t="shared" si="5"/>
        <v>20.42578877426147</v>
      </c>
      <c r="M27" s="1011">
        <f t="shared" si="6"/>
        <v>21.083458638992312</v>
      </c>
      <c r="O27" s="587"/>
      <c r="P27" s="1032"/>
      <c r="Q27" s="1052">
        <v>147675.82442039144</v>
      </c>
      <c r="R27" s="1052">
        <v>91995.00323920646</v>
      </c>
      <c r="S27" s="1052"/>
      <c r="T27" s="1051">
        <f>IF(Tables!$B$2=1,'NY Curve'!O27,IF(Tables!$B$2=2,P27,IF(Tables!$B$2=4,Q27,IF(Tables!$B$2=5,R27,IF(Tables!$B$2=3,S27,0)))))</f>
        <v>91995.00323920646</v>
      </c>
      <c r="AC27" s="17"/>
    </row>
    <row r="28" spans="1:29">
      <c r="A28" s="465">
        <v>37591</v>
      </c>
      <c r="B28" s="894">
        <v>23.688809004284085</v>
      </c>
      <c r="C28" s="901">
        <v>26.75</v>
      </c>
      <c r="D28" s="895">
        <v>22.204998397827147</v>
      </c>
      <c r="E28" s="1009">
        <v>20.699999237060545</v>
      </c>
      <c r="F28" s="891">
        <f t="shared" si="0"/>
        <v>1.0153259918063107</v>
      </c>
      <c r="G28" s="941">
        <f t="shared" si="1"/>
        <v>27.159970280818811</v>
      </c>
      <c r="I28" s="891">
        <f t="shared" si="2"/>
        <v>0.98467400819368933</v>
      </c>
      <c r="J28" s="944">
        <f t="shared" si="3"/>
        <v>26.340029719181189</v>
      </c>
      <c r="K28" s="943">
        <f t="shared" si="4"/>
        <v>22.545312021331387</v>
      </c>
      <c r="L28" s="944">
        <f t="shared" si="5"/>
        <v>21.864684774322907</v>
      </c>
      <c r="M28" s="1011">
        <f t="shared" si="6"/>
        <v>21.017247255758374</v>
      </c>
      <c r="O28" s="587"/>
      <c r="P28" s="1032"/>
      <c r="Q28" s="1052">
        <v>124145.30322182426</v>
      </c>
      <c r="R28" s="1052">
        <v>78199.246395786773</v>
      </c>
      <c r="S28" s="1052"/>
      <c r="T28" s="1051">
        <f>IF(Tables!$B$2=1,'NY Curve'!O28,IF(Tables!$B$2=2,P28,IF(Tables!$B$2=4,Q28,IF(Tables!$B$2=5,R28,IF(Tables!$B$2=3,S28,0)))))</f>
        <v>78199.246395786773</v>
      </c>
      <c r="V28" s="17"/>
      <c r="W28" s="17"/>
      <c r="X28" s="17"/>
      <c r="Y28" s="17"/>
      <c r="Z28" s="17"/>
      <c r="AA28" s="17"/>
      <c r="AB28" s="17"/>
      <c r="AC28" s="17"/>
    </row>
    <row r="29" spans="1:29">
      <c r="A29" s="465">
        <v>37622</v>
      </c>
      <c r="B29" s="894">
        <v>27.171607153756277</v>
      </c>
      <c r="C29" s="901">
        <v>31.65</v>
      </c>
      <c r="D29" s="895">
        <v>25.398748397827148</v>
      </c>
      <c r="E29" s="1009">
        <v>25.902500152587891</v>
      </c>
      <c r="F29" s="891">
        <f t="shared" si="0"/>
        <v>1.0080802540450913</v>
      </c>
      <c r="G29" s="941">
        <f t="shared" si="1"/>
        <v>31.905740040527139</v>
      </c>
      <c r="I29" s="891">
        <f t="shared" si="2"/>
        <v>0.99191974595490895</v>
      </c>
      <c r="J29" s="944">
        <f t="shared" si="3"/>
        <v>31.394259959472866</v>
      </c>
      <c r="K29" s="943">
        <f t="shared" si="4"/>
        <v>25.603976737308948</v>
      </c>
      <c r="L29" s="944">
        <f t="shared" si="5"/>
        <v>25.193520058345356</v>
      </c>
      <c r="M29" s="1011">
        <f t="shared" si="6"/>
        <v>26.111798934223817</v>
      </c>
      <c r="O29" s="587"/>
      <c r="P29" s="1032"/>
      <c r="Q29" s="1052">
        <v>282181.86270348378</v>
      </c>
      <c r="R29" s="1052">
        <v>209666.01378953675</v>
      </c>
      <c r="S29" s="1052"/>
      <c r="T29" s="1051">
        <f>IF(Tables!$B$2=1,'NY Curve'!O29,IF(Tables!$B$2=2,P29,IF(Tables!$B$2=4,Q29,IF(Tables!$B$2=5,R29,IF(Tables!$B$2=3,S29,0)))))</f>
        <v>209666.01378953675</v>
      </c>
      <c r="V29" s="17"/>
      <c r="W29" s="17"/>
      <c r="X29" s="17"/>
      <c r="Y29" s="17"/>
      <c r="Z29" s="17"/>
      <c r="AA29" s="17"/>
      <c r="AB29" s="17"/>
      <c r="AC29" s="17"/>
    </row>
    <row r="30" spans="1:29">
      <c r="A30" s="465">
        <v>37653</v>
      </c>
      <c r="B30" s="894">
        <v>26.69672559102376</v>
      </c>
      <c r="C30" s="901">
        <v>31.65</v>
      </c>
      <c r="D30" s="895">
        <v>24.396250152587889</v>
      </c>
      <c r="E30" s="1009">
        <v>23.897499465942381</v>
      </c>
      <c r="F30" s="891">
        <f t="shared" si="0"/>
        <v>1.0080802540450913</v>
      </c>
      <c r="G30" s="941">
        <f t="shared" si="1"/>
        <v>31.905740040527139</v>
      </c>
      <c r="I30" s="891">
        <f t="shared" si="2"/>
        <v>0.99191974595490906</v>
      </c>
      <c r="J30" s="944">
        <f t="shared" si="3"/>
        <v>31.394259959472869</v>
      </c>
      <c r="K30" s="943">
        <f t="shared" si="4"/>
        <v>24.593378051568397</v>
      </c>
      <c r="L30" s="944">
        <f t="shared" si="5"/>
        <v>24.199122253607392</v>
      </c>
      <c r="M30" s="1011">
        <f t="shared" si="6"/>
        <v>24.090597332669628</v>
      </c>
      <c r="O30" s="587"/>
      <c r="P30" s="1032"/>
      <c r="Q30" s="1052">
        <v>242389.4005171367</v>
      </c>
      <c r="R30" s="1052">
        <v>202416.77540069979</v>
      </c>
      <c r="S30" s="1052"/>
      <c r="T30" s="1051">
        <f>IF(Tables!$B$2=1,'NY Curve'!O30,IF(Tables!$B$2=2,P30,IF(Tables!$B$2=4,Q30,IF(Tables!$B$2=5,R30,IF(Tables!$B$2=3,S30,0)))))</f>
        <v>202416.77540069979</v>
      </c>
    </row>
    <row r="31" spans="1:29">
      <c r="A31" s="465">
        <v>37681</v>
      </c>
      <c r="B31" s="894">
        <v>22.435606838407971</v>
      </c>
      <c r="C31" s="901">
        <v>26.65</v>
      </c>
      <c r="D31" s="895">
        <v>17.584749603271483</v>
      </c>
      <c r="E31" s="1009">
        <v>19.214498901367186</v>
      </c>
      <c r="F31" s="891">
        <f t="shared" si="0"/>
        <v>1.0080875</v>
      </c>
      <c r="G31" s="941">
        <f t="shared" si="1"/>
        <v>26.865531874999999</v>
      </c>
      <c r="I31" s="891">
        <f t="shared" si="2"/>
        <v>0.99191250000000009</v>
      </c>
      <c r="J31" s="944">
        <f t="shared" si="3"/>
        <v>26.434468125000002</v>
      </c>
      <c r="K31" s="943">
        <f t="shared" si="4"/>
        <v>17.726966265687942</v>
      </c>
      <c r="L31" s="944">
        <f t="shared" si="5"/>
        <v>17.442532940855028</v>
      </c>
      <c r="M31" s="1011">
        <f t="shared" si="6"/>
        <v>19.369896161231992</v>
      </c>
      <c r="O31" s="587"/>
      <c r="P31" s="1032"/>
      <c r="Q31" s="1052">
        <v>112502.80141673304</v>
      </c>
      <c r="R31" s="1052">
        <v>117258.23872913064</v>
      </c>
      <c r="S31" s="1052"/>
      <c r="T31" s="1051">
        <f>IF(Tables!$B$2=1,'NY Curve'!O31,IF(Tables!$B$2=2,P31,IF(Tables!$B$2=4,Q31,IF(Tables!$B$2=5,R31,IF(Tables!$B$2=3,S31,0)))))</f>
        <v>117258.23872913064</v>
      </c>
    </row>
    <row r="32" spans="1:29">
      <c r="A32" s="465">
        <v>37712</v>
      </c>
      <c r="B32" s="894">
        <v>21.905118415469214</v>
      </c>
      <c r="C32" s="901">
        <v>25.4</v>
      </c>
      <c r="D32" s="895">
        <v>18.26750030517578</v>
      </c>
      <c r="E32" s="1009">
        <v>18.984999084472655</v>
      </c>
      <c r="F32" s="891">
        <f t="shared" si="0"/>
        <v>1.07269528338234</v>
      </c>
      <c r="G32" s="941">
        <f t="shared" si="1"/>
        <v>27.246460197911436</v>
      </c>
      <c r="I32" s="891">
        <f t="shared" si="2"/>
        <v>0.92730471661766001</v>
      </c>
      <c r="J32" s="944">
        <f t="shared" si="3"/>
        <v>23.553539802088562</v>
      </c>
      <c r="K32" s="943">
        <f t="shared" si="4"/>
        <v>19.595461416547515</v>
      </c>
      <c r="L32" s="944">
        <f t="shared" si="5"/>
        <v>16.939539193804045</v>
      </c>
      <c r="M32" s="1011">
        <f t="shared" si="6"/>
        <v>20.36511897293186</v>
      </c>
      <c r="O32" s="587"/>
      <c r="P32" s="1032"/>
      <c r="Q32" s="1052">
        <v>148046.05584882453</v>
      </c>
      <c r="R32" s="1052">
        <v>161234.94622313831</v>
      </c>
      <c r="S32" s="1052"/>
      <c r="T32" s="1051">
        <f>IF(Tables!$B$2=1,'NY Curve'!O32,IF(Tables!$B$2=2,P32,IF(Tables!$B$2=4,Q32,IF(Tables!$B$2=5,R32,IF(Tables!$B$2=3,S32,0)))))</f>
        <v>161234.94622313831</v>
      </c>
    </row>
    <row r="33" spans="1:20">
      <c r="A33" s="465">
        <v>37742</v>
      </c>
      <c r="B33" s="894">
        <v>24.021070861816405</v>
      </c>
      <c r="C33" s="901">
        <v>29.65</v>
      </c>
      <c r="D33" s="895">
        <v>18.382500076293944</v>
      </c>
      <c r="E33" s="1009">
        <v>19.514999771118163</v>
      </c>
      <c r="F33" s="891">
        <f t="shared" si="0"/>
        <v>1.058490237990529</v>
      </c>
      <c r="G33" s="941">
        <f t="shared" si="1"/>
        <v>31.384235556419185</v>
      </c>
      <c r="I33" s="891">
        <f t="shared" si="2"/>
        <v>0.94150976200947101</v>
      </c>
      <c r="J33" s="944">
        <f t="shared" si="3"/>
        <v>27.915764443580812</v>
      </c>
      <c r="K33" s="943">
        <f t="shared" si="4"/>
        <v>19.457696880617295</v>
      </c>
      <c r="L33" s="944">
        <f t="shared" si="5"/>
        <v>17.307303271970593</v>
      </c>
      <c r="M33" s="1011">
        <f t="shared" si="6"/>
        <v>20.656436752115983</v>
      </c>
      <c r="O33" s="587"/>
      <c r="P33" s="1032"/>
      <c r="Q33" s="1052">
        <v>361097.11013505352</v>
      </c>
      <c r="R33" s="1052">
        <v>301492.80642976903</v>
      </c>
      <c r="S33" s="1052"/>
      <c r="T33" s="1051">
        <f>IF(Tables!$B$2=1,'NY Curve'!O33,IF(Tables!$B$2=2,P33,IF(Tables!$B$2=4,Q33,IF(Tables!$B$2=5,R33,IF(Tables!$B$2=3,S33,0)))))</f>
        <v>301492.80642976903</v>
      </c>
    </row>
    <row r="34" spans="1:20">
      <c r="A34" s="465">
        <v>37773</v>
      </c>
      <c r="B34" s="894">
        <v>33.206130618140811</v>
      </c>
      <c r="C34" s="901">
        <v>48</v>
      </c>
      <c r="D34" s="895">
        <v>22.808750152587891</v>
      </c>
      <c r="E34" s="1009">
        <v>18.292499542236328</v>
      </c>
      <c r="F34" s="891">
        <f t="shared" si="0"/>
        <v>1.1693830474353057</v>
      </c>
      <c r="G34" s="941">
        <f t="shared" si="1"/>
        <v>56.130386276894676</v>
      </c>
      <c r="I34" s="891">
        <f t="shared" si="2"/>
        <v>0.83061695843935013</v>
      </c>
      <c r="J34" s="944">
        <f t="shared" si="3"/>
        <v>39.869614005088806</v>
      </c>
      <c r="K34" s="943">
        <f t="shared" si="4"/>
        <v>26.672165761623724</v>
      </c>
      <c r="L34" s="944">
        <f t="shared" si="5"/>
        <v>18.945334677545617</v>
      </c>
      <c r="M34" s="1011">
        <f t="shared" si="6"/>
        <v>21.390938859909252</v>
      </c>
      <c r="O34" s="587"/>
      <c r="P34" s="1032"/>
      <c r="Q34" s="1052">
        <v>810384.33510539506</v>
      </c>
      <c r="R34" s="1052">
        <v>731239.71635857318</v>
      </c>
      <c r="S34" s="1052"/>
      <c r="T34" s="1051">
        <f>IF(Tables!$B$2=1,'NY Curve'!O34,IF(Tables!$B$2=2,P34,IF(Tables!$B$2=4,Q34,IF(Tables!$B$2=5,R34,IF(Tables!$B$2=3,S34,0)))))</f>
        <v>731239.71635857318</v>
      </c>
    </row>
    <row r="35" spans="1:20">
      <c r="A35" s="465">
        <v>37803</v>
      </c>
      <c r="B35" s="894">
        <v>47.834582646687828</v>
      </c>
      <c r="C35" s="901">
        <v>72</v>
      </c>
      <c r="D35" s="895">
        <v>36.011249542236328</v>
      </c>
      <c r="E35" s="1009">
        <v>27.497499465942383</v>
      </c>
      <c r="F35" s="891">
        <f t="shared" si="0"/>
        <v>1.2214070997107602</v>
      </c>
      <c r="G35" s="941">
        <f t="shared" si="1"/>
        <v>87.941311179174733</v>
      </c>
      <c r="I35" s="891">
        <f t="shared" si="2"/>
        <v>0.77859290689229965</v>
      </c>
      <c r="J35" s="944">
        <f t="shared" si="3"/>
        <v>56.058689296245575</v>
      </c>
      <c r="K35" s="943">
        <f t="shared" si="4"/>
        <v>43.984395860343312</v>
      </c>
      <c r="L35" s="944">
        <f t="shared" si="5"/>
        <v>28.038103461913778</v>
      </c>
      <c r="M35" s="1011">
        <f t="shared" si="6"/>
        <v>33.585641071994864</v>
      </c>
      <c r="O35" s="587"/>
      <c r="P35" s="1032"/>
      <c r="Q35" s="1052">
        <v>2145408.4499339429</v>
      </c>
      <c r="R35" s="1052">
        <v>1935680.7780887722</v>
      </c>
      <c r="S35" s="1052"/>
      <c r="T35" s="1051">
        <f>IF(Tables!$B$2=1,'NY Curve'!O35,IF(Tables!$B$2=2,P35,IF(Tables!$B$2=4,Q35,IF(Tables!$B$2=5,R35,IF(Tables!$B$2=3,S35,0)))))</f>
        <v>1935680.7780887722</v>
      </c>
    </row>
    <row r="36" spans="1:20">
      <c r="A36" s="465">
        <v>37834</v>
      </c>
      <c r="B36" s="894">
        <v>44.88345191592262</v>
      </c>
      <c r="C36" s="901">
        <v>64.5</v>
      </c>
      <c r="D36" s="895">
        <v>38.272499084472656</v>
      </c>
      <c r="E36" s="1009">
        <v>28.995000839233398</v>
      </c>
      <c r="F36" s="891">
        <f t="shared" si="0"/>
        <v>1.1576814286317387</v>
      </c>
      <c r="G36" s="941">
        <f t="shared" si="1"/>
        <v>74.670452146747152</v>
      </c>
      <c r="I36" s="891">
        <f t="shared" si="2"/>
        <v>0.84209904074668884</v>
      </c>
      <c r="J36" s="944">
        <f t="shared" si="3"/>
        <v>54.31538812816143</v>
      </c>
      <c r="K36" s="943">
        <f t="shared" si="4"/>
        <v>44.307361417419216</v>
      </c>
      <c r="L36" s="944">
        <f t="shared" si="5"/>
        <v>32.229234766012951</v>
      </c>
      <c r="M36" s="1011">
        <f t="shared" si="6"/>
        <v>33.566973994742185</v>
      </c>
      <c r="O36" s="587"/>
      <c r="P36" s="1032"/>
      <c r="Q36" s="1052">
        <v>2158845.7378522414</v>
      </c>
      <c r="R36" s="1052">
        <v>1938195.2760228906</v>
      </c>
      <c r="S36" s="1052"/>
      <c r="T36" s="1051">
        <f>IF(Tables!$B$2=1,'NY Curve'!O36,IF(Tables!$B$2=2,P36,IF(Tables!$B$2=4,Q36,IF(Tables!$B$2=5,R36,IF(Tables!$B$2=3,S36,0)))))</f>
        <v>1938195.2760228906</v>
      </c>
    </row>
    <row r="37" spans="1:20">
      <c r="A37" s="465">
        <v>37865</v>
      </c>
      <c r="B37" s="894">
        <v>22.596190016610279</v>
      </c>
      <c r="C37" s="901">
        <v>29.65</v>
      </c>
      <c r="D37" s="895">
        <v>14.879999542236328</v>
      </c>
      <c r="E37" s="1009">
        <v>12.4600004196167</v>
      </c>
      <c r="F37" s="891">
        <f t="shared" si="0"/>
        <v>1.0965337923205105</v>
      </c>
      <c r="G37" s="941">
        <f t="shared" si="1"/>
        <v>32.512226942303137</v>
      </c>
      <c r="I37" s="891">
        <f t="shared" si="2"/>
        <v>0.90346620767948926</v>
      </c>
      <c r="J37" s="944">
        <f t="shared" si="3"/>
        <v>26.787773057696857</v>
      </c>
      <c r="K37" s="943">
        <f t="shared" si="4"/>
        <v>16.316422327775861</v>
      </c>
      <c r="L37" s="944">
        <f t="shared" si="5"/>
        <v>13.443576756696793</v>
      </c>
      <c r="M37" s="1011">
        <f t="shared" si="6"/>
        <v>13.662811512437452</v>
      </c>
      <c r="O37" s="587"/>
      <c r="P37" s="1032"/>
      <c r="Q37" s="1052">
        <v>441121.04534907371</v>
      </c>
      <c r="R37" s="1052">
        <v>363700.73029346741</v>
      </c>
      <c r="S37" s="1052"/>
      <c r="T37" s="1051">
        <f>IF(Tables!$B$2=1,'NY Curve'!O37,IF(Tables!$B$2=2,P37,IF(Tables!$B$2=4,Q37,IF(Tables!$B$2=5,R37,IF(Tables!$B$2=3,S37,0)))))</f>
        <v>363700.73029346741</v>
      </c>
    </row>
    <row r="38" spans="1:20">
      <c r="A38" s="465">
        <v>37895</v>
      </c>
      <c r="B38" s="894">
        <v>22.238309242611837</v>
      </c>
      <c r="C38" s="901">
        <v>25.4</v>
      </c>
      <c r="D38" s="895">
        <v>19.750500106811522</v>
      </c>
      <c r="E38" s="1009">
        <v>19.750999832153319</v>
      </c>
      <c r="F38" s="891">
        <f t="shared" si="0"/>
        <v>1.0119875</v>
      </c>
      <c r="G38" s="941">
        <f t="shared" si="1"/>
        <v>25.704482500000001</v>
      </c>
      <c r="I38" s="891">
        <f t="shared" si="2"/>
        <v>0.98801249999999996</v>
      </c>
      <c r="J38" s="944">
        <f t="shared" si="3"/>
        <v>25.095517499999996</v>
      </c>
      <c r="K38" s="943">
        <f t="shared" si="4"/>
        <v>19.987259226841925</v>
      </c>
      <c r="L38" s="944">
        <f t="shared" si="5"/>
        <v>19.513740986781119</v>
      </c>
      <c r="M38" s="1011">
        <f t="shared" si="6"/>
        <v>19.987764942641256</v>
      </c>
      <c r="O38" s="587"/>
      <c r="P38" s="1032"/>
      <c r="Q38" s="1052">
        <v>178622.09468343967</v>
      </c>
      <c r="R38" s="1052">
        <v>140362.39302526208</v>
      </c>
      <c r="S38" s="1052"/>
      <c r="T38" s="1051">
        <f>IF(Tables!$B$2=1,'NY Curve'!O38,IF(Tables!$B$2=2,P38,IF(Tables!$B$2=4,Q38,IF(Tables!$B$2=5,R38,IF(Tables!$B$2=3,S38,0)))))</f>
        <v>140362.39302526208</v>
      </c>
    </row>
    <row r="39" spans="1:20">
      <c r="A39" s="465">
        <v>37926</v>
      </c>
      <c r="B39" s="894">
        <v>22.745368794032505</v>
      </c>
      <c r="C39" s="901">
        <v>25.9</v>
      </c>
      <c r="D39" s="895">
        <v>20.754751586914061</v>
      </c>
      <c r="E39" s="1009">
        <v>20.75449981689453</v>
      </c>
      <c r="F39" s="891">
        <f t="shared" si="0"/>
        <v>1.0158500000000001</v>
      </c>
      <c r="G39" s="941">
        <f t="shared" si="1"/>
        <v>26.310515000000002</v>
      </c>
      <c r="I39" s="891">
        <f t="shared" si="2"/>
        <v>0.98414999999999986</v>
      </c>
      <c r="J39" s="944">
        <f t="shared" si="3"/>
        <v>25.489484999999995</v>
      </c>
      <c r="K39" s="943">
        <f t="shared" si="4"/>
        <v>21.083714399566652</v>
      </c>
      <c r="L39" s="944">
        <f t="shared" si="5"/>
        <v>20.42578877426147</v>
      </c>
      <c r="M39" s="1011">
        <f t="shared" si="6"/>
        <v>21.083458638992312</v>
      </c>
      <c r="O39" s="587"/>
      <c r="P39" s="1032"/>
      <c r="Q39" s="1052">
        <v>163084.79897868785</v>
      </c>
      <c r="R39" s="1052">
        <v>107842.92514113009</v>
      </c>
      <c r="S39" s="1052"/>
      <c r="T39" s="1051">
        <f>IF(Tables!$B$2=1,'NY Curve'!O39,IF(Tables!$B$2=2,P39,IF(Tables!$B$2=4,Q39,IF(Tables!$B$2=5,R39,IF(Tables!$B$2=3,S39,0)))))</f>
        <v>107842.92514113009</v>
      </c>
    </row>
    <row r="40" spans="1:20">
      <c r="A40" s="465">
        <v>37956</v>
      </c>
      <c r="B40" s="894">
        <v>23.522142337617417</v>
      </c>
      <c r="C40" s="901">
        <v>26.4</v>
      </c>
      <c r="D40" s="895">
        <v>22.204998397827147</v>
      </c>
      <c r="E40" s="1009">
        <v>20.699999237060545</v>
      </c>
      <c r="F40" s="891">
        <f t="shared" si="0"/>
        <v>1.0153259918063107</v>
      </c>
      <c r="G40" s="941">
        <f t="shared" si="1"/>
        <v>26.804606183686602</v>
      </c>
      <c r="I40" s="891">
        <f t="shared" si="2"/>
        <v>0.98467400819368933</v>
      </c>
      <c r="J40" s="944">
        <f t="shared" si="3"/>
        <v>25.995393816313396</v>
      </c>
      <c r="K40" s="943">
        <f t="shared" si="4"/>
        <v>22.545312021331387</v>
      </c>
      <c r="L40" s="944">
        <f t="shared" si="5"/>
        <v>21.864684774322907</v>
      </c>
      <c r="M40" s="1011">
        <f t="shared" si="6"/>
        <v>21.017247255758374</v>
      </c>
      <c r="O40" s="587"/>
      <c r="P40" s="1032"/>
      <c r="Q40" s="1052">
        <v>156621.59206851973</v>
      </c>
      <c r="R40" s="1052">
        <v>104565.98304742848</v>
      </c>
      <c r="S40" s="1052"/>
      <c r="T40" s="1051">
        <f>IF(Tables!$B$2=1,'NY Curve'!O40,IF(Tables!$B$2=2,P40,IF(Tables!$B$2=4,Q40,IF(Tables!$B$2=5,R40,IF(Tables!$B$2=3,S40,0)))))</f>
        <v>104565.98304742848</v>
      </c>
    </row>
    <row r="41" spans="1:20">
      <c r="A41" s="465">
        <v>37987</v>
      </c>
      <c r="B41" s="894">
        <v>27.228750010899137</v>
      </c>
      <c r="C41" s="901">
        <v>31.65</v>
      </c>
      <c r="D41" s="895">
        <v>25.598748397827148</v>
      </c>
      <c r="E41" s="1009">
        <v>26.10250015258789</v>
      </c>
      <c r="F41" s="891">
        <f t="shared" si="0"/>
        <v>1.0080802540450913</v>
      </c>
      <c r="G41" s="941">
        <f t="shared" si="1"/>
        <v>31.905740040527139</v>
      </c>
      <c r="I41" s="891">
        <f t="shared" si="2"/>
        <v>0.99191974595490895</v>
      </c>
      <c r="J41" s="944">
        <f t="shared" si="3"/>
        <v>31.394259959472866</v>
      </c>
      <c r="K41" s="943">
        <f t="shared" si="4"/>
        <v>25.805592788117963</v>
      </c>
      <c r="L41" s="944">
        <f t="shared" si="5"/>
        <v>25.391904007536336</v>
      </c>
      <c r="M41" s="1011">
        <f t="shared" si="6"/>
        <v>26.313414985032832</v>
      </c>
      <c r="O41" s="587"/>
      <c r="P41" s="1032"/>
      <c r="Q41" s="1052">
        <v>313950.12465236027</v>
      </c>
      <c r="R41" s="1052">
        <v>239970.99901027983</v>
      </c>
      <c r="S41" s="1052"/>
      <c r="T41" s="1051">
        <f>IF(Tables!$B$2=1,'NY Curve'!O41,IF(Tables!$B$2=2,P41,IF(Tables!$B$2=4,Q41,IF(Tables!$B$2=5,R41,IF(Tables!$B$2=3,S41,0)))))</f>
        <v>239970.99901027983</v>
      </c>
    </row>
    <row r="42" spans="1:20">
      <c r="A42" s="465">
        <v>38018</v>
      </c>
      <c r="B42" s="894">
        <v>26.753868448166621</v>
      </c>
      <c r="C42" s="901">
        <v>31.65</v>
      </c>
      <c r="D42" s="895">
        <v>24.596250152587888</v>
      </c>
      <c r="E42" s="1009">
        <v>24.097499465942381</v>
      </c>
      <c r="F42" s="891">
        <f t="shared" si="0"/>
        <v>1.0080802540450913</v>
      </c>
      <c r="G42" s="941">
        <f t="shared" si="1"/>
        <v>31.905740040527139</v>
      </c>
      <c r="I42" s="891">
        <f t="shared" si="2"/>
        <v>0.99191974595490906</v>
      </c>
      <c r="J42" s="944">
        <f t="shared" si="3"/>
        <v>31.394259959472869</v>
      </c>
      <c r="K42" s="943">
        <f t="shared" si="4"/>
        <v>24.794994102377412</v>
      </c>
      <c r="L42" s="944">
        <f t="shared" si="5"/>
        <v>24.397506202798372</v>
      </c>
      <c r="M42" s="1011">
        <f t="shared" si="6"/>
        <v>24.292213383478646</v>
      </c>
      <c r="O42" s="587"/>
      <c r="P42" s="1032"/>
      <c r="Q42" s="1052">
        <v>281682.58315228223</v>
      </c>
      <c r="R42" s="1052">
        <v>234521.85145648674</v>
      </c>
      <c r="S42" s="1052"/>
      <c r="T42" s="1051">
        <f>IF(Tables!$B$2=1,'NY Curve'!O42,IF(Tables!$B$2=2,P42,IF(Tables!$B$2=4,Q42,IF(Tables!$B$2=5,R42,IF(Tables!$B$2=3,S42,0)))))</f>
        <v>234521.85145648674</v>
      </c>
    </row>
    <row r="43" spans="1:20">
      <c r="A43" s="465">
        <v>38047</v>
      </c>
      <c r="B43" s="894">
        <v>22.492749695550827</v>
      </c>
      <c r="C43" s="901">
        <v>26.65</v>
      </c>
      <c r="D43" s="895">
        <v>17.784749603271482</v>
      </c>
      <c r="E43" s="1009">
        <v>19.414498901367185</v>
      </c>
      <c r="F43" s="891">
        <f t="shared" si="0"/>
        <v>1.0080875</v>
      </c>
      <c r="G43" s="941">
        <f t="shared" si="1"/>
        <v>26.865531874999999</v>
      </c>
      <c r="I43" s="891">
        <f t="shared" si="2"/>
        <v>0.99191250000000009</v>
      </c>
      <c r="J43" s="944">
        <f t="shared" si="3"/>
        <v>26.434468125000002</v>
      </c>
      <c r="K43" s="943">
        <f t="shared" si="4"/>
        <v>17.928583765687939</v>
      </c>
      <c r="L43" s="944">
        <f t="shared" si="5"/>
        <v>17.640915440855025</v>
      </c>
      <c r="M43" s="1011">
        <f t="shared" si="6"/>
        <v>19.571513661231993</v>
      </c>
      <c r="O43" s="587"/>
      <c r="P43" s="1032"/>
      <c r="Q43" s="1052">
        <v>155608.28303115268</v>
      </c>
      <c r="R43" s="1052">
        <v>152244.86342169321</v>
      </c>
      <c r="S43" s="1052"/>
      <c r="T43" s="1051">
        <f>IF(Tables!$B$2=1,'NY Curve'!O43,IF(Tables!$B$2=2,P43,IF(Tables!$B$2=4,Q43,IF(Tables!$B$2=5,R43,IF(Tables!$B$2=3,S43,0)))))</f>
        <v>152244.86342169321</v>
      </c>
    </row>
    <row r="44" spans="1:20">
      <c r="A44" s="465">
        <v>38078</v>
      </c>
      <c r="B44" s="894">
        <v>21.962261272612075</v>
      </c>
      <c r="C44" s="901">
        <v>25.4</v>
      </c>
      <c r="D44" s="895">
        <v>18.467500305175779</v>
      </c>
      <c r="E44" s="1009">
        <v>19.184999084472654</v>
      </c>
      <c r="F44" s="891">
        <f t="shared" si="0"/>
        <v>1.07269528338234</v>
      </c>
      <c r="G44" s="941">
        <f t="shared" si="1"/>
        <v>27.246460197911436</v>
      </c>
      <c r="I44" s="891">
        <f t="shared" si="2"/>
        <v>0.92730471661766001</v>
      </c>
      <c r="J44" s="944">
        <f t="shared" si="3"/>
        <v>23.553539802088562</v>
      </c>
      <c r="K44" s="943">
        <f t="shared" si="4"/>
        <v>19.810000473223983</v>
      </c>
      <c r="L44" s="944">
        <f t="shared" si="5"/>
        <v>17.125000137127575</v>
      </c>
      <c r="M44" s="1011">
        <f t="shared" si="6"/>
        <v>20.579658029608328</v>
      </c>
      <c r="O44" s="587"/>
      <c r="P44" s="1032"/>
      <c r="Q44" s="1052">
        <v>173639.91405601177</v>
      </c>
      <c r="R44" s="1052">
        <v>182346.2943838955</v>
      </c>
      <c r="S44" s="1052"/>
      <c r="T44" s="1051">
        <f>IF(Tables!$B$2=1,'NY Curve'!O44,IF(Tables!$B$2=2,P44,IF(Tables!$B$2=4,Q44,IF(Tables!$B$2=5,R44,IF(Tables!$B$2=3,S44,0)))))</f>
        <v>182346.2943838955</v>
      </c>
    </row>
    <row r="45" spans="1:20">
      <c r="A45" s="465">
        <v>38108</v>
      </c>
      <c r="B45" s="894">
        <v>24.078213718959265</v>
      </c>
      <c r="C45" s="901">
        <v>29.65</v>
      </c>
      <c r="D45" s="895">
        <v>18.582500076293943</v>
      </c>
      <c r="E45" s="1009">
        <v>19.714999771118162</v>
      </c>
      <c r="F45" s="891">
        <f t="shared" si="0"/>
        <v>1.058490237990529</v>
      </c>
      <c r="G45" s="941">
        <f t="shared" si="1"/>
        <v>31.384235556419185</v>
      </c>
      <c r="I45" s="891">
        <f t="shared" si="2"/>
        <v>0.94150976200947101</v>
      </c>
      <c r="J45" s="944">
        <f t="shared" si="3"/>
        <v>27.915764443580812</v>
      </c>
      <c r="K45" s="943">
        <f t="shared" si="4"/>
        <v>19.6693949282154</v>
      </c>
      <c r="L45" s="944">
        <f t="shared" si="5"/>
        <v>17.495605224372486</v>
      </c>
      <c r="M45" s="1011">
        <f t="shared" si="6"/>
        <v>20.868134799714088</v>
      </c>
      <c r="O45" s="587"/>
      <c r="P45" s="1032"/>
      <c r="Q45" s="1052">
        <v>374377.85172465618</v>
      </c>
      <c r="R45" s="1052">
        <v>311100.40293895511</v>
      </c>
      <c r="S45" s="1052"/>
      <c r="T45" s="1051">
        <f>IF(Tables!$B$2=1,'NY Curve'!O45,IF(Tables!$B$2=2,P45,IF(Tables!$B$2=4,Q45,IF(Tables!$B$2=5,R45,IF(Tables!$B$2=3,S45,0)))))</f>
        <v>311100.40293895511</v>
      </c>
    </row>
    <row r="46" spans="1:20">
      <c r="A46" s="465">
        <v>38139</v>
      </c>
      <c r="B46" s="894">
        <v>33.144225856236048</v>
      </c>
      <c r="C46" s="901">
        <v>47.75</v>
      </c>
      <c r="D46" s="895">
        <v>23.00875015258789</v>
      </c>
      <c r="E46" s="1009">
        <v>18.492499542236327</v>
      </c>
      <c r="F46" s="891">
        <f t="shared" si="0"/>
        <v>1.1693830474353057</v>
      </c>
      <c r="G46" s="941">
        <f t="shared" si="1"/>
        <v>55.83804051503585</v>
      </c>
      <c r="I46" s="891">
        <f t="shared" si="2"/>
        <v>0.83061695843935013</v>
      </c>
      <c r="J46" s="944">
        <f t="shared" si="3"/>
        <v>39.661959765478969</v>
      </c>
      <c r="K46" s="943">
        <f t="shared" si="4"/>
        <v>26.906042371110782</v>
      </c>
      <c r="L46" s="944">
        <f t="shared" si="5"/>
        <v>19.111458069233485</v>
      </c>
      <c r="M46" s="1011">
        <f t="shared" si="6"/>
        <v>21.624815469396314</v>
      </c>
      <c r="O46" s="587"/>
      <c r="P46" s="1032"/>
      <c r="Q46" s="1052">
        <v>959164.09066220676</v>
      </c>
      <c r="R46" s="1052">
        <v>864511.28633617447</v>
      </c>
      <c r="S46" s="1052"/>
      <c r="T46" s="1051">
        <f>IF(Tables!$B$2=1,'NY Curve'!O46,IF(Tables!$B$2=2,P46,IF(Tables!$B$2=4,Q46,IF(Tables!$B$2=5,R46,IF(Tables!$B$2=3,S46,0)))))</f>
        <v>864511.28633617447</v>
      </c>
    </row>
    <row r="47" spans="1:20">
      <c r="A47" s="465">
        <v>38169</v>
      </c>
      <c r="B47" s="894">
        <v>47.41553502764021</v>
      </c>
      <c r="C47" s="901">
        <v>71</v>
      </c>
      <c r="D47" s="895">
        <v>36.211249542236331</v>
      </c>
      <c r="E47" s="1009">
        <v>27.697499465942382</v>
      </c>
      <c r="F47" s="891">
        <f t="shared" si="0"/>
        <v>1.2214070997107602</v>
      </c>
      <c r="G47" s="941">
        <f t="shared" si="1"/>
        <v>86.719904079463973</v>
      </c>
      <c r="I47" s="891">
        <f t="shared" si="2"/>
        <v>0.77859290689229965</v>
      </c>
      <c r="J47" s="944">
        <f t="shared" si="3"/>
        <v>55.280096389353275</v>
      </c>
      <c r="K47" s="943">
        <f t="shared" si="4"/>
        <v>44.228677280285474</v>
      </c>
      <c r="L47" s="944">
        <f t="shared" si="5"/>
        <v>28.19382204329224</v>
      </c>
      <c r="M47" s="1011">
        <f t="shared" si="6"/>
        <v>33.829922491937012</v>
      </c>
      <c r="O47" s="587"/>
      <c r="P47" s="1032"/>
      <c r="Q47" s="1052">
        <v>2410687.2450728943</v>
      </c>
      <c r="R47" s="1052">
        <v>2171777.9699021834</v>
      </c>
      <c r="S47" s="1052"/>
      <c r="T47" s="1051">
        <f>IF(Tables!$B$2=1,'NY Curve'!O47,IF(Tables!$B$2=2,P47,IF(Tables!$B$2=4,Q47,IF(Tables!$B$2=5,R47,IF(Tables!$B$2=3,S47,0)))))</f>
        <v>2171777.9699021834</v>
      </c>
    </row>
    <row r="48" spans="1:20">
      <c r="A48" s="465">
        <v>38200</v>
      </c>
      <c r="B48" s="894">
        <v>44.464404296875003</v>
      </c>
      <c r="C48" s="901">
        <v>63.5</v>
      </c>
      <c r="D48" s="895">
        <v>38.472499084472659</v>
      </c>
      <c r="E48" s="1009">
        <v>29.195000839233398</v>
      </c>
      <c r="F48" s="891">
        <f t="shared" si="0"/>
        <v>1.1576814286317387</v>
      </c>
      <c r="G48" s="941">
        <f t="shared" si="1"/>
        <v>73.512770718115405</v>
      </c>
      <c r="I48" s="891">
        <f t="shared" si="2"/>
        <v>0.84209904074668884</v>
      </c>
      <c r="J48" s="944">
        <f t="shared" si="3"/>
        <v>53.473289087414742</v>
      </c>
      <c r="K48" s="943">
        <f t="shared" si="4"/>
        <v>44.538897703145565</v>
      </c>
      <c r="L48" s="944">
        <f t="shared" si="5"/>
        <v>32.397654574162289</v>
      </c>
      <c r="M48" s="1011">
        <f t="shared" si="6"/>
        <v>33.798510280468534</v>
      </c>
      <c r="O48" s="587"/>
      <c r="P48" s="1032"/>
      <c r="Q48" s="1052">
        <v>2485838.2827069685</v>
      </c>
      <c r="R48" s="1052">
        <v>2228311.3040084732</v>
      </c>
      <c r="S48" s="1052"/>
      <c r="T48" s="1051">
        <f>IF(Tables!$B$2=1,'NY Curve'!O48,IF(Tables!$B$2=2,P48,IF(Tables!$B$2=4,Q48,IF(Tables!$B$2=5,R48,IF(Tables!$B$2=3,S48,0)))))</f>
        <v>2228311.3040084732</v>
      </c>
    </row>
    <row r="49" spans="1:20">
      <c r="A49" s="465">
        <v>38231</v>
      </c>
      <c r="B49" s="894">
        <v>22.65333287375314</v>
      </c>
      <c r="C49" s="901">
        <v>29.65</v>
      </c>
      <c r="D49" s="895">
        <v>15.079999542236328</v>
      </c>
      <c r="E49" s="1009">
        <v>12.660000419616699</v>
      </c>
      <c r="F49" s="891">
        <f t="shared" si="0"/>
        <v>1.0965337923205105</v>
      </c>
      <c r="G49" s="941">
        <f t="shared" si="1"/>
        <v>32.512226942303137</v>
      </c>
      <c r="I49" s="891">
        <f t="shared" si="2"/>
        <v>0.90346620767948926</v>
      </c>
      <c r="J49" s="944">
        <f t="shared" si="3"/>
        <v>26.787773057696857</v>
      </c>
      <c r="K49" s="943">
        <f t="shared" si="4"/>
        <v>16.535729086239964</v>
      </c>
      <c r="L49" s="944">
        <f t="shared" si="5"/>
        <v>13.624269998232689</v>
      </c>
      <c r="M49" s="1011">
        <f t="shared" si="6"/>
        <v>13.882118270901554</v>
      </c>
      <c r="O49" s="587"/>
      <c r="P49" s="1032"/>
      <c r="Q49" s="1052">
        <v>466199.53035403404</v>
      </c>
      <c r="R49" s="1052">
        <v>385583.21284574107</v>
      </c>
      <c r="S49" s="1052"/>
      <c r="T49" s="1051">
        <f>IF(Tables!$B$2=1,'NY Curve'!O49,IF(Tables!$B$2=2,P49,IF(Tables!$B$2=4,Q49,IF(Tables!$B$2=5,R49,IF(Tables!$B$2=3,S49,0)))))</f>
        <v>385583.21284574107</v>
      </c>
    </row>
    <row r="50" spans="1:20">
      <c r="A50" s="465">
        <v>38261</v>
      </c>
      <c r="B50" s="894">
        <v>22.295452099754698</v>
      </c>
      <c r="C50" s="901">
        <v>25.4</v>
      </c>
      <c r="D50" s="895">
        <v>19.950500106811521</v>
      </c>
      <c r="E50" s="1009">
        <v>19.950999832153318</v>
      </c>
      <c r="F50" s="891">
        <f t="shared" si="0"/>
        <v>1.0119875</v>
      </c>
      <c r="G50" s="941">
        <f t="shared" si="1"/>
        <v>25.704482500000001</v>
      </c>
      <c r="I50" s="891">
        <f t="shared" si="2"/>
        <v>0.98801249999999996</v>
      </c>
      <c r="J50" s="944">
        <f t="shared" si="3"/>
        <v>25.095517499999996</v>
      </c>
      <c r="K50" s="943">
        <f t="shared" si="4"/>
        <v>20.189656726841925</v>
      </c>
      <c r="L50" s="944">
        <f t="shared" si="5"/>
        <v>19.711343486781118</v>
      </c>
      <c r="M50" s="1011">
        <f t="shared" si="6"/>
        <v>20.190162442641256</v>
      </c>
      <c r="O50" s="587"/>
      <c r="P50" s="1032"/>
      <c r="Q50" s="1052">
        <v>178023.5442936343</v>
      </c>
      <c r="R50" s="1052">
        <v>140978.57954016473</v>
      </c>
      <c r="S50" s="1052"/>
      <c r="T50" s="1051">
        <f>IF(Tables!$B$2=1,'NY Curve'!O50,IF(Tables!$B$2=2,P50,IF(Tables!$B$2=4,Q50,IF(Tables!$B$2=5,R50,IF(Tables!$B$2=3,S50,0)))))</f>
        <v>140978.57954016473</v>
      </c>
    </row>
    <row r="51" spans="1:20">
      <c r="A51" s="465">
        <v>38292</v>
      </c>
      <c r="B51" s="894">
        <v>22.802511651175365</v>
      </c>
      <c r="C51" s="901">
        <v>25.9</v>
      </c>
      <c r="D51" s="895">
        <v>20.95475158691406</v>
      </c>
      <c r="E51" s="1009">
        <v>20.954499816894529</v>
      </c>
      <c r="F51" s="891">
        <f t="shared" si="0"/>
        <v>1.0158500000000001</v>
      </c>
      <c r="G51" s="941">
        <f t="shared" si="1"/>
        <v>26.310515000000002</v>
      </c>
      <c r="I51" s="891">
        <f t="shared" si="2"/>
        <v>0.98414999999999986</v>
      </c>
      <c r="J51" s="944">
        <f t="shared" si="3"/>
        <v>25.489484999999995</v>
      </c>
      <c r="K51" s="943">
        <f t="shared" si="4"/>
        <v>21.286884399566652</v>
      </c>
      <c r="L51" s="944">
        <f t="shared" si="5"/>
        <v>20.622618774261468</v>
      </c>
      <c r="M51" s="1011">
        <f t="shared" si="6"/>
        <v>21.286628638992312</v>
      </c>
      <c r="O51" s="587"/>
      <c r="P51" s="1032"/>
      <c r="Q51" s="1052">
        <v>194831.1400988707</v>
      </c>
      <c r="R51" s="1052">
        <v>132972.80298488808</v>
      </c>
      <c r="S51" s="1052"/>
      <c r="T51" s="1051">
        <f>IF(Tables!$B$2=1,'NY Curve'!O51,IF(Tables!$B$2=2,P51,IF(Tables!$B$2=4,Q51,IF(Tables!$B$2=5,R51,IF(Tables!$B$2=3,S51,0)))))</f>
        <v>132972.80298488808</v>
      </c>
    </row>
    <row r="52" spans="1:20">
      <c r="A52" s="465">
        <v>38322</v>
      </c>
      <c r="B52" s="894">
        <v>23.579285194760278</v>
      </c>
      <c r="C52" s="901">
        <v>26.4</v>
      </c>
      <c r="D52" s="895">
        <v>22.404998397827146</v>
      </c>
      <c r="E52" s="1009">
        <v>20.899999237060545</v>
      </c>
      <c r="F52" s="891">
        <f t="shared" si="0"/>
        <v>1.0153259918063107</v>
      </c>
      <c r="G52" s="941">
        <f t="shared" si="1"/>
        <v>26.804606183686602</v>
      </c>
      <c r="I52" s="891">
        <f t="shared" si="2"/>
        <v>0.98467400819368933</v>
      </c>
      <c r="J52" s="944">
        <f t="shared" si="3"/>
        <v>25.995393816313396</v>
      </c>
      <c r="K52" s="943">
        <f t="shared" si="4"/>
        <v>22.748377219692649</v>
      </c>
      <c r="L52" s="944">
        <f t="shared" si="5"/>
        <v>22.061619575961643</v>
      </c>
      <c r="M52" s="1011">
        <f t="shared" si="6"/>
        <v>21.220312454119632</v>
      </c>
      <c r="O52" s="587"/>
      <c r="P52" s="1032"/>
      <c r="Q52" s="1052">
        <v>180219.31488144412</v>
      </c>
      <c r="R52" s="1052">
        <v>123719.84902897023</v>
      </c>
      <c r="S52" s="1052"/>
      <c r="T52" s="1051">
        <f>IF(Tables!$B$2=1,'NY Curve'!O52,IF(Tables!$B$2=2,P52,IF(Tables!$B$2=4,Q52,IF(Tables!$B$2=5,R52,IF(Tables!$B$2=3,S52,0)))))</f>
        <v>123719.84902897023</v>
      </c>
    </row>
    <row r="53" spans="1:20">
      <c r="A53" s="465">
        <v>38353</v>
      </c>
      <c r="B53" s="894">
        <v>27.333511915661038</v>
      </c>
      <c r="C53" s="901">
        <v>31.75</v>
      </c>
      <c r="D53" s="895">
        <v>25.798748397827147</v>
      </c>
      <c r="E53" s="1009">
        <v>26.302500152587889</v>
      </c>
      <c r="F53" s="891">
        <f t="shared" si="0"/>
        <v>1.0080802540450913</v>
      </c>
      <c r="G53" s="941">
        <f t="shared" si="1"/>
        <v>32.006548065931646</v>
      </c>
      <c r="I53" s="891">
        <f t="shared" si="2"/>
        <v>0.99191974595490895</v>
      </c>
      <c r="J53" s="944">
        <f t="shared" si="3"/>
        <v>31.493451934068361</v>
      </c>
      <c r="K53" s="943">
        <f t="shared" si="4"/>
        <v>26.007208838926982</v>
      </c>
      <c r="L53" s="944">
        <f t="shared" si="5"/>
        <v>25.59028795672732</v>
      </c>
      <c r="M53" s="1011">
        <f t="shared" si="6"/>
        <v>26.515031035841851</v>
      </c>
      <c r="O53" s="587"/>
      <c r="P53" s="1032"/>
      <c r="Q53" s="1052">
        <v>337243.37009222852</v>
      </c>
      <c r="R53" s="1052">
        <v>258944.35393570937</v>
      </c>
      <c r="S53" s="1052"/>
      <c r="T53" s="1051">
        <f>IF(Tables!$B$2=1,'NY Curve'!O53,IF(Tables!$B$2=2,P53,IF(Tables!$B$2=4,Q53,IF(Tables!$B$2=5,R53,IF(Tables!$B$2=3,S53,0)))))</f>
        <v>258944.35393570937</v>
      </c>
    </row>
    <row r="54" spans="1:20">
      <c r="A54" s="465">
        <v>38384</v>
      </c>
      <c r="B54" s="894">
        <v>26.858630352928522</v>
      </c>
      <c r="C54" s="901">
        <v>31.75</v>
      </c>
      <c r="D54" s="895">
        <v>24.796250152587888</v>
      </c>
      <c r="E54" s="1009">
        <v>24.29749946594238</v>
      </c>
      <c r="F54" s="891">
        <f t="shared" si="0"/>
        <v>1.0080802540450913</v>
      </c>
      <c r="G54" s="941">
        <f t="shared" si="1"/>
        <v>32.006548065931646</v>
      </c>
      <c r="I54" s="891">
        <f t="shared" si="2"/>
        <v>0.99191974595490906</v>
      </c>
      <c r="J54" s="944">
        <f t="shared" si="3"/>
        <v>31.493451934068364</v>
      </c>
      <c r="K54" s="943">
        <f t="shared" si="4"/>
        <v>24.996610153186431</v>
      </c>
      <c r="L54" s="944">
        <f t="shared" si="5"/>
        <v>24.595890151989352</v>
      </c>
      <c r="M54" s="1011">
        <f t="shared" si="6"/>
        <v>24.493829434287665</v>
      </c>
      <c r="O54" s="587"/>
      <c r="P54" s="1032"/>
      <c r="Q54" s="1052">
        <v>306217.22061368183</v>
      </c>
      <c r="R54" s="1052">
        <v>254672.36295440784</v>
      </c>
      <c r="S54" s="1052"/>
      <c r="T54" s="1051">
        <f>IF(Tables!$B$2=1,'NY Curve'!O54,IF(Tables!$B$2=2,P54,IF(Tables!$B$2=4,Q54,IF(Tables!$B$2=5,R54,IF(Tables!$B$2=3,S54,0)))))</f>
        <v>254672.36295440784</v>
      </c>
    </row>
    <row r="55" spans="1:20">
      <c r="A55" s="465">
        <v>38412</v>
      </c>
      <c r="B55" s="894">
        <v>22.597511600312732</v>
      </c>
      <c r="C55" s="901">
        <v>26.75</v>
      </c>
      <c r="D55" s="895">
        <v>17.984749603271482</v>
      </c>
      <c r="E55" s="1009">
        <v>19.614498901367185</v>
      </c>
      <c r="F55" s="891">
        <f t="shared" si="0"/>
        <v>1.0080875</v>
      </c>
      <c r="G55" s="941">
        <f t="shared" si="1"/>
        <v>26.966340625000001</v>
      </c>
      <c r="I55" s="891">
        <f t="shared" si="2"/>
        <v>0.99191250000000009</v>
      </c>
      <c r="J55" s="944">
        <f t="shared" si="3"/>
        <v>26.533659375000003</v>
      </c>
      <c r="K55" s="943">
        <f t="shared" si="4"/>
        <v>18.130201265687941</v>
      </c>
      <c r="L55" s="944">
        <f t="shared" si="5"/>
        <v>17.839297940855026</v>
      </c>
      <c r="M55" s="1011">
        <f t="shared" si="6"/>
        <v>19.773131161231991</v>
      </c>
      <c r="O55" s="587"/>
      <c r="P55" s="1032"/>
      <c r="Q55" s="1052">
        <v>175968.20681856904</v>
      </c>
      <c r="R55" s="1052">
        <v>168904.75286000693</v>
      </c>
      <c r="S55" s="1052"/>
      <c r="T55" s="1051">
        <f>IF(Tables!$B$2=1,'NY Curve'!O55,IF(Tables!$B$2=2,P55,IF(Tables!$B$2=4,Q55,IF(Tables!$B$2=5,R55,IF(Tables!$B$2=3,S55,0)))))</f>
        <v>168904.75286000693</v>
      </c>
    </row>
    <row r="56" spans="1:20">
      <c r="A56" s="465">
        <v>38443</v>
      </c>
      <c r="B56" s="894">
        <v>22.067023177373976</v>
      </c>
      <c r="C56" s="901">
        <v>25.5</v>
      </c>
      <c r="D56" s="895">
        <v>18.667500305175778</v>
      </c>
      <c r="E56" s="1009">
        <v>19.384999084472653</v>
      </c>
      <c r="F56" s="891">
        <f t="shared" si="0"/>
        <v>1.07269528338234</v>
      </c>
      <c r="G56" s="941">
        <f t="shared" si="1"/>
        <v>27.353729726249671</v>
      </c>
      <c r="I56" s="891">
        <f t="shared" si="2"/>
        <v>0.92730471661766001</v>
      </c>
      <c r="J56" s="944">
        <f t="shared" si="3"/>
        <v>23.646270273750329</v>
      </c>
      <c r="K56" s="943">
        <f t="shared" si="4"/>
        <v>20.024539529900451</v>
      </c>
      <c r="L56" s="944">
        <f t="shared" si="5"/>
        <v>17.310461080451105</v>
      </c>
      <c r="M56" s="1011">
        <f t="shared" si="6"/>
        <v>20.794197086284793</v>
      </c>
      <c r="O56" s="587"/>
      <c r="P56" s="1032"/>
      <c r="Q56" s="1052">
        <v>182841.73394501902</v>
      </c>
      <c r="R56" s="1052">
        <v>186274.72731738834</v>
      </c>
      <c r="S56" s="1052"/>
      <c r="T56" s="1051">
        <f>IF(Tables!$B$2=1,'NY Curve'!O56,IF(Tables!$B$2=2,P56,IF(Tables!$B$2=4,Q56,IF(Tables!$B$2=5,R56,IF(Tables!$B$2=3,S56,0)))))</f>
        <v>186274.72731738834</v>
      </c>
    </row>
    <row r="57" spans="1:20">
      <c r="A57" s="465">
        <v>38473</v>
      </c>
      <c r="B57" s="894">
        <v>24.182975623721166</v>
      </c>
      <c r="C57" s="901">
        <v>29.75</v>
      </c>
      <c r="D57" s="895">
        <v>18.782500076293942</v>
      </c>
      <c r="E57" s="1009">
        <v>19.914999771118161</v>
      </c>
      <c r="F57" s="891">
        <f t="shared" si="0"/>
        <v>1.058490237990529</v>
      </c>
      <c r="G57" s="941">
        <f t="shared" si="1"/>
        <v>31.490084580218237</v>
      </c>
      <c r="I57" s="891">
        <f t="shared" si="2"/>
        <v>0.94150976200947101</v>
      </c>
      <c r="J57" s="944">
        <f t="shared" si="3"/>
        <v>28.009915419781763</v>
      </c>
      <c r="K57" s="943">
        <f t="shared" si="4"/>
        <v>19.881092975813505</v>
      </c>
      <c r="L57" s="944">
        <f t="shared" si="5"/>
        <v>17.68390717677438</v>
      </c>
      <c r="M57" s="1011">
        <f t="shared" si="6"/>
        <v>21.079832847312193</v>
      </c>
      <c r="O57" s="587"/>
      <c r="P57" s="1032"/>
      <c r="Q57" s="1052">
        <v>412648.06655200402</v>
      </c>
      <c r="R57" s="1052">
        <v>344253.13532210764</v>
      </c>
      <c r="S57" s="1052"/>
      <c r="T57" s="1051">
        <f>IF(Tables!$B$2=1,'NY Curve'!O57,IF(Tables!$B$2=2,P57,IF(Tables!$B$2=4,Q57,IF(Tables!$B$2=5,R57,IF(Tables!$B$2=3,S57,0)))))</f>
        <v>344253.13532210764</v>
      </c>
    </row>
    <row r="58" spans="1:20">
      <c r="A58" s="465">
        <v>38504</v>
      </c>
      <c r="B58" s="894">
        <v>33.201368713378912</v>
      </c>
      <c r="C58" s="901">
        <v>47.75</v>
      </c>
      <c r="D58" s="895">
        <v>23.208750152587889</v>
      </c>
      <c r="E58" s="1009">
        <v>18.692499542236327</v>
      </c>
      <c r="F58" s="891">
        <f t="shared" si="0"/>
        <v>1.1693830474353057</v>
      </c>
      <c r="G58" s="941">
        <f t="shared" si="1"/>
        <v>55.83804051503585</v>
      </c>
      <c r="I58" s="891">
        <f t="shared" si="2"/>
        <v>0.83061695843935013</v>
      </c>
      <c r="J58" s="944">
        <f t="shared" si="3"/>
        <v>39.661959765478969</v>
      </c>
      <c r="K58" s="943">
        <f t="shared" si="4"/>
        <v>27.139918980597844</v>
      </c>
      <c r="L58" s="944">
        <f t="shared" si="5"/>
        <v>19.277581460921354</v>
      </c>
      <c r="M58" s="1011">
        <f t="shared" si="6"/>
        <v>21.858692078883372</v>
      </c>
      <c r="O58" s="587"/>
      <c r="P58" s="1032"/>
      <c r="Q58" s="1052">
        <v>1051401.3679010805</v>
      </c>
      <c r="R58" s="1052">
        <v>946600.97669219133</v>
      </c>
      <c r="S58" s="1052"/>
      <c r="T58" s="1051">
        <f>IF(Tables!$B$2=1,'NY Curve'!O58,IF(Tables!$B$2=2,P58,IF(Tables!$B$2=4,Q58,IF(Tables!$B$2=5,R58,IF(Tables!$B$2=3,S58,0)))))</f>
        <v>946600.97669219133</v>
      </c>
    </row>
    <row r="59" spans="1:20">
      <c r="A59" s="465">
        <v>38534</v>
      </c>
      <c r="B59" s="894">
        <v>47.472677884783067</v>
      </c>
      <c r="C59" s="901">
        <v>71</v>
      </c>
      <c r="D59" s="895">
        <v>36.411249542236334</v>
      </c>
      <c r="E59" s="1009">
        <v>27.897499465942381</v>
      </c>
      <c r="F59" s="891">
        <f t="shared" si="0"/>
        <v>1.2214070997107602</v>
      </c>
      <c r="G59" s="941">
        <f t="shared" si="1"/>
        <v>86.719904079463973</v>
      </c>
      <c r="I59" s="891">
        <f t="shared" si="2"/>
        <v>0.77859290689229965</v>
      </c>
      <c r="J59" s="944">
        <f t="shared" si="3"/>
        <v>55.280096389353275</v>
      </c>
      <c r="K59" s="943">
        <f t="shared" si="4"/>
        <v>44.472958700227629</v>
      </c>
      <c r="L59" s="944">
        <f t="shared" si="5"/>
        <v>28.349540624670702</v>
      </c>
      <c r="M59" s="1011">
        <f t="shared" si="6"/>
        <v>34.074203911879167</v>
      </c>
      <c r="O59" s="587"/>
      <c r="P59" s="1032"/>
      <c r="Q59" s="1052">
        <v>2560628.0943775084</v>
      </c>
      <c r="R59" s="1052">
        <v>2294694.7113604448</v>
      </c>
      <c r="S59" s="1052"/>
      <c r="T59" s="1051">
        <f>IF(Tables!$B$2=1,'NY Curve'!O59,IF(Tables!$B$2=2,P59,IF(Tables!$B$2=4,Q59,IF(Tables!$B$2=5,R59,IF(Tables!$B$2=3,S59,0)))))</f>
        <v>2294694.7113604448</v>
      </c>
    </row>
    <row r="60" spans="1:20">
      <c r="A60" s="465">
        <v>38565</v>
      </c>
      <c r="B60" s="894">
        <v>44.52154715401786</v>
      </c>
      <c r="C60" s="901">
        <v>63.5</v>
      </c>
      <c r="D60" s="895">
        <v>38.672499084472662</v>
      </c>
      <c r="E60" s="1009">
        <v>29.395000839233397</v>
      </c>
      <c r="F60" s="891">
        <f t="shared" si="0"/>
        <v>1.1576814286317387</v>
      </c>
      <c r="G60" s="941">
        <f t="shared" si="1"/>
        <v>73.512770718115405</v>
      </c>
      <c r="I60" s="891">
        <f t="shared" si="2"/>
        <v>0.84209904074668884</v>
      </c>
      <c r="J60" s="944">
        <f t="shared" si="3"/>
        <v>53.473289087414742</v>
      </c>
      <c r="K60" s="943">
        <f t="shared" si="4"/>
        <v>44.770433988871922</v>
      </c>
      <c r="L60" s="944">
        <f t="shared" si="5"/>
        <v>32.566074382311633</v>
      </c>
      <c r="M60" s="1011">
        <f t="shared" si="6"/>
        <v>34.030046566194876</v>
      </c>
      <c r="O60" s="587"/>
      <c r="P60" s="1032"/>
      <c r="Q60" s="1052">
        <v>2741797.5217065224</v>
      </c>
      <c r="R60" s="1052">
        <v>2457290.0915002637</v>
      </c>
      <c r="S60" s="1052"/>
      <c r="T60" s="1051">
        <f>IF(Tables!$B$2=1,'NY Curve'!O60,IF(Tables!$B$2=2,P60,IF(Tables!$B$2=4,Q60,IF(Tables!$B$2=5,R60,IF(Tables!$B$2=3,S60,0)))))</f>
        <v>2457290.0915002637</v>
      </c>
    </row>
    <row r="61" spans="1:20">
      <c r="A61" s="465">
        <v>38596</v>
      </c>
      <c r="B61" s="894">
        <v>22.758094778515041</v>
      </c>
      <c r="C61" s="901">
        <v>29.75</v>
      </c>
      <c r="D61" s="895">
        <v>15.279999542236327</v>
      </c>
      <c r="E61" s="1009">
        <v>12.860000419616698</v>
      </c>
      <c r="F61" s="891">
        <f t="shared" si="0"/>
        <v>1.0965337923205105</v>
      </c>
      <c r="G61" s="941">
        <f t="shared" si="1"/>
        <v>32.621880321535187</v>
      </c>
      <c r="I61" s="891">
        <f t="shared" si="2"/>
        <v>0.90346620767948926</v>
      </c>
      <c r="J61" s="944">
        <f t="shared" si="3"/>
        <v>26.878119678464806</v>
      </c>
      <c r="K61" s="943">
        <f t="shared" si="4"/>
        <v>16.755035844704064</v>
      </c>
      <c r="L61" s="944">
        <f t="shared" si="5"/>
        <v>13.804963239768586</v>
      </c>
      <c r="M61" s="1011">
        <f t="shared" si="6"/>
        <v>14.101425029365654</v>
      </c>
      <c r="O61" s="587"/>
      <c r="P61" s="1032"/>
      <c r="Q61" s="1052">
        <v>483204.1060689977</v>
      </c>
      <c r="R61" s="1052">
        <v>400691.87870157644</v>
      </c>
      <c r="S61" s="1052"/>
      <c r="T61" s="1051">
        <f>IF(Tables!$B$2=1,'NY Curve'!O61,IF(Tables!$B$2=2,P61,IF(Tables!$B$2=4,Q61,IF(Tables!$B$2=5,R61,IF(Tables!$B$2=3,S61,0)))))</f>
        <v>400691.87870157644</v>
      </c>
    </row>
    <row r="62" spans="1:20">
      <c r="A62" s="465">
        <v>38626</v>
      </c>
      <c r="B62" s="894">
        <v>22.400214004516599</v>
      </c>
      <c r="C62" s="901">
        <v>25.5</v>
      </c>
      <c r="D62" s="895">
        <v>20.150500106811521</v>
      </c>
      <c r="E62" s="1009">
        <v>20.150999832153317</v>
      </c>
      <c r="F62" s="891">
        <f t="shared" si="0"/>
        <v>1.0119875</v>
      </c>
      <c r="G62" s="941">
        <f t="shared" si="1"/>
        <v>25.805681249999999</v>
      </c>
      <c r="I62" s="891">
        <f t="shared" si="2"/>
        <v>0.98801249999999996</v>
      </c>
      <c r="J62" s="944">
        <f t="shared" si="3"/>
        <v>25.194318750000001</v>
      </c>
      <c r="K62" s="943">
        <f t="shared" si="4"/>
        <v>20.392054226841925</v>
      </c>
      <c r="L62" s="944">
        <f t="shared" si="5"/>
        <v>19.908945986781116</v>
      </c>
      <c r="M62" s="1011">
        <f t="shared" si="6"/>
        <v>20.392559942641256</v>
      </c>
      <c r="O62" s="587"/>
      <c r="P62" s="1032"/>
      <c r="Q62" s="1052">
        <v>188135.41591113916</v>
      </c>
      <c r="R62" s="1052">
        <v>149883.316568237</v>
      </c>
      <c r="S62" s="1052"/>
      <c r="T62" s="1051">
        <f>IF(Tables!$B$2=1,'NY Curve'!O62,IF(Tables!$B$2=2,P62,IF(Tables!$B$2=4,Q62,IF(Tables!$B$2=5,R62,IF(Tables!$B$2=3,S62,0)))))</f>
        <v>149883.316568237</v>
      </c>
    </row>
    <row r="63" spans="1:20">
      <c r="A63" s="465">
        <v>38657</v>
      </c>
      <c r="B63" s="894">
        <v>22.907273555937266</v>
      </c>
      <c r="C63" s="901">
        <v>26</v>
      </c>
      <c r="D63" s="895">
        <v>21.15475158691406</v>
      </c>
      <c r="E63" s="1009">
        <v>21.154499816894528</v>
      </c>
      <c r="F63" s="891">
        <f t="shared" si="0"/>
        <v>1.0158500000000001</v>
      </c>
      <c r="G63" s="941">
        <f t="shared" si="1"/>
        <v>26.412100000000002</v>
      </c>
      <c r="I63" s="891">
        <f t="shared" si="2"/>
        <v>0.98414999999999986</v>
      </c>
      <c r="J63" s="944">
        <f t="shared" si="3"/>
        <v>25.587899999999998</v>
      </c>
      <c r="K63" s="943">
        <f t="shared" si="4"/>
        <v>21.490054399566649</v>
      </c>
      <c r="L63" s="944">
        <f t="shared" si="5"/>
        <v>20.81944877426147</v>
      </c>
      <c r="M63" s="1011">
        <f t="shared" si="6"/>
        <v>21.489798638992308</v>
      </c>
      <c r="O63" s="587"/>
      <c r="P63" s="1032"/>
      <c r="Q63" s="1052">
        <v>204958.9840843195</v>
      </c>
      <c r="R63" s="1052">
        <v>142779.07534872513</v>
      </c>
      <c r="S63" s="1052"/>
      <c r="T63" s="1051">
        <f>IF(Tables!$B$2=1,'NY Curve'!O63,IF(Tables!$B$2=2,P63,IF(Tables!$B$2=4,Q63,IF(Tables!$B$2=5,R63,IF(Tables!$B$2=3,S63,0)))))</f>
        <v>142779.07534872513</v>
      </c>
    </row>
    <row r="64" spans="1:20">
      <c r="A64" s="465">
        <v>38687</v>
      </c>
      <c r="B64" s="894">
        <v>23.684047099522179</v>
      </c>
      <c r="C64" s="901">
        <v>26.5</v>
      </c>
      <c r="D64" s="895">
        <v>22.604998397827146</v>
      </c>
      <c r="E64" s="1009">
        <v>21.099999237060544</v>
      </c>
      <c r="F64" s="891">
        <f t="shared" si="0"/>
        <v>1.0153259918063107</v>
      </c>
      <c r="G64" s="941">
        <f t="shared" si="1"/>
        <v>26.906138782867231</v>
      </c>
      <c r="I64" s="891">
        <f t="shared" si="2"/>
        <v>0.98467400819368933</v>
      </c>
      <c r="J64" s="944">
        <f t="shared" si="3"/>
        <v>26.093861217132769</v>
      </c>
      <c r="K64" s="943">
        <f t="shared" si="4"/>
        <v>22.951442418053912</v>
      </c>
      <c r="L64" s="944">
        <f t="shared" si="5"/>
        <v>22.25855437760038</v>
      </c>
      <c r="M64" s="1011">
        <f t="shared" si="6"/>
        <v>21.423377652480895</v>
      </c>
      <c r="O64" s="587"/>
      <c r="P64" s="1032"/>
      <c r="Q64" s="1052">
        <v>175219.41586770938</v>
      </c>
      <c r="R64" s="1052">
        <v>136116.28636157437</v>
      </c>
      <c r="S64" s="1052"/>
      <c r="T64" s="1051">
        <f>IF(Tables!$B$2=1,'NY Curve'!O64,IF(Tables!$B$2=2,P64,IF(Tables!$B$2=4,Q64,IF(Tables!$B$2=5,R64,IF(Tables!$B$2=3,S64,0)))))</f>
        <v>136116.28636157437</v>
      </c>
    </row>
    <row r="65" spans="1:20">
      <c r="A65" s="465">
        <v>38718</v>
      </c>
      <c r="B65" s="894">
        <v>27.438273820422946</v>
      </c>
      <c r="C65" s="901">
        <v>31.85</v>
      </c>
      <c r="D65" s="895">
        <v>25.998748397827146</v>
      </c>
      <c r="E65" s="1009">
        <v>26.502500152587888</v>
      </c>
      <c r="F65" s="891">
        <f t="shared" si="0"/>
        <v>1.0080802540450913</v>
      </c>
      <c r="G65" s="941">
        <f t="shared" si="1"/>
        <v>32.107356091336158</v>
      </c>
      <c r="I65" s="891">
        <f t="shared" si="2"/>
        <v>0.99191974595490895</v>
      </c>
      <c r="J65" s="944">
        <f t="shared" si="3"/>
        <v>31.592643908663852</v>
      </c>
      <c r="K65" s="943">
        <f t="shared" si="4"/>
        <v>26.208824889736</v>
      </c>
      <c r="L65" s="944">
        <f t="shared" si="5"/>
        <v>25.788671905918299</v>
      </c>
      <c r="M65" s="1011">
        <f t="shared" si="6"/>
        <v>26.71664708665087</v>
      </c>
      <c r="O65" s="587"/>
      <c r="P65" s="1032"/>
      <c r="Q65" s="1052">
        <v>392143.38384750346</v>
      </c>
      <c r="R65" s="1052">
        <v>304979.59869861358</v>
      </c>
      <c r="S65" s="1052"/>
      <c r="T65" s="1051">
        <f>IF(Tables!$B$2=1,'NY Curve'!O65,IF(Tables!$B$2=2,P65,IF(Tables!$B$2=4,Q65,IF(Tables!$B$2=5,R65,IF(Tables!$B$2=3,S65,0)))))</f>
        <v>304979.59869861358</v>
      </c>
    </row>
    <row r="66" spans="1:20">
      <c r="A66" s="465">
        <v>38749</v>
      </c>
      <c r="B66" s="894">
        <v>26.96339225769043</v>
      </c>
      <c r="C66" s="901">
        <v>31.85</v>
      </c>
      <c r="D66" s="895">
        <v>24.996250152587887</v>
      </c>
      <c r="E66" s="1009">
        <v>24.497499465942379</v>
      </c>
      <c r="F66" s="891">
        <f t="shared" ref="F66:F129" si="8">VLOOKUP(MONTH(A66),ScalarTable,2,0)</f>
        <v>1.0080802540450913</v>
      </c>
      <c r="G66" s="941">
        <f t="shared" si="1"/>
        <v>32.107356091336158</v>
      </c>
      <c r="I66" s="891">
        <f t="shared" si="2"/>
        <v>0.99191974595490906</v>
      </c>
      <c r="J66" s="944">
        <f t="shared" si="3"/>
        <v>31.592643908663856</v>
      </c>
      <c r="K66" s="943">
        <f t="shared" si="4"/>
        <v>25.19822620399545</v>
      </c>
      <c r="L66" s="944">
        <f t="shared" si="5"/>
        <v>24.794274101180335</v>
      </c>
      <c r="M66" s="1011">
        <f t="shared" si="6"/>
        <v>24.69544548509668</v>
      </c>
      <c r="O66" s="587"/>
      <c r="P66" s="1032"/>
      <c r="Q66" s="1052">
        <v>357492.75667359837</v>
      </c>
      <c r="R66" s="1052">
        <v>297489.41927678819</v>
      </c>
      <c r="S66" s="1052"/>
      <c r="T66" s="1051">
        <f>IF(Tables!$B$2=1,'NY Curve'!O66,IF(Tables!$B$2=2,P66,IF(Tables!$B$2=4,Q66,IF(Tables!$B$2=5,R66,IF(Tables!$B$2=3,S66,0)))))</f>
        <v>297489.41927678819</v>
      </c>
    </row>
    <row r="67" spans="1:20">
      <c r="A67" s="465">
        <v>38777</v>
      </c>
      <c r="B67" s="894">
        <v>22.702273505074636</v>
      </c>
      <c r="C67" s="901">
        <v>26.85</v>
      </c>
      <c r="D67" s="895">
        <v>18.184749603271481</v>
      </c>
      <c r="E67" s="1009">
        <v>19.814498901367184</v>
      </c>
      <c r="F67" s="891">
        <f t="shared" si="8"/>
        <v>1.0080875</v>
      </c>
      <c r="G67" s="941">
        <f t="shared" si="1"/>
        <v>27.067149375000003</v>
      </c>
      <c r="I67" s="891">
        <f t="shared" si="2"/>
        <v>0.99191250000000009</v>
      </c>
      <c r="J67" s="944">
        <f t="shared" si="3"/>
        <v>26.632850625000003</v>
      </c>
      <c r="K67" s="943">
        <f t="shared" si="4"/>
        <v>18.331818765687938</v>
      </c>
      <c r="L67" s="944">
        <f t="shared" si="5"/>
        <v>18.037680440855024</v>
      </c>
      <c r="M67" s="1011">
        <f t="shared" si="6"/>
        <v>19.974748661231992</v>
      </c>
      <c r="O67" s="587"/>
      <c r="P67" s="1032"/>
      <c r="Q67" s="1052">
        <v>217915.55259093634</v>
      </c>
      <c r="R67" s="1052">
        <v>206267.45083388442</v>
      </c>
      <c r="S67" s="1052"/>
      <c r="T67" s="1051">
        <f>IF(Tables!$B$2=1,'NY Curve'!O67,IF(Tables!$B$2=2,P67,IF(Tables!$B$2=4,Q67,IF(Tables!$B$2=5,R67,IF(Tables!$B$2=3,S67,0)))))</f>
        <v>206267.45083388442</v>
      </c>
    </row>
    <row r="68" spans="1:20">
      <c r="A68" s="465">
        <v>38808</v>
      </c>
      <c r="B68" s="894">
        <v>22.17178508213588</v>
      </c>
      <c r="C68" s="901">
        <v>25.6</v>
      </c>
      <c r="D68" s="895">
        <v>18.867500305175778</v>
      </c>
      <c r="E68" s="1009">
        <v>19.584999084472653</v>
      </c>
      <c r="F68" s="891">
        <f t="shared" si="8"/>
        <v>1.07269528338234</v>
      </c>
      <c r="G68" s="941">
        <f t="shared" si="1"/>
        <v>27.460999254587904</v>
      </c>
      <c r="I68" s="891">
        <f t="shared" ref="I68:I131" si="9">VLOOKUP(MONTH(A68),ScalarTable,3,0)</f>
        <v>0.92730471661766001</v>
      </c>
      <c r="J68" s="944">
        <f t="shared" ref="J68:J131" si="10">C68*I68</f>
        <v>23.739000745412099</v>
      </c>
      <c r="K68" s="943">
        <f t="shared" si="4"/>
        <v>20.239078586576916</v>
      </c>
      <c r="L68" s="944">
        <f t="shared" si="5"/>
        <v>17.495922023774639</v>
      </c>
      <c r="M68" s="1011">
        <f t="shared" si="6"/>
        <v>21.008736142961261</v>
      </c>
      <c r="O68" s="587"/>
      <c r="P68" s="1032"/>
      <c r="Q68" s="1052">
        <v>212038.66995561458</v>
      </c>
      <c r="R68" s="1052">
        <v>210724.33034844144</v>
      </c>
      <c r="S68" s="1052"/>
      <c r="T68" s="1051">
        <f>IF(Tables!$B$2=1,'NY Curve'!O68,IF(Tables!$B$2=2,P68,IF(Tables!$B$2=4,Q68,IF(Tables!$B$2=5,R68,IF(Tables!$B$2=3,S68,0)))))</f>
        <v>210724.33034844144</v>
      </c>
    </row>
    <row r="69" spans="1:20">
      <c r="A69" s="465">
        <v>38838</v>
      </c>
      <c r="B69" s="894">
        <v>24.287737528483074</v>
      </c>
      <c r="C69" s="901">
        <v>29.85</v>
      </c>
      <c r="D69" s="895">
        <v>18.982500076293942</v>
      </c>
      <c r="E69" s="1009">
        <v>20.114999771118161</v>
      </c>
      <c r="F69" s="891">
        <f t="shared" si="8"/>
        <v>1.058490237990529</v>
      </c>
      <c r="G69" s="941">
        <f t="shared" ref="G69:G132" si="11">+F69*C69</f>
        <v>31.595933604017294</v>
      </c>
      <c r="I69" s="891">
        <f t="shared" si="9"/>
        <v>0.94150976200947101</v>
      </c>
      <c r="J69" s="944">
        <f t="shared" si="10"/>
        <v>28.104066395982709</v>
      </c>
      <c r="K69" s="943">
        <f t="shared" si="4"/>
        <v>20.09279102341161</v>
      </c>
      <c r="L69" s="944">
        <f t="shared" si="5"/>
        <v>17.872209129176273</v>
      </c>
      <c r="M69" s="1011">
        <f t="shared" si="6"/>
        <v>21.291530894910299</v>
      </c>
      <c r="O69" s="587"/>
      <c r="P69" s="1032"/>
      <c r="Q69" s="1052">
        <v>489187.37061289483</v>
      </c>
      <c r="R69" s="1052">
        <v>408020.79375874915</v>
      </c>
      <c r="S69" s="1052"/>
      <c r="T69" s="1051">
        <f>IF(Tables!$B$2=1,'NY Curve'!O69,IF(Tables!$B$2=2,P69,IF(Tables!$B$2=4,Q69,IF(Tables!$B$2=5,R69,IF(Tables!$B$2=3,S69,0)))))</f>
        <v>408020.79375874915</v>
      </c>
    </row>
    <row r="70" spans="1:20">
      <c r="A70" s="465">
        <v>38869</v>
      </c>
      <c r="B70" s="894">
        <v>33.377559189569375</v>
      </c>
      <c r="C70" s="901">
        <v>48</v>
      </c>
      <c r="D70" s="895">
        <v>23.408750152587888</v>
      </c>
      <c r="E70" s="1009">
        <v>18.892499542236326</v>
      </c>
      <c r="F70" s="891">
        <f t="shared" si="8"/>
        <v>1.1693830474353057</v>
      </c>
      <c r="G70" s="941">
        <f t="shared" si="11"/>
        <v>56.130386276894676</v>
      </c>
      <c r="I70" s="891">
        <f t="shared" si="9"/>
        <v>0.83061695843935013</v>
      </c>
      <c r="J70" s="944">
        <f t="shared" si="10"/>
        <v>39.869614005088806</v>
      </c>
      <c r="K70" s="943">
        <f t="shared" ref="K70:K133" si="12">D70*F70</f>
        <v>27.373795590084903</v>
      </c>
      <c r="L70" s="944">
        <f t="shared" ref="L70:L133" si="13">D70*I70</f>
        <v>19.443704852609226</v>
      </c>
      <c r="M70" s="1011">
        <f t="shared" ref="M70:M133" si="14">E70*F70</f>
        <v>22.092568688370434</v>
      </c>
      <c r="O70" s="587"/>
      <c r="P70" s="1032"/>
      <c r="Q70" s="1052">
        <v>1158060.1316677276</v>
      </c>
      <c r="R70" s="1052">
        <v>1040087.6776023163</v>
      </c>
      <c r="S70" s="1052"/>
      <c r="T70" s="1051">
        <f>IF(Tables!$B$2=1,'NY Curve'!O70,IF(Tables!$B$2=2,P70,IF(Tables!$B$2=4,Q70,IF(Tables!$B$2=5,R70,IF(Tables!$B$2=3,S70,0)))))</f>
        <v>1040087.6776023163</v>
      </c>
    </row>
    <row r="71" spans="1:20">
      <c r="A71" s="465">
        <v>38899</v>
      </c>
      <c r="B71" s="894">
        <v>47.767915980021158</v>
      </c>
      <c r="C71" s="901">
        <v>71.5</v>
      </c>
      <c r="D71" s="895">
        <v>36.611249542236337</v>
      </c>
      <c r="E71" s="1009">
        <v>28.097499465942381</v>
      </c>
      <c r="F71" s="891">
        <f t="shared" si="8"/>
        <v>1.2214070997107602</v>
      </c>
      <c r="G71" s="941">
        <f t="shared" si="11"/>
        <v>87.33060762931936</v>
      </c>
      <c r="I71" s="891">
        <f t="shared" si="9"/>
        <v>0.77859290689229965</v>
      </c>
      <c r="J71" s="944">
        <f t="shared" si="10"/>
        <v>55.669392842799425</v>
      </c>
      <c r="K71" s="943">
        <f t="shared" si="12"/>
        <v>44.717240120169784</v>
      </c>
      <c r="L71" s="944">
        <f t="shared" si="13"/>
        <v>28.505259206049164</v>
      </c>
      <c r="M71" s="1011">
        <f t="shared" si="14"/>
        <v>34.318485331821314</v>
      </c>
      <c r="O71" s="587"/>
      <c r="P71" s="1032"/>
      <c r="Q71" s="1052">
        <v>2777675.9786126264</v>
      </c>
      <c r="R71" s="1052">
        <v>2485180.7709430391</v>
      </c>
      <c r="S71" s="1052"/>
      <c r="T71" s="1051">
        <f>IF(Tables!$B$2=1,'NY Curve'!O71,IF(Tables!$B$2=2,P71,IF(Tables!$B$2=4,Q71,IF(Tables!$B$2=5,R71,IF(Tables!$B$2=3,S71,0)))))</f>
        <v>2485180.7709430391</v>
      </c>
    </row>
    <row r="72" spans="1:20">
      <c r="A72" s="465">
        <v>38930</v>
      </c>
      <c r="B72" s="894">
        <v>44.81678524925595</v>
      </c>
      <c r="C72" s="901">
        <v>64</v>
      </c>
      <c r="D72" s="895">
        <v>38.872499084472665</v>
      </c>
      <c r="E72" s="1009">
        <v>29.595000839233396</v>
      </c>
      <c r="F72" s="891">
        <f t="shared" si="8"/>
        <v>1.1576814286317387</v>
      </c>
      <c r="G72" s="941">
        <f t="shared" si="11"/>
        <v>74.091611432431279</v>
      </c>
      <c r="I72" s="891">
        <f t="shared" si="9"/>
        <v>0.84209904074668884</v>
      </c>
      <c r="J72" s="944">
        <f t="shared" si="10"/>
        <v>53.894338607788086</v>
      </c>
      <c r="K72" s="943">
        <f t="shared" si="12"/>
        <v>45.001970274598271</v>
      </c>
      <c r="L72" s="944">
        <f t="shared" si="13"/>
        <v>32.734494190460971</v>
      </c>
      <c r="M72" s="1011">
        <f t="shared" si="14"/>
        <v>34.261582851921226</v>
      </c>
      <c r="O72" s="587"/>
      <c r="P72" s="1032"/>
      <c r="Q72" s="1052">
        <v>2962757.4319678498</v>
      </c>
      <c r="R72" s="1052">
        <v>2650538.1455156305</v>
      </c>
      <c r="S72" s="1052"/>
      <c r="T72" s="1051">
        <f>IF(Tables!$B$2=1,'NY Curve'!O72,IF(Tables!$B$2=2,P72,IF(Tables!$B$2=4,Q72,IF(Tables!$B$2=5,R72,IF(Tables!$B$2=3,S72,0)))))</f>
        <v>2650538.1455156305</v>
      </c>
    </row>
    <row r="73" spans="1:20">
      <c r="A73" s="465">
        <v>38961</v>
      </c>
      <c r="B73" s="894">
        <v>22.862856683276949</v>
      </c>
      <c r="C73" s="901">
        <v>29.85</v>
      </c>
      <c r="D73" s="895">
        <v>15.479999542236326</v>
      </c>
      <c r="E73" s="1009">
        <v>13.060000419616697</v>
      </c>
      <c r="F73" s="891">
        <f t="shared" si="8"/>
        <v>1.0965337923205105</v>
      </c>
      <c r="G73" s="941">
        <f t="shared" si="11"/>
        <v>32.731533700767237</v>
      </c>
      <c r="I73" s="891">
        <f t="shared" si="9"/>
        <v>0.90346620767948926</v>
      </c>
      <c r="J73" s="944">
        <f t="shared" si="10"/>
        <v>26.968466299232755</v>
      </c>
      <c r="K73" s="943">
        <f t="shared" si="12"/>
        <v>16.974342603168164</v>
      </c>
      <c r="L73" s="944">
        <f t="shared" si="13"/>
        <v>13.985656481304483</v>
      </c>
      <c r="M73" s="1011">
        <f t="shared" si="14"/>
        <v>14.320731787829756</v>
      </c>
      <c r="O73" s="587"/>
      <c r="P73" s="1032"/>
      <c r="Q73" s="1052">
        <v>509690.29783526604</v>
      </c>
      <c r="R73" s="1052">
        <v>423846.83752454031</v>
      </c>
      <c r="S73" s="1052"/>
      <c r="T73" s="1051">
        <f>IF(Tables!$B$2=1,'NY Curve'!O73,IF(Tables!$B$2=2,P73,IF(Tables!$B$2=4,Q73,IF(Tables!$B$2=5,R73,IF(Tables!$B$2=3,S73,0)))))</f>
        <v>423846.83752454031</v>
      </c>
    </row>
    <row r="74" spans="1:20">
      <c r="A74" s="465">
        <v>38991</v>
      </c>
      <c r="B74" s="894">
        <v>22.504975909278507</v>
      </c>
      <c r="C74" s="901">
        <v>25.6</v>
      </c>
      <c r="D74" s="895">
        <v>20.35050010681152</v>
      </c>
      <c r="E74" s="1009">
        <v>20.350999832153317</v>
      </c>
      <c r="F74" s="891">
        <f t="shared" si="8"/>
        <v>1.0119875</v>
      </c>
      <c r="G74" s="941">
        <f t="shared" si="11"/>
        <v>25.906880000000001</v>
      </c>
      <c r="I74" s="891">
        <f t="shared" si="9"/>
        <v>0.98801249999999996</v>
      </c>
      <c r="J74" s="944">
        <f t="shared" si="10"/>
        <v>25.293120000000002</v>
      </c>
      <c r="K74" s="943">
        <f t="shared" si="12"/>
        <v>20.594451726841925</v>
      </c>
      <c r="L74" s="944">
        <f t="shared" si="13"/>
        <v>20.106548486781115</v>
      </c>
      <c r="M74" s="1011">
        <f t="shared" si="14"/>
        <v>20.594957442641256</v>
      </c>
      <c r="O74" s="587"/>
      <c r="P74" s="1032"/>
      <c r="Q74" s="1052">
        <v>231060.78306297542</v>
      </c>
      <c r="R74" s="1052">
        <v>185311.32312758322</v>
      </c>
      <c r="S74" s="1052"/>
      <c r="T74" s="1051">
        <f>IF(Tables!$B$2=1,'NY Curve'!O74,IF(Tables!$B$2=2,P74,IF(Tables!$B$2=4,Q74,IF(Tables!$B$2=5,R74,IF(Tables!$B$2=3,S74,0)))))</f>
        <v>185311.32312758322</v>
      </c>
    </row>
    <row r="75" spans="1:20">
      <c r="A75" s="465">
        <v>39022</v>
      </c>
      <c r="B75" s="894">
        <v>23.012035460699174</v>
      </c>
      <c r="C75" s="901">
        <v>26.1</v>
      </c>
      <c r="D75" s="895">
        <v>21.354751586914059</v>
      </c>
      <c r="E75" s="1009">
        <v>21.354499816894528</v>
      </c>
      <c r="F75" s="891">
        <f t="shared" si="8"/>
        <v>1.0158500000000001</v>
      </c>
      <c r="G75" s="941">
        <f t="shared" si="11"/>
        <v>26.513685000000006</v>
      </c>
      <c r="I75" s="891">
        <f t="shared" si="9"/>
        <v>0.98414999999999986</v>
      </c>
      <c r="J75" s="944">
        <f t="shared" si="10"/>
        <v>25.686314999999997</v>
      </c>
      <c r="K75" s="943">
        <f t="shared" si="12"/>
        <v>21.693224399566649</v>
      </c>
      <c r="L75" s="944">
        <f t="shared" si="13"/>
        <v>21.016278774261469</v>
      </c>
      <c r="M75" s="1011">
        <f t="shared" si="14"/>
        <v>21.692968638992308</v>
      </c>
      <c r="O75" s="587"/>
      <c r="P75" s="1032"/>
      <c r="Q75" s="1052">
        <v>238101.53802788671</v>
      </c>
      <c r="R75" s="1052">
        <v>169212.28653803066</v>
      </c>
      <c r="S75" s="1052"/>
      <c r="T75" s="1051">
        <f>IF(Tables!$B$2=1,'NY Curve'!O75,IF(Tables!$B$2=2,P75,IF(Tables!$B$2=4,Q75,IF(Tables!$B$2=5,R75,IF(Tables!$B$2=3,S75,0)))))</f>
        <v>169212.28653803066</v>
      </c>
    </row>
    <row r="76" spans="1:20">
      <c r="A76" s="465">
        <v>39052</v>
      </c>
      <c r="B76" s="894">
        <v>23.788809004284087</v>
      </c>
      <c r="C76" s="901">
        <v>26.6</v>
      </c>
      <c r="D76" s="895">
        <v>22.804998397827145</v>
      </c>
      <c r="E76" s="1009">
        <v>21.299999237060543</v>
      </c>
      <c r="F76" s="891">
        <f t="shared" si="8"/>
        <v>1.0153259918063107</v>
      </c>
      <c r="G76" s="941">
        <f t="shared" si="11"/>
        <v>27.007671382047864</v>
      </c>
      <c r="I76" s="891">
        <f t="shared" si="9"/>
        <v>0.98467400819368933</v>
      </c>
      <c r="J76" s="944">
        <f t="shared" si="10"/>
        <v>26.192328617952139</v>
      </c>
      <c r="K76" s="943">
        <f t="shared" si="12"/>
        <v>23.15450761641517</v>
      </c>
      <c r="L76" s="944">
        <f t="shared" si="13"/>
        <v>22.45548917923912</v>
      </c>
      <c r="M76" s="1011">
        <f t="shared" si="14"/>
        <v>21.626442850842157</v>
      </c>
      <c r="O76" s="587"/>
      <c r="P76" s="1032"/>
      <c r="Q76" s="1052">
        <v>196410.77619908913</v>
      </c>
      <c r="R76" s="1052">
        <v>139942.2268252944</v>
      </c>
      <c r="S76" s="1052"/>
      <c r="T76" s="1051">
        <f>IF(Tables!$B$2=1,'NY Curve'!O76,IF(Tables!$B$2=2,P76,IF(Tables!$B$2=4,Q76,IF(Tables!$B$2=5,R76,IF(Tables!$B$2=3,S76,0)))))</f>
        <v>139942.2268252944</v>
      </c>
    </row>
    <row r="77" spans="1:20">
      <c r="A77" s="465">
        <v>39083</v>
      </c>
      <c r="B77" s="894">
        <v>27.543035725184847</v>
      </c>
      <c r="C77" s="901">
        <v>31.95</v>
      </c>
      <c r="D77" s="895">
        <v>26.198748397827146</v>
      </c>
      <c r="E77" s="1009">
        <v>26.702500152587888</v>
      </c>
      <c r="F77" s="891">
        <f t="shared" si="8"/>
        <v>1.0080802540450913</v>
      </c>
      <c r="G77" s="941">
        <f t="shared" si="11"/>
        <v>32.208164116740669</v>
      </c>
      <c r="I77" s="891">
        <f t="shared" si="9"/>
        <v>0.99191974595490895</v>
      </c>
      <c r="J77" s="944">
        <f t="shared" si="10"/>
        <v>31.691835883259341</v>
      </c>
      <c r="K77" s="943">
        <f t="shared" si="12"/>
        <v>26.410440940545016</v>
      </c>
      <c r="L77" s="944">
        <f t="shared" si="13"/>
        <v>25.987055855109279</v>
      </c>
      <c r="M77" s="1011">
        <f t="shared" si="14"/>
        <v>26.918263137459885</v>
      </c>
      <c r="O77" s="587"/>
      <c r="P77" s="1032"/>
      <c r="Q77" s="1052">
        <v>413664.10508673592</v>
      </c>
      <c r="R77" s="1052">
        <v>322255.79350480641</v>
      </c>
      <c r="S77" s="1052"/>
      <c r="T77" s="1051">
        <f>IF(Tables!$B$2=1,'NY Curve'!O77,IF(Tables!$B$2=2,P77,IF(Tables!$B$2=4,Q77,IF(Tables!$B$2=5,R77,IF(Tables!$B$2=3,S77,0)))))</f>
        <v>322255.79350480641</v>
      </c>
    </row>
    <row r="78" spans="1:20">
      <c r="A78" s="465">
        <v>39114</v>
      </c>
      <c r="B78" s="894">
        <v>27.068154162452338</v>
      </c>
      <c r="C78" s="901">
        <v>31.95</v>
      </c>
      <c r="D78" s="895">
        <v>25.196250152587886</v>
      </c>
      <c r="E78" s="1009">
        <v>24.697499465942379</v>
      </c>
      <c r="F78" s="891">
        <f t="shared" si="8"/>
        <v>1.0080802540450913</v>
      </c>
      <c r="G78" s="941">
        <f t="shared" si="11"/>
        <v>32.208164116740669</v>
      </c>
      <c r="I78" s="891">
        <f t="shared" si="9"/>
        <v>0.99191974595490906</v>
      </c>
      <c r="J78" s="944">
        <f t="shared" si="10"/>
        <v>31.691835883259344</v>
      </c>
      <c r="K78" s="943">
        <f t="shared" si="12"/>
        <v>25.399842254804465</v>
      </c>
      <c r="L78" s="944">
        <f t="shared" si="13"/>
        <v>24.992658050371315</v>
      </c>
      <c r="M78" s="1011">
        <f t="shared" si="14"/>
        <v>24.897061535905699</v>
      </c>
      <c r="O78" s="587"/>
      <c r="P78" s="1032"/>
      <c r="Q78" s="1052">
        <v>359772.41769234027</v>
      </c>
      <c r="R78" s="1052">
        <v>298931.68514443218</v>
      </c>
      <c r="S78" s="1052"/>
      <c r="T78" s="1051">
        <f>IF(Tables!$B$2=1,'NY Curve'!O78,IF(Tables!$B$2=2,P78,IF(Tables!$B$2=4,Q78,IF(Tables!$B$2=5,R78,IF(Tables!$B$2=3,S78,0)))))</f>
        <v>298931.68514443218</v>
      </c>
    </row>
    <row r="79" spans="1:20">
      <c r="A79" s="465">
        <v>39142</v>
      </c>
      <c r="B79" s="894">
        <v>22.807035409836537</v>
      </c>
      <c r="C79" s="901">
        <v>26.95</v>
      </c>
      <c r="D79" s="895">
        <v>18.38474960327148</v>
      </c>
      <c r="E79" s="1009">
        <v>20.014498901367183</v>
      </c>
      <c r="F79" s="891">
        <f t="shared" si="8"/>
        <v>1.0080875</v>
      </c>
      <c r="G79" s="941">
        <f t="shared" si="11"/>
        <v>27.167958124999998</v>
      </c>
      <c r="I79" s="891">
        <f t="shared" si="9"/>
        <v>0.99191250000000009</v>
      </c>
      <c r="J79" s="944">
        <f t="shared" si="10"/>
        <v>26.732041875</v>
      </c>
      <c r="K79" s="943">
        <f t="shared" si="12"/>
        <v>18.533436265687939</v>
      </c>
      <c r="L79" s="944">
        <f t="shared" si="13"/>
        <v>18.236062940855025</v>
      </c>
      <c r="M79" s="1011">
        <f t="shared" si="14"/>
        <v>20.176366161231989</v>
      </c>
      <c r="O79" s="587"/>
      <c r="P79" s="1032"/>
      <c r="Q79" s="1052">
        <v>210549.49364710972</v>
      </c>
      <c r="R79" s="1052">
        <v>196901.76174127366</v>
      </c>
      <c r="S79" s="1052"/>
      <c r="T79" s="1051">
        <f>IF(Tables!$B$2=1,'NY Curve'!O79,IF(Tables!$B$2=2,P79,IF(Tables!$B$2=4,Q79,IF(Tables!$B$2=5,R79,IF(Tables!$B$2=3,S79,0)))))</f>
        <v>196901.76174127366</v>
      </c>
    </row>
    <row r="80" spans="1:20">
      <c r="A80" s="465">
        <v>39173</v>
      </c>
      <c r="B80" s="894">
        <v>22.276546986897785</v>
      </c>
      <c r="C80" s="901">
        <v>25.7</v>
      </c>
      <c r="D80" s="895">
        <v>19.067500305175777</v>
      </c>
      <c r="E80" s="1009">
        <v>19.784999084472652</v>
      </c>
      <c r="F80" s="891">
        <f t="shared" si="8"/>
        <v>1.07269528338234</v>
      </c>
      <c r="G80" s="941">
        <f t="shared" si="11"/>
        <v>27.568268782926136</v>
      </c>
      <c r="I80" s="891">
        <f t="shared" si="9"/>
        <v>0.92730471661766001</v>
      </c>
      <c r="J80" s="944">
        <f t="shared" si="10"/>
        <v>23.831731217073862</v>
      </c>
      <c r="K80" s="943">
        <f t="shared" si="12"/>
        <v>20.453617643253384</v>
      </c>
      <c r="L80" s="944">
        <f t="shared" si="13"/>
        <v>17.68138296709817</v>
      </c>
      <c r="M80" s="1011">
        <f t="shared" si="14"/>
        <v>21.22327519963773</v>
      </c>
      <c r="O80" s="587"/>
      <c r="P80" s="1032"/>
      <c r="Q80" s="1052">
        <v>221560.984613915</v>
      </c>
      <c r="R80" s="1052">
        <v>217538.9427784305</v>
      </c>
      <c r="S80" s="1052"/>
      <c r="T80" s="1051">
        <f>IF(Tables!$B$2=1,'NY Curve'!O80,IF(Tables!$B$2=2,P80,IF(Tables!$B$2=4,Q80,IF(Tables!$B$2=5,R80,IF(Tables!$B$2=3,S80,0)))))</f>
        <v>217538.9427784305</v>
      </c>
    </row>
    <row r="81" spans="1:20">
      <c r="A81" s="465">
        <v>39203</v>
      </c>
      <c r="B81" s="894">
        <v>24.392499433244975</v>
      </c>
      <c r="C81" s="901">
        <v>29.95</v>
      </c>
      <c r="D81" s="895">
        <v>19.182500076293941</v>
      </c>
      <c r="E81" s="1009">
        <v>20.31499977111816</v>
      </c>
      <c r="F81" s="891">
        <f t="shared" si="8"/>
        <v>1.058490237990529</v>
      </c>
      <c r="G81" s="941">
        <f t="shared" si="11"/>
        <v>31.701782627816343</v>
      </c>
      <c r="I81" s="891">
        <f t="shared" si="9"/>
        <v>0.94150976200947101</v>
      </c>
      <c r="J81" s="944">
        <f t="shared" si="10"/>
        <v>28.198217372183656</v>
      </c>
      <c r="K81" s="943">
        <f t="shared" si="12"/>
        <v>20.304489071009716</v>
      </c>
      <c r="L81" s="944">
        <f t="shared" si="13"/>
        <v>18.060511081578166</v>
      </c>
      <c r="M81" s="1011">
        <f t="shared" si="14"/>
        <v>21.503228942508404</v>
      </c>
      <c r="O81" s="587"/>
      <c r="P81" s="1032"/>
      <c r="Q81" s="1052">
        <v>483933.19106910581</v>
      </c>
      <c r="R81" s="1052">
        <v>403369.05718443368</v>
      </c>
      <c r="S81" s="1052"/>
      <c r="T81" s="1051">
        <f>IF(Tables!$B$2=1,'NY Curve'!O81,IF(Tables!$B$2=2,P81,IF(Tables!$B$2=4,Q81,IF(Tables!$B$2=5,R81,IF(Tables!$B$2=3,S81,0)))))</f>
        <v>403369.05718443368</v>
      </c>
    </row>
    <row r="82" spans="1:20">
      <c r="A82" s="465">
        <v>39234</v>
      </c>
      <c r="B82" s="894">
        <v>33.672797284807473</v>
      </c>
      <c r="C82" s="901">
        <v>48.5</v>
      </c>
      <c r="D82" s="895">
        <v>23.608750152587888</v>
      </c>
      <c r="E82" s="1009">
        <v>19.092499542236325</v>
      </c>
      <c r="F82" s="891">
        <f t="shared" si="8"/>
        <v>1.1693830474353057</v>
      </c>
      <c r="G82" s="941">
        <f t="shared" si="11"/>
        <v>56.715077800612328</v>
      </c>
      <c r="I82" s="891">
        <f t="shared" si="9"/>
        <v>0.83061695843935013</v>
      </c>
      <c r="J82" s="944">
        <f t="shared" si="10"/>
        <v>40.284922484308481</v>
      </c>
      <c r="K82" s="943">
        <f t="shared" si="12"/>
        <v>27.607672199571965</v>
      </c>
      <c r="L82" s="944">
        <f t="shared" si="13"/>
        <v>19.609828244297095</v>
      </c>
      <c r="M82" s="1011">
        <f t="shared" si="14"/>
        <v>22.326445297857493</v>
      </c>
      <c r="O82" s="587"/>
      <c r="P82" s="1032"/>
      <c r="Q82" s="1052">
        <v>1181088.8836784186</v>
      </c>
      <c r="R82" s="1052">
        <v>1058657.95302727</v>
      </c>
      <c r="S82" s="1052"/>
      <c r="T82" s="1051">
        <f>IF(Tables!$B$2=1,'NY Curve'!O82,IF(Tables!$B$2=2,P82,IF(Tables!$B$2=4,Q82,IF(Tables!$B$2=5,R82,IF(Tables!$B$2=3,S82,0)))))</f>
        <v>1058657.95302727</v>
      </c>
    </row>
    <row r="83" spans="1:20">
      <c r="A83" s="465">
        <v>39264</v>
      </c>
      <c r="B83" s="894">
        <v>48.301249313354496</v>
      </c>
      <c r="C83" s="901">
        <v>72.5</v>
      </c>
      <c r="D83" s="895">
        <v>36.811249542236339</v>
      </c>
      <c r="E83" s="1009">
        <v>28.29749946594238</v>
      </c>
      <c r="F83" s="891">
        <f t="shared" si="8"/>
        <v>1.2214070997107602</v>
      </c>
      <c r="G83" s="941">
        <f t="shared" si="11"/>
        <v>88.55201472903012</v>
      </c>
      <c r="I83" s="891">
        <f t="shared" si="9"/>
        <v>0.77859290689229965</v>
      </c>
      <c r="J83" s="944">
        <f t="shared" si="10"/>
        <v>56.447985749691725</v>
      </c>
      <c r="K83" s="943">
        <f t="shared" si="12"/>
        <v>44.961521540111939</v>
      </c>
      <c r="L83" s="944">
        <f t="shared" si="13"/>
        <v>28.660977787427626</v>
      </c>
      <c r="M83" s="1011">
        <f t="shared" si="14"/>
        <v>34.562766751763469</v>
      </c>
      <c r="O83" s="587"/>
      <c r="P83" s="1032"/>
      <c r="Q83" s="1052">
        <v>2924677.5114429193</v>
      </c>
      <c r="R83" s="1052">
        <v>2608216.2365751835</v>
      </c>
      <c r="S83" s="1052"/>
      <c r="T83" s="1051">
        <f>IF(Tables!$B$2=1,'NY Curve'!O83,IF(Tables!$B$2=2,P83,IF(Tables!$B$2=4,Q83,IF(Tables!$B$2=5,R83,IF(Tables!$B$2=3,S83,0)))))</f>
        <v>2608216.2365751835</v>
      </c>
    </row>
    <row r="84" spans="1:20">
      <c r="A84" s="465">
        <v>39295</v>
      </c>
      <c r="B84" s="894">
        <v>45.350118582589289</v>
      </c>
      <c r="C84" s="901">
        <v>65</v>
      </c>
      <c r="D84" s="895">
        <v>39.072499084472668</v>
      </c>
      <c r="E84" s="1009">
        <v>29.795000839233396</v>
      </c>
      <c r="F84" s="891">
        <f t="shared" si="8"/>
        <v>1.1576814286317387</v>
      </c>
      <c r="G84" s="941">
        <f t="shared" si="11"/>
        <v>75.249292861063012</v>
      </c>
      <c r="I84" s="891">
        <f t="shared" si="9"/>
        <v>0.84209904074668884</v>
      </c>
      <c r="J84" s="944">
        <f t="shared" si="10"/>
        <v>54.736437648534775</v>
      </c>
      <c r="K84" s="943">
        <f t="shared" si="12"/>
        <v>45.233506560324621</v>
      </c>
      <c r="L84" s="944">
        <f t="shared" si="13"/>
        <v>32.902913998610309</v>
      </c>
      <c r="M84" s="1011">
        <f t="shared" si="14"/>
        <v>34.493119137647575</v>
      </c>
      <c r="O84" s="587"/>
      <c r="P84" s="1032"/>
      <c r="Q84" s="1052">
        <v>3069195.866304771</v>
      </c>
      <c r="R84" s="1052">
        <v>2736529.1110687992</v>
      </c>
      <c r="S84" s="1052"/>
      <c r="T84" s="1051">
        <f>IF(Tables!$B$2=1,'NY Curve'!O84,IF(Tables!$B$2=2,P84,IF(Tables!$B$2=4,Q84,IF(Tables!$B$2=5,R84,IF(Tables!$B$2=3,S84,0)))))</f>
        <v>2736529.1110687992</v>
      </c>
    </row>
    <row r="85" spans="1:20">
      <c r="A85" s="465">
        <v>39326</v>
      </c>
      <c r="B85" s="894">
        <v>22.967618588038857</v>
      </c>
      <c r="C85" s="901">
        <v>29.95</v>
      </c>
      <c r="D85" s="895">
        <v>15.679999542236326</v>
      </c>
      <c r="E85" s="1009">
        <v>13.260000419616697</v>
      </c>
      <c r="F85" s="891">
        <f t="shared" si="8"/>
        <v>1.0965337923205105</v>
      </c>
      <c r="G85" s="941">
        <f t="shared" si="11"/>
        <v>32.841187079999287</v>
      </c>
      <c r="I85" s="891">
        <f t="shared" si="9"/>
        <v>0.90346620767948926</v>
      </c>
      <c r="J85" s="944">
        <f t="shared" si="10"/>
        <v>27.058812920000701</v>
      </c>
      <c r="K85" s="943">
        <f t="shared" si="12"/>
        <v>17.193649361632268</v>
      </c>
      <c r="L85" s="944">
        <f t="shared" si="13"/>
        <v>14.166349722840382</v>
      </c>
      <c r="M85" s="1011">
        <f t="shared" si="14"/>
        <v>14.540038546293857</v>
      </c>
      <c r="O85" s="587"/>
      <c r="P85" s="1032"/>
      <c r="Q85" s="1052">
        <v>476983.38754495012</v>
      </c>
      <c r="R85" s="1052">
        <v>396575.75253962143</v>
      </c>
      <c r="S85" s="1052"/>
      <c r="T85" s="1051">
        <f>IF(Tables!$B$2=1,'NY Curve'!O85,IF(Tables!$B$2=2,P85,IF(Tables!$B$2=4,Q85,IF(Tables!$B$2=5,R85,IF(Tables!$B$2=3,S85,0)))))</f>
        <v>396575.75253962143</v>
      </c>
    </row>
    <row r="86" spans="1:20">
      <c r="A86" s="465">
        <v>39356</v>
      </c>
      <c r="B86" s="894">
        <v>22.609737814040407</v>
      </c>
      <c r="C86" s="901">
        <v>25.7</v>
      </c>
      <c r="D86" s="895">
        <v>20.550500106811519</v>
      </c>
      <c r="E86" s="1009">
        <v>20.550999832153316</v>
      </c>
      <c r="F86" s="891">
        <f t="shared" si="8"/>
        <v>1.0119875</v>
      </c>
      <c r="G86" s="941">
        <f t="shared" si="11"/>
        <v>26.008078749999999</v>
      </c>
      <c r="I86" s="891">
        <f t="shared" si="9"/>
        <v>0.98801249999999996</v>
      </c>
      <c r="J86" s="944">
        <f t="shared" si="10"/>
        <v>25.391921249999999</v>
      </c>
      <c r="K86" s="943">
        <f t="shared" si="12"/>
        <v>20.796849226841925</v>
      </c>
      <c r="L86" s="944">
        <f t="shared" si="13"/>
        <v>20.304150986781114</v>
      </c>
      <c r="M86" s="1011">
        <f t="shared" si="14"/>
        <v>20.797354942641256</v>
      </c>
      <c r="O86" s="587"/>
      <c r="P86" s="1032"/>
      <c r="Q86" s="1052">
        <v>234418.21449632125</v>
      </c>
      <c r="R86" s="1052">
        <v>187951.3633207833</v>
      </c>
      <c r="S86" s="1052"/>
      <c r="T86" s="1051">
        <f>IF(Tables!$B$2=1,'NY Curve'!O86,IF(Tables!$B$2=2,P86,IF(Tables!$B$2=4,Q86,IF(Tables!$B$2=5,R86,IF(Tables!$B$2=3,S86,0)))))</f>
        <v>187951.3633207833</v>
      </c>
    </row>
    <row r="87" spans="1:20">
      <c r="A87" s="465">
        <v>39387</v>
      </c>
      <c r="B87" s="894">
        <v>23.116797365461078</v>
      </c>
      <c r="C87" s="901">
        <v>26.2</v>
      </c>
      <c r="D87" s="895">
        <v>21.554751586914058</v>
      </c>
      <c r="E87" s="1009">
        <v>21.554499816894527</v>
      </c>
      <c r="F87" s="891">
        <f t="shared" si="8"/>
        <v>1.0158500000000001</v>
      </c>
      <c r="G87" s="941">
        <f t="shared" si="11"/>
        <v>26.615270000000002</v>
      </c>
      <c r="I87" s="891">
        <f t="shared" si="9"/>
        <v>0.98414999999999986</v>
      </c>
      <c r="J87" s="944">
        <f t="shared" si="10"/>
        <v>25.784729999999996</v>
      </c>
      <c r="K87" s="943">
        <f t="shared" si="12"/>
        <v>21.896394399566649</v>
      </c>
      <c r="L87" s="944">
        <f t="shared" si="13"/>
        <v>21.213108774261467</v>
      </c>
      <c r="M87" s="1011">
        <f t="shared" si="14"/>
        <v>21.896138638992309</v>
      </c>
      <c r="O87" s="587"/>
      <c r="P87" s="1032"/>
      <c r="Q87" s="1052">
        <v>230983.51734691864</v>
      </c>
      <c r="R87" s="1052">
        <v>164749.87781506957</v>
      </c>
      <c r="S87" s="1052"/>
      <c r="T87" s="1051">
        <f>IF(Tables!$B$2=1,'NY Curve'!O87,IF(Tables!$B$2=2,P87,IF(Tables!$B$2=4,Q87,IF(Tables!$B$2=5,R87,IF(Tables!$B$2=3,S87,0)))))</f>
        <v>164749.87781506957</v>
      </c>
    </row>
    <row r="88" spans="1:20">
      <c r="A88" s="465">
        <v>39417</v>
      </c>
      <c r="B88" s="894">
        <v>23.893570909045994</v>
      </c>
      <c r="C88" s="901">
        <v>26.7</v>
      </c>
      <c r="D88" s="895">
        <v>23.004998397827144</v>
      </c>
      <c r="E88" s="1009">
        <v>21.499999237060543</v>
      </c>
      <c r="F88" s="891">
        <f t="shared" si="8"/>
        <v>1.0153259918063107</v>
      </c>
      <c r="G88" s="941">
        <f t="shared" si="11"/>
        <v>27.109203981228493</v>
      </c>
      <c r="I88" s="891">
        <f t="shared" si="9"/>
        <v>0.98467400819368933</v>
      </c>
      <c r="J88" s="944">
        <f t="shared" si="10"/>
        <v>26.290796018771506</v>
      </c>
      <c r="K88" s="943">
        <f t="shared" si="12"/>
        <v>23.357572814776432</v>
      </c>
      <c r="L88" s="944">
        <f t="shared" si="13"/>
        <v>22.652423980877856</v>
      </c>
      <c r="M88" s="1011">
        <f t="shared" si="14"/>
        <v>21.829508049203419</v>
      </c>
      <c r="O88" s="587"/>
      <c r="P88" s="1032"/>
      <c r="Q88" s="1052">
        <v>190635.06200887388</v>
      </c>
      <c r="R88" s="1052">
        <v>136278.37246018066</v>
      </c>
      <c r="S88" s="1052"/>
      <c r="T88" s="1051">
        <f>IF(Tables!$B$2=1,'NY Curve'!O88,IF(Tables!$B$2=2,P88,IF(Tables!$B$2=4,Q88,IF(Tables!$B$2=5,R88,IF(Tables!$B$2=3,S88,0)))))</f>
        <v>136278.37246018066</v>
      </c>
    </row>
    <row r="89" spans="1:20">
      <c r="A89" s="465">
        <v>39448</v>
      </c>
      <c r="B89" s="894">
        <v>27.647797629946755</v>
      </c>
      <c r="C89" s="901">
        <v>32.049999999999997</v>
      </c>
      <c r="D89" s="895">
        <v>26.398748397827145</v>
      </c>
      <c r="E89" s="1009">
        <v>26.902500152587887</v>
      </c>
      <c r="F89" s="891">
        <f t="shared" si="8"/>
        <v>1.0080802540450913</v>
      </c>
      <c r="G89" s="941">
        <f t="shared" si="11"/>
        <v>32.308972142145173</v>
      </c>
      <c r="I89" s="891">
        <f t="shared" si="9"/>
        <v>0.99191974595490895</v>
      </c>
      <c r="J89" s="944">
        <f t="shared" si="10"/>
        <v>31.791027857854829</v>
      </c>
      <c r="K89" s="943">
        <f t="shared" si="12"/>
        <v>26.612056991354034</v>
      </c>
      <c r="L89" s="944">
        <f t="shared" si="13"/>
        <v>26.185439804300263</v>
      </c>
      <c r="M89" s="1011">
        <f t="shared" si="14"/>
        <v>27.119879188268904</v>
      </c>
      <c r="O89" s="587"/>
      <c r="P89" s="1032"/>
      <c r="Q89" s="1052">
        <v>405791.80266075523</v>
      </c>
      <c r="R89" s="1052">
        <v>315943.88335817045</v>
      </c>
      <c r="S89" s="1052"/>
      <c r="T89" s="1051">
        <f>IF(Tables!$B$2=1,'NY Curve'!O89,IF(Tables!$B$2=2,P89,IF(Tables!$B$2=4,Q89,IF(Tables!$B$2=5,R89,IF(Tables!$B$2=3,S89,0)))))</f>
        <v>315943.88335817045</v>
      </c>
    </row>
    <row r="90" spans="1:20">
      <c r="A90" s="465">
        <v>39479</v>
      </c>
      <c r="B90" s="894">
        <v>27.172916067214238</v>
      </c>
      <c r="C90" s="901">
        <v>32.049999999999997</v>
      </c>
      <c r="D90" s="895">
        <v>25.396250152587886</v>
      </c>
      <c r="E90" s="1009">
        <v>24.897499465942378</v>
      </c>
      <c r="F90" s="891">
        <f t="shared" si="8"/>
        <v>1.0080802540450913</v>
      </c>
      <c r="G90" s="941">
        <f t="shared" si="11"/>
        <v>32.308972142145173</v>
      </c>
      <c r="I90" s="891">
        <f t="shared" si="9"/>
        <v>0.99191974595490906</v>
      </c>
      <c r="J90" s="944">
        <f t="shared" si="10"/>
        <v>31.791027857854832</v>
      </c>
      <c r="K90" s="943">
        <f t="shared" si="12"/>
        <v>25.601458305613484</v>
      </c>
      <c r="L90" s="944">
        <f t="shared" si="13"/>
        <v>25.191041999562295</v>
      </c>
      <c r="M90" s="1011">
        <f t="shared" si="14"/>
        <v>25.098677586714718</v>
      </c>
      <c r="O90" s="587"/>
      <c r="P90" s="1032"/>
      <c r="Q90" s="1052">
        <v>370017.75936379679</v>
      </c>
      <c r="R90" s="1052">
        <v>306742.03087982727</v>
      </c>
      <c r="S90" s="1052"/>
      <c r="T90" s="1051">
        <f>IF(Tables!$B$2=1,'NY Curve'!O90,IF(Tables!$B$2=2,P90,IF(Tables!$B$2=4,Q90,IF(Tables!$B$2=5,R90,IF(Tables!$B$2=3,S90,0)))))</f>
        <v>306742.03087982727</v>
      </c>
    </row>
    <row r="91" spans="1:20">
      <c r="A91" s="465">
        <v>39508</v>
      </c>
      <c r="B91" s="894">
        <v>22.911797314598445</v>
      </c>
      <c r="C91" s="901">
        <v>27.05</v>
      </c>
      <c r="D91" s="895">
        <v>18.584749603271479</v>
      </c>
      <c r="E91" s="1009">
        <v>20.214498901367183</v>
      </c>
      <c r="F91" s="891">
        <f t="shared" si="8"/>
        <v>1.0080875</v>
      </c>
      <c r="G91" s="941">
        <f t="shared" si="11"/>
        <v>27.268766875000001</v>
      </c>
      <c r="I91" s="891">
        <f t="shared" si="9"/>
        <v>0.99191250000000009</v>
      </c>
      <c r="J91" s="944">
        <f t="shared" si="10"/>
        <v>26.831233125000004</v>
      </c>
      <c r="K91" s="943">
        <f t="shared" si="12"/>
        <v>18.735053765687937</v>
      </c>
      <c r="L91" s="944">
        <f t="shared" si="13"/>
        <v>18.434445440855022</v>
      </c>
      <c r="M91" s="1011">
        <f t="shared" si="14"/>
        <v>20.37798366123199</v>
      </c>
      <c r="O91" s="587"/>
      <c r="P91" s="1032"/>
      <c r="Q91" s="1052">
        <v>195418.92375745546</v>
      </c>
      <c r="R91" s="1052">
        <v>181690.45103578726</v>
      </c>
      <c r="S91" s="1052"/>
      <c r="T91" s="1051">
        <f>IF(Tables!$B$2=1,'NY Curve'!O91,IF(Tables!$B$2=2,P91,IF(Tables!$B$2=4,Q91,IF(Tables!$B$2=5,R91,IF(Tables!$B$2=3,S91,0)))))</f>
        <v>181690.45103578726</v>
      </c>
    </row>
    <row r="92" spans="1:20">
      <c r="A92" s="465">
        <v>39539</v>
      </c>
      <c r="B92" s="894">
        <v>22.381308891659689</v>
      </c>
      <c r="C92" s="901">
        <v>25.8</v>
      </c>
      <c r="D92" s="895">
        <v>19.267500305175776</v>
      </c>
      <c r="E92" s="1009">
        <v>19.984999084472651</v>
      </c>
      <c r="F92" s="891">
        <f t="shared" si="8"/>
        <v>1.07269528338234</v>
      </c>
      <c r="G92" s="941">
        <f t="shared" si="11"/>
        <v>27.675538311264372</v>
      </c>
      <c r="I92" s="891">
        <f t="shared" si="9"/>
        <v>0.92730471661766001</v>
      </c>
      <c r="J92" s="944">
        <f t="shared" si="10"/>
        <v>23.924461688735629</v>
      </c>
      <c r="K92" s="943">
        <f t="shared" si="12"/>
        <v>20.668156699929852</v>
      </c>
      <c r="L92" s="944">
        <f t="shared" si="13"/>
        <v>17.8668439104217</v>
      </c>
      <c r="M92" s="1011">
        <f t="shared" si="14"/>
        <v>21.437814256314194</v>
      </c>
      <c r="O92" s="587"/>
      <c r="P92" s="1032"/>
      <c r="Q92" s="1052">
        <v>223861.44152091551</v>
      </c>
      <c r="R92" s="1052">
        <v>218745.45388112008</v>
      </c>
      <c r="S92" s="1052"/>
      <c r="T92" s="1051">
        <f>IF(Tables!$B$2=1,'NY Curve'!O92,IF(Tables!$B$2=2,P92,IF(Tables!$B$2=4,Q92,IF(Tables!$B$2=5,R92,IF(Tables!$B$2=3,S92,0)))))</f>
        <v>218745.45388112008</v>
      </c>
    </row>
    <row r="93" spans="1:20">
      <c r="A93" s="465">
        <v>39569</v>
      </c>
      <c r="B93" s="894">
        <v>24.497261338006883</v>
      </c>
      <c r="C93" s="901">
        <v>30.05</v>
      </c>
      <c r="D93" s="895">
        <v>19.38250007629394</v>
      </c>
      <c r="E93" s="1009">
        <v>20.514999771118159</v>
      </c>
      <c r="F93" s="891">
        <f t="shared" si="8"/>
        <v>1.058490237990529</v>
      </c>
      <c r="G93" s="941">
        <f t="shared" si="11"/>
        <v>31.807631651615399</v>
      </c>
      <c r="I93" s="891">
        <f t="shared" si="9"/>
        <v>0.94150976200947101</v>
      </c>
      <c r="J93" s="944">
        <f t="shared" si="10"/>
        <v>28.292368348384603</v>
      </c>
      <c r="K93" s="943">
        <f t="shared" si="12"/>
        <v>20.516187118607821</v>
      </c>
      <c r="L93" s="944">
        <f t="shared" si="13"/>
        <v>18.24881303398006</v>
      </c>
      <c r="M93" s="1011">
        <f t="shared" si="14"/>
        <v>21.714926990106509</v>
      </c>
      <c r="O93" s="587"/>
      <c r="P93" s="1032"/>
      <c r="Q93" s="1052">
        <v>449149.65504012792</v>
      </c>
      <c r="R93" s="1052">
        <v>373924.52382385009</v>
      </c>
      <c r="S93" s="1052"/>
      <c r="T93" s="1051">
        <f>IF(Tables!$B$2=1,'NY Curve'!O93,IF(Tables!$B$2=2,P93,IF(Tables!$B$2=4,Q93,IF(Tables!$B$2=5,R93,IF(Tables!$B$2=3,S93,0)))))</f>
        <v>373924.52382385009</v>
      </c>
    </row>
    <row r="94" spans="1:20">
      <c r="A94" s="465">
        <v>39600</v>
      </c>
      <c r="B94" s="894">
        <v>34.087082999093191</v>
      </c>
      <c r="C94" s="901">
        <v>49.25</v>
      </c>
      <c r="D94" s="895">
        <v>23.808750152587887</v>
      </c>
      <c r="E94" s="1009">
        <v>19.292499542236325</v>
      </c>
      <c r="F94" s="891">
        <f t="shared" si="8"/>
        <v>1.1693830474353057</v>
      </c>
      <c r="G94" s="941">
        <f t="shared" si="11"/>
        <v>57.592115086188805</v>
      </c>
      <c r="I94" s="891">
        <f t="shared" si="9"/>
        <v>0.83061695843935013</v>
      </c>
      <c r="J94" s="944">
        <f t="shared" si="10"/>
        <v>40.907885203137994</v>
      </c>
      <c r="K94" s="943">
        <f t="shared" si="12"/>
        <v>27.841548809059024</v>
      </c>
      <c r="L94" s="944">
        <f t="shared" si="13"/>
        <v>19.775951635984963</v>
      </c>
      <c r="M94" s="1011">
        <f t="shared" si="14"/>
        <v>22.560321907344555</v>
      </c>
      <c r="O94" s="587"/>
      <c r="P94" s="1032"/>
      <c r="Q94" s="1052">
        <v>1202120.2010022006</v>
      </c>
      <c r="R94" s="1052">
        <v>1078242.8941716244</v>
      </c>
      <c r="S94" s="1052"/>
      <c r="T94" s="1051">
        <f>IF(Tables!$B$2=1,'NY Curve'!O94,IF(Tables!$B$2=2,P94,IF(Tables!$B$2=4,Q94,IF(Tables!$B$2=5,R94,IF(Tables!$B$2=3,S94,0)))))</f>
        <v>1078242.8941716244</v>
      </c>
    </row>
    <row r="95" spans="1:20">
      <c r="A95" s="465">
        <v>39630</v>
      </c>
      <c r="B95" s="894">
        <v>49.072677884783062</v>
      </c>
      <c r="C95" s="901">
        <v>74</v>
      </c>
      <c r="D95" s="895">
        <v>37.011249542236342</v>
      </c>
      <c r="E95" s="1009">
        <v>28.497499465942379</v>
      </c>
      <c r="F95" s="891">
        <f t="shared" si="8"/>
        <v>1.2214070997107602</v>
      </c>
      <c r="G95" s="941">
        <f t="shared" si="11"/>
        <v>90.384125378596252</v>
      </c>
      <c r="I95" s="891">
        <f t="shared" si="9"/>
        <v>0.77859290689229965</v>
      </c>
      <c r="J95" s="944">
        <f t="shared" si="10"/>
        <v>57.615875110030174</v>
      </c>
      <c r="K95" s="943">
        <f t="shared" si="12"/>
        <v>45.205802960054093</v>
      </c>
      <c r="L95" s="944">
        <f t="shared" si="13"/>
        <v>28.816696368806088</v>
      </c>
      <c r="M95" s="1011">
        <f t="shared" si="14"/>
        <v>34.807048171705617</v>
      </c>
      <c r="O95" s="587"/>
      <c r="P95" s="1032"/>
      <c r="Q95" s="1052">
        <v>3058825.4510339801</v>
      </c>
      <c r="R95" s="1052">
        <v>2727838.8457107283</v>
      </c>
      <c r="S95" s="1052"/>
      <c r="T95" s="1051">
        <f>IF(Tables!$B$2=1,'NY Curve'!O95,IF(Tables!$B$2=2,P95,IF(Tables!$B$2=4,Q95,IF(Tables!$B$2=5,R95,IF(Tables!$B$2=3,S95,0)))))</f>
        <v>2727838.8457107283</v>
      </c>
    </row>
    <row r="96" spans="1:20">
      <c r="A96" s="465">
        <v>39661</v>
      </c>
      <c r="B96" s="894">
        <v>46.121547154017854</v>
      </c>
      <c r="C96" s="901">
        <v>66.5</v>
      </c>
      <c r="D96" s="895">
        <v>39.27249908447267</v>
      </c>
      <c r="E96" s="1009">
        <v>29.995000839233395</v>
      </c>
      <c r="F96" s="891">
        <f t="shared" si="8"/>
        <v>1.1576814286317387</v>
      </c>
      <c r="G96" s="941">
        <f t="shared" si="11"/>
        <v>76.985815004010632</v>
      </c>
      <c r="I96" s="891">
        <f t="shared" si="9"/>
        <v>0.84209904074668884</v>
      </c>
      <c r="J96" s="944">
        <f t="shared" si="10"/>
        <v>55.999586209654808</v>
      </c>
      <c r="K96" s="943">
        <f t="shared" si="12"/>
        <v>45.46504284605097</v>
      </c>
      <c r="L96" s="944">
        <f t="shared" si="13"/>
        <v>33.071333806759654</v>
      </c>
      <c r="M96" s="1011">
        <f t="shared" si="14"/>
        <v>34.724655423373918</v>
      </c>
      <c r="O96" s="587"/>
      <c r="P96" s="1032"/>
      <c r="Q96" s="1052">
        <v>3016249.6664567515</v>
      </c>
      <c r="R96" s="1052">
        <v>2678779.7103751823</v>
      </c>
      <c r="S96" s="1052"/>
      <c r="T96" s="1051">
        <f>IF(Tables!$B$2=1,'NY Curve'!O96,IF(Tables!$B$2=2,P96,IF(Tables!$B$2=4,Q96,IF(Tables!$B$2=5,R96,IF(Tables!$B$2=3,S96,0)))))</f>
        <v>2678779.7103751823</v>
      </c>
    </row>
    <row r="97" spans="1:20">
      <c r="A97" s="465">
        <v>39692</v>
      </c>
      <c r="B97" s="894">
        <v>23.072380492800757</v>
      </c>
      <c r="C97" s="901">
        <v>30.05</v>
      </c>
      <c r="D97" s="895">
        <v>15.879999542236325</v>
      </c>
      <c r="E97" s="1009">
        <v>13.460000419616696</v>
      </c>
      <c r="F97" s="891">
        <f t="shared" si="8"/>
        <v>1.0965337923205105</v>
      </c>
      <c r="G97" s="941">
        <f t="shared" si="11"/>
        <v>32.950840459231344</v>
      </c>
      <c r="I97" s="891">
        <f t="shared" si="9"/>
        <v>0.90346620767948926</v>
      </c>
      <c r="J97" s="944">
        <f t="shared" si="10"/>
        <v>27.149159540768654</v>
      </c>
      <c r="K97" s="943">
        <f t="shared" si="12"/>
        <v>17.412956120096368</v>
      </c>
      <c r="L97" s="944">
        <f t="shared" si="13"/>
        <v>14.347042964376278</v>
      </c>
      <c r="M97" s="1011">
        <f t="shared" si="14"/>
        <v>14.759345304757959</v>
      </c>
      <c r="O97" s="587"/>
      <c r="P97" s="1032"/>
      <c r="Q97" s="1052">
        <v>511666.02383774292</v>
      </c>
      <c r="R97" s="1052">
        <v>425117.90881117614</v>
      </c>
      <c r="S97" s="1052"/>
      <c r="T97" s="1051">
        <f>IF(Tables!$B$2=1,'NY Curve'!O97,IF(Tables!$B$2=2,P97,IF(Tables!$B$2=4,Q97,IF(Tables!$B$2=5,R97,IF(Tables!$B$2=3,S97,0)))))</f>
        <v>425117.90881117614</v>
      </c>
    </row>
    <row r="98" spans="1:20">
      <c r="A98" s="465">
        <v>39722</v>
      </c>
      <c r="B98" s="894">
        <v>22.714499718802315</v>
      </c>
      <c r="C98" s="901">
        <v>25.8</v>
      </c>
      <c r="D98" s="895">
        <v>20.750500106811518</v>
      </c>
      <c r="E98" s="1009">
        <v>20.750999832153315</v>
      </c>
      <c r="F98" s="891">
        <f t="shared" si="8"/>
        <v>1.0119875</v>
      </c>
      <c r="G98" s="941">
        <f t="shared" si="11"/>
        <v>26.109277500000001</v>
      </c>
      <c r="I98" s="891">
        <f t="shared" si="9"/>
        <v>0.98801249999999996</v>
      </c>
      <c r="J98" s="944">
        <f t="shared" si="10"/>
        <v>25.4907225</v>
      </c>
      <c r="K98" s="943">
        <f t="shared" si="12"/>
        <v>20.999246726841921</v>
      </c>
      <c r="L98" s="944">
        <f t="shared" si="13"/>
        <v>20.501753486781116</v>
      </c>
      <c r="M98" s="1011">
        <f t="shared" si="14"/>
        <v>20.999752442641253</v>
      </c>
      <c r="O98" s="587"/>
      <c r="P98" s="1032"/>
      <c r="Q98" s="1052">
        <v>222116.67973559783</v>
      </c>
      <c r="R98" s="1052">
        <v>177828.67903866977</v>
      </c>
      <c r="S98" s="1052"/>
      <c r="T98" s="1051">
        <f>IF(Tables!$B$2=1,'NY Curve'!O98,IF(Tables!$B$2=2,P98,IF(Tables!$B$2=4,Q98,IF(Tables!$B$2=5,R98,IF(Tables!$B$2=3,S98,0)))))</f>
        <v>177828.67903866977</v>
      </c>
    </row>
    <row r="99" spans="1:20">
      <c r="A99" s="465">
        <v>39753</v>
      </c>
      <c r="B99" s="894">
        <v>23.221559270222979</v>
      </c>
      <c r="C99" s="901">
        <v>26.3</v>
      </c>
      <c r="D99" s="895">
        <v>21.754751586914058</v>
      </c>
      <c r="E99" s="1009">
        <v>21.754499816894526</v>
      </c>
      <c r="F99" s="891">
        <f t="shared" si="8"/>
        <v>1.0158500000000001</v>
      </c>
      <c r="G99" s="941">
        <f t="shared" si="11"/>
        <v>26.716855000000006</v>
      </c>
      <c r="I99" s="891">
        <f t="shared" si="9"/>
        <v>0.98414999999999986</v>
      </c>
      <c r="J99" s="944">
        <f t="shared" si="10"/>
        <v>25.883144999999995</v>
      </c>
      <c r="K99" s="943">
        <f t="shared" si="12"/>
        <v>22.099564399566649</v>
      </c>
      <c r="L99" s="944">
        <f t="shared" si="13"/>
        <v>21.409938774261466</v>
      </c>
      <c r="M99" s="1011">
        <f t="shared" si="14"/>
        <v>22.099308638992309</v>
      </c>
      <c r="O99" s="587"/>
      <c r="P99" s="1032"/>
      <c r="Q99" s="1052">
        <v>198209.82991312325</v>
      </c>
      <c r="R99" s="1052">
        <v>141792.49087220972</v>
      </c>
      <c r="S99" s="1052"/>
      <c r="T99" s="1051">
        <f>IF(Tables!$B$2=1,'NY Curve'!O99,IF(Tables!$B$2=2,P99,IF(Tables!$B$2=4,Q99,IF(Tables!$B$2=5,R99,IF(Tables!$B$2=3,S99,0)))))</f>
        <v>141792.49087220972</v>
      </c>
    </row>
    <row r="100" spans="1:20">
      <c r="A100" s="465">
        <v>39783</v>
      </c>
      <c r="B100" s="894">
        <v>23.998332813807895</v>
      </c>
      <c r="C100" s="901">
        <v>26.8</v>
      </c>
      <c r="D100" s="895">
        <v>23.204998397827143</v>
      </c>
      <c r="E100" s="1009">
        <v>21.699999237060542</v>
      </c>
      <c r="F100" s="891">
        <f t="shared" si="8"/>
        <v>1.0153259918063107</v>
      </c>
      <c r="G100" s="941">
        <f t="shared" si="11"/>
        <v>27.210736580409126</v>
      </c>
      <c r="I100" s="891">
        <f t="shared" si="9"/>
        <v>0.98467400819368933</v>
      </c>
      <c r="J100" s="944">
        <f t="shared" si="10"/>
        <v>26.389263419590876</v>
      </c>
      <c r="K100" s="943">
        <f t="shared" si="12"/>
        <v>23.560638013137694</v>
      </c>
      <c r="L100" s="944">
        <f t="shared" si="13"/>
        <v>22.849358782516592</v>
      </c>
      <c r="M100" s="1011">
        <f t="shared" si="14"/>
        <v>22.032573247564681</v>
      </c>
      <c r="O100" s="587"/>
      <c r="P100" s="1032"/>
      <c r="Q100" s="1052">
        <v>199073.61248864167</v>
      </c>
      <c r="R100" s="1052">
        <v>142324.23216017077</v>
      </c>
      <c r="S100" s="1052"/>
      <c r="T100" s="1051">
        <f>IF(Tables!$B$2=1,'NY Curve'!O100,IF(Tables!$B$2=2,P100,IF(Tables!$B$2=4,Q100,IF(Tables!$B$2=5,R100,IF(Tables!$B$2=3,S100,0)))))</f>
        <v>142324.23216017077</v>
      </c>
    </row>
    <row r="101" spans="1:20">
      <c r="A101" s="465">
        <v>39814</v>
      </c>
      <c r="B101" s="894">
        <v>27.80017858232771</v>
      </c>
      <c r="C101" s="901">
        <v>32.15</v>
      </c>
      <c r="D101" s="895">
        <v>26.598748397827144</v>
      </c>
      <c r="E101" s="1009">
        <v>27.102500152587886</v>
      </c>
      <c r="F101" s="891">
        <f t="shared" si="8"/>
        <v>1.0080802540450913</v>
      </c>
      <c r="G101" s="941">
        <f t="shared" si="11"/>
        <v>32.409780167549684</v>
      </c>
      <c r="I101" s="891">
        <f t="shared" si="9"/>
        <v>0.99191974595490895</v>
      </c>
      <c r="J101" s="944">
        <f t="shared" si="10"/>
        <v>31.89021983245032</v>
      </c>
      <c r="K101" s="943">
        <f t="shared" si="12"/>
        <v>26.813673042163053</v>
      </c>
      <c r="L101" s="944">
        <f t="shared" si="13"/>
        <v>26.383823753491242</v>
      </c>
      <c r="M101" s="1011">
        <f t="shared" si="14"/>
        <v>27.321495239077922</v>
      </c>
      <c r="O101" s="587"/>
      <c r="P101" s="1032"/>
      <c r="Q101" s="1052">
        <v>374183.90770772274</v>
      </c>
      <c r="R101" s="1052">
        <v>290732.92997955636</v>
      </c>
      <c r="S101" s="1052"/>
      <c r="T101" s="1051">
        <f>IF(Tables!$B$2=1,'NY Curve'!O101,IF(Tables!$B$2=2,P101,IF(Tables!$B$2=4,Q101,IF(Tables!$B$2=5,R101,IF(Tables!$B$2=3,S101,0)))))</f>
        <v>290732.92997955636</v>
      </c>
    </row>
    <row r="102" spans="1:20">
      <c r="A102" s="465">
        <v>39845</v>
      </c>
      <c r="B102" s="894">
        <v>27.325297019595187</v>
      </c>
      <c r="C102" s="901">
        <v>32.15</v>
      </c>
      <c r="D102" s="895">
        <v>25.596250152587885</v>
      </c>
      <c r="E102" s="1009">
        <v>25.097499465942377</v>
      </c>
      <c r="F102" s="891">
        <f t="shared" si="8"/>
        <v>1.0080802540450913</v>
      </c>
      <c r="G102" s="941">
        <f t="shared" si="11"/>
        <v>32.409780167549684</v>
      </c>
      <c r="I102" s="891">
        <f t="shared" si="9"/>
        <v>0.99191974595490906</v>
      </c>
      <c r="J102" s="944">
        <f t="shared" si="10"/>
        <v>31.890219832450324</v>
      </c>
      <c r="K102" s="943">
        <f t="shared" si="12"/>
        <v>25.803074356422503</v>
      </c>
      <c r="L102" s="944">
        <f t="shared" si="13"/>
        <v>25.389425948753278</v>
      </c>
      <c r="M102" s="1011">
        <f t="shared" si="14"/>
        <v>25.300293637523733</v>
      </c>
      <c r="O102" s="587"/>
      <c r="P102" s="1032"/>
      <c r="Q102" s="1052">
        <v>339928.67497836147</v>
      </c>
      <c r="R102" s="1052">
        <v>281018.17143465037</v>
      </c>
      <c r="S102" s="1052"/>
      <c r="T102" s="1051">
        <f>IF(Tables!$B$2=1,'NY Curve'!O102,IF(Tables!$B$2=2,P102,IF(Tables!$B$2=4,Q102,IF(Tables!$B$2=5,R102,IF(Tables!$B$2=3,S102,0)))))</f>
        <v>281018.17143465037</v>
      </c>
    </row>
    <row r="103" spans="1:20">
      <c r="A103" s="465">
        <v>39873</v>
      </c>
      <c r="B103" s="894">
        <v>23.064178266979393</v>
      </c>
      <c r="C103" s="901">
        <v>27.15</v>
      </c>
      <c r="D103" s="895">
        <v>18.784749603271479</v>
      </c>
      <c r="E103" s="1009">
        <v>20.414498901367182</v>
      </c>
      <c r="F103" s="891">
        <f t="shared" si="8"/>
        <v>1.0080875</v>
      </c>
      <c r="G103" s="941">
        <f t="shared" si="11"/>
        <v>27.369575625</v>
      </c>
      <c r="I103" s="891">
        <f t="shared" si="9"/>
        <v>0.99191250000000009</v>
      </c>
      <c r="J103" s="944">
        <f t="shared" si="10"/>
        <v>26.930424375000001</v>
      </c>
      <c r="K103" s="943">
        <f t="shared" si="12"/>
        <v>18.936671265687938</v>
      </c>
      <c r="L103" s="944">
        <f t="shared" si="13"/>
        <v>18.632827940855023</v>
      </c>
      <c r="M103" s="1011">
        <f t="shared" si="14"/>
        <v>20.579601161231988</v>
      </c>
      <c r="O103" s="587"/>
      <c r="P103" s="1032"/>
      <c r="Q103" s="1052">
        <v>194380.8121595539</v>
      </c>
      <c r="R103" s="1052">
        <v>179973.89785891524</v>
      </c>
      <c r="S103" s="1052"/>
      <c r="T103" s="1051">
        <f>IF(Tables!$B$2=1,'NY Curve'!O103,IF(Tables!$B$2=2,P103,IF(Tables!$B$2=4,Q103,IF(Tables!$B$2=5,R103,IF(Tables!$B$2=3,S103,0)))))</f>
        <v>179973.89785891524</v>
      </c>
    </row>
    <row r="104" spans="1:20">
      <c r="A104" s="465">
        <v>39904</v>
      </c>
      <c r="B104" s="894">
        <v>22.533689844040641</v>
      </c>
      <c r="C104" s="901">
        <v>25.9</v>
      </c>
      <c r="D104" s="895">
        <v>19.467500305175776</v>
      </c>
      <c r="E104" s="1009">
        <v>20.184999084472651</v>
      </c>
      <c r="F104" s="891">
        <f t="shared" si="8"/>
        <v>1.07269528338234</v>
      </c>
      <c r="G104" s="941">
        <f t="shared" si="11"/>
        <v>27.782807839602604</v>
      </c>
      <c r="I104" s="891">
        <f t="shared" si="9"/>
        <v>0.92730471661766001</v>
      </c>
      <c r="J104" s="944">
        <f t="shared" si="10"/>
        <v>24.017192160397393</v>
      </c>
      <c r="K104" s="943">
        <f t="shared" si="12"/>
        <v>20.882695756606317</v>
      </c>
      <c r="L104" s="944">
        <f t="shared" si="13"/>
        <v>18.052304853745234</v>
      </c>
      <c r="M104" s="1011">
        <f t="shared" si="14"/>
        <v>21.652353312990662</v>
      </c>
      <c r="O104" s="587"/>
      <c r="P104" s="1032"/>
      <c r="Q104" s="1052">
        <v>211255.89166097969</v>
      </c>
      <c r="R104" s="1052">
        <v>205907.23276505893</v>
      </c>
      <c r="S104" s="1052"/>
      <c r="T104" s="1051">
        <f>IF(Tables!$B$2=1,'NY Curve'!O104,IF(Tables!$B$2=2,P104,IF(Tables!$B$2=4,Q104,IF(Tables!$B$2=5,R104,IF(Tables!$B$2=3,S104,0)))))</f>
        <v>205907.23276505893</v>
      </c>
    </row>
    <row r="105" spans="1:20">
      <c r="A105" s="465">
        <v>39934</v>
      </c>
      <c r="B105" s="894">
        <v>24.649642290387831</v>
      </c>
      <c r="C105" s="901">
        <v>30.15</v>
      </c>
      <c r="D105" s="895">
        <v>19.58250007629394</v>
      </c>
      <c r="E105" s="1009">
        <v>20.714999771118158</v>
      </c>
      <c r="F105" s="891">
        <f t="shared" si="8"/>
        <v>1.058490237990529</v>
      </c>
      <c r="G105" s="941">
        <f t="shared" si="11"/>
        <v>31.913480675414448</v>
      </c>
      <c r="I105" s="891">
        <f t="shared" si="9"/>
        <v>0.94150976200947101</v>
      </c>
      <c r="J105" s="944">
        <f t="shared" si="10"/>
        <v>28.386519324585549</v>
      </c>
      <c r="K105" s="943">
        <f t="shared" si="12"/>
        <v>20.727885166205926</v>
      </c>
      <c r="L105" s="944">
        <f t="shared" si="13"/>
        <v>18.437114986381953</v>
      </c>
      <c r="M105" s="1011">
        <f t="shared" si="14"/>
        <v>21.926625037704614</v>
      </c>
      <c r="O105" s="587"/>
      <c r="P105" s="1032"/>
      <c r="Q105" s="1052">
        <v>410180.60967576219</v>
      </c>
      <c r="R105" s="1052">
        <v>340913.25892854348</v>
      </c>
      <c r="S105" s="1052"/>
      <c r="T105" s="1051">
        <f>IF(Tables!$B$2=1,'NY Curve'!O105,IF(Tables!$B$2=2,P105,IF(Tables!$B$2=4,Q105,IF(Tables!$B$2=5,R105,IF(Tables!$B$2=3,S105,0)))))</f>
        <v>340913.25892854348</v>
      </c>
    </row>
    <row r="106" spans="1:20">
      <c r="A106" s="465">
        <v>39965</v>
      </c>
      <c r="B106" s="894">
        <v>34.668035380045573</v>
      </c>
      <c r="C106" s="901">
        <v>50.25</v>
      </c>
      <c r="D106" s="895">
        <v>24.008750152587886</v>
      </c>
      <c r="E106" s="1009">
        <v>19.492499542236324</v>
      </c>
      <c r="F106" s="891">
        <f t="shared" si="8"/>
        <v>1.1693830474353057</v>
      </c>
      <c r="G106" s="941">
        <f t="shared" si="11"/>
        <v>58.761498133624116</v>
      </c>
      <c r="I106" s="891">
        <f t="shared" si="9"/>
        <v>0.83061695843935013</v>
      </c>
      <c r="J106" s="944">
        <f t="shared" si="10"/>
        <v>41.738502161577344</v>
      </c>
      <c r="K106" s="943">
        <f t="shared" si="12"/>
        <v>28.075425418546086</v>
      </c>
      <c r="L106" s="944">
        <f t="shared" si="13"/>
        <v>19.942075027672832</v>
      </c>
      <c r="M106" s="1011">
        <f t="shared" si="14"/>
        <v>22.794198516831614</v>
      </c>
      <c r="O106" s="587"/>
      <c r="P106" s="1032"/>
      <c r="Q106" s="1052">
        <v>1249968.8514114353</v>
      </c>
      <c r="R106" s="1052">
        <v>1123310.1852312495</v>
      </c>
      <c r="S106" s="1052"/>
      <c r="T106" s="1051">
        <f>IF(Tables!$B$2=1,'NY Curve'!O106,IF(Tables!$B$2=2,P106,IF(Tables!$B$2=4,Q106,IF(Tables!$B$2=5,R106,IF(Tables!$B$2=3,S106,0)))))</f>
        <v>1123310.1852312495</v>
      </c>
    </row>
    <row r="107" spans="1:20">
      <c r="A107" s="465">
        <v>39995</v>
      </c>
      <c r="B107" s="894">
        <v>50.129820741925926</v>
      </c>
      <c r="C107" s="901">
        <v>76</v>
      </c>
      <c r="D107" s="895">
        <v>37.211249542236345</v>
      </c>
      <c r="E107" s="1009">
        <v>28.697499465942379</v>
      </c>
      <c r="F107" s="891">
        <f t="shared" si="8"/>
        <v>1.2214070997107602</v>
      </c>
      <c r="G107" s="941">
        <f t="shared" si="11"/>
        <v>92.826939578017772</v>
      </c>
      <c r="I107" s="891">
        <f t="shared" si="9"/>
        <v>0.77859290689229965</v>
      </c>
      <c r="J107" s="944">
        <f t="shared" si="10"/>
        <v>59.173060923814774</v>
      </c>
      <c r="K107" s="943">
        <f t="shared" si="12"/>
        <v>45.450084379996248</v>
      </c>
      <c r="L107" s="944">
        <f t="shared" si="13"/>
        <v>28.97241495018455</v>
      </c>
      <c r="M107" s="1011">
        <f t="shared" si="14"/>
        <v>35.051329591647772</v>
      </c>
      <c r="O107" s="587"/>
      <c r="P107" s="1032"/>
      <c r="Q107" s="1052">
        <v>3138201.1413794523</v>
      </c>
      <c r="R107" s="1052">
        <v>2803037.1582034389</v>
      </c>
      <c r="S107" s="1052"/>
      <c r="T107" s="1051">
        <f>IF(Tables!$B$2=1,'NY Curve'!O107,IF(Tables!$B$2=2,P107,IF(Tables!$B$2=4,Q107,IF(Tables!$B$2=5,R107,IF(Tables!$B$2=3,S107,0)))))</f>
        <v>2803037.1582034389</v>
      </c>
    </row>
    <row r="108" spans="1:20">
      <c r="A108" s="465">
        <v>40026</v>
      </c>
      <c r="B108" s="894">
        <v>47.178690011160718</v>
      </c>
      <c r="C108" s="901">
        <v>68.5</v>
      </c>
      <c r="D108" s="895">
        <v>39.472499084472673</v>
      </c>
      <c r="E108" s="1009">
        <v>30.195000839233394</v>
      </c>
      <c r="F108" s="891">
        <f t="shared" si="8"/>
        <v>1.1576814286317387</v>
      </c>
      <c r="G108" s="941">
        <f t="shared" si="11"/>
        <v>79.301177861274098</v>
      </c>
      <c r="I108" s="891">
        <f t="shared" si="9"/>
        <v>0.84209904074668884</v>
      </c>
      <c r="J108" s="944">
        <f t="shared" si="10"/>
        <v>57.683784291148186</v>
      </c>
      <c r="K108" s="943">
        <f t="shared" si="12"/>
        <v>45.696579131777327</v>
      </c>
      <c r="L108" s="944">
        <f t="shared" si="13"/>
        <v>33.239753614908992</v>
      </c>
      <c r="M108" s="1011">
        <f t="shared" si="14"/>
        <v>34.956191709100267</v>
      </c>
      <c r="O108" s="587"/>
      <c r="P108" s="1032"/>
      <c r="Q108" s="1052">
        <v>3038333.880719908</v>
      </c>
      <c r="R108" s="1052">
        <v>2699102.051170357</v>
      </c>
      <c r="S108" s="1052"/>
      <c r="T108" s="1051">
        <f>IF(Tables!$B$2=1,'NY Curve'!O108,IF(Tables!$B$2=2,P108,IF(Tables!$B$2=4,Q108,IF(Tables!$B$2=5,R108,IF(Tables!$B$2=3,S108,0)))))</f>
        <v>2699102.051170357</v>
      </c>
    </row>
    <row r="109" spans="1:20">
      <c r="A109" s="465">
        <v>40057</v>
      </c>
      <c r="B109" s="894">
        <v>23.224761445181713</v>
      </c>
      <c r="C109" s="901">
        <v>30.15</v>
      </c>
      <c r="D109" s="895">
        <v>16.079999542236326</v>
      </c>
      <c r="E109" s="1009">
        <v>13.660000419616695</v>
      </c>
      <c r="F109" s="891">
        <f t="shared" si="8"/>
        <v>1.0965337923205105</v>
      </c>
      <c r="G109" s="941">
        <f t="shared" si="11"/>
        <v>33.060493838463394</v>
      </c>
      <c r="I109" s="891">
        <f t="shared" si="9"/>
        <v>0.90346620767948926</v>
      </c>
      <c r="J109" s="944">
        <f t="shared" si="10"/>
        <v>27.2395061615366</v>
      </c>
      <c r="K109" s="943">
        <f t="shared" si="12"/>
        <v>17.632262878560471</v>
      </c>
      <c r="L109" s="944">
        <f t="shared" si="13"/>
        <v>14.527736205912177</v>
      </c>
      <c r="M109" s="1011">
        <f t="shared" si="14"/>
        <v>14.978652063222059</v>
      </c>
      <c r="O109" s="587"/>
      <c r="P109" s="1032"/>
      <c r="Q109" s="1052">
        <v>490617.98298439727</v>
      </c>
      <c r="R109" s="1052">
        <v>407174.67840028839</v>
      </c>
      <c r="S109" s="1052"/>
      <c r="T109" s="1051">
        <f>IF(Tables!$B$2=1,'NY Curve'!O109,IF(Tables!$B$2=2,P109,IF(Tables!$B$2=4,Q109,IF(Tables!$B$2=5,R109,IF(Tables!$B$2=3,S109,0)))))</f>
        <v>407174.67840028839</v>
      </c>
    </row>
    <row r="110" spans="1:20">
      <c r="A110" s="465">
        <v>40087</v>
      </c>
      <c r="B110" s="894">
        <v>22.866880671183264</v>
      </c>
      <c r="C110" s="901">
        <v>25.9</v>
      </c>
      <c r="D110" s="895">
        <v>20.950500106811518</v>
      </c>
      <c r="E110" s="1009">
        <v>20.950999832153315</v>
      </c>
      <c r="F110" s="891">
        <f t="shared" si="8"/>
        <v>1.0119875</v>
      </c>
      <c r="G110" s="941">
        <f t="shared" si="11"/>
        <v>26.210476249999999</v>
      </c>
      <c r="I110" s="891">
        <f t="shared" si="9"/>
        <v>0.98801249999999996</v>
      </c>
      <c r="J110" s="944">
        <f t="shared" si="10"/>
        <v>25.589523749999998</v>
      </c>
      <c r="K110" s="943">
        <f t="shared" si="12"/>
        <v>21.201644226841921</v>
      </c>
      <c r="L110" s="944">
        <f t="shared" si="13"/>
        <v>20.699355986781114</v>
      </c>
      <c r="M110" s="1011">
        <f t="shared" si="14"/>
        <v>21.202149942641253</v>
      </c>
      <c r="O110" s="587"/>
      <c r="P110" s="1032"/>
      <c r="Q110" s="1052">
        <v>197342.78635319797</v>
      </c>
      <c r="R110" s="1052">
        <v>157606.01683218038</v>
      </c>
      <c r="S110" s="1052"/>
      <c r="T110" s="1051">
        <f>IF(Tables!$B$2=1,'NY Curve'!O110,IF(Tables!$B$2=2,P110,IF(Tables!$B$2=4,Q110,IF(Tables!$B$2=5,R110,IF(Tables!$B$2=3,S110,0)))))</f>
        <v>157606.01683218038</v>
      </c>
    </row>
    <row r="111" spans="1:20">
      <c r="A111" s="465">
        <v>40118</v>
      </c>
      <c r="B111" s="894">
        <v>23.373940222603931</v>
      </c>
      <c r="C111" s="901">
        <v>26.4</v>
      </c>
      <c r="D111" s="895">
        <v>21.954751586914057</v>
      </c>
      <c r="E111" s="1009">
        <v>21.954499816894526</v>
      </c>
      <c r="F111" s="891">
        <f t="shared" si="8"/>
        <v>1.0158500000000001</v>
      </c>
      <c r="G111" s="941">
        <f t="shared" si="11"/>
        <v>26.818440000000002</v>
      </c>
      <c r="I111" s="891">
        <f t="shared" si="9"/>
        <v>0.98414999999999986</v>
      </c>
      <c r="J111" s="944">
        <f t="shared" si="10"/>
        <v>25.981559999999995</v>
      </c>
      <c r="K111" s="943">
        <f t="shared" si="12"/>
        <v>22.302734399566649</v>
      </c>
      <c r="L111" s="944">
        <f t="shared" si="13"/>
        <v>21.606768774261464</v>
      </c>
      <c r="M111" s="1011">
        <f t="shared" si="14"/>
        <v>22.302478638992309</v>
      </c>
      <c r="O111" s="587"/>
      <c r="P111" s="1032"/>
      <c r="Q111" s="1052">
        <v>194190.39198358729</v>
      </c>
      <c r="R111" s="1052">
        <v>138614.80429413629</v>
      </c>
      <c r="S111" s="1052"/>
      <c r="T111" s="1051">
        <f>IF(Tables!$B$2=1,'NY Curve'!O111,IF(Tables!$B$2=2,P111,IF(Tables!$B$2=4,Q111,IF(Tables!$B$2=5,R111,IF(Tables!$B$2=3,S111,0)))))</f>
        <v>138614.80429413629</v>
      </c>
    </row>
    <row r="112" spans="1:20">
      <c r="A112" s="465">
        <v>40148</v>
      </c>
      <c r="B112" s="894">
        <v>24.150713766188844</v>
      </c>
      <c r="C112" s="901">
        <v>26.9</v>
      </c>
      <c r="D112" s="895">
        <v>23.404998397827143</v>
      </c>
      <c r="E112" s="1009">
        <v>21.899999237060541</v>
      </c>
      <c r="F112" s="891">
        <f t="shared" si="8"/>
        <v>1.0153259918063107</v>
      </c>
      <c r="G112" s="941">
        <f t="shared" si="11"/>
        <v>27.312269179589755</v>
      </c>
      <c r="I112" s="891">
        <f t="shared" si="9"/>
        <v>0.98467400819368933</v>
      </c>
      <c r="J112" s="944">
        <f t="shared" si="10"/>
        <v>26.487730820410242</v>
      </c>
      <c r="K112" s="943">
        <f t="shared" si="12"/>
        <v>23.763703211498957</v>
      </c>
      <c r="L112" s="944">
        <f t="shared" si="13"/>
        <v>23.046293584155329</v>
      </c>
      <c r="M112" s="1011">
        <f t="shared" si="14"/>
        <v>22.23563844592594</v>
      </c>
      <c r="O112" s="587"/>
      <c r="P112" s="1032"/>
      <c r="Q112" s="1052">
        <v>184660.81211736251</v>
      </c>
      <c r="R112" s="1052">
        <v>133892.62259071783</v>
      </c>
      <c r="S112" s="1052"/>
      <c r="T112" s="1051">
        <f>IF(Tables!$B$2=1,'NY Curve'!O112,IF(Tables!$B$2=2,P112,IF(Tables!$B$2=4,Q112,IF(Tables!$B$2=5,R112,IF(Tables!$B$2=3,S112,0)))))</f>
        <v>133892.62259071783</v>
      </c>
    </row>
    <row r="113" spans="1:20">
      <c r="A113" s="465">
        <v>40179</v>
      </c>
      <c r="B113" s="894">
        <v>28.047797629946754</v>
      </c>
      <c r="C113" s="901">
        <v>32.450000000000003</v>
      </c>
      <c r="D113" s="895">
        <v>26.798748397827143</v>
      </c>
      <c r="E113" s="1009">
        <v>27.302500152587886</v>
      </c>
      <c r="F113" s="891">
        <f t="shared" si="8"/>
        <v>1.0080802540450913</v>
      </c>
      <c r="G113" s="941">
        <f t="shared" si="11"/>
        <v>32.712204243763217</v>
      </c>
      <c r="I113" s="891">
        <f t="shared" si="9"/>
        <v>0.99191974595490895</v>
      </c>
      <c r="J113" s="944">
        <f t="shared" si="10"/>
        <v>32.187795756236795</v>
      </c>
      <c r="K113" s="943">
        <f t="shared" si="12"/>
        <v>27.015289092972068</v>
      </c>
      <c r="L113" s="944">
        <f t="shared" si="13"/>
        <v>26.582207702682222</v>
      </c>
      <c r="M113" s="1011">
        <f t="shared" si="14"/>
        <v>27.523111289886938</v>
      </c>
      <c r="O113" s="587"/>
      <c r="P113" s="1032"/>
      <c r="Q113" s="1052">
        <v>347514.16875576304</v>
      </c>
      <c r="R113" s="1052">
        <v>274938.65510610165</v>
      </c>
      <c r="S113" s="1052"/>
      <c r="T113" s="1051">
        <f>IF(Tables!$B$2=1,'NY Curve'!O113,IF(Tables!$B$2=2,P113,IF(Tables!$B$2=4,Q113,IF(Tables!$B$2=5,R113,IF(Tables!$B$2=3,S113,0)))))</f>
        <v>274938.65510610165</v>
      </c>
    </row>
    <row r="114" spans="1:20">
      <c r="A114" s="465">
        <v>40210</v>
      </c>
      <c r="B114" s="894">
        <v>27.572916067214237</v>
      </c>
      <c r="C114" s="901">
        <v>32.450000000000003</v>
      </c>
      <c r="D114" s="895">
        <v>25.796250152587884</v>
      </c>
      <c r="E114" s="1009">
        <v>25.297499465942376</v>
      </c>
      <c r="F114" s="891">
        <f t="shared" si="8"/>
        <v>1.0080802540450913</v>
      </c>
      <c r="G114" s="941">
        <f t="shared" si="11"/>
        <v>32.712204243763217</v>
      </c>
      <c r="I114" s="891">
        <f t="shared" si="9"/>
        <v>0.99191974595490906</v>
      </c>
      <c r="J114" s="944">
        <f t="shared" si="10"/>
        <v>32.187795756236802</v>
      </c>
      <c r="K114" s="943">
        <f t="shared" si="12"/>
        <v>26.004690407231518</v>
      </c>
      <c r="L114" s="944">
        <f t="shared" si="13"/>
        <v>25.587809897944258</v>
      </c>
      <c r="M114" s="1011">
        <f t="shared" si="14"/>
        <v>25.501909688332752</v>
      </c>
      <c r="O114" s="587"/>
      <c r="P114" s="1032"/>
      <c r="Q114" s="1052">
        <v>331180.51125500479</v>
      </c>
      <c r="R114" s="1052">
        <v>273118.35033312446</v>
      </c>
      <c r="S114" s="1052"/>
      <c r="T114" s="1051">
        <f>IF(Tables!$B$2=1,'NY Curve'!O114,IF(Tables!$B$2=2,P114,IF(Tables!$B$2=4,Q114,IF(Tables!$B$2=5,R114,IF(Tables!$B$2=3,S114,0)))))</f>
        <v>273118.35033312446</v>
      </c>
    </row>
    <row r="115" spans="1:20">
      <c r="A115" s="465">
        <v>40238</v>
      </c>
      <c r="B115" s="894">
        <v>23.311797314598444</v>
      </c>
      <c r="C115" s="901">
        <v>27.45</v>
      </c>
      <c r="D115" s="895">
        <v>18.984749603271478</v>
      </c>
      <c r="E115" s="1009">
        <v>20.614498901367181</v>
      </c>
      <c r="F115" s="891">
        <f t="shared" si="8"/>
        <v>1.0080875</v>
      </c>
      <c r="G115" s="941">
        <f t="shared" si="11"/>
        <v>27.672001874999999</v>
      </c>
      <c r="I115" s="891">
        <f t="shared" si="9"/>
        <v>0.99191250000000009</v>
      </c>
      <c r="J115" s="944">
        <f t="shared" si="10"/>
        <v>27.227998125000003</v>
      </c>
      <c r="K115" s="943">
        <f t="shared" si="12"/>
        <v>19.138288765687935</v>
      </c>
      <c r="L115" s="944">
        <f t="shared" si="13"/>
        <v>18.83121044085502</v>
      </c>
      <c r="M115" s="1011">
        <f t="shared" si="14"/>
        <v>20.781218661231989</v>
      </c>
      <c r="O115" s="587"/>
      <c r="P115" s="1032"/>
      <c r="Q115" s="1052">
        <v>196369.76857377158</v>
      </c>
      <c r="R115" s="1052">
        <v>181687.42165196151</v>
      </c>
      <c r="S115" s="1052"/>
      <c r="T115" s="1051">
        <f>IF(Tables!$B$2=1,'NY Curve'!O115,IF(Tables!$B$2=2,P115,IF(Tables!$B$2=4,Q115,IF(Tables!$B$2=5,R115,IF(Tables!$B$2=3,S115,0)))))</f>
        <v>181687.42165196151</v>
      </c>
    </row>
    <row r="116" spans="1:20">
      <c r="A116" s="465">
        <v>40269</v>
      </c>
      <c r="B116" s="894">
        <v>22.781308891659688</v>
      </c>
      <c r="C116" s="901">
        <v>26.2</v>
      </c>
      <c r="D116" s="895">
        <v>19.667500305175775</v>
      </c>
      <c r="E116" s="1009">
        <v>20.38499908447265</v>
      </c>
      <c r="F116" s="891">
        <f t="shared" si="8"/>
        <v>1.07269528338234</v>
      </c>
      <c r="G116" s="941">
        <f t="shared" si="11"/>
        <v>28.104616424617308</v>
      </c>
      <c r="I116" s="891">
        <f t="shared" si="9"/>
        <v>0.92730471661766001</v>
      </c>
      <c r="J116" s="944">
        <f t="shared" si="10"/>
        <v>24.29538357538269</v>
      </c>
      <c r="K116" s="943">
        <f t="shared" si="12"/>
        <v>21.097234813282785</v>
      </c>
      <c r="L116" s="944">
        <f t="shared" si="13"/>
        <v>18.237765797068764</v>
      </c>
      <c r="M116" s="1011">
        <f t="shared" si="14"/>
        <v>21.866892369667131</v>
      </c>
      <c r="O116" s="587"/>
      <c r="P116" s="1032"/>
      <c r="Q116" s="1052">
        <v>203815.56505285288</v>
      </c>
      <c r="R116" s="1052">
        <v>198203.06484231565</v>
      </c>
      <c r="S116" s="1052"/>
      <c r="T116" s="1051">
        <f>IF(Tables!$B$2=1,'NY Curve'!O116,IF(Tables!$B$2=2,P116,IF(Tables!$B$2=4,Q116,IF(Tables!$B$2=5,R116,IF(Tables!$B$2=3,S116,0)))))</f>
        <v>198203.06484231565</v>
      </c>
    </row>
    <row r="117" spans="1:20">
      <c r="A117" s="465">
        <v>40299</v>
      </c>
      <c r="B117" s="894">
        <v>24.992499433244976</v>
      </c>
      <c r="C117" s="901">
        <v>30.65</v>
      </c>
      <c r="D117" s="895">
        <v>19.782500076293939</v>
      </c>
      <c r="E117" s="1009">
        <v>20.914999771118158</v>
      </c>
      <c r="F117" s="891">
        <f t="shared" si="8"/>
        <v>1.058490237990529</v>
      </c>
      <c r="G117" s="941">
        <f t="shared" si="11"/>
        <v>32.442725794409711</v>
      </c>
      <c r="I117" s="891">
        <f t="shared" si="9"/>
        <v>0.94150976200947101</v>
      </c>
      <c r="J117" s="944">
        <f t="shared" si="10"/>
        <v>28.857274205590286</v>
      </c>
      <c r="K117" s="943">
        <f t="shared" si="12"/>
        <v>20.939583213804028</v>
      </c>
      <c r="L117" s="944">
        <f t="shared" si="13"/>
        <v>18.62541693878385</v>
      </c>
      <c r="M117" s="1011">
        <f t="shared" si="14"/>
        <v>22.138323085302719</v>
      </c>
      <c r="O117" s="587"/>
      <c r="P117" s="1032"/>
      <c r="Q117" s="1052">
        <v>404544.38812803093</v>
      </c>
      <c r="R117" s="1052">
        <v>335788.13248705509</v>
      </c>
      <c r="S117" s="1052"/>
      <c r="T117" s="1051">
        <f>IF(Tables!$B$2=1,'NY Curve'!O117,IF(Tables!$B$2=2,P117,IF(Tables!$B$2=4,Q117,IF(Tables!$B$2=5,R117,IF(Tables!$B$2=3,S117,0)))))</f>
        <v>335788.13248705509</v>
      </c>
    </row>
    <row r="118" spans="1:20">
      <c r="A118" s="465">
        <v>40330</v>
      </c>
      <c r="B118" s="894">
        <v>35.248987760997956</v>
      </c>
      <c r="C118" s="901">
        <v>51.25</v>
      </c>
      <c r="D118" s="895">
        <v>24.208750152587886</v>
      </c>
      <c r="E118" s="1009">
        <v>19.692499542236323</v>
      </c>
      <c r="F118" s="891">
        <f t="shared" si="8"/>
        <v>1.1693830474353057</v>
      </c>
      <c r="G118" s="941">
        <f t="shared" si="11"/>
        <v>59.930881181059419</v>
      </c>
      <c r="I118" s="891">
        <f t="shared" si="9"/>
        <v>0.83061695843935013</v>
      </c>
      <c r="J118" s="944">
        <f t="shared" si="10"/>
        <v>42.569119120016694</v>
      </c>
      <c r="K118" s="943">
        <f t="shared" si="12"/>
        <v>28.309302028033144</v>
      </c>
      <c r="L118" s="944">
        <f t="shared" si="13"/>
        <v>20.108198419360704</v>
      </c>
      <c r="M118" s="1011">
        <f t="shared" si="14"/>
        <v>23.028075126318676</v>
      </c>
      <c r="O118" s="587"/>
      <c r="P118" s="1032"/>
      <c r="Q118" s="1052">
        <v>1299522.8128335781</v>
      </c>
      <c r="R118" s="1052">
        <v>1168509.5046680593</v>
      </c>
      <c r="S118" s="1052"/>
      <c r="T118" s="1051">
        <f>IF(Tables!$B$2=1,'NY Curve'!O118,IF(Tables!$B$2=2,P118,IF(Tables!$B$2=4,Q118,IF(Tables!$B$2=5,R118,IF(Tables!$B$2=3,S118,0)))))</f>
        <v>1168509.5046680593</v>
      </c>
    </row>
    <row r="119" spans="1:20">
      <c r="A119" s="465">
        <v>40360</v>
      </c>
      <c r="B119" s="894">
        <v>51.186963599068783</v>
      </c>
      <c r="C119" s="901">
        <v>78</v>
      </c>
      <c r="D119" s="895">
        <v>37.411249542236348</v>
      </c>
      <c r="E119" s="1009">
        <v>28.897499465942378</v>
      </c>
      <c r="F119" s="891">
        <f t="shared" si="8"/>
        <v>1.2214070997107602</v>
      </c>
      <c r="G119" s="941">
        <f t="shared" si="11"/>
        <v>95.269753777439291</v>
      </c>
      <c r="I119" s="891">
        <f t="shared" si="9"/>
        <v>0.77859290689229965</v>
      </c>
      <c r="J119" s="944">
        <f t="shared" si="10"/>
        <v>60.730246737599373</v>
      </c>
      <c r="K119" s="943">
        <f t="shared" si="12"/>
        <v>45.694365799938403</v>
      </c>
      <c r="L119" s="944">
        <f t="shared" si="13"/>
        <v>29.128133531563012</v>
      </c>
      <c r="M119" s="1011">
        <f t="shared" si="14"/>
        <v>35.295611011589919</v>
      </c>
      <c r="O119" s="587"/>
      <c r="P119" s="1032"/>
      <c r="Q119" s="1052">
        <v>3136213.5912843854</v>
      </c>
      <c r="R119" s="1052">
        <v>2793700.8353039455</v>
      </c>
      <c r="S119" s="1052"/>
      <c r="T119" s="1051">
        <f>IF(Tables!$B$2=1,'NY Curve'!O119,IF(Tables!$B$2=2,P119,IF(Tables!$B$2=4,Q119,IF(Tables!$B$2=5,R119,IF(Tables!$B$2=3,S119,0)))))</f>
        <v>2793700.8353039455</v>
      </c>
    </row>
    <row r="120" spans="1:20">
      <c r="A120" s="465">
        <v>40391</v>
      </c>
      <c r="B120" s="894">
        <v>48.235832868303575</v>
      </c>
      <c r="C120" s="901">
        <v>70.5</v>
      </c>
      <c r="D120" s="895">
        <v>39.672499084472676</v>
      </c>
      <c r="E120" s="1009">
        <v>30.395000839233393</v>
      </c>
      <c r="F120" s="891">
        <f t="shared" si="8"/>
        <v>1.1576814286317387</v>
      </c>
      <c r="G120" s="941">
        <f t="shared" si="11"/>
        <v>81.616540718537578</v>
      </c>
      <c r="I120" s="891">
        <f t="shared" si="9"/>
        <v>0.84209904074668884</v>
      </c>
      <c r="J120" s="944">
        <f t="shared" si="10"/>
        <v>59.367982372641563</v>
      </c>
      <c r="K120" s="943">
        <f t="shared" si="12"/>
        <v>45.928115417503676</v>
      </c>
      <c r="L120" s="944">
        <f t="shared" si="13"/>
        <v>33.408173423058329</v>
      </c>
      <c r="M120" s="1011">
        <f t="shared" si="14"/>
        <v>35.187727994826609</v>
      </c>
      <c r="O120" s="587"/>
      <c r="P120" s="1032"/>
      <c r="Q120" s="1052">
        <v>3182916.6557806302</v>
      </c>
      <c r="R120" s="1052">
        <v>2832598.6722017294</v>
      </c>
      <c r="S120" s="1052"/>
      <c r="T120" s="1051">
        <f>IF(Tables!$B$2=1,'NY Curve'!O120,IF(Tables!$B$2=2,P120,IF(Tables!$B$2=4,Q120,IF(Tables!$B$2=5,R120,IF(Tables!$B$2=3,S120,0)))))</f>
        <v>2832598.6722017294</v>
      </c>
    </row>
    <row r="121" spans="1:20">
      <c r="A121" s="465">
        <v>40422</v>
      </c>
      <c r="B121" s="894">
        <v>23.472380492800756</v>
      </c>
      <c r="C121" s="901">
        <v>30.45</v>
      </c>
      <c r="D121" s="895">
        <v>16.279999542236325</v>
      </c>
      <c r="E121" s="1009">
        <v>13.860000419616695</v>
      </c>
      <c r="F121" s="891">
        <f t="shared" si="8"/>
        <v>1.0965337923205105</v>
      </c>
      <c r="G121" s="941">
        <f t="shared" si="11"/>
        <v>33.389453976159544</v>
      </c>
      <c r="I121" s="891">
        <f t="shared" si="9"/>
        <v>0.90346620767948926</v>
      </c>
      <c r="J121" s="944">
        <f t="shared" si="10"/>
        <v>27.510546023840448</v>
      </c>
      <c r="K121" s="943">
        <f t="shared" si="12"/>
        <v>17.851569637024571</v>
      </c>
      <c r="L121" s="944">
        <f t="shared" si="13"/>
        <v>14.708429447448074</v>
      </c>
      <c r="M121" s="1011">
        <f t="shared" si="14"/>
        <v>15.197958821686161</v>
      </c>
      <c r="O121" s="587"/>
      <c r="P121" s="1032"/>
      <c r="Q121" s="1052">
        <v>476530.24153414817</v>
      </c>
      <c r="R121" s="1052">
        <v>395237.57881147292</v>
      </c>
      <c r="S121" s="1052"/>
      <c r="T121" s="1051">
        <f>IF(Tables!$B$2=1,'NY Curve'!O121,IF(Tables!$B$2=2,P121,IF(Tables!$B$2=4,Q121,IF(Tables!$B$2=5,R121,IF(Tables!$B$2=3,S121,0)))))</f>
        <v>395237.57881147292</v>
      </c>
    </row>
    <row r="122" spans="1:20">
      <c r="A122" s="465">
        <v>40452</v>
      </c>
      <c r="B122" s="894">
        <v>23.114499718802314</v>
      </c>
      <c r="C122" s="901">
        <v>26.2</v>
      </c>
      <c r="D122" s="895">
        <v>21.150500106811517</v>
      </c>
      <c r="E122" s="1009">
        <v>21.150999832153314</v>
      </c>
      <c r="F122" s="891">
        <f t="shared" si="8"/>
        <v>1.0119875</v>
      </c>
      <c r="G122" s="941">
        <f t="shared" si="11"/>
        <v>26.514072500000001</v>
      </c>
      <c r="I122" s="891">
        <f t="shared" si="9"/>
        <v>0.98801249999999996</v>
      </c>
      <c r="J122" s="944">
        <f t="shared" si="10"/>
        <v>25.885927499999998</v>
      </c>
      <c r="K122" s="943">
        <f t="shared" si="12"/>
        <v>21.404041726841921</v>
      </c>
      <c r="L122" s="944">
        <f t="shared" si="13"/>
        <v>20.896958486781113</v>
      </c>
      <c r="M122" s="1011">
        <f t="shared" si="14"/>
        <v>21.404547442641253</v>
      </c>
      <c r="O122" s="587"/>
      <c r="P122" s="1032"/>
      <c r="Q122" s="1052">
        <v>179520.94357977118</v>
      </c>
      <c r="R122" s="1052">
        <v>143205.14246918933</v>
      </c>
      <c r="S122" s="1052"/>
      <c r="T122" s="1051">
        <f>IF(Tables!$B$2=1,'NY Curve'!O122,IF(Tables!$B$2=2,P122,IF(Tables!$B$2=4,Q122,IF(Tables!$B$2=5,R122,IF(Tables!$B$2=3,S122,0)))))</f>
        <v>143205.14246918933</v>
      </c>
    </row>
    <row r="123" spans="1:20">
      <c r="A123" s="465">
        <v>40483</v>
      </c>
      <c r="B123" s="894">
        <v>23.621559270222981</v>
      </c>
      <c r="C123" s="901">
        <v>26.7</v>
      </c>
      <c r="D123" s="895">
        <v>22.154751586914056</v>
      </c>
      <c r="E123" s="1009">
        <v>22.154499816894525</v>
      </c>
      <c r="F123" s="891">
        <f t="shared" si="8"/>
        <v>1.0158500000000001</v>
      </c>
      <c r="G123" s="941">
        <f t="shared" si="11"/>
        <v>27.123195000000003</v>
      </c>
      <c r="I123" s="891">
        <f t="shared" si="9"/>
        <v>0.98414999999999986</v>
      </c>
      <c r="J123" s="944">
        <f t="shared" si="10"/>
        <v>26.276804999999996</v>
      </c>
      <c r="K123" s="943">
        <f t="shared" si="12"/>
        <v>22.505904399566646</v>
      </c>
      <c r="L123" s="944">
        <f t="shared" si="13"/>
        <v>21.803598774261467</v>
      </c>
      <c r="M123" s="1011">
        <f t="shared" si="14"/>
        <v>22.505648638992305</v>
      </c>
      <c r="O123" s="587"/>
      <c r="P123" s="1032"/>
      <c r="Q123" s="1052">
        <v>194514.10504409065</v>
      </c>
      <c r="R123" s="1052">
        <v>138880.78356437944</v>
      </c>
      <c r="S123" s="1052"/>
      <c r="T123" s="1051">
        <f>IF(Tables!$B$2=1,'NY Curve'!O123,IF(Tables!$B$2=2,P123,IF(Tables!$B$2=4,Q123,IF(Tables!$B$2=5,R123,IF(Tables!$B$2=3,S123,0)))))</f>
        <v>138880.78356437944</v>
      </c>
    </row>
    <row r="124" spans="1:20">
      <c r="A124" s="465">
        <v>40513</v>
      </c>
      <c r="B124" s="894">
        <v>24.398332813807894</v>
      </c>
      <c r="C124" s="901">
        <v>27.2</v>
      </c>
      <c r="D124" s="895">
        <v>23.604998397827142</v>
      </c>
      <c r="E124" s="1009">
        <v>22.09999923706054</v>
      </c>
      <c r="F124" s="891">
        <f t="shared" si="8"/>
        <v>1.0153259918063107</v>
      </c>
      <c r="G124" s="941">
        <f t="shared" si="11"/>
        <v>27.61686697713165</v>
      </c>
      <c r="I124" s="891">
        <f t="shared" si="9"/>
        <v>0.98467400819368933</v>
      </c>
      <c r="J124" s="944">
        <f t="shared" si="10"/>
        <v>26.783133022868348</v>
      </c>
      <c r="K124" s="943">
        <f t="shared" si="12"/>
        <v>23.966768409860219</v>
      </c>
      <c r="L124" s="944">
        <f t="shared" si="13"/>
        <v>23.243228385794065</v>
      </c>
      <c r="M124" s="1011">
        <f t="shared" si="14"/>
        <v>22.438703644287202</v>
      </c>
      <c r="O124" s="587"/>
      <c r="P124" s="1032"/>
      <c r="Q124" s="1052">
        <v>183859.43007361062</v>
      </c>
      <c r="R124" s="1052">
        <v>130843.42238173398</v>
      </c>
      <c r="S124" s="1052"/>
      <c r="T124" s="1051">
        <f>IF(Tables!$B$2=1,'NY Curve'!O124,IF(Tables!$B$2=2,P124,IF(Tables!$B$2=4,Q124,IF(Tables!$B$2=5,R124,IF(Tables!$B$2=3,S124,0)))))</f>
        <v>130843.42238173398</v>
      </c>
    </row>
    <row r="125" spans="1:20">
      <c r="A125" s="465">
        <v>40544</v>
      </c>
      <c r="B125" s="894">
        <v>28.295416677565797</v>
      </c>
      <c r="C125" s="901">
        <v>32.75</v>
      </c>
      <c r="D125" s="895">
        <v>26.998748397827143</v>
      </c>
      <c r="E125" s="1009">
        <v>27.502500152587885</v>
      </c>
      <c r="F125" s="891">
        <f t="shared" si="8"/>
        <v>1.0080802540450913</v>
      </c>
      <c r="G125" s="941">
        <f t="shared" si="11"/>
        <v>33.014628319976737</v>
      </c>
      <c r="I125" s="891">
        <f t="shared" si="9"/>
        <v>0.99191974595490895</v>
      </c>
      <c r="J125" s="944">
        <f t="shared" si="10"/>
        <v>32.48537168002327</v>
      </c>
      <c r="K125" s="943">
        <f t="shared" si="12"/>
        <v>27.216905143781087</v>
      </c>
      <c r="L125" s="944">
        <f t="shared" si="13"/>
        <v>26.780591651873205</v>
      </c>
      <c r="M125" s="1011">
        <f t="shared" si="14"/>
        <v>27.724727340695956</v>
      </c>
      <c r="O125" s="587"/>
      <c r="P125" s="1032"/>
      <c r="Q125" s="1052">
        <v>348740.04173685395</v>
      </c>
      <c r="R125" s="1052">
        <v>269536.34578011464</v>
      </c>
      <c r="S125" s="1052"/>
      <c r="T125" s="1051">
        <f>IF(Tables!$B$2=1,'NY Curve'!O125,IF(Tables!$B$2=2,P125,IF(Tables!$B$2=4,Q125,IF(Tables!$B$2=5,R125,IF(Tables!$B$2=3,S125,0)))))</f>
        <v>269536.34578011464</v>
      </c>
    </row>
    <row r="126" spans="1:20">
      <c r="A126" s="465">
        <v>40575</v>
      </c>
      <c r="B126" s="894">
        <v>27.820535114833287</v>
      </c>
      <c r="C126" s="901">
        <v>32.75</v>
      </c>
      <c r="D126" s="895">
        <v>25.996250152587884</v>
      </c>
      <c r="E126" s="1009">
        <v>25.497499465942376</v>
      </c>
      <c r="F126" s="891">
        <f t="shared" si="8"/>
        <v>1.0080802540450913</v>
      </c>
      <c r="G126" s="941">
        <f t="shared" si="11"/>
        <v>33.014628319976737</v>
      </c>
      <c r="I126" s="891">
        <f t="shared" si="9"/>
        <v>0.99191974595490906</v>
      </c>
      <c r="J126" s="944">
        <f t="shared" si="10"/>
        <v>32.48537168002327</v>
      </c>
      <c r="K126" s="943">
        <f t="shared" si="12"/>
        <v>26.206306458040537</v>
      </c>
      <c r="L126" s="944">
        <f t="shared" si="13"/>
        <v>25.786193847135241</v>
      </c>
      <c r="M126" s="1011">
        <f t="shared" si="14"/>
        <v>25.703525739141771</v>
      </c>
      <c r="O126" s="587"/>
      <c r="P126" s="1032"/>
      <c r="Q126" s="1052">
        <v>315652.59626315924</v>
      </c>
      <c r="R126" s="1052">
        <v>259386.3242150172</v>
      </c>
      <c r="S126" s="1052"/>
      <c r="T126" s="1051">
        <f>IF(Tables!$B$2=1,'NY Curve'!O126,IF(Tables!$B$2=2,P126,IF(Tables!$B$2=4,Q126,IF(Tables!$B$2=5,R126,IF(Tables!$B$2=3,S126,0)))))</f>
        <v>259386.3242150172</v>
      </c>
    </row>
    <row r="127" spans="1:20">
      <c r="A127" s="465">
        <v>40603</v>
      </c>
      <c r="B127" s="894">
        <v>23.559416362217494</v>
      </c>
      <c r="C127" s="901">
        <v>27.75</v>
      </c>
      <c r="D127" s="895">
        <v>19.184749603271477</v>
      </c>
      <c r="E127" s="1009">
        <v>20.81449890136718</v>
      </c>
      <c r="F127" s="891">
        <f t="shared" si="8"/>
        <v>1.0080875</v>
      </c>
      <c r="G127" s="941">
        <f t="shared" si="11"/>
        <v>27.974428124999999</v>
      </c>
      <c r="I127" s="891">
        <f t="shared" si="9"/>
        <v>0.99191250000000009</v>
      </c>
      <c r="J127" s="944">
        <f t="shared" si="10"/>
        <v>27.525571875000001</v>
      </c>
      <c r="K127" s="943">
        <f t="shared" si="12"/>
        <v>19.339906265687937</v>
      </c>
      <c r="L127" s="944">
        <f t="shared" si="13"/>
        <v>19.029592940855022</v>
      </c>
      <c r="M127" s="1011">
        <f t="shared" si="14"/>
        <v>20.982836161231987</v>
      </c>
      <c r="O127" s="587"/>
      <c r="P127" s="1032"/>
      <c r="Q127" s="1052">
        <v>183317.05753322286</v>
      </c>
      <c r="R127" s="1052">
        <v>169139.5663074019</v>
      </c>
      <c r="S127" s="1052"/>
      <c r="T127" s="1051">
        <f>IF(Tables!$B$2=1,'NY Curve'!O127,IF(Tables!$B$2=2,P127,IF(Tables!$B$2=4,Q127,IF(Tables!$B$2=5,R127,IF(Tables!$B$2=3,S127,0)))))</f>
        <v>169139.5663074019</v>
      </c>
    </row>
    <row r="128" spans="1:20">
      <c r="A128" s="465">
        <v>40634</v>
      </c>
      <c r="B128" s="894">
        <v>23.028927939278738</v>
      </c>
      <c r="C128" s="901">
        <v>26.5</v>
      </c>
      <c r="D128" s="895">
        <v>19.867500305175774</v>
      </c>
      <c r="E128" s="1009">
        <v>20.584999084472649</v>
      </c>
      <c r="F128" s="891">
        <f t="shared" si="8"/>
        <v>1.07269528338234</v>
      </c>
      <c r="G128" s="941">
        <f t="shared" si="11"/>
        <v>28.426425009632009</v>
      </c>
      <c r="I128" s="891">
        <f t="shared" si="9"/>
        <v>0.92730471661766001</v>
      </c>
      <c r="J128" s="944">
        <f t="shared" si="10"/>
        <v>24.573574990367991</v>
      </c>
      <c r="K128" s="943">
        <f t="shared" si="12"/>
        <v>21.311773869959254</v>
      </c>
      <c r="L128" s="944">
        <f t="shared" si="13"/>
        <v>18.423226740392295</v>
      </c>
      <c r="M128" s="1011">
        <f t="shared" si="14"/>
        <v>22.081431426343599</v>
      </c>
      <c r="O128" s="587"/>
      <c r="P128" s="1032"/>
      <c r="Q128" s="1052">
        <v>181082.02192514637</v>
      </c>
      <c r="R128" s="1052">
        <v>175988.40678162433</v>
      </c>
      <c r="S128" s="1052"/>
      <c r="T128" s="1051">
        <f>IF(Tables!$B$2=1,'NY Curve'!O128,IF(Tables!$B$2=2,P128,IF(Tables!$B$2=4,Q128,IF(Tables!$B$2=5,R128,IF(Tables!$B$2=3,S128,0)))))</f>
        <v>175988.40678162433</v>
      </c>
    </row>
    <row r="129" spans="1:20">
      <c r="A129" s="465">
        <v>40664</v>
      </c>
      <c r="B129" s="894">
        <v>25.335356576102122</v>
      </c>
      <c r="C129" s="901">
        <v>31.15</v>
      </c>
      <c r="D129" s="895">
        <v>19.982500076293938</v>
      </c>
      <c r="E129" s="1009">
        <v>21.114999771118157</v>
      </c>
      <c r="F129" s="891">
        <f t="shared" si="8"/>
        <v>1.058490237990529</v>
      </c>
      <c r="G129" s="941">
        <f t="shared" si="11"/>
        <v>32.971970913404974</v>
      </c>
      <c r="I129" s="891">
        <f t="shared" si="9"/>
        <v>0.94150976200947101</v>
      </c>
      <c r="J129" s="944">
        <f t="shared" si="10"/>
        <v>29.32802908659502</v>
      </c>
      <c r="K129" s="943">
        <f t="shared" si="12"/>
        <v>21.151281261402133</v>
      </c>
      <c r="L129" s="944">
        <f t="shared" si="13"/>
        <v>18.813718891185744</v>
      </c>
      <c r="M129" s="1011">
        <f t="shared" si="14"/>
        <v>22.350021132900824</v>
      </c>
      <c r="O129" s="587"/>
      <c r="P129" s="1032"/>
      <c r="Q129" s="1052">
        <v>410106.08889148693</v>
      </c>
      <c r="R129" s="1052">
        <v>339680.47183319245</v>
      </c>
      <c r="S129" s="1052"/>
      <c r="T129" s="1051">
        <f>IF(Tables!$B$2=1,'NY Curve'!O129,IF(Tables!$B$2=2,P129,IF(Tables!$B$2=4,Q129,IF(Tables!$B$2=5,R129,IF(Tables!$B$2=3,S129,0)))))</f>
        <v>339680.47183319245</v>
      </c>
    </row>
    <row r="130" spans="1:20">
      <c r="A130" s="465">
        <v>40695</v>
      </c>
      <c r="B130" s="894">
        <v>35.829940141950331</v>
      </c>
      <c r="C130" s="901">
        <v>52.25</v>
      </c>
      <c r="D130" s="895">
        <v>24.408750152587885</v>
      </c>
      <c r="E130" s="1009">
        <v>19.892499542236322</v>
      </c>
      <c r="F130" s="891">
        <f t="shared" ref="F130:F193" si="15">VLOOKUP(MONTH(A130),ScalarTable,2,0)</f>
        <v>1.1693830474353057</v>
      </c>
      <c r="G130" s="941">
        <f t="shared" si="11"/>
        <v>61.100264228494723</v>
      </c>
      <c r="I130" s="891">
        <f t="shared" si="9"/>
        <v>0.83061695843935013</v>
      </c>
      <c r="J130" s="944">
        <f t="shared" si="10"/>
        <v>43.399736078456044</v>
      </c>
      <c r="K130" s="943">
        <f t="shared" si="12"/>
        <v>28.543178637520207</v>
      </c>
      <c r="L130" s="944">
        <f t="shared" si="13"/>
        <v>20.274321811048573</v>
      </c>
      <c r="M130" s="1011">
        <f t="shared" si="14"/>
        <v>23.261951735805734</v>
      </c>
      <c r="O130" s="587"/>
      <c r="P130" s="1032"/>
      <c r="Q130" s="1052">
        <v>1300530.019374348</v>
      </c>
      <c r="R130" s="1052">
        <v>1170453.7571972064</v>
      </c>
      <c r="S130" s="1052"/>
      <c r="T130" s="1051">
        <f>IF(Tables!$B$2=1,'NY Curve'!O130,IF(Tables!$B$2=2,P130,IF(Tables!$B$2=4,Q130,IF(Tables!$B$2=5,R130,IF(Tables!$B$2=3,S130,0)))))</f>
        <v>1170453.7571972064</v>
      </c>
    </row>
    <row r="131" spans="1:20">
      <c r="A131" s="465">
        <v>40725</v>
      </c>
      <c r="B131" s="894">
        <v>52.24410645621164</v>
      </c>
      <c r="C131" s="901">
        <v>80</v>
      </c>
      <c r="D131" s="895">
        <v>37.611249542236351</v>
      </c>
      <c r="E131" s="1009">
        <v>29.097499465942377</v>
      </c>
      <c r="F131" s="891">
        <f t="shared" si="15"/>
        <v>1.2214070997107602</v>
      </c>
      <c r="G131" s="941">
        <f t="shared" si="11"/>
        <v>97.712567976860811</v>
      </c>
      <c r="I131" s="891">
        <f t="shared" si="9"/>
        <v>0.77859290689229965</v>
      </c>
      <c r="J131" s="944">
        <f t="shared" si="10"/>
        <v>62.287432551383972</v>
      </c>
      <c r="K131" s="943">
        <f t="shared" si="12"/>
        <v>45.938647219880558</v>
      </c>
      <c r="L131" s="944">
        <f t="shared" si="13"/>
        <v>29.283852112941474</v>
      </c>
      <c r="M131" s="1011">
        <f t="shared" si="14"/>
        <v>35.539892431532074</v>
      </c>
      <c r="O131" s="587"/>
      <c r="P131" s="1032"/>
      <c r="Q131" s="1052">
        <v>3057206.6955853966</v>
      </c>
      <c r="R131" s="1052">
        <v>2720887.5007258942</v>
      </c>
      <c r="S131" s="1052"/>
      <c r="T131" s="1051">
        <f>IF(Tables!$B$2=1,'NY Curve'!O131,IF(Tables!$B$2=2,P131,IF(Tables!$B$2=4,Q131,IF(Tables!$B$2=5,R131,IF(Tables!$B$2=3,S131,0)))))</f>
        <v>2720887.5007258942</v>
      </c>
    </row>
    <row r="132" spans="1:20">
      <c r="A132" s="465">
        <v>40756</v>
      </c>
      <c r="B132" s="894">
        <v>49.292975725446432</v>
      </c>
      <c r="C132" s="901">
        <v>72.5</v>
      </c>
      <c r="D132" s="895">
        <v>39.872499084472679</v>
      </c>
      <c r="E132" s="1009">
        <v>30.595000839233393</v>
      </c>
      <c r="F132" s="891">
        <f t="shared" si="15"/>
        <v>1.1576814286317387</v>
      </c>
      <c r="G132" s="941">
        <f t="shared" si="11"/>
        <v>83.931903575801059</v>
      </c>
      <c r="I132" s="891">
        <f t="shared" ref="I132:I195" si="16">VLOOKUP(MONTH(A132),ScalarTable,3,0)</f>
        <v>0.84209904074668884</v>
      </c>
      <c r="J132" s="944">
        <f t="shared" ref="J132:J195" si="17">C132*I132</f>
        <v>61.052180454134941</v>
      </c>
      <c r="K132" s="943">
        <f t="shared" si="12"/>
        <v>46.159651703230026</v>
      </c>
      <c r="L132" s="944">
        <f t="shared" si="13"/>
        <v>33.576593231207674</v>
      </c>
      <c r="M132" s="1011">
        <f t="shared" si="14"/>
        <v>35.419264280552959</v>
      </c>
      <c r="O132" s="587"/>
      <c r="P132" s="1032"/>
      <c r="Q132" s="1052">
        <v>3257475.9310237304</v>
      </c>
      <c r="R132" s="1052">
        <v>2903325.0057310266</v>
      </c>
      <c r="S132" s="1052"/>
      <c r="T132" s="1051">
        <f>IF(Tables!$B$2=1,'NY Curve'!O132,IF(Tables!$B$2=2,P132,IF(Tables!$B$2=4,Q132,IF(Tables!$B$2=5,R132,IF(Tables!$B$2=3,S132,0)))))</f>
        <v>2903325.0057310266</v>
      </c>
    </row>
    <row r="133" spans="1:20">
      <c r="A133" s="465">
        <v>40787</v>
      </c>
      <c r="B133" s="894">
        <v>23.719999540419806</v>
      </c>
      <c r="C133" s="901">
        <v>30.75</v>
      </c>
      <c r="D133" s="895">
        <v>16.479999542236325</v>
      </c>
      <c r="E133" s="1009">
        <v>14.060000419616694</v>
      </c>
      <c r="F133" s="891">
        <f t="shared" si="15"/>
        <v>1.0965337923205105</v>
      </c>
      <c r="G133" s="941">
        <f t="shared" ref="G133:G196" si="18">+F133*C133</f>
        <v>33.718414113855701</v>
      </c>
      <c r="I133" s="891">
        <f t="shared" si="16"/>
        <v>0.90346620767948926</v>
      </c>
      <c r="J133" s="944">
        <f t="shared" si="17"/>
        <v>27.781585886144295</v>
      </c>
      <c r="K133" s="943">
        <f t="shared" si="12"/>
        <v>18.070876395488675</v>
      </c>
      <c r="L133" s="944">
        <f t="shared" si="13"/>
        <v>14.889122688983971</v>
      </c>
      <c r="M133" s="1011">
        <f t="shared" si="14"/>
        <v>15.417265580150262</v>
      </c>
      <c r="O133" s="587"/>
      <c r="P133" s="1032"/>
      <c r="Q133" s="1052">
        <v>453960.96093124547</v>
      </c>
      <c r="R133" s="1052">
        <v>375889.94447899831</v>
      </c>
      <c r="S133" s="1052"/>
      <c r="T133" s="1051">
        <f>IF(Tables!$B$2=1,'NY Curve'!O133,IF(Tables!$B$2=2,P133,IF(Tables!$B$2=4,Q133,IF(Tables!$B$2=5,R133,IF(Tables!$B$2=3,S133,0)))))</f>
        <v>375889.94447899831</v>
      </c>
    </row>
    <row r="134" spans="1:20">
      <c r="A134" s="465">
        <v>40817</v>
      </c>
      <c r="B134" s="894">
        <v>23.362118766421364</v>
      </c>
      <c r="C134" s="901">
        <v>26.5</v>
      </c>
      <c r="D134" s="895">
        <v>21.350500106811516</v>
      </c>
      <c r="E134" s="1009">
        <v>21.350999832153313</v>
      </c>
      <c r="F134" s="891">
        <f t="shared" si="15"/>
        <v>1.0119875</v>
      </c>
      <c r="G134" s="941">
        <f t="shared" si="18"/>
        <v>26.817668750000003</v>
      </c>
      <c r="I134" s="891">
        <f t="shared" si="16"/>
        <v>0.98801249999999996</v>
      </c>
      <c r="J134" s="944">
        <f t="shared" si="17"/>
        <v>26.182331249999997</v>
      </c>
      <c r="K134" s="943">
        <f t="shared" ref="K134:K197" si="19">D134*F134</f>
        <v>21.606439226841921</v>
      </c>
      <c r="L134" s="944">
        <f t="shared" ref="L134:L197" si="20">D134*I134</f>
        <v>21.094560986781111</v>
      </c>
      <c r="M134" s="1011">
        <f t="shared" ref="M134:M197" si="21">E134*F134</f>
        <v>21.606944942641253</v>
      </c>
      <c r="O134" s="587"/>
      <c r="P134" s="1032"/>
      <c r="Q134" s="1052">
        <v>164703.15245788521</v>
      </c>
      <c r="R134" s="1052">
        <v>130904.44267856046</v>
      </c>
      <c r="S134" s="1052"/>
      <c r="T134" s="1051">
        <f>IF(Tables!$B$2=1,'NY Curve'!O134,IF(Tables!$B$2=2,P134,IF(Tables!$B$2=4,Q134,IF(Tables!$B$2=5,R134,IF(Tables!$B$2=3,S134,0)))))</f>
        <v>130904.44267856046</v>
      </c>
    </row>
    <row r="135" spans="1:20">
      <c r="A135" s="465">
        <v>40848</v>
      </c>
      <c r="B135" s="894">
        <v>23.869178317842028</v>
      </c>
      <c r="C135" s="901">
        <v>27</v>
      </c>
      <c r="D135" s="895">
        <v>22.354751586914055</v>
      </c>
      <c r="E135" s="1009">
        <v>22.354499816894524</v>
      </c>
      <c r="F135" s="891">
        <f t="shared" si="15"/>
        <v>1.0158500000000001</v>
      </c>
      <c r="G135" s="941">
        <f t="shared" si="18"/>
        <v>27.427950000000003</v>
      </c>
      <c r="I135" s="891">
        <f t="shared" si="16"/>
        <v>0.98414999999999986</v>
      </c>
      <c r="J135" s="944">
        <f t="shared" si="17"/>
        <v>26.572049999999997</v>
      </c>
      <c r="K135" s="943">
        <f t="shared" si="19"/>
        <v>22.709074399566646</v>
      </c>
      <c r="L135" s="944">
        <f t="shared" si="20"/>
        <v>22.000428774261465</v>
      </c>
      <c r="M135" s="1011">
        <f t="shared" si="21"/>
        <v>22.708818638992305</v>
      </c>
      <c r="O135" s="587"/>
      <c r="P135" s="1032"/>
      <c r="Q135" s="1052">
        <v>178988.50275463573</v>
      </c>
      <c r="R135" s="1052">
        <v>127183.93111957073</v>
      </c>
      <c r="S135" s="1052"/>
      <c r="T135" s="1051">
        <f>IF(Tables!$B$2=1,'NY Curve'!O135,IF(Tables!$B$2=2,P135,IF(Tables!$B$2=4,Q135,IF(Tables!$B$2=5,R135,IF(Tables!$B$2=3,S135,0)))))</f>
        <v>127183.93111957073</v>
      </c>
    </row>
    <row r="136" spans="1:20">
      <c r="A136" s="465">
        <v>40878</v>
      </c>
      <c r="B136" s="894">
        <v>24.645951861426944</v>
      </c>
      <c r="C136" s="901">
        <v>27.5</v>
      </c>
      <c r="D136" s="895">
        <v>23.804998397827141</v>
      </c>
      <c r="E136" s="1009">
        <v>22.29999923706054</v>
      </c>
      <c r="F136" s="891">
        <f t="shared" si="15"/>
        <v>1.0153259918063107</v>
      </c>
      <c r="G136" s="941">
        <f t="shared" si="18"/>
        <v>27.921464774673545</v>
      </c>
      <c r="I136" s="891">
        <f t="shared" si="16"/>
        <v>0.98467400819368933</v>
      </c>
      <c r="J136" s="944">
        <f t="shared" si="17"/>
        <v>27.078535225326455</v>
      </c>
      <c r="K136" s="943">
        <f t="shared" si="19"/>
        <v>24.169833608221477</v>
      </c>
      <c r="L136" s="944">
        <f t="shared" si="20"/>
        <v>23.440163187432805</v>
      </c>
      <c r="M136" s="1011">
        <f t="shared" si="21"/>
        <v>22.641768842648464</v>
      </c>
      <c r="O136" s="587"/>
      <c r="P136" s="1032"/>
      <c r="Q136" s="1052">
        <v>153692.15771215828</v>
      </c>
      <c r="R136" s="1052">
        <v>108766.52218400931</v>
      </c>
      <c r="S136" s="1052"/>
      <c r="T136" s="1051">
        <f>IF(Tables!$B$2=1,'NY Curve'!O136,IF(Tables!$B$2=2,P136,IF(Tables!$B$2=4,Q136,IF(Tables!$B$2=5,R136,IF(Tables!$B$2=3,S136,0)))))</f>
        <v>108766.52218400931</v>
      </c>
    </row>
    <row r="137" spans="1:20">
      <c r="A137" s="465">
        <v>40909</v>
      </c>
      <c r="B137" s="894">
        <v>28.543035725184847</v>
      </c>
      <c r="C137" s="901">
        <v>33.049999999999997</v>
      </c>
      <c r="D137" s="895">
        <v>27.198748397827142</v>
      </c>
      <c r="E137" s="1009">
        <v>27.702500152587884</v>
      </c>
      <c r="F137" s="891">
        <f t="shared" si="15"/>
        <v>1.0080802540450913</v>
      </c>
      <c r="G137" s="941">
        <f t="shared" si="18"/>
        <v>33.317052396190263</v>
      </c>
      <c r="I137" s="891">
        <f t="shared" si="16"/>
        <v>0.99191974595490895</v>
      </c>
      <c r="J137" s="944">
        <f t="shared" si="17"/>
        <v>32.782947603809738</v>
      </c>
      <c r="K137" s="943">
        <f t="shared" si="19"/>
        <v>27.418521194590106</v>
      </c>
      <c r="L137" s="944">
        <f t="shared" si="20"/>
        <v>26.978975601064185</v>
      </c>
      <c r="M137" s="1011">
        <f t="shared" si="21"/>
        <v>27.926343391504975</v>
      </c>
      <c r="O137" s="587"/>
      <c r="P137" s="1032"/>
      <c r="Q137" s="1052">
        <v>328910.16992058198</v>
      </c>
      <c r="R137" s="1052">
        <v>253179.62722723739</v>
      </c>
      <c r="S137" s="1052"/>
      <c r="T137" s="1051">
        <f>IF(Tables!$B$2=1,'NY Curve'!O137,IF(Tables!$B$2=2,P137,IF(Tables!$B$2=4,Q137,IF(Tables!$B$2=5,R137,IF(Tables!$B$2=3,S137,0)))))</f>
        <v>253179.62722723739</v>
      </c>
    </row>
    <row r="138" spans="1:20">
      <c r="A138" s="465">
        <v>40940</v>
      </c>
      <c r="B138" s="894">
        <v>28.068154162452338</v>
      </c>
      <c r="C138" s="901">
        <v>33.049999999999997</v>
      </c>
      <c r="D138" s="895">
        <v>26.196250152587883</v>
      </c>
      <c r="E138" s="1009">
        <v>25.697499465942375</v>
      </c>
      <c r="F138" s="891">
        <f t="shared" si="15"/>
        <v>1.0080802540450913</v>
      </c>
      <c r="G138" s="941">
        <f t="shared" si="18"/>
        <v>33.317052396190263</v>
      </c>
      <c r="I138" s="891">
        <f t="shared" si="16"/>
        <v>0.99191974595490906</v>
      </c>
      <c r="J138" s="944">
        <f t="shared" si="17"/>
        <v>32.782947603809738</v>
      </c>
      <c r="K138" s="943">
        <f t="shared" si="19"/>
        <v>26.407922508849555</v>
      </c>
      <c r="L138" s="944">
        <f t="shared" si="20"/>
        <v>25.984577796326221</v>
      </c>
      <c r="M138" s="1011">
        <f t="shared" si="21"/>
        <v>25.905141789950786</v>
      </c>
      <c r="O138" s="587"/>
      <c r="P138" s="1032"/>
      <c r="Q138" s="1052">
        <v>311914.0953551805</v>
      </c>
      <c r="R138" s="1052">
        <v>255253.51171780922</v>
      </c>
      <c r="S138" s="1052"/>
      <c r="T138" s="1051">
        <f>IF(Tables!$B$2=1,'NY Curve'!O138,IF(Tables!$B$2=2,P138,IF(Tables!$B$2=4,Q138,IF(Tables!$B$2=5,R138,IF(Tables!$B$2=3,S138,0)))))</f>
        <v>255253.51171780922</v>
      </c>
    </row>
    <row r="139" spans="1:20">
      <c r="A139" s="465">
        <v>40969</v>
      </c>
      <c r="B139" s="894">
        <v>23.807035409836537</v>
      </c>
      <c r="C139" s="901">
        <v>28.05</v>
      </c>
      <c r="D139" s="895">
        <v>19.384749603271477</v>
      </c>
      <c r="E139" s="1009">
        <v>21.01449890136718</v>
      </c>
      <c r="F139" s="891">
        <f t="shared" si="15"/>
        <v>1.0080875</v>
      </c>
      <c r="G139" s="941">
        <f t="shared" si="18"/>
        <v>28.276854375000003</v>
      </c>
      <c r="I139" s="891">
        <f t="shared" si="16"/>
        <v>0.99191250000000009</v>
      </c>
      <c r="J139" s="944">
        <f t="shared" si="17"/>
        <v>27.823145625000002</v>
      </c>
      <c r="K139" s="943">
        <f t="shared" si="19"/>
        <v>19.541523765687934</v>
      </c>
      <c r="L139" s="944">
        <f t="shared" si="20"/>
        <v>19.227975440855019</v>
      </c>
      <c r="M139" s="1011">
        <f t="shared" si="21"/>
        <v>21.184453661231988</v>
      </c>
      <c r="O139" s="587"/>
      <c r="P139" s="1032"/>
      <c r="Q139" s="1052">
        <v>160750.82652666734</v>
      </c>
      <c r="R139" s="1052">
        <v>147992.81284112952</v>
      </c>
      <c r="S139" s="1052"/>
      <c r="T139" s="1051">
        <f>IF(Tables!$B$2=1,'NY Curve'!O139,IF(Tables!$B$2=2,P139,IF(Tables!$B$2=4,Q139,IF(Tables!$B$2=5,R139,IF(Tables!$B$2=3,S139,0)))))</f>
        <v>147992.81284112952</v>
      </c>
    </row>
    <row r="140" spans="1:20">
      <c r="A140" s="465">
        <v>41000</v>
      </c>
      <c r="B140" s="894">
        <v>23.276546986897785</v>
      </c>
      <c r="C140" s="901">
        <v>26.8</v>
      </c>
      <c r="D140" s="895">
        <v>20.067500305175773</v>
      </c>
      <c r="E140" s="1009">
        <v>20.784999084472648</v>
      </c>
      <c r="F140" s="891">
        <f t="shared" si="15"/>
        <v>1.07269528338234</v>
      </c>
      <c r="G140" s="941">
        <f t="shared" si="18"/>
        <v>28.748233594646713</v>
      </c>
      <c r="I140" s="891">
        <f t="shared" si="16"/>
        <v>0.92730471661766001</v>
      </c>
      <c r="J140" s="944">
        <f t="shared" si="17"/>
        <v>24.851766405353288</v>
      </c>
      <c r="K140" s="943">
        <f t="shared" si="19"/>
        <v>21.526312926635722</v>
      </c>
      <c r="L140" s="944">
        <f t="shared" si="20"/>
        <v>18.608687683715825</v>
      </c>
      <c r="M140" s="1011">
        <f t="shared" si="21"/>
        <v>22.295970483020064</v>
      </c>
      <c r="O140" s="587"/>
      <c r="P140" s="1032"/>
      <c r="Q140" s="1052">
        <v>165629.85177381121</v>
      </c>
      <c r="R140" s="1052">
        <v>161046.22549138643</v>
      </c>
      <c r="S140" s="1052"/>
      <c r="T140" s="1051">
        <f>IF(Tables!$B$2=1,'NY Curve'!O140,IF(Tables!$B$2=2,P140,IF(Tables!$B$2=4,Q140,IF(Tables!$B$2=5,R140,IF(Tables!$B$2=3,S140,0)))))</f>
        <v>161046.22549138643</v>
      </c>
    </row>
    <row r="141" spans="1:20">
      <c r="A141" s="465">
        <v>41030</v>
      </c>
      <c r="B141" s="894">
        <v>25.67821371895926</v>
      </c>
      <c r="C141" s="901">
        <v>31.65</v>
      </c>
      <c r="D141" s="895">
        <v>20.182500076293937</v>
      </c>
      <c r="E141" s="1009">
        <v>21.314999771118156</v>
      </c>
      <c r="F141" s="891">
        <f t="shared" si="15"/>
        <v>1.058490237990529</v>
      </c>
      <c r="G141" s="941">
        <f t="shared" si="18"/>
        <v>33.501216032400244</v>
      </c>
      <c r="I141" s="891">
        <f t="shared" si="16"/>
        <v>0.94150976200947101</v>
      </c>
      <c r="J141" s="944">
        <f t="shared" si="17"/>
        <v>29.798783967599757</v>
      </c>
      <c r="K141" s="943">
        <f t="shared" si="19"/>
        <v>21.362979309000238</v>
      </c>
      <c r="L141" s="944">
        <f t="shared" si="20"/>
        <v>19.002020843587637</v>
      </c>
      <c r="M141" s="1011">
        <f t="shared" si="21"/>
        <v>22.56171918049893</v>
      </c>
      <c r="O141" s="587"/>
      <c r="P141" s="1032"/>
      <c r="Q141" s="1052">
        <v>410413.82568523847</v>
      </c>
      <c r="R141" s="1052">
        <v>339069.32526794827</v>
      </c>
      <c r="S141" s="1052"/>
      <c r="T141" s="1051">
        <f>IF(Tables!$B$2=1,'NY Curve'!O141,IF(Tables!$B$2=2,P141,IF(Tables!$B$2=4,Q141,IF(Tables!$B$2=5,R141,IF(Tables!$B$2=3,S141,0)))))</f>
        <v>339069.32526794827</v>
      </c>
    </row>
    <row r="142" spans="1:20">
      <c r="A142" s="465">
        <v>41061</v>
      </c>
      <c r="B142" s="894">
        <v>36.410892522902714</v>
      </c>
      <c r="C142" s="901">
        <v>53.25</v>
      </c>
      <c r="D142" s="895">
        <v>24.608750152587884</v>
      </c>
      <c r="E142" s="1009">
        <v>20.092499542236322</v>
      </c>
      <c r="F142" s="891">
        <f t="shared" si="15"/>
        <v>1.1693830474353057</v>
      </c>
      <c r="G142" s="941">
        <f t="shared" si="18"/>
        <v>62.269647275930033</v>
      </c>
      <c r="I142" s="891">
        <f t="shared" si="16"/>
        <v>0.83061695843935013</v>
      </c>
      <c r="J142" s="944">
        <f t="shared" si="17"/>
        <v>44.230353036895394</v>
      </c>
      <c r="K142" s="943">
        <f t="shared" si="19"/>
        <v>28.777055247007265</v>
      </c>
      <c r="L142" s="944">
        <f t="shared" si="20"/>
        <v>20.440445202736441</v>
      </c>
      <c r="M142" s="1011">
        <f t="shared" si="21"/>
        <v>23.495828345292797</v>
      </c>
      <c r="O142" s="587"/>
      <c r="P142" s="1032"/>
      <c r="Q142" s="1052">
        <v>1263567.5240381523</v>
      </c>
      <c r="R142" s="1052">
        <v>1136461.4887802748</v>
      </c>
      <c r="S142" s="1052"/>
      <c r="T142" s="1051">
        <f>IF(Tables!$B$2=1,'NY Curve'!O142,IF(Tables!$B$2=2,P142,IF(Tables!$B$2=4,Q142,IF(Tables!$B$2=5,R142,IF(Tables!$B$2=3,S142,0)))))</f>
        <v>1136461.4887802748</v>
      </c>
    </row>
    <row r="143" spans="1:20">
      <c r="A143" s="465">
        <v>41091</v>
      </c>
      <c r="B143" s="894">
        <v>53.301249313354504</v>
      </c>
      <c r="C143" s="901">
        <v>82</v>
      </c>
      <c r="D143" s="895">
        <v>37.811249542236354</v>
      </c>
      <c r="E143" s="1009">
        <v>29.297499465942376</v>
      </c>
      <c r="F143" s="891">
        <f t="shared" si="15"/>
        <v>1.2214070997107602</v>
      </c>
      <c r="G143" s="941">
        <f t="shared" si="18"/>
        <v>100.15538217628234</v>
      </c>
      <c r="I143" s="891">
        <f t="shared" si="16"/>
        <v>0.77859290689229965</v>
      </c>
      <c r="J143" s="944">
        <f t="shared" si="17"/>
        <v>63.844618365168571</v>
      </c>
      <c r="K143" s="943">
        <f t="shared" si="19"/>
        <v>46.182928639822713</v>
      </c>
      <c r="L143" s="944">
        <f t="shared" si="20"/>
        <v>29.439570694319936</v>
      </c>
      <c r="M143" s="1011">
        <f t="shared" si="21"/>
        <v>35.784173851474222</v>
      </c>
      <c r="O143" s="587"/>
      <c r="P143" s="1032"/>
      <c r="Q143" s="1052">
        <v>3096452.2542856908</v>
      </c>
      <c r="R143" s="1052">
        <v>2761217.9803637601</v>
      </c>
      <c r="S143" s="1052"/>
      <c r="T143" s="1051">
        <f>IF(Tables!$B$2=1,'NY Curve'!O143,IF(Tables!$B$2=2,P143,IF(Tables!$B$2=4,Q143,IF(Tables!$B$2=5,R143,IF(Tables!$B$2=3,S143,0)))))</f>
        <v>2761217.9803637601</v>
      </c>
    </row>
    <row r="144" spans="1:20">
      <c r="A144" s="465">
        <v>41122</v>
      </c>
      <c r="B144" s="894">
        <v>50.350118582589296</v>
      </c>
      <c r="C144" s="901">
        <v>74.5</v>
      </c>
      <c r="D144" s="895">
        <v>40.072499084472682</v>
      </c>
      <c r="E144" s="1009">
        <v>30.795000839233392</v>
      </c>
      <c r="F144" s="891">
        <f t="shared" si="15"/>
        <v>1.1576814286317387</v>
      </c>
      <c r="G144" s="941">
        <f t="shared" si="18"/>
        <v>86.247266433064539</v>
      </c>
      <c r="I144" s="891">
        <f t="shared" si="16"/>
        <v>0.84209904074668884</v>
      </c>
      <c r="J144" s="944">
        <f t="shared" si="17"/>
        <v>62.736378535628319</v>
      </c>
      <c r="K144" s="943">
        <f t="shared" si="19"/>
        <v>46.391187988956375</v>
      </c>
      <c r="L144" s="944">
        <f t="shared" si="20"/>
        <v>33.745013039357012</v>
      </c>
      <c r="M144" s="1011">
        <f t="shared" si="21"/>
        <v>35.650800566279308</v>
      </c>
      <c r="O144" s="587"/>
      <c r="P144" s="1032"/>
      <c r="Q144" s="1052">
        <v>3239698.0105740475</v>
      </c>
      <c r="R144" s="1052">
        <v>2888933.8695669877</v>
      </c>
      <c r="S144" s="1052"/>
      <c r="T144" s="1051">
        <f>IF(Tables!$B$2=1,'NY Curve'!O144,IF(Tables!$B$2=2,P144,IF(Tables!$B$2=4,Q144,IF(Tables!$B$2=5,R144,IF(Tables!$B$2=3,S144,0)))))</f>
        <v>2888933.8695669877</v>
      </c>
    </row>
    <row r="145" spans="1:20">
      <c r="A145" s="465">
        <v>41153</v>
      </c>
      <c r="B145" s="894">
        <v>23.967618588038849</v>
      </c>
      <c r="C145" s="901">
        <v>31.05</v>
      </c>
      <c r="D145" s="895">
        <v>16.679999542236324</v>
      </c>
      <c r="E145" s="1009">
        <v>14.260000419616693</v>
      </c>
      <c r="F145" s="891">
        <f t="shared" si="15"/>
        <v>1.0965337923205105</v>
      </c>
      <c r="G145" s="941">
        <f t="shared" si="18"/>
        <v>34.047374251551851</v>
      </c>
      <c r="I145" s="891">
        <f t="shared" si="16"/>
        <v>0.90346620767948926</v>
      </c>
      <c r="J145" s="944">
        <f t="shared" si="17"/>
        <v>28.052625748448143</v>
      </c>
      <c r="K145" s="943">
        <f t="shared" si="19"/>
        <v>18.290183153952775</v>
      </c>
      <c r="L145" s="944">
        <f t="shared" si="20"/>
        <v>15.069815930519868</v>
      </c>
      <c r="M145" s="1011">
        <f t="shared" si="21"/>
        <v>15.636572338614364</v>
      </c>
      <c r="O145" s="587"/>
      <c r="P145" s="1032"/>
      <c r="Q145" s="1052">
        <v>387353.38216590526</v>
      </c>
      <c r="R145" s="1052">
        <v>320082.94502599107</v>
      </c>
      <c r="S145" s="1052"/>
      <c r="T145" s="1051">
        <f>IF(Tables!$B$2=1,'NY Curve'!O145,IF(Tables!$B$2=2,P145,IF(Tables!$B$2=4,Q145,IF(Tables!$B$2=5,R145,IF(Tables!$B$2=3,S145,0)))))</f>
        <v>320082.94502599107</v>
      </c>
    </row>
    <row r="146" spans="1:20">
      <c r="A146" s="465">
        <v>41183</v>
      </c>
      <c r="B146" s="894">
        <v>23.609737814040407</v>
      </c>
      <c r="C146" s="901">
        <v>26.8</v>
      </c>
      <c r="D146" s="895">
        <v>21.550500106811516</v>
      </c>
      <c r="E146" s="1009">
        <v>21.550999832153312</v>
      </c>
      <c r="F146" s="891">
        <f t="shared" si="15"/>
        <v>1.0119875</v>
      </c>
      <c r="G146" s="941">
        <f t="shared" si="18"/>
        <v>27.121265000000001</v>
      </c>
      <c r="I146" s="891">
        <f t="shared" si="16"/>
        <v>0.98801249999999996</v>
      </c>
      <c r="J146" s="944">
        <f t="shared" si="17"/>
        <v>26.478735</v>
      </c>
      <c r="K146" s="943">
        <f t="shared" si="19"/>
        <v>21.808836726841921</v>
      </c>
      <c r="L146" s="944">
        <f t="shared" si="20"/>
        <v>21.29216348678111</v>
      </c>
      <c r="M146" s="1011">
        <f t="shared" si="21"/>
        <v>21.809342442641253</v>
      </c>
      <c r="O146" s="587"/>
      <c r="P146" s="1032"/>
      <c r="Q146" s="1052">
        <v>162585.96266935498</v>
      </c>
      <c r="R146" s="1052">
        <v>128636.43777304086</v>
      </c>
      <c r="S146" s="1052"/>
      <c r="T146" s="1051">
        <f>IF(Tables!$B$2=1,'NY Curve'!O146,IF(Tables!$B$2=2,P146,IF(Tables!$B$2=4,Q146,IF(Tables!$B$2=5,R146,IF(Tables!$B$2=3,S146,0)))))</f>
        <v>128636.43777304086</v>
      </c>
    </row>
    <row r="147" spans="1:20">
      <c r="A147" s="465">
        <v>41214</v>
      </c>
      <c r="B147" s="894">
        <v>24.116797365461075</v>
      </c>
      <c r="C147" s="901">
        <v>27.3</v>
      </c>
      <c r="D147" s="895">
        <v>22.554751586914055</v>
      </c>
      <c r="E147" s="1009">
        <v>22.554499816894523</v>
      </c>
      <c r="F147" s="891">
        <f t="shared" si="15"/>
        <v>1.0158500000000001</v>
      </c>
      <c r="G147" s="941">
        <f t="shared" si="18"/>
        <v>27.732705000000003</v>
      </c>
      <c r="I147" s="891">
        <f t="shared" si="16"/>
        <v>0.98414999999999986</v>
      </c>
      <c r="J147" s="944">
        <f t="shared" si="17"/>
        <v>26.867294999999999</v>
      </c>
      <c r="K147" s="943">
        <f t="shared" si="19"/>
        <v>22.912244399566646</v>
      </c>
      <c r="L147" s="944">
        <f t="shared" si="20"/>
        <v>22.197258774261464</v>
      </c>
      <c r="M147" s="1011">
        <f t="shared" si="21"/>
        <v>22.911988638992305</v>
      </c>
      <c r="O147" s="587"/>
      <c r="P147" s="1032"/>
      <c r="Q147" s="1052">
        <v>161954.221689817</v>
      </c>
      <c r="R147" s="1052">
        <v>114326.0422275914</v>
      </c>
      <c r="S147" s="1052"/>
      <c r="T147" s="1051">
        <f>IF(Tables!$B$2=1,'NY Curve'!O147,IF(Tables!$B$2=2,P147,IF(Tables!$B$2=4,Q147,IF(Tables!$B$2=5,R147,IF(Tables!$B$2=3,S147,0)))))</f>
        <v>114326.0422275914</v>
      </c>
    </row>
    <row r="148" spans="1:20">
      <c r="A148" s="465">
        <v>41244</v>
      </c>
      <c r="B148" s="894">
        <v>24.893570909045987</v>
      </c>
      <c r="C148" s="901">
        <v>27.8</v>
      </c>
      <c r="D148" s="895">
        <v>24.004998397827141</v>
      </c>
      <c r="E148" s="1009">
        <v>22.499999237060539</v>
      </c>
      <c r="F148" s="891">
        <f t="shared" si="15"/>
        <v>1.0153259918063107</v>
      </c>
      <c r="G148" s="941">
        <f t="shared" si="18"/>
        <v>28.226062572215437</v>
      </c>
      <c r="I148" s="891">
        <f t="shared" si="16"/>
        <v>0.98467400819368933</v>
      </c>
      <c r="J148" s="944">
        <f t="shared" si="17"/>
        <v>27.373937427784565</v>
      </c>
      <c r="K148" s="943">
        <f t="shared" si="19"/>
        <v>24.372898806582739</v>
      </c>
      <c r="L148" s="944">
        <f t="shared" si="20"/>
        <v>23.637097989071542</v>
      </c>
      <c r="M148" s="1011">
        <f t="shared" si="21"/>
        <v>22.844834041009726</v>
      </c>
      <c r="O148" s="587"/>
      <c r="P148" s="1032"/>
      <c r="Q148" s="1052">
        <v>131606.04333136231</v>
      </c>
      <c r="R148" s="1052">
        <v>92445.071122728099</v>
      </c>
      <c r="S148" s="1052"/>
      <c r="T148" s="1051">
        <f>IF(Tables!$B$2=1,'NY Curve'!O148,IF(Tables!$B$2=2,P148,IF(Tables!$B$2=4,Q148,IF(Tables!$B$2=5,R148,IF(Tables!$B$2=3,S148,0)))))</f>
        <v>92445.071122728099</v>
      </c>
    </row>
    <row r="149" spans="1:20">
      <c r="A149" s="465">
        <v>41275</v>
      </c>
      <c r="B149" s="894">
        <v>28.790654772803897</v>
      </c>
      <c r="C149" s="901">
        <v>33.35</v>
      </c>
      <c r="D149" s="895">
        <v>27.398748397827141</v>
      </c>
      <c r="E149" s="1009">
        <v>27.902500152587884</v>
      </c>
      <c r="F149" s="891">
        <f t="shared" si="15"/>
        <v>1.0080802540450913</v>
      </c>
      <c r="G149" s="941">
        <f t="shared" si="18"/>
        <v>33.619476472403797</v>
      </c>
      <c r="I149" s="891">
        <f t="shared" si="16"/>
        <v>0.99191974595490895</v>
      </c>
      <c r="J149" s="944">
        <f t="shared" si="17"/>
        <v>33.080523527596213</v>
      </c>
      <c r="K149" s="943">
        <f t="shared" si="19"/>
        <v>27.620137245399121</v>
      </c>
      <c r="L149" s="944">
        <f t="shared" si="20"/>
        <v>27.177359550255165</v>
      </c>
      <c r="M149" s="1011">
        <f t="shared" si="21"/>
        <v>28.12795944231399</v>
      </c>
      <c r="O149" s="587"/>
      <c r="P149" s="1032"/>
      <c r="Q149" s="1052">
        <v>321142.75042626623</v>
      </c>
      <c r="R149" s="1052">
        <v>245942.6349974896</v>
      </c>
      <c r="S149" s="1052"/>
      <c r="T149" s="1051">
        <f>IF(Tables!$B$2=1,'NY Curve'!O149,IF(Tables!$B$2=2,P149,IF(Tables!$B$2=4,Q149,IF(Tables!$B$2=5,R149,IF(Tables!$B$2=3,S149,0)))))</f>
        <v>245942.6349974896</v>
      </c>
    </row>
    <row r="150" spans="1:20">
      <c r="A150" s="465">
        <v>41306</v>
      </c>
      <c r="B150" s="894">
        <v>28.315773210071377</v>
      </c>
      <c r="C150" s="901">
        <v>33.35</v>
      </c>
      <c r="D150" s="895">
        <v>26.396250152587882</v>
      </c>
      <c r="E150" s="1009">
        <v>25.897499465942374</v>
      </c>
      <c r="F150" s="891">
        <f t="shared" si="15"/>
        <v>1.0080802540450913</v>
      </c>
      <c r="G150" s="941">
        <f t="shared" si="18"/>
        <v>33.619476472403797</v>
      </c>
      <c r="I150" s="891">
        <f t="shared" si="16"/>
        <v>0.99191974595490906</v>
      </c>
      <c r="J150" s="944">
        <f t="shared" si="17"/>
        <v>33.08052352759622</v>
      </c>
      <c r="K150" s="943">
        <f t="shared" si="19"/>
        <v>26.609538559658571</v>
      </c>
      <c r="L150" s="944">
        <f t="shared" si="20"/>
        <v>26.182961745517201</v>
      </c>
      <c r="M150" s="1011">
        <f t="shared" si="21"/>
        <v>26.106757840759805</v>
      </c>
      <c r="O150" s="587"/>
      <c r="P150" s="1032"/>
      <c r="Q150" s="1052">
        <v>276271.04926784558</v>
      </c>
      <c r="R150" s="1052">
        <v>225012.36984209274</v>
      </c>
      <c r="S150" s="1052"/>
      <c r="T150" s="1051">
        <f>IF(Tables!$B$2=1,'NY Curve'!O150,IF(Tables!$B$2=2,P150,IF(Tables!$B$2=4,Q150,IF(Tables!$B$2=5,R150,IF(Tables!$B$2=3,S150,0)))))</f>
        <v>225012.36984209274</v>
      </c>
    </row>
    <row r="151" spans="1:20">
      <c r="A151" s="465">
        <v>41334</v>
      </c>
      <c r="B151" s="894">
        <v>24.054654457455587</v>
      </c>
      <c r="C151" s="901">
        <v>28.35</v>
      </c>
      <c r="D151" s="895">
        <v>19.584749603271476</v>
      </c>
      <c r="E151" s="1009">
        <v>21.214498901367179</v>
      </c>
      <c r="F151" s="891">
        <f t="shared" si="15"/>
        <v>1.0080875</v>
      </c>
      <c r="G151" s="941">
        <f t="shared" si="18"/>
        <v>28.579280625000003</v>
      </c>
      <c r="I151" s="891">
        <f t="shared" si="16"/>
        <v>0.99191250000000009</v>
      </c>
      <c r="J151" s="944">
        <f t="shared" si="17"/>
        <v>28.120719375000004</v>
      </c>
      <c r="K151" s="943">
        <f t="shared" si="19"/>
        <v>19.743141265687935</v>
      </c>
      <c r="L151" s="944">
        <f t="shared" si="20"/>
        <v>19.42635794085502</v>
      </c>
      <c r="M151" s="1011">
        <f t="shared" si="21"/>
        <v>21.386071161231985</v>
      </c>
      <c r="O151" s="587"/>
      <c r="P151" s="1032"/>
      <c r="Q151" s="1052">
        <v>138012.01147838472</v>
      </c>
      <c r="R151" s="1052">
        <v>126832.87549380114</v>
      </c>
      <c r="S151" s="1052"/>
      <c r="T151" s="1051">
        <f>IF(Tables!$B$2=1,'NY Curve'!O151,IF(Tables!$B$2=2,P151,IF(Tables!$B$2=4,Q151,IF(Tables!$B$2=5,R151,IF(Tables!$B$2=3,S151,0)))))</f>
        <v>126832.87549380114</v>
      </c>
    </row>
    <row r="152" spans="1:20">
      <c r="A152" s="465">
        <v>41365</v>
      </c>
      <c r="B152" s="894">
        <v>23.524166034516831</v>
      </c>
      <c r="C152" s="901">
        <v>27.1</v>
      </c>
      <c r="D152" s="895">
        <v>20.267500305175773</v>
      </c>
      <c r="E152" s="1009">
        <v>20.984999084472648</v>
      </c>
      <c r="F152" s="891">
        <f t="shared" si="15"/>
        <v>1.07269528338234</v>
      </c>
      <c r="G152" s="941">
        <f t="shared" si="18"/>
        <v>29.070042179661414</v>
      </c>
      <c r="I152" s="891">
        <f t="shared" si="16"/>
        <v>0.92730471661766001</v>
      </c>
      <c r="J152" s="944">
        <f t="shared" si="17"/>
        <v>25.129957820338589</v>
      </c>
      <c r="K152" s="943">
        <f t="shared" si="19"/>
        <v>21.740851983312186</v>
      </c>
      <c r="L152" s="944">
        <f t="shared" si="20"/>
        <v>18.794148627039359</v>
      </c>
      <c r="M152" s="1011">
        <f t="shared" si="21"/>
        <v>22.510509539696532</v>
      </c>
      <c r="O152" s="587"/>
      <c r="P152" s="1032"/>
      <c r="Q152" s="1052">
        <v>155784.66927756439</v>
      </c>
      <c r="R152" s="1052">
        <v>151691.13728147864</v>
      </c>
      <c r="S152" s="1052"/>
      <c r="T152" s="1051">
        <f>IF(Tables!$B$2=1,'NY Curve'!O152,IF(Tables!$B$2=2,P152,IF(Tables!$B$2=4,Q152,IF(Tables!$B$2=5,R152,IF(Tables!$B$2=3,S152,0)))))</f>
        <v>151691.13728147864</v>
      </c>
    </row>
    <row r="153" spans="1:20">
      <c r="A153" s="465">
        <v>41395</v>
      </c>
      <c r="B153" s="894">
        <v>26.021070861816405</v>
      </c>
      <c r="C153" s="901">
        <v>32.15</v>
      </c>
      <c r="D153" s="895">
        <v>20.382500076293937</v>
      </c>
      <c r="E153" s="1009">
        <v>21.514999771118156</v>
      </c>
      <c r="F153" s="891">
        <f t="shared" si="15"/>
        <v>1.058490237990529</v>
      </c>
      <c r="G153" s="941">
        <f t="shared" si="18"/>
        <v>34.030461151395507</v>
      </c>
      <c r="I153" s="891">
        <f t="shared" si="16"/>
        <v>0.94150976200947101</v>
      </c>
      <c r="J153" s="944">
        <f t="shared" si="17"/>
        <v>30.269538848604491</v>
      </c>
      <c r="K153" s="943">
        <f t="shared" si="19"/>
        <v>21.574677356598343</v>
      </c>
      <c r="L153" s="944">
        <f t="shared" si="20"/>
        <v>19.19032279598953</v>
      </c>
      <c r="M153" s="1011">
        <f t="shared" si="21"/>
        <v>22.773417228097035</v>
      </c>
      <c r="O153" s="587"/>
      <c r="P153" s="1032"/>
      <c r="Q153" s="1052">
        <v>387725.18372709153</v>
      </c>
      <c r="R153" s="1052">
        <v>319359.38440277358</v>
      </c>
      <c r="S153" s="1052"/>
      <c r="T153" s="1051">
        <f>IF(Tables!$B$2=1,'NY Curve'!O153,IF(Tables!$B$2=2,P153,IF(Tables!$B$2=4,Q153,IF(Tables!$B$2=5,R153,IF(Tables!$B$2=3,S153,0)))))</f>
        <v>319359.38440277358</v>
      </c>
    </row>
    <row r="154" spans="1:20">
      <c r="A154" s="465">
        <v>41426</v>
      </c>
      <c r="B154" s="894">
        <v>36.991844903855096</v>
      </c>
      <c r="C154" s="901">
        <v>54.25</v>
      </c>
      <c r="D154" s="895">
        <v>24.808750152587884</v>
      </c>
      <c r="E154" s="1009">
        <v>20.292499542236321</v>
      </c>
      <c r="F154" s="891">
        <f t="shared" si="15"/>
        <v>1.1693830474353057</v>
      </c>
      <c r="G154" s="941">
        <f t="shared" si="18"/>
        <v>63.439030323365337</v>
      </c>
      <c r="I154" s="891">
        <f t="shared" si="16"/>
        <v>0.83061695843935013</v>
      </c>
      <c r="J154" s="944">
        <f t="shared" si="17"/>
        <v>45.060969995334744</v>
      </c>
      <c r="K154" s="943">
        <f t="shared" si="19"/>
        <v>29.010931856494327</v>
      </c>
      <c r="L154" s="944">
        <f t="shared" si="20"/>
        <v>20.60656859442431</v>
      </c>
      <c r="M154" s="1011">
        <f t="shared" si="21"/>
        <v>23.729704954779855</v>
      </c>
      <c r="O154" s="587"/>
      <c r="P154" s="1032"/>
      <c r="Q154" s="1052">
        <v>1211820.3063566217</v>
      </c>
      <c r="R154" s="1052">
        <v>1089793.0609366708</v>
      </c>
      <c r="S154" s="1052"/>
      <c r="T154" s="1051">
        <f>IF(Tables!$B$2=1,'NY Curve'!O154,IF(Tables!$B$2=2,P154,IF(Tables!$B$2=4,Q154,IF(Tables!$B$2=5,R154,IF(Tables!$B$2=3,S154,0)))))</f>
        <v>1089793.0609366708</v>
      </c>
    </row>
    <row r="155" spans="1:20">
      <c r="A155" s="465">
        <v>41456</v>
      </c>
      <c r="B155" s="894">
        <v>54.358392170497346</v>
      </c>
      <c r="C155" s="901">
        <v>84</v>
      </c>
      <c r="D155" s="895">
        <v>38.011249542236357</v>
      </c>
      <c r="E155" s="1009">
        <v>29.497499465942376</v>
      </c>
      <c r="F155" s="891">
        <f t="shared" si="15"/>
        <v>1.2214070997107602</v>
      </c>
      <c r="G155" s="941">
        <f t="shared" si="18"/>
        <v>102.59819637570386</v>
      </c>
      <c r="I155" s="891">
        <f t="shared" si="16"/>
        <v>0.77859290689229965</v>
      </c>
      <c r="J155" s="944">
        <f t="shared" si="17"/>
        <v>65.401804178953171</v>
      </c>
      <c r="K155" s="943">
        <f t="shared" si="19"/>
        <v>46.427210059764867</v>
      </c>
      <c r="L155" s="944">
        <f t="shared" si="20"/>
        <v>29.595289275698399</v>
      </c>
      <c r="M155" s="1011">
        <f t="shared" si="21"/>
        <v>36.028455271416377</v>
      </c>
      <c r="O155" s="587"/>
      <c r="P155" s="1032"/>
      <c r="Q155" s="1052">
        <v>3146036.0114124375</v>
      </c>
      <c r="R155" s="1052">
        <v>2810150.1522626225</v>
      </c>
      <c r="S155" s="1052"/>
      <c r="T155" s="1051">
        <f>IF(Tables!$B$2=1,'NY Curve'!O155,IF(Tables!$B$2=2,P155,IF(Tables!$B$2=4,Q155,IF(Tables!$B$2=5,R155,IF(Tables!$B$2=3,S155,0)))))</f>
        <v>2810150.1522626225</v>
      </c>
    </row>
    <row r="156" spans="1:20">
      <c r="A156" s="465">
        <v>41487</v>
      </c>
      <c r="B156" s="894">
        <v>51.407261439732146</v>
      </c>
      <c r="C156" s="901">
        <v>76.5</v>
      </c>
      <c r="D156" s="895">
        <v>40.272499084472685</v>
      </c>
      <c r="E156" s="1009">
        <v>30.995000839233391</v>
      </c>
      <c r="F156" s="891">
        <f t="shared" si="15"/>
        <v>1.1576814286317387</v>
      </c>
      <c r="G156" s="941">
        <f t="shared" si="18"/>
        <v>88.562629290328019</v>
      </c>
      <c r="I156" s="891">
        <f t="shared" si="16"/>
        <v>0.84209904074668884</v>
      </c>
      <c r="J156" s="944">
        <f t="shared" si="17"/>
        <v>64.420576617121696</v>
      </c>
      <c r="K156" s="943">
        <f t="shared" si="19"/>
        <v>46.622724274682724</v>
      </c>
      <c r="L156" s="944">
        <f t="shared" si="20"/>
        <v>33.91343284750635</v>
      </c>
      <c r="M156" s="1011">
        <f t="shared" si="21"/>
        <v>35.88233685200565</v>
      </c>
      <c r="O156" s="587"/>
      <c r="P156" s="1032"/>
      <c r="Q156" s="1052">
        <v>3148029.1345725935</v>
      </c>
      <c r="R156" s="1052">
        <v>2804886.52538636</v>
      </c>
      <c r="S156" s="1052"/>
      <c r="T156" s="1051">
        <f>IF(Tables!$B$2=1,'NY Curve'!O156,IF(Tables!$B$2=2,P156,IF(Tables!$B$2=4,Q156,IF(Tables!$B$2=5,R156,IF(Tables!$B$2=3,S156,0)))))</f>
        <v>2804886.52538636</v>
      </c>
    </row>
    <row r="157" spans="1:20">
      <c r="A157" s="465">
        <v>41518</v>
      </c>
      <c r="B157" s="894">
        <v>24.2152376356579</v>
      </c>
      <c r="C157" s="901">
        <v>31.35</v>
      </c>
      <c r="D157" s="895">
        <v>16.879999542236323</v>
      </c>
      <c r="E157" s="1009">
        <v>14.460000419616692</v>
      </c>
      <c r="F157" s="891">
        <f t="shared" si="15"/>
        <v>1.0965337923205105</v>
      </c>
      <c r="G157" s="941">
        <f t="shared" si="18"/>
        <v>34.376334389248008</v>
      </c>
      <c r="I157" s="891">
        <f t="shared" si="16"/>
        <v>0.90346620767948926</v>
      </c>
      <c r="J157" s="944">
        <f t="shared" si="17"/>
        <v>28.323665610751991</v>
      </c>
      <c r="K157" s="943">
        <f t="shared" si="19"/>
        <v>18.509489912416878</v>
      </c>
      <c r="L157" s="944">
        <f t="shared" si="20"/>
        <v>15.250509172055766</v>
      </c>
      <c r="M157" s="1011">
        <f t="shared" si="21"/>
        <v>15.855879097078466</v>
      </c>
      <c r="O157" s="587"/>
      <c r="P157" s="1032"/>
      <c r="Q157" s="1052">
        <v>380419.12425853615</v>
      </c>
      <c r="R157" s="1052">
        <v>313584.129285198</v>
      </c>
      <c r="S157" s="1052"/>
      <c r="T157" s="1051">
        <f>IF(Tables!$B$2=1,'NY Curve'!O157,IF(Tables!$B$2=2,P157,IF(Tables!$B$2=4,Q157,IF(Tables!$B$2=5,R157,IF(Tables!$B$2=3,S157,0)))))</f>
        <v>313584.129285198</v>
      </c>
    </row>
    <row r="158" spans="1:20">
      <c r="A158" s="465">
        <v>41548</v>
      </c>
      <c r="B158" s="894">
        <v>23.857356861659458</v>
      </c>
      <c r="C158" s="901">
        <v>27.1</v>
      </c>
      <c r="D158" s="895">
        <v>21.750500106811515</v>
      </c>
      <c r="E158" s="1009">
        <v>21.750999832153312</v>
      </c>
      <c r="F158" s="891">
        <f t="shared" si="15"/>
        <v>1.0119875</v>
      </c>
      <c r="G158" s="941">
        <f t="shared" si="18"/>
        <v>27.424861250000003</v>
      </c>
      <c r="I158" s="891">
        <f t="shared" si="16"/>
        <v>0.98801249999999996</v>
      </c>
      <c r="J158" s="944">
        <f t="shared" si="17"/>
        <v>26.77513875</v>
      </c>
      <c r="K158" s="943">
        <f t="shared" si="19"/>
        <v>22.011234226841918</v>
      </c>
      <c r="L158" s="944">
        <f t="shared" si="20"/>
        <v>21.489765986781112</v>
      </c>
      <c r="M158" s="1011">
        <f t="shared" si="21"/>
        <v>22.011739942641249</v>
      </c>
      <c r="O158" s="587"/>
      <c r="P158" s="1032"/>
      <c r="Q158" s="1052">
        <v>143724.78629780613</v>
      </c>
      <c r="R158" s="1052">
        <v>113089.78471937483</v>
      </c>
      <c r="S158" s="1052"/>
      <c r="T158" s="1051">
        <f>IF(Tables!$B$2=1,'NY Curve'!O158,IF(Tables!$B$2=2,P158,IF(Tables!$B$2=4,Q158,IF(Tables!$B$2=5,R158,IF(Tables!$B$2=3,S158,0)))))</f>
        <v>113089.78471937483</v>
      </c>
    </row>
    <row r="159" spans="1:20">
      <c r="A159" s="465">
        <v>41579</v>
      </c>
      <c r="B159" s="894">
        <v>24.364416413080125</v>
      </c>
      <c r="C159" s="901">
        <v>27.6</v>
      </c>
      <c r="D159" s="895">
        <v>22.754751586914054</v>
      </c>
      <c r="E159" s="1009">
        <v>22.754499816894523</v>
      </c>
      <c r="F159" s="891">
        <f t="shared" si="15"/>
        <v>1.0158500000000001</v>
      </c>
      <c r="G159" s="941">
        <f t="shared" si="18"/>
        <v>28.037460000000006</v>
      </c>
      <c r="I159" s="891">
        <f t="shared" si="16"/>
        <v>0.98414999999999986</v>
      </c>
      <c r="J159" s="944">
        <f t="shared" si="17"/>
        <v>27.162539999999996</v>
      </c>
      <c r="K159" s="943">
        <f t="shared" si="19"/>
        <v>23.115414399566646</v>
      </c>
      <c r="L159" s="944">
        <f t="shared" si="20"/>
        <v>22.394088774261462</v>
      </c>
      <c r="M159" s="1011">
        <f t="shared" si="21"/>
        <v>23.115158638992305</v>
      </c>
      <c r="O159" s="587"/>
      <c r="P159" s="1032"/>
      <c r="Q159" s="1052">
        <v>137025.32065999659</v>
      </c>
      <c r="R159" s="1052">
        <v>95919.782713927867</v>
      </c>
      <c r="S159" s="1052"/>
      <c r="T159" s="1051">
        <f>IF(Tables!$B$2=1,'NY Curve'!O159,IF(Tables!$B$2=2,P159,IF(Tables!$B$2=4,Q159,IF(Tables!$B$2=5,R159,IF(Tables!$B$2=3,S159,0)))))</f>
        <v>95919.782713927867</v>
      </c>
    </row>
    <row r="160" spans="1:20">
      <c r="A160" s="465">
        <v>41609</v>
      </c>
      <c r="B160" s="894">
        <v>25.141189956665038</v>
      </c>
      <c r="C160" s="901">
        <v>28.1</v>
      </c>
      <c r="D160" s="895">
        <v>24.20499839782714</v>
      </c>
      <c r="E160" s="1009">
        <v>22.699999237060538</v>
      </c>
      <c r="F160" s="891">
        <f t="shared" si="15"/>
        <v>1.0153259918063107</v>
      </c>
      <c r="G160" s="941">
        <f t="shared" si="18"/>
        <v>28.530660369757332</v>
      </c>
      <c r="I160" s="891">
        <f t="shared" si="16"/>
        <v>0.98467400819368933</v>
      </c>
      <c r="J160" s="944">
        <f t="shared" si="17"/>
        <v>27.669339630242671</v>
      </c>
      <c r="K160" s="943">
        <f t="shared" si="19"/>
        <v>24.575964004944002</v>
      </c>
      <c r="L160" s="944">
        <f t="shared" si="20"/>
        <v>23.834032790710278</v>
      </c>
      <c r="M160" s="1011">
        <f t="shared" si="21"/>
        <v>23.047899239370988</v>
      </c>
      <c r="O160" s="587"/>
      <c r="P160" s="1032"/>
      <c r="Q160" s="1052">
        <v>121825.68033697772</v>
      </c>
      <c r="R160" s="1052">
        <v>84777.843833672465</v>
      </c>
      <c r="S160" s="1052"/>
      <c r="T160" s="1051">
        <f>IF(Tables!$B$2=1,'NY Curve'!O160,IF(Tables!$B$2=2,P160,IF(Tables!$B$2=4,Q160,IF(Tables!$B$2=5,R160,IF(Tables!$B$2=3,S160,0)))))</f>
        <v>84777.843833672465</v>
      </c>
    </row>
    <row r="161" spans="1:20">
      <c r="A161" s="465">
        <v>41640</v>
      </c>
      <c r="B161" s="894">
        <v>29.038273820422948</v>
      </c>
      <c r="C161" s="901">
        <v>33.65</v>
      </c>
      <c r="D161" s="895">
        <v>27.598748397827141</v>
      </c>
      <c r="E161" s="1009">
        <v>28.102500152587883</v>
      </c>
      <c r="F161" s="891">
        <f t="shared" si="15"/>
        <v>1.0080802540450913</v>
      </c>
      <c r="G161" s="941">
        <f t="shared" si="18"/>
        <v>33.921900548617323</v>
      </c>
      <c r="I161" s="891">
        <f t="shared" si="16"/>
        <v>0.99191974595490895</v>
      </c>
      <c r="J161" s="944">
        <f t="shared" si="17"/>
        <v>33.378099451382681</v>
      </c>
      <c r="K161" s="943">
        <f t="shared" si="19"/>
        <v>27.82175329620814</v>
      </c>
      <c r="L161" s="944">
        <f t="shared" si="20"/>
        <v>27.375743499446148</v>
      </c>
      <c r="M161" s="1011">
        <f t="shared" si="21"/>
        <v>28.329575493123009</v>
      </c>
      <c r="O161" s="587"/>
      <c r="P161" s="1032"/>
      <c r="Q161" s="1052">
        <v>311841.70735875668</v>
      </c>
      <c r="R161" s="1052">
        <v>237882.32541731597</v>
      </c>
      <c r="S161" s="1052"/>
      <c r="T161" s="1051">
        <f>IF(Tables!$B$2=1,'NY Curve'!O161,IF(Tables!$B$2=2,P161,IF(Tables!$B$2=4,Q161,IF(Tables!$B$2=5,R161,IF(Tables!$B$2=3,S161,0)))))</f>
        <v>237882.32541731597</v>
      </c>
    </row>
    <row r="162" spans="1:20">
      <c r="A162" s="465">
        <v>41671</v>
      </c>
      <c r="B162" s="894">
        <v>28.563392257690424</v>
      </c>
      <c r="C162" s="901">
        <v>33.65</v>
      </c>
      <c r="D162" s="895">
        <v>26.596250152587881</v>
      </c>
      <c r="E162" s="1009">
        <v>26.097499465942374</v>
      </c>
      <c r="F162" s="891">
        <f t="shared" si="15"/>
        <v>1.0080802540450913</v>
      </c>
      <c r="G162" s="941">
        <f t="shared" si="18"/>
        <v>33.921900548617323</v>
      </c>
      <c r="I162" s="891">
        <f t="shared" si="16"/>
        <v>0.99191974595490906</v>
      </c>
      <c r="J162" s="944">
        <f t="shared" si="17"/>
        <v>33.378099451382688</v>
      </c>
      <c r="K162" s="943">
        <f t="shared" si="19"/>
        <v>26.81115461046759</v>
      </c>
      <c r="L162" s="944">
        <f t="shared" si="20"/>
        <v>26.381345694708184</v>
      </c>
      <c r="M162" s="1011">
        <f t="shared" si="21"/>
        <v>26.30837389156882</v>
      </c>
      <c r="O162" s="587"/>
      <c r="P162" s="1032"/>
      <c r="Q162" s="1052">
        <v>267848.22317345993</v>
      </c>
      <c r="R162" s="1052">
        <v>217155.82396434565</v>
      </c>
      <c r="S162" s="1052"/>
      <c r="T162" s="1051">
        <f>IF(Tables!$B$2=1,'NY Curve'!O162,IF(Tables!$B$2=2,P162,IF(Tables!$B$2=4,Q162,IF(Tables!$B$2=5,R162,IF(Tables!$B$2=3,S162,0)))))</f>
        <v>217155.82396434565</v>
      </c>
    </row>
    <row r="163" spans="1:20">
      <c r="A163" s="465">
        <v>41699</v>
      </c>
      <c r="B163" s="894">
        <v>24.302273505074634</v>
      </c>
      <c r="C163" s="901">
        <v>28.65</v>
      </c>
      <c r="D163" s="895">
        <v>19.784749603271475</v>
      </c>
      <c r="E163" s="1009">
        <v>21.414498901367178</v>
      </c>
      <c r="F163" s="891">
        <f t="shared" si="15"/>
        <v>1.0080875</v>
      </c>
      <c r="G163" s="941">
        <f t="shared" si="18"/>
        <v>28.881706874999999</v>
      </c>
      <c r="I163" s="891">
        <f t="shared" si="16"/>
        <v>0.99191250000000009</v>
      </c>
      <c r="J163" s="944">
        <f t="shared" si="17"/>
        <v>28.418293125000002</v>
      </c>
      <c r="K163" s="943">
        <f t="shared" si="19"/>
        <v>19.944758765687933</v>
      </c>
      <c r="L163" s="944">
        <f t="shared" si="20"/>
        <v>19.624740440855017</v>
      </c>
      <c r="M163" s="1011">
        <f t="shared" si="21"/>
        <v>21.587688661231986</v>
      </c>
      <c r="O163" s="587"/>
      <c r="P163" s="1032"/>
      <c r="Q163" s="1052">
        <v>130145.29710211458</v>
      </c>
      <c r="R163" s="1052">
        <v>119151.4850708001</v>
      </c>
      <c r="S163" s="1052"/>
      <c r="T163" s="1051">
        <f>IF(Tables!$B$2=1,'NY Curve'!O163,IF(Tables!$B$2=2,P163,IF(Tables!$B$2=4,Q163,IF(Tables!$B$2=5,R163,IF(Tables!$B$2=3,S163,0)))))</f>
        <v>119151.4850708001</v>
      </c>
    </row>
    <row r="164" spans="1:20">
      <c r="A164" s="465">
        <v>41730</v>
      </c>
      <c r="B164" s="894">
        <v>23.771785082135878</v>
      </c>
      <c r="C164" s="901">
        <v>27.4</v>
      </c>
      <c r="D164" s="895">
        <v>20.467500305175772</v>
      </c>
      <c r="E164" s="1009">
        <v>21.184999084472647</v>
      </c>
      <c r="F164" s="891">
        <f t="shared" si="15"/>
        <v>1.07269528338234</v>
      </c>
      <c r="G164" s="941">
        <f t="shared" si="18"/>
        <v>29.391850764676114</v>
      </c>
      <c r="I164" s="891">
        <f t="shared" si="16"/>
        <v>0.92730471661766001</v>
      </c>
      <c r="J164" s="944">
        <f t="shared" si="17"/>
        <v>25.408149235323883</v>
      </c>
      <c r="K164" s="943">
        <f t="shared" si="19"/>
        <v>21.955391039988655</v>
      </c>
      <c r="L164" s="944">
        <f t="shared" si="20"/>
        <v>18.979609570362889</v>
      </c>
      <c r="M164" s="1011">
        <f t="shared" si="21"/>
        <v>22.725048596373</v>
      </c>
      <c r="O164" s="587"/>
      <c r="P164" s="1032"/>
      <c r="Q164" s="1052">
        <v>146580.91488117553</v>
      </c>
      <c r="R164" s="1052">
        <v>142627.01425946856</v>
      </c>
      <c r="S164" s="1052"/>
      <c r="T164" s="1051">
        <f>IF(Tables!$B$2=1,'NY Curve'!O164,IF(Tables!$B$2=2,P164,IF(Tables!$B$2=4,Q164,IF(Tables!$B$2=5,R164,IF(Tables!$B$2=3,S164,0)))))</f>
        <v>142627.01425946856</v>
      </c>
    </row>
    <row r="165" spans="1:20">
      <c r="A165" s="465">
        <v>41760</v>
      </c>
      <c r="B165" s="894">
        <v>26.363928004673546</v>
      </c>
      <c r="C165" s="901">
        <v>32.65</v>
      </c>
      <c r="D165" s="895">
        <v>20.582500076293936</v>
      </c>
      <c r="E165" s="1009">
        <v>21.714999771118155</v>
      </c>
      <c r="F165" s="891">
        <f t="shared" si="15"/>
        <v>1.058490237990529</v>
      </c>
      <c r="G165" s="941">
        <f t="shared" si="18"/>
        <v>34.55970627039077</v>
      </c>
      <c r="I165" s="891">
        <f t="shared" si="16"/>
        <v>0.94150976200947101</v>
      </c>
      <c r="J165" s="944">
        <f t="shared" si="17"/>
        <v>30.740293729609228</v>
      </c>
      <c r="K165" s="943">
        <f t="shared" si="19"/>
        <v>21.786375404196448</v>
      </c>
      <c r="L165" s="944">
        <f t="shared" si="20"/>
        <v>19.378624748391424</v>
      </c>
      <c r="M165" s="1011">
        <f t="shared" si="21"/>
        <v>22.98511527569514</v>
      </c>
      <c r="O165" s="587"/>
      <c r="P165" s="1032"/>
      <c r="Q165" s="1052">
        <v>363449.36545442109</v>
      </c>
      <c r="R165" s="1052">
        <v>298529.48129531572</v>
      </c>
      <c r="S165" s="1052"/>
      <c r="T165" s="1051">
        <f>IF(Tables!$B$2=1,'NY Curve'!O165,IF(Tables!$B$2=2,P165,IF(Tables!$B$2=4,Q165,IF(Tables!$B$2=5,R165,IF(Tables!$B$2=3,S165,0)))))</f>
        <v>298529.48129531572</v>
      </c>
    </row>
    <row r="166" spans="1:20">
      <c r="A166" s="465">
        <v>41791</v>
      </c>
      <c r="B166" s="894">
        <v>37.572797284807478</v>
      </c>
      <c r="C166" s="901">
        <v>55.25</v>
      </c>
      <c r="D166" s="895">
        <v>25.008750152587883</v>
      </c>
      <c r="E166" s="1009">
        <v>20.49249954223632</v>
      </c>
      <c r="F166" s="891">
        <f t="shared" si="15"/>
        <v>1.1693830474353057</v>
      </c>
      <c r="G166" s="941">
        <f t="shared" si="18"/>
        <v>64.608413370800648</v>
      </c>
      <c r="I166" s="891">
        <f t="shared" si="16"/>
        <v>0.83061695843935013</v>
      </c>
      <c r="J166" s="944">
        <f t="shared" si="17"/>
        <v>45.891586953774095</v>
      </c>
      <c r="K166" s="943">
        <f t="shared" si="19"/>
        <v>29.244808465981386</v>
      </c>
      <c r="L166" s="944">
        <f t="shared" si="20"/>
        <v>20.772691986112182</v>
      </c>
      <c r="M166" s="1011">
        <f t="shared" si="21"/>
        <v>23.963581564266917</v>
      </c>
      <c r="O166" s="587"/>
      <c r="P166" s="1032"/>
      <c r="Q166" s="1052">
        <v>1222402.007158129</v>
      </c>
      <c r="R166" s="1052">
        <v>1102385.2815402744</v>
      </c>
      <c r="S166" s="1052"/>
      <c r="T166" s="1051">
        <f>IF(Tables!$B$2=1,'NY Curve'!O166,IF(Tables!$B$2=2,P166,IF(Tables!$B$2=4,Q166,IF(Tables!$B$2=5,R166,IF(Tables!$B$2=3,S166,0)))))</f>
        <v>1102385.2815402744</v>
      </c>
    </row>
    <row r="167" spans="1:20">
      <c r="A167" s="465">
        <v>41821</v>
      </c>
      <c r="B167" s="894">
        <v>55.41553502764021</v>
      </c>
      <c r="C167" s="901">
        <v>86</v>
      </c>
      <c r="D167" s="895">
        <v>38.211249542236359</v>
      </c>
      <c r="E167" s="1009">
        <v>29.697499465942375</v>
      </c>
      <c r="F167" s="891">
        <f t="shared" si="15"/>
        <v>1.2214070997107602</v>
      </c>
      <c r="G167" s="941">
        <f t="shared" si="18"/>
        <v>105.04101057512538</v>
      </c>
      <c r="I167" s="891">
        <f t="shared" si="16"/>
        <v>0.77859290689229965</v>
      </c>
      <c r="J167" s="944">
        <f t="shared" si="17"/>
        <v>66.95898999273777</v>
      </c>
      <c r="K167" s="943">
        <f t="shared" si="19"/>
        <v>46.671491479707029</v>
      </c>
      <c r="L167" s="944">
        <f t="shared" si="20"/>
        <v>29.751007857076861</v>
      </c>
      <c r="M167" s="1011">
        <f t="shared" si="21"/>
        <v>36.272736691358524</v>
      </c>
      <c r="O167" s="587"/>
      <c r="P167" s="1032"/>
      <c r="Q167" s="1052">
        <v>3101913.6805439452</v>
      </c>
      <c r="R167" s="1052">
        <v>2771564.154562898</v>
      </c>
      <c r="S167" s="1052"/>
      <c r="T167" s="1051">
        <f>IF(Tables!$B$2=1,'NY Curve'!O167,IF(Tables!$B$2=2,P167,IF(Tables!$B$2=4,Q167,IF(Tables!$B$2=5,R167,IF(Tables!$B$2=3,S167,0)))))</f>
        <v>2771564.154562898</v>
      </c>
    </row>
    <row r="168" spans="1:20">
      <c r="A168" s="465">
        <v>41852</v>
      </c>
      <c r="B168" s="894">
        <v>52.464404296875003</v>
      </c>
      <c r="C168" s="901">
        <v>78.5</v>
      </c>
      <c r="D168" s="895">
        <v>40.472499084472688</v>
      </c>
      <c r="E168" s="1009">
        <v>31.195000839233391</v>
      </c>
      <c r="F168" s="891">
        <f t="shared" si="15"/>
        <v>1.1576814286317387</v>
      </c>
      <c r="G168" s="941">
        <f t="shared" si="18"/>
        <v>90.877992147591485</v>
      </c>
      <c r="I168" s="891">
        <f t="shared" si="16"/>
        <v>0.84209904074668884</v>
      </c>
      <c r="J168" s="944">
        <f t="shared" si="17"/>
        <v>66.104774698615074</v>
      </c>
      <c r="K168" s="943">
        <f t="shared" si="19"/>
        <v>46.854260560409081</v>
      </c>
      <c r="L168" s="944">
        <f t="shared" si="20"/>
        <v>34.081852655655695</v>
      </c>
      <c r="M168" s="1011">
        <f t="shared" si="21"/>
        <v>36.113873137732</v>
      </c>
      <c r="O168" s="587"/>
      <c r="P168" s="1032"/>
      <c r="Q168" s="1052">
        <v>3019712.3360670945</v>
      </c>
      <c r="R168" s="1052">
        <v>2688272.9159378791</v>
      </c>
      <c r="S168" s="1052"/>
      <c r="T168" s="1051">
        <f>IF(Tables!$B$2=1,'NY Curve'!O168,IF(Tables!$B$2=2,P168,IF(Tables!$B$2=4,Q168,IF(Tables!$B$2=5,R168,IF(Tables!$B$2=3,S168,0)))))</f>
        <v>2688272.9159378791</v>
      </c>
    </row>
    <row r="169" spans="1:20">
      <c r="A169" s="465">
        <v>41883</v>
      </c>
      <c r="B169" s="894">
        <v>24.462856683276943</v>
      </c>
      <c r="C169" s="901">
        <v>31.65</v>
      </c>
      <c r="D169" s="895">
        <v>17.079999542236322</v>
      </c>
      <c r="E169" s="1009">
        <v>14.660000419616692</v>
      </c>
      <c r="F169" s="891">
        <f t="shared" si="15"/>
        <v>1.0965337923205105</v>
      </c>
      <c r="G169" s="941">
        <f t="shared" si="18"/>
        <v>34.705294526944158</v>
      </c>
      <c r="I169" s="891">
        <f t="shared" si="16"/>
        <v>0.90346620767948926</v>
      </c>
      <c r="J169" s="944">
        <f t="shared" si="17"/>
        <v>28.594705473055836</v>
      </c>
      <c r="K169" s="943">
        <f t="shared" si="19"/>
        <v>18.728796670880978</v>
      </c>
      <c r="L169" s="944">
        <f t="shared" si="20"/>
        <v>15.431202413591663</v>
      </c>
      <c r="M169" s="1011">
        <f t="shared" si="21"/>
        <v>16.075185855542568</v>
      </c>
      <c r="O169" s="587"/>
      <c r="P169" s="1032"/>
      <c r="Q169" s="1052">
        <v>386847.85066875891</v>
      </c>
      <c r="R169" s="1052">
        <v>318177.35695726192</v>
      </c>
      <c r="S169" s="1052"/>
      <c r="T169" s="1051">
        <f>IF(Tables!$B$2=1,'NY Curve'!O169,IF(Tables!$B$2=2,P169,IF(Tables!$B$2=4,Q169,IF(Tables!$B$2=5,R169,IF(Tables!$B$2=3,S169,0)))))</f>
        <v>318177.35695726192</v>
      </c>
    </row>
    <row r="170" spans="1:20">
      <c r="A170" s="465">
        <v>41913</v>
      </c>
      <c r="B170" s="894">
        <v>24.104975909278501</v>
      </c>
      <c r="C170" s="901">
        <v>27.4</v>
      </c>
      <c r="D170" s="895">
        <v>21.950500106811514</v>
      </c>
      <c r="E170" s="1009">
        <v>21.950999832153311</v>
      </c>
      <c r="F170" s="891">
        <f t="shared" si="15"/>
        <v>1.0119875</v>
      </c>
      <c r="G170" s="941">
        <f t="shared" si="18"/>
        <v>27.728457500000001</v>
      </c>
      <c r="I170" s="891">
        <f t="shared" si="16"/>
        <v>0.98801249999999996</v>
      </c>
      <c r="J170" s="944">
        <f t="shared" si="17"/>
        <v>27.071542499999996</v>
      </c>
      <c r="K170" s="943">
        <f t="shared" si="19"/>
        <v>22.213631726841918</v>
      </c>
      <c r="L170" s="944">
        <f t="shared" si="20"/>
        <v>21.687368486781111</v>
      </c>
      <c r="M170" s="1011">
        <f t="shared" si="21"/>
        <v>22.214137442641249</v>
      </c>
      <c r="O170" s="587"/>
      <c r="P170" s="1032"/>
      <c r="Q170" s="1052">
        <v>133194.19973005651</v>
      </c>
      <c r="R170" s="1052">
        <v>104285.91237783594</v>
      </c>
      <c r="S170" s="1052"/>
      <c r="T170" s="1051">
        <f>IF(Tables!$B$2=1,'NY Curve'!O170,IF(Tables!$B$2=2,P170,IF(Tables!$B$2=4,Q170,IF(Tables!$B$2=5,R170,IF(Tables!$B$2=3,S170,0)))))</f>
        <v>104285.91237783594</v>
      </c>
    </row>
    <row r="171" spans="1:20">
      <c r="A171" s="465">
        <v>41944</v>
      </c>
      <c r="B171" s="894">
        <v>24.612035460699168</v>
      </c>
      <c r="C171" s="901">
        <v>27.9</v>
      </c>
      <c r="D171" s="895">
        <v>22.954751586914053</v>
      </c>
      <c r="E171" s="1009">
        <v>22.954499816894522</v>
      </c>
      <c r="F171" s="891">
        <f t="shared" si="15"/>
        <v>1.0158500000000001</v>
      </c>
      <c r="G171" s="941">
        <f t="shared" si="18"/>
        <v>28.342215000000003</v>
      </c>
      <c r="I171" s="891">
        <f t="shared" si="16"/>
        <v>0.98414999999999986</v>
      </c>
      <c r="J171" s="944">
        <f t="shared" si="17"/>
        <v>27.457784999999994</v>
      </c>
      <c r="K171" s="943">
        <f t="shared" si="19"/>
        <v>23.318584399566646</v>
      </c>
      <c r="L171" s="944">
        <f t="shared" si="20"/>
        <v>22.590918774261461</v>
      </c>
      <c r="M171" s="1011">
        <f t="shared" si="21"/>
        <v>23.318328638992302</v>
      </c>
      <c r="O171" s="587"/>
      <c r="P171" s="1032"/>
      <c r="Q171" s="1052">
        <v>121200.10201649881</v>
      </c>
      <c r="R171" s="1052">
        <v>79196.653857834288</v>
      </c>
      <c r="S171" s="1052"/>
      <c r="T171" s="1051">
        <f>IF(Tables!$B$2=1,'NY Curve'!O171,IF(Tables!$B$2=2,P171,IF(Tables!$B$2=4,Q171,IF(Tables!$B$2=5,R171,IF(Tables!$B$2=3,S171,0)))))</f>
        <v>79196.653857834288</v>
      </c>
    </row>
    <row r="172" spans="1:20">
      <c r="A172" s="465">
        <v>41974</v>
      </c>
      <c r="B172" s="894">
        <v>25.388809004284081</v>
      </c>
      <c r="C172" s="901">
        <v>28.4</v>
      </c>
      <c r="D172" s="895">
        <v>24.404998397827139</v>
      </c>
      <c r="E172" s="1009">
        <v>22.899999237060538</v>
      </c>
      <c r="F172" s="891">
        <f t="shared" si="15"/>
        <v>1.0153259918063107</v>
      </c>
      <c r="G172" s="941">
        <f t="shared" si="18"/>
        <v>28.835258167299223</v>
      </c>
      <c r="I172" s="891">
        <f t="shared" si="16"/>
        <v>0.98467400819368933</v>
      </c>
      <c r="J172" s="944">
        <f t="shared" si="17"/>
        <v>27.964741832700774</v>
      </c>
      <c r="K172" s="943">
        <f t="shared" si="19"/>
        <v>24.779029203305264</v>
      </c>
      <c r="L172" s="944">
        <f t="shared" si="20"/>
        <v>24.030967592349015</v>
      </c>
      <c r="M172" s="1011">
        <f t="shared" si="21"/>
        <v>23.250964437732247</v>
      </c>
      <c r="O172" s="587"/>
      <c r="P172" s="1032"/>
      <c r="Q172" s="1052">
        <v>111041.81492031549</v>
      </c>
      <c r="R172" s="1052">
        <v>76455.270565070314</v>
      </c>
      <c r="S172" s="1052"/>
      <c r="T172" s="1051">
        <f>IF(Tables!$B$2=1,'NY Curve'!O172,IF(Tables!$B$2=2,P172,IF(Tables!$B$2=4,Q172,IF(Tables!$B$2=5,R172,IF(Tables!$B$2=3,S172,0)))))</f>
        <v>76455.270565070314</v>
      </c>
    </row>
    <row r="173" spans="1:20">
      <c r="A173" s="465">
        <v>42005</v>
      </c>
      <c r="B173" s="894">
        <v>29.285892868041987</v>
      </c>
      <c r="C173" s="901">
        <v>33.950000000000003</v>
      </c>
      <c r="D173" s="895">
        <v>27.79874839782714</v>
      </c>
      <c r="E173" s="1009">
        <v>28.302500152587882</v>
      </c>
      <c r="F173" s="891">
        <f t="shared" si="15"/>
        <v>1.0080802540450913</v>
      </c>
      <c r="G173" s="941">
        <f t="shared" si="18"/>
        <v>34.224324624830849</v>
      </c>
      <c r="I173" s="891">
        <f t="shared" si="16"/>
        <v>0.99191974595490895</v>
      </c>
      <c r="J173" s="944">
        <f t="shared" si="17"/>
        <v>33.675675375169163</v>
      </c>
      <c r="K173" s="943">
        <f t="shared" si="19"/>
        <v>28.023369347017159</v>
      </c>
      <c r="L173" s="944">
        <f t="shared" si="20"/>
        <v>27.574127448637128</v>
      </c>
      <c r="M173" s="1011">
        <f t="shared" si="21"/>
        <v>28.531191543932028</v>
      </c>
      <c r="O173" s="587"/>
      <c r="P173" s="1032"/>
      <c r="Q173" s="1052">
        <v>259671.3607086768</v>
      </c>
      <c r="R173" s="1052">
        <v>196482.16152568103</v>
      </c>
      <c r="S173" s="1052"/>
      <c r="T173" s="1051">
        <f>IF(Tables!$B$2=1,'NY Curve'!O173,IF(Tables!$B$2=2,P173,IF(Tables!$B$2=4,Q173,IF(Tables!$B$2=5,R173,IF(Tables!$B$2=3,S173,0)))))</f>
        <v>196482.16152568103</v>
      </c>
    </row>
    <row r="174" spans="1:20">
      <c r="A174" s="465">
        <v>42036</v>
      </c>
      <c r="B174" s="894">
        <v>28.811011305309474</v>
      </c>
      <c r="C174" s="901">
        <v>33.950000000000003</v>
      </c>
      <c r="D174" s="895">
        <v>26.796250152587881</v>
      </c>
      <c r="E174" s="1009">
        <v>26.297499465942373</v>
      </c>
      <c r="F174" s="891">
        <f t="shared" si="15"/>
        <v>1.0080802540450913</v>
      </c>
      <c r="G174" s="941">
        <f t="shared" si="18"/>
        <v>34.224324624830849</v>
      </c>
      <c r="I174" s="891">
        <f t="shared" si="16"/>
        <v>0.99191974595490906</v>
      </c>
      <c r="J174" s="944">
        <f t="shared" si="17"/>
        <v>33.675675375169163</v>
      </c>
      <c r="K174" s="943">
        <f t="shared" si="19"/>
        <v>27.012770661276608</v>
      </c>
      <c r="L174" s="944">
        <f t="shared" si="20"/>
        <v>26.579729643899164</v>
      </c>
      <c r="M174" s="1011">
        <f t="shared" si="21"/>
        <v>26.509989942377839</v>
      </c>
      <c r="O174" s="587"/>
      <c r="P174" s="1032"/>
      <c r="Q174" s="1052">
        <v>233000.83501787222</v>
      </c>
      <c r="R174" s="1052">
        <v>187536.23043412139</v>
      </c>
      <c r="S174" s="1052"/>
      <c r="T174" s="1051">
        <f>IF(Tables!$B$2=1,'NY Curve'!O174,IF(Tables!$B$2=2,P174,IF(Tables!$B$2=4,Q174,IF(Tables!$B$2=5,R174,IF(Tables!$B$2=3,S174,0)))))</f>
        <v>187536.23043412139</v>
      </c>
    </row>
    <row r="175" spans="1:20">
      <c r="A175" s="465">
        <v>42064</v>
      </c>
      <c r="B175" s="894">
        <v>24.549892552693684</v>
      </c>
      <c r="C175" s="901">
        <v>28.95</v>
      </c>
      <c r="D175" s="895">
        <v>19.984749603271474</v>
      </c>
      <c r="E175" s="1009">
        <v>21.614498901367178</v>
      </c>
      <c r="F175" s="891">
        <f t="shared" si="15"/>
        <v>1.0080875</v>
      </c>
      <c r="G175" s="941">
        <f t="shared" si="18"/>
        <v>29.184133124999999</v>
      </c>
      <c r="I175" s="891">
        <f t="shared" si="16"/>
        <v>0.99191250000000009</v>
      </c>
      <c r="J175" s="944">
        <f t="shared" si="17"/>
        <v>28.715866875000003</v>
      </c>
      <c r="K175" s="943">
        <f t="shared" si="19"/>
        <v>20.146376265687934</v>
      </c>
      <c r="L175" s="944">
        <f t="shared" si="20"/>
        <v>19.823122940855018</v>
      </c>
      <c r="M175" s="1011">
        <f t="shared" si="21"/>
        <v>21.789306161231984</v>
      </c>
      <c r="O175" s="587"/>
      <c r="P175" s="1032"/>
      <c r="Q175" s="1052">
        <v>111569.24989620976</v>
      </c>
      <c r="R175" s="1052">
        <v>102147.37669046983</v>
      </c>
      <c r="S175" s="1052"/>
      <c r="T175" s="1051">
        <f>IF(Tables!$B$2=1,'NY Curve'!O175,IF(Tables!$B$2=2,P175,IF(Tables!$B$2=4,Q175,IF(Tables!$B$2=5,R175,IF(Tables!$B$2=3,S175,0)))))</f>
        <v>102147.37669046983</v>
      </c>
    </row>
    <row r="176" spans="1:20">
      <c r="A176" s="465">
        <v>42095</v>
      </c>
      <c r="B176" s="894">
        <v>24.019404129754928</v>
      </c>
      <c r="C176" s="901">
        <v>27.7</v>
      </c>
      <c r="D176" s="895">
        <v>20.667500305175771</v>
      </c>
      <c r="E176" s="1009">
        <v>21.384999084472646</v>
      </c>
      <c r="F176" s="891">
        <f t="shared" si="15"/>
        <v>1.07269528338234</v>
      </c>
      <c r="G176" s="941">
        <f t="shared" si="18"/>
        <v>29.713659349690818</v>
      </c>
      <c r="I176" s="891">
        <f t="shared" si="16"/>
        <v>0.92730471661766001</v>
      </c>
      <c r="J176" s="944">
        <f t="shared" si="17"/>
        <v>25.68634065030918</v>
      </c>
      <c r="K176" s="943">
        <f t="shared" si="19"/>
        <v>22.169930096665123</v>
      </c>
      <c r="L176" s="944">
        <f t="shared" si="20"/>
        <v>19.16507051368642</v>
      </c>
      <c r="M176" s="1011">
        <f t="shared" si="21"/>
        <v>22.939587653049468</v>
      </c>
      <c r="O176" s="587"/>
      <c r="P176" s="1032"/>
      <c r="Q176" s="1052">
        <v>174232.41418713034</v>
      </c>
      <c r="R176" s="1052">
        <v>152359.51815457884</v>
      </c>
      <c r="S176" s="1052"/>
      <c r="T176" s="1051">
        <f>IF(Tables!$B$2=1,'NY Curve'!O176,IF(Tables!$B$2=2,P176,IF(Tables!$B$2=4,Q176,IF(Tables!$B$2=5,R176,IF(Tables!$B$2=3,S176,0)))))</f>
        <v>152359.51815457884</v>
      </c>
    </row>
    <row r="177" spans="1:20">
      <c r="A177" s="465">
        <v>42125</v>
      </c>
      <c r="B177" s="894">
        <v>26.706785147530688</v>
      </c>
      <c r="C177" s="901">
        <v>33.15</v>
      </c>
      <c r="D177" s="895">
        <v>20.782500076293935</v>
      </c>
      <c r="E177" s="1009">
        <v>21.914999771118154</v>
      </c>
      <c r="F177" s="891">
        <f t="shared" si="15"/>
        <v>1.058490237990529</v>
      </c>
      <c r="G177" s="941">
        <f t="shared" si="18"/>
        <v>35.088951389386033</v>
      </c>
      <c r="I177" s="891">
        <f t="shared" si="16"/>
        <v>0.94150976200947101</v>
      </c>
      <c r="J177" s="944">
        <f t="shared" si="17"/>
        <v>31.211048610613961</v>
      </c>
      <c r="K177" s="943">
        <f t="shared" si="19"/>
        <v>21.998073451794554</v>
      </c>
      <c r="L177" s="944">
        <f t="shared" si="20"/>
        <v>19.566926700793317</v>
      </c>
      <c r="M177" s="1011">
        <f t="shared" si="21"/>
        <v>23.196813323293242</v>
      </c>
      <c r="O177" s="587"/>
      <c r="P177" s="1032"/>
      <c r="Q177" s="1052">
        <v>368939.72548306006</v>
      </c>
      <c r="R177" s="1052">
        <v>303092.19886077888</v>
      </c>
      <c r="S177" s="1052"/>
      <c r="T177" s="1051">
        <f>IF(Tables!$B$2=1,'NY Curve'!O177,IF(Tables!$B$2=2,P177,IF(Tables!$B$2=4,Q177,IF(Tables!$B$2=5,R177,IF(Tables!$B$2=3,S177,0)))))</f>
        <v>303092.19886077888</v>
      </c>
    </row>
    <row r="178" spans="1:20">
      <c r="A178" s="465">
        <v>42156</v>
      </c>
      <c r="B178" s="894">
        <v>38.153749665759854</v>
      </c>
      <c r="C178" s="901">
        <v>56.25</v>
      </c>
      <c r="D178" s="895">
        <v>25.208750152587882</v>
      </c>
      <c r="E178" s="1009">
        <v>20.69249954223632</v>
      </c>
      <c r="F178" s="891">
        <f t="shared" si="15"/>
        <v>1.1693830474353057</v>
      </c>
      <c r="G178" s="941">
        <f t="shared" si="18"/>
        <v>65.777796418235951</v>
      </c>
      <c r="I178" s="891">
        <f t="shared" si="16"/>
        <v>0.83061695843935013</v>
      </c>
      <c r="J178" s="944">
        <f t="shared" si="17"/>
        <v>46.722203912213445</v>
      </c>
      <c r="K178" s="943">
        <f t="shared" si="19"/>
        <v>29.478685075468448</v>
      </c>
      <c r="L178" s="944">
        <f t="shared" si="20"/>
        <v>20.938815377800051</v>
      </c>
      <c r="M178" s="1011">
        <f t="shared" si="21"/>
        <v>24.197458173753976</v>
      </c>
      <c r="O178" s="587"/>
      <c r="P178" s="1032"/>
      <c r="Q178" s="1052">
        <v>1112573.5561287662</v>
      </c>
      <c r="R178" s="1052">
        <v>1004676.1328099903</v>
      </c>
      <c r="S178" s="1052"/>
      <c r="T178" s="1051">
        <f>IF(Tables!$B$2=1,'NY Curve'!O178,IF(Tables!$B$2=2,P178,IF(Tables!$B$2=4,Q178,IF(Tables!$B$2=5,R178,IF(Tables!$B$2=3,S178,0)))))</f>
        <v>1004676.1328099903</v>
      </c>
    </row>
    <row r="179" spans="1:20">
      <c r="A179" s="465">
        <v>42186</v>
      </c>
      <c r="B179" s="894">
        <v>56.472677884783067</v>
      </c>
      <c r="C179" s="901">
        <v>88</v>
      </c>
      <c r="D179" s="895">
        <v>38.411249542236362</v>
      </c>
      <c r="E179" s="1009">
        <v>29.897499465942374</v>
      </c>
      <c r="F179" s="891">
        <f t="shared" si="15"/>
        <v>1.2214070997107602</v>
      </c>
      <c r="G179" s="941">
        <f t="shared" si="18"/>
        <v>107.4838247745469</v>
      </c>
      <c r="I179" s="891">
        <f t="shared" si="16"/>
        <v>0.77859290689229965</v>
      </c>
      <c r="J179" s="944">
        <f t="shared" si="17"/>
        <v>68.516175806522369</v>
      </c>
      <c r="K179" s="943">
        <f t="shared" si="19"/>
        <v>46.915772899649184</v>
      </c>
      <c r="L179" s="944">
        <f t="shared" si="20"/>
        <v>29.906726438455323</v>
      </c>
      <c r="M179" s="1011">
        <f t="shared" si="21"/>
        <v>36.517018111300679</v>
      </c>
      <c r="O179" s="587"/>
      <c r="P179" s="1032"/>
      <c r="Q179" s="1052">
        <v>2828711.4375586053</v>
      </c>
      <c r="R179" s="1052">
        <v>2529967.5553252194</v>
      </c>
      <c r="S179" s="1052"/>
      <c r="T179" s="1051">
        <f>IF(Tables!$B$2=1,'NY Curve'!O179,IF(Tables!$B$2=2,P179,IF(Tables!$B$2=4,Q179,IF(Tables!$B$2=5,R179,IF(Tables!$B$2=3,S179,0)))))</f>
        <v>2529967.5553252194</v>
      </c>
    </row>
    <row r="180" spans="1:20">
      <c r="A180" s="465">
        <v>42217</v>
      </c>
      <c r="B180" s="894">
        <v>53.52154715401786</v>
      </c>
      <c r="C180" s="901">
        <v>80.5</v>
      </c>
      <c r="D180" s="895">
        <v>40.67249908447269</v>
      </c>
      <c r="E180" s="1009">
        <v>31.39500083923339</v>
      </c>
      <c r="F180" s="891">
        <f t="shared" si="15"/>
        <v>1.1576814286317387</v>
      </c>
      <c r="G180" s="941">
        <f t="shared" si="18"/>
        <v>93.193355004854965</v>
      </c>
      <c r="I180" s="891">
        <f t="shared" si="16"/>
        <v>0.84209904074668884</v>
      </c>
      <c r="J180" s="944">
        <f t="shared" si="17"/>
        <v>67.788972780108452</v>
      </c>
      <c r="K180" s="943">
        <f t="shared" si="19"/>
        <v>47.08579684613543</v>
      </c>
      <c r="L180" s="944">
        <f t="shared" si="20"/>
        <v>34.250272463805032</v>
      </c>
      <c r="M180" s="1011">
        <f t="shared" si="21"/>
        <v>36.345409423458349</v>
      </c>
      <c r="O180" s="587"/>
      <c r="P180" s="1032"/>
      <c r="Q180" s="1052">
        <v>2715517.7141976552</v>
      </c>
      <c r="R180" s="1052">
        <v>2415359.9839368989</v>
      </c>
      <c r="S180" s="1052"/>
      <c r="T180" s="1051">
        <f>IF(Tables!$B$2=1,'NY Curve'!O180,IF(Tables!$B$2=2,P180,IF(Tables!$B$2=4,Q180,IF(Tables!$B$2=5,R180,IF(Tables!$B$2=3,S180,0)))))</f>
        <v>2415359.9839368989</v>
      </c>
    </row>
    <row r="181" spans="1:20">
      <c r="A181" s="465">
        <v>42248</v>
      </c>
      <c r="B181" s="894">
        <v>24.710475730895993</v>
      </c>
      <c r="C181" s="901">
        <v>31.95</v>
      </c>
      <c r="D181" s="895">
        <v>17.279999542236322</v>
      </c>
      <c r="E181" s="1009">
        <v>14.860000419616691</v>
      </c>
      <c r="F181" s="891">
        <f t="shared" si="15"/>
        <v>1.0965337923205105</v>
      </c>
      <c r="G181" s="941">
        <f t="shared" si="18"/>
        <v>35.034254664640308</v>
      </c>
      <c r="I181" s="891">
        <f t="shared" si="16"/>
        <v>0.90346620767948926</v>
      </c>
      <c r="J181" s="944">
        <f t="shared" si="17"/>
        <v>28.86574533535968</v>
      </c>
      <c r="K181" s="943">
        <f t="shared" si="19"/>
        <v>18.948103429345078</v>
      </c>
      <c r="L181" s="944">
        <f t="shared" si="20"/>
        <v>15.61189565512756</v>
      </c>
      <c r="M181" s="1011">
        <f t="shared" si="21"/>
        <v>16.294492614006668</v>
      </c>
      <c r="O181" s="587"/>
      <c r="P181" s="1032"/>
      <c r="Q181" s="1052">
        <v>404214.07983736024</v>
      </c>
      <c r="R181" s="1052">
        <v>332533.44979055639</v>
      </c>
      <c r="S181" s="1052"/>
      <c r="T181" s="1051">
        <f>IF(Tables!$B$2=1,'NY Curve'!O181,IF(Tables!$B$2=2,P181,IF(Tables!$B$2=4,Q181,IF(Tables!$B$2=5,R181,IF(Tables!$B$2=3,S181,0)))))</f>
        <v>332533.44979055639</v>
      </c>
    </row>
    <row r="182" spans="1:20">
      <c r="A182" s="465">
        <v>42278</v>
      </c>
      <c r="B182" s="894">
        <v>24.352594956897551</v>
      </c>
      <c r="C182" s="901">
        <v>27.7</v>
      </c>
      <c r="D182" s="895">
        <v>22.150500106811513</v>
      </c>
      <c r="E182" s="1009">
        <v>22.15099983215331</v>
      </c>
      <c r="F182" s="891">
        <f t="shared" si="15"/>
        <v>1.0119875</v>
      </c>
      <c r="G182" s="941">
        <f t="shared" si="18"/>
        <v>28.032053749999999</v>
      </c>
      <c r="I182" s="891">
        <f t="shared" si="16"/>
        <v>0.98801249999999996</v>
      </c>
      <c r="J182" s="944">
        <f t="shared" si="17"/>
        <v>27.367946249999999</v>
      </c>
      <c r="K182" s="943">
        <f t="shared" si="19"/>
        <v>22.416029226841918</v>
      </c>
      <c r="L182" s="944">
        <f t="shared" si="20"/>
        <v>21.884970986781109</v>
      </c>
      <c r="M182" s="1011">
        <f t="shared" si="21"/>
        <v>22.416534942641249</v>
      </c>
      <c r="O182" s="587"/>
      <c r="P182" s="1032"/>
      <c r="Q182" s="1052">
        <v>136163.13116628584</v>
      </c>
      <c r="R182" s="1052">
        <v>106558.36173517798</v>
      </c>
      <c r="S182" s="1052"/>
      <c r="T182" s="1051">
        <f>IF(Tables!$B$2=1,'NY Curve'!O182,IF(Tables!$B$2=2,P182,IF(Tables!$B$2=4,Q182,IF(Tables!$B$2=5,R182,IF(Tables!$B$2=3,S182,0)))))</f>
        <v>106558.36173517798</v>
      </c>
    </row>
    <row r="183" spans="1:20">
      <c r="A183" s="465">
        <v>42309</v>
      </c>
      <c r="B183" s="894">
        <v>24.859654508318219</v>
      </c>
      <c r="C183" s="901">
        <v>28.2</v>
      </c>
      <c r="D183" s="895">
        <v>23.154751586914053</v>
      </c>
      <c r="E183" s="1009">
        <v>23.154499816894521</v>
      </c>
      <c r="F183" s="891">
        <f t="shared" si="15"/>
        <v>1.0158500000000001</v>
      </c>
      <c r="G183" s="941">
        <f t="shared" si="18"/>
        <v>28.646970000000003</v>
      </c>
      <c r="I183" s="891">
        <f t="shared" si="16"/>
        <v>0.98414999999999986</v>
      </c>
      <c r="J183" s="944">
        <f t="shared" si="17"/>
        <v>27.753029999999995</v>
      </c>
      <c r="K183" s="943">
        <f t="shared" si="19"/>
        <v>23.521754399566642</v>
      </c>
      <c r="L183" s="944">
        <f t="shared" si="20"/>
        <v>22.787748774261463</v>
      </c>
      <c r="M183" s="1011">
        <f t="shared" si="21"/>
        <v>23.521498638992302</v>
      </c>
      <c r="O183" s="587"/>
      <c r="P183" s="1032"/>
      <c r="Q183" s="1052">
        <v>102752.68713646774</v>
      </c>
      <c r="R183" s="1052">
        <v>65900.239080040687</v>
      </c>
      <c r="S183" s="1052"/>
      <c r="T183" s="1051">
        <f>IF(Tables!$B$2=1,'NY Curve'!O183,IF(Tables!$B$2=2,P183,IF(Tables!$B$2=4,Q183,IF(Tables!$B$2=5,R183,IF(Tables!$B$2=3,S183,0)))))</f>
        <v>65900.239080040687</v>
      </c>
    </row>
    <row r="184" spans="1:20">
      <c r="A184" s="465">
        <v>42339</v>
      </c>
      <c r="B184" s="894">
        <v>25.636428051903131</v>
      </c>
      <c r="C184" s="901">
        <v>28.7</v>
      </c>
      <c r="D184" s="895">
        <v>24.604998397827138</v>
      </c>
      <c r="E184" s="1009">
        <v>23.099999237060537</v>
      </c>
      <c r="F184" s="891">
        <f t="shared" si="15"/>
        <v>1.0153259918063107</v>
      </c>
      <c r="G184" s="941">
        <f t="shared" si="18"/>
        <v>29.139855964841114</v>
      </c>
      <c r="I184" s="891">
        <f t="shared" si="16"/>
        <v>0.98467400819368933</v>
      </c>
      <c r="J184" s="944">
        <f t="shared" si="17"/>
        <v>28.260144035158884</v>
      </c>
      <c r="K184" s="943">
        <f t="shared" si="19"/>
        <v>24.982094401666526</v>
      </c>
      <c r="L184" s="944">
        <f t="shared" si="20"/>
        <v>24.227902393987751</v>
      </c>
      <c r="M184" s="1011">
        <f t="shared" si="21"/>
        <v>23.454029636093509</v>
      </c>
      <c r="O184" s="587"/>
      <c r="P184" s="1033"/>
      <c r="Q184" s="1052">
        <v>87837.744661100471</v>
      </c>
      <c r="R184" s="1052">
        <v>59465.006527572281</v>
      </c>
      <c r="S184" s="1052"/>
      <c r="T184" s="1051">
        <f>IF(Tables!$B$2=1,'NY Curve'!O184,IF(Tables!$B$2=2,P184,IF(Tables!$B$2=4,Q184,IF(Tables!$B$2=5,R184,IF(Tables!$B$2=3,S184,0)))))</f>
        <v>59465.006527572281</v>
      </c>
    </row>
    <row r="185" spans="1:20">
      <c r="A185" s="465">
        <v>42370</v>
      </c>
      <c r="B185" s="894">
        <v>29.533511915661034</v>
      </c>
      <c r="C185" s="901">
        <v>34.25</v>
      </c>
      <c r="D185" s="895">
        <v>27.998748397827139</v>
      </c>
      <c r="E185" s="1009">
        <v>28.502500152587881</v>
      </c>
      <c r="F185" s="891">
        <f t="shared" si="15"/>
        <v>1.0080802540450913</v>
      </c>
      <c r="G185" s="941">
        <f t="shared" si="18"/>
        <v>34.526748701044376</v>
      </c>
      <c r="I185" s="891">
        <f t="shared" si="16"/>
        <v>0.99191974595490895</v>
      </c>
      <c r="J185" s="944">
        <f t="shared" si="17"/>
        <v>33.973251298955631</v>
      </c>
      <c r="K185" s="943">
        <f t="shared" si="19"/>
        <v>28.224985397826174</v>
      </c>
      <c r="L185" s="944">
        <f t="shared" si="20"/>
        <v>27.772511397828112</v>
      </c>
      <c r="M185" s="1011">
        <f t="shared" si="21"/>
        <v>28.732807594741043</v>
      </c>
      <c r="O185" s="587"/>
    </row>
    <row r="186" spans="1:20">
      <c r="A186" s="465">
        <v>42401</v>
      </c>
      <c r="B186" s="894">
        <v>29.058630352928525</v>
      </c>
      <c r="C186" s="901">
        <v>34.25</v>
      </c>
      <c r="D186" s="895">
        <v>26.99625015258788</v>
      </c>
      <c r="E186" s="1009">
        <v>26.497499465942372</v>
      </c>
      <c r="F186" s="891">
        <f t="shared" si="15"/>
        <v>1.0080802540450913</v>
      </c>
      <c r="G186" s="941">
        <f t="shared" si="18"/>
        <v>34.526748701044376</v>
      </c>
      <c r="I186" s="891">
        <f t="shared" si="16"/>
        <v>0.99191974595490906</v>
      </c>
      <c r="J186" s="944">
        <f t="shared" si="17"/>
        <v>33.973251298955638</v>
      </c>
      <c r="K186" s="943">
        <f t="shared" si="19"/>
        <v>27.214386712085624</v>
      </c>
      <c r="L186" s="944">
        <f t="shared" si="20"/>
        <v>26.778113593090143</v>
      </c>
      <c r="M186" s="1011">
        <f t="shared" si="21"/>
        <v>26.711605993186858</v>
      </c>
      <c r="O186" s="587"/>
    </row>
    <row r="187" spans="1:20">
      <c r="A187" s="465">
        <v>42430</v>
      </c>
      <c r="B187" s="894">
        <v>24.797511600312731</v>
      </c>
      <c r="C187" s="901">
        <v>29.25</v>
      </c>
      <c r="D187" s="895">
        <v>20.184749603271474</v>
      </c>
      <c r="E187" s="1009">
        <v>21.814498901367177</v>
      </c>
      <c r="F187" s="891">
        <f t="shared" si="15"/>
        <v>1.0080875</v>
      </c>
      <c r="G187" s="941">
        <f t="shared" si="18"/>
        <v>29.486559375000002</v>
      </c>
      <c r="I187" s="891">
        <f t="shared" si="16"/>
        <v>0.99191250000000009</v>
      </c>
      <c r="J187" s="944">
        <f t="shared" si="17"/>
        <v>29.013440625000001</v>
      </c>
      <c r="K187" s="943">
        <f t="shared" si="19"/>
        <v>20.347993765687931</v>
      </c>
      <c r="L187" s="944">
        <f t="shared" si="20"/>
        <v>20.021505440855016</v>
      </c>
      <c r="M187" s="1011">
        <f t="shared" si="21"/>
        <v>21.990923661231985</v>
      </c>
      <c r="O187" s="587"/>
    </row>
    <row r="188" spans="1:20">
      <c r="A188" s="465">
        <v>42461</v>
      </c>
      <c r="B188" s="894">
        <v>24.267023177373979</v>
      </c>
      <c r="C188" s="901">
        <v>28</v>
      </c>
      <c r="D188" s="895">
        <v>20.867500305175771</v>
      </c>
      <c r="E188" s="1009">
        <v>21.584999084472646</v>
      </c>
      <c r="F188" s="891">
        <f t="shared" si="15"/>
        <v>1.07269528338234</v>
      </c>
      <c r="G188" s="941">
        <f t="shared" si="18"/>
        <v>30.035467934705519</v>
      </c>
      <c r="I188" s="891">
        <f t="shared" si="16"/>
        <v>0.92730471661766001</v>
      </c>
      <c r="J188" s="944">
        <f t="shared" si="17"/>
        <v>25.964532065294481</v>
      </c>
      <c r="K188" s="943">
        <f t="shared" si="19"/>
        <v>22.384469153341591</v>
      </c>
      <c r="L188" s="944">
        <f t="shared" si="20"/>
        <v>19.35053145700995</v>
      </c>
      <c r="M188" s="1011">
        <f t="shared" si="21"/>
        <v>23.154126709725933</v>
      </c>
      <c r="O188" s="587"/>
    </row>
    <row r="189" spans="1:20">
      <c r="A189" s="465">
        <v>42491</v>
      </c>
      <c r="B189" s="894">
        <v>27.049642290387833</v>
      </c>
      <c r="C189" s="901">
        <v>33.65</v>
      </c>
      <c r="D189" s="895">
        <v>20.982500076293935</v>
      </c>
      <c r="E189" s="1009">
        <v>22.114999771118153</v>
      </c>
      <c r="F189" s="891">
        <f t="shared" si="15"/>
        <v>1.058490237990529</v>
      </c>
      <c r="G189" s="941">
        <f t="shared" si="18"/>
        <v>35.618196508381303</v>
      </c>
      <c r="I189" s="891">
        <f t="shared" si="16"/>
        <v>0.94150976200947101</v>
      </c>
      <c r="J189" s="944">
        <f t="shared" si="17"/>
        <v>31.681803491618698</v>
      </c>
      <c r="K189" s="943">
        <f t="shared" si="19"/>
        <v>22.209771499392659</v>
      </c>
      <c r="L189" s="944">
        <f t="shared" si="20"/>
        <v>19.755228653195211</v>
      </c>
      <c r="M189" s="1011">
        <f t="shared" si="21"/>
        <v>23.408511370891347</v>
      </c>
      <c r="O189" s="587"/>
    </row>
    <row r="190" spans="1:20">
      <c r="A190" s="465">
        <v>42522</v>
      </c>
      <c r="B190" s="894">
        <v>38.734702046712236</v>
      </c>
      <c r="C190" s="901">
        <v>57.25</v>
      </c>
      <c r="D190" s="895">
        <v>25.408750152587881</v>
      </c>
      <c r="E190" s="1009">
        <v>20.892499542236319</v>
      </c>
      <c r="F190" s="891">
        <f t="shared" si="15"/>
        <v>1.1693830474353057</v>
      </c>
      <c r="G190" s="941">
        <f t="shared" si="18"/>
        <v>66.947179465671255</v>
      </c>
      <c r="I190" s="891">
        <f t="shared" si="16"/>
        <v>0.83061695843935013</v>
      </c>
      <c r="J190" s="944">
        <f t="shared" si="17"/>
        <v>47.552820870652795</v>
      </c>
      <c r="K190" s="943">
        <f t="shared" si="19"/>
        <v>29.712561684955507</v>
      </c>
      <c r="L190" s="944">
        <f t="shared" si="20"/>
        <v>21.104938769487919</v>
      </c>
      <c r="M190" s="1011">
        <f t="shared" si="21"/>
        <v>24.431334783241038</v>
      </c>
      <c r="O190" s="587"/>
    </row>
    <row r="191" spans="1:20">
      <c r="A191" s="465">
        <v>42552</v>
      </c>
      <c r="B191" s="894">
        <v>57.529820741925924</v>
      </c>
      <c r="C191" s="901">
        <v>90</v>
      </c>
      <c r="D191" s="895">
        <v>38.611249542236365</v>
      </c>
      <c r="E191" s="1009">
        <v>30.097499465942374</v>
      </c>
      <c r="F191" s="891">
        <f t="shared" si="15"/>
        <v>1.2214070997107602</v>
      </c>
      <c r="G191" s="941">
        <f t="shared" si="18"/>
        <v>109.92663897396842</v>
      </c>
      <c r="I191" s="891">
        <f t="shared" si="16"/>
        <v>0.77859290689229965</v>
      </c>
      <c r="J191" s="944">
        <f t="shared" si="17"/>
        <v>70.073361620306969</v>
      </c>
      <c r="K191" s="943">
        <f t="shared" si="19"/>
        <v>47.160054319591339</v>
      </c>
      <c r="L191" s="944">
        <f t="shared" si="20"/>
        <v>30.062445019833785</v>
      </c>
      <c r="M191" s="1011">
        <f t="shared" si="21"/>
        <v>36.761299531242827</v>
      </c>
      <c r="O191" s="587"/>
    </row>
    <row r="192" spans="1:20">
      <c r="A192" s="465">
        <v>42583</v>
      </c>
      <c r="B192" s="894">
        <v>54.578690011160724</v>
      </c>
      <c r="C192" s="901">
        <v>82.5</v>
      </c>
      <c r="D192" s="895">
        <v>40.872499084472693</v>
      </c>
      <c r="E192" s="1009">
        <v>31.595000839233389</v>
      </c>
      <c r="F192" s="891">
        <f t="shared" si="15"/>
        <v>1.1576814286317387</v>
      </c>
      <c r="G192" s="941">
        <f t="shared" si="18"/>
        <v>95.508717862118445</v>
      </c>
      <c r="I192" s="891">
        <f t="shared" si="16"/>
        <v>0.84209904074668884</v>
      </c>
      <c r="J192" s="944">
        <f t="shared" si="17"/>
        <v>69.47317086160183</v>
      </c>
      <c r="K192" s="943">
        <f t="shared" si="19"/>
        <v>47.31733313186178</v>
      </c>
      <c r="L192" s="944">
        <f t="shared" si="20"/>
        <v>34.41869227195437</v>
      </c>
      <c r="M192" s="1011">
        <f t="shared" si="21"/>
        <v>36.576945709184692</v>
      </c>
      <c r="O192" s="587"/>
    </row>
    <row r="193" spans="1:15">
      <c r="A193" s="465">
        <v>42614</v>
      </c>
      <c r="B193" s="894">
        <v>24.958094778515044</v>
      </c>
      <c r="C193" s="901">
        <v>32.25</v>
      </c>
      <c r="D193" s="895">
        <v>17.479999542236321</v>
      </c>
      <c r="E193" s="1009">
        <v>15.06000041961669</v>
      </c>
      <c r="F193" s="891">
        <f t="shared" si="15"/>
        <v>1.0965337923205105</v>
      </c>
      <c r="G193" s="941">
        <f t="shared" si="18"/>
        <v>35.363214802336465</v>
      </c>
      <c r="I193" s="891">
        <f t="shared" si="16"/>
        <v>0.90346620767948926</v>
      </c>
      <c r="J193" s="944">
        <f t="shared" si="17"/>
        <v>29.136785197663528</v>
      </c>
      <c r="K193" s="943">
        <f t="shared" si="19"/>
        <v>19.167410187809182</v>
      </c>
      <c r="L193" s="944">
        <f t="shared" si="20"/>
        <v>15.792588896663457</v>
      </c>
      <c r="M193" s="1011">
        <f t="shared" si="21"/>
        <v>16.513799372470768</v>
      </c>
      <c r="O193" s="587"/>
    </row>
    <row r="194" spans="1:15">
      <c r="A194" s="465">
        <v>42644</v>
      </c>
      <c r="B194" s="894">
        <v>24.600214004516602</v>
      </c>
      <c r="C194" s="901">
        <v>28</v>
      </c>
      <c r="D194" s="895">
        <v>22.350500106811513</v>
      </c>
      <c r="E194" s="1009">
        <v>22.35099983215331</v>
      </c>
      <c r="F194" s="891">
        <f t="shared" ref="F194:F256" si="22">VLOOKUP(MONTH(A194),ScalarTable,2,0)</f>
        <v>1.0119875</v>
      </c>
      <c r="G194" s="941">
        <f t="shared" si="18"/>
        <v>28.335650000000001</v>
      </c>
      <c r="I194" s="891">
        <f t="shared" si="16"/>
        <v>0.98801249999999996</v>
      </c>
      <c r="J194" s="944">
        <f t="shared" si="17"/>
        <v>27.664349999999999</v>
      </c>
      <c r="K194" s="943">
        <f t="shared" si="19"/>
        <v>22.618426726841918</v>
      </c>
      <c r="L194" s="944">
        <f t="shared" si="20"/>
        <v>22.082573486781108</v>
      </c>
      <c r="M194" s="1011">
        <f t="shared" si="21"/>
        <v>22.618932442641249</v>
      </c>
      <c r="O194" s="587"/>
    </row>
    <row r="195" spans="1:15">
      <c r="A195" s="465">
        <v>42675</v>
      </c>
      <c r="B195" s="894">
        <v>25.107273555937269</v>
      </c>
      <c r="C195" s="901">
        <v>28.5</v>
      </c>
      <c r="D195" s="895">
        <v>23.354751586914052</v>
      </c>
      <c r="E195" s="1009">
        <v>23.354499816894521</v>
      </c>
      <c r="F195" s="891">
        <f t="shared" si="22"/>
        <v>1.0158500000000001</v>
      </c>
      <c r="G195" s="941">
        <f t="shared" si="18"/>
        <v>28.951725000000003</v>
      </c>
      <c r="I195" s="891">
        <f t="shared" si="16"/>
        <v>0.98414999999999986</v>
      </c>
      <c r="J195" s="944">
        <f t="shared" si="17"/>
        <v>28.048274999999997</v>
      </c>
      <c r="K195" s="943">
        <f t="shared" si="19"/>
        <v>23.724924399566643</v>
      </c>
      <c r="L195" s="944">
        <f t="shared" si="20"/>
        <v>22.984578774261461</v>
      </c>
      <c r="M195" s="1011">
        <f t="shared" si="21"/>
        <v>23.724668638992302</v>
      </c>
      <c r="O195" s="587"/>
    </row>
    <row r="196" spans="1:15">
      <c r="A196" s="465">
        <v>42705</v>
      </c>
      <c r="B196" s="894">
        <v>25.884047099522181</v>
      </c>
      <c r="C196" s="901">
        <v>29</v>
      </c>
      <c r="D196" s="895">
        <v>24.804998397827138</v>
      </c>
      <c r="E196" s="1009">
        <v>23.299999237060536</v>
      </c>
      <c r="F196" s="891">
        <f t="shared" si="22"/>
        <v>1.0153259918063107</v>
      </c>
      <c r="G196" s="941">
        <f t="shared" si="18"/>
        <v>29.444453762383009</v>
      </c>
      <c r="I196" s="891">
        <f t="shared" ref="I196:I256" si="23">VLOOKUP(MONTH(A196),ScalarTable,3,0)</f>
        <v>0.98467400819368933</v>
      </c>
      <c r="J196" s="944">
        <f t="shared" ref="J196:J256" si="24">C196*I196</f>
        <v>28.555546237616991</v>
      </c>
      <c r="K196" s="943">
        <f t="shared" si="19"/>
        <v>25.185159600027784</v>
      </c>
      <c r="L196" s="944">
        <f t="shared" si="20"/>
        <v>24.424837195626491</v>
      </c>
      <c r="M196" s="1011">
        <f t="shared" si="21"/>
        <v>23.657094834454771</v>
      </c>
      <c r="O196" s="587"/>
    </row>
    <row r="197" spans="1:15">
      <c r="A197" s="465">
        <v>42736</v>
      </c>
      <c r="B197" s="894">
        <v>29.781130963280084</v>
      </c>
      <c r="C197" s="901">
        <v>34.549999999999997</v>
      </c>
      <c r="D197" s="895">
        <v>28.198748397827138</v>
      </c>
      <c r="E197" s="1009">
        <v>28.702500152587881</v>
      </c>
      <c r="F197" s="891">
        <f t="shared" si="22"/>
        <v>1.0080802540450913</v>
      </c>
      <c r="G197" s="941">
        <f t="shared" ref="G197:G256" si="25">+F197*C197</f>
        <v>34.829172777257902</v>
      </c>
      <c r="I197" s="891">
        <f t="shared" si="23"/>
        <v>0.99191974595490895</v>
      </c>
      <c r="J197" s="944">
        <f t="shared" si="24"/>
        <v>34.270827222742099</v>
      </c>
      <c r="K197" s="943">
        <f t="shared" si="19"/>
        <v>28.426601448635193</v>
      </c>
      <c r="L197" s="944">
        <f t="shared" si="20"/>
        <v>27.970895347019091</v>
      </c>
      <c r="M197" s="1011">
        <f t="shared" si="21"/>
        <v>28.934423645550062</v>
      </c>
      <c r="O197" s="587"/>
    </row>
    <row r="198" spans="1:15">
      <c r="A198" s="465">
        <v>42767</v>
      </c>
      <c r="B198" s="894">
        <v>29.306249400547564</v>
      </c>
      <c r="C198" s="901">
        <v>34.549999999999997</v>
      </c>
      <c r="D198" s="895">
        <v>27.196250152587879</v>
      </c>
      <c r="E198" s="1009">
        <v>26.697499465942371</v>
      </c>
      <c r="F198" s="891">
        <f t="shared" si="22"/>
        <v>1.0080802540450913</v>
      </c>
      <c r="G198" s="941">
        <f t="shared" si="25"/>
        <v>34.829172777257902</v>
      </c>
      <c r="I198" s="891">
        <f t="shared" si="23"/>
        <v>0.99191974595490906</v>
      </c>
      <c r="J198" s="944">
        <f t="shared" si="24"/>
        <v>34.270827222742106</v>
      </c>
      <c r="K198" s="943">
        <f t="shared" ref="K198:K256" si="26">D198*F198</f>
        <v>27.416002762894642</v>
      </c>
      <c r="L198" s="944">
        <f t="shared" ref="L198:L256" si="27">D198*I198</f>
        <v>26.976497542281127</v>
      </c>
      <c r="M198" s="1011">
        <f t="shared" ref="M198:M256" si="28">E198*F198</f>
        <v>26.913222043995873</v>
      </c>
      <c r="O198" s="587"/>
    </row>
    <row r="199" spans="1:15">
      <c r="A199" s="465">
        <v>42795</v>
      </c>
      <c r="B199" s="894">
        <v>25.045130647931778</v>
      </c>
      <c r="C199" s="901">
        <v>29.55</v>
      </c>
      <c r="D199" s="895">
        <v>20.384749603271473</v>
      </c>
      <c r="E199" s="1009">
        <v>22.014498901367176</v>
      </c>
      <c r="F199" s="891">
        <f t="shared" si="22"/>
        <v>1.0080875</v>
      </c>
      <c r="G199" s="941">
        <f t="shared" si="25"/>
        <v>29.788985625000002</v>
      </c>
      <c r="I199" s="891">
        <f t="shared" si="23"/>
        <v>0.99191250000000009</v>
      </c>
      <c r="J199" s="944">
        <f t="shared" si="24"/>
        <v>29.311014375000003</v>
      </c>
      <c r="K199" s="943">
        <f t="shared" si="26"/>
        <v>20.549611265687933</v>
      </c>
      <c r="L199" s="944">
        <f t="shared" si="27"/>
        <v>20.219887940855017</v>
      </c>
      <c r="M199" s="1011">
        <f t="shared" si="28"/>
        <v>22.192541161231983</v>
      </c>
      <c r="O199" s="587"/>
    </row>
    <row r="200" spans="1:15">
      <c r="A200" s="465">
        <v>42826</v>
      </c>
      <c r="B200" s="894">
        <v>24.514642224993022</v>
      </c>
      <c r="C200" s="901">
        <v>28.3</v>
      </c>
      <c r="D200" s="895">
        <v>21.06750030517577</v>
      </c>
      <c r="E200" s="1009">
        <v>21.784999084472645</v>
      </c>
      <c r="F200" s="891">
        <f t="shared" si="22"/>
        <v>1.07269528338234</v>
      </c>
      <c r="G200" s="941">
        <f t="shared" si="25"/>
        <v>30.357276519720223</v>
      </c>
      <c r="I200" s="891">
        <f t="shared" si="23"/>
        <v>0.92730471661766001</v>
      </c>
      <c r="J200" s="944">
        <f t="shared" si="24"/>
        <v>26.242723480279778</v>
      </c>
      <c r="K200" s="943">
        <f t="shared" si="26"/>
        <v>22.599008210018056</v>
      </c>
      <c r="L200" s="944">
        <f t="shared" si="27"/>
        <v>19.535992400333484</v>
      </c>
      <c r="M200" s="1011">
        <f t="shared" si="28"/>
        <v>23.368665766402401</v>
      </c>
      <c r="O200" s="587"/>
    </row>
    <row r="201" spans="1:15">
      <c r="A201" s="465">
        <v>42856</v>
      </c>
      <c r="B201" s="894">
        <v>27.392499433244975</v>
      </c>
      <c r="C201" s="901">
        <v>34.15</v>
      </c>
      <c r="D201" s="895">
        <v>21.182500076293934</v>
      </c>
      <c r="E201" s="1009">
        <v>22.314999771118153</v>
      </c>
      <c r="F201" s="891">
        <f t="shared" si="22"/>
        <v>1.058490237990529</v>
      </c>
      <c r="G201" s="941">
        <f t="shared" si="25"/>
        <v>36.147441627376566</v>
      </c>
      <c r="I201" s="891">
        <f t="shared" si="23"/>
        <v>0.94150976200947101</v>
      </c>
      <c r="J201" s="944">
        <f t="shared" si="24"/>
        <v>32.152558372623432</v>
      </c>
      <c r="K201" s="943">
        <f t="shared" si="26"/>
        <v>22.421469546990764</v>
      </c>
      <c r="L201" s="944">
        <f t="shared" si="27"/>
        <v>19.943530605597104</v>
      </c>
      <c r="M201" s="1011">
        <f t="shared" si="28"/>
        <v>23.620209418489452</v>
      </c>
      <c r="O201" s="587"/>
    </row>
    <row r="202" spans="1:15">
      <c r="A202" s="465">
        <v>42887</v>
      </c>
      <c r="B202" s="894">
        <v>39.315654427664619</v>
      </c>
      <c r="C202" s="901">
        <v>58.25</v>
      </c>
      <c r="D202" s="895">
        <v>25.608750152587881</v>
      </c>
      <c r="E202" s="1009">
        <v>21.092499542236318</v>
      </c>
      <c r="F202" s="891">
        <f t="shared" si="22"/>
        <v>1.1693830474353057</v>
      </c>
      <c r="G202" s="941">
        <f t="shared" si="25"/>
        <v>68.116562513106558</v>
      </c>
      <c r="I202" s="891">
        <f t="shared" si="23"/>
        <v>0.83061695843935013</v>
      </c>
      <c r="J202" s="944">
        <f t="shared" si="24"/>
        <v>48.383437829092145</v>
      </c>
      <c r="K202" s="943">
        <f t="shared" si="26"/>
        <v>29.946438294442569</v>
      </c>
      <c r="L202" s="944">
        <f t="shared" si="27"/>
        <v>21.271062161175788</v>
      </c>
      <c r="M202" s="1011">
        <f t="shared" si="28"/>
        <v>24.665211392728096</v>
      </c>
      <c r="O202" s="587"/>
    </row>
    <row r="203" spans="1:15">
      <c r="A203" s="465">
        <v>42917</v>
      </c>
      <c r="B203" s="894">
        <v>58.586963599068788</v>
      </c>
      <c r="C203" s="901">
        <v>92</v>
      </c>
      <c r="D203" s="895">
        <v>38.811249542236368</v>
      </c>
      <c r="E203" s="1009">
        <v>30.297499465942373</v>
      </c>
      <c r="F203" s="891">
        <f t="shared" si="22"/>
        <v>1.2214070997107602</v>
      </c>
      <c r="G203" s="941">
        <f t="shared" si="25"/>
        <v>112.36945317338994</v>
      </c>
      <c r="I203" s="891">
        <f t="shared" si="23"/>
        <v>0.77859290689229965</v>
      </c>
      <c r="J203" s="944">
        <f t="shared" si="24"/>
        <v>71.630547434091568</v>
      </c>
      <c r="K203" s="943">
        <f t="shared" si="26"/>
        <v>47.404335739533494</v>
      </c>
      <c r="L203" s="944">
        <f t="shared" si="27"/>
        <v>30.218163601212247</v>
      </c>
      <c r="M203" s="1011">
        <f t="shared" si="28"/>
        <v>37.005580951184982</v>
      </c>
      <c r="O203" s="587"/>
    </row>
    <row r="204" spans="1:15">
      <c r="A204" s="465">
        <v>42948</v>
      </c>
      <c r="B204" s="894">
        <v>55.635832868303581</v>
      </c>
      <c r="C204" s="901">
        <v>84.5</v>
      </c>
      <c r="D204" s="895">
        <v>41.072499084472696</v>
      </c>
      <c r="E204" s="1009">
        <v>31.795000839233388</v>
      </c>
      <c r="F204" s="891">
        <f t="shared" si="22"/>
        <v>1.1576814286317387</v>
      </c>
      <c r="G204" s="941">
        <f t="shared" si="25"/>
        <v>97.824080719381925</v>
      </c>
      <c r="I204" s="891">
        <f t="shared" si="23"/>
        <v>0.84209904074668884</v>
      </c>
      <c r="J204" s="944">
        <f t="shared" si="24"/>
        <v>71.157368943095207</v>
      </c>
      <c r="K204" s="943">
        <f t="shared" si="26"/>
        <v>47.548869417588129</v>
      </c>
      <c r="L204" s="944">
        <f t="shared" si="27"/>
        <v>34.587112080103715</v>
      </c>
      <c r="M204" s="1011">
        <f t="shared" si="28"/>
        <v>36.808481994911041</v>
      </c>
      <c r="O204" s="587"/>
    </row>
    <row r="205" spans="1:15">
      <c r="A205" s="465">
        <v>42979</v>
      </c>
      <c r="B205" s="894">
        <v>25.205713826134087</v>
      </c>
      <c r="C205" s="901">
        <v>32.549999999999997</v>
      </c>
      <c r="D205" s="895">
        <v>17.67999954223632</v>
      </c>
      <c r="E205" s="1009">
        <v>15.26000041961669</v>
      </c>
      <c r="F205" s="891">
        <f t="shared" si="22"/>
        <v>1.0965337923205105</v>
      </c>
      <c r="G205" s="941">
        <f t="shared" si="25"/>
        <v>35.692174940032615</v>
      </c>
      <c r="I205" s="891">
        <f t="shared" si="23"/>
        <v>0.90346620767948926</v>
      </c>
      <c r="J205" s="944">
        <f t="shared" si="24"/>
        <v>29.407825059967372</v>
      </c>
      <c r="K205" s="943">
        <f t="shared" si="26"/>
        <v>19.386716946273282</v>
      </c>
      <c r="L205" s="944">
        <f t="shared" si="27"/>
        <v>15.973282138199355</v>
      </c>
      <c r="M205" s="1011">
        <f t="shared" si="28"/>
        <v>16.733106130934871</v>
      </c>
      <c r="O205" s="587"/>
    </row>
    <row r="206" spans="1:15">
      <c r="A206" s="465">
        <v>43009</v>
      </c>
      <c r="B206" s="894">
        <v>24.847833052135645</v>
      </c>
      <c r="C206" s="901">
        <v>28.3</v>
      </c>
      <c r="D206" s="895">
        <v>22.550500106811512</v>
      </c>
      <c r="E206" s="1009">
        <v>22.550999832153309</v>
      </c>
      <c r="F206" s="891">
        <f t="shared" si="22"/>
        <v>1.0119875</v>
      </c>
      <c r="G206" s="941">
        <f t="shared" si="25"/>
        <v>28.639246250000003</v>
      </c>
      <c r="I206" s="891">
        <f t="shared" si="23"/>
        <v>0.98801249999999996</v>
      </c>
      <c r="J206" s="944">
        <f t="shared" si="24"/>
        <v>27.960753749999999</v>
      </c>
      <c r="K206" s="943">
        <f t="shared" si="26"/>
        <v>22.820824226841918</v>
      </c>
      <c r="L206" s="944">
        <f t="shared" si="27"/>
        <v>22.280175986781106</v>
      </c>
      <c r="M206" s="1011">
        <f t="shared" si="28"/>
        <v>22.821329942641249</v>
      </c>
      <c r="O206" s="587"/>
    </row>
    <row r="207" spans="1:15">
      <c r="A207" s="465">
        <v>43040</v>
      </c>
      <c r="B207" s="894">
        <v>25.354892603556312</v>
      </c>
      <c r="C207" s="901">
        <v>28.8</v>
      </c>
      <c r="D207" s="895">
        <v>23.554751586914051</v>
      </c>
      <c r="E207" s="1009">
        <v>23.55449981689452</v>
      </c>
      <c r="F207" s="891">
        <f t="shared" si="22"/>
        <v>1.0158500000000001</v>
      </c>
      <c r="G207" s="941">
        <f t="shared" si="25"/>
        <v>29.256480000000003</v>
      </c>
      <c r="I207" s="891">
        <f t="shared" si="23"/>
        <v>0.98414999999999986</v>
      </c>
      <c r="J207" s="944">
        <f t="shared" si="24"/>
        <v>28.343519999999998</v>
      </c>
      <c r="K207" s="943">
        <f t="shared" si="26"/>
        <v>23.928094399566643</v>
      </c>
      <c r="L207" s="944">
        <f t="shared" si="27"/>
        <v>23.18140877426146</v>
      </c>
      <c r="M207" s="1011">
        <f t="shared" si="28"/>
        <v>23.927838638992302</v>
      </c>
      <c r="O207" s="587"/>
    </row>
    <row r="208" spans="1:15">
      <c r="A208" s="465">
        <v>43070</v>
      </c>
      <c r="B208" s="894">
        <v>26.131666147141225</v>
      </c>
      <c r="C208" s="901">
        <v>29.3</v>
      </c>
      <c r="D208" s="895">
        <v>25.004998397827137</v>
      </c>
      <c r="E208" s="1009">
        <v>23.499999237060536</v>
      </c>
      <c r="F208" s="891">
        <f t="shared" si="22"/>
        <v>1.0153259918063107</v>
      </c>
      <c r="G208" s="941">
        <f t="shared" si="25"/>
        <v>29.749051559924904</v>
      </c>
      <c r="I208" s="891">
        <f t="shared" si="23"/>
        <v>0.98467400819368933</v>
      </c>
      <c r="J208" s="944">
        <f t="shared" si="24"/>
        <v>28.850948440075097</v>
      </c>
      <c r="K208" s="943">
        <f t="shared" si="26"/>
        <v>25.388224798389047</v>
      </c>
      <c r="L208" s="944">
        <f t="shared" si="27"/>
        <v>24.621771997265228</v>
      </c>
      <c r="M208" s="1011">
        <f t="shared" si="28"/>
        <v>23.860160032816033</v>
      </c>
      <c r="O208" s="587"/>
    </row>
    <row r="209" spans="1:15">
      <c r="A209" s="465">
        <v>43101</v>
      </c>
      <c r="B209" s="894">
        <v>30.028750010899135</v>
      </c>
      <c r="C209" s="901">
        <v>34.85</v>
      </c>
      <c r="D209" s="895">
        <v>28.398748397827138</v>
      </c>
      <c r="E209" s="1009">
        <v>28.90250015258788</v>
      </c>
      <c r="F209" s="891">
        <f t="shared" si="22"/>
        <v>1.0080802540450913</v>
      </c>
      <c r="G209" s="941">
        <f t="shared" si="25"/>
        <v>35.131596853471436</v>
      </c>
      <c r="I209" s="891">
        <f t="shared" si="23"/>
        <v>0.99191974595490895</v>
      </c>
      <c r="J209" s="944">
        <f t="shared" si="24"/>
        <v>34.568403146528581</v>
      </c>
      <c r="K209" s="943">
        <f t="shared" si="26"/>
        <v>28.628217499444212</v>
      </c>
      <c r="L209" s="944">
        <f t="shared" si="27"/>
        <v>28.169279296210071</v>
      </c>
      <c r="M209" s="1011">
        <f t="shared" si="28"/>
        <v>29.136039696359081</v>
      </c>
      <c r="O209" s="587"/>
    </row>
    <row r="210" spans="1:15">
      <c r="A210" s="465">
        <v>43132</v>
      </c>
      <c r="B210" s="894">
        <v>29.553868448166615</v>
      </c>
      <c r="C210" s="901">
        <v>34.85</v>
      </c>
      <c r="D210" s="895">
        <v>27.396250152587879</v>
      </c>
      <c r="E210" s="1009">
        <v>26.897499465942371</v>
      </c>
      <c r="F210" s="891">
        <f t="shared" si="22"/>
        <v>1.0080802540450913</v>
      </c>
      <c r="G210" s="941">
        <f t="shared" si="25"/>
        <v>35.131596853471436</v>
      </c>
      <c r="I210" s="891">
        <f t="shared" si="23"/>
        <v>0.99191974595490906</v>
      </c>
      <c r="J210" s="944">
        <f t="shared" si="24"/>
        <v>34.568403146528581</v>
      </c>
      <c r="K210" s="943">
        <f t="shared" si="26"/>
        <v>27.617618813703658</v>
      </c>
      <c r="L210" s="944">
        <f t="shared" si="27"/>
        <v>27.174881491472107</v>
      </c>
      <c r="M210" s="1011">
        <f t="shared" si="28"/>
        <v>27.114838094804892</v>
      </c>
      <c r="O210" s="587"/>
    </row>
    <row r="211" spans="1:15">
      <c r="A211" s="465">
        <v>43160</v>
      </c>
      <c r="B211" s="894">
        <v>25.292749695550821</v>
      </c>
      <c r="C211" s="901">
        <v>29.85</v>
      </c>
      <c r="D211" s="895">
        <v>20.584749603271472</v>
      </c>
      <c r="E211" s="1009">
        <v>22.214498901367175</v>
      </c>
      <c r="F211" s="891">
        <f t="shared" si="22"/>
        <v>1.0080875</v>
      </c>
      <c r="G211" s="941">
        <f t="shared" si="25"/>
        <v>30.091411875000002</v>
      </c>
      <c r="I211" s="891">
        <f t="shared" si="23"/>
        <v>0.99191250000000009</v>
      </c>
      <c r="J211" s="944">
        <f t="shared" si="24"/>
        <v>29.608588125000004</v>
      </c>
      <c r="K211" s="943">
        <f t="shared" si="26"/>
        <v>20.75122876568793</v>
      </c>
      <c r="L211" s="944">
        <f t="shared" si="27"/>
        <v>20.418270440855014</v>
      </c>
      <c r="M211" s="1011">
        <f t="shared" si="28"/>
        <v>22.394158661231984</v>
      </c>
      <c r="O211" s="587"/>
    </row>
    <row r="212" spans="1:15">
      <c r="A212" s="465">
        <v>43191</v>
      </c>
      <c r="B212" s="894">
        <v>24.762261272612065</v>
      </c>
      <c r="C212" s="901">
        <v>28.6</v>
      </c>
      <c r="D212" s="895">
        <v>21.267500305175769</v>
      </c>
      <c r="E212" s="1009">
        <v>21.984999084472644</v>
      </c>
      <c r="F212" s="891">
        <f t="shared" si="22"/>
        <v>1.07269528338234</v>
      </c>
      <c r="G212" s="941">
        <f t="shared" si="25"/>
        <v>30.679085104734924</v>
      </c>
      <c r="I212" s="891">
        <f t="shared" si="23"/>
        <v>0.92730471661766001</v>
      </c>
      <c r="J212" s="944">
        <f t="shared" si="24"/>
        <v>26.520914895265079</v>
      </c>
      <c r="K212" s="943">
        <f t="shared" si="26"/>
        <v>22.813547266694524</v>
      </c>
      <c r="L212" s="944">
        <f t="shared" si="27"/>
        <v>19.721453343657014</v>
      </c>
      <c r="M212" s="1011">
        <f t="shared" si="28"/>
        <v>23.583204823078869</v>
      </c>
      <c r="O212" s="587"/>
    </row>
    <row r="213" spans="1:15">
      <c r="A213" s="465">
        <v>43221</v>
      </c>
      <c r="B213" s="894">
        <v>27.735356576102113</v>
      </c>
      <c r="C213" s="901">
        <v>34.65</v>
      </c>
      <c r="D213" s="895">
        <v>21.382500076293933</v>
      </c>
      <c r="E213" s="1009">
        <v>22.514999771118152</v>
      </c>
      <c r="F213" s="891">
        <f t="shared" si="22"/>
        <v>1.058490237990529</v>
      </c>
      <c r="G213" s="941">
        <f t="shared" si="25"/>
        <v>36.676686746371828</v>
      </c>
      <c r="I213" s="891">
        <f t="shared" si="23"/>
        <v>0.94150976200947101</v>
      </c>
      <c r="J213" s="944">
        <f t="shared" si="24"/>
        <v>32.623313253628169</v>
      </c>
      <c r="K213" s="943">
        <f t="shared" si="26"/>
        <v>22.633167594588869</v>
      </c>
      <c r="L213" s="944">
        <f t="shared" si="27"/>
        <v>20.131832557998997</v>
      </c>
      <c r="M213" s="1011">
        <f t="shared" si="28"/>
        <v>23.831907466087557</v>
      </c>
      <c r="O213" s="587"/>
    </row>
    <row r="214" spans="1:15">
      <c r="A214" s="465">
        <v>43252</v>
      </c>
      <c r="B214" s="894">
        <v>39.896606808617001</v>
      </c>
      <c r="C214" s="901">
        <v>59.25</v>
      </c>
      <c r="D214" s="895">
        <v>25.80875015258788</v>
      </c>
      <c r="E214" s="1009">
        <v>21.292499542236317</v>
      </c>
      <c r="F214" s="891">
        <f t="shared" si="22"/>
        <v>1.1693830474353057</v>
      </c>
      <c r="G214" s="941">
        <f t="shared" si="25"/>
        <v>69.285945560541862</v>
      </c>
      <c r="I214" s="891">
        <f t="shared" si="23"/>
        <v>0.83061695843935013</v>
      </c>
      <c r="J214" s="944">
        <f t="shared" si="24"/>
        <v>49.214054787531495</v>
      </c>
      <c r="K214" s="943">
        <f t="shared" si="26"/>
        <v>30.180314903929627</v>
      </c>
      <c r="L214" s="944">
        <f t="shared" si="27"/>
        <v>21.43718555286366</v>
      </c>
      <c r="M214" s="1011">
        <f t="shared" si="28"/>
        <v>24.899088002215159</v>
      </c>
      <c r="O214" s="587"/>
    </row>
    <row r="215" spans="1:15">
      <c r="A215" s="465">
        <v>43282</v>
      </c>
      <c r="B215" s="894">
        <v>59.644106456211645</v>
      </c>
      <c r="C215" s="901">
        <v>94</v>
      </c>
      <c r="D215" s="895">
        <v>39.011249542236371</v>
      </c>
      <c r="E215" s="1009">
        <v>30.497499465942372</v>
      </c>
      <c r="F215" s="891">
        <f t="shared" si="22"/>
        <v>1.2214070997107602</v>
      </c>
      <c r="G215" s="941">
        <f t="shared" si="25"/>
        <v>114.81226737281146</v>
      </c>
      <c r="I215" s="891">
        <f t="shared" si="23"/>
        <v>0.77859290689229965</v>
      </c>
      <c r="J215" s="944">
        <f t="shared" si="24"/>
        <v>73.187733247876167</v>
      </c>
      <c r="K215" s="943">
        <f t="shared" si="26"/>
        <v>47.648617159475648</v>
      </c>
      <c r="L215" s="944">
        <f t="shared" si="27"/>
        <v>30.373882182590709</v>
      </c>
      <c r="M215" s="1011">
        <f t="shared" si="28"/>
        <v>37.249862371127129</v>
      </c>
      <c r="O215" s="587"/>
    </row>
    <row r="216" spans="1:15">
      <c r="A216" s="465">
        <v>43313</v>
      </c>
      <c r="B216" s="894">
        <v>56.692975725446438</v>
      </c>
      <c r="C216" s="901">
        <v>86.5</v>
      </c>
      <c r="D216" s="895">
        <v>41.272499084472699</v>
      </c>
      <c r="E216" s="1009">
        <v>31.995000839233388</v>
      </c>
      <c r="F216" s="891">
        <f t="shared" si="22"/>
        <v>1.1576814286317387</v>
      </c>
      <c r="G216" s="941">
        <f t="shared" si="25"/>
        <v>100.13944357664541</v>
      </c>
      <c r="I216" s="891">
        <f t="shared" si="23"/>
        <v>0.84209904074668884</v>
      </c>
      <c r="J216" s="944">
        <f t="shared" si="24"/>
        <v>72.841567024588585</v>
      </c>
      <c r="K216" s="943">
        <f t="shared" si="26"/>
        <v>47.780405703314486</v>
      </c>
      <c r="L216" s="944">
        <f t="shared" si="27"/>
        <v>34.755531888253053</v>
      </c>
      <c r="M216" s="1011">
        <f t="shared" si="28"/>
        <v>37.040018280637391</v>
      </c>
      <c r="O216" s="587"/>
    </row>
    <row r="217" spans="1:15">
      <c r="A217" s="465">
        <v>43344</v>
      </c>
      <c r="B217" s="894">
        <v>25.453332873753133</v>
      </c>
      <c r="C217" s="901">
        <v>32.85</v>
      </c>
      <c r="D217" s="895">
        <v>17.87999954223632</v>
      </c>
      <c r="E217" s="1009">
        <v>15.460000419616689</v>
      </c>
      <c r="F217" s="891">
        <f t="shared" si="22"/>
        <v>1.0965337923205105</v>
      </c>
      <c r="G217" s="941">
        <f t="shared" si="25"/>
        <v>36.021135077728772</v>
      </c>
      <c r="I217" s="891">
        <f t="shared" si="23"/>
        <v>0.90346620767948926</v>
      </c>
      <c r="J217" s="944">
        <f t="shared" si="24"/>
        <v>29.678864922271224</v>
      </c>
      <c r="K217" s="943">
        <f t="shared" si="26"/>
        <v>19.606023704737382</v>
      </c>
      <c r="L217" s="944">
        <f t="shared" si="27"/>
        <v>16.15397537973525</v>
      </c>
      <c r="M217" s="1011">
        <f t="shared" si="28"/>
        <v>16.952412889398971</v>
      </c>
      <c r="O217" s="587"/>
    </row>
    <row r="218" spans="1:15">
      <c r="A218" s="465">
        <v>43374</v>
      </c>
      <c r="B218" s="894"/>
      <c r="C218" s="902"/>
      <c r="D218" s="889"/>
      <c r="E218" s="1010"/>
      <c r="F218" s="891">
        <f t="shared" si="22"/>
        <v>1.0119875</v>
      </c>
      <c r="G218" s="941">
        <f t="shared" si="25"/>
        <v>0</v>
      </c>
      <c r="I218" s="891">
        <f t="shared" si="23"/>
        <v>0.98801249999999996</v>
      </c>
      <c r="J218" s="944">
        <f t="shared" si="24"/>
        <v>0</v>
      </c>
      <c r="K218" s="943">
        <f t="shared" si="26"/>
        <v>0</v>
      </c>
      <c r="L218" s="944">
        <f t="shared" si="27"/>
        <v>0</v>
      </c>
      <c r="M218" s="1011">
        <f t="shared" si="28"/>
        <v>0</v>
      </c>
      <c r="O218" s="587"/>
    </row>
    <row r="219" spans="1:15">
      <c r="A219" s="465">
        <v>43405</v>
      </c>
      <c r="B219" s="894"/>
      <c r="C219" s="902"/>
      <c r="D219" s="889"/>
      <c r="E219" s="1010"/>
      <c r="F219" s="891">
        <f t="shared" si="22"/>
        <v>1.0158500000000001</v>
      </c>
      <c r="G219" s="941">
        <f t="shared" si="25"/>
        <v>0</v>
      </c>
      <c r="I219" s="891">
        <f t="shared" si="23"/>
        <v>0.98414999999999986</v>
      </c>
      <c r="J219" s="944">
        <f t="shared" si="24"/>
        <v>0</v>
      </c>
      <c r="K219" s="943">
        <f t="shared" si="26"/>
        <v>0</v>
      </c>
      <c r="L219" s="944">
        <f t="shared" si="27"/>
        <v>0</v>
      </c>
      <c r="M219" s="1011">
        <f t="shared" si="28"/>
        <v>0</v>
      </c>
      <c r="O219" s="587"/>
    </row>
    <row r="220" spans="1:15">
      <c r="A220" s="465">
        <v>43435</v>
      </c>
      <c r="B220" s="894"/>
      <c r="C220" s="902"/>
      <c r="D220" s="889"/>
      <c r="E220" s="1010"/>
      <c r="F220" s="891">
        <f t="shared" si="22"/>
        <v>1.0153259918063107</v>
      </c>
      <c r="G220" s="941">
        <f t="shared" si="25"/>
        <v>0</v>
      </c>
      <c r="I220" s="891">
        <f t="shared" si="23"/>
        <v>0.98467400819368933</v>
      </c>
      <c r="J220" s="944">
        <f t="shared" si="24"/>
        <v>0</v>
      </c>
      <c r="K220" s="943">
        <f t="shared" si="26"/>
        <v>0</v>
      </c>
      <c r="L220" s="944">
        <f t="shared" si="27"/>
        <v>0</v>
      </c>
      <c r="M220" s="1011">
        <f t="shared" si="28"/>
        <v>0</v>
      </c>
      <c r="O220" s="587"/>
    </row>
    <row r="221" spans="1:15">
      <c r="A221" s="465">
        <v>43466</v>
      </c>
      <c r="B221" s="894"/>
      <c r="C221" s="902"/>
      <c r="D221" s="889"/>
      <c r="E221" s="1010"/>
      <c r="F221" s="891">
        <f t="shared" si="22"/>
        <v>1.0080802540450913</v>
      </c>
      <c r="G221" s="941">
        <f t="shared" si="25"/>
        <v>0</v>
      </c>
      <c r="I221" s="891">
        <f t="shared" si="23"/>
        <v>0.99191974595490895</v>
      </c>
      <c r="J221" s="944">
        <f t="shared" si="24"/>
        <v>0</v>
      </c>
      <c r="K221" s="943">
        <f t="shared" si="26"/>
        <v>0</v>
      </c>
      <c r="L221" s="944">
        <f t="shared" si="27"/>
        <v>0</v>
      </c>
      <c r="M221" s="1011">
        <f t="shared" si="28"/>
        <v>0</v>
      </c>
      <c r="O221" s="587"/>
    </row>
    <row r="222" spans="1:15">
      <c r="A222" s="465">
        <v>43497</v>
      </c>
      <c r="B222" s="894"/>
      <c r="C222" s="902"/>
      <c r="D222" s="889"/>
      <c r="E222" s="1010"/>
      <c r="F222" s="891">
        <f t="shared" si="22"/>
        <v>1.0080802540450913</v>
      </c>
      <c r="G222" s="941">
        <f t="shared" si="25"/>
        <v>0</v>
      </c>
      <c r="I222" s="891">
        <f t="shared" si="23"/>
        <v>0.99191974595490906</v>
      </c>
      <c r="J222" s="944">
        <f t="shared" si="24"/>
        <v>0</v>
      </c>
      <c r="K222" s="943">
        <f t="shared" si="26"/>
        <v>0</v>
      </c>
      <c r="L222" s="944">
        <f t="shared" si="27"/>
        <v>0</v>
      </c>
      <c r="M222" s="1011">
        <f t="shared" si="28"/>
        <v>0</v>
      </c>
      <c r="O222" s="587"/>
    </row>
    <row r="223" spans="1:15">
      <c r="A223" s="465">
        <v>43525</v>
      </c>
      <c r="B223" s="894"/>
      <c r="C223" s="902"/>
      <c r="D223" s="889"/>
      <c r="E223" s="1010"/>
      <c r="F223" s="891">
        <f t="shared" si="22"/>
        <v>1.0080875</v>
      </c>
      <c r="G223" s="941">
        <f t="shared" si="25"/>
        <v>0</v>
      </c>
      <c r="I223" s="891">
        <f t="shared" si="23"/>
        <v>0.99191250000000009</v>
      </c>
      <c r="J223" s="944">
        <f t="shared" si="24"/>
        <v>0</v>
      </c>
      <c r="K223" s="943">
        <f t="shared" si="26"/>
        <v>0</v>
      </c>
      <c r="L223" s="944">
        <f t="shared" si="27"/>
        <v>0</v>
      </c>
      <c r="M223" s="1011">
        <f t="shared" si="28"/>
        <v>0</v>
      </c>
      <c r="O223" s="587"/>
    </row>
    <row r="224" spans="1:15">
      <c r="A224" s="465">
        <v>43556</v>
      </c>
      <c r="B224" s="894"/>
      <c r="C224" s="902"/>
      <c r="D224" s="889"/>
      <c r="E224" s="1010"/>
      <c r="F224" s="891">
        <f t="shared" si="22"/>
        <v>1.07269528338234</v>
      </c>
      <c r="G224" s="941">
        <f t="shared" si="25"/>
        <v>0</v>
      </c>
      <c r="I224" s="891">
        <f t="shared" si="23"/>
        <v>0.92730471661766001</v>
      </c>
      <c r="J224" s="944">
        <f t="shared" si="24"/>
        <v>0</v>
      </c>
      <c r="K224" s="943">
        <f t="shared" si="26"/>
        <v>0</v>
      </c>
      <c r="L224" s="944">
        <f t="shared" si="27"/>
        <v>0</v>
      </c>
      <c r="M224" s="1011">
        <f t="shared" si="28"/>
        <v>0</v>
      </c>
      <c r="O224" s="587"/>
    </row>
    <row r="225" spans="1:15">
      <c r="A225" s="465">
        <v>43586</v>
      </c>
      <c r="B225" s="894"/>
      <c r="C225" s="902"/>
      <c r="D225" s="889"/>
      <c r="E225" s="1006"/>
      <c r="F225" s="891">
        <f t="shared" si="22"/>
        <v>1.058490237990529</v>
      </c>
      <c r="G225" s="941">
        <f t="shared" si="25"/>
        <v>0</v>
      </c>
      <c r="I225" s="891">
        <f t="shared" si="23"/>
        <v>0.94150976200947101</v>
      </c>
      <c r="J225" s="944">
        <f t="shared" si="24"/>
        <v>0</v>
      </c>
      <c r="K225" s="943">
        <f t="shared" si="26"/>
        <v>0</v>
      </c>
      <c r="L225" s="944">
        <f t="shared" si="27"/>
        <v>0</v>
      </c>
      <c r="M225" s="1011">
        <f t="shared" si="28"/>
        <v>0</v>
      </c>
      <c r="O225" s="587"/>
    </row>
    <row r="226" spans="1:15">
      <c r="A226" s="465">
        <v>43617</v>
      </c>
      <c r="B226" s="894"/>
      <c r="C226" s="902"/>
      <c r="D226" s="889"/>
      <c r="E226" s="1006"/>
      <c r="F226" s="891">
        <f t="shared" si="22"/>
        <v>1.1693830474353057</v>
      </c>
      <c r="G226" s="941">
        <f t="shared" si="25"/>
        <v>0</v>
      </c>
      <c r="I226" s="891">
        <f t="shared" si="23"/>
        <v>0.83061695843935013</v>
      </c>
      <c r="J226" s="944">
        <f t="shared" si="24"/>
        <v>0</v>
      </c>
      <c r="K226" s="943">
        <f t="shared" si="26"/>
        <v>0</v>
      </c>
      <c r="L226" s="944">
        <f t="shared" si="27"/>
        <v>0</v>
      </c>
      <c r="M226" s="1011">
        <f t="shared" si="28"/>
        <v>0</v>
      </c>
      <c r="O226" s="587"/>
    </row>
    <row r="227" spans="1:15">
      <c r="A227" s="465">
        <v>43647</v>
      </c>
      <c r="B227" s="894"/>
      <c r="C227" s="902"/>
      <c r="D227" s="889"/>
      <c r="E227" s="1006"/>
      <c r="F227" s="891">
        <f t="shared" si="22"/>
        <v>1.2214070997107602</v>
      </c>
      <c r="G227" s="941">
        <f t="shared" si="25"/>
        <v>0</v>
      </c>
      <c r="I227" s="891">
        <f t="shared" si="23"/>
        <v>0.77859290689229965</v>
      </c>
      <c r="J227" s="944">
        <f t="shared" si="24"/>
        <v>0</v>
      </c>
      <c r="K227" s="943">
        <f t="shared" si="26"/>
        <v>0</v>
      </c>
      <c r="L227" s="944">
        <f t="shared" si="27"/>
        <v>0</v>
      </c>
      <c r="M227" s="1011">
        <f t="shared" si="28"/>
        <v>0</v>
      </c>
      <c r="O227" s="587"/>
    </row>
    <row r="228" spans="1:15">
      <c r="A228" s="465">
        <v>43678</v>
      </c>
      <c r="B228" s="894"/>
      <c r="C228" s="902"/>
      <c r="D228" s="889"/>
      <c r="E228" s="1006"/>
      <c r="F228" s="891">
        <f t="shared" si="22"/>
        <v>1.1576814286317387</v>
      </c>
      <c r="G228" s="941">
        <f t="shared" si="25"/>
        <v>0</v>
      </c>
      <c r="I228" s="891">
        <f t="shared" si="23"/>
        <v>0.84209904074668884</v>
      </c>
      <c r="J228" s="944">
        <f t="shared" si="24"/>
        <v>0</v>
      </c>
      <c r="K228" s="943">
        <f t="shared" si="26"/>
        <v>0</v>
      </c>
      <c r="L228" s="944">
        <f t="shared" si="27"/>
        <v>0</v>
      </c>
      <c r="M228" s="1011">
        <f t="shared" si="28"/>
        <v>0</v>
      </c>
      <c r="O228" s="587"/>
    </row>
    <row r="229" spans="1:15">
      <c r="A229" s="465">
        <v>43709</v>
      </c>
      <c r="B229" s="894"/>
      <c r="C229" s="902"/>
      <c r="D229" s="889"/>
      <c r="E229" s="1006"/>
      <c r="F229" s="891">
        <f t="shared" si="22"/>
        <v>1.0965337923205105</v>
      </c>
      <c r="G229" s="941">
        <f t="shared" si="25"/>
        <v>0</v>
      </c>
      <c r="I229" s="891">
        <f t="shared" si="23"/>
        <v>0.90346620767948926</v>
      </c>
      <c r="J229" s="944">
        <f t="shared" si="24"/>
        <v>0</v>
      </c>
      <c r="K229" s="943">
        <f t="shared" si="26"/>
        <v>0</v>
      </c>
      <c r="L229" s="944">
        <f t="shared" si="27"/>
        <v>0</v>
      </c>
      <c r="M229" s="1011">
        <f t="shared" si="28"/>
        <v>0</v>
      </c>
      <c r="O229" s="587"/>
    </row>
    <row r="230" spans="1:15">
      <c r="A230" s="465">
        <v>43739</v>
      </c>
      <c r="B230" s="894"/>
      <c r="C230" s="902"/>
      <c r="D230" s="889"/>
      <c r="E230" s="1006"/>
      <c r="F230" s="891">
        <f t="shared" si="22"/>
        <v>1.0119875</v>
      </c>
      <c r="G230" s="941">
        <f t="shared" si="25"/>
        <v>0</v>
      </c>
      <c r="I230" s="891">
        <f t="shared" si="23"/>
        <v>0.98801249999999996</v>
      </c>
      <c r="J230" s="944">
        <f t="shared" si="24"/>
        <v>0</v>
      </c>
      <c r="K230" s="943">
        <f t="shared" si="26"/>
        <v>0</v>
      </c>
      <c r="L230" s="944">
        <f t="shared" si="27"/>
        <v>0</v>
      </c>
      <c r="M230" s="1011">
        <f t="shared" si="28"/>
        <v>0</v>
      </c>
      <c r="O230" s="587"/>
    </row>
    <row r="231" spans="1:15">
      <c r="A231" s="465">
        <v>43770</v>
      </c>
      <c r="B231" s="894"/>
      <c r="C231" s="902"/>
      <c r="D231" s="889"/>
      <c r="E231" s="1006"/>
      <c r="F231" s="891">
        <f t="shared" si="22"/>
        <v>1.0158500000000001</v>
      </c>
      <c r="G231" s="941">
        <f t="shared" si="25"/>
        <v>0</v>
      </c>
      <c r="I231" s="891">
        <f t="shared" si="23"/>
        <v>0.98414999999999986</v>
      </c>
      <c r="J231" s="944">
        <f t="shared" si="24"/>
        <v>0</v>
      </c>
      <c r="K231" s="943">
        <f t="shared" si="26"/>
        <v>0</v>
      </c>
      <c r="L231" s="944">
        <f t="shared" si="27"/>
        <v>0</v>
      </c>
      <c r="M231" s="1011">
        <f t="shared" si="28"/>
        <v>0</v>
      </c>
      <c r="O231" s="587"/>
    </row>
    <row r="232" spans="1:15">
      <c r="A232" s="465">
        <v>43800</v>
      </c>
      <c r="B232" s="894"/>
      <c r="C232" s="902"/>
      <c r="D232" s="889"/>
      <c r="E232" s="1006"/>
      <c r="F232" s="891">
        <f t="shared" si="22"/>
        <v>1.0153259918063107</v>
      </c>
      <c r="G232" s="941">
        <f t="shared" si="25"/>
        <v>0</v>
      </c>
      <c r="I232" s="891">
        <f t="shared" si="23"/>
        <v>0.98467400819368933</v>
      </c>
      <c r="J232" s="944">
        <f t="shared" si="24"/>
        <v>0</v>
      </c>
      <c r="K232" s="943">
        <f t="shared" si="26"/>
        <v>0</v>
      </c>
      <c r="L232" s="944">
        <f t="shared" si="27"/>
        <v>0</v>
      </c>
      <c r="M232" s="1011">
        <f t="shared" si="28"/>
        <v>0</v>
      </c>
      <c r="O232" s="587"/>
    </row>
    <row r="233" spans="1:15">
      <c r="A233" s="465">
        <v>43831</v>
      </c>
      <c r="B233" s="894"/>
      <c r="C233" s="902"/>
      <c r="D233" s="889"/>
      <c r="E233" s="1006"/>
      <c r="F233" s="891">
        <f t="shared" si="22"/>
        <v>1.0080802540450913</v>
      </c>
      <c r="G233" s="941">
        <f t="shared" si="25"/>
        <v>0</v>
      </c>
      <c r="I233" s="891">
        <f t="shared" si="23"/>
        <v>0.99191974595490895</v>
      </c>
      <c r="J233" s="944">
        <f t="shared" si="24"/>
        <v>0</v>
      </c>
      <c r="K233" s="943">
        <f t="shared" si="26"/>
        <v>0</v>
      </c>
      <c r="L233" s="944">
        <f t="shared" si="27"/>
        <v>0</v>
      </c>
      <c r="M233" s="1011">
        <f t="shared" si="28"/>
        <v>0</v>
      </c>
      <c r="O233" s="587"/>
    </row>
    <row r="234" spans="1:15">
      <c r="A234" s="465">
        <v>43862</v>
      </c>
      <c r="B234" s="894"/>
      <c r="C234" s="902"/>
      <c r="D234" s="889"/>
      <c r="E234" s="1006"/>
      <c r="F234" s="891">
        <f t="shared" si="22"/>
        <v>1.0080802540450913</v>
      </c>
      <c r="G234" s="941">
        <f t="shared" si="25"/>
        <v>0</v>
      </c>
      <c r="I234" s="891">
        <f t="shared" si="23"/>
        <v>0.99191974595490906</v>
      </c>
      <c r="J234" s="944">
        <f t="shared" si="24"/>
        <v>0</v>
      </c>
      <c r="K234" s="943">
        <f t="shared" si="26"/>
        <v>0</v>
      </c>
      <c r="L234" s="944">
        <f t="shared" si="27"/>
        <v>0</v>
      </c>
      <c r="M234" s="1011">
        <f t="shared" si="28"/>
        <v>0</v>
      </c>
      <c r="O234" s="587"/>
    </row>
    <row r="235" spans="1:15">
      <c r="A235" s="465">
        <v>43891</v>
      </c>
      <c r="B235" s="894"/>
      <c r="C235" s="902"/>
      <c r="D235" s="889"/>
      <c r="E235" s="1006"/>
      <c r="F235" s="891">
        <f t="shared" si="22"/>
        <v>1.0080875</v>
      </c>
      <c r="G235" s="941">
        <f t="shared" si="25"/>
        <v>0</v>
      </c>
      <c r="I235" s="891">
        <f t="shared" si="23"/>
        <v>0.99191250000000009</v>
      </c>
      <c r="J235" s="944">
        <f t="shared" si="24"/>
        <v>0</v>
      </c>
      <c r="K235" s="943">
        <f t="shared" si="26"/>
        <v>0</v>
      </c>
      <c r="L235" s="944">
        <f t="shared" si="27"/>
        <v>0</v>
      </c>
      <c r="M235" s="1011">
        <f t="shared" si="28"/>
        <v>0</v>
      </c>
      <c r="O235" s="587"/>
    </row>
    <row r="236" spans="1:15">
      <c r="A236" s="465">
        <v>43922</v>
      </c>
      <c r="B236" s="894"/>
      <c r="C236" s="902"/>
      <c r="D236" s="889"/>
      <c r="E236" s="1006"/>
      <c r="F236" s="891">
        <f t="shared" si="22"/>
        <v>1.07269528338234</v>
      </c>
      <c r="G236" s="941">
        <f t="shared" si="25"/>
        <v>0</v>
      </c>
      <c r="I236" s="891">
        <f t="shared" si="23"/>
        <v>0.92730471661766001</v>
      </c>
      <c r="J236" s="944">
        <f t="shared" si="24"/>
        <v>0</v>
      </c>
      <c r="K236" s="943">
        <f t="shared" si="26"/>
        <v>0</v>
      </c>
      <c r="L236" s="944">
        <f t="shared" si="27"/>
        <v>0</v>
      </c>
      <c r="M236" s="1011">
        <f t="shared" si="28"/>
        <v>0</v>
      </c>
      <c r="O236" s="587"/>
    </row>
    <row r="237" spans="1:15">
      <c r="A237" s="465">
        <v>43952</v>
      </c>
      <c r="B237" s="894"/>
      <c r="C237" s="902"/>
      <c r="D237" s="889"/>
      <c r="E237" s="1006"/>
      <c r="F237" s="891">
        <f t="shared" si="22"/>
        <v>1.058490237990529</v>
      </c>
      <c r="G237" s="941">
        <f t="shared" si="25"/>
        <v>0</v>
      </c>
      <c r="I237" s="891">
        <f t="shared" si="23"/>
        <v>0.94150976200947101</v>
      </c>
      <c r="J237" s="944">
        <f t="shared" si="24"/>
        <v>0</v>
      </c>
      <c r="K237" s="943">
        <f t="shared" si="26"/>
        <v>0</v>
      </c>
      <c r="L237" s="944">
        <f t="shared" si="27"/>
        <v>0</v>
      </c>
      <c r="M237" s="1011">
        <f t="shared" si="28"/>
        <v>0</v>
      </c>
      <c r="O237" s="587"/>
    </row>
    <row r="238" spans="1:15">
      <c r="A238" s="465">
        <v>43983</v>
      </c>
      <c r="B238" s="894"/>
      <c r="C238" s="902"/>
      <c r="D238" s="889"/>
      <c r="E238" s="1006"/>
      <c r="F238" s="891">
        <f t="shared" si="22"/>
        <v>1.1693830474353057</v>
      </c>
      <c r="G238" s="941">
        <f t="shared" si="25"/>
        <v>0</v>
      </c>
      <c r="I238" s="891">
        <f t="shared" si="23"/>
        <v>0.83061695843935013</v>
      </c>
      <c r="J238" s="944">
        <f t="shared" si="24"/>
        <v>0</v>
      </c>
      <c r="K238" s="943">
        <f t="shared" si="26"/>
        <v>0</v>
      </c>
      <c r="L238" s="944">
        <f t="shared" si="27"/>
        <v>0</v>
      </c>
      <c r="M238" s="1011">
        <f t="shared" si="28"/>
        <v>0</v>
      </c>
      <c r="O238" s="587"/>
    </row>
    <row r="239" spans="1:15">
      <c r="A239" s="465">
        <v>44013</v>
      </c>
      <c r="B239" s="894"/>
      <c r="C239" s="902"/>
      <c r="D239" s="889"/>
      <c r="E239" s="1006"/>
      <c r="F239" s="891">
        <f t="shared" si="22"/>
        <v>1.2214070997107602</v>
      </c>
      <c r="G239" s="941">
        <f t="shared" si="25"/>
        <v>0</v>
      </c>
      <c r="I239" s="891">
        <f t="shared" si="23"/>
        <v>0.77859290689229965</v>
      </c>
      <c r="J239" s="944">
        <f t="shared" si="24"/>
        <v>0</v>
      </c>
      <c r="K239" s="943">
        <f t="shared" si="26"/>
        <v>0</v>
      </c>
      <c r="L239" s="944">
        <f t="shared" si="27"/>
        <v>0</v>
      </c>
      <c r="M239" s="1011">
        <f t="shared" si="28"/>
        <v>0</v>
      </c>
      <c r="O239" s="587"/>
    </row>
    <row r="240" spans="1:15">
      <c r="A240" s="465">
        <v>44044</v>
      </c>
      <c r="B240" s="894"/>
      <c r="C240" s="902"/>
      <c r="D240" s="889"/>
      <c r="E240" s="1006"/>
      <c r="F240" s="891">
        <f t="shared" si="22"/>
        <v>1.1576814286317387</v>
      </c>
      <c r="G240" s="941">
        <f t="shared" si="25"/>
        <v>0</v>
      </c>
      <c r="I240" s="891">
        <f t="shared" si="23"/>
        <v>0.84209904074668884</v>
      </c>
      <c r="J240" s="944">
        <f t="shared" si="24"/>
        <v>0</v>
      </c>
      <c r="K240" s="943">
        <f t="shared" si="26"/>
        <v>0</v>
      </c>
      <c r="L240" s="944">
        <f t="shared" si="27"/>
        <v>0</v>
      </c>
      <c r="M240" s="1011">
        <f t="shared" si="28"/>
        <v>0</v>
      </c>
      <c r="O240" s="587"/>
    </row>
    <row r="241" spans="1:15">
      <c r="A241" s="465">
        <v>44075</v>
      </c>
      <c r="B241" s="894"/>
      <c r="C241" s="902"/>
      <c r="D241" s="889"/>
      <c r="E241" s="1006"/>
      <c r="F241" s="891">
        <f t="shared" si="22"/>
        <v>1.0965337923205105</v>
      </c>
      <c r="G241" s="941">
        <f t="shared" si="25"/>
        <v>0</v>
      </c>
      <c r="I241" s="891">
        <f t="shared" si="23"/>
        <v>0.90346620767948926</v>
      </c>
      <c r="J241" s="944">
        <f t="shared" si="24"/>
        <v>0</v>
      </c>
      <c r="K241" s="943">
        <f t="shared" si="26"/>
        <v>0</v>
      </c>
      <c r="L241" s="944">
        <f t="shared" si="27"/>
        <v>0</v>
      </c>
      <c r="M241" s="1011">
        <f t="shared" si="28"/>
        <v>0</v>
      </c>
      <c r="O241" s="587"/>
    </row>
    <row r="242" spans="1:15">
      <c r="A242" s="465">
        <v>44105</v>
      </c>
      <c r="B242" s="894"/>
      <c r="C242" s="902"/>
      <c r="D242" s="889"/>
      <c r="E242" s="1006"/>
      <c r="F242" s="891">
        <f t="shared" si="22"/>
        <v>1.0119875</v>
      </c>
      <c r="G242" s="941">
        <f t="shared" si="25"/>
        <v>0</v>
      </c>
      <c r="I242" s="891">
        <f t="shared" si="23"/>
        <v>0.98801249999999996</v>
      </c>
      <c r="J242" s="944">
        <f t="shared" si="24"/>
        <v>0</v>
      </c>
      <c r="K242" s="943">
        <f t="shared" si="26"/>
        <v>0</v>
      </c>
      <c r="L242" s="944">
        <f t="shared" si="27"/>
        <v>0</v>
      </c>
      <c r="M242" s="1011">
        <f t="shared" si="28"/>
        <v>0</v>
      </c>
      <c r="O242" s="587"/>
    </row>
    <row r="243" spans="1:15">
      <c r="A243" s="465">
        <v>44136</v>
      </c>
      <c r="B243" s="894"/>
      <c r="C243" s="902"/>
      <c r="D243" s="889"/>
      <c r="E243" s="1006"/>
      <c r="F243" s="891">
        <f t="shared" si="22"/>
        <v>1.0158500000000001</v>
      </c>
      <c r="G243" s="941">
        <f t="shared" si="25"/>
        <v>0</v>
      </c>
      <c r="I243" s="891">
        <f t="shared" si="23"/>
        <v>0.98414999999999986</v>
      </c>
      <c r="J243" s="944">
        <f t="shared" si="24"/>
        <v>0</v>
      </c>
      <c r="K243" s="943">
        <f t="shared" si="26"/>
        <v>0</v>
      </c>
      <c r="L243" s="944">
        <f t="shared" si="27"/>
        <v>0</v>
      </c>
      <c r="M243" s="1011">
        <f t="shared" si="28"/>
        <v>0</v>
      </c>
      <c r="O243" s="587"/>
    </row>
    <row r="244" spans="1:15">
      <c r="A244" s="465">
        <v>44166</v>
      </c>
      <c r="B244" s="894"/>
      <c r="C244" s="902"/>
      <c r="D244" s="889"/>
      <c r="E244" s="1006"/>
      <c r="F244" s="891">
        <f t="shared" si="22"/>
        <v>1.0153259918063107</v>
      </c>
      <c r="G244" s="941">
        <f t="shared" si="25"/>
        <v>0</v>
      </c>
      <c r="I244" s="891">
        <f t="shared" si="23"/>
        <v>0.98467400819368933</v>
      </c>
      <c r="J244" s="944">
        <f t="shared" si="24"/>
        <v>0</v>
      </c>
      <c r="K244" s="943">
        <f t="shared" si="26"/>
        <v>0</v>
      </c>
      <c r="L244" s="944">
        <f t="shared" si="27"/>
        <v>0</v>
      </c>
      <c r="M244" s="1011">
        <f t="shared" si="28"/>
        <v>0</v>
      </c>
      <c r="O244" s="587"/>
    </row>
    <row r="245" spans="1:15">
      <c r="A245" s="465">
        <v>44197</v>
      </c>
      <c r="B245" s="894"/>
      <c r="C245" s="902"/>
      <c r="D245" s="889"/>
      <c r="E245" s="1006"/>
      <c r="F245" s="891">
        <f t="shared" si="22"/>
        <v>1.0080802540450913</v>
      </c>
      <c r="G245" s="941">
        <f t="shared" si="25"/>
        <v>0</v>
      </c>
      <c r="I245" s="891">
        <f t="shared" si="23"/>
        <v>0.99191974595490895</v>
      </c>
      <c r="J245" s="944">
        <f t="shared" si="24"/>
        <v>0</v>
      </c>
      <c r="K245" s="943">
        <f t="shared" si="26"/>
        <v>0</v>
      </c>
      <c r="L245" s="944">
        <f t="shared" si="27"/>
        <v>0</v>
      </c>
      <c r="M245" s="1011">
        <f t="shared" si="28"/>
        <v>0</v>
      </c>
      <c r="O245" s="587"/>
    </row>
    <row r="246" spans="1:15">
      <c r="A246" s="465">
        <v>44228</v>
      </c>
      <c r="B246" s="894"/>
      <c r="C246" s="902"/>
      <c r="D246" s="889"/>
      <c r="E246" s="1006"/>
      <c r="F246" s="891">
        <f t="shared" si="22"/>
        <v>1.0080802540450913</v>
      </c>
      <c r="G246" s="941">
        <f t="shared" si="25"/>
        <v>0</v>
      </c>
      <c r="I246" s="891">
        <f t="shared" si="23"/>
        <v>0.99191974595490906</v>
      </c>
      <c r="J246" s="944">
        <f t="shared" si="24"/>
        <v>0</v>
      </c>
      <c r="K246" s="943">
        <f t="shared" si="26"/>
        <v>0</v>
      </c>
      <c r="L246" s="944">
        <f t="shared" si="27"/>
        <v>0</v>
      </c>
      <c r="M246" s="1011">
        <f t="shared" si="28"/>
        <v>0</v>
      </c>
      <c r="O246" s="587"/>
    </row>
    <row r="247" spans="1:15">
      <c r="A247" s="465">
        <v>44256</v>
      </c>
      <c r="B247" s="894"/>
      <c r="C247" s="902"/>
      <c r="D247" s="889"/>
      <c r="E247" s="1006"/>
      <c r="F247" s="891">
        <f t="shared" si="22"/>
        <v>1.0080875</v>
      </c>
      <c r="G247" s="941">
        <f t="shared" si="25"/>
        <v>0</v>
      </c>
      <c r="I247" s="891">
        <f t="shared" si="23"/>
        <v>0.99191250000000009</v>
      </c>
      <c r="J247" s="944">
        <f t="shared" si="24"/>
        <v>0</v>
      </c>
      <c r="K247" s="943">
        <f t="shared" si="26"/>
        <v>0</v>
      </c>
      <c r="L247" s="944">
        <f t="shared" si="27"/>
        <v>0</v>
      </c>
      <c r="M247" s="1011">
        <f t="shared" si="28"/>
        <v>0</v>
      </c>
      <c r="O247" s="587"/>
    </row>
    <row r="248" spans="1:15">
      <c r="A248" s="465">
        <v>44287</v>
      </c>
      <c r="B248" s="894"/>
      <c r="C248" s="902"/>
      <c r="D248" s="889"/>
      <c r="E248" s="1006"/>
      <c r="F248" s="891">
        <f t="shared" si="22"/>
        <v>1.07269528338234</v>
      </c>
      <c r="G248" s="941">
        <f t="shared" si="25"/>
        <v>0</v>
      </c>
      <c r="I248" s="891">
        <f t="shared" si="23"/>
        <v>0.92730471661766001</v>
      </c>
      <c r="J248" s="944">
        <f t="shared" si="24"/>
        <v>0</v>
      </c>
      <c r="K248" s="943">
        <f t="shared" si="26"/>
        <v>0</v>
      </c>
      <c r="L248" s="944">
        <f t="shared" si="27"/>
        <v>0</v>
      </c>
      <c r="M248" s="1011">
        <f t="shared" si="28"/>
        <v>0</v>
      </c>
      <c r="O248" s="587"/>
    </row>
    <row r="249" spans="1:15">
      <c r="A249" s="465">
        <v>44317</v>
      </c>
      <c r="B249" s="894"/>
      <c r="C249" s="902"/>
      <c r="D249" s="889"/>
      <c r="E249" s="1006"/>
      <c r="F249" s="891">
        <f t="shared" si="22"/>
        <v>1.058490237990529</v>
      </c>
      <c r="G249" s="941">
        <f t="shared" si="25"/>
        <v>0</v>
      </c>
      <c r="I249" s="891">
        <f t="shared" si="23"/>
        <v>0.94150976200947101</v>
      </c>
      <c r="J249" s="944">
        <f t="shared" si="24"/>
        <v>0</v>
      </c>
      <c r="K249" s="943">
        <f t="shared" si="26"/>
        <v>0</v>
      </c>
      <c r="L249" s="944">
        <f t="shared" si="27"/>
        <v>0</v>
      </c>
      <c r="M249" s="1011">
        <f t="shared" si="28"/>
        <v>0</v>
      </c>
      <c r="O249" s="587"/>
    </row>
    <row r="250" spans="1:15">
      <c r="A250" s="465">
        <v>44348</v>
      </c>
      <c r="B250" s="894"/>
      <c r="C250" s="902"/>
      <c r="D250" s="889"/>
      <c r="E250" s="1006"/>
      <c r="F250" s="891">
        <f t="shared" si="22"/>
        <v>1.1693830474353057</v>
      </c>
      <c r="G250" s="941">
        <f t="shared" si="25"/>
        <v>0</v>
      </c>
      <c r="I250" s="891">
        <f t="shared" si="23"/>
        <v>0.83061695843935013</v>
      </c>
      <c r="J250" s="944">
        <f t="shared" si="24"/>
        <v>0</v>
      </c>
      <c r="K250" s="943">
        <f t="shared" si="26"/>
        <v>0</v>
      </c>
      <c r="L250" s="944">
        <f t="shared" si="27"/>
        <v>0</v>
      </c>
      <c r="M250" s="1011">
        <f t="shared" si="28"/>
        <v>0</v>
      </c>
      <c r="O250" s="587"/>
    </row>
    <row r="251" spans="1:15">
      <c r="A251" s="465">
        <v>44378</v>
      </c>
      <c r="B251" s="894"/>
      <c r="C251" s="902"/>
      <c r="D251" s="889"/>
      <c r="E251" s="1006"/>
      <c r="F251" s="891">
        <f t="shared" si="22"/>
        <v>1.2214070997107602</v>
      </c>
      <c r="G251" s="941">
        <f t="shared" si="25"/>
        <v>0</v>
      </c>
      <c r="I251" s="891">
        <f t="shared" si="23"/>
        <v>0.77859290689229965</v>
      </c>
      <c r="J251" s="944">
        <f t="shared" si="24"/>
        <v>0</v>
      </c>
      <c r="K251" s="943">
        <f t="shared" si="26"/>
        <v>0</v>
      </c>
      <c r="L251" s="944">
        <f t="shared" si="27"/>
        <v>0</v>
      </c>
      <c r="M251" s="1011">
        <f t="shared" si="28"/>
        <v>0</v>
      </c>
      <c r="O251" s="587"/>
    </row>
    <row r="252" spans="1:15">
      <c r="A252" s="465">
        <v>44409</v>
      </c>
      <c r="B252" s="894"/>
      <c r="C252" s="902"/>
      <c r="D252" s="889"/>
      <c r="E252" s="1006"/>
      <c r="F252" s="891">
        <f t="shared" si="22"/>
        <v>1.1576814286317387</v>
      </c>
      <c r="G252" s="941">
        <f t="shared" si="25"/>
        <v>0</v>
      </c>
      <c r="I252" s="891">
        <f t="shared" si="23"/>
        <v>0.84209904074668884</v>
      </c>
      <c r="J252" s="944">
        <f t="shared" si="24"/>
        <v>0</v>
      </c>
      <c r="K252" s="943">
        <f t="shared" si="26"/>
        <v>0</v>
      </c>
      <c r="L252" s="944">
        <f t="shared" si="27"/>
        <v>0</v>
      </c>
      <c r="M252" s="1011">
        <f t="shared" si="28"/>
        <v>0</v>
      </c>
      <c r="O252" s="587"/>
    </row>
    <row r="253" spans="1:15">
      <c r="A253" s="465">
        <v>44440</v>
      </c>
      <c r="B253" s="894"/>
      <c r="C253" s="902"/>
      <c r="D253" s="889"/>
      <c r="E253" s="1006"/>
      <c r="F253" s="891">
        <f t="shared" si="22"/>
        <v>1.0965337923205105</v>
      </c>
      <c r="G253" s="941">
        <f t="shared" si="25"/>
        <v>0</v>
      </c>
      <c r="I253" s="891">
        <f t="shared" si="23"/>
        <v>0.90346620767948926</v>
      </c>
      <c r="J253" s="944">
        <f t="shared" si="24"/>
        <v>0</v>
      </c>
      <c r="K253" s="943">
        <f t="shared" si="26"/>
        <v>0</v>
      </c>
      <c r="L253" s="944">
        <f t="shared" si="27"/>
        <v>0</v>
      </c>
      <c r="M253" s="1011">
        <f t="shared" si="28"/>
        <v>0</v>
      </c>
      <c r="O253" s="587"/>
    </row>
    <row r="254" spans="1:15">
      <c r="A254" s="465">
        <v>44470</v>
      </c>
      <c r="B254" s="894"/>
      <c r="C254" s="902"/>
      <c r="D254" s="889"/>
      <c r="E254" s="1006"/>
      <c r="F254" s="891">
        <f t="shared" si="22"/>
        <v>1.0119875</v>
      </c>
      <c r="G254" s="941">
        <f t="shared" si="25"/>
        <v>0</v>
      </c>
      <c r="I254" s="891">
        <f t="shared" si="23"/>
        <v>0.98801249999999996</v>
      </c>
      <c r="J254" s="944">
        <f t="shared" si="24"/>
        <v>0</v>
      </c>
      <c r="K254" s="943">
        <f t="shared" si="26"/>
        <v>0</v>
      </c>
      <c r="L254" s="944">
        <f t="shared" si="27"/>
        <v>0</v>
      </c>
      <c r="M254" s="1011">
        <f t="shared" si="28"/>
        <v>0</v>
      </c>
      <c r="O254" s="587"/>
    </row>
    <row r="255" spans="1:15">
      <c r="A255" s="465">
        <v>44501</v>
      </c>
      <c r="B255" s="894"/>
      <c r="C255" s="902"/>
      <c r="D255" s="889"/>
      <c r="E255" s="1006"/>
      <c r="F255" s="891">
        <f t="shared" si="22"/>
        <v>1.0158500000000001</v>
      </c>
      <c r="G255" s="941">
        <f t="shared" si="25"/>
        <v>0</v>
      </c>
      <c r="I255" s="891">
        <f t="shared" si="23"/>
        <v>0.98414999999999986</v>
      </c>
      <c r="J255" s="944">
        <f t="shared" si="24"/>
        <v>0</v>
      </c>
      <c r="K255" s="943">
        <f t="shared" si="26"/>
        <v>0</v>
      </c>
      <c r="L255" s="944">
        <f t="shared" si="27"/>
        <v>0</v>
      </c>
      <c r="M255" s="1011">
        <f t="shared" si="28"/>
        <v>0</v>
      </c>
      <c r="O255" s="587"/>
    </row>
    <row r="256" spans="1:15">
      <c r="A256" s="465">
        <v>44531</v>
      </c>
      <c r="B256" s="896"/>
      <c r="C256" s="903"/>
      <c r="D256" s="890"/>
      <c r="E256" s="1006"/>
      <c r="F256" s="891">
        <f t="shared" si="22"/>
        <v>1.0153259918063107</v>
      </c>
      <c r="G256" s="941">
        <f t="shared" si="25"/>
        <v>0</v>
      </c>
      <c r="I256" s="891">
        <f t="shared" si="23"/>
        <v>0.98467400819368933</v>
      </c>
      <c r="J256" s="964">
        <f t="shared" si="24"/>
        <v>0</v>
      </c>
      <c r="K256" s="943">
        <f t="shared" si="26"/>
        <v>0</v>
      </c>
      <c r="L256" s="944">
        <f t="shared" si="27"/>
        <v>0</v>
      </c>
      <c r="M256" s="1011">
        <f t="shared" si="28"/>
        <v>0</v>
      </c>
      <c r="O256" s="587"/>
    </row>
  </sheetData>
  <mergeCells count="2">
    <mergeCell ref="Y5:AB5"/>
    <mergeCell ref="O2:S2"/>
  </mergeCells>
  <pageMargins left="0.25" right="0.34" top="1" bottom="1" header="0.59" footer="0.5"/>
  <pageSetup paperSize="5" scale="65" orientation="portrait" horizont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B1410"/>
  <sheetViews>
    <sheetView workbookViewId="0">
      <selection activeCell="F11" sqref="F11"/>
    </sheetView>
  </sheetViews>
  <sheetFormatPr defaultRowHeight="12.75"/>
  <cols>
    <col min="1" max="1" width="11.85546875" customWidth="1"/>
    <col min="2" max="2" width="10.140625" style="651" customWidth="1"/>
    <col min="3" max="4" width="9.85546875" style="651" customWidth="1"/>
    <col min="5" max="5" width="12.42578125" customWidth="1"/>
    <col min="6" max="6" width="11" customWidth="1"/>
    <col min="7" max="7" width="4.140625" customWidth="1"/>
    <col min="13" max="13" width="3.85546875" customWidth="1"/>
    <col min="14" max="14" width="11.7109375" bestFit="1" customWidth="1"/>
    <col min="15" max="15" width="13.28515625" bestFit="1" customWidth="1"/>
    <col min="16" max="16" width="13.140625" customWidth="1"/>
    <col min="17" max="18" width="13.28515625" bestFit="1" customWidth="1"/>
    <col min="19" max="19" width="14.42578125" customWidth="1"/>
    <col min="22" max="22" width="4.7109375" customWidth="1"/>
    <col min="26" max="26" width="12" customWidth="1"/>
  </cols>
  <sheetData>
    <row r="1" spans="1:28" s="339" customFormat="1" ht="27" customHeight="1">
      <c r="A1" s="885" t="s">
        <v>800</v>
      </c>
      <c r="N1" s="1080" t="s">
        <v>807</v>
      </c>
      <c r="O1" s="1080"/>
      <c r="P1" s="1080"/>
      <c r="Q1" s="1080"/>
      <c r="R1" s="1080"/>
      <c r="T1" s="650"/>
      <c r="U1" s="650"/>
      <c r="V1" s="650"/>
      <c r="W1" s="650"/>
      <c r="X1" s="650"/>
      <c r="Y1" s="650"/>
      <c r="Z1" s="650"/>
      <c r="AA1" s="650"/>
    </row>
    <row r="2" spans="1:28">
      <c r="A2" t="s">
        <v>737</v>
      </c>
      <c r="H2" s="948" t="s">
        <v>736</v>
      </c>
      <c r="K2" s="947"/>
      <c r="T2" s="947"/>
    </row>
    <row r="3" spans="1:28">
      <c r="U3" s="946"/>
    </row>
    <row r="4" spans="1:28" ht="66" customHeight="1">
      <c r="B4" s="962" t="s">
        <v>735</v>
      </c>
      <c r="C4" s="899" t="s">
        <v>734</v>
      </c>
      <c r="D4" s="1004" t="s">
        <v>768</v>
      </c>
      <c r="E4" s="892" t="s">
        <v>560</v>
      </c>
      <c r="F4" s="963" t="s">
        <v>738</v>
      </c>
      <c r="H4" s="954" t="s">
        <v>709</v>
      </c>
      <c r="I4" s="945" t="s">
        <v>714</v>
      </c>
      <c r="J4" s="945" t="s">
        <v>715</v>
      </c>
      <c r="K4" s="942" t="s">
        <v>716</v>
      </c>
      <c r="L4" s="945" t="s">
        <v>769</v>
      </c>
      <c r="N4" s="900" t="s">
        <v>812</v>
      </c>
      <c r="O4" s="900" t="s">
        <v>805</v>
      </c>
      <c r="P4" s="900" t="s">
        <v>810</v>
      </c>
      <c r="Q4" s="900" t="s">
        <v>806</v>
      </c>
      <c r="R4" s="900" t="s">
        <v>815</v>
      </c>
      <c r="S4" s="1050" t="s">
        <v>803</v>
      </c>
    </row>
    <row r="5" spans="1:28">
      <c r="A5" s="465">
        <v>36892</v>
      </c>
      <c r="B5" s="894">
        <v>29.699998474121095</v>
      </c>
      <c r="C5" s="961">
        <v>22</v>
      </c>
      <c r="D5" s="1008">
        <v>21</v>
      </c>
      <c r="E5" s="957">
        <f t="shared" ref="E5:E62" si="0">IF(VLOOKUP(MONTH(A5),SeasonTable,2,0)&lt;&gt;"Summer",VLOOKUP(MONTH(A5),ScalarTable,2,0),((0.059228/(B5/100))-(0.4980013/(SQRT(B5/100)))+2.137988))</f>
        <v>1.02</v>
      </c>
      <c r="F5" s="944">
        <f t="shared" ref="F5:F64" si="1">+E5*B5</f>
        <v>30.293998443603517</v>
      </c>
      <c r="H5" s="955">
        <f>2-E5</f>
        <v>0.98</v>
      </c>
      <c r="I5" s="952">
        <f>B5*H5</f>
        <v>29.105998504638674</v>
      </c>
      <c r="J5" s="950">
        <f>C5*E5</f>
        <v>22.44</v>
      </c>
      <c r="K5" s="949">
        <f>C5*H5</f>
        <v>21.56</v>
      </c>
      <c r="L5" s="944">
        <f>D5*E5</f>
        <v>21.42</v>
      </c>
      <c r="N5" s="1032">
        <v>53776.304168945629</v>
      </c>
      <c r="O5" s="1032">
        <v>30436.065055306943</v>
      </c>
      <c r="P5" s="1032">
        <v>72362.26448612941</v>
      </c>
      <c r="Q5" s="1032">
        <v>55230.255010351138</v>
      </c>
      <c r="R5" s="1032">
        <v>41501.850276101213</v>
      </c>
      <c r="S5" s="1051">
        <f>IF(Tables!$B$2=1,'Michigan Curve'!N5,IF(Tables!$B$2=2,'Michigan Curve'!O5,IF(Tables!$B$2=4,'Michigan Curve'!P5,IF(Tables!$B$2=5,'Michigan Curve'!Q5,IF(Tables!$B$2=3,'Michigan Curve'!R5,0)))))</f>
        <v>55230.255010351138</v>
      </c>
      <c r="U5" s="652" t="s">
        <v>561</v>
      </c>
      <c r="V5" s="653"/>
      <c r="W5" s="654"/>
      <c r="X5" s="904" t="s">
        <v>711</v>
      </c>
      <c r="Y5" s="655"/>
      <c r="Z5" s="655"/>
      <c r="AA5" s="656"/>
    </row>
    <row r="6" spans="1:28">
      <c r="A6" s="465">
        <v>36923</v>
      </c>
      <c r="B6" s="894">
        <v>29.699998474121095</v>
      </c>
      <c r="C6" s="961">
        <v>21.996000289916992</v>
      </c>
      <c r="D6" s="1008">
        <v>20.996501922607422</v>
      </c>
      <c r="E6" s="957">
        <f t="shared" si="0"/>
        <v>1.02</v>
      </c>
      <c r="F6" s="944">
        <f t="shared" si="1"/>
        <v>30.293998443603517</v>
      </c>
      <c r="H6" s="955">
        <f t="shared" ref="H6:H69" si="2">2-E6</f>
        <v>0.98</v>
      </c>
      <c r="I6" s="952">
        <f t="shared" ref="I6:I69" si="3">B6*H6</f>
        <v>29.105998504638674</v>
      </c>
      <c r="J6" s="950">
        <f t="shared" ref="J6:J69" si="4">C6*E6</f>
        <v>22.435920295715331</v>
      </c>
      <c r="K6" s="949">
        <f t="shared" ref="K6:K69" si="5">C6*H6</f>
        <v>21.556080284118654</v>
      </c>
      <c r="L6" s="944">
        <f t="shared" ref="L6:L69" si="6">D6*E6</f>
        <v>21.416431961059569</v>
      </c>
      <c r="N6" s="1032">
        <v>55521.634076871596</v>
      </c>
      <c r="O6" s="1032">
        <v>31509.872091544657</v>
      </c>
      <c r="P6" s="1032">
        <v>74669.983734439476</v>
      </c>
      <c r="Q6" s="1032">
        <v>57292.467975072825</v>
      </c>
      <c r="R6" s="1032">
        <v>43786.80388063089</v>
      </c>
      <c r="S6" s="1051">
        <f>IF(Tables!$B$2=1,'Michigan Curve'!N6,IF(Tables!$B$2=2,'Michigan Curve'!O6,IF(Tables!$B$2=4,'Michigan Curve'!P6,IF(Tables!$B$2=5,'Michigan Curve'!Q6,IF(Tables!$B$2=3,'Michigan Curve'!R6,0)))))</f>
        <v>57292.467975072825</v>
      </c>
      <c r="U6" s="657"/>
      <c r="V6" s="658"/>
      <c r="W6" s="654"/>
      <c r="X6" s="659"/>
      <c r="Y6" s="660" t="s">
        <v>563</v>
      </c>
      <c r="Z6" s="660" t="s">
        <v>564</v>
      </c>
      <c r="AA6" s="661" t="s">
        <v>565</v>
      </c>
    </row>
    <row r="7" spans="1:28">
      <c r="A7" s="465">
        <v>36951</v>
      </c>
      <c r="B7" s="894">
        <v>24.25</v>
      </c>
      <c r="C7" s="961">
        <v>20</v>
      </c>
      <c r="D7" s="1008">
        <v>19</v>
      </c>
      <c r="E7" s="957">
        <f t="shared" si="0"/>
        <v>1.02</v>
      </c>
      <c r="F7" s="944">
        <f t="shared" si="1"/>
        <v>24.734999999999999</v>
      </c>
      <c r="H7" s="955">
        <f t="shared" si="2"/>
        <v>0.98</v>
      </c>
      <c r="I7" s="952">
        <f t="shared" si="3"/>
        <v>23.765000000000001</v>
      </c>
      <c r="J7" s="950">
        <f t="shared" si="4"/>
        <v>20.399999999999999</v>
      </c>
      <c r="K7" s="949">
        <f t="shared" si="5"/>
        <v>19.600000000000001</v>
      </c>
      <c r="L7" s="944">
        <f t="shared" si="6"/>
        <v>19.38</v>
      </c>
      <c r="N7" s="1032">
        <v>3835.4403690503827</v>
      </c>
      <c r="O7" s="1032">
        <v>2045.0308041015767</v>
      </c>
      <c r="P7" s="1032">
        <v>5222.9257977468751</v>
      </c>
      <c r="Q7" s="1032">
        <v>3551.221774385941</v>
      </c>
      <c r="R7" s="1032">
        <v>1990.3785216049207</v>
      </c>
      <c r="S7" s="1051">
        <f>IF(Tables!$B$2=1,'Michigan Curve'!N7,IF(Tables!$B$2=2,'Michigan Curve'!O7,IF(Tables!$B$2=4,'Michigan Curve'!P7,IF(Tables!$B$2=5,'Michigan Curve'!Q7,IF(Tables!$B$2=3,'Michigan Curve'!R7,0)))))</f>
        <v>3551.221774385941</v>
      </c>
      <c r="U7" s="657" t="s">
        <v>361</v>
      </c>
      <c r="V7" s="662" t="s">
        <v>566</v>
      </c>
      <c r="W7" s="654"/>
      <c r="X7" s="659"/>
      <c r="Y7" s="663" t="s">
        <v>567</v>
      </c>
      <c r="Z7" s="663" t="s">
        <v>567</v>
      </c>
      <c r="AA7" s="664" t="s">
        <v>568</v>
      </c>
    </row>
    <row r="8" spans="1:28">
      <c r="A8" s="465">
        <v>36982</v>
      </c>
      <c r="B8" s="894">
        <v>24.5</v>
      </c>
      <c r="C8" s="961">
        <v>20</v>
      </c>
      <c r="D8" s="1008">
        <v>18.995000839233398</v>
      </c>
      <c r="E8" s="957">
        <f t="shared" si="0"/>
        <v>1</v>
      </c>
      <c r="F8" s="944">
        <f t="shared" si="1"/>
        <v>24.5</v>
      </c>
      <c r="H8" s="955">
        <f t="shared" si="2"/>
        <v>1</v>
      </c>
      <c r="I8" s="952">
        <f t="shared" si="3"/>
        <v>24.5</v>
      </c>
      <c r="J8" s="950">
        <f t="shared" si="4"/>
        <v>20</v>
      </c>
      <c r="K8" s="949">
        <f t="shared" si="5"/>
        <v>20</v>
      </c>
      <c r="L8" s="944">
        <f t="shared" si="6"/>
        <v>18.995000839233398</v>
      </c>
      <c r="N8" s="1032">
        <v>8940.4914062290591</v>
      </c>
      <c r="O8" s="1032">
        <v>4849.4827682175774</v>
      </c>
      <c r="P8" s="1032">
        <v>12132.873305622268</v>
      </c>
      <c r="Q8" s="1032">
        <v>8494.6603933475435</v>
      </c>
      <c r="R8" s="1032">
        <v>5151.2785135483591</v>
      </c>
      <c r="S8" s="1051">
        <f>IF(Tables!$B$2=1,'Michigan Curve'!N8,IF(Tables!$B$2=2,'Michigan Curve'!O8,IF(Tables!$B$2=4,'Michigan Curve'!P8,IF(Tables!$B$2=5,'Michigan Curve'!Q8,IF(Tables!$B$2=3,'Michigan Curve'!R8,0)))))</f>
        <v>8494.6603933475435</v>
      </c>
      <c r="U8" s="665">
        <v>1</v>
      </c>
      <c r="V8" s="662" t="s">
        <v>569</v>
      </c>
      <c r="W8" s="654"/>
      <c r="X8" s="659">
        <v>1</v>
      </c>
      <c r="Y8" s="666">
        <v>1.02</v>
      </c>
      <c r="Z8" s="666">
        <v>0.98</v>
      </c>
      <c r="AA8" s="667">
        <f t="shared" ref="AA8:AA19" si="7">AVERAGE(Y8:Z8)</f>
        <v>1</v>
      </c>
    </row>
    <row r="9" spans="1:28">
      <c r="A9" s="465">
        <v>37012</v>
      </c>
      <c r="B9" s="894">
        <v>29.25</v>
      </c>
      <c r="C9" s="961">
        <v>21</v>
      </c>
      <c r="D9" s="1008">
        <v>20.004999160766602</v>
      </c>
      <c r="E9" s="957">
        <f t="shared" si="0"/>
        <v>1.0762500017881393</v>
      </c>
      <c r="F9" s="944">
        <f t="shared" si="1"/>
        <v>31.480312552303076</v>
      </c>
      <c r="H9" s="955">
        <f t="shared" si="2"/>
        <v>0.92374999821186066</v>
      </c>
      <c r="I9" s="952">
        <f t="shared" si="3"/>
        <v>27.019687447696924</v>
      </c>
      <c r="J9" s="950">
        <f t="shared" si="4"/>
        <v>22.601250037550926</v>
      </c>
      <c r="K9" s="949">
        <f t="shared" si="5"/>
        <v>19.398749962449074</v>
      </c>
      <c r="L9" s="944">
        <f t="shared" si="6"/>
        <v>21.530380382546781</v>
      </c>
      <c r="N9" s="1032">
        <v>137492.73926976818</v>
      </c>
      <c r="O9" s="1032">
        <v>79135.274972142433</v>
      </c>
      <c r="P9" s="1032">
        <v>184390.76661556977</v>
      </c>
      <c r="Q9" s="1032">
        <v>145242.98491923319</v>
      </c>
      <c r="R9" s="1032">
        <v>119827.03820768847</v>
      </c>
      <c r="S9" s="1051">
        <f>IF(Tables!$B$2=1,'Michigan Curve'!N9,IF(Tables!$B$2=2,'Michigan Curve'!O9,IF(Tables!$B$2=4,'Michigan Curve'!P9,IF(Tables!$B$2=5,'Michigan Curve'!Q9,IF(Tables!$B$2=3,'Michigan Curve'!R9,0)))))</f>
        <v>145242.98491923319</v>
      </c>
      <c r="U9" s="665">
        <v>2</v>
      </c>
      <c r="V9" s="662" t="s">
        <v>569</v>
      </c>
      <c r="W9" s="654"/>
      <c r="X9" s="659">
        <v>2</v>
      </c>
      <c r="Y9" s="666">
        <v>1.02</v>
      </c>
      <c r="Z9" s="666">
        <v>0.98</v>
      </c>
      <c r="AA9" s="667">
        <f t="shared" si="7"/>
        <v>1</v>
      </c>
    </row>
    <row r="10" spans="1:28">
      <c r="A10" s="465">
        <v>37043</v>
      </c>
      <c r="B10" s="894">
        <v>60.25</v>
      </c>
      <c r="C10" s="961">
        <v>26</v>
      </c>
      <c r="D10" s="1008">
        <v>24</v>
      </c>
      <c r="E10" s="957">
        <f t="shared" si="0"/>
        <v>1.5947100597373778</v>
      </c>
      <c r="F10" s="944">
        <f t="shared" si="1"/>
        <v>96.081281099177005</v>
      </c>
      <c r="H10" s="955">
        <f t="shared" si="2"/>
        <v>0.40528994026262222</v>
      </c>
      <c r="I10" s="952">
        <f t="shared" si="3"/>
        <v>24.418718900822988</v>
      </c>
      <c r="J10" s="950">
        <f t="shared" si="4"/>
        <v>41.462461553171821</v>
      </c>
      <c r="K10" s="949">
        <f t="shared" si="5"/>
        <v>10.537538446828178</v>
      </c>
      <c r="L10" s="944">
        <f t="shared" si="6"/>
        <v>38.273041433697067</v>
      </c>
      <c r="N10" s="1032">
        <v>556060.35747398669</v>
      </c>
      <c r="O10" s="1032">
        <v>337384.62811658904</v>
      </c>
      <c r="P10" s="1032">
        <v>737929.60154151497</v>
      </c>
      <c r="Q10" s="1032">
        <v>647465.34737231582</v>
      </c>
      <c r="R10" s="1032">
        <v>699322.29717424046</v>
      </c>
      <c r="S10" s="1051">
        <f>IF(Tables!$B$2=1,'Michigan Curve'!N10,IF(Tables!$B$2=2,'Michigan Curve'!O10,IF(Tables!$B$2=4,'Michigan Curve'!P10,IF(Tables!$B$2=5,'Michigan Curve'!Q10,IF(Tables!$B$2=3,'Michigan Curve'!R10,0)))))</f>
        <v>647465.34737231582</v>
      </c>
      <c r="U10" s="665">
        <v>3</v>
      </c>
      <c r="V10" s="662" t="s">
        <v>570</v>
      </c>
      <c r="W10" s="654"/>
      <c r="X10" s="659">
        <v>3</v>
      </c>
      <c r="Y10" s="666">
        <v>1.02</v>
      </c>
      <c r="Z10" s="666">
        <v>0.98</v>
      </c>
      <c r="AA10" s="667">
        <f t="shared" si="7"/>
        <v>1</v>
      </c>
    </row>
    <row r="11" spans="1:28">
      <c r="A11" s="465">
        <v>37073</v>
      </c>
      <c r="B11" s="894">
        <v>120</v>
      </c>
      <c r="C11" s="961">
        <v>35</v>
      </c>
      <c r="D11" s="1008">
        <v>30.999998092651367</v>
      </c>
      <c r="E11" s="957">
        <f t="shared" si="0"/>
        <v>1.7327337572051709</v>
      </c>
      <c r="F11" s="944">
        <f t="shared" si="1"/>
        <v>207.9280508646205</v>
      </c>
      <c r="H11" s="955">
        <f t="shared" si="2"/>
        <v>0.26726624279482913</v>
      </c>
      <c r="I11" s="952">
        <f t="shared" si="3"/>
        <v>32.071949135379498</v>
      </c>
      <c r="J11" s="950">
        <f t="shared" si="4"/>
        <v>60.645681502180977</v>
      </c>
      <c r="K11" s="949">
        <f t="shared" si="5"/>
        <v>9.354318497819019</v>
      </c>
      <c r="L11" s="944">
        <f t="shared" si="6"/>
        <v>53.714743168432932</v>
      </c>
      <c r="N11" s="1032">
        <v>910012.90410535038</v>
      </c>
      <c r="O11" s="1032">
        <v>550320.0677034203</v>
      </c>
      <c r="P11" s="1032">
        <v>1208443.6335957963</v>
      </c>
      <c r="Q11" s="1032">
        <v>1053441.023274051</v>
      </c>
      <c r="R11" s="1032">
        <v>1120463.3125909343</v>
      </c>
      <c r="S11" s="1051">
        <f>IF(Tables!$B$2=1,'Michigan Curve'!N11,IF(Tables!$B$2=2,'Michigan Curve'!O11,IF(Tables!$B$2=4,'Michigan Curve'!P11,IF(Tables!$B$2=5,'Michigan Curve'!Q11,IF(Tables!$B$2=3,'Michigan Curve'!R11,0)))))</f>
        <v>1053441.023274051</v>
      </c>
      <c r="U11" s="665">
        <v>4</v>
      </c>
      <c r="V11" s="662" t="s">
        <v>570</v>
      </c>
      <c r="W11" s="654"/>
      <c r="X11" s="659">
        <v>4</v>
      </c>
      <c r="Y11" s="666">
        <v>1</v>
      </c>
      <c r="Z11" s="666">
        <v>1</v>
      </c>
      <c r="AA11" s="667">
        <f t="shared" si="7"/>
        <v>1</v>
      </c>
    </row>
    <row r="12" spans="1:28">
      <c r="A12" s="465">
        <v>37104</v>
      </c>
      <c r="B12" s="894">
        <v>120</v>
      </c>
      <c r="C12" s="961">
        <v>35.000003814697266</v>
      </c>
      <c r="D12" s="1008">
        <v>31</v>
      </c>
      <c r="E12" s="957">
        <f t="shared" si="0"/>
        <v>1.7327337572051709</v>
      </c>
      <c r="F12" s="944">
        <f t="shared" si="1"/>
        <v>207.9280508646205</v>
      </c>
      <c r="H12" s="955">
        <f t="shared" si="2"/>
        <v>0.26726624279482913</v>
      </c>
      <c r="I12" s="952">
        <f t="shared" si="3"/>
        <v>32.071949135379498</v>
      </c>
      <c r="J12" s="950">
        <f t="shared" si="4"/>
        <v>60.645688112035707</v>
      </c>
      <c r="K12" s="949">
        <f t="shared" si="5"/>
        <v>9.3543195173588245</v>
      </c>
      <c r="L12" s="944">
        <f t="shared" si="6"/>
        <v>53.7147464733603</v>
      </c>
      <c r="N12" s="1032">
        <v>902980.36816401221</v>
      </c>
      <c r="O12" s="1032">
        <v>545051.3680335395</v>
      </c>
      <c r="P12" s="1032">
        <v>1199555.8826641608</v>
      </c>
      <c r="Q12" s="1032">
        <v>1041772.9553312548</v>
      </c>
      <c r="R12" s="1032">
        <v>1097882.3058180083</v>
      </c>
      <c r="S12" s="1051">
        <f>IF(Tables!$B$2=1,'Michigan Curve'!N12,IF(Tables!$B$2=2,'Michigan Curve'!O12,IF(Tables!$B$2=4,'Michigan Curve'!P12,IF(Tables!$B$2=5,'Michigan Curve'!Q12,IF(Tables!$B$2=3,'Michigan Curve'!R12,0)))))</f>
        <v>1041772.9553312548</v>
      </c>
      <c r="U12" s="665">
        <v>5</v>
      </c>
      <c r="V12" s="662" t="s">
        <v>570</v>
      </c>
      <c r="W12" s="654"/>
      <c r="X12" s="659">
        <v>5</v>
      </c>
      <c r="Y12" s="666">
        <v>1.0762500017881393</v>
      </c>
      <c r="Z12" s="666">
        <v>0.92379017919301987</v>
      </c>
      <c r="AA12" s="667">
        <f t="shared" si="7"/>
        <v>1.0000200904905796</v>
      </c>
    </row>
    <row r="13" spans="1:28">
      <c r="A13" s="465">
        <v>37135</v>
      </c>
      <c r="B13" s="894">
        <v>31</v>
      </c>
      <c r="C13" s="961">
        <v>25</v>
      </c>
      <c r="D13" s="1008">
        <v>24</v>
      </c>
      <c r="E13" s="957">
        <f t="shared" si="0"/>
        <v>1.3512499928474426</v>
      </c>
      <c r="F13" s="944">
        <f t="shared" si="1"/>
        <v>41.888749778270721</v>
      </c>
      <c r="H13" s="955">
        <f t="shared" si="2"/>
        <v>0.64875000715255737</v>
      </c>
      <c r="I13" s="952">
        <f t="shared" si="3"/>
        <v>20.111250221729279</v>
      </c>
      <c r="J13" s="950">
        <f t="shared" si="4"/>
        <v>33.781249821186066</v>
      </c>
      <c r="K13" s="949">
        <f t="shared" si="5"/>
        <v>16.218750178813934</v>
      </c>
      <c r="L13" s="944">
        <f t="shared" si="6"/>
        <v>32.429999828338623</v>
      </c>
      <c r="N13" s="1032">
        <v>334025.20322332485</v>
      </c>
      <c r="O13" s="1032">
        <v>194728.33154841946</v>
      </c>
      <c r="P13" s="1032">
        <v>440402.15614488861</v>
      </c>
      <c r="Q13" s="1032">
        <v>360911.78014639218</v>
      </c>
      <c r="R13" s="1032">
        <v>318290.14508191578</v>
      </c>
      <c r="S13" s="1051">
        <f>IF(Tables!$B$2=1,'Michigan Curve'!N13,IF(Tables!$B$2=2,'Michigan Curve'!O13,IF(Tables!$B$2=4,'Michigan Curve'!P13,IF(Tables!$B$2=5,'Michigan Curve'!Q13,IF(Tables!$B$2=3,'Michigan Curve'!R13,0)))))</f>
        <v>360911.78014639218</v>
      </c>
      <c r="U13" s="665">
        <v>6</v>
      </c>
      <c r="V13" s="662" t="s">
        <v>571</v>
      </c>
      <c r="W13" s="654"/>
      <c r="X13" s="659">
        <v>6</v>
      </c>
      <c r="Y13" s="666">
        <v>1.5299999713897705</v>
      </c>
      <c r="Z13" s="666">
        <v>0.4699999988079071</v>
      </c>
      <c r="AA13" s="667">
        <f t="shared" si="7"/>
        <v>0.99999998509883881</v>
      </c>
      <c r="AB13" s="17"/>
    </row>
    <row r="14" spans="1:28">
      <c r="A14" s="465">
        <v>37165</v>
      </c>
      <c r="B14" s="894">
        <v>24.099994659423828</v>
      </c>
      <c r="C14" s="961">
        <v>19.996000289916992</v>
      </c>
      <c r="D14" s="1008">
        <v>18.996500015258789</v>
      </c>
      <c r="E14" s="957">
        <f t="shared" si="0"/>
        <v>1</v>
      </c>
      <c r="F14" s="944">
        <f t="shared" si="1"/>
        <v>24.099994659423828</v>
      </c>
      <c r="H14" s="955">
        <f t="shared" si="2"/>
        <v>1</v>
      </c>
      <c r="I14" s="952">
        <f t="shared" si="3"/>
        <v>24.099994659423828</v>
      </c>
      <c r="J14" s="950">
        <f t="shared" si="4"/>
        <v>19.996000289916992</v>
      </c>
      <c r="K14" s="949">
        <f t="shared" si="5"/>
        <v>19.996000289916992</v>
      </c>
      <c r="L14" s="944">
        <f t="shared" si="6"/>
        <v>18.996500015258789</v>
      </c>
      <c r="N14" s="1032">
        <v>9637.2448901251937</v>
      </c>
      <c r="O14" s="1032">
        <v>5225.8589184727589</v>
      </c>
      <c r="P14" s="1032">
        <v>13079.130777831533</v>
      </c>
      <c r="Q14" s="1032">
        <v>9108.072990370023</v>
      </c>
      <c r="R14" s="1032">
        <v>5383.8924421825759</v>
      </c>
      <c r="S14" s="1051">
        <f>IF(Tables!$B$2=1,'Michigan Curve'!N14,IF(Tables!$B$2=2,'Michigan Curve'!O14,IF(Tables!$B$2=4,'Michigan Curve'!P14,IF(Tables!$B$2=5,'Michigan Curve'!Q14,IF(Tables!$B$2=3,'Michigan Curve'!R14,0)))))</f>
        <v>9108.072990370023</v>
      </c>
      <c r="U14" s="665">
        <v>7</v>
      </c>
      <c r="V14" s="662" t="s">
        <v>571</v>
      </c>
      <c r="W14" s="654"/>
      <c r="X14" s="659">
        <v>7</v>
      </c>
      <c r="Y14" s="666">
        <v>1.6299999952316284</v>
      </c>
      <c r="Z14" s="666">
        <v>0.37000000476837158</v>
      </c>
      <c r="AA14" s="667">
        <f t="shared" si="7"/>
        <v>1</v>
      </c>
      <c r="AB14" s="17"/>
    </row>
    <row r="15" spans="1:28">
      <c r="A15" s="465">
        <v>37196</v>
      </c>
      <c r="B15" s="894">
        <v>23.979995727539063</v>
      </c>
      <c r="C15" s="961">
        <v>20</v>
      </c>
      <c r="D15" s="1008">
        <v>19</v>
      </c>
      <c r="E15" s="957">
        <f t="shared" si="0"/>
        <v>1.08</v>
      </c>
      <c r="F15" s="944">
        <f t="shared" si="1"/>
        <v>25.898395385742191</v>
      </c>
      <c r="H15" s="955">
        <f t="shared" si="2"/>
        <v>0.91999999999999993</v>
      </c>
      <c r="I15" s="952">
        <f t="shared" si="3"/>
        <v>22.061596069335934</v>
      </c>
      <c r="J15" s="950">
        <f t="shared" si="4"/>
        <v>21.6</v>
      </c>
      <c r="K15" s="949">
        <f t="shared" si="5"/>
        <v>18.399999999999999</v>
      </c>
      <c r="L15" s="944">
        <f t="shared" si="6"/>
        <v>20.520000000000003</v>
      </c>
      <c r="N15" s="1032">
        <v>16700.742150528637</v>
      </c>
      <c r="O15" s="1032">
        <v>9228.5933618698509</v>
      </c>
      <c r="P15" s="1032">
        <v>22580.439072591173</v>
      </c>
      <c r="Q15" s="1032">
        <v>16395.947001122338</v>
      </c>
      <c r="R15" s="1032">
        <v>10933.365222340328</v>
      </c>
      <c r="S15" s="1051">
        <f>IF(Tables!$B$2=1,'Michigan Curve'!N15,IF(Tables!$B$2=2,'Michigan Curve'!O15,IF(Tables!$B$2=4,'Michigan Curve'!P15,IF(Tables!$B$2=5,'Michigan Curve'!Q15,IF(Tables!$B$2=3,'Michigan Curve'!R15,0)))))</f>
        <v>16395.947001122338</v>
      </c>
      <c r="U15" s="665">
        <v>8</v>
      </c>
      <c r="V15" s="662" t="s">
        <v>571</v>
      </c>
      <c r="W15" s="654"/>
      <c r="X15" s="659">
        <v>8</v>
      </c>
      <c r="Y15" s="666">
        <v>1.6299999952316284</v>
      </c>
      <c r="Z15" s="666">
        <v>0.37000000476837158</v>
      </c>
      <c r="AA15" s="667">
        <f t="shared" si="7"/>
        <v>1</v>
      </c>
      <c r="AB15" s="654"/>
    </row>
    <row r="16" spans="1:28">
      <c r="A16" s="465">
        <v>37226</v>
      </c>
      <c r="B16" s="894">
        <v>24.449995040893555</v>
      </c>
      <c r="C16" s="961">
        <v>20</v>
      </c>
      <c r="D16" s="1008">
        <v>19</v>
      </c>
      <c r="E16" s="957">
        <f t="shared" si="0"/>
        <v>1.02</v>
      </c>
      <c r="F16" s="944">
        <f t="shared" si="1"/>
        <v>24.938994941711425</v>
      </c>
      <c r="H16" s="955">
        <f t="shared" si="2"/>
        <v>0.98</v>
      </c>
      <c r="I16" s="952">
        <f t="shared" si="3"/>
        <v>23.960995140075685</v>
      </c>
      <c r="J16" s="950">
        <f t="shared" si="4"/>
        <v>20.399999999999999</v>
      </c>
      <c r="K16" s="949">
        <f t="shared" si="5"/>
        <v>19.600000000000001</v>
      </c>
      <c r="L16" s="944">
        <f t="shared" si="6"/>
        <v>19.38</v>
      </c>
      <c r="N16" s="1032">
        <v>6036.6037322051961</v>
      </c>
      <c r="O16" s="1032">
        <v>3267.4426685351173</v>
      </c>
      <c r="P16" s="1032">
        <v>8195.7268126796134</v>
      </c>
      <c r="Q16" s="1032">
        <v>5723.3576443020693</v>
      </c>
      <c r="R16" s="1032">
        <v>3457.7423789725276</v>
      </c>
      <c r="S16" s="1051">
        <f>IF(Tables!$B$2=1,'Michigan Curve'!N16,IF(Tables!$B$2=2,'Michigan Curve'!O16,IF(Tables!$B$2=4,'Michigan Curve'!P16,IF(Tables!$B$2=5,'Michigan Curve'!Q16,IF(Tables!$B$2=3,'Michigan Curve'!R16,0)))))</f>
        <v>5723.3576443020693</v>
      </c>
      <c r="U16" s="665">
        <v>9</v>
      </c>
      <c r="V16" s="662" t="s">
        <v>570</v>
      </c>
      <c r="W16" s="654"/>
      <c r="X16" s="659">
        <v>9</v>
      </c>
      <c r="Y16" s="666">
        <v>1.3512499928474426</v>
      </c>
      <c r="Z16" s="666">
        <v>0.64884386956691742</v>
      </c>
      <c r="AA16" s="667">
        <f t="shared" si="7"/>
        <v>1.00004693120718</v>
      </c>
      <c r="AB16" s="654"/>
    </row>
    <row r="17" spans="1:28">
      <c r="A17" s="465">
        <v>37257</v>
      </c>
      <c r="B17" s="894">
        <v>29.700000381469728</v>
      </c>
      <c r="C17" s="961">
        <v>22</v>
      </c>
      <c r="D17" s="1008">
        <v>21</v>
      </c>
      <c r="E17" s="957">
        <f t="shared" si="0"/>
        <v>1.02</v>
      </c>
      <c r="F17" s="944">
        <f t="shared" si="1"/>
        <v>30.294000389099121</v>
      </c>
      <c r="H17" s="955">
        <f t="shared" si="2"/>
        <v>0.98</v>
      </c>
      <c r="I17" s="952">
        <f t="shared" si="3"/>
        <v>29.106000373840335</v>
      </c>
      <c r="J17" s="950">
        <f t="shared" si="4"/>
        <v>22.44</v>
      </c>
      <c r="K17" s="949">
        <f t="shared" si="5"/>
        <v>21.56</v>
      </c>
      <c r="L17" s="944">
        <f t="shared" si="6"/>
        <v>21.42</v>
      </c>
      <c r="N17" s="1032">
        <v>88999.470844692682</v>
      </c>
      <c r="O17" s="1032">
        <v>50999.53294481794</v>
      </c>
      <c r="P17" s="1032">
        <v>119463.0577262063</v>
      </c>
      <c r="Q17" s="1032">
        <v>93399.602013301293</v>
      </c>
      <c r="R17" s="1032">
        <v>75133.245000328345</v>
      </c>
      <c r="S17" s="1051">
        <f>IF(Tables!$B$2=1,'Michigan Curve'!N17,IF(Tables!$B$2=2,'Michigan Curve'!O17,IF(Tables!$B$2=4,'Michigan Curve'!P17,IF(Tables!$B$2=5,'Michigan Curve'!Q17,IF(Tables!$B$2=3,'Michigan Curve'!R17,0)))))</f>
        <v>93399.602013301293</v>
      </c>
      <c r="U17" s="665">
        <v>10</v>
      </c>
      <c r="V17" s="662" t="s">
        <v>570</v>
      </c>
      <c r="W17" s="654"/>
      <c r="X17" s="659">
        <v>10</v>
      </c>
      <c r="Y17" s="666">
        <v>1</v>
      </c>
      <c r="Z17" s="666">
        <v>1</v>
      </c>
      <c r="AA17" s="667">
        <f t="shared" si="7"/>
        <v>1</v>
      </c>
      <c r="AB17" s="654"/>
    </row>
    <row r="18" spans="1:28">
      <c r="A18" s="465">
        <v>37288</v>
      </c>
      <c r="B18" s="894">
        <v>29.699998474121095</v>
      </c>
      <c r="C18" s="961">
        <v>21.996000289916992</v>
      </c>
      <c r="D18" s="1008">
        <v>20.996501922607422</v>
      </c>
      <c r="E18" s="957">
        <f t="shared" si="0"/>
        <v>1.02</v>
      </c>
      <c r="F18" s="944">
        <f t="shared" si="1"/>
        <v>30.293998443603517</v>
      </c>
      <c r="H18" s="955">
        <f t="shared" si="2"/>
        <v>0.98</v>
      </c>
      <c r="I18" s="952">
        <f t="shared" si="3"/>
        <v>29.105998504638674</v>
      </c>
      <c r="J18" s="950">
        <f t="shared" si="4"/>
        <v>22.435920295715331</v>
      </c>
      <c r="K18" s="949">
        <f t="shared" si="5"/>
        <v>21.556080284118654</v>
      </c>
      <c r="L18" s="944">
        <f t="shared" si="6"/>
        <v>21.416431961059569</v>
      </c>
      <c r="N18" s="1032">
        <v>87324.956173240207</v>
      </c>
      <c r="O18" s="1032">
        <v>50120.315838199713</v>
      </c>
      <c r="P18" s="1032">
        <v>117177.77258618351</v>
      </c>
      <c r="Q18" s="1032">
        <v>91903.24108486429</v>
      </c>
      <c r="R18" s="1032">
        <v>74615.246841462576</v>
      </c>
      <c r="S18" s="1051">
        <f>IF(Tables!$B$2=1,'Michigan Curve'!N18,IF(Tables!$B$2=2,'Michigan Curve'!O18,IF(Tables!$B$2=4,'Michigan Curve'!P18,IF(Tables!$B$2=5,'Michigan Curve'!Q18,IF(Tables!$B$2=3,'Michigan Curve'!R18,0)))))</f>
        <v>91903.24108486429</v>
      </c>
      <c r="U18" s="665">
        <v>11</v>
      </c>
      <c r="V18" s="662" t="s">
        <v>570</v>
      </c>
      <c r="W18" s="654"/>
      <c r="X18" s="659">
        <v>11</v>
      </c>
      <c r="Y18" s="666">
        <v>1.08</v>
      </c>
      <c r="Z18" s="666">
        <v>0.92</v>
      </c>
      <c r="AA18" s="667">
        <f t="shared" si="7"/>
        <v>1</v>
      </c>
      <c r="AB18" s="654"/>
    </row>
    <row r="19" spans="1:28">
      <c r="A19" s="465">
        <v>37316</v>
      </c>
      <c r="B19" s="894">
        <v>24.5</v>
      </c>
      <c r="C19" s="961">
        <v>20</v>
      </c>
      <c r="D19" s="1008">
        <v>19</v>
      </c>
      <c r="E19" s="957">
        <f t="shared" si="0"/>
        <v>1.02</v>
      </c>
      <c r="F19" s="944">
        <f t="shared" si="1"/>
        <v>24.990000000000002</v>
      </c>
      <c r="H19" s="955">
        <f t="shared" si="2"/>
        <v>0.98</v>
      </c>
      <c r="I19" s="952">
        <f t="shared" si="3"/>
        <v>24.009999999999998</v>
      </c>
      <c r="J19" s="950">
        <f t="shared" si="4"/>
        <v>20.399999999999999</v>
      </c>
      <c r="K19" s="949">
        <f t="shared" si="5"/>
        <v>19.600000000000001</v>
      </c>
      <c r="L19" s="944">
        <f t="shared" si="6"/>
        <v>19.38</v>
      </c>
      <c r="N19" s="1032">
        <v>11735.186318100208</v>
      </c>
      <c r="O19" s="1032">
        <v>6450.0087693339983</v>
      </c>
      <c r="P19" s="1032">
        <v>15883.775929214195</v>
      </c>
      <c r="Q19" s="1032">
        <v>11431.994658764659</v>
      </c>
      <c r="R19" s="1032">
        <v>7426.9135156120192</v>
      </c>
      <c r="S19" s="1051">
        <f>IF(Tables!$B$2=1,'Michigan Curve'!N19,IF(Tables!$B$2=2,'Michigan Curve'!O19,IF(Tables!$B$2=4,'Michigan Curve'!P19,IF(Tables!$B$2=5,'Michigan Curve'!Q19,IF(Tables!$B$2=3,'Michigan Curve'!R19,0)))))</f>
        <v>11431.994658764659</v>
      </c>
      <c r="U19" s="668">
        <v>12</v>
      </c>
      <c r="V19" s="669" t="s">
        <v>569</v>
      </c>
      <c r="W19" s="654"/>
      <c r="X19" s="670">
        <v>12</v>
      </c>
      <c r="Y19" s="671">
        <v>1.02</v>
      </c>
      <c r="Z19" s="671">
        <v>0.98</v>
      </c>
      <c r="AA19" s="672">
        <f t="shared" si="7"/>
        <v>1</v>
      </c>
      <c r="AB19" s="654"/>
    </row>
    <row r="20" spans="1:28">
      <c r="A20" s="465">
        <v>37347</v>
      </c>
      <c r="B20" s="894">
        <v>24.75</v>
      </c>
      <c r="C20" s="961">
        <v>20</v>
      </c>
      <c r="D20" s="1008">
        <v>18.995000839233398</v>
      </c>
      <c r="E20" s="957">
        <f t="shared" si="0"/>
        <v>1</v>
      </c>
      <c r="F20" s="944">
        <f t="shared" si="1"/>
        <v>24.75</v>
      </c>
      <c r="H20" s="955">
        <f t="shared" si="2"/>
        <v>1</v>
      </c>
      <c r="I20" s="952">
        <f t="shared" si="3"/>
        <v>24.75</v>
      </c>
      <c r="J20" s="950">
        <f t="shared" si="4"/>
        <v>20</v>
      </c>
      <c r="K20" s="949">
        <f t="shared" si="5"/>
        <v>20</v>
      </c>
      <c r="L20" s="944">
        <f t="shared" si="6"/>
        <v>18.995000839233398</v>
      </c>
      <c r="N20" s="1032">
        <v>23441.945088667664</v>
      </c>
      <c r="O20" s="1032">
        <v>13054.280734319398</v>
      </c>
      <c r="P20" s="1032">
        <v>31645.886863918695</v>
      </c>
      <c r="Q20" s="1032">
        <v>23357.133735394764</v>
      </c>
      <c r="R20" s="1032">
        <v>16321.183514494762</v>
      </c>
      <c r="S20" s="1051">
        <f>IF(Tables!$B$2=1,'Michigan Curve'!N20,IF(Tables!$B$2=2,'Michigan Curve'!O20,IF(Tables!$B$2=4,'Michigan Curve'!P20,IF(Tables!$B$2=5,'Michigan Curve'!Q20,IF(Tables!$B$2=3,'Michigan Curve'!R20,0)))))</f>
        <v>23357.133735394764</v>
      </c>
      <c r="AB20" s="654"/>
    </row>
    <row r="21" spans="1:28">
      <c r="A21" s="465">
        <v>37377</v>
      </c>
      <c r="B21" s="894">
        <v>28.75</v>
      </c>
      <c r="C21" s="961">
        <v>21</v>
      </c>
      <c r="D21" s="1008">
        <v>20.004999160766602</v>
      </c>
      <c r="E21" s="957">
        <f t="shared" si="0"/>
        <v>1.0762500017881393</v>
      </c>
      <c r="F21" s="944">
        <f t="shared" si="1"/>
        <v>30.942187551409006</v>
      </c>
      <c r="H21" s="955">
        <f t="shared" si="2"/>
        <v>0.92374999821186066</v>
      </c>
      <c r="I21" s="952">
        <f t="shared" si="3"/>
        <v>26.557812448590994</v>
      </c>
      <c r="J21" s="950">
        <f t="shared" si="4"/>
        <v>22.601250037550926</v>
      </c>
      <c r="K21" s="949">
        <f t="shared" si="5"/>
        <v>19.398749962449074</v>
      </c>
      <c r="L21" s="944">
        <f t="shared" si="6"/>
        <v>21.530380382546781</v>
      </c>
      <c r="N21" s="1032">
        <v>177881.63403957608</v>
      </c>
      <c r="O21" s="1032">
        <v>103241.69046754947</v>
      </c>
      <c r="P21" s="1032">
        <v>238158.97712362304</v>
      </c>
      <c r="Q21" s="1032">
        <v>190839.83613870625</v>
      </c>
      <c r="R21" s="1032">
        <v>164942.59426424635</v>
      </c>
      <c r="S21" s="1051">
        <f>IF(Tables!$B$2=1,'Michigan Curve'!N21,IF(Tables!$B$2=2,'Michigan Curve'!O21,IF(Tables!$B$2=4,'Michigan Curve'!P21,IF(Tables!$B$2=5,'Michigan Curve'!Q21,IF(Tables!$B$2=3,'Michigan Curve'!R21,0)))))</f>
        <v>190839.83613870625</v>
      </c>
      <c r="AB21" s="654"/>
    </row>
    <row r="22" spans="1:28">
      <c r="A22" s="465">
        <v>37408</v>
      </c>
      <c r="B22" s="894">
        <v>53.25</v>
      </c>
      <c r="C22" s="961">
        <v>26</v>
      </c>
      <c r="D22" s="1008">
        <v>24</v>
      </c>
      <c r="E22" s="957">
        <f t="shared" si="0"/>
        <v>1.5667645546009452</v>
      </c>
      <c r="F22" s="944">
        <f t="shared" si="1"/>
        <v>83.430212532500335</v>
      </c>
      <c r="H22" s="955">
        <f t="shared" si="2"/>
        <v>0.43323544539905479</v>
      </c>
      <c r="I22" s="952">
        <f t="shared" si="3"/>
        <v>23.069787467499669</v>
      </c>
      <c r="J22" s="950">
        <f t="shared" si="4"/>
        <v>40.735878419624576</v>
      </c>
      <c r="K22" s="949">
        <f t="shared" si="5"/>
        <v>11.264121580375424</v>
      </c>
      <c r="L22" s="944">
        <f t="shared" si="6"/>
        <v>37.602349310422682</v>
      </c>
      <c r="N22" s="1032">
        <v>506228.03009448899</v>
      </c>
      <c r="O22" s="1032">
        <v>306673.84476158675</v>
      </c>
      <c r="P22" s="1032">
        <v>672014.76710056188</v>
      </c>
      <c r="Q22" s="1032">
        <v>588368.13366050762</v>
      </c>
      <c r="R22" s="1032">
        <v>629425.22882002406</v>
      </c>
      <c r="S22" s="1051">
        <f>IF(Tables!$B$2=1,'Michigan Curve'!N22,IF(Tables!$B$2=2,'Michigan Curve'!O22,IF(Tables!$B$2=4,'Michigan Curve'!P22,IF(Tables!$B$2=5,'Michigan Curve'!Q22,IF(Tables!$B$2=3,'Michigan Curve'!R22,0)))))</f>
        <v>588368.13366050762</v>
      </c>
      <c r="AB22" s="654"/>
    </row>
    <row r="23" spans="1:28">
      <c r="A23" s="465">
        <v>37438</v>
      </c>
      <c r="B23" s="894">
        <v>94.5</v>
      </c>
      <c r="C23" s="961">
        <v>35</v>
      </c>
      <c r="D23" s="1008">
        <v>30.999998092651367</v>
      </c>
      <c r="E23" s="957">
        <f t="shared" si="0"/>
        <v>1.6883746731052875</v>
      </c>
      <c r="F23" s="944">
        <f t="shared" si="1"/>
        <v>159.55140660844967</v>
      </c>
      <c r="H23" s="955">
        <f t="shared" si="2"/>
        <v>0.31162532689471245</v>
      </c>
      <c r="I23" s="952">
        <f t="shared" si="3"/>
        <v>29.448593391550325</v>
      </c>
      <c r="J23" s="950">
        <f t="shared" si="4"/>
        <v>59.093113558685062</v>
      </c>
      <c r="K23" s="949">
        <f t="shared" si="5"/>
        <v>10.906886441314935</v>
      </c>
      <c r="L23" s="944">
        <f t="shared" si="6"/>
        <v>52.339611645944792</v>
      </c>
      <c r="N23" s="1032">
        <v>867755.39037194755</v>
      </c>
      <c r="O23" s="1032">
        <v>525466.85169442603</v>
      </c>
      <c r="P23" s="1032">
        <v>1152021.2500194861</v>
      </c>
      <c r="Q23" s="1032">
        <v>1007474.5342399068</v>
      </c>
      <c r="R23" s="1032">
        <v>1075484.9684841782</v>
      </c>
      <c r="S23" s="1051">
        <f>IF(Tables!$B$2=1,'Michigan Curve'!N23,IF(Tables!$B$2=2,'Michigan Curve'!O23,IF(Tables!$B$2=4,'Michigan Curve'!P23,IF(Tables!$B$2=5,'Michigan Curve'!Q23,IF(Tables!$B$2=3,'Michigan Curve'!R23,0)))))</f>
        <v>1007474.5342399068</v>
      </c>
      <c r="AB23" s="654"/>
    </row>
    <row r="24" spans="1:28">
      <c r="A24" s="465">
        <v>37469</v>
      </c>
      <c r="B24" s="894">
        <v>94.5</v>
      </c>
      <c r="C24" s="961">
        <v>35.000003814697266</v>
      </c>
      <c r="D24" s="1008">
        <v>31</v>
      </c>
      <c r="E24" s="957">
        <f t="shared" si="0"/>
        <v>1.6883746731052875</v>
      </c>
      <c r="F24" s="944">
        <f t="shared" si="1"/>
        <v>159.55140660844967</v>
      </c>
      <c r="H24" s="955">
        <f t="shared" si="2"/>
        <v>0.31162532689471245</v>
      </c>
      <c r="I24" s="952">
        <f t="shared" si="3"/>
        <v>29.448593391550325</v>
      </c>
      <c r="J24" s="950">
        <f t="shared" si="4"/>
        <v>59.093119999323314</v>
      </c>
      <c r="K24" s="949">
        <f t="shared" si="5"/>
        <v>10.906887630071218</v>
      </c>
      <c r="L24" s="944">
        <f t="shared" si="6"/>
        <v>52.339614866263915</v>
      </c>
      <c r="N24" s="1032">
        <v>865276.48632267397</v>
      </c>
      <c r="O24" s="1032">
        <v>523967.07348854234</v>
      </c>
      <c r="P24" s="1032">
        <v>1148730.0039985916</v>
      </c>
      <c r="Q24" s="1032">
        <v>1004633.229012588</v>
      </c>
      <c r="R24" s="1032">
        <v>1072148.1086347653</v>
      </c>
      <c r="S24" s="1051">
        <f>IF(Tables!$B$2=1,'Michigan Curve'!N24,IF(Tables!$B$2=2,'Michigan Curve'!O24,IF(Tables!$B$2=4,'Michigan Curve'!P24,IF(Tables!$B$2=5,'Michigan Curve'!Q24,IF(Tables!$B$2=3,'Michigan Curve'!R24,0)))))</f>
        <v>1004633.229012588</v>
      </c>
      <c r="AB24" s="654"/>
    </row>
    <row r="25" spans="1:28">
      <c r="A25" s="465">
        <v>37500</v>
      </c>
      <c r="B25" s="894">
        <v>31.25</v>
      </c>
      <c r="C25" s="961">
        <v>25</v>
      </c>
      <c r="D25" s="1008">
        <v>24</v>
      </c>
      <c r="E25" s="957">
        <f t="shared" si="0"/>
        <v>1.3512499928474426</v>
      </c>
      <c r="F25" s="944">
        <f t="shared" si="1"/>
        <v>42.226562276482582</v>
      </c>
      <c r="H25" s="955">
        <f t="shared" si="2"/>
        <v>0.64875000715255737</v>
      </c>
      <c r="I25" s="952">
        <f t="shared" si="3"/>
        <v>20.273437723517418</v>
      </c>
      <c r="J25" s="950">
        <f t="shared" si="4"/>
        <v>33.781249821186066</v>
      </c>
      <c r="K25" s="949">
        <f t="shared" si="5"/>
        <v>16.218750178813934</v>
      </c>
      <c r="L25" s="944">
        <f t="shared" si="6"/>
        <v>32.429999828338623</v>
      </c>
      <c r="N25" s="1032">
        <v>362266.64689467568</v>
      </c>
      <c r="O25" s="1032">
        <v>226269.64596634684</v>
      </c>
      <c r="P25" s="1032">
        <v>477908.93931330403</v>
      </c>
      <c r="Q25" s="1032">
        <v>442492.18188154494</v>
      </c>
      <c r="R25" s="1032">
        <v>399562.88773229823</v>
      </c>
      <c r="S25" s="1051">
        <f>IF(Tables!$B$2=1,'Michigan Curve'!N25,IF(Tables!$B$2=2,'Michigan Curve'!O25,IF(Tables!$B$2=4,'Michigan Curve'!P25,IF(Tables!$B$2=5,'Michigan Curve'!Q25,IF(Tables!$B$2=3,'Michigan Curve'!R25,0)))))</f>
        <v>442492.18188154494</v>
      </c>
      <c r="AB25" s="654"/>
    </row>
    <row r="26" spans="1:28">
      <c r="A26" s="465">
        <v>37530</v>
      </c>
      <c r="B26" s="894">
        <v>24.349994659423828</v>
      </c>
      <c r="C26" s="961">
        <v>19.996000289916992</v>
      </c>
      <c r="D26" s="1008">
        <v>18.996500015258789</v>
      </c>
      <c r="E26" s="957">
        <f t="shared" si="0"/>
        <v>1</v>
      </c>
      <c r="F26" s="944">
        <f t="shared" si="1"/>
        <v>24.349994659423828</v>
      </c>
      <c r="H26" s="955">
        <f t="shared" si="2"/>
        <v>1</v>
      </c>
      <c r="I26" s="952">
        <f t="shared" si="3"/>
        <v>24.349994659423828</v>
      </c>
      <c r="J26" s="950">
        <f t="shared" si="4"/>
        <v>19.996000289916992</v>
      </c>
      <c r="K26" s="949">
        <f t="shared" si="5"/>
        <v>19.996000289916992</v>
      </c>
      <c r="L26" s="944">
        <f t="shared" si="6"/>
        <v>18.996500015258789</v>
      </c>
      <c r="N26" s="1032">
        <v>12848.605897171685</v>
      </c>
      <c r="O26" s="1032">
        <v>7014.3149519886156</v>
      </c>
      <c r="P26" s="1032">
        <v>17413.949396084103</v>
      </c>
      <c r="Q26" s="1032">
        <v>12298.946641803743</v>
      </c>
      <c r="R26" s="1032">
        <v>7580.8650531162839</v>
      </c>
      <c r="S26" s="1051">
        <f>IF(Tables!$B$2=1,'Michigan Curve'!N26,IF(Tables!$B$2=2,'Michigan Curve'!O26,IF(Tables!$B$2=4,'Michigan Curve'!P26,IF(Tables!$B$2=5,'Michigan Curve'!Q26,IF(Tables!$B$2=3,'Michigan Curve'!R26,0)))))</f>
        <v>12298.946641803743</v>
      </c>
      <c r="AB26" s="654"/>
    </row>
    <row r="27" spans="1:28">
      <c r="A27" s="465">
        <v>37561</v>
      </c>
      <c r="B27" s="894">
        <v>24.229995727539063</v>
      </c>
      <c r="C27" s="961">
        <v>20</v>
      </c>
      <c r="D27" s="1008">
        <v>19</v>
      </c>
      <c r="E27" s="957">
        <f t="shared" si="0"/>
        <v>1.08</v>
      </c>
      <c r="F27" s="944">
        <f t="shared" si="1"/>
        <v>26.16839538574219</v>
      </c>
      <c r="H27" s="955">
        <f t="shared" si="2"/>
        <v>0.91999999999999993</v>
      </c>
      <c r="I27" s="952">
        <f t="shared" si="3"/>
        <v>22.291596069335935</v>
      </c>
      <c r="J27" s="950">
        <f t="shared" si="4"/>
        <v>21.6</v>
      </c>
      <c r="K27" s="949">
        <f t="shared" si="5"/>
        <v>18.399999999999999</v>
      </c>
      <c r="L27" s="944">
        <f t="shared" si="6"/>
        <v>20.520000000000003</v>
      </c>
      <c r="N27" s="1032">
        <v>17384.602171175378</v>
      </c>
      <c r="O27" s="1032">
        <v>9617.2751693430218</v>
      </c>
      <c r="P27" s="1032">
        <v>23499.737207660437</v>
      </c>
      <c r="Q27" s="1032">
        <v>17086.996033617899</v>
      </c>
      <c r="R27" s="1032">
        <v>11528.469601872372</v>
      </c>
      <c r="S27" s="1051">
        <f>IF(Tables!$B$2=1,'Michigan Curve'!N27,IF(Tables!$B$2=2,'Michigan Curve'!O27,IF(Tables!$B$2=4,'Michigan Curve'!P27,IF(Tables!$B$2=5,'Michigan Curve'!Q27,IF(Tables!$B$2=3,'Michigan Curve'!R27,0)))))</f>
        <v>17086.996033617899</v>
      </c>
      <c r="AB27" s="654"/>
    </row>
    <row r="28" spans="1:28">
      <c r="A28" s="465">
        <v>37591</v>
      </c>
      <c r="B28" s="894">
        <v>24.699995040893555</v>
      </c>
      <c r="C28" s="961">
        <v>20</v>
      </c>
      <c r="D28" s="1008">
        <v>19</v>
      </c>
      <c r="E28" s="957">
        <f t="shared" si="0"/>
        <v>1.02</v>
      </c>
      <c r="F28" s="944">
        <f t="shared" si="1"/>
        <v>25.193994941711427</v>
      </c>
      <c r="H28" s="955">
        <f t="shared" si="2"/>
        <v>0.98</v>
      </c>
      <c r="I28" s="952">
        <f t="shared" si="3"/>
        <v>24.205995140075682</v>
      </c>
      <c r="J28" s="950">
        <f t="shared" si="4"/>
        <v>20.399999999999999</v>
      </c>
      <c r="K28" s="949">
        <f t="shared" si="5"/>
        <v>19.600000000000001</v>
      </c>
      <c r="L28" s="944">
        <f t="shared" si="6"/>
        <v>19.38</v>
      </c>
      <c r="N28" s="1032">
        <v>8063.4317036142675</v>
      </c>
      <c r="O28" s="1032">
        <v>4389.6577614247944</v>
      </c>
      <c r="P28" s="1032">
        <v>10934.923909463145</v>
      </c>
      <c r="Q28" s="1032">
        <v>7706.0775855535303</v>
      </c>
      <c r="R28" s="1032">
        <v>4820.2648383596452</v>
      </c>
      <c r="S28" s="1051">
        <f>IF(Tables!$B$2=1,'Michigan Curve'!N28,IF(Tables!$B$2=2,'Michigan Curve'!O28,IF(Tables!$B$2=4,'Michigan Curve'!P28,IF(Tables!$B$2=5,'Michigan Curve'!Q28,IF(Tables!$B$2=3,'Michigan Curve'!R28,0)))))</f>
        <v>7706.0775855535303</v>
      </c>
      <c r="AB28" s="654"/>
    </row>
    <row r="29" spans="1:28">
      <c r="A29" s="465">
        <v>37622</v>
      </c>
      <c r="B29" s="894">
        <v>29.950000381469728</v>
      </c>
      <c r="C29" s="961">
        <v>22</v>
      </c>
      <c r="D29" s="1008">
        <v>21</v>
      </c>
      <c r="E29" s="957">
        <f t="shared" si="0"/>
        <v>1.02</v>
      </c>
      <c r="F29" s="944">
        <f t="shared" si="1"/>
        <v>30.549000389099124</v>
      </c>
      <c r="H29" s="955">
        <f t="shared" si="2"/>
        <v>0.98</v>
      </c>
      <c r="I29" s="952">
        <f t="shared" si="3"/>
        <v>29.351000373840332</v>
      </c>
      <c r="J29" s="950">
        <f t="shared" si="4"/>
        <v>22.44</v>
      </c>
      <c r="K29" s="949">
        <f t="shared" si="5"/>
        <v>21.56</v>
      </c>
      <c r="L29" s="944">
        <f t="shared" si="6"/>
        <v>21.42</v>
      </c>
      <c r="N29" s="1032">
        <v>90638.772766083814</v>
      </c>
      <c r="O29" s="1032">
        <v>51939.160070638129</v>
      </c>
      <c r="P29" s="1032">
        <v>121663.26646909435</v>
      </c>
      <c r="Q29" s="1032">
        <v>95105.393070896927</v>
      </c>
      <c r="R29" s="1032">
        <v>76657.589396863754</v>
      </c>
      <c r="S29" s="1051">
        <f>IF(Tables!$B$2=1,'Michigan Curve'!N29,IF(Tables!$B$2=2,'Michigan Curve'!O29,IF(Tables!$B$2=4,'Michigan Curve'!P29,IF(Tables!$B$2=5,'Michigan Curve'!Q29,IF(Tables!$B$2=3,'Michigan Curve'!R29,0)))))</f>
        <v>95105.393070896927</v>
      </c>
      <c r="AB29" s="654"/>
    </row>
    <row r="30" spans="1:28">
      <c r="A30" s="465">
        <v>37653</v>
      </c>
      <c r="B30" s="894">
        <v>29.949998474121095</v>
      </c>
      <c r="C30" s="961">
        <v>21.996000289916992</v>
      </c>
      <c r="D30" s="1008">
        <v>20.996501922607422</v>
      </c>
      <c r="E30" s="957">
        <f t="shared" si="0"/>
        <v>1.02</v>
      </c>
      <c r="F30" s="944">
        <f t="shared" si="1"/>
        <v>30.548998443603519</v>
      </c>
      <c r="H30" s="955">
        <f t="shared" si="2"/>
        <v>0.98</v>
      </c>
      <c r="I30" s="952">
        <f t="shared" si="3"/>
        <v>29.350998504638671</v>
      </c>
      <c r="J30" s="950">
        <f t="shared" si="4"/>
        <v>22.435920295715331</v>
      </c>
      <c r="K30" s="949">
        <f t="shared" si="5"/>
        <v>21.556080284118654</v>
      </c>
      <c r="L30" s="944">
        <f t="shared" si="6"/>
        <v>21.416431961059569</v>
      </c>
      <c r="N30" s="1032">
        <v>87435.632383428921</v>
      </c>
      <c r="O30" s="1032">
        <v>50166.335149816558</v>
      </c>
      <c r="P30" s="1032">
        <v>117334.3864906879</v>
      </c>
      <c r="Q30" s="1032">
        <v>91947.799999265262</v>
      </c>
      <c r="R30" s="1032">
        <v>74649.640145341749</v>
      </c>
      <c r="S30" s="1051">
        <f>IF(Tables!$B$2=1,'Michigan Curve'!N30,IF(Tables!$B$2=2,'Michigan Curve'!O30,IF(Tables!$B$2=4,'Michigan Curve'!P30,IF(Tables!$B$2=5,'Michigan Curve'!Q30,IF(Tables!$B$2=3,'Michigan Curve'!R30,0)))))</f>
        <v>91947.799999265262</v>
      </c>
      <c r="U30" s="654"/>
      <c r="V30" s="654"/>
      <c r="W30" s="654"/>
      <c r="X30" s="654"/>
      <c r="Y30" s="654"/>
      <c r="Z30" s="654"/>
      <c r="AA30" s="654"/>
      <c r="AB30" s="654"/>
    </row>
    <row r="31" spans="1:28">
      <c r="A31" s="465">
        <v>37681</v>
      </c>
      <c r="B31" s="894">
        <v>24.75</v>
      </c>
      <c r="C31" s="961">
        <v>20</v>
      </c>
      <c r="D31" s="1008">
        <v>19</v>
      </c>
      <c r="E31" s="957">
        <f t="shared" si="0"/>
        <v>1.02</v>
      </c>
      <c r="F31" s="944">
        <f t="shared" si="1"/>
        <v>25.245000000000001</v>
      </c>
      <c r="H31" s="955">
        <f t="shared" si="2"/>
        <v>0.98</v>
      </c>
      <c r="I31" s="952">
        <f t="shared" si="3"/>
        <v>24.254999999999999</v>
      </c>
      <c r="J31" s="950">
        <f t="shared" si="4"/>
        <v>20.399999999999999</v>
      </c>
      <c r="K31" s="949">
        <f t="shared" si="5"/>
        <v>19.600000000000001</v>
      </c>
      <c r="L31" s="944">
        <f t="shared" si="6"/>
        <v>19.38</v>
      </c>
      <c r="N31" s="1032">
        <v>12584.213432064093</v>
      </c>
      <c r="O31" s="1032">
        <v>6929.335568047838</v>
      </c>
      <c r="P31" s="1032">
        <v>17026.729818273292</v>
      </c>
      <c r="Q31" s="1032">
        <v>12264.419010444441</v>
      </c>
      <c r="R31" s="1032">
        <v>8097.5634717303055</v>
      </c>
      <c r="S31" s="1051">
        <f>IF(Tables!$B$2=1,'Michigan Curve'!N31,IF(Tables!$B$2=2,'Michigan Curve'!O31,IF(Tables!$B$2=4,'Michigan Curve'!P31,IF(Tables!$B$2=5,'Michigan Curve'!Q31,IF(Tables!$B$2=3,'Michigan Curve'!R31,0)))))</f>
        <v>12264.419010444441</v>
      </c>
    </row>
    <row r="32" spans="1:28">
      <c r="A32" s="465">
        <v>37712</v>
      </c>
      <c r="B32" s="894">
        <v>25</v>
      </c>
      <c r="C32" s="961">
        <v>20</v>
      </c>
      <c r="D32" s="1008">
        <v>18.995000839233398</v>
      </c>
      <c r="E32" s="957">
        <f t="shared" si="0"/>
        <v>1</v>
      </c>
      <c r="F32" s="944">
        <f t="shared" si="1"/>
        <v>25</v>
      </c>
      <c r="H32" s="955">
        <f t="shared" si="2"/>
        <v>1</v>
      </c>
      <c r="I32" s="952">
        <f t="shared" si="3"/>
        <v>25</v>
      </c>
      <c r="J32" s="950">
        <f t="shared" si="4"/>
        <v>20</v>
      </c>
      <c r="K32" s="949">
        <f t="shared" si="5"/>
        <v>20</v>
      </c>
      <c r="L32" s="944">
        <f t="shared" si="6"/>
        <v>18.995000839233398</v>
      </c>
      <c r="N32" s="1032">
        <v>21069.624245262556</v>
      </c>
      <c r="O32" s="1032">
        <v>11698.126619654004</v>
      </c>
      <c r="P32" s="1032">
        <v>28460.335804282899</v>
      </c>
      <c r="Q32" s="1032">
        <v>20834.446148182953</v>
      </c>
      <c r="R32" s="1032">
        <v>14420.225030118519</v>
      </c>
      <c r="S32" s="1051">
        <f>IF(Tables!$B$2=1,'Michigan Curve'!N32,IF(Tables!$B$2=2,'Michigan Curve'!O32,IF(Tables!$B$2=4,'Michigan Curve'!P32,IF(Tables!$B$2=5,'Michigan Curve'!Q32,IF(Tables!$B$2=3,'Michigan Curve'!R32,0)))))</f>
        <v>20834.446148182953</v>
      </c>
    </row>
    <row r="33" spans="1:19">
      <c r="A33" s="465">
        <v>37742</v>
      </c>
      <c r="B33" s="894">
        <v>28.75</v>
      </c>
      <c r="C33" s="961">
        <v>21</v>
      </c>
      <c r="D33" s="1008">
        <v>20.004999160766602</v>
      </c>
      <c r="E33" s="957">
        <f t="shared" si="0"/>
        <v>1.0762500017881393</v>
      </c>
      <c r="F33" s="944">
        <f t="shared" si="1"/>
        <v>30.942187551409006</v>
      </c>
      <c r="H33" s="955">
        <f t="shared" si="2"/>
        <v>0.92374999821186066</v>
      </c>
      <c r="I33" s="952">
        <f t="shared" si="3"/>
        <v>26.557812448590994</v>
      </c>
      <c r="J33" s="950">
        <f t="shared" si="4"/>
        <v>22.601250037550926</v>
      </c>
      <c r="K33" s="949">
        <f t="shared" si="5"/>
        <v>19.398749962449074</v>
      </c>
      <c r="L33" s="944">
        <f t="shared" si="6"/>
        <v>21.530380382546781</v>
      </c>
      <c r="N33" s="1032">
        <v>152488.84842256285</v>
      </c>
      <c r="O33" s="1032">
        <v>88271.726897808912</v>
      </c>
      <c r="P33" s="1032">
        <v>204268.42837534135</v>
      </c>
      <c r="Q33" s="1032">
        <v>162818.76601297522</v>
      </c>
      <c r="R33" s="1032">
        <v>138585.50926830358</v>
      </c>
      <c r="S33" s="1051">
        <f>IF(Tables!$B$2=1,'Michigan Curve'!N33,IF(Tables!$B$2=2,'Michigan Curve'!O33,IF(Tables!$B$2=4,'Michigan Curve'!P33,IF(Tables!$B$2=5,'Michigan Curve'!Q33,IF(Tables!$B$2=3,'Michigan Curve'!R33,0)))))</f>
        <v>162818.76601297522</v>
      </c>
    </row>
    <row r="34" spans="1:19">
      <c r="A34" s="465">
        <v>37773</v>
      </c>
      <c r="B34" s="894">
        <v>49.25</v>
      </c>
      <c r="C34" s="961">
        <v>26</v>
      </c>
      <c r="D34" s="1008">
        <v>24</v>
      </c>
      <c r="E34" s="957">
        <f t="shared" si="0"/>
        <v>1.5486254281742777</v>
      </c>
      <c r="F34" s="944">
        <f t="shared" si="1"/>
        <v>76.269802337583172</v>
      </c>
      <c r="H34" s="955">
        <f t="shared" si="2"/>
        <v>0.45137457182572227</v>
      </c>
      <c r="I34" s="952">
        <f t="shared" si="3"/>
        <v>22.23019766241682</v>
      </c>
      <c r="J34" s="950">
        <f t="shared" si="4"/>
        <v>40.264261132531217</v>
      </c>
      <c r="K34" s="949">
        <f t="shared" si="5"/>
        <v>11.735738867468779</v>
      </c>
      <c r="L34" s="944">
        <f t="shared" si="6"/>
        <v>37.167010276182666</v>
      </c>
      <c r="N34" s="1032">
        <v>487661.60549151874</v>
      </c>
      <c r="O34" s="1032">
        <v>296448.48148986395</v>
      </c>
      <c r="P34" s="1032">
        <v>646919.24224894121</v>
      </c>
      <c r="Q34" s="1032">
        <v>570540.87474790937</v>
      </c>
      <c r="R34" s="1032">
        <v>618696.16500281869</v>
      </c>
      <c r="S34" s="1051">
        <f>IF(Tables!$B$2=1,'Michigan Curve'!N34,IF(Tables!$B$2=2,'Michigan Curve'!O34,IF(Tables!$B$2=4,'Michigan Curve'!P34,IF(Tables!$B$2=5,'Michigan Curve'!Q34,IF(Tables!$B$2=3,'Michigan Curve'!R34,0)))))</f>
        <v>570540.87474790937</v>
      </c>
    </row>
    <row r="35" spans="1:19">
      <c r="A35" s="465">
        <v>37803</v>
      </c>
      <c r="B35" s="894">
        <v>84</v>
      </c>
      <c r="C35" s="961">
        <v>35</v>
      </c>
      <c r="D35" s="1008">
        <v>30.999998092651367</v>
      </c>
      <c r="E35" s="957">
        <f t="shared" si="0"/>
        <v>1.6651335587056164</v>
      </c>
      <c r="F35" s="944">
        <f t="shared" si="1"/>
        <v>139.87121893127178</v>
      </c>
      <c r="H35" s="955">
        <f t="shared" si="2"/>
        <v>0.33486644129438359</v>
      </c>
      <c r="I35" s="952">
        <f t="shared" si="3"/>
        <v>28.128781068728223</v>
      </c>
      <c r="J35" s="950">
        <f t="shared" si="4"/>
        <v>58.279674554696577</v>
      </c>
      <c r="K35" s="949">
        <f t="shared" si="5"/>
        <v>11.720325445303425</v>
      </c>
      <c r="L35" s="944">
        <f t="shared" si="6"/>
        <v>51.61913714388389</v>
      </c>
      <c r="N35" s="1032">
        <v>767299.84879725426</v>
      </c>
      <c r="O35" s="1032">
        <v>465302.04627790861</v>
      </c>
      <c r="P35" s="1032">
        <v>1018371.149126092</v>
      </c>
      <c r="Q35" s="1032">
        <v>893311.9423246393</v>
      </c>
      <c r="R35" s="1032">
        <v>958037.24473081157</v>
      </c>
      <c r="S35" s="1051">
        <f>IF(Tables!$B$2=1,'Michigan Curve'!N35,IF(Tables!$B$2=2,'Michigan Curve'!O35,IF(Tables!$B$2=4,'Michigan Curve'!P35,IF(Tables!$B$2=5,'Michigan Curve'!Q35,IF(Tables!$B$2=3,'Michigan Curve'!R35,0)))))</f>
        <v>893311.9423246393</v>
      </c>
    </row>
    <row r="36" spans="1:19">
      <c r="A36" s="465">
        <v>37834</v>
      </c>
      <c r="B36" s="894">
        <v>84</v>
      </c>
      <c r="C36" s="961">
        <v>35.000003814697266</v>
      </c>
      <c r="D36" s="1008">
        <v>31</v>
      </c>
      <c r="E36" s="957">
        <f t="shared" si="0"/>
        <v>1.6651335587056164</v>
      </c>
      <c r="F36" s="944">
        <f t="shared" si="1"/>
        <v>139.87121893127178</v>
      </c>
      <c r="H36" s="955">
        <f t="shared" si="2"/>
        <v>0.33486644129438359</v>
      </c>
      <c r="I36" s="952">
        <f t="shared" si="3"/>
        <v>28.128781068728223</v>
      </c>
      <c r="J36" s="950">
        <f t="shared" si="4"/>
        <v>58.279680906677008</v>
      </c>
      <c r="K36" s="949">
        <f t="shared" si="5"/>
        <v>11.720326722717523</v>
      </c>
      <c r="L36" s="944">
        <f t="shared" si="6"/>
        <v>51.619140319874106</v>
      </c>
      <c r="N36" s="1032">
        <v>768183.58352344576</v>
      </c>
      <c r="O36" s="1032">
        <v>466242.71937957918</v>
      </c>
      <c r="P36" s="1032">
        <v>1019364.5082234796</v>
      </c>
      <c r="Q36" s="1032">
        <v>895779.05632243771</v>
      </c>
      <c r="R36" s="1032">
        <v>964262.53327694442</v>
      </c>
      <c r="S36" s="1051">
        <f>IF(Tables!$B$2=1,'Michigan Curve'!N36,IF(Tables!$B$2=2,'Michigan Curve'!O36,IF(Tables!$B$2=4,'Michigan Curve'!P36,IF(Tables!$B$2=5,'Michigan Curve'!Q36,IF(Tables!$B$2=3,'Michigan Curve'!R36,0)))))</f>
        <v>895779.05632243771</v>
      </c>
    </row>
    <row r="37" spans="1:19">
      <c r="A37" s="465">
        <v>37865</v>
      </c>
      <c r="B37" s="894">
        <v>31.5</v>
      </c>
      <c r="C37" s="961">
        <v>25</v>
      </c>
      <c r="D37" s="1008">
        <v>24</v>
      </c>
      <c r="E37" s="957">
        <f t="shared" si="0"/>
        <v>1.3512499928474426</v>
      </c>
      <c r="F37" s="944">
        <f t="shared" si="1"/>
        <v>42.564374774694443</v>
      </c>
      <c r="H37" s="955">
        <f t="shared" si="2"/>
        <v>0.64875000715255737</v>
      </c>
      <c r="I37" s="952">
        <f t="shared" si="3"/>
        <v>20.435625225305557</v>
      </c>
      <c r="J37" s="950">
        <f t="shared" si="4"/>
        <v>33.781249821186066</v>
      </c>
      <c r="K37" s="949">
        <f t="shared" si="5"/>
        <v>16.218750178813934</v>
      </c>
      <c r="L37" s="944">
        <f t="shared" si="6"/>
        <v>32.429999828338623</v>
      </c>
      <c r="N37" s="1032">
        <v>368564.29958751803</v>
      </c>
      <c r="O37" s="1032">
        <v>230524.92090909329</v>
      </c>
      <c r="P37" s="1032">
        <v>486078.68469771359</v>
      </c>
      <c r="Q37" s="1032">
        <v>438253.78448003047</v>
      </c>
      <c r="R37" s="1032">
        <v>391101.06863808865</v>
      </c>
      <c r="S37" s="1051">
        <f>IF(Tables!$B$2=1,'Michigan Curve'!N37,IF(Tables!$B$2=2,'Michigan Curve'!O37,IF(Tables!$B$2=4,'Michigan Curve'!P37,IF(Tables!$B$2=5,'Michigan Curve'!Q37,IF(Tables!$B$2=3,'Michigan Curve'!R37,0)))))</f>
        <v>438253.78448003047</v>
      </c>
    </row>
    <row r="38" spans="1:19">
      <c r="A38" s="465">
        <v>37895</v>
      </c>
      <c r="B38" s="894">
        <v>24.599994659423828</v>
      </c>
      <c r="C38" s="961">
        <v>19.996000289916992</v>
      </c>
      <c r="D38" s="1008">
        <v>18.996500015258789</v>
      </c>
      <c r="E38" s="957">
        <f t="shared" si="0"/>
        <v>1</v>
      </c>
      <c r="F38" s="944">
        <f t="shared" si="1"/>
        <v>24.599994659423828</v>
      </c>
      <c r="H38" s="955">
        <f t="shared" si="2"/>
        <v>1</v>
      </c>
      <c r="I38" s="952">
        <f t="shared" si="3"/>
        <v>24.599994659423828</v>
      </c>
      <c r="J38" s="950">
        <f t="shared" si="4"/>
        <v>19.996000289916992</v>
      </c>
      <c r="K38" s="949">
        <f t="shared" si="5"/>
        <v>19.996000289916992</v>
      </c>
      <c r="L38" s="944">
        <f t="shared" si="6"/>
        <v>18.996500015258789</v>
      </c>
      <c r="N38" s="1032">
        <v>13601.025367114305</v>
      </c>
      <c r="O38" s="1032">
        <v>7440.4836972577659</v>
      </c>
      <c r="P38" s="1032">
        <v>18426.133797777304</v>
      </c>
      <c r="Q38" s="1032">
        <v>13071.227708832748</v>
      </c>
      <c r="R38" s="1032">
        <v>8156.0904791268822</v>
      </c>
      <c r="S38" s="1051">
        <f>IF(Tables!$B$2=1,'Michigan Curve'!N38,IF(Tables!$B$2=2,'Michigan Curve'!O38,IF(Tables!$B$2=4,'Michigan Curve'!P38,IF(Tables!$B$2=5,'Michigan Curve'!Q38,IF(Tables!$B$2=3,'Michigan Curve'!R38,0)))))</f>
        <v>13071.227708832748</v>
      </c>
    </row>
    <row r="39" spans="1:19">
      <c r="A39" s="465">
        <v>37926</v>
      </c>
      <c r="B39" s="894">
        <v>24.479995727539063</v>
      </c>
      <c r="C39" s="961">
        <v>20</v>
      </c>
      <c r="D39" s="1008">
        <v>19</v>
      </c>
      <c r="E39" s="957">
        <f t="shared" si="0"/>
        <v>1.08</v>
      </c>
      <c r="F39" s="944">
        <f t="shared" si="1"/>
        <v>26.43839538574219</v>
      </c>
      <c r="H39" s="955">
        <f t="shared" si="2"/>
        <v>0.91999999999999993</v>
      </c>
      <c r="I39" s="952">
        <f t="shared" si="3"/>
        <v>22.521596069335935</v>
      </c>
      <c r="J39" s="950">
        <f t="shared" si="4"/>
        <v>21.6</v>
      </c>
      <c r="K39" s="949">
        <f t="shared" si="5"/>
        <v>18.399999999999999</v>
      </c>
      <c r="L39" s="944">
        <f t="shared" si="6"/>
        <v>20.520000000000003</v>
      </c>
      <c r="N39" s="1032">
        <v>19283.774009256518</v>
      </c>
      <c r="O39" s="1032">
        <v>10721.235967218297</v>
      </c>
      <c r="P39" s="1032">
        <v>26041.087126032144</v>
      </c>
      <c r="Q39" s="1032">
        <v>19121.593432766927</v>
      </c>
      <c r="R39" s="1032">
        <v>13288.6297619739</v>
      </c>
      <c r="S39" s="1051">
        <f>IF(Tables!$B$2=1,'Michigan Curve'!N39,IF(Tables!$B$2=2,'Michigan Curve'!O39,IF(Tables!$B$2=4,'Michigan Curve'!P39,IF(Tables!$B$2=5,'Michigan Curve'!Q39,IF(Tables!$B$2=3,'Michigan Curve'!R39,0)))))</f>
        <v>19121.593432766927</v>
      </c>
    </row>
    <row r="40" spans="1:19">
      <c r="A40" s="465">
        <v>37956</v>
      </c>
      <c r="B40" s="894">
        <v>24.949995040893555</v>
      </c>
      <c r="C40" s="961">
        <v>20</v>
      </c>
      <c r="D40" s="1008">
        <v>19</v>
      </c>
      <c r="E40" s="957">
        <f t="shared" si="0"/>
        <v>1.02</v>
      </c>
      <c r="F40" s="944">
        <f t="shared" si="1"/>
        <v>25.448994941711426</v>
      </c>
      <c r="H40" s="955">
        <f t="shared" si="2"/>
        <v>0.98</v>
      </c>
      <c r="I40" s="952">
        <f t="shared" si="3"/>
        <v>24.450995140075683</v>
      </c>
      <c r="J40" s="950">
        <f t="shared" si="4"/>
        <v>20.399999999999999</v>
      </c>
      <c r="K40" s="949">
        <f t="shared" si="5"/>
        <v>19.600000000000001</v>
      </c>
      <c r="L40" s="944">
        <f t="shared" si="6"/>
        <v>19.38</v>
      </c>
      <c r="N40" s="1032">
        <v>10745.85938263475</v>
      </c>
      <c r="O40" s="1032">
        <v>5893.5980476155682</v>
      </c>
      <c r="P40" s="1032">
        <v>14551.017165923155</v>
      </c>
      <c r="Q40" s="1032">
        <v>10402.134480440316</v>
      </c>
      <c r="R40" s="1032">
        <v>6785.4900984756259</v>
      </c>
      <c r="S40" s="1051">
        <f>IF(Tables!$B$2=1,'Michigan Curve'!N40,IF(Tables!$B$2=2,'Michigan Curve'!O40,IF(Tables!$B$2=4,'Michigan Curve'!P40,IF(Tables!$B$2=5,'Michigan Curve'!Q40,IF(Tables!$B$2=3,'Michigan Curve'!R40,0)))))</f>
        <v>10402.134480440316</v>
      </c>
    </row>
    <row r="41" spans="1:19">
      <c r="A41" s="465">
        <v>37987</v>
      </c>
      <c r="B41" s="894">
        <v>30.200000381469728</v>
      </c>
      <c r="C41" s="961">
        <v>22</v>
      </c>
      <c r="D41" s="1008">
        <v>21</v>
      </c>
      <c r="E41" s="957">
        <f t="shared" si="0"/>
        <v>1.02</v>
      </c>
      <c r="F41" s="944">
        <f t="shared" si="1"/>
        <v>30.804000389099123</v>
      </c>
      <c r="H41" s="955">
        <f t="shared" si="2"/>
        <v>0.98</v>
      </c>
      <c r="I41" s="952">
        <f t="shared" si="3"/>
        <v>29.596000373840333</v>
      </c>
      <c r="J41" s="950">
        <f t="shared" si="4"/>
        <v>22.44</v>
      </c>
      <c r="K41" s="949">
        <f t="shared" si="5"/>
        <v>21.56</v>
      </c>
      <c r="L41" s="944">
        <f t="shared" si="6"/>
        <v>21.42</v>
      </c>
      <c r="N41" s="1032">
        <v>64748.309173784422</v>
      </c>
      <c r="O41" s="1032">
        <v>36802.384345349448</v>
      </c>
      <c r="P41" s="1032">
        <v>87051.9910030311</v>
      </c>
      <c r="Q41" s="1032">
        <v>66869.42717106847</v>
      </c>
      <c r="R41" s="1032">
        <v>51926.579808616094</v>
      </c>
      <c r="S41" s="1051">
        <f>IF(Tables!$B$2=1,'Michigan Curve'!N41,IF(Tables!$B$2=2,'Michigan Curve'!O41,IF(Tables!$B$2=4,'Michigan Curve'!P41,IF(Tables!$B$2=5,'Michigan Curve'!Q41,IF(Tables!$B$2=3,'Michigan Curve'!R41,0)))))</f>
        <v>66869.42717106847</v>
      </c>
    </row>
    <row r="42" spans="1:19">
      <c r="A42" s="465">
        <v>38018</v>
      </c>
      <c r="B42" s="894">
        <v>30.199998474121095</v>
      </c>
      <c r="C42" s="961">
        <v>21.996000289916992</v>
      </c>
      <c r="D42" s="1008">
        <v>20.996501922607422</v>
      </c>
      <c r="E42" s="957">
        <f t="shared" si="0"/>
        <v>1.02</v>
      </c>
      <c r="F42" s="944">
        <f t="shared" si="1"/>
        <v>30.803998443603518</v>
      </c>
      <c r="H42" s="955">
        <f t="shared" si="2"/>
        <v>0.98</v>
      </c>
      <c r="I42" s="952">
        <f t="shared" si="3"/>
        <v>29.595998504638672</v>
      </c>
      <c r="J42" s="950">
        <f t="shared" si="4"/>
        <v>22.435920295715331</v>
      </c>
      <c r="K42" s="949">
        <f t="shared" si="5"/>
        <v>21.556080284118654</v>
      </c>
      <c r="L42" s="944">
        <f t="shared" si="6"/>
        <v>21.416431961059569</v>
      </c>
      <c r="N42" s="1032">
        <v>62995.464244408955</v>
      </c>
      <c r="O42" s="1032">
        <v>35826.997280480573</v>
      </c>
      <c r="P42" s="1032">
        <v>84685.483366373548</v>
      </c>
      <c r="Q42" s="1032">
        <v>65127.686706221466</v>
      </c>
      <c r="R42" s="1032">
        <v>50730.210762222348</v>
      </c>
      <c r="S42" s="1051">
        <f>IF(Tables!$B$2=1,'Michigan Curve'!N42,IF(Tables!$B$2=2,'Michigan Curve'!O42,IF(Tables!$B$2=4,'Michigan Curve'!P42,IF(Tables!$B$2=5,'Michigan Curve'!Q42,IF(Tables!$B$2=3,'Michigan Curve'!R42,0)))))</f>
        <v>65127.686706221466</v>
      </c>
    </row>
    <row r="43" spans="1:19">
      <c r="A43" s="465">
        <v>38047</v>
      </c>
      <c r="B43" s="894">
        <v>25</v>
      </c>
      <c r="C43" s="961">
        <v>20</v>
      </c>
      <c r="D43" s="1008">
        <v>19</v>
      </c>
      <c r="E43" s="957">
        <f t="shared" si="0"/>
        <v>1.02</v>
      </c>
      <c r="F43" s="944">
        <f t="shared" si="1"/>
        <v>25.5</v>
      </c>
      <c r="H43" s="955">
        <f t="shared" si="2"/>
        <v>0.98</v>
      </c>
      <c r="I43" s="952">
        <f t="shared" si="3"/>
        <v>24.5</v>
      </c>
      <c r="J43" s="950">
        <f t="shared" si="4"/>
        <v>20.399999999999999</v>
      </c>
      <c r="K43" s="949">
        <f t="shared" si="5"/>
        <v>19.600000000000001</v>
      </c>
      <c r="L43" s="944">
        <f t="shared" si="6"/>
        <v>19.38</v>
      </c>
      <c r="N43" s="1032">
        <v>12470.362126720524</v>
      </c>
      <c r="O43" s="1032">
        <v>6855.5197536611386</v>
      </c>
      <c r="P43" s="1032">
        <v>16878.203413210049</v>
      </c>
      <c r="Q43" s="1032">
        <v>12110.022718247001</v>
      </c>
      <c r="R43" s="1032">
        <v>7989.628821511883</v>
      </c>
      <c r="S43" s="1051">
        <f>IF(Tables!$B$2=1,'Michigan Curve'!N43,IF(Tables!$B$2=2,'Michigan Curve'!O43,IF(Tables!$B$2=4,'Michigan Curve'!P43,IF(Tables!$B$2=5,'Michigan Curve'!Q43,IF(Tables!$B$2=3,'Michigan Curve'!R43,0)))))</f>
        <v>12110.022718247001</v>
      </c>
    </row>
    <row r="44" spans="1:19">
      <c r="A44" s="465">
        <v>38078</v>
      </c>
      <c r="B44" s="894">
        <v>25.25</v>
      </c>
      <c r="C44" s="961">
        <v>20</v>
      </c>
      <c r="D44" s="1008">
        <v>18.995000839233398</v>
      </c>
      <c r="E44" s="957">
        <f t="shared" si="0"/>
        <v>1</v>
      </c>
      <c r="F44" s="944">
        <f t="shared" si="1"/>
        <v>25.25</v>
      </c>
      <c r="H44" s="955">
        <f t="shared" si="2"/>
        <v>1</v>
      </c>
      <c r="I44" s="952">
        <f t="shared" si="3"/>
        <v>25.25</v>
      </c>
      <c r="J44" s="950">
        <f t="shared" si="4"/>
        <v>20</v>
      </c>
      <c r="K44" s="949">
        <f t="shared" si="5"/>
        <v>20</v>
      </c>
      <c r="L44" s="944">
        <f t="shared" si="6"/>
        <v>18.995000839233398</v>
      </c>
      <c r="N44" s="1032">
        <v>18182.30557108737</v>
      </c>
      <c r="O44" s="1032">
        <v>10063.137901181837</v>
      </c>
      <c r="P44" s="1032">
        <v>24575.806336746085</v>
      </c>
      <c r="Q44" s="1032">
        <v>17867.588911518629</v>
      </c>
      <c r="R44" s="1032">
        <v>12218.456925383198</v>
      </c>
      <c r="S44" s="1051">
        <f>IF(Tables!$B$2=1,'Michigan Curve'!N44,IF(Tables!$B$2=2,'Michigan Curve'!O44,IF(Tables!$B$2=4,'Michigan Curve'!P44,IF(Tables!$B$2=5,'Michigan Curve'!Q44,IF(Tables!$B$2=3,'Michigan Curve'!R44,0)))))</f>
        <v>17867.588911518629</v>
      </c>
    </row>
    <row r="45" spans="1:19">
      <c r="A45" s="465">
        <v>38108</v>
      </c>
      <c r="B45" s="894">
        <v>29</v>
      </c>
      <c r="C45" s="961">
        <v>21</v>
      </c>
      <c r="D45" s="1008">
        <v>20.004999160766602</v>
      </c>
      <c r="E45" s="957">
        <f t="shared" si="0"/>
        <v>1.0762500017881393</v>
      </c>
      <c r="F45" s="944">
        <f t="shared" si="1"/>
        <v>31.211250051856041</v>
      </c>
      <c r="H45" s="955">
        <f t="shared" si="2"/>
        <v>0.92374999821186066</v>
      </c>
      <c r="I45" s="952">
        <f t="shared" si="3"/>
        <v>26.788749948143959</v>
      </c>
      <c r="J45" s="950">
        <f t="shared" si="4"/>
        <v>22.601250037550926</v>
      </c>
      <c r="K45" s="949">
        <f t="shared" si="5"/>
        <v>19.398749962449074</v>
      </c>
      <c r="L45" s="944">
        <f t="shared" si="6"/>
        <v>21.530380382546781</v>
      </c>
      <c r="N45" s="1032">
        <v>98488.014072384685</v>
      </c>
      <c r="O45" s="1032">
        <v>56354.597376748003</v>
      </c>
      <c r="P45" s="1032">
        <v>132235.90180199317</v>
      </c>
      <c r="Q45" s="1032">
        <v>102853.39725130462</v>
      </c>
      <c r="R45" s="1032">
        <v>82171.196336083492</v>
      </c>
      <c r="S45" s="1051">
        <f>IF(Tables!$B$2=1,'Michigan Curve'!N45,IF(Tables!$B$2=2,'Michigan Curve'!O45,IF(Tables!$B$2=4,'Michigan Curve'!P45,IF(Tables!$B$2=5,'Michigan Curve'!Q45,IF(Tables!$B$2=3,'Michigan Curve'!R45,0)))))</f>
        <v>102853.39725130462</v>
      </c>
    </row>
    <row r="46" spans="1:19">
      <c r="A46" s="465">
        <v>38139</v>
      </c>
      <c r="B46" s="894">
        <v>46.25</v>
      </c>
      <c r="C46" s="961">
        <v>26</v>
      </c>
      <c r="D46" s="1008">
        <v>24</v>
      </c>
      <c r="E46" s="957">
        <f t="shared" si="0"/>
        <v>1.5337728653770906</v>
      </c>
      <c r="F46" s="944">
        <f t="shared" si="1"/>
        <v>70.936995023690443</v>
      </c>
      <c r="H46" s="955">
        <f t="shared" si="2"/>
        <v>0.46622713462290943</v>
      </c>
      <c r="I46" s="952">
        <f t="shared" si="3"/>
        <v>21.563004976309561</v>
      </c>
      <c r="J46" s="950">
        <f t="shared" si="4"/>
        <v>39.878094499804355</v>
      </c>
      <c r="K46" s="949">
        <f t="shared" si="5"/>
        <v>12.121905500195645</v>
      </c>
      <c r="L46" s="944">
        <f t="shared" si="6"/>
        <v>36.810548769050172</v>
      </c>
      <c r="N46" s="1032">
        <v>351127.22054647678</v>
      </c>
      <c r="O46" s="1032">
        <v>214223.30196195247</v>
      </c>
      <c r="P46" s="1032">
        <v>465472.78407546412</v>
      </c>
      <c r="Q46" s="1032">
        <v>413405.72406698065</v>
      </c>
      <c r="R46" s="1032">
        <v>455283.73810359999</v>
      </c>
      <c r="S46" s="1051">
        <f>IF(Tables!$B$2=1,'Michigan Curve'!N46,IF(Tables!$B$2=2,'Michigan Curve'!O46,IF(Tables!$B$2=4,'Michigan Curve'!P46,IF(Tables!$B$2=5,'Michigan Curve'!Q46,IF(Tables!$B$2=3,'Michigan Curve'!R46,0)))))</f>
        <v>413405.72406698065</v>
      </c>
    </row>
    <row r="47" spans="1:19">
      <c r="A47" s="465">
        <v>38169</v>
      </c>
      <c r="B47" s="894">
        <v>75</v>
      </c>
      <c r="C47" s="961">
        <v>35</v>
      </c>
      <c r="D47" s="1008">
        <v>30.999998092651367</v>
      </c>
      <c r="E47" s="957">
        <f t="shared" si="0"/>
        <v>1.6419162974430994</v>
      </c>
      <c r="F47" s="944">
        <f t="shared" si="1"/>
        <v>123.14372230823246</v>
      </c>
      <c r="H47" s="955">
        <f t="shared" si="2"/>
        <v>0.35808370255690058</v>
      </c>
      <c r="I47" s="952">
        <f t="shared" si="3"/>
        <v>26.856277691767545</v>
      </c>
      <c r="J47" s="950">
        <f t="shared" si="4"/>
        <v>57.467070410508477</v>
      </c>
      <c r="K47" s="949">
        <f t="shared" si="5"/>
        <v>12.53292958949152</v>
      </c>
      <c r="L47" s="944">
        <f t="shared" si="6"/>
        <v>50.89940208902928</v>
      </c>
      <c r="N47" s="1032">
        <v>568778.79117184319</v>
      </c>
      <c r="O47" s="1032">
        <v>346056.80425124755</v>
      </c>
      <c r="P47" s="1032">
        <v>754403.85899029858</v>
      </c>
      <c r="Q47" s="1032">
        <v>665965.16803876311</v>
      </c>
      <c r="R47" s="1032">
        <v>724141.99158048537</v>
      </c>
      <c r="S47" s="1051">
        <f>IF(Tables!$B$2=1,'Michigan Curve'!N47,IF(Tables!$B$2=2,'Michigan Curve'!O47,IF(Tables!$B$2=4,'Michigan Curve'!P47,IF(Tables!$B$2=5,'Michigan Curve'!Q47,IF(Tables!$B$2=3,'Michigan Curve'!R47,0)))))</f>
        <v>665965.16803876311</v>
      </c>
    </row>
    <row r="48" spans="1:19">
      <c r="A48" s="465">
        <v>38200</v>
      </c>
      <c r="B48" s="894">
        <v>75</v>
      </c>
      <c r="C48" s="961">
        <v>35.000003814697266</v>
      </c>
      <c r="D48" s="1008">
        <v>31</v>
      </c>
      <c r="E48" s="957">
        <f t="shared" si="0"/>
        <v>1.6419162974430994</v>
      </c>
      <c r="F48" s="944">
        <f t="shared" si="1"/>
        <v>123.14372230823246</v>
      </c>
      <c r="H48" s="955">
        <f t="shared" si="2"/>
        <v>0.35808370255690058</v>
      </c>
      <c r="I48" s="952">
        <f t="shared" si="3"/>
        <v>26.856277691767545</v>
      </c>
      <c r="J48" s="950">
        <f t="shared" si="4"/>
        <v>57.467076673922087</v>
      </c>
      <c r="K48" s="949">
        <f t="shared" si="5"/>
        <v>12.532930955472441</v>
      </c>
      <c r="L48" s="944">
        <f t="shared" si="6"/>
        <v>50.899405220736085</v>
      </c>
      <c r="N48" s="1032">
        <v>565470.82375494763</v>
      </c>
      <c r="O48" s="1032">
        <v>343735.09865069855</v>
      </c>
      <c r="P48" s="1032">
        <v>750154.10152054392</v>
      </c>
      <c r="Q48" s="1032">
        <v>661013.56807647087</v>
      </c>
      <c r="R48" s="1032">
        <v>715853.31773670297</v>
      </c>
      <c r="S48" s="1051">
        <f>IF(Tables!$B$2=1,'Michigan Curve'!N48,IF(Tables!$B$2=2,'Michigan Curve'!O48,IF(Tables!$B$2=4,'Michigan Curve'!P48,IF(Tables!$B$2=5,'Michigan Curve'!Q48,IF(Tables!$B$2=3,'Michigan Curve'!R48,0)))))</f>
        <v>661013.56807647087</v>
      </c>
    </row>
    <row r="49" spans="1:19">
      <c r="A49" s="465">
        <v>38231</v>
      </c>
      <c r="B49" s="894">
        <v>31.75</v>
      </c>
      <c r="C49" s="961">
        <v>25</v>
      </c>
      <c r="D49" s="1008">
        <v>24</v>
      </c>
      <c r="E49" s="957">
        <f t="shared" si="0"/>
        <v>1.3512499928474426</v>
      </c>
      <c r="F49" s="944">
        <f t="shared" si="1"/>
        <v>42.902187272906303</v>
      </c>
      <c r="H49" s="955">
        <f t="shared" si="2"/>
        <v>0.64875000715255737</v>
      </c>
      <c r="I49" s="952">
        <f t="shared" si="3"/>
        <v>20.597812727093697</v>
      </c>
      <c r="J49" s="950">
        <f t="shared" si="4"/>
        <v>33.781249821186066</v>
      </c>
      <c r="K49" s="949">
        <f t="shared" si="5"/>
        <v>16.218750178813934</v>
      </c>
      <c r="L49" s="944">
        <f t="shared" si="6"/>
        <v>32.429999828338623</v>
      </c>
      <c r="N49" s="1032">
        <v>323530.06387315452</v>
      </c>
      <c r="O49" s="1032">
        <v>187400.13214594556</v>
      </c>
      <c r="P49" s="1032">
        <v>428141.61827485939</v>
      </c>
      <c r="Q49" s="1032">
        <v>345486.80327758461</v>
      </c>
      <c r="R49" s="1032">
        <v>294367.7512756206</v>
      </c>
      <c r="S49" s="1051">
        <f>IF(Tables!$B$2=1,'Michigan Curve'!N49,IF(Tables!$B$2=2,'Michigan Curve'!O49,IF(Tables!$B$2=4,'Michigan Curve'!P49,IF(Tables!$B$2=5,'Michigan Curve'!Q49,IF(Tables!$B$2=3,'Michigan Curve'!R49,0)))))</f>
        <v>345486.80327758461</v>
      </c>
    </row>
    <row r="50" spans="1:19">
      <c r="A50" s="465">
        <v>38261</v>
      </c>
      <c r="B50" s="894">
        <v>24.849994659423828</v>
      </c>
      <c r="C50" s="961">
        <v>19.996000289916992</v>
      </c>
      <c r="D50" s="1008">
        <v>18.996500015258789</v>
      </c>
      <c r="E50" s="957">
        <f t="shared" si="0"/>
        <v>1</v>
      </c>
      <c r="F50" s="944">
        <f t="shared" si="1"/>
        <v>24.849994659423828</v>
      </c>
      <c r="H50" s="955">
        <f t="shared" si="2"/>
        <v>1</v>
      </c>
      <c r="I50" s="952">
        <f t="shared" si="3"/>
        <v>24.849994659423828</v>
      </c>
      <c r="J50" s="950">
        <f t="shared" si="4"/>
        <v>19.996000289916992</v>
      </c>
      <c r="K50" s="949">
        <f t="shared" si="5"/>
        <v>19.996000289916992</v>
      </c>
      <c r="L50" s="944">
        <f t="shared" si="6"/>
        <v>18.996500015258789</v>
      </c>
      <c r="N50" s="1032">
        <v>9570.0992394269197</v>
      </c>
      <c r="O50" s="1032">
        <v>5198.7690536982936</v>
      </c>
      <c r="P50" s="1032">
        <v>12983.365824592023</v>
      </c>
      <c r="Q50" s="1032">
        <v>9075.8593286015694</v>
      </c>
      <c r="R50" s="1032">
        <v>5463.661176330299</v>
      </c>
      <c r="S50" s="1051">
        <f>IF(Tables!$B$2=1,'Michigan Curve'!N50,IF(Tables!$B$2=2,'Michigan Curve'!O50,IF(Tables!$B$2=4,'Michigan Curve'!P50,IF(Tables!$B$2=5,'Michigan Curve'!Q50,IF(Tables!$B$2=3,'Michigan Curve'!R50,0)))))</f>
        <v>9075.8593286015694</v>
      </c>
    </row>
    <row r="51" spans="1:19">
      <c r="A51" s="465">
        <v>38292</v>
      </c>
      <c r="B51" s="894">
        <v>24.729995727539063</v>
      </c>
      <c r="C51" s="961">
        <v>20</v>
      </c>
      <c r="D51" s="1008">
        <v>19</v>
      </c>
      <c r="E51" s="957">
        <f t="shared" si="0"/>
        <v>1.08</v>
      </c>
      <c r="F51" s="944">
        <f t="shared" si="1"/>
        <v>26.70839538574219</v>
      </c>
      <c r="H51" s="955">
        <f t="shared" si="2"/>
        <v>0.91999999999999993</v>
      </c>
      <c r="I51" s="952">
        <f t="shared" si="3"/>
        <v>22.751596069335935</v>
      </c>
      <c r="J51" s="950">
        <f t="shared" si="4"/>
        <v>21.6</v>
      </c>
      <c r="K51" s="949">
        <f t="shared" si="5"/>
        <v>18.399999999999999</v>
      </c>
      <c r="L51" s="944">
        <f t="shared" si="6"/>
        <v>20.520000000000003</v>
      </c>
      <c r="N51" s="1032">
        <v>19308.586194685027</v>
      </c>
      <c r="O51" s="1032">
        <v>10714.609184056895</v>
      </c>
      <c r="P51" s="1032">
        <v>26084.570536090603</v>
      </c>
      <c r="Q51" s="1032">
        <v>19071.087345192169</v>
      </c>
      <c r="R51" s="1032">
        <v>13202.854965664448</v>
      </c>
      <c r="S51" s="1051">
        <f>IF(Tables!$B$2=1,'Michigan Curve'!N51,IF(Tables!$B$2=2,'Michigan Curve'!O51,IF(Tables!$B$2=4,'Michigan Curve'!P51,IF(Tables!$B$2=5,'Michigan Curve'!Q51,IF(Tables!$B$2=3,'Michigan Curve'!R51,0)))))</f>
        <v>19071.087345192169</v>
      </c>
    </row>
    <row r="52" spans="1:19">
      <c r="A52" s="465">
        <v>38322</v>
      </c>
      <c r="B52" s="894">
        <v>25.199995040893555</v>
      </c>
      <c r="C52" s="961">
        <v>20</v>
      </c>
      <c r="D52" s="1008">
        <v>19</v>
      </c>
      <c r="E52" s="957">
        <f t="shared" si="0"/>
        <v>1.02</v>
      </c>
      <c r="F52" s="944">
        <f t="shared" si="1"/>
        <v>25.703994941711425</v>
      </c>
      <c r="H52" s="955">
        <f t="shared" si="2"/>
        <v>0.98</v>
      </c>
      <c r="I52" s="952">
        <f t="shared" si="3"/>
        <v>24.695995140075684</v>
      </c>
      <c r="J52" s="950">
        <f t="shared" si="4"/>
        <v>20.399999999999999</v>
      </c>
      <c r="K52" s="949">
        <f t="shared" si="5"/>
        <v>19.600000000000001</v>
      </c>
      <c r="L52" s="944">
        <f t="shared" si="6"/>
        <v>19.38</v>
      </c>
      <c r="N52" s="1032">
        <v>10386.976273917226</v>
      </c>
      <c r="O52" s="1032">
        <v>5691.1106637488638</v>
      </c>
      <c r="P52" s="1032">
        <v>14067.886115151417</v>
      </c>
      <c r="Q52" s="1032">
        <v>10029.715784000613</v>
      </c>
      <c r="R52" s="1032">
        <v>6574.6056067983845</v>
      </c>
      <c r="S52" s="1051">
        <f>IF(Tables!$B$2=1,'Michigan Curve'!N52,IF(Tables!$B$2=2,'Michigan Curve'!O52,IF(Tables!$B$2=4,'Michigan Curve'!P52,IF(Tables!$B$2=5,'Michigan Curve'!Q52,IF(Tables!$B$2=3,'Michigan Curve'!R52,0)))))</f>
        <v>10029.715784000613</v>
      </c>
    </row>
    <row r="53" spans="1:19">
      <c r="A53" s="465">
        <v>38353</v>
      </c>
      <c r="B53" s="894">
        <v>30.700000381469728</v>
      </c>
      <c r="C53" s="961">
        <v>22</v>
      </c>
      <c r="D53" s="1008">
        <v>21</v>
      </c>
      <c r="E53" s="957">
        <f t="shared" si="0"/>
        <v>1.02</v>
      </c>
      <c r="F53" s="944">
        <f t="shared" si="1"/>
        <v>31.314000389099125</v>
      </c>
      <c r="H53" s="955">
        <f t="shared" si="2"/>
        <v>0.98</v>
      </c>
      <c r="I53" s="952">
        <f t="shared" si="3"/>
        <v>30.086000373840331</v>
      </c>
      <c r="J53" s="950">
        <f t="shared" si="4"/>
        <v>22.44</v>
      </c>
      <c r="K53" s="949">
        <f t="shared" si="5"/>
        <v>21.56</v>
      </c>
      <c r="L53" s="944">
        <f t="shared" si="6"/>
        <v>21.42</v>
      </c>
      <c r="N53" s="1032">
        <v>59055.558788138413</v>
      </c>
      <c r="O53" s="1032">
        <v>33478.938285262157</v>
      </c>
      <c r="P53" s="1032">
        <v>79439.811282260212</v>
      </c>
      <c r="Q53" s="1032">
        <v>60668.322530048281</v>
      </c>
      <c r="R53" s="1032">
        <v>46676.722460986661</v>
      </c>
      <c r="S53" s="1051">
        <f>IF(Tables!$B$2=1,'Michigan Curve'!N53,IF(Tables!$B$2=2,'Michigan Curve'!O53,IF(Tables!$B$2=4,'Michigan Curve'!P53,IF(Tables!$B$2=5,'Michigan Curve'!Q53,IF(Tables!$B$2=3,'Michigan Curve'!R53,0)))))</f>
        <v>60668.322530048281</v>
      </c>
    </row>
    <row r="54" spans="1:19">
      <c r="A54" s="465">
        <v>38384</v>
      </c>
      <c r="B54" s="894">
        <v>30.699998474121095</v>
      </c>
      <c r="C54" s="961">
        <v>21.996000289916992</v>
      </c>
      <c r="D54" s="1008">
        <v>20.996501922607422</v>
      </c>
      <c r="E54" s="957">
        <f t="shared" si="0"/>
        <v>1.02</v>
      </c>
      <c r="F54" s="944">
        <f t="shared" si="1"/>
        <v>31.313998443603516</v>
      </c>
      <c r="H54" s="955">
        <f t="shared" si="2"/>
        <v>0.98</v>
      </c>
      <c r="I54" s="952">
        <f t="shared" si="3"/>
        <v>30.085998504638674</v>
      </c>
      <c r="J54" s="950">
        <f t="shared" si="4"/>
        <v>22.435920295715331</v>
      </c>
      <c r="K54" s="949">
        <f t="shared" si="5"/>
        <v>21.556080284118654</v>
      </c>
      <c r="L54" s="944">
        <f t="shared" si="6"/>
        <v>21.416431961059569</v>
      </c>
      <c r="N54" s="1032">
        <v>58792.235636919795</v>
      </c>
      <c r="O54" s="1032">
        <v>33360.247420914449</v>
      </c>
      <c r="P54" s="1032">
        <v>79071.078820596405</v>
      </c>
      <c r="Q54" s="1032">
        <v>60498.322961945218</v>
      </c>
      <c r="R54" s="1032">
        <v>46797.073989443896</v>
      </c>
      <c r="S54" s="1051">
        <f>IF(Tables!$B$2=1,'Michigan Curve'!N54,IF(Tables!$B$2=2,'Michigan Curve'!O54,IF(Tables!$B$2=4,'Michigan Curve'!P54,IF(Tables!$B$2=5,'Michigan Curve'!Q54,IF(Tables!$B$2=3,'Michigan Curve'!R54,0)))))</f>
        <v>60498.322961945218</v>
      </c>
    </row>
    <row r="55" spans="1:19">
      <c r="A55" s="465">
        <v>38412</v>
      </c>
      <c r="B55" s="894">
        <v>25.5</v>
      </c>
      <c r="C55" s="961">
        <v>20</v>
      </c>
      <c r="D55" s="1008">
        <v>19</v>
      </c>
      <c r="E55" s="957">
        <f t="shared" si="0"/>
        <v>1.02</v>
      </c>
      <c r="F55" s="944">
        <f t="shared" si="1"/>
        <v>26.01</v>
      </c>
      <c r="H55" s="955">
        <f t="shared" si="2"/>
        <v>0.98</v>
      </c>
      <c r="I55" s="952">
        <f t="shared" si="3"/>
        <v>24.99</v>
      </c>
      <c r="J55" s="950">
        <f t="shared" si="4"/>
        <v>20.399999999999999</v>
      </c>
      <c r="K55" s="949">
        <f t="shared" si="5"/>
        <v>19.600000000000001</v>
      </c>
      <c r="L55" s="944">
        <f t="shared" si="6"/>
        <v>19.38</v>
      </c>
      <c r="N55" s="1032">
        <v>22040.549954111088</v>
      </c>
      <c r="O55" s="1032">
        <v>12306.735923570779</v>
      </c>
      <c r="P55" s="1032">
        <v>29738.614075457568</v>
      </c>
      <c r="Q55" s="1032">
        <v>22030.523339477139</v>
      </c>
      <c r="R55" s="1032">
        <v>15680.032209626337</v>
      </c>
      <c r="S55" s="1051">
        <f>IF(Tables!$B$2=1,'Michigan Curve'!N55,IF(Tables!$B$2=2,'Michigan Curve'!O55,IF(Tables!$B$2=4,'Michigan Curve'!P55,IF(Tables!$B$2=5,'Michigan Curve'!Q55,IF(Tables!$B$2=3,'Michigan Curve'!R55,0)))))</f>
        <v>22030.523339477139</v>
      </c>
    </row>
    <row r="56" spans="1:19">
      <c r="A56" s="465">
        <v>38443</v>
      </c>
      <c r="B56" s="894">
        <v>25.75</v>
      </c>
      <c r="C56" s="961">
        <v>20</v>
      </c>
      <c r="D56" s="1008">
        <v>18.995000839233398</v>
      </c>
      <c r="E56" s="957">
        <f t="shared" si="0"/>
        <v>1</v>
      </c>
      <c r="F56" s="944">
        <f t="shared" si="1"/>
        <v>25.75</v>
      </c>
      <c r="H56" s="955">
        <f t="shared" si="2"/>
        <v>1</v>
      </c>
      <c r="I56" s="952">
        <f t="shared" si="3"/>
        <v>25.75</v>
      </c>
      <c r="J56" s="950">
        <f t="shared" si="4"/>
        <v>20</v>
      </c>
      <c r="K56" s="949">
        <f t="shared" si="5"/>
        <v>20</v>
      </c>
      <c r="L56" s="944">
        <f t="shared" si="6"/>
        <v>18.995000839233398</v>
      </c>
      <c r="N56" s="1032">
        <v>28347.146774885736</v>
      </c>
      <c r="O56" s="1032">
        <v>15914.438953100864</v>
      </c>
      <c r="P56" s="1032">
        <v>38206.107705335766</v>
      </c>
      <c r="Q56" s="1032">
        <v>28609.313405374178</v>
      </c>
      <c r="R56" s="1032">
        <v>20993.660749554088</v>
      </c>
      <c r="S56" s="1051">
        <f>IF(Tables!$B$2=1,'Michigan Curve'!N56,IF(Tables!$B$2=2,'Michigan Curve'!O56,IF(Tables!$B$2=4,'Michigan Curve'!P56,IF(Tables!$B$2=5,'Michigan Curve'!Q56,IF(Tables!$B$2=3,'Michigan Curve'!R56,0)))))</f>
        <v>28609.313405374178</v>
      </c>
    </row>
    <row r="57" spans="1:19">
      <c r="A57" s="465">
        <v>38473</v>
      </c>
      <c r="B57" s="894">
        <v>29.5</v>
      </c>
      <c r="C57" s="961">
        <v>21</v>
      </c>
      <c r="D57" s="1008">
        <v>20.004999160766602</v>
      </c>
      <c r="E57" s="957">
        <f t="shared" si="0"/>
        <v>1.0762500017881393</v>
      </c>
      <c r="F57" s="944">
        <f t="shared" si="1"/>
        <v>31.749375052750111</v>
      </c>
      <c r="H57" s="955">
        <f t="shared" si="2"/>
        <v>0.92374999821186066</v>
      </c>
      <c r="I57" s="952">
        <f t="shared" si="3"/>
        <v>27.250624947249889</v>
      </c>
      <c r="J57" s="950">
        <f t="shared" si="4"/>
        <v>22.601250037550926</v>
      </c>
      <c r="K57" s="949">
        <f t="shared" si="5"/>
        <v>19.398749962449074</v>
      </c>
      <c r="L57" s="944">
        <f t="shared" si="6"/>
        <v>21.530380382546781</v>
      </c>
      <c r="N57" s="1032">
        <v>85651.704891217101</v>
      </c>
      <c r="O57" s="1032">
        <v>48679.686665658483</v>
      </c>
      <c r="P57" s="1032">
        <v>115155.69279616822</v>
      </c>
      <c r="Q57" s="1032">
        <v>88315.176037359357</v>
      </c>
      <c r="R57" s="1032">
        <v>68037.547177079658</v>
      </c>
      <c r="S57" s="1051">
        <f>IF(Tables!$B$2=1,'Michigan Curve'!N57,IF(Tables!$B$2=2,'Michigan Curve'!O57,IF(Tables!$B$2=4,'Michigan Curve'!P57,IF(Tables!$B$2=5,'Michigan Curve'!Q57,IF(Tables!$B$2=3,'Michigan Curve'!R57,0)))))</f>
        <v>88315.176037359357</v>
      </c>
    </row>
    <row r="58" spans="1:19">
      <c r="A58" s="465">
        <v>38504</v>
      </c>
      <c r="B58" s="894">
        <v>46.25</v>
      </c>
      <c r="C58" s="961">
        <v>26</v>
      </c>
      <c r="D58" s="1008">
        <v>24</v>
      </c>
      <c r="E58" s="957">
        <f t="shared" si="0"/>
        <v>1.5337728653770906</v>
      </c>
      <c r="F58" s="944">
        <f t="shared" si="1"/>
        <v>70.936995023690443</v>
      </c>
      <c r="H58" s="955">
        <f t="shared" si="2"/>
        <v>0.46622713462290943</v>
      </c>
      <c r="I58" s="952">
        <f t="shared" si="3"/>
        <v>21.563004976309561</v>
      </c>
      <c r="J58" s="950">
        <f t="shared" si="4"/>
        <v>39.878094499804355</v>
      </c>
      <c r="K58" s="949">
        <f t="shared" si="5"/>
        <v>12.121905500195645</v>
      </c>
      <c r="L58" s="944">
        <f t="shared" si="6"/>
        <v>36.810548769050172</v>
      </c>
      <c r="N58" s="1032">
        <v>243778.71384592704</v>
      </c>
      <c r="O58" s="1032">
        <v>148689.73906840442</v>
      </c>
      <c r="P58" s="1032">
        <v>323203.95547976252</v>
      </c>
      <c r="Q58" s="1032">
        <v>286853.7533324738</v>
      </c>
      <c r="R58" s="1032">
        <v>315924.21077596839</v>
      </c>
      <c r="S58" s="1051">
        <f>IF(Tables!$B$2=1,'Michigan Curve'!N58,IF(Tables!$B$2=2,'Michigan Curve'!O58,IF(Tables!$B$2=4,'Michigan Curve'!P58,IF(Tables!$B$2=5,'Michigan Curve'!Q58,IF(Tables!$B$2=3,'Michigan Curve'!R58,0)))))</f>
        <v>286853.7533324738</v>
      </c>
    </row>
    <row r="59" spans="1:19">
      <c r="A59" s="465">
        <v>38534</v>
      </c>
      <c r="B59" s="894">
        <v>71</v>
      </c>
      <c r="C59" s="961">
        <v>35</v>
      </c>
      <c r="D59" s="1008">
        <v>30.999998092651367</v>
      </c>
      <c r="E59" s="957">
        <f t="shared" si="0"/>
        <v>1.6303889097131645</v>
      </c>
      <c r="F59" s="944">
        <f t="shared" si="1"/>
        <v>115.75761258963468</v>
      </c>
      <c r="H59" s="955">
        <f t="shared" si="2"/>
        <v>0.36961109028683548</v>
      </c>
      <c r="I59" s="952">
        <f t="shared" si="3"/>
        <v>26.242387410365318</v>
      </c>
      <c r="J59" s="950">
        <f t="shared" si="4"/>
        <v>57.063611839960757</v>
      </c>
      <c r="K59" s="949">
        <f t="shared" si="5"/>
        <v>12.936388160039241</v>
      </c>
      <c r="L59" s="944">
        <f t="shared" si="6"/>
        <v>50.542053091388041</v>
      </c>
      <c r="N59" s="1032">
        <v>444676.26602456346</v>
      </c>
      <c r="O59" s="1032">
        <v>271609.57957761409</v>
      </c>
      <c r="P59" s="1032">
        <v>589345.98452758044</v>
      </c>
      <c r="Q59" s="1032">
        <v>524302.49650079338</v>
      </c>
      <c r="R59" s="1032">
        <v>579719.21666159155</v>
      </c>
      <c r="S59" s="1051">
        <f>IF(Tables!$B$2=1,'Michigan Curve'!N59,IF(Tables!$B$2=2,'Michigan Curve'!O59,IF(Tables!$B$2=4,'Michigan Curve'!P59,IF(Tables!$B$2=5,'Michigan Curve'!Q59,IF(Tables!$B$2=3,'Michigan Curve'!R59,0)))))</f>
        <v>524302.49650079338</v>
      </c>
    </row>
    <row r="60" spans="1:19">
      <c r="A60" s="465">
        <v>38565</v>
      </c>
      <c r="B60" s="894">
        <v>71</v>
      </c>
      <c r="C60" s="961">
        <v>35.000003814697266</v>
      </c>
      <c r="D60" s="1008">
        <v>31</v>
      </c>
      <c r="E60" s="957">
        <f t="shared" si="0"/>
        <v>1.6303889097131645</v>
      </c>
      <c r="F60" s="944">
        <f t="shared" si="1"/>
        <v>115.75761258963468</v>
      </c>
      <c r="H60" s="955">
        <f t="shared" si="2"/>
        <v>0.36961109028683548</v>
      </c>
      <c r="I60" s="952">
        <f t="shared" si="3"/>
        <v>26.242387410365318</v>
      </c>
      <c r="J60" s="950">
        <f t="shared" si="4"/>
        <v>57.063618059400874</v>
      </c>
      <c r="K60" s="949">
        <f t="shared" si="5"/>
        <v>12.936389569993658</v>
      </c>
      <c r="L60" s="944">
        <f t="shared" si="6"/>
        <v>50.542056201108103</v>
      </c>
      <c r="N60" s="1032">
        <v>418959.73571072333</v>
      </c>
      <c r="O60" s="1032">
        <v>254987.18558510346</v>
      </c>
      <c r="P60" s="1032">
        <v>555672.0583126042</v>
      </c>
      <c r="Q60" s="1032">
        <v>490762.42966718646</v>
      </c>
      <c r="R60" s="1032">
        <v>534029.25319265202</v>
      </c>
      <c r="S60" s="1051">
        <f>IF(Tables!$B$2=1,'Michigan Curve'!N60,IF(Tables!$B$2=2,'Michigan Curve'!O60,IF(Tables!$B$2=4,'Michigan Curve'!P60,IF(Tables!$B$2=5,'Michigan Curve'!Q60,IF(Tables!$B$2=3,'Michigan Curve'!R60,0)))))</f>
        <v>490762.42966718646</v>
      </c>
    </row>
    <row r="61" spans="1:19">
      <c r="A61" s="465">
        <v>38596</v>
      </c>
      <c r="B61" s="894">
        <v>32.25</v>
      </c>
      <c r="C61" s="961">
        <v>25</v>
      </c>
      <c r="D61" s="1008">
        <v>24</v>
      </c>
      <c r="E61" s="957">
        <f t="shared" si="0"/>
        <v>1.3512499928474426</v>
      </c>
      <c r="F61" s="944">
        <f t="shared" si="1"/>
        <v>43.577812269330025</v>
      </c>
      <c r="H61" s="955">
        <f t="shared" si="2"/>
        <v>0.64875000715255737</v>
      </c>
      <c r="I61" s="952">
        <f t="shared" si="3"/>
        <v>20.922187730669975</v>
      </c>
      <c r="J61" s="950">
        <f t="shared" si="4"/>
        <v>33.781249821186066</v>
      </c>
      <c r="K61" s="949">
        <f t="shared" si="5"/>
        <v>16.218750178813934</v>
      </c>
      <c r="L61" s="944">
        <f t="shared" si="6"/>
        <v>32.429999828338623</v>
      </c>
      <c r="N61" s="1032">
        <v>293113.60977321735</v>
      </c>
      <c r="O61" s="1032">
        <v>168951.21973763531</v>
      </c>
      <c r="P61" s="1032">
        <v>392965.64718469098</v>
      </c>
      <c r="Q61" s="1032">
        <v>310109.66874316469</v>
      </c>
      <c r="R61" s="1032">
        <v>257079.99792847454</v>
      </c>
      <c r="S61" s="1051">
        <f>IF(Tables!$B$2=1,'Michigan Curve'!N61,IF(Tables!$B$2=2,'Michigan Curve'!O61,IF(Tables!$B$2=4,'Michigan Curve'!P61,IF(Tables!$B$2=5,'Michigan Curve'!Q61,IF(Tables!$B$2=3,'Michigan Curve'!R61,0)))))</f>
        <v>310109.66874316469</v>
      </c>
    </row>
    <row r="62" spans="1:19">
      <c r="A62" s="465">
        <v>38626</v>
      </c>
      <c r="B62" s="894">
        <v>25.349994659423828</v>
      </c>
      <c r="C62" s="961">
        <v>19.996000289916992</v>
      </c>
      <c r="D62" s="1008">
        <v>18.996500015258789</v>
      </c>
      <c r="E62" s="957">
        <f t="shared" si="0"/>
        <v>1</v>
      </c>
      <c r="F62" s="944">
        <f t="shared" si="1"/>
        <v>25.349994659423828</v>
      </c>
      <c r="H62" s="955">
        <f t="shared" si="2"/>
        <v>1</v>
      </c>
      <c r="I62" s="952">
        <f t="shared" si="3"/>
        <v>25.349994659423828</v>
      </c>
      <c r="J62" s="950">
        <f t="shared" si="4"/>
        <v>19.996000289916992</v>
      </c>
      <c r="K62" s="949">
        <f t="shared" si="5"/>
        <v>19.996000289916992</v>
      </c>
      <c r="L62" s="944">
        <f t="shared" si="6"/>
        <v>18.996500015258789</v>
      </c>
      <c r="N62" s="1032">
        <v>17372.791229733273</v>
      </c>
      <c r="O62" s="1032">
        <v>9612.5685471247125</v>
      </c>
      <c r="P62" s="1032">
        <v>23482.796071013352</v>
      </c>
      <c r="Q62" s="1032">
        <v>17057.200463620658</v>
      </c>
      <c r="R62" s="1032">
        <v>11310.526572894869</v>
      </c>
      <c r="S62" s="1051">
        <f>IF(Tables!$B$2=1,'Michigan Curve'!N62,IF(Tables!$B$2=2,'Michigan Curve'!O62,IF(Tables!$B$2=4,'Michigan Curve'!P62,IF(Tables!$B$2=5,'Michigan Curve'!Q62,IF(Tables!$B$2=3,'Michigan Curve'!R62,0)))))</f>
        <v>17057.200463620658</v>
      </c>
    </row>
    <row r="63" spans="1:19">
      <c r="A63" s="465">
        <v>38657</v>
      </c>
      <c r="B63" s="894">
        <v>25.229995727539063</v>
      </c>
      <c r="C63" s="961">
        <v>20</v>
      </c>
      <c r="D63" s="1008">
        <v>19</v>
      </c>
      <c r="E63" s="957">
        <f t="shared" ref="E63:E126" si="8">IF(VLOOKUP(MONTH(A63),SeasonTable,2,0)&lt;&gt;"Summer",VLOOKUP(MONTH(A63),ScalarTable,2,0),((0.059228/(B63/100))-(0.4980013/(SQRT(B63/100)))+2.137988))</f>
        <v>1.08</v>
      </c>
      <c r="F63" s="944">
        <f t="shared" si="1"/>
        <v>27.248395385742189</v>
      </c>
      <c r="H63" s="955">
        <f t="shared" si="2"/>
        <v>0.91999999999999993</v>
      </c>
      <c r="I63" s="952">
        <f t="shared" si="3"/>
        <v>23.211596069335936</v>
      </c>
      <c r="J63" s="950">
        <f t="shared" si="4"/>
        <v>21.6</v>
      </c>
      <c r="K63" s="949">
        <f t="shared" si="5"/>
        <v>18.399999999999999</v>
      </c>
      <c r="L63" s="944">
        <f t="shared" si="6"/>
        <v>20.520000000000003</v>
      </c>
      <c r="N63" s="1032">
        <v>32044.025526787733</v>
      </c>
      <c r="O63" s="1032">
        <v>18031.946826797281</v>
      </c>
      <c r="P63" s="1032">
        <v>43168.74378009708</v>
      </c>
      <c r="Q63" s="1032">
        <v>32481.44501166651</v>
      </c>
      <c r="R63" s="1032">
        <v>24056.498938114444</v>
      </c>
      <c r="S63" s="1051">
        <f>IF(Tables!$B$2=1,'Michigan Curve'!N63,IF(Tables!$B$2=2,'Michigan Curve'!O63,IF(Tables!$B$2=4,'Michigan Curve'!P63,IF(Tables!$B$2=5,'Michigan Curve'!Q63,IF(Tables!$B$2=3,'Michigan Curve'!R63,0)))))</f>
        <v>32481.44501166651</v>
      </c>
    </row>
    <row r="64" spans="1:19">
      <c r="A64" s="465">
        <v>38687</v>
      </c>
      <c r="B64" s="894">
        <v>25.699995040893555</v>
      </c>
      <c r="C64" s="961">
        <v>20</v>
      </c>
      <c r="D64" s="1008">
        <v>19</v>
      </c>
      <c r="E64" s="957">
        <f t="shared" si="8"/>
        <v>1.02</v>
      </c>
      <c r="F64" s="944">
        <f t="shared" si="1"/>
        <v>26.213994941711427</v>
      </c>
      <c r="H64" s="955">
        <f t="shared" si="2"/>
        <v>0.98</v>
      </c>
      <c r="I64" s="952">
        <f t="shared" si="3"/>
        <v>25.185995140075683</v>
      </c>
      <c r="J64" s="950">
        <f t="shared" si="4"/>
        <v>20.399999999999999</v>
      </c>
      <c r="K64" s="949">
        <f t="shared" si="5"/>
        <v>19.600000000000001</v>
      </c>
      <c r="L64" s="944">
        <f t="shared" si="6"/>
        <v>19.38</v>
      </c>
      <c r="N64" s="1032">
        <v>18954.322497765559</v>
      </c>
      <c r="O64" s="1032">
        <v>10572.752781910196</v>
      </c>
      <c r="P64" s="1032">
        <v>25579.693790640358</v>
      </c>
      <c r="Q64" s="1032">
        <v>18913.929187615708</v>
      </c>
      <c r="R64" s="1032">
        <v>13338.904185336483</v>
      </c>
      <c r="S64" s="1051">
        <f>IF(Tables!$B$2=1,'Michigan Curve'!N64,IF(Tables!$B$2=2,'Michigan Curve'!O64,IF(Tables!$B$2=4,'Michigan Curve'!P64,IF(Tables!$B$2=5,'Michigan Curve'!Q64,IF(Tables!$B$2=3,'Michigan Curve'!R64,0)))))</f>
        <v>18913.929187615708</v>
      </c>
    </row>
    <row r="65" spans="1:19">
      <c r="A65" s="465">
        <v>38718</v>
      </c>
      <c r="B65" s="894">
        <v>31.200000381469728</v>
      </c>
      <c r="C65" s="961">
        <v>22</v>
      </c>
      <c r="D65" s="1008">
        <v>21</v>
      </c>
      <c r="E65" s="957">
        <f t="shared" si="8"/>
        <v>1.02</v>
      </c>
      <c r="F65" s="944">
        <f t="shared" ref="F65:F128" si="9">+E65*B65</f>
        <v>31.824000389099123</v>
      </c>
      <c r="H65" s="955">
        <f t="shared" si="2"/>
        <v>0.98</v>
      </c>
      <c r="I65" s="952">
        <f t="shared" si="3"/>
        <v>30.576000373840333</v>
      </c>
      <c r="J65" s="950">
        <f t="shared" si="4"/>
        <v>22.44</v>
      </c>
      <c r="K65" s="949">
        <f t="shared" si="5"/>
        <v>21.56</v>
      </c>
      <c r="L65" s="944">
        <f t="shared" si="6"/>
        <v>21.42</v>
      </c>
      <c r="N65" s="1032">
        <v>73718.53759656036</v>
      </c>
      <c r="O65" s="1032">
        <v>41978.441560915635</v>
      </c>
      <c r="P65" s="1032">
        <v>99075.576126016618</v>
      </c>
      <c r="Q65" s="1032">
        <v>76344.747675459017</v>
      </c>
      <c r="R65" s="1032">
        <v>59989.753846329077</v>
      </c>
      <c r="S65" s="1051">
        <f>IF(Tables!$B$2=1,'Michigan Curve'!N65,IF(Tables!$B$2=2,'Michigan Curve'!O65,IF(Tables!$B$2=4,'Michigan Curve'!P65,IF(Tables!$B$2=5,'Michigan Curve'!Q65,IF(Tables!$B$2=3,'Michigan Curve'!R65,0)))))</f>
        <v>76344.747675459017</v>
      </c>
    </row>
    <row r="66" spans="1:19">
      <c r="A66" s="465">
        <v>38749</v>
      </c>
      <c r="B66" s="894">
        <v>31.199998474121095</v>
      </c>
      <c r="C66" s="961">
        <v>21.996000289916992</v>
      </c>
      <c r="D66" s="1008">
        <v>20.996501922607422</v>
      </c>
      <c r="E66" s="957">
        <f t="shared" si="8"/>
        <v>1.02</v>
      </c>
      <c r="F66" s="944">
        <f t="shared" si="9"/>
        <v>31.823998443603518</v>
      </c>
      <c r="H66" s="955">
        <f t="shared" si="2"/>
        <v>0.98</v>
      </c>
      <c r="I66" s="952">
        <f t="shared" si="3"/>
        <v>30.575998504638672</v>
      </c>
      <c r="J66" s="950">
        <f t="shared" si="4"/>
        <v>22.435920295715331</v>
      </c>
      <c r="K66" s="949">
        <f t="shared" si="5"/>
        <v>21.556080284118654</v>
      </c>
      <c r="L66" s="944">
        <f t="shared" si="6"/>
        <v>21.416431961059569</v>
      </c>
      <c r="N66" s="1032">
        <v>72704.688802283272</v>
      </c>
      <c r="O66" s="1032">
        <v>41430.881609806507</v>
      </c>
      <c r="P66" s="1032">
        <v>97698.940210833898</v>
      </c>
      <c r="Q66" s="1032">
        <v>75393.28652695319</v>
      </c>
      <c r="R66" s="1032">
        <v>59497.502857018007</v>
      </c>
      <c r="S66" s="1051">
        <f>IF(Tables!$B$2=1,'Michigan Curve'!N66,IF(Tables!$B$2=2,'Michigan Curve'!O66,IF(Tables!$B$2=4,'Michigan Curve'!P66,IF(Tables!$B$2=5,'Michigan Curve'!Q66,IF(Tables!$B$2=3,'Michigan Curve'!R66,0)))))</f>
        <v>75393.28652695319</v>
      </c>
    </row>
    <row r="67" spans="1:19">
      <c r="A67" s="465">
        <v>38777</v>
      </c>
      <c r="B67" s="894">
        <v>26</v>
      </c>
      <c r="C67" s="961">
        <v>20</v>
      </c>
      <c r="D67" s="1008">
        <v>19</v>
      </c>
      <c r="E67" s="957">
        <f t="shared" si="8"/>
        <v>1.02</v>
      </c>
      <c r="F67" s="944">
        <f t="shared" si="9"/>
        <v>26.52</v>
      </c>
      <c r="H67" s="955">
        <f t="shared" si="2"/>
        <v>0.98</v>
      </c>
      <c r="I67" s="952">
        <f t="shared" si="3"/>
        <v>25.48</v>
      </c>
      <c r="J67" s="950">
        <f t="shared" si="4"/>
        <v>20.399999999999999</v>
      </c>
      <c r="K67" s="949">
        <f t="shared" si="5"/>
        <v>19.600000000000001</v>
      </c>
      <c r="L67" s="944">
        <f t="shared" si="6"/>
        <v>19.38</v>
      </c>
      <c r="N67" s="1032">
        <v>30616.96143024624</v>
      </c>
      <c r="O67" s="1032">
        <v>17209.214111981186</v>
      </c>
      <c r="P67" s="1032">
        <v>41255.762538235598</v>
      </c>
      <c r="Q67" s="1032">
        <v>30968.974206319603</v>
      </c>
      <c r="R67" s="1032">
        <v>22742.694300086096</v>
      </c>
      <c r="S67" s="1051">
        <f>IF(Tables!$B$2=1,'Michigan Curve'!N67,IF(Tables!$B$2=2,'Michigan Curve'!O67,IF(Tables!$B$2=4,'Michigan Curve'!P67,IF(Tables!$B$2=5,'Michigan Curve'!Q67,IF(Tables!$B$2=3,'Michigan Curve'!R67,0)))))</f>
        <v>30968.974206319603</v>
      </c>
    </row>
    <row r="68" spans="1:19">
      <c r="A68" s="465">
        <v>38808</v>
      </c>
      <c r="B68" s="894">
        <v>26.25</v>
      </c>
      <c r="C68" s="961">
        <v>20</v>
      </c>
      <c r="D68" s="1008">
        <v>18.995000839233398</v>
      </c>
      <c r="E68" s="957">
        <f t="shared" si="8"/>
        <v>1</v>
      </c>
      <c r="F68" s="944">
        <f t="shared" si="9"/>
        <v>26.25</v>
      </c>
      <c r="H68" s="955">
        <f t="shared" si="2"/>
        <v>1</v>
      </c>
      <c r="I68" s="952">
        <f t="shared" si="3"/>
        <v>26.25</v>
      </c>
      <c r="J68" s="950">
        <f t="shared" si="4"/>
        <v>20</v>
      </c>
      <c r="K68" s="949">
        <f t="shared" si="5"/>
        <v>20</v>
      </c>
      <c r="L68" s="944">
        <f t="shared" si="6"/>
        <v>18.995000839233398</v>
      </c>
      <c r="N68" s="1032">
        <v>36614.814520070526</v>
      </c>
      <c r="O68" s="1032">
        <v>20690.952812847117</v>
      </c>
      <c r="P68" s="1032">
        <v>49284.74517567725</v>
      </c>
      <c r="Q68" s="1032">
        <v>37393.253776254591</v>
      </c>
      <c r="R68" s="1032">
        <v>28338.776399821527</v>
      </c>
      <c r="S68" s="1051">
        <f>IF(Tables!$B$2=1,'Michigan Curve'!N68,IF(Tables!$B$2=2,'Michigan Curve'!O68,IF(Tables!$B$2=4,'Michigan Curve'!P68,IF(Tables!$B$2=5,'Michigan Curve'!Q68,IF(Tables!$B$2=3,'Michigan Curve'!R68,0)))))</f>
        <v>37393.253776254591</v>
      </c>
    </row>
    <row r="69" spans="1:19">
      <c r="A69" s="465">
        <v>38838</v>
      </c>
      <c r="B69" s="894">
        <v>30</v>
      </c>
      <c r="C69" s="961">
        <v>21</v>
      </c>
      <c r="D69" s="1008">
        <v>20.004999160766602</v>
      </c>
      <c r="E69" s="957">
        <f t="shared" si="8"/>
        <v>1.0762500017881393</v>
      </c>
      <c r="F69" s="944">
        <f t="shared" si="9"/>
        <v>32.28750005364418</v>
      </c>
      <c r="H69" s="955">
        <f t="shared" si="2"/>
        <v>0.92374999821186066</v>
      </c>
      <c r="I69" s="952">
        <f t="shared" si="3"/>
        <v>27.71249994635582</v>
      </c>
      <c r="J69" s="950">
        <f t="shared" si="4"/>
        <v>22.601250037550926</v>
      </c>
      <c r="K69" s="949">
        <f t="shared" si="5"/>
        <v>19.398749962449074</v>
      </c>
      <c r="L69" s="944">
        <f t="shared" si="6"/>
        <v>21.530380382546781</v>
      </c>
      <c r="N69" s="1032">
        <v>92699.467471092197</v>
      </c>
      <c r="O69" s="1032">
        <v>52637.526752122132</v>
      </c>
      <c r="P69" s="1032">
        <v>124653.35330376502</v>
      </c>
      <c r="Q69" s="1032">
        <v>95437.251241403806</v>
      </c>
      <c r="R69" s="1032">
        <v>73297.016015955553</v>
      </c>
      <c r="S69" s="1051">
        <f>IF(Tables!$B$2=1,'Michigan Curve'!N69,IF(Tables!$B$2=2,'Michigan Curve'!O69,IF(Tables!$B$2=4,'Michigan Curve'!P69,IF(Tables!$B$2=5,'Michigan Curve'!Q69,IF(Tables!$B$2=3,'Michigan Curve'!R69,0)))))</f>
        <v>95437.251241403806</v>
      </c>
    </row>
    <row r="70" spans="1:19">
      <c r="A70" s="465">
        <v>38869</v>
      </c>
      <c r="B70" s="894">
        <v>47.25</v>
      </c>
      <c r="C70" s="961">
        <v>26</v>
      </c>
      <c r="D70" s="1008">
        <v>24</v>
      </c>
      <c r="E70" s="957">
        <f t="shared" si="8"/>
        <v>1.5388529777450546</v>
      </c>
      <c r="F70" s="944">
        <f t="shared" si="9"/>
        <v>72.710803198453831</v>
      </c>
      <c r="H70" s="955">
        <f t="shared" ref="H70:H133" si="10">2-E70</f>
        <v>0.46114702225494542</v>
      </c>
      <c r="I70" s="952">
        <f t="shared" ref="I70:I133" si="11">B70*H70</f>
        <v>21.789196801546172</v>
      </c>
      <c r="J70" s="950">
        <f t="shared" ref="J70:J133" si="12">C70*E70</f>
        <v>40.010177421371417</v>
      </c>
      <c r="K70" s="949">
        <f t="shared" ref="K70:K133" si="13">C70*H70</f>
        <v>11.98982257862858</v>
      </c>
      <c r="L70" s="944">
        <f t="shared" ref="L70:L133" si="14">D70*E70</f>
        <v>36.932471465881306</v>
      </c>
      <c r="N70" s="1032">
        <v>211502.94190582656</v>
      </c>
      <c r="O70" s="1032">
        <v>128731.39277182519</v>
      </c>
      <c r="P70" s="1032">
        <v>280540.69959593238</v>
      </c>
      <c r="Q70" s="1032">
        <v>248012.02213484142</v>
      </c>
      <c r="R70" s="1032">
        <v>270943.93189786375</v>
      </c>
      <c r="S70" s="1051">
        <f>IF(Tables!$B$2=1,'Michigan Curve'!N70,IF(Tables!$B$2=2,'Michigan Curve'!O70,IF(Tables!$B$2=4,'Michigan Curve'!P70,IF(Tables!$B$2=5,'Michigan Curve'!Q70,IF(Tables!$B$2=3,'Michigan Curve'!R70,0)))))</f>
        <v>248012.02213484142</v>
      </c>
    </row>
    <row r="71" spans="1:19">
      <c r="A71" s="465">
        <v>38899</v>
      </c>
      <c r="B71" s="894">
        <v>74</v>
      </c>
      <c r="C71" s="961">
        <v>35</v>
      </c>
      <c r="D71" s="1008">
        <v>30.999998092651367</v>
      </c>
      <c r="E71" s="957">
        <f t="shared" si="8"/>
        <v>1.6391110856743141</v>
      </c>
      <c r="F71" s="944">
        <f t="shared" si="9"/>
        <v>121.29422033989924</v>
      </c>
      <c r="H71" s="955">
        <f t="shared" si="10"/>
        <v>0.36088891432568593</v>
      </c>
      <c r="I71" s="952">
        <f t="shared" si="11"/>
        <v>26.70577966010076</v>
      </c>
      <c r="J71" s="950">
        <f t="shared" si="12"/>
        <v>57.368887998600989</v>
      </c>
      <c r="K71" s="949">
        <f t="shared" si="13"/>
        <v>12.631112001399007</v>
      </c>
      <c r="L71" s="944">
        <f t="shared" si="14"/>
        <v>50.812440529547445</v>
      </c>
      <c r="N71" s="1032">
        <v>382958.53171064565</v>
      </c>
      <c r="O71" s="1032">
        <v>233834.48400022555</v>
      </c>
      <c r="P71" s="1032">
        <v>507592.42499214504</v>
      </c>
      <c r="Q71" s="1032">
        <v>451384.89232359221</v>
      </c>
      <c r="R71" s="1032">
        <v>498677.82107636984</v>
      </c>
      <c r="S71" s="1051">
        <f>IF(Tables!$B$2=1,'Michigan Curve'!N71,IF(Tables!$B$2=2,'Michigan Curve'!O71,IF(Tables!$B$2=4,'Michigan Curve'!P71,IF(Tables!$B$2=5,'Michigan Curve'!Q71,IF(Tables!$B$2=3,'Michigan Curve'!R71,0)))))</f>
        <v>451384.89232359221</v>
      </c>
    </row>
    <row r="72" spans="1:19">
      <c r="A72" s="465">
        <v>38930</v>
      </c>
      <c r="B72" s="894">
        <v>74</v>
      </c>
      <c r="C72" s="961">
        <v>35.000003814697266</v>
      </c>
      <c r="D72" s="1008">
        <v>31</v>
      </c>
      <c r="E72" s="957">
        <f t="shared" si="8"/>
        <v>1.6391110856743141</v>
      </c>
      <c r="F72" s="944">
        <f t="shared" si="9"/>
        <v>121.29422033989924</v>
      </c>
      <c r="H72" s="955">
        <f t="shared" si="10"/>
        <v>0.36088891432568593</v>
      </c>
      <c r="I72" s="952">
        <f t="shared" si="11"/>
        <v>26.70577966010076</v>
      </c>
      <c r="J72" s="950">
        <f t="shared" si="12"/>
        <v>57.36889425131357</v>
      </c>
      <c r="K72" s="949">
        <f t="shared" si="13"/>
        <v>12.631113378080963</v>
      </c>
      <c r="L72" s="944">
        <f t="shared" si="14"/>
        <v>50.812443655903735</v>
      </c>
      <c r="N72" s="1032">
        <v>355727.76541094389</v>
      </c>
      <c r="O72" s="1032">
        <v>216235.49614642328</v>
      </c>
      <c r="P72" s="1032">
        <v>471934.06957885809</v>
      </c>
      <c r="Q72" s="1032">
        <v>415871.37658931781</v>
      </c>
      <c r="R72" s="1032">
        <v>450500.93013610318</v>
      </c>
      <c r="S72" s="1051">
        <f>IF(Tables!$B$2=1,'Michigan Curve'!N72,IF(Tables!$B$2=2,'Michigan Curve'!O72,IF(Tables!$B$2=4,'Michigan Curve'!P72,IF(Tables!$B$2=5,'Michigan Curve'!Q72,IF(Tables!$B$2=3,'Michigan Curve'!R72,0)))))</f>
        <v>415871.37658931781</v>
      </c>
    </row>
    <row r="73" spans="1:19">
      <c r="A73" s="465">
        <v>38961</v>
      </c>
      <c r="B73" s="894">
        <v>32.75</v>
      </c>
      <c r="C73" s="961">
        <v>25</v>
      </c>
      <c r="D73" s="1008">
        <v>24</v>
      </c>
      <c r="E73" s="957">
        <f t="shared" si="8"/>
        <v>1.3512499928474426</v>
      </c>
      <c r="F73" s="944">
        <f t="shared" si="9"/>
        <v>44.253437265753746</v>
      </c>
      <c r="H73" s="955">
        <f t="shared" si="10"/>
        <v>0.64875000715255737</v>
      </c>
      <c r="I73" s="952">
        <f t="shared" si="11"/>
        <v>21.246562734246254</v>
      </c>
      <c r="J73" s="950">
        <f t="shared" si="12"/>
        <v>33.781249821186066</v>
      </c>
      <c r="K73" s="949">
        <f t="shared" si="13"/>
        <v>16.218750178813934</v>
      </c>
      <c r="L73" s="944">
        <f t="shared" si="14"/>
        <v>32.429999828338623</v>
      </c>
      <c r="N73" s="1032">
        <v>301301.21749136283</v>
      </c>
      <c r="O73" s="1032">
        <v>179207.19170365663</v>
      </c>
      <c r="P73" s="1032">
        <v>396700.18346808903</v>
      </c>
      <c r="Q73" s="1032">
        <v>329712.44473271648</v>
      </c>
      <c r="R73" s="1032">
        <v>277762.78240297467</v>
      </c>
      <c r="S73" s="1051">
        <f>IF(Tables!$B$2=1,'Michigan Curve'!N73,IF(Tables!$B$2=2,'Michigan Curve'!O73,IF(Tables!$B$2=4,'Michigan Curve'!P73,IF(Tables!$B$2=5,'Michigan Curve'!Q73,IF(Tables!$B$2=3,'Michigan Curve'!R73,0)))))</f>
        <v>329712.44473271648</v>
      </c>
    </row>
    <row r="74" spans="1:19">
      <c r="A74" s="465">
        <v>38991</v>
      </c>
      <c r="B74" s="894">
        <v>25.849994659423828</v>
      </c>
      <c r="C74" s="961">
        <v>19.996000289916992</v>
      </c>
      <c r="D74" s="1008">
        <v>18.996500015258789</v>
      </c>
      <c r="E74" s="957">
        <f t="shared" si="8"/>
        <v>1</v>
      </c>
      <c r="F74" s="944">
        <f t="shared" si="9"/>
        <v>25.849994659423828</v>
      </c>
      <c r="H74" s="955">
        <f t="shared" si="10"/>
        <v>1</v>
      </c>
      <c r="I74" s="952">
        <f t="shared" si="11"/>
        <v>25.849994659423828</v>
      </c>
      <c r="J74" s="950">
        <f t="shared" si="12"/>
        <v>19.996000289916992</v>
      </c>
      <c r="K74" s="949">
        <f t="shared" si="13"/>
        <v>19.996000289916992</v>
      </c>
      <c r="L74" s="944">
        <f t="shared" si="14"/>
        <v>18.996500015258789</v>
      </c>
      <c r="N74" s="1032">
        <v>23870.096743483151</v>
      </c>
      <c r="O74" s="1032">
        <v>13285.223774417296</v>
      </c>
      <c r="P74" s="1032">
        <v>32227.456381400527</v>
      </c>
      <c r="Q74" s="1032">
        <v>23692.308908008967</v>
      </c>
      <c r="R74" s="1032">
        <v>16233.392145973876</v>
      </c>
      <c r="S74" s="1051">
        <f>IF(Tables!$B$2=1,'Michigan Curve'!N74,IF(Tables!$B$2=2,'Michigan Curve'!O74,IF(Tables!$B$2=4,'Michigan Curve'!P74,IF(Tables!$B$2=5,'Michigan Curve'!Q74,IF(Tables!$B$2=3,'Michigan Curve'!R74,0)))))</f>
        <v>23692.308908008967</v>
      </c>
    </row>
    <row r="75" spans="1:19">
      <c r="A75" s="465">
        <v>39022</v>
      </c>
      <c r="B75" s="894">
        <v>25.729995727539063</v>
      </c>
      <c r="C75" s="961">
        <v>20</v>
      </c>
      <c r="D75" s="1008">
        <v>19</v>
      </c>
      <c r="E75" s="957">
        <f t="shared" si="8"/>
        <v>1.08</v>
      </c>
      <c r="F75" s="944">
        <f t="shared" si="9"/>
        <v>27.788395385742188</v>
      </c>
      <c r="H75" s="955">
        <f t="shared" si="10"/>
        <v>0.91999999999999993</v>
      </c>
      <c r="I75" s="952">
        <f t="shared" si="11"/>
        <v>23.671596069335937</v>
      </c>
      <c r="J75" s="950">
        <f t="shared" si="12"/>
        <v>21.6</v>
      </c>
      <c r="K75" s="949">
        <f t="shared" si="13"/>
        <v>18.399999999999999</v>
      </c>
      <c r="L75" s="944">
        <f t="shared" si="14"/>
        <v>20.520000000000003</v>
      </c>
      <c r="N75" s="1032">
        <v>41993.268613539971</v>
      </c>
      <c r="O75" s="1032">
        <v>23757.03809453627</v>
      </c>
      <c r="P75" s="1032">
        <v>56511.739378822684</v>
      </c>
      <c r="Q75" s="1032">
        <v>42977.100945397018</v>
      </c>
      <c r="R75" s="1032">
        <v>32657.471453466242</v>
      </c>
      <c r="S75" s="1051">
        <f>IF(Tables!$B$2=1,'Michigan Curve'!N75,IF(Tables!$B$2=2,'Michigan Curve'!O75,IF(Tables!$B$2=4,'Michigan Curve'!P75,IF(Tables!$B$2=5,'Michigan Curve'!Q75,IF(Tables!$B$2=3,'Michigan Curve'!R75,0)))))</f>
        <v>42977.100945397018</v>
      </c>
    </row>
    <row r="76" spans="1:19">
      <c r="A76" s="465">
        <v>39052</v>
      </c>
      <c r="B76" s="894">
        <v>26.199995040893555</v>
      </c>
      <c r="C76" s="961">
        <v>20</v>
      </c>
      <c r="D76" s="1008">
        <v>19</v>
      </c>
      <c r="E76" s="957">
        <f t="shared" si="8"/>
        <v>1.02</v>
      </c>
      <c r="F76" s="944">
        <f t="shared" si="9"/>
        <v>26.723994941711425</v>
      </c>
      <c r="H76" s="955">
        <f t="shared" si="10"/>
        <v>0.98</v>
      </c>
      <c r="I76" s="952">
        <f t="shared" si="11"/>
        <v>25.675995140075685</v>
      </c>
      <c r="J76" s="950">
        <f t="shared" si="12"/>
        <v>20.399999999999999</v>
      </c>
      <c r="K76" s="949">
        <f t="shared" si="13"/>
        <v>19.600000000000001</v>
      </c>
      <c r="L76" s="944">
        <f t="shared" si="14"/>
        <v>19.38</v>
      </c>
      <c r="N76" s="1032">
        <v>23318.69144040376</v>
      </c>
      <c r="O76" s="1032">
        <v>13072.076161189209</v>
      </c>
      <c r="P76" s="1032">
        <v>31438.317699591644</v>
      </c>
      <c r="Q76" s="1032">
        <v>23475.517734579851</v>
      </c>
      <c r="R76" s="1032">
        <v>17052.015194130527</v>
      </c>
      <c r="S76" s="1051">
        <f>IF(Tables!$B$2=1,'Michigan Curve'!N76,IF(Tables!$B$2=2,'Michigan Curve'!O76,IF(Tables!$B$2=4,'Michigan Curve'!P76,IF(Tables!$B$2=5,'Michigan Curve'!Q76,IF(Tables!$B$2=3,'Michigan Curve'!R76,0)))))</f>
        <v>23475.517734579851</v>
      </c>
    </row>
    <row r="77" spans="1:19">
      <c r="A77" s="465">
        <v>39083</v>
      </c>
      <c r="B77" s="894">
        <v>31.700000381469728</v>
      </c>
      <c r="C77" s="961">
        <v>22</v>
      </c>
      <c r="D77" s="1008">
        <v>21</v>
      </c>
      <c r="E77" s="957">
        <f t="shared" si="8"/>
        <v>1.02</v>
      </c>
      <c r="F77" s="944">
        <f t="shared" si="9"/>
        <v>32.334000389099124</v>
      </c>
      <c r="H77" s="955">
        <f t="shared" si="10"/>
        <v>0.98</v>
      </c>
      <c r="I77" s="952">
        <f t="shared" si="11"/>
        <v>31.066000373840332</v>
      </c>
      <c r="J77" s="950">
        <f t="shared" si="12"/>
        <v>22.44</v>
      </c>
      <c r="K77" s="949">
        <f t="shared" si="13"/>
        <v>21.56</v>
      </c>
      <c r="L77" s="944">
        <f t="shared" si="14"/>
        <v>21.42</v>
      </c>
      <c r="N77" s="1032">
        <v>84330.819854755871</v>
      </c>
      <c r="O77" s="1032">
        <v>48137.135818580522</v>
      </c>
      <c r="P77" s="1032">
        <v>113283.91342604591</v>
      </c>
      <c r="Q77" s="1032">
        <v>87717.546248239159</v>
      </c>
      <c r="R77" s="1032">
        <v>69836.16663074703</v>
      </c>
      <c r="S77" s="1051">
        <f>IF(Tables!$B$2=1,'Michigan Curve'!N77,IF(Tables!$B$2=2,'Michigan Curve'!O77,IF(Tables!$B$2=4,'Michigan Curve'!P77,IF(Tables!$B$2=5,'Michigan Curve'!Q77,IF(Tables!$B$2=3,'Michigan Curve'!R77,0)))))</f>
        <v>87717.546248239159</v>
      </c>
    </row>
    <row r="78" spans="1:19">
      <c r="A78" s="465">
        <v>39114</v>
      </c>
      <c r="B78" s="894">
        <v>31.699998474121095</v>
      </c>
      <c r="C78" s="961">
        <v>21.996000289916992</v>
      </c>
      <c r="D78" s="1008">
        <v>20.996501922607422</v>
      </c>
      <c r="E78" s="957">
        <f t="shared" si="8"/>
        <v>1.02</v>
      </c>
      <c r="F78" s="944">
        <f t="shared" si="9"/>
        <v>32.333998443603519</v>
      </c>
      <c r="H78" s="955">
        <f t="shared" si="10"/>
        <v>0.98</v>
      </c>
      <c r="I78" s="952">
        <f t="shared" si="11"/>
        <v>31.065998504638674</v>
      </c>
      <c r="J78" s="950">
        <f t="shared" si="12"/>
        <v>22.435920295715331</v>
      </c>
      <c r="K78" s="949">
        <f t="shared" si="13"/>
        <v>21.556080284118654</v>
      </c>
      <c r="L78" s="944">
        <f t="shared" si="14"/>
        <v>21.416431961059569</v>
      </c>
      <c r="N78" s="1032">
        <v>78904.985749416868</v>
      </c>
      <c r="O78" s="1032">
        <v>45066.521581762878</v>
      </c>
      <c r="P78" s="1032">
        <v>105982.75579134251</v>
      </c>
      <c r="Q78" s="1032">
        <v>82161.89949969911</v>
      </c>
      <c r="R78" s="1032">
        <v>65642.414198365906</v>
      </c>
      <c r="S78" s="1051">
        <f>IF(Tables!$B$2=1,'Michigan Curve'!N78,IF(Tables!$B$2=2,'Michigan Curve'!O78,IF(Tables!$B$2=4,'Michigan Curve'!P78,IF(Tables!$B$2=5,'Michigan Curve'!Q78,IF(Tables!$B$2=3,'Michigan Curve'!R78,0)))))</f>
        <v>82161.89949969911</v>
      </c>
    </row>
    <row r="79" spans="1:19">
      <c r="A79" s="465">
        <v>39142</v>
      </c>
      <c r="B79" s="894">
        <v>26.5</v>
      </c>
      <c r="C79" s="961">
        <v>20</v>
      </c>
      <c r="D79" s="1008">
        <v>19</v>
      </c>
      <c r="E79" s="957">
        <f t="shared" si="8"/>
        <v>1.02</v>
      </c>
      <c r="F79" s="944">
        <f t="shared" si="9"/>
        <v>27.03</v>
      </c>
      <c r="H79" s="955">
        <f t="shared" si="10"/>
        <v>0.98</v>
      </c>
      <c r="I79" s="952">
        <f t="shared" si="11"/>
        <v>25.97</v>
      </c>
      <c r="J79" s="950">
        <f t="shared" si="12"/>
        <v>20.399999999999999</v>
      </c>
      <c r="K79" s="949">
        <f t="shared" si="13"/>
        <v>19.600000000000001</v>
      </c>
      <c r="L79" s="944">
        <f t="shared" si="14"/>
        <v>19.38</v>
      </c>
      <c r="N79" s="1032">
        <v>33430.528212094236</v>
      </c>
      <c r="O79" s="1032">
        <v>18853.915175151673</v>
      </c>
      <c r="P79" s="1032">
        <v>45016.81600489666</v>
      </c>
      <c r="Q79" s="1032">
        <v>34020.633298740468</v>
      </c>
      <c r="R79" s="1032">
        <v>25448.50217151269</v>
      </c>
      <c r="S79" s="1051">
        <f>IF(Tables!$B$2=1,'Michigan Curve'!N79,IF(Tables!$B$2=2,'Michigan Curve'!O79,IF(Tables!$B$2=4,'Michigan Curve'!P79,IF(Tables!$B$2=5,'Michigan Curve'!Q79,IF(Tables!$B$2=3,'Michigan Curve'!R79,0)))))</f>
        <v>34020.633298740468</v>
      </c>
    </row>
    <row r="80" spans="1:19">
      <c r="A80" s="465">
        <v>39173</v>
      </c>
      <c r="B80" s="894">
        <v>26.75</v>
      </c>
      <c r="C80" s="961">
        <v>20</v>
      </c>
      <c r="D80" s="1008">
        <v>18.995000839233398</v>
      </c>
      <c r="E80" s="957">
        <f t="shared" si="8"/>
        <v>1</v>
      </c>
      <c r="F80" s="944">
        <f t="shared" si="9"/>
        <v>26.75</v>
      </c>
      <c r="H80" s="955">
        <f t="shared" si="10"/>
        <v>1</v>
      </c>
      <c r="I80" s="952">
        <f t="shared" si="11"/>
        <v>26.75</v>
      </c>
      <c r="J80" s="950">
        <f t="shared" si="12"/>
        <v>20</v>
      </c>
      <c r="K80" s="949">
        <f t="shared" si="13"/>
        <v>20</v>
      </c>
      <c r="L80" s="944">
        <f t="shared" si="14"/>
        <v>18.995000839233398</v>
      </c>
      <c r="N80" s="1032">
        <v>42283.572571735043</v>
      </c>
      <c r="O80" s="1032">
        <v>23954.425592301162</v>
      </c>
      <c r="P80" s="1032">
        <v>56886.630658388152</v>
      </c>
      <c r="Q80" s="1032">
        <v>43379.827154056613</v>
      </c>
      <c r="R80" s="1032">
        <v>33324.902187649932</v>
      </c>
      <c r="S80" s="1051">
        <f>IF(Tables!$B$2=1,'Michigan Curve'!N80,IF(Tables!$B$2=2,'Michigan Curve'!O80,IF(Tables!$B$2=4,'Michigan Curve'!P80,IF(Tables!$B$2=5,'Michigan Curve'!Q80,IF(Tables!$B$2=3,'Michigan Curve'!R80,0)))))</f>
        <v>43379.827154056613</v>
      </c>
    </row>
    <row r="81" spans="1:19">
      <c r="A81" s="465">
        <v>39203</v>
      </c>
      <c r="B81" s="894">
        <v>30.5</v>
      </c>
      <c r="C81" s="961">
        <v>21</v>
      </c>
      <c r="D81" s="1008">
        <v>20.004999160766602</v>
      </c>
      <c r="E81" s="957">
        <f t="shared" si="8"/>
        <v>1.0762500017881393</v>
      </c>
      <c r="F81" s="944">
        <f t="shared" si="9"/>
        <v>32.82562505453825</v>
      </c>
      <c r="H81" s="955">
        <f t="shared" si="10"/>
        <v>0.92374999821186066</v>
      </c>
      <c r="I81" s="952">
        <f t="shared" si="11"/>
        <v>28.17437494546175</v>
      </c>
      <c r="J81" s="950">
        <f t="shared" si="12"/>
        <v>22.601250037550926</v>
      </c>
      <c r="K81" s="949">
        <f t="shared" si="13"/>
        <v>19.398749962449074</v>
      </c>
      <c r="L81" s="944">
        <f t="shared" si="14"/>
        <v>21.530380382546781</v>
      </c>
      <c r="N81" s="1032">
        <v>95322.042555524342</v>
      </c>
      <c r="O81" s="1032">
        <v>54175.058309214772</v>
      </c>
      <c r="P81" s="1032">
        <v>128157.3285990445</v>
      </c>
      <c r="Q81" s="1032">
        <v>98299.158929149766</v>
      </c>
      <c r="R81" s="1032">
        <v>75813.157767784578</v>
      </c>
      <c r="S81" s="1051">
        <f>IF(Tables!$B$2=1,'Michigan Curve'!N81,IF(Tables!$B$2=2,'Michigan Curve'!O81,IF(Tables!$B$2=4,'Michigan Curve'!P81,IF(Tables!$B$2=5,'Michigan Curve'!Q81,IF(Tables!$B$2=3,'Michigan Curve'!R81,0)))))</f>
        <v>98299.158929149766</v>
      </c>
    </row>
    <row r="82" spans="1:19">
      <c r="A82" s="465">
        <v>39234</v>
      </c>
      <c r="B82" s="894">
        <v>48.25</v>
      </c>
      <c r="C82" s="961">
        <v>26</v>
      </c>
      <c r="D82" s="1008">
        <v>24</v>
      </c>
      <c r="E82" s="957">
        <f t="shared" si="8"/>
        <v>1.543801972339566</v>
      </c>
      <c r="F82" s="944">
        <f t="shared" si="9"/>
        <v>74.488445165384064</v>
      </c>
      <c r="H82" s="955">
        <f t="shared" si="10"/>
        <v>0.45619802766043405</v>
      </c>
      <c r="I82" s="952">
        <f t="shared" si="11"/>
        <v>22.011554834615943</v>
      </c>
      <c r="J82" s="950">
        <f t="shared" si="12"/>
        <v>40.138851280828717</v>
      </c>
      <c r="K82" s="949">
        <f t="shared" si="13"/>
        <v>11.861148719171286</v>
      </c>
      <c r="L82" s="944">
        <f t="shared" si="14"/>
        <v>37.051247336149586</v>
      </c>
      <c r="N82" s="1032">
        <v>206873.74366363534</v>
      </c>
      <c r="O82" s="1032">
        <v>125454.15799605206</v>
      </c>
      <c r="P82" s="1032">
        <v>274606.86254395661</v>
      </c>
      <c r="Q82" s="1032">
        <v>240979.68679705425</v>
      </c>
      <c r="R82" s="1032">
        <v>259162.38965303428</v>
      </c>
      <c r="S82" s="1051">
        <f>IF(Tables!$B$2=1,'Michigan Curve'!N82,IF(Tables!$B$2=2,'Michigan Curve'!O82,IF(Tables!$B$2=4,'Michigan Curve'!P82,IF(Tables!$B$2=5,'Michigan Curve'!Q82,IF(Tables!$B$2=3,'Michigan Curve'!R82,0)))))</f>
        <v>240979.68679705425</v>
      </c>
    </row>
    <row r="83" spans="1:19">
      <c r="A83" s="465">
        <v>39264</v>
      </c>
      <c r="B83" s="894">
        <v>77</v>
      </c>
      <c r="C83" s="961">
        <v>35</v>
      </c>
      <c r="D83" s="1008">
        <v>30.999998092651367</v>
      </c>
      <c r="E83" s="957">
        <f t="shared" si="8"/>
        <v>1.6473823282629896</v>
      </c>
      <c r="F83" s="944">
        <f t="shared" si="9"/>
        <v>126.8484392762502</v>
      </c>
      <c r="H83" s="955">
        <f t="shared" si="10"/>
        <v>0.35261767173701042</v>
      </c>
      <c r="I83" s="952">
        <f t="shared" si="11"/>
        <v>27.151560723749803</v>
      </c>
      <c r="J83" s="950">
        <f t="shared" si="12"/>
        <v>57.658381489204636</v>
      </c>
      <c r="K83" s="949">
        <f t="shared" si="13"/>
        <v>12.341618510795364</v>
      </c>
      <c r="L83" s="944">
        <f t="shared" si="14"/>
        <v>51.068849034020246</v>
      </c>
      <c r="N83" s="1032">
        <v>362302.00245027896</v>
      </c>
      <c r="O83" s="1032">
        <v>220975.71424249606</v>
      </c>
      <c r="P83" s="1032">
        <v>480325.80988433305</v>
      </c>
      <c r="Q83" s="1032">
        <v>426201.95028678142</v>
      </c>
      <c r="R83" s="1032">
        <v>468506.23633156996</v>
      </c>
      <c r="S83" s="1051">
        <f>IF(Tables!$B$2=1,'Michigan Curve'!N83,IF(Tables!$B$2=2,'Michigan Curve'!O83,IF(Tables!$B$2=4,'Michigan Curve'!P83,IF(Tables!$B$2=5,'Michigan Curve'!Q83,IF(Tables!$B$2=3,'Michigan Curve'!R83,0)))))</f>
        <v>426201.95028678142</v>
      </c>
    </row>
    <row r="84" spans="1:19">
      <c r="A84" s="465">
        <v>39295</v>
      </c>
      <c r="B84" s="894">
        <v>77</v>
      </c>
      <c r="C84" s="961">
        <v>35.000003814697266</v>
      </c>
      <c r="D84" s="1008">
        <v>31</v>
      </c>
      <c r="E84" s="957">
        <f t="shared" si="8"/>
        <v>1.6473823282629896</v>
      </c>
      <c r="F84" s="944">
        <f t="shared" si="9"/>
        <v>126.8484392762502</v>
      </c>
      <c r="H84" s="955">
        <f t="shared" si="10"/>
        <v>0.35261767173701042</v>
      </c>
      <c r="I84" s="952">
        <f t="shared" si="11"/>
        <v>27.151560723749803</v>
      </c>
      <c r="J84" s="950">
        <f t="shared" si="12"/>
        <v>57.658387773469499</v>
      </c>
      <c r="K84" s="949">
        <f t="shared" si="13"/>
        <v>12.341619855925034</v>
      </c>
      <c r="L84" s="944">
        <f t="shared" si="14"/>
        <v>51.068852176152674</v>
      </c>
      <c r="N84" s="1032">
        <v>340424.83011092804</v>
      </c>
      <c r="O84" s="1032">
        <v>206949.1046055546</v>
      </c>
      <c r="P84" s="1032">
        <v>451627.88415246084</v>
      </c>
      <c r="Q84" s="1032">
        <v>398067.49460933916</v>
      </c>
      <c r="R84" s="1032">
        <v>431296.31118351594</v>
      </c>
      <c r="S84" s="1051">
        <f>IF(Tables!$B$2=1,'Michigan Curve'!N84,IF(Tables!$B$2=2,'Michigan Curve'!O84,IF(Tables!$B$2=4,'Michigan Curve'!P84,IF(Tables!$B$2=5,'Michigan Curve'!Q84,IF(Tables!$B$2=3,'Michigan Curve'!R84,0)))))</f>
        <v>398067.49460933916</v>
      </c>
    </row>
    <row r="85" spans="1:19">
      <c r="A85" s="465">
        <v>39326</v>
      </c>
      <c r="B85" s="894">
        <v>33.25</v>
      </c>
      <c r="C85" s="961">
        <v>25</v>
      </c>
      <c r="D85" s="1008">
        <v>24</v>
      </c>
      <c r="E85" s="957">
        <f t="shared" si="8"/>
        <v>1.3512499928474426</v>
      </c>
      <c r="F85" s="944">
        <f t="shared" si="9"/>
        <v>44.929062262177467</v>
      </c>
      <c r="H85" s="955">
        <f t="shared" si="10"/>
        <v>0.64875000715255737</v>
      </c>
      <c r="I85" s="952">
        <f t="shared" si="11"/>
        <v>21.570937737822533</v>
      </c>
      <c r="J85" s="950">
        <f t="shared" si="12"/>
        <v>33.781249821186066</v>
      </c>
      <c r="K85" s="949">
        <f t="shared" si="13"/>
        <v>16.218750178813934</v>
      </c>
      <c r="L85" s="944">
        <f t="shared" si="14"/>
        <v>32.429999828338623</v>
      </c>
      <c r="N85" s="1032">
        <v>294751.50123255991</v>
      </c>
      <c r="O85" s="1032">
        <v>170321.57707876005</v>
      </c>
      <c r="P85" s="1032">
        <v>394965.82015070267</v>
      </c>
      <c r="Q85" s="1032">
        <v>313329.685836269</v>
      </c>
      <c r="R85" s="1032">
        <v>263532.59516108915</v>
      </c>
      <c r="S85" s="1051">
        <f>IF(Tables!$B$2=1,'Michigan Curve'!N85,IF(Tables!$B$2=2,'Michigan Curve'!O85,IF(Tables!$B$2=4,'Michigan Curve'!P85,IF(Tables!$B$2=5,'Michigan Curve'!Q85,IF(Tables!$B$2=3,'Michigan Curve'!R85,0)))))</f>
        <v>313329.685836269</v>
      </c>
    </row>
    <row r="86" spans="1:19">
      <c r="A86" s="465">
        <v>39356</v>
      </c>
      <c r="B86" s="894">
        <v>26.349994659423828</v>
      </c>
      <c r="C86" s="961">
        <v>19.996000289916992</v>
      </c>
      <c r="D86" s="1008">
        <v>18.996500015258789</v>
      </c>
      <c r="E86" s="957">
        <f t="shared" si="8"/>
        <v>1</v>
      </c>
      <c r="F86" s="944">
        <f t="shared" si="9"/>
        <v>26.349994659423828</v>
      </c>
      <c r="H86" s="955">
        <f t="shared" si="10"/>
        <v>1</v>
      </c>
      <c r="I86" s="952">
        <f t="shared" si="11"/>
        <v>26.349994659423828</v>
      </c>
      <c r="J86" s="950">
        <f t="shared" si="12"/>
        <v>19.996000289916992</v>
      </c>
      <c r="K86" s="949">
        <f t="shared" si="13"/>
        <v>19.996000289916992</v>
      </c>
      <c r="L86" s="944">
        <f t="shared" si="14"/>
        <v>18.996500015258789</v>
      </c>
      <c r="N86" s="1032">
        <v>26949.85340212522</v>
      </c>
      <c r="O86" s="1032">
        <v>15030.663390030883</v>
      </c>
      <c r="P86" s="1032">
        <v>36370.386039039186</v>
      </c>
      <c r="Q86" s="1032">
        <v>26851.07381163209</v>
      </c>
      <c r="R86" s="1032">
        <v>18607.481199467791</v>
      </c>
      <c r="S86" s="1051">
        <f>IF(Tables!$B$2=1,'Michigan Curve'!N86,IF(Tables!$B$2=2,'Michigan Curve'!O86,IF(Tables!$B$2=4,'Michigan Curve'!P86,IF(Tables!$B$2=5,'Michigan Curve'!Q86,IF(Tables!$B$2=3,'Michigan Curve'!R86,0)))))</f>
        <v>26851.07381163209</v>
      </c>
    </row>
    <row r="87" spans="1:19">
      <c r="A87" s="465">
        <v>39387</v>
      </c>
      <c r="B87" s="894">
        <v>26.229995727539063</v>
      </c>
      <c r="C87" s="961">
        <v>20</v>
      </c>
      <c r="D87" s="1008">
        <v>19</v>
      </c>
      <c r="E87" s="957">
        <f t="shared" si="8"/>
        <v>1.08</v>
      </c>
      <c r="F87" s="944">
        <f t="shared" si="9"/>
        <v>28.328395385742191</v>
      </c>
      <c r="H87" s="955">
        <f t="shared" si="10"/>
        <v>0.91999999999999993</v>
      </c>
      <c r="I87" s="952">
        <f t="shared" si="11"/>
        <v>24.131596069335934</v>
      </c>
      <c r="J87" s="950">
        <f t="shared" si="12"/>
        <v>21.6</v>
      </c>
      <c r="K87" s="949">
        <f t="shared" si="13"/>
        <v>18.399999999999999</v>
      </c>
      <c r="L87" s="944">
        <f t="shared" si="14"/>
        <v>20.520000000000003</v>
      </c>
      <c r="N87" s="1032">
        <v>46777.166663608208</v>
      </c>
      <c r="O87" s="1032">
        <v>26534.686941816894</v>
      </c>
      <c r="P87" s="1032">
        <v>62915.871702132616</v>
      </c>
      <c r="Q87" s="1032">
        <v>48106.527605512783</v>
      </c>
      <c r="R87" s="1032">
        <v>37107.24643076022</v>
      </c>
      <c r="S87" s="1051">
        <f>IF(Tables!$B$2=1,'Michigan Curve'!N87,IF(Tables!$B$2=2,'Michigan Curve'!O87,IF(Tables!$B$2=4,'Michigan Curve'!P87,IF(Tables!$B$2=5,'Michigan Curve'!Q87,IF(Tables!$B$2=3,'Michigan Curve'!R87,0)))))</f>
        <v>48106.527605512783</v>
      </c>
    </row>
    <row r="88" spans="1:19">
      <c r="A88" s="465">
        <v>39417</v>
      </c>
      <c r="B88" s="894">
        <v>26.699995040893555</v>
      </c>
      <c r="C88" s="961">
        <v>20</v>
      </c>
      <c r="D88" s="1008">
        <v>19</v>
      </c>
      <c r="E88" s="957">
        <f t="shared" si="8"/>
        <v>1.02</v>
      </c>
      <c r="F88" s="944">
        <f t="shared" si="9"/>
        <v>27.233994941711426</v>
      </c>
      <c r="H88" s="955">
        <f t="shared" si="10"/>
        <v>0.98</v>
      </c>
      <c r="I88" s="952">
        <f t="shared" si="11"/>
        <v>26.165995140075683</v>
      </c>
      <c r="J88" s="950">
        <f t="shared" si="12"/>
        <v>20.399999999999999</v>
      </c>
      <c r="K88" s="949">
        <f t="shared" si="13"/>
        <v>19.600000000000001</v>
      </c>
      <c r="L88" s="944">
        <f t="shared" si="14"/>
        <v>19.38</v>
      </c>
      <c r="N88" s="1032">
        <v>27089.594225316145</v>
      </c>
      <c r="O88" s="1032">
        <v>15243.206948141307</v>
      </c>
      <c r="P88" s="1032">
        <v>36494.864261818344</v>
      </c>
      <c r="Q88" s="1032">
        <v>27456.803087313681</v>
      </c>
      <c r="R88" s="1032">
        <v>20363.926572695029</v>
      </c>
      <c r="S88" s="1051">
        <f>IF(Tables!$B$2=1,'Michigan Curve'!N88,IF(Tables!$B$2=2,'Michigan Curve'!O88,IF(Tables!$B$2=4,'Michigan Curve'!P88,IF(Tables!$B$2=5,'Michigan Curve'!Q88,IF(Tables!$B$2=3,'Michigan Curve'!R88,0)))))</f>
        <v>27456.803087313681</v>
      </c>
    </row>
    <row r="89" spans="1:19">
      <c r="A89" s="465">
        <v>39448</v>
      </c>
      <c r="B89" s="894">
        <v>32.200000381469728</v>
      </c>
      <c r="C89" s="961">
        <v>22</v>
      </c>
      <c r="D89" s="1008">
        <v>21</v>
      </c>
      <c r="E89" s="957">
        <f t="shared" si="8"/>
        <v>1.02</v>
      </c>
      <c r="F89" s="944">
        <f t="shared" si="9"/>
        <v>32.844000389099122</v>
      </c>
      <c r="H89" s="955">
        <f t="shared" si="10"/>
        <v>0.98</v>
      </c>
      <c r="I89" s="952">
        <f t="shared" si="11"/>
        <v>31.556000373840334</v>
      </c>
      <c r="J89" s="950">
        <f t="shared" si="12"/>
        <v>22.44</v>
      </c>
      <c r="K89" s="949">
        <f t="shared" si="13"/>
        <v>21.56</v>
      </c>
      <c r="L89" s="944">
        <f t="shared" si="14"/>
        <v>21.42</v>
      </c>
      <c r="N89" s="1032">
        <v>43013.258028328382</v>
      </c>
      <c r="O89" s="1032">
        <v>24062.531023529365</v>
      </c>
      <c r="P89" s="1032">
        <v>58013.671465983949</v>
      </c>
      <c r="Q89" s="1032">
        <v>43070.519819019675</v>
      </c>
      <c r="R89" s="1032">
        <v>31704.110618861738</v>
      </c>
      <c r="S89" s="1051">
        <f>IF(Tables!$B$2=1,'Michigan Curve'!N89,IF(Tables!$B$2=2,'Michigan Curve'!O89,IF(Tables!$B$2=4,'Michigan Curve'!P89,IF(Tables!$B$2=5,'Michigan Curve'!Q89,IF(Tables!$B$2=3,'Michigan Curve'!R89,0)))))</f>
        <v>43070.519819019675</v>
      </c>
    </row>
    <row r="90" spans="1:19">
      <c r="A90" s="465">
        <v>39479</v>
      </c>
      <c r="B90" s="894">
        <v>32.199998474121095</v>
      </c>
      <c r="C90" s="961">
        <v>21.996000289916992</v>
      </c>
      <c r="D90" s="1008">
        <v>20.996501922607422</v>
      </c>
      <c r="E90" s="957">
        <f t="shared" si="8"/>
        <v>1.02</v>
      </c>
      <c r="F90" s="944">
        <f t="shared" si="9"/>
        <v>32.843998443603518</v>
      </c>
      <c r="H90" s="955">
        <f t="shared" si="10"/>
        <v>0.98</v>
      </c>
      <c r="I90" s="952">
        <f t="shared" si="11"/>
        <v>31.555998504638673</v>
      </c>
      <c r="J90" s="950">
        <f t="shared" si="12"/>
        <v>22.435920295715331</v>
      </c>
      <c r="K90" s="949">
        <f t="shared" si="13"/>
        <v>21.556080284118654</v>
      </c>
      <c r="L90" s="944">
        <f t="shared" si="14"/>
        <v>21.416431961059569</v>
      </c>
      <c r="N90" s="1032">
        <v>42208.565100335443</v>
      </c>
      <c r="O90" s="1032">
        <v>23626.333025315114</v>
      </c>
      <c r="P90" s="1032">
        <v>56921.614840590359</v>
      </c>
      <c r="Q90" s="1032">
        <v>42310.90148165734</v>
      </c>
      <c r="R90" s="1032">
        <v>31257.598743694183</v>
      </c>
      <c r="S90" s="1051">
        <f>IF(Tables!$B$2=1,'Michigan Curve'!N90,IF(Tables!$B$2=2,'Michigan Curve'!O90,IF(Tables!$B$2=4,'Michigan Curve'!P90,IF(Tables!$B$2=5,'Michigan Curve'!Q90,IF(Tables!$B$2=3,'Michigan Curve'!R90,0)))))</f>
        <v>42310.90148165734</v>
      </c>
    </row>
    <row r="91" spans="1:19">
      <c r="A91" s="465">
        <v>39508</v>
      </c>
      <c r="B91" s="894">
        <v>27</v>
      </c>
      <c r="C91" s="961">
        <v>20</v>
      </c>
      <c r="D91" s="1008">
        <v>19</v>
      </c>
      <c r="E91" s="957">
        <f t="shared" si="8"/>
        <v>1.02</v>
      </c>
      <c r="F91" s="944">
        <f t="shared" si="9"/>
        <v>27.54</v>
      </c>
      <c r="H91" s="955">
        <f t="shared" si="10"/>
        <v>0.98</v>
      </c>
      <c r="I91" s="952">
        <f t="shared" si="11"/>
        <v>26.46</v>
      </c>
      <c r="J91" s="950">
        <f t="shared" si="12"/>
        <v>20.399999999999999</v>
      </c>
      <c r="K91" s="949">
        <f t="shared" si="13"/>
        <v>19.600000000000001</v>
      </c>
      <c r="L91" s="944">
        <f t="shared" si="14"/>
        <v>19.38</v>
      </c>
      <c r="N91" s="1032">
        <v>9661.124950671765</v>
      </c>
      <c r="O91" s="1032">
        <v>5271.3692991116259</v>
      </c>
      <c r="P91" s="1032">
        <v>13095.656615289527</v>
      </c>
      <c r="Q91" s="1032">
        <v>9239.9600623206497</v>
      </c>
      <c r="R91" s="1032">
        <v>6086.1214505547796</v>
      </c>
      <c r="S91" s="1051">
        <f>IF(Tables!$B$2=1,'Michigan Curve'!N91,IF(Tables!$B$2=2,'Michigan Curve'!O91,IF(Tables!$B$2=4,'Michigan Curve'!P91,IF(Tables!$B$2=5,'Michigan Curve'!Q91,IF(Tables!$B$2=3,'Michigan Curve'!R91,0)))))</f>
        <v>9239.9600623206497</v>
      </c>
    </row>
    <row r="92" spans="1:19">
      <c r="A92" s="465">
        <v>39539</v>
      </c>
      <c r="B92" s="894">
        <v>27.25</v>
      </c>
      <c r="C92" s="961">
        <v>20</v>
      </c>
      <c r="D92" s="1008">
        <v>18.995000839233398</v>
      </c>
      <c r="E92" s="957">
        <f t="shared" si="8"/>
        <v>1</v>
      </c>
      <c r="F92" s="944">
        <f t="shared" si="9"/>
        <v>27.25</v>
      </c>
      <c r="H92" s="955">
        <f t="shared" si="10"/>
        <v>1</v>
      </c>
      <c r="I92" s="952">
        <f t="shared" si="11"/>
        <v>27.25</v>
      </c>
      <c r="J92" s="950">
        <f t="shared" si="12"/>
        <v>20</v>
      </c>
      <c r="K92" s="949">
        <f t="shared" si="13"/>
        <v>20</v>
      </c>
      <c r="L92" s="944">
        <f t="shared" si="14"/>
        <v>18.995000839233398</v>
      </c>
      <c r="N92" s="1032">
        <v>13465.146618513631</v>
      </c>
      <c r="O92" s="1032">
        <v>7367.8152564202928</v>
      </c>
      <c r="P92" s="1032">
        <v>18241.461783254541</v>
      </c>
      <c r="Q92" s="1032">
        <v>12942.540342192868</v>
      </c>
      <c r="R92" s="1032">
        <v>8624.6477735292101</v>
      </c>
      <c r="S92" s="1051">
        <f>IF(Tables!$B$2=1,'Michigan Curve'!N92,IF(Tables!$B$2=2,'Michigan Curve'!O92,IF(Tables!$B$2=4,'Michigan Curve'!P92,IF(Tables!$B$2=5,'Michigan Curve'!Q92,IF(Tables!$B$2=3,'Michigan Curve'!R92,0)))))</f>
        <v>12942.540342192868</v>
      </c>
    </row>
    <row r="93" spans="1:19">
      <c r="A93" s="465">
        <v>39569</v>
      </c>
      <c r="B93" s="894">
        <v>31</v>
      </c>
      <c r="C93" s="961">
        <v>21</v>
      </c>
      <c r="D93" s="1008">
        <v>20.004999160766602</v>
      </c>
      <c r="E93" s="957">
        <f t="shared" si="8"/>
        <v>1.0762500017881393</v>
      </c>
      <c r="F93" s="944">
        <f t="shared" si="9"/>
        <v>33.36375005543232</v>
      </c>
      <c r="H93" s="955">
        <f t="shared" si="10"/>
        <v>0.92374999821186066</v>
      </c>
      <c r="I93" s="952">
        <f t="shared" si="11"/>
        <v>28.63624994456768</v>
      </c>
      <c r="J93" s="950">
        <f t="shared" si="12"/>
        <v>22.601250037550926</v>
      </c>
      <c r="K93" s="949">
        <f t="shared" si="13"/>
        <v>19.398749962449074</v>
      </c>
      <c r="L93" s="944">
        <f t="shared" si="14"/>
        <v>21.530380382546781</v>
      </c>
      <c r="N93" s="1032">
        <v>33705.490843683976</v>
      </c>
      <c r="O93" s="1032">
        <v>18434.539728734802</v>
      </c>
      <c r="P93" s="1032">
        <v>45662.743229680455</v>
      </c>
      <c r="Q93" s="1032">
        <v>32329.5035669469</v>
      </c>
      <c r="R93" s="1032">
        <v>20705.392059040671</v>
      </c>
      <c r="S93" s="1051">
        <f>IF(Tables!$B$2=1,'Michigan Curve'!N93,IF(Tables!$B$2=2,'Michigan Curve'!O93,IF(Tables!$B$2=4,'Michigan Curve'!P93,IF(Tables!$B$2=5,'Michigan Curve'!Q93,IF(Tables!$B$2=3,'Michigan Curve'!R93,0)))))</f>
        <v>32329.5035669469</v>
      </c>
    </row>
    <row r="94" spans="1:19">
      <c r="A94" s="465">
        <v>39600</v>
      </c>
      <c r="B94" s="894">
        <v>49.25</v>
      </c>
      <c r="C94" s="961">
        <v>26</v>
      </c>
      <c r="D94" s="1008">
        <v>24</v>
      </c>
      <c r="E94" s="957">
        <f t="shared" si="8"/>
        <v>1.5486254281742777</v>
      </c>
      <c r="F94" s="944">
        <f t="shared" si="9"/>
        <v>76.269802337583172</v>
      </c>
      <c r="H94" s="955">
        <f t="shared" si="10"/>
        <v>0.45137457182572227</v>
      </c>
      <c r="I94" s="952">
        <f t="shared" si="11"/>
        <v>22.23019766241682</v>
      </c>
      <c r="J94" s="950">
        <f t="shared" si="12"/>
        <v>40.264261132531217</v>
      </c>
      <c r="K94" s="949">
        <f t="shared" si="13"/>
        <v>11.735738867468779</v>
      </c>
      <c r="L94" s="944">
        <f t="shared" si="14"/>
        <v>37.167010276182666</v>
      </c>
      <c r="N94" s="1032">
        <v>106191.06598364911</v>
      </c>
      <c r="O94" s="1032">
        <v>63730.450032266905</v>
      </c>
      <c r="P94" s="1032">
        <v>141282.25820394559</v>
      </c>
      <c r="Q94" s="1032">
        <v>121409.18229703093</v>
      </c>
      <c r="R94" s="1032">
        <v>126768.99669396528</v>
      </c>
      <c r="S94" s="1051">
        <f>IF(Tables!$B$2=1,'Michigan Curve'!N94,IF(Tables!$B$2=2,'Michigan Curve'!O94,IF(Tables!$B$2=4,'Michigan Curve'!P94,IF(Tables!$B$2=5,'Michigan Curve'!Q94,IF(Tables!$B$2=3,'Michigan Curve'!R94,0)))))</f>
        <v>121409.18229703093</v>
      </c>
    </row>
    <row r="95" spans="1:19">
      <c r="A95" s="465">
        <v>39630</v>
      </c>
      <c r="B95" s="894">
        <v>80</v>
      </c>
      <c r="C95" s="961">
        <v>35</v>
      </c>
      <c r="D95" s="1008">
        <v>30.999998092651367</v>
      </c>
      <c r="E95" s="957">
        <f t="shared" si="8"/>
        <v>1.6552406201583669</v>
      </c>
      <c r="F95" s="944">
        <f t="shared" si="9"/>
        <v>132.41924961266935</v>
      </c>
      <c r="H95" s="955">
        <f t="shared" si="10"/>
        <v>0.34475937984163307</v>
      </c>
      <c r="I95" s="952">
        <f t="shared" si="11"/>
        <v>27.580750387330646</v>
      </c>
      <c r="J95" s="950">
        <f t="shared" si="12"/>
        <v>57.933421705542841</v>
      </c>
      <c r="K95" s="949">
        <f t="shared" si="13"/>
        <v>12.066578294457157</v>
      </c>
      <c r="L95" s="944">
        <f t="shared" si="14"/>
        <v>51.312456067788439</v>
      </c>
      <c r="N95" s="1032">
        <v>244593.56507918611</v>
      </c>
      <c r="O95" s="1032">
        <v>149247.89982335363</v>
      </c>
      <c r="P95" s="1032">
        <v>324262.37256450672</v>
      </c>
      <c r="Q95" s="1032">
        <v>287943.74030944053</v>
      </c>
      <c r="R95" s="1032">
        <v>318546.33154831361</v>
      </c>
      <c r="S95" s="1051">
        <f>IF(Tables!$B$2=1,'Michigan Curve'!N95,IF(Tables!$B$2=2,'Michigan Curve'!O95,IF(Tables!$B$2=4,'Michigan Curve'!P95,IF(Tables!$B$2=5,'Michigan Curve'!Q95,IF(Tables!$B$2=3,'Michigan Curve'!R95,0)))))</f>
        <v>287943.74030944053</v>
      </c>
    </row>
    <row r="96" spans="1:19">
      <c r="A96" s="465">
        <v>39661</v>
      </c>
      <c r="B96" s="894">
        <v>80</v>
      </c>
      <c r="C96" s="961">
        <v>35.000003814697266</v>
      </c>
      <c r="D96" s="1008">
        <v>31</v>
      </c>
      <c r="E96" s="957">
        <f t="shared" si="8"/>
        <v>1.6552406201583669</v>
      </c>
      <c r="F96" s="944">
        <f t="shared" si="9"/>
        <v>132.41924961266935</v>
      </c>
      <c r="H96" s="955">
        <f t="shared" si="10"/>
        <v>0.34475937984163307</v>
      </c>
      <c r="I96" s="952">
        <f t="shared" si="11"/>
        <v>27.580750387330646</v>
      </c>
      <c r="J96" s="950">
        <f t="shared" si="12"/>
        <v>57.933428019784714</v>
      </c>
      <c r="K96" s="949">
        <f t="shared" si="13"/>
        <v>12.066579609609821</v>
      </c>
      <c r="L96" s="944">
        <f t="shared" si="14"/>
        <v>51.312459224909375</v>
      </c>
      <c r="N96" s="1032">
        <v>254615.10131416237</v>
      </c>
      <c r="O96" s="1032">
        <v>155738.15942934295</v>
      </c>
      <c r="P96" s="1032">
        <v>337380.34923967067</v>
      </c>
      <c r="Q96" s="1032">
        <v>301071.83540122677</v>
      </c>
      <c r="R96" s="1032">
        <v>336683.18180237059</v>
      </c>
      <c r="S96" s="1051">
        <f>IF(Tables!$B$2=1,'Michigan Curve'!N96,IF(Tables!$B$2=2,'Michigan Curve'!O96,IF(Tables!$B$2=4,'Michigan Curve'!P96,IF(Tables!$B$2=5,'Michigan Curve'!Q96,IF(Tables!$B$2=3,'Michigan Curve'!R96,0)))))</f>
        <v>301071.83540122677</v>
      </c>
    </row>
    <row r="97" spans="1:19">
      <c r="A97" s="465">
        <v>39692</v>
      </c>
      <c r="B97" s="894">
        <v>33.75</v>
      </c>
      <c r="C97" s="961">
        <v>25</v>
      </c>
      <c r="D97" s="1008">
        <v>24</v>
      </c>
      <c r="E97" s="957">
        <f t="shared" si="8"/>
        <v>1.3512499928474426</v>
      </c>
      <c r="F97" s="944">
        <f t="shared" si="9"/>
        <v>45.604687258601189</v>
      </c>
      <c r="H97" s="955">
        <f t="shared" si="10"/>
        <v>0.64875000715255737</v>
      </c>
      <c r="I97" s="952">
        <f t="shared" si="11"/>
        <v>21.895312741398811</v>
      </c>
      <c r="J97" s="950">
        <f t="shared" si="12"/>
        <v>33.781249821186066</v>
      </c>
      <c r="K97" s="949">
        <f t="shared" si="13"/>
        <v>16.218750178813934</v>
      </c>
      <c r="L97" s="944">
        <f t="shared" si="14"/>
        <v>32.429999828338623</v>
      </c>
      <c r="N97" s="1032">
        <v>214107.68004711522</v>
      </c>
      <c r="O97" s="1032">
        <v>120911.91647981612</v>
      </c>
      <c r="P97" s="1032">
        <v>288202.75222817215</v>
      </c>
      <c r="Q97" s="1032">
        <v>217876.89404802234</v>
      </c>
      <c r="R97" s="1032">
        <v>162144.10298763841</v>
      </c>
      <c r="S97" s="1051">
        <f>IF(Tables!$B$2=1,'Michigan Curve'!N97,IF(Tables!$B$2=2,'Michigan Curve'!O97,IF(Tables!$B$2=4,'Michigan Curve'!P97,IF(Tables!$B$2=5,'Michigan Curve'!Q97,IF(Tables!$B$2=3,'Michigan Curve'!R97,0)))))</f>
        <v>217876.89404802234</v>
      </c>
    </row>
    <row r="98" spans="1:19">
      <c r="A98" s="465">
        <v>39722</v>
      </c>
      <c r="B98" s="894">
        <v>26.849994659423828</v>
      </c>
      <c r="C98" s="961">
        <v>19.996000289916992</v>
      </c>
      <c r="D98" s="1008">
        <v>18.996500015258789</v>
      </c>
      <c r="E98" s="957">
        <f t="shared" si="8"/>
        <v>1</v>
      </c>
      <c r="F98" s="944">
        <f t="shared" si="9"/>
        <v>26.849994659423828</v>
      </c>
      <c r="H98" s="955">
        <f t="shared" si="10"/>
        <v>1</v>
      </c>
      <c r="I98" s="952">
        <f t="shared" si="11"/>
        <v>26.849994659423828</v>
      </c>
      <c r="J98" s="950">
        <f t="shared" si="12"/>
        <v>19.996000289916992</v>
      </c>
      <c r="K98" s="949">
        <f t="shared" si="13"/>
        <v>19.996000289916992</v>
      </c>
      <c r="L98" s="944">
        <f t="shared" si="14"/>
        <v>18.996500015258789</v>
      </c>
      <c r="N98" s="1032">
        <v>4175.351480072708</v>
      </c>
      <c r="O98" s="1032">
        <v>2194.2845771008647</v>
      </c>
      <c r="P98" s="1032">
        <v>5702.0604422789593</v>
      </c>
      <c r="Q98" s="1032">
        <v>3720.906850956329</v>
      </c>
      <c r="R98" s="1032">
        <v>1965.7832243766643</v>
      </c>
      <c r="S98" s="1051">
        <f>IF(Tables!$B$2=1,'Michigan Curve'!N98,IF(Tables!$B$2=2,'Michigan Curve'!O98,IF(Tables!$B$2=4,'Michigan Curve'!P98,IF(Tables!$B$2=5,'Michigan Curve'!Q98,IF(Tables!$B$2=3,'Michigan Curve'!R98,0)))))</f>
        <v>3720.906850956329</v>
      </c>
    </row>
    <row r="99" spans="1:19">
      <c r="A99" s="465">
        <v>39753</v>
      </c>
      <c r="B99" s="894">
        <v>26.729995727539063</v>
      </c>
      <c r="C99" s="961">
        <v>20</v>
      </c>
      <c r="D99" s="1008">
        <v>19</v>
      </c>
      <c r="E99" s="957">
        <f t="shared" si="8"/>
        <v>1.08</v>
      </c>
      <c r="F99" s="944">
        <f t="shared" si="9"/>
        <v>28.86839538574219</v>
      </c>
      <c r="H99" s="955">
        <f t="shared" si="10"/>
        <v>0.91999999999999993</v>
      </c>
      <c r="I99" s="952">
        <f t="shared" si="11"/>
        <v>24.591596069335935</v>
      </c>
      <c r="J99" s="950">
        <f t="shared" si="12"/>
        <v>21.6</v>
      </c>
      <c r="K99" s="949">
        <f t="shared" si="13"/>
        <v>18.399999999999999</v>
      </c>
      <c r="L99" s="944">
        <f t="shared" si="14"/>
        <v>20.520000000000003</v>
      </c>
      <c r="N99" s="1032">
        <v>14428.619016764731</v>
      </c>
      <c r="O99" s="1032">
        <v>7935.720062034995</v>
      </c>
      <c r="P99" s="1032">
        <v>19526.7146040714</v>
      </c>
      <c r="Q99" s="1032">
        <v>14003.418388358965</v>
      </c>
      <c r="R99" s="1032">
        <v>9595.9596374157372</v>
      </c>
      <c r="S99" s="1051">
        <f>IF(Tables!$B$2=1,'Michigan Curve'!N99,IF(Tables!$B$2=2,'Michigan Curve'!O99,IF(Tables!$B$2=4,'Michigan Curve'!P99,IF(Tables!$B$2=5,'Michigan Curve'!Q99,IF(Tables!$B$2=3,'Michigan Curve'!R99,0)))))</f>
        <v>14003.418388358965</v>
      </c>
    </row>
    <row r="100" spans="1:19">
      <c r="A100" s="465">
        <v>39783</v>
      </c>
      <c r="B100" s="894">
        <v>27.199995040893555</v>
      </c>
      <c r="C100" s="961">
        <v>20</v>
      </c>
      <c r="D100" s="1008">
        <v>19</v>
      </c>
      <c r="E100" s="957">
        <f t="shared" si="8"/>
        <v>1.02</v>
      </c>
      <c r="F100" s="944">
        <f t="shared" si="9"/>
        <v>27.743994941711428</v>
      </c>
      <c r="H100" s="955">
        <f t="shared" si="10"/>
        <v>0.98</v>
      </c>
      <c r="I100" s="952">
        <f t="shared" si="11"/>
        <v>26.655995140075682</v>
      </c>
      <c r="J100" s="950">
        <f t="shared" si="12"/>
        <v>20.399999999999999</v>
      </c>
      <c r="K100" s="949">
        <f t="shared" si="13"/>
        <v>19.600000000000001</v>
      </c>
      <c r="L100" s="944">
        <f t="shared" si="14"/>
        <v>19.38</v>
      </c>
      <c r="N100" s="1032">
        <v>8487.1257566890599</v>
      </c>
      <c r="O100" s="1032">
        <v>4615.048267435357</v>
      </c>
      <c r="P100" s="1032">
        <v>11512.189128492259</v>
      </c>
      <c r="Q100" s="1032">
        <v>8068.9204598120241</v>
      </c>
      <c r="R100" s="1032">
        <v>5369.269908750829</v>
      </c>
      <c r="S100" s="1051">
        <f>IF(Tables!$B$2=1,'Michigan Curve'!N100,IF(Tables!$B$2=2,'Michigan Curve'!O100,IF(Tables!$B$2=4,'Michigan Curve'!P100,IF(Tables!$B$2=5,'Michigan Curve'!Q100,IF(Tables!$B$2=3,'Michigan Curve'!R100,0)))))</f>
        <v>8068.9204598120241</v>
      </c>
    </row>
    <row r="101" spans="1:19">
      <c r="A101" s="465">
        <v>39814</v>
      </c>
      <c r="B101" s="894">
        <v>32.700000381469728</v>
      </c>
      <c r="C101" s="961">
        <v>22</v>
      </c>
      <c r="D101" s="1008">
        <v>21</v>
      </c>
      <c r="E101" s="957">
        <f t="shared" si="8"/>
        <v>1.02</v>
      </c>
      <c r="F101" s="944">
        <f t="shared" si="9"/>
        <v>33.35400038909912</v>
      </c>
      <c r="H101" s="955">
        <f t="shared" si="10"/>
        <v>0.98</v>
      </c>
      <c r="I101" s="952">
        <f t="shared" si="11"/>
        <v>32.046000373840336</v>
      </c>
      <c r="J101" s="950">
        <f t="shared" si="12"/>
        <v>22.44</v>
      </c>
      <c r="K101" s="949">
        <f t="shared" si="13"/>
        <v>21.56</v>
      </c>
      <c r="L101" s="944">
        <f t="shared" si="14"/>
        <v>21.42</v>
      </c>
      <c r="N101" s="1032">
        <v>37793.712461877163</v>
      </c>
      <c r="O101" s="1032">
        <v>21092.743577380104</v>
      </c>
      <c r="P101" s="1032">
        <v>50997.9493495036</v>
      </c>
      <c r="Q101" s="1032">
        <v>37676.32083197547</v>
      </c>
      <c r="R101" s="1032">
        <v>27755.142996659717</v>
      </c>
      <c r="S101" s="1051">
        <f>IF(Tables!$B$2=1,'Michigan Curve'!N101,IF(Tables!$B$2=2,'Michigan Curve'!O101,IF(Tables!$B$2=4,'Michigan Curve'!P101,IF(Tables!$B$2=5,'Michigan Curve'!Q101,IF(Tables!$B$2=3,'Michigan Curve'!R101,0)))))</f>
        <v>37676.32083197547</v>
      </c>
    </row>
    <row r="102" spans="1:19">
      <c r="A102" s="465">
        <v>39845</v>
      </c>
      <c r="B102" s="894">
        <v>32.699998474121095</v>
      </c>
      <c r="C102" s="961">
        <v>21.996000289916992</v>
      </c>
      <c r="D102" s="1008">
        <v>20.996501922607422</v>
      </c>
      <c r="E102" s="957">
        <f t="shared" si="8"/>
        <v>1.02</v>
      </c>
      <c r="F102" s="944">
        <f t="shared" si="9"/>
        <v>33.353998443603516</v>
      </c>
      <c r="H102" s="955">
        <f t="shared" si="10"/>
        <v>0.98</v>
      </c>
      <c r="I102" s="952">
        <f t="shared" si="11"/>
        <v>32.045998504638675</v>
      </c>
      <c r="J102" s="950">
        <f t="shared" si="12"/>
        <v>22.435920295715331</v>
      </c>
      <c r="K102" s="949">
        <f t="shared" si="13"/>
        <v>21.556080284118654</v>
      </c>
      <c r="L102" s="944">
        <f t="shared" si="14"/>
        <v>21.416431961059569</v>
      </c>
      <c r="N102" s="1032">
        <v>36840.246657553951</v>
      </c>
      <c r="O102" s="1032">
        <v>20571.272479239509</v>
      </c>
      <c r="P102" s="1032">
        <v>49706.210828443654</v>
      </c>
      <c r="Q102" s="1032">
        <v>36761.021983991515</v>
      </c>
      <c r="R102" s="1032">
        <v>27166.715196642923</v>
      </c>
      <c r="S102" s="1051">
        <f>IF(Tables!$B$2=1,'Michigan Curve'!N102,IF(Tables!$B$2=2,'Michigan Curve'!O102,IF(Tables!$B$2=4,'Michigan Curve'!P102,IF(Tables!$B$2=5,'Michigan Curve'!Q102,IF(Tables!$B$2=3,'Michigan Curve'!R102,0)))))</f>
        <v>36761.021983991515</v>
      </c>
    </row>
    <row r="103" spans="1:19">
      <c r="A103" s="465">
        <v>39873</v>
      </c>
      <c r="B103" s="894">
        <v>27.5</v>
      </c>
      <c r="C103" s="961">
        <v>20</v>
      </c>
      <c r="D103" s="1008">
        <v>19</v>
      </c>
      <c r="E103" s="957">
        <f t="shared" si="8"/>
        <v>1.02</v>
      </c>
      <c r="F103" s="944">
        <f t="shared" si="9"/>
        <v>28.05</v>
      </c>
      <c r="H103" s="955">
        <f t="shared" si="10"/>
        <v>0.98</v>
      </c>
      <c r="I103" s="952">
        <f t="shared" si="11"/>
        <v>26.95</v>
      </c>
      <c r="J103" s="950">
        <f t="shared" si="12"/>
        <v>20.399999999999999</v>
      </c>
      <c r="K103" s="949">
        <f t="shared" si="13"/>
        <v>19.600000000000001</v>
      </c>
      <c r="L103" s="944">
        <f t="shared" si="14"/>
        <v>19.38</v>
      </c>
      <c r="N103" s="1032">
        <v>8677.950619227433</v>
      </c>
      <c r="O103" s="1032">
        <v>4716.0810529099926</v>
      </c>
      <c r="P103" s="1032">
        <v>11772.360151259671</v>
      </c>
      <c r="Q103" s="1032">
        <v>8237.9752967628574</v>
      </c>
      <c r="R103" s="1032">
        <v>5446.0791970673417</v>
      </c>
      <c r="S103" s="1051">
        <f>IF(Tables!$B$2=1,'Michigan Curve'!N103,IF(Tables!$B$2=2,'Michigan Curve'!O103,IF(Tables!$B$2=4,'Michigan Curve'!P103,IF(Tables!$B$2=5,'Michigan Curve'!Q103,IF(Tables!$B$2=3,'Michigan Curve'!R103,0)))))</f>
        <v>8237.9752967628574</v>
      </c>
    </row>
    <row r="104" spans="1:19">
      <c r="A104" s="465">
        <v>39904</v>
      </c>
      <c r="B104" s="894">
        <v>27.75</v>
      </c>
      <c r="C104" s="961">
        <v>20</v>
      </c>
      <c r="D104" s="1008">
        <v>18.995000839233398</v>
      </c>
      <c r="E104" s="957">
        <f t="shared" si="8"/>
        <v>1</v>
      </c>
      <c r="F104" s="944">
        <f t="shared" si="9"/>
        <v>27.75</v>
      </c>
      <c r="H104" s="955">
        <f t="shared" si="10"/>
        <v>1</v>
      </c>
      <c r="I104" s="952">
        <f t="shared" si="11"/>
        <v>27.75</v>
      </c>
      <c r="J104" s="950">
        <f t="shared" si="12"/>
        <v>20</v>
      </c>
      <c r="K104" s="949">
        <f t="shared" si="13"/>
        <v>20</v>
      </c>
      <c r="L104" s="944">
        <f t="shared" si="14"/>
        <v>18.995000839233398</v>
      </c>
      <c r="N104" s="1032">
        <v>11078.5738769167</v>
      </c>
      <c r="O104" s="1032">
        <v>6029.5565065049113</v>
      </c>
      <c r="P104" s="1032">
        <v>15024.422983986169</v>
      </c>
      <c r="Q104" s="1032">
        <v>10543.009928394227</v>
      </c>
      <c r="R104" s="1032">
        <v>6994.0250874078911</v>
      </c>
      <c r="S104" s="1051">
        <f>IF(Tables!$B$2=1,'Michigan Curve'!N104,IF(Tables!$B$2=2,'Michigan Curve'!O104,IF(Tables!$B$2=4,'Michigan Curve'!P104,IF(Tables!$B$2=5,'Michigan Curve'!Q104,IF(Tables!$B$2=3,'Michigan Curve'!R104,0)))))</f>
        <v>10543.009928394227</v>
      </c>
    </row>
    <row r="105" spans="1:19">
      <c r="A105" s="465">
        <v>39934</v>
      </c>
      <c r="B105" s="894">
        <v>31.5</v>
      </c>
      <c r="C105" s="961">
        <v>21</v>
      </c>
      <c r="D105" s="1008">
        <v>20.004999160766602</v>
      </c>
      <c r="E105" s="957">
        <f t="shared" si="8"/>
        <v>1.0762500017881393</v>
      </c>
      <c r="F105" s="944">
        <f t="shared" si="9"/>
        <v>33.901875056326389</v>
      </c>
      <c r="H105" s="955">
        <f t="shared" si="10"/>
        <v>0.92374999821186066</v>
      </c>
      <c r="I105" s="952">
        <f t="shared" si="11"/>
        <v>29.098124943673611</v>
      </c>
      <c r="J105" s="950">
        <f t="shared" si="12"/>
        <v>22.601250037550926</v>
      </c>
      <c r="K105" s="949">
        <f t="shared" si="13"/>
        <v>19.398749962449074</v>
      </c>
      <c r="L105" s="944">
        <f t="shared" si="14"/>
        <v>21.530380382546781</v>
      </c>
      <c r="N105" s="1032">
        <v>25327.130446552423</v>
      </c>
      <c r="O105" s="1032">
        <v>13728.864324361255</v>
      </c>
      <c r="P105" s="1032">
        <v>34373.244404341167</v>
      </c>
      <c r="Q105" s="1032">
        <v>23892.016914646785</v>
      </c>
      <c r="R105" s="1032">
        <v>14859.015939534245</v>
      </c>
      <c r="S105" s="1051">
        <f>IF(Tables!$B$2=1,'Michigan Curve'!N105,IF(Tables!$B$2=2,'Michigan Curve'!O105,IF(Tables!$B$2=4,'Michigan Curve'!P105,IF(Tables!$B$2=5,'Michigan Curve'!Q105,IF(Tables!$B$2=3,'Michigan Curve'!R105,0)))))</f>
        <v>23892.016914646785</v>
      </c>
    </row>
    <row r="106" spans="1:19">
      <c r="A106" s="465">
        <v>39965</v>
      </c>
      <c r="B106" s="894">
        <v>50.25</v>
      </c>
      <c r="C106" s="961">
        <v>26</v>
      </c>
      <c r="D106" s="1008">
        <v>24</v>
      </c>
      <c r="E106" s="957">
        <f t="shared" si="8"/>
        <v>1.5533285993729016</v>
      </c>
      <c r="F106" s="944">
        <f t="shared" si="9"/>
        <v>78.054762118488298</v>
      </c>
      <c r="H106" s="955">
        <f t="shared" si="10"/>
        <v>0.44667140062709842</v>
      </c>
      <c r="I106" s="952">
        <f t="shared" si="11"/>
        <v>22.445237881511694</v>
      </c>
      <c r="J106" s="950">
        <f t="shared" si="12"/>
        <v>40.386543583695442</v>
      </c>
      <c r="K106" s="949">
        <f t="shared" si="13"/>
        <v>11.613456416304558</v>
      </c>
      <c r="L106" s="944">
        <f t="shared" si="14"/>
        <v>37.279886384949634</v>
      </c>
      <c r="N106" s="1032">
        <v>86388.446687261807</v>
      </c>
      <c r="O106" s="1032">
        <v>51976.577127830358</v>
      </c>
      <c r="P106" s="1032">
        <v>114885.9560642764</v>
      </c>
      <c r="Q106" s="1032">
        <v>99271.118406726047</v>
      </c>
      <c r="R106" s="1032">
        <v>105784.59759802511</v>
      </c>
      <c r="S106" s="1051">
        <f>IF(Tables!$B$2=1,'Michigan Curve'!N106,IF(Tables!$B$2=2,'Michigan Curve'!O106,IF(Tables!$B$2=4,'Michigan Curve'!P106,IF(Tables!$B$2=5,'Michigan Curve'!Q106,IF(Tables!$B$2=3,'Michigan Curve'!R106,0)))))</f>
        <v>99271.118406726047</v>
      </c>
    </row>
    <row r="107" spans="1:19">
      <c r="A107" s="465">
        <v>39995</v>
      </c>
      <c r="B107" s="894">
        <v>83</v>
      </c>
      <c r="C107" s="961">
        <v>35</v>
      </c>
      <c r="D107" s="1008">
        <v>30.999998092651367</v>
      </c>
      <c r="E107" s="957">
        <f t="shared" si="8"/>
        <v>1.6627195944605406</v>
      </c>
      <c r="F107" s="944">
        <f t="shared" si="9"/>
        <v>138.00572634022487</v>
      </c>
      <c r="H107" s="955">
        <f t="shared" si="10"/>
        <v>0.33728040553945937</v>
      </c>
      <c r="I107" s="952">
        <f t="shared" si="11"/>
        <v>27.994273659775128</v>
      </c>
      <c r="J107" s="950">
        <f t="shared" si="12"/>
        <v>58.195185806118921</v>
      </c>
      <c r="K107" s="949">
        <f t="shared" si="13"/>
        <v>11.804814193881079</v>
      </c>
      <c r="L107" s="944">
        <f t="shared" si="14"/>
        <v>51.544304256890811</v>
      </c>
      <c r="N107" s="1032">
        <v>221202.81862905342</v>
      </c>
      <c r="O107" s="1032">
        <v>134885.80539279711</v>
      </c>
      <c r="P107" s="1032">
        <v>293297.03733122442</v>
      </c>
      <c r="Q107" s="1032">
        <v>260108.45341860689</v>
      </c>
      <c r="R107" s="1032">
        <v>287352.23527631257</v>
      </c>
      <c r="S107" s="1051">
        <f>IF(Tables!$B$2=1,'Michigan Curve'!N107,IF(Tables!$B$2=2,'Michigan Curve'!O107,IF(Tables!$B$2=4,'Michigan Curve'!P107,IF(Tables!$B$2=5,'Michigan Curve'!Q107,IF(Tables!$B$2=3,'Michigan Curve'!R107,0)))))</f>
        <v>260108.45341860689</v>
      </c>
    </row>
    <row r="108" spans="1:19">
      <c r="A108" s="465">
        <v>40026</v>
      </c>
      <c r="B108" s="894">
        <v>83</v>
      </c>
      <c r="C108" s="961">
        <v>35.000003814697266</v>
      </c>
      <c r="D108" s="1008">
        <v>31</v>
      </c>
      <c r="E108" s="957">
        <f t="shared" si="8"/>
        <v>1.6627195944605406</v>
      </c>
      <c r="F108" s="944">
        <f t="shared" si="9"/>
        <v>138.00572634022487</v>
      </c>
      <c r="H108" s="955">
        <f t="shared" si="10"/>
        <v>0.33728040553945937</v>
      </c>
      <c r="I108" s="952">
        <f t="shared" si="11"/>
        <v>27.994273659775128</v>
      </c>
      <c r="J108" s="950">
        <f t="shared" si="12"/>
        <v>58.195192148890811</v>
      </c>
      <c r="K108" s="949">
        <f t="shared" si="13"/>
        <v>11.804815480503718</v>
      </c>
      <c r="L108" s="944">
        <f t="shared" si="14"/>
        <v>51.54430742827676</v>
      </c>
      <c r="N108" s="1032">
        <v>241131.77069338039</v>
      </c>
      <c r="O108" s="1032">
        <v>147755.08013483603</v>
      </c>
      <c r="P108" s="1032">
        <v>319400.49454121571</v>
      </c>
      <c r="Q108" s="1032">
        <v>286078.30903490726</v>
      </c>
      <c r="R108" s="1032">
        <v>320167.76937534939</v>
      </c>
      <c r="S108" s="1051">
        <f>IF(Tables!$B$2=1,'Michigan Curve'!N108,IF(Tables!$B$2=2,'Michigan Curve'!O108,IF(Tables!$B$2=4,'Michigan Curve'!P108,IF(Tables!$B$2=5,'Michigan Curve'!Q108,IF(Tables!$B$2=3,'Michigan Curve'!R108,0)))))</f>
        <v>286078.30903490726</v>
      </c>
    </row>
    <row r="109" spans="1:19">
      <c r="A109" s="465">
        <v>40057</v>
      </c>
      <c r="B109" s="894">
        <v>34.25</v>
      </c>
      <c r="C109" s="961">
        <v>25</v>
      </c>
      <c r="D109" s="1008">
        <v>24</v>
      </c>
      <c r="E109" s="957">
        <f t="shared" si="8"/>
        <v>1.3512499928474426</v>
      </c>
      <c r="F109" s="944">
        <f t="shared" si="9"/>
        <v>46.28031225502491</v>
      </c>
      <c r="H109" s="955">
        <f t="shared" si="10"/>
        <v>0.64875000715255737</v>
      </c>
      <c r="I109" s="952">
        <f t="shared" si="11"/>
        <v>22.21968774497509</v>
      </c>
      <c r="J109" s="950">
        <f t="shared" si="12"/>
        <v>33.781249821186066</v>
      </c>
      <c r="K109" s="949">
        <f t="shared" si="13"/>
        <v>16.218750178813934</v>
      </c>
      <c r="L109" s="944">
        <f t="shared" si="14"/>
        <v>32.429999828338623</v>
      </c>
      <c r="N109" s="1032">
        <v>190596.6951245112</v>
      </c>
      <c r="O109" s="1032">
        <v>106887.31164821674</v>
      </c>
      <c r="P109" s="1032">
        <v>256907.2949999152</v>
      </c>
      <c r="Q109" s="1032">
        <v>191419.90759897826</v>
      </c>
      <c r="R109" s="1032">
        <v>137833.32322143824</v>
      </c>
      <c r="S109" s="1051">
        <f>IF(Tables!$B$2=1,'Michigan Curve'!N109,IF(Tables!$B$2=2,'Michigan Curve'!O109,IF(Tables!$B$2=4,'Michigan Curve'!P109,IF(Tables!$B$2=5,'Michigan Curve'!Q109,IF(Tables!$B$2=3,'Michigan Curve'!R109,0)))))</f>
        <v>191419.90759897826</v>
      </c>
    </row>
    <row r="110" spans="1:19">
      <c r="A110" s="465">
        <v>40087</v>
      </c>
      <c r="B110" s="894">
        <v>27.349994659423828</v>
      </c>
      <c r="C110" s="961">
        <v>19.996000289916992</v>
      </c>
      <c r="D110" s="1008">
        <v>18.996500015258789</v>
      </c>
      <c r="E110" s="957">
        <f t="shared" si="8"/>
        <v>1</v>
      </c>
      <c r="F110" s="944">
        <f t="shared" si="9"/>
        <v>27.349994659423828</v>
      </c>
      <c r="H110" s="955">
        <f t="shared" si="10"/>
        <v>1</v>
      </c>
      <c r="I110" s="952">
        <f t="shared" si="11"/>
        <v>27.349994659423828</v>
      </c>
      <c r="J110" s="950">
        <f t="shared" si="12"/>
        <v>19.996000289916992</v>
      </c>
      <c r="K110" s="949">
        <f t="shared" si="13"/>
        <v>19.996000289916992</v>
      </c>
      <c r="L110" s="944">
        <f t="shared" si="14"/>
        <v>18.996500015258789</v>
      </c>
      <c r="N110" s="1032">
        <v>2740.8168291718957</v>
      </c>
      <c r="O110" s="1032">
        <v>1424.4572183835521</v>
      </c>
      <c r="P110" s="1032">
        <v>3751.3262292450295</v>
      </c>
      <c r="Q110" s="1032">
        <v>2392.7566276028133</v>
      </c>
      <c r="R110" s="1032">
        <v>1239.9896132999347</v>
      </c>
      <c r="S110" s="1051">
        <f>IF(Tables!$B$2=1,'Michigan Curve'!N110,IF(Tables!$B$2=2,'Michigan Curve'!O110,IF(Tables!$B$2=4,'Michigan Curve'!P110,IF(Tables!$B$2=5,'Michigan Curve'!Q110,IF(Tables!$B$2=3,'Michigan Curve'!R110,0)))))</f>
        <v>2392.7566276028133</v>
      </c>
    </row>
    <row r="111" spans="1:19">
      <c r="A111" s="465">
        <v>40118</v>
      </c>
      <c r="B111" s="894">
        <v>27.229995727539063</v>
      </c>
      <c r="C111" s="961">
        <v>20</v>
      </c>
      <c r="D111" s="1008">
        <v>19</v>
      </c>
      <c r="E111" s="957">
        <f t="shared" si="8"/>
        <v>1.08</v>
      </c>
      <c r="F111" s="944">
        <f t="shared" si="9"/>
        <v>29.408395385742189</v>
      </c>
      <c r="H111" s="955">
        <f t="shared" si="10"/>
        <v>0.91999999999999993</v>
      </c>
      <c r="I111" s="952">
        <f t="shared" si="11"/>
        <v>25.051596069335936</v>
      </c>
      <c r="J111" s="950">
        <f t="shared" si="12"/>
        <v>21.6</v>
      </c>
      <c r="K111" s="949">
        <f t="shared" si="13"/>
        <v>18.399999999999999</v>
      </c>
      <c r="L111" s="944">
        <f t="shared" si="14"/>
        <v>20.520000000000003</v>
      </c>
      <c r="N111" s="1032">
        <v>13263.636170446151</v>
      </c>
      <c r="O111" s="1032">
        <v>7267.2316114545602</v>
      </c>
      <c r="P111" s="1032">
        <v>17963.798274696434</v>
      </c>
      <c r="Q111" s="1032">
        <v>12781.430077839113</v>
      </c>
      <c r="R111" s="1032">
        <v>8782.072903296832</v>
      </c>
      <c r="S111" s="1051">
        <f>IF(Tables!$B$2=1,'Michigan Curve'!N111,IF(Tables!$B$2=2,'Michigan Curve'!O111,IF(Tables!$B$2=4,'Michigan Curve'!P111,IF(Tables!$B$2=5,'Michigan Curve'!Q111,IF(Tables!$B$2=3,'Michigan Curve'!R111,0)))))</f>
        <v>12781.430077839113</v>
      </c>
    </row>
    <row r="112" spans="1:19">
      <c r="A112" s="465">
        <v>40148</v>
      </c>
      <c r="B112" s="894">
        <v>27.699995040893555</v>
      </c>
      <c r="C112" s="961">
        <v>20</v>
      </c>
      <c r="D112" s="1008">
        <v>19</v>
      </c>
      <c r="E112" s="957">
        <f t="shared" si="8"/>
        <v>1.02</v>
      </c>
      <c r="F112" s="944">
        <f t="shared" si="9"/>
        <v>28.253994941711426</v>
      </c>
      <c r="H112" s="955">
        <f t="shared" si="10"/>
        <v>0.98</v>
      </c>
      <c r="I112" s="952">
        <f t="shared" si="11"/>
        <v>27.145995140075684</v>
      </c>
      <c r="J112" s="950">
        <f t="shared" si="12"/>
        <v>20.399999999999999</v>
      </c>
      <c r="K112" s="949">
        <f t="shared" si="13"/>
        <v>19.600000000000001</v>
      </c>
      <c r="L112" s="944">
        <f t="shared" si="14"/>
        <v>19.38</v>
      </c>
      <c r="N112" s="1032">
        <v>7399.4987366719097</v>
      </c>
      <c r="O112" s="1032">
        <v>4008.2751520379329</v>
      </c>
      <c r="P112" s="1032">
        <v>10044.57595831982</v>
      </c>
      <c r="Q112" s="1032">
        <v>6984.2971668156015</v>
      </c>
      <c r="R112" s="1032">
        <v>4687.0563659550571</v>
      </c>
      <c r="S112" s="1051">
        <f>IF(Tables!$B$2=1,'Michigan Curve'!N112,IF(Tables!$B$2=2,'Michigan Curve'!O112,IF(Tables!$B$2=4,'Michigan Curve'!P112,IF(Tables!$B$2=5,'Michigan Curve'!Q112,IF(Tables!$B$2=3,'Michigan Curve'!R112,0)))))</f>
        <v>6984.2971668156015</v>
      </c>
    </row>
    <row r="113" spans="1:19">
      <c r="A113" s="465">
        <v>40179</v>
      </c>
      <c r="B113" s="894">
        <v>33.200000381469728</v>
      </c>
      <c r="C113" s="961">
        <v>22</v>
      </c>
      <c r="D113" s="1008">
        <v>21</v>
      </c>
      <c r="E113" s="957">
        <f t="shared" si="8"/>
        <v>1.02</v>
      </c>
      <c r="F113" s="944">
        <f t="shared" si="9"/>
        <v>33.864000389099125</v>
      </c>
      <c r="H113" s="955">
        <f t="shared" si="10"/>
        <v>0.98</v>
      </c>
      <c r="I113" s="952">
        <f t="shared" si="11"/>
        <v>32.536000373840331</v>
      </c>
      <c r="J113" s="950">
        <f t="shared" si="12"/>
        <v>22.44</v>
      </c>
      <c r="K113" s="949">
        <f t="shared" si="13"/>
        <v>21.56</v>
      </c>
      <c r="L113" s="944">
        <f t="shared" si="14"/>
        <v>21.42</v>
      </c>
      <c r="N113" s="1032">
        <v>36821.864172473914</v>
      </c>
      <c r="O113" s="1032">
        <v>20565.989713975367</v>
      </c>
      <c r="P113" s="1032">
        <v>49679.065654170634</v>
      </c>
      <c r="Q113" s="1032">
        <v>36758.093069237562</v>
      </c>
      <c r="R113" s="1032">
        <v>27156.147013183796</v>
      </c>
      <c r="S113" s="1051">
        <f>IF(Tables!$B$2=1,'Michigan Curve'!N113,IF(Tables!$B$2=2,'Michigan Curve'!O113,IF(Tables!$B$2=4,'Michigan Curve'!P113,IF(Tables!$B$2=5,'Michigan Curve'!Q113,IF(Tables!$B$2=3,'Michigan Curve'!R113,0)))))</f>
        <v>36758.093069237562</v>
      </c>
    </row>
    <row r="114" spans="1:19">
      <c r="A114" s="465">
        <v>40210</v>
      </c>
      <c r="B114" s="894">
        <v>33.199998474121095</v>
      </c>
      <c r="C114" s="961">
        <v>21.996000289916992</v>
      </c>
      <c r="D114" s="1008">
        <v>20.996501922607422</v>
      </c>
      <c r="E114" s="957">
        <f t="shared" si="8"/>
        <v>1.02</v>
      </c>
      <c r="F114" s="944">
        <f t="shared" si="9"/>
        <v>33.863998443603521</v>
      </c>
      <c r="H114" s="955">
        <f t="shared" si="10"/>
        <v>0.98</v>
      </c>
      <c r="I114" s="952">
        <f t="shared" si="11"/>
        <v>32.53599850463867</v>
      </c>
      <c r="J114" s="950">
        <f t="shared" si="12"/>
        <v>22.435920295715331</v>
      </c>
      <c r="K114" s="949">
        <f t="shared" si="13"/>
        <v>21.556080284118654</v>
      </c>
      <c r="L114" s="944">
        <f t="shared" si="14"/>
        <v>21.416431961059569</v>
      </c>
      <c r="N114" s="1032">
        <v>35366.618671356497</v>
      </c>
      <c r="O114" s="1032">
        <v>19742.358726082253</v>
      </c>
      <c r="P114" s="1032">
        <v>47720.973109514242</v>
      </c>
      <c r="Q114" s="1032">
        <v>35269.971849106281</v>
      </c>
      <c r="R114" s="1032">
        <v>25977.434515643487</v>
      </c>
      <c r="S114" s="1051">
        <f>IF(Tables!$B$2=1,'Michigan Curve'!N114,IF(Tables!$B$2=2,'Michigan Curve'!O114,IF(Tables!$B$2=4,'Michigan Curve'!P114,IF(Tables!$B$2=5,'Michigan Curve'!Q114,IF(Tables!$B$2=3,'Michigan Curve'!R114,0)))))</f>
        <v>35269.971849106281</v>
      </c>
    </row>
    <row r="115" spans="1:19">
      <c r="A115" s="465">
        <v>40238</v>
      </c>
      <c r="B115" s="894">
        <v>28</v>
      </c>
      <c r="C115" s="961">
        <v>20</v>
      </c>
      <c r="D115" s="1008">
        <v>19</v>
      </c>
      <c r="E115" s="957">
        <f t="shared" si="8"/>
        <v>1.02</v>
      </c>
      <c r="F115" s="944">
        <f t="shared" si="9"/>
        <v>28.560000000000002</v>
      </c>
      <c r="H115" s="955">
        <f t="shared" si="10"/>
        <v>0.98</v>
      </c>
      <c r="I115" s="952">
        <f t="shared" si="11"/>
        <v>27.439999999999998</v>
      </c>
      <c r="J115" s="950">
        <f t="shared" si="12"/>
        <v>20.399999999999999</v>
      </c>
      <c r="K115" s="949">
        <f t="shared" si="13"/>
        <v>19.600000000000001</v>
      </c>
      <c r="L115" s="944">
        <f t="shared" si="14"/>
        <v>19.38</v>
      </c>
      <c r="N115" s="1032">
        <v>8824.245874714301</v>
      </c>
      <c r="O115" s="1032">
        <v>4796.8533853851322</v>
      </c>
      <c r="P115" s="1032">
        <v>11970.223089363828</v>
      </c>
      <c r="Q115" s="1032">
        <v>8380.5190300580616</v>
      </c>
      <c r="R115" s="1032">
        <v>5526.3568595129673</v>
      </c>
      <c r="S115" s="1051">
        <f>IF(Tables!$B$2=1,'Michigan Curve'!N115,IF(Tables!$B$2=2,'Michigan Curve'!O115,IF(Tables!$B$2=4,'Michigan Curve'!P115,IF(Tables!$B$2=5,'Michigan Curve'!Q115,IF(Tables!$B$2=3,'Michigan Curve'!R115,0)))))</f>
        <v>8380.5190300580616</v>
      </c>
    </row>
    <row r="116" spans="1:19">
      <c r="A116" s="465">
        <v>40269</v>
      </c>
      <c r="B116" s="894">
        <v>28.25</v>
      </c>
      <c r="C116" s="961">
        <v>20</v>
      </c>
      <c r="D116" s="1008">
        <v>18.995000839233398</v>
      </c>
      <c r="E116" s="957">
        <f t="shared" si="8"/>
        <v>1</v>
      </c>
      <c r="F116" s="944">
        <f t="shared" si="9"/>
        <v>28.25</v>
      </c>
      <c r="H116" s="955">
        <f t="shared" si="10"/>
        <v>1</v>
      </c>
      <c r="I116" s="952">
        <f t="shared" si="11"/>
        <v>28.25</v>
      </c>
      <c r="J116" s="950">
        <f t="shared" si="12"/>
        <v>20</v>
      </c>
      <c r="K116" s="949">
        <f t="shared" si="13"/>
        <v>20</v>
      </c>
      <c r="L116" s="944">
        <f t="shared" si="14"/>
        <v>18.995000839233398</v>
      </c>
      <c r="N116" s="1032">
        <v>10575.072179649418</v>
      </c>
      <c r="O116" s="1032">
        <v>5755.2936773987649</v>
      </c>
      <c r="P116" s="1032">
        <v>14341.753909064173</v>
      </c>
      <c r="Q116" s="1032">
        <v>10062.839709658121</v>
      </c>
      <c r="R116" s="1032">
        <v>6646.6203734813644</v>
      </c>
      <c r="S116" s="1051">
        <f>IF(Tables!$B$2=1,'Michigan Curve'!N116,IF(Tables!$B$2=2,'Michigan Curve'!O116,IF(Tables!$B$2=4,'Michigan Curve'!P116,IF(Tables!$B$2=5,'Michigan Curve'!Q116,IF(Tables!$B$2=3,'Michigan Curve'!R116,0)))))</f>
        <v>10062.839709658121</v>
      </c>
    </row>
    <row r="117" spans="1:19">
      <c r="A117" s="465">
        <v>40299</v>
      </c>
      <c r="B117" s="894">
        <v>32</v>
      </c>
      <c r="C117" s="961">
        <v>21</v>
      </c>
      <c r="D117" s="1008">
        <v>20.004999160766602</v>
      </c>
      <c r="E117" s="957">
        <f t="shared" si="8"/>
        <v>1.0762500017881393</v>
      </c>
      <c r="F117" s="944">
        <f t="shared" si="9"/>
        <v>34.440000057220459</v>
      </c>
      <c r="H117" s="955">
        <f t="shared" si="10"/>
        <v>0.92374999821186066</v>
      </c>
      <c r="I117" s="952">
        <f t="shared" si="11"/>
        <v>29.559999942779541</v>
      </c>
      <c r="J117" s="950">
        <f t="shared" si="12"/>
        <v>22.601250037550926</v>
      </c>
      <c r="K117" s="949">
        <f t="shared" si="13"/>
        <v>19.398749962449074</v>
      </c>
      <c r="L117" s="944">
        <f t="shared" si="14"/>
        <v>21.530380382546781</v>
      </c>
      <c r="N117" s="1032">
        <v>23131.781675203743</v>
      </c>
      <c r="O117" s="1032">
        <v>12522.826081148291</v>
      </c>
      <c r="P117" s="1032">
        <v>31401.976732746978</v>
      </c>
      <c r="Q117" s="1032">
        <v>21770.229148129874</v>
      </c>
      <c r="R117" s="1032">
        <v>13398.560144416633</v>
      </c>
      <c r="S117" s="1051">
        <f>IF(Tables!$B$2=1,'Michigan Curve'!N117,IF(Tables!$B$2=2,'Michigan Curve'!O117,IF(Tables!$B$2=4,'Michigan Curve'!P117,IF(Tables!$B$2=5,'Michigan Curve'!Q117,IF(Tables!$B$2=3,'Michigan Curve'!R117,0)))))</f>
        <v>21770.229148129874</v>
      </c>
    </row>
    <row r="118" spans="1:19">
      <c r="A118" s="465">
        <v>40330</v>
      </c>
      <c r="B118" s="894">
        <v>51.25</v>
      </c>
      <c r="C118" s="961">
        <v>26</v>
      </c>
      <c r="D118" s="1008">
        <v>24</v>
      </c>
      <c r="E118" s="957">
        <f t="shared" si="8"/>
        <v>1.5579164387630238</v>
      </c>
      <c r="F118" s="944">
        <f t="shared" si="9"/>
        <v>79.843217486604971</v>
      </c>
      <c r="H118" s="955">
        <f t="shared" si="10"/>
        <v>0.44208356123697623</v>
      </c>
      <c r="I118" s="952">
        <f t="shared" si="11"/>
        <v>22.656782513395033</v>
      </c>
      <c r="J118" s="950">
        <f t="shared" si="12"/>
        <v>40.505827407838616</v>
      </c>
      <c r="K118" s="949">
        <f t="shared" si="13"/>
        <v>11.494172592161382</v>
      </c>
      <c r="L118" s="944">
        <f t="shared" si="14"/>
        <v>37.38999453031257</v>
      </c>
      <c r="N118" s="1032">
        <v>88544.777470166329</v>
      </c>
      <c r="O118" s="1032">
        <v>53670.873308944982</v>
      </c>
      <c r="P118" s="1032">
        <v>117578.88627254125</v>
      </c>
      <c r="Q118" s="1032">
        <v>103169.65031432617</v>
      </c>
      <c r="R118" s="1032">
        <v>113860.16643789248</v>
      </c>
      <c r="S118" s="1051">
        <f>IF(Tables!$B$2=1,'Michigan Curve'!N118,IF(Tables!$B$2=2,'Michigan Curve'!O118,IF(Tables!$B$2=4,'Michigan Curve'!P118,IF(Tables!$B$2=5,'Michigan Curve'!Q118,IF(Tables!$B$2=3,'Michigan Curve'!R118,0)))))</f>
        <v>103169.65031432617</v>
      </c>
    </row>
    <row r="119" spans="1:19">
      <c r="A119" s="465">
        <v>40360</v>
      </c>
      <c r="B119" s="894">
        <v>86</v>
      </c>
      <c r="C119" s="961">
        <v>35</v>
      </c>
      <c r="D119" s="1008">
        <v>30.999998092651367</v>
      </c>
      <c r="E119" s="957">
        <f t="shared" si="8"/>
        <v>1.6698491550626855</v>
      </c>
      <c r="F119" s="944">
        <f t="shared" si="9"/>
        <v>143.60702733539097</v>
      </c>
      <c r="H119" s="955">
        <f t="shared" si="10"/>
        <v>0.3301508449373145</v>
      </c>
      <c r="I119" s="952">
        <f t="shared" si="11"/>
        <v>28.392972664609047</v>
      </c>
      <c r="J119" s="950">
        <f t="shared" si="12"/>
        <v>58.444720427193992</v>
      </c>
      <c r="K119" s="949">
        <f t="shared" si="13"/>
        <v>11.555279572806008</v>
      </c>
      <c r="L119" s="944">
        <f t="shared" si="14"/>
        <v>51.76532062195875</v>
      </c>
      <c r="N119" s="1032">
        <v>257576.04570452683</v>
      </c>
      <c r="O119" s="1032">
        <v>158074.36505198712</v>
      </c>
      <c r="P119" s="1032">
        <v>341071.70364448801</v>
      </c>
      <c r="Q119" s="1032">
        <v>306449.05739698838</v>
      </c>
      <c r="R119" s="1032">
        <v>325388.08620187826</v>
      </c>
      <c r="S119" s="1051">
        <f>IF(Tables!$B$2=1,'Michigan Curve'!N119,IF(Tables!$B$2=2,'Michigan Curve'!O119,IF(Tables!$B$2=4,'Michigan Curve'!P119,IF(Tables!$B$2=5,'Michigan Curve'!Q119,IF(Tables!$B$2=3,'Michigan Curve'!R119,0)))))</f>
        <v>306449.05739698838</v>
      </c>
    </row>
    <row r="120" spans="1:19">
      <c r="A120" s="465">
        <v>40391</v>
      </c>
      <c r="B120" s="894">
        <v>86</v>
      </c>
      <c r="C120" s="961">
        <v>35.000003814697266</v>
      </c>
      <c r="D120" s="1008">
        <v>31</v>
      </c>
      <c r="E120" s="957">
        <f t="shared" si="8"/>
        <v>1.6698491550626855</v>
      </c>
      <c r="F120" s="944">
        <f t="shared" si="9"/>
        <v>143.60702733539097</v>
      </c>
      <c r="H120" s="955">
        <f t="shared" si="10"/>
        <v>0.3301508449373145</v>
      </c>
      <c r="I120" s="952">
        <f t="shared" si="11"/>
        <v>28.392972664609047</v>
      </c>
      <c r="J120" s="950">
        <f t="shared" si="12"/>
        <v>58.444726797163</v>
      </c>
      <c r="K120" s="949">
        <f t="shared" si="13"/>
        <v>11.555280832231533</v>
      </c>
      <c r="L120" s="944">
        <f t="shared" si="14"/>
        <v>51.76532380694325</v>
      </c>
      <c r="N120" s="1032">
        <v>249477.88921594713</v>
      </c>
      <c r="O120" s="1032">
        <v>152842.54060082044</v>
      </c>
      <c r="P120" s="1032">
        <v>330465.35767434817</v>
      </c>
      <c r="Q120" s="1032">
        <v>295892.33627238777</v>
      </c>
      <c r="R120" s="1032">
        <v>308726.16117696743</v>
      </c>
      <c r="S120" s="1051">
        <f>IF(Tables!$B$2=1,'Michigan Curve'!N120,IF(Tables!$B$2=2,'Michigan Curve'!O120,IF(Tables!$B$2=4,'Michigan Curve'!P120,IF(Tables!$B$2=5,'Michigan Curve'!Q120,IF(Tables!$B$2=3,'Michigan Curve'!R120,0)))))</f>
        <v>295892.33627238777</v>
      </c>
    </row>
    <row r="121" spans="1:19">
      <c r="A121" s="465">
        <v>40422</v>
      </c>
      <c r="B121" s="894">
        <v>34.75</v>
      </c>
      <c r="C121" s="961">
        <v>25</v>
      </c>
      <c r="D121" s="1008">
        <v>24</v>
      </c>
      <c r="E121" s="957">
        <f t="shared" si="8"/>
        <v>1.3512499928474426</v>
      </c>
      <c r="F121" s="944">
        <f t="shared" si="9"/>
        <v>46.955937251448631</v>
      </c>
      <c r="H121" s="955">
        <f t="shared" si="10"/>
        <v>0.64875000715255737</v>
      </c>
      <c r="I121" s="952">
        <f t="shared" si="11"/>
        <v>22.544062748551369</v>
      </c>
      <c r="J121" s="950">
        <f t="shared" si="12"/>
        <v>33.781249821186066</v>
      </c>
      <c r="K121" s="949">
        <f t="shared" si="13"/>
        <v>16.218750178813934</v>
      </c>
      <c r="L121" s="944">
        <f t="shared" si="14"/>
        <v>32.429999828338623</v>
      </c>
      <c r="N121" s="1032">
        <v>176171.47024721527</v>
      </c>
      <c r="O121" s="1032">
        <v>98577.182024226204</v>
      </c>
      <c r="P121" s="1032">
        <v>237569.95822103959</v>
      </c>
      <c r="Q121" s="1032">
        <v>176202.18430639719</v>
      </c>
      <c r="R121" s="1032">
        <v>125043.06443950908</v>
      </c>
      <c r="S121" s="1051">
        <f>IF(Tables!$B$2=1,'Michigan Curve'!N121,IF(Tables!$B$2=2,'Michigan Curve'!O121,IF(Tables!$B$2=4,'Michigan Curve'!P121,IF(Tables!$B$2=5,'Michigan Curve'!Q121,IF(Tables!$B$2=3,'Michigan Curve'!R121,0)))))</f>
        <v>176202.18430639719</v>
      </c>
    </row>
    <row r="122" spans="1:19">
      <c r="A122" s="465">
        <v>40452</v>
      </c>
      <c r="B122" s="894">
        <v>27.849994659423828</v>
      </c>
      <c r="C122" s="961">
        <v>19.996000289916992</v>
      </c>
      <c r="D122" s="1008">
        <v>18.996500015258789</v>
      </c>
      <c r="E122" s="957">
        <f t="shared" si="8"/>
        <v>1</v>
      </c>
      <c r="F122" s="944">
        <f t="shared" si="9"/>
        <v>27.849994659423828</v>
      </c>
      <c r="H122" s="955">
        <f t="shared" si="10"/>
        <v>1</v>
      </c>
      <c r="I122" s="952">
        <f t="shared" si="11"/>
        <v>27.849994659423828</v>
      </c>
      <c r="J122" s="950">
        <f t="shared" si="12"/>
        <v>19.996000289916992</v>
      </c>
      <c r="K122" s="949">
        <f t="shared" si="13"/>
        <v>19.996000289916992</v>
      </c>
      <c r="L122" s="944">
        <f t="shared" si="14"/>
        <v>18.996500015258789</v>
      </c>
      <c r="N122" s="1032">
        <v>2432.9058078052835</v>
      </c>
      <c r="O122" s="1032">
        <v>1264.1349256262279</v>
      </c>
      <c r="P122" s="1032">
        <v>3330.0650064890197</v>
      </c>
      <c r="Q122" s="1032">
        <v>2123.0102728240986</v>
      </c>
      <c r="R122" s="1032">
        <v>1090.8165516547942</v>
      </c>
      <c r="S122" s="1051">
        <f>IF(Tables!$B$2=1,'Michigan Curve'!N122,IF(Tables!$B$2=2,'Michigan Curve'!O122,IF(Tables!$B$2=4,'Michigan Curve'!P122,IF(Tables!$B$2=5,'Michigan Curve'!Q122,IF(Tables!$B$2=3,'Michigan Curve'!R122,0)))))</f>
        <v>2123.0102728240986</v>
      </c>
    </row>
    <row r="123" spans="1:19">
      <c r="A123" s="465">
        <v>40483</v>
      </c>
      <c r="B123" s="894">
        <v>27.729995727539063</v>
      </c>
      <c r="C123" s="961">
        <v>20</v>
      </c>
      <c r="D123" s="1008">
        <v>19</v>
      </c>
      <c r="E123" s="957">
        <f t="shared" si="8"/>
        <v>1.08</v>
      </c>
      <c r="F123" s="944">
        <f t="shared" si="9"/>
        <v>29.948395385742188</v>
      </c>
      <c r="H123" s="955">
        <f t="shared" si="10"/>
        <v>0.91999999999999993</v>
      </c>
      <c r="I123" s="952">
        <f t="shared" si="11"/>
        <v>25.511596069335937</v>
      </c>
      <c r="J123" s="950">
        <f t="shared" si="12"/>
        <v>21.6</v>
      </c>
      <c r="K123" s="949">
        <f t="shared" si="13"/>
        <v>18.399999999999999</v>
      </c>
      <c r="L123" s="944">
        <f t="shared" si="14"/>
        <v>20.520000000000003</v>
      </c>
      <c r="N123" s="1032">
        <v>13518.668481745648</v>
      </c>
      <c r="O123" s="1032">
        <v>7407.1558469985048</v>
      </c>
      <c r="P123" s="1032">
        <v>18309.157628915618</v>
      </c>
      <c r="Q123" s="1032">
        <v>13027.178941725002</v>
      </c>
      <c r="R123" s="1032">
        <v>8916.2847341011366</v>
      </c>
      <c r="S123" s="1051">
        <f>IF(Tables!$B$2=1,'Michigan Curve'!N123,IF(Tables!$B$2=2,'Michigan Curve'!O123,IF(Tables!$B$2=4,'Michigan Curve'!P123,IF(Tables!$B$2=5,'Michigan Curve'!Q123,IF(Tables!$B$2=3,'Michigan Curve'!R123,0)))))</f>
        <v>13027.178941725002</v>
      </c>
    </row>
    <row r="124" spans="1:19">
      <c r="A124" s="465">
        <v>40513</v>
      </c>
      <c r="B124" s="894">
        <v>28.199995040893555</v>
      </c>
      <c r="C124" s="961">
        <v>20</v>
      </c>
      <c r="D124" s="1008">
        <v>19</v>
      </c>
      <c r="E124" s="957">
        <f t="shared" si="8"/>
        <v>1.02</v>
      </c>
      <c r="F124" s="944">
        <f t="shared" si="9"/>
        <v>28.763994941711427</v>
      </c>
      <c r="H124" s="955">
        <f t="shared" si="10"/>
        <v>0.98</v>
      </c>
      <c r="I124" s="952">
        <f t="shared" si="11"/>
        <v>27.635995140075682</v>
      </c>
      <c r="J124" s="950">
        <f t="shared" si="12"/>
        <v>20.399999999999999</v>
      </c>
      <c r="K124" s="949">
        <f t="shared" si="13"/>
        <v>19.600000000000001</v>
      </c>
      <c r="L124" s="944">
        <f t="shared" si="14"/>
        <v>19.38</v>
      </c>
      <c r="N124" s="1032">
        <v>7744.2326902338027</v>
      </c>
      <c r="O124" s="1032">
        <v>4199.7460029573267</v>
      </c>
      <c r="P124" s="1032">
        <v>10510.205435804886</v>
      </c>
      <c r="Q124" s="1032">
        <v>7324.5735399569967</v>
      </c>
      <c r="R124" s="1032">
        <v>4934.0397802570778</v>
      </c>
      <c r="S124" s="1051">
        <f>IF(Tables!$B$2=1,'Michigan Curve'!N124,IF(Tables!$B$2=2,'Michigan Curve'!O124,IF(Tables!$B$2=4,'Michigan Curve'!P124,IF(Tables!$B$2=5,'Michigan Curve'!Q124,IF(Tables!$B$2=3,'Michigan Curve'!R124,0)))))</f>
        <v>7324.5735399569967</v>
      </c>
    </row>
    <row r="125" spans="1:19">
      <c r="A125" s="465">
        <v>40544</v>
      </c>
      <c r="B125" s="894">
        <v>33.700000381469728</v>
      </c>
      <c r="C125" s="961">
        <v>22</v>
      </c>
      <c r="D125" s="1008">
        <v>21</v>
      </c>
      <c r="E125" s="957">
        <f t="shared" si="8"/>
        <v>1.02</v>
      </c>
      <c r="F125" s="944">
        <f t="shared" si="9"/>
        <v>34.374000389099123</v>
      </c>
      <c r="H125" s="955">
        <f t="shared" si="10"/>
        <v>0.98</v>
      </c>
      <c r="I125" s="952">
        <f t="shared" si="11"/>
        <v>33.026000373840333</v>
      </c>
      <c r="J125" s="950">
        <f t="shared" si="12"/>
        <v>22.44</v>
      </c>
      <c r="K125" s="949">
        <f t="shared" si="13"/>
        <v>21.56</v>
      </c>
      <c r="L125" s="944">
        <f t="shared" si="14"/>
        <v>21.42</v>
      </c>
      <c r="N125" s="1032">
        <v>38090.401048444837</v>
      </c>
      <c r="O125" s="1032">
        <v>21289.591477797127</v>
      </c>
      <c r="P125" s="1032">
        <v>51383.436697119825</v>
      </c>
      <c r="Q125" s="1032">
        <v>38076.551262663168</v>
      </c>
      <c r="R125" s="1032">
        <v>28327.644873130801</v>
      </c>
      <c r="S125" s="1051">
        <f>IF(Tables!$B$2=1,'Michigan Curve'!N125,IF(Tables!$B$2=2,'Michigan Curve'!O125,IF(Tables!$B$2=4,'Michigan Curve'!P125,IF(Tables!$B$2=5,'Michigan Curve'!Q125,IF(Tables!$B$2=3,'Michigan Curve'!R125,0)))))</f>
        <v>38076.551262663168</v>
      </c>
    </row>
    <row r="126" spans="1:19">
      <c r="A126" s="465">
        <v>40575</v>
      </c>
      <c r="B126" s="894">
        <v>33.699998474121095</v>
      </c>
      <c r="C126" s="961">
        <v>21.996000289916992</v>
      </c>
      <c r="D126" s="1008">
        <v>20.996501922607422</v>
      </c>
      <c r="E126" s="957">
        <f t="shared" si="8"/>
        <v>1.02</v>
      </c>
      <c r="F126" s="944">
        <f t="shared" si="9"/>
        <v>34.373998443603519</v>
      </c>
      <c r="H126" s="955">
        <f t="shared" si="10"/>
        <v>0.98</v>
      </c>
      <c r="I126" s="952">
        <f t="shared" si="11"/>
        <v>33.025998504638672</v>
      </c>
      <c r="J126" s="950">
        <f t="shared" si="12"/>
        <v>22.435920295715331</v>
      </c>
      <c r="K126" s="949">
        <f t="shared" si="13"/>
        <v>21.556080284118654</v>
      </c>
      <c r="L126" s="944">
        <f t="shared" si="14"/>
        <v>21.416431961059569</v>
      </c>
      <c r="N126" s="1032">
        <v>36744.136527741939</v>
      </c>
      <c r="O126" s="1032">
        <v>20543.742499476764</v>
      </c>
      <c r="P126" s="1032">
        <v>49564.158813777845</v>
      </c>
      <c r="Q126" s="1032">
        <v>36752.671649658005</v>
      </c>
      <c r="R126" s="1032">
        <v>27396.729143821198</v>
      </c>
      <c r="S126" s="1051">
        <f>IF(Tables!$B$2=1,'Michigan Curve'!N126,IF(Tables!$B$2=2,'Michigan Curve'!O126,IF(Tables!$B$2=4,'Michigan Curve'!P126,IF(Tables!$B$2=5,'Michigan Curve'!Q126,IF(Tables!$B$2=3,'Michigan Curve'!R126,0)))))</f>
        <v>36752.671649658005</v>
      </c>
    </row>
    <row r="127" spans="1:19">
      <c r="A127" s="465">
        <v>40603</v>
      </c>
      <c r="B127" s="894">
        <v>28.5</v>
      </c>
      <c r="C127" s="961">
        <v>20</v>
      </c>
      <c r="D127" s="1008">
        <v>19</v>
      </c>
      <c r="E127" s="957">
        <f t="shared" ref="E127:E190" si="15">IF(VLOOKUP(MONTH(A127),SeasonTable,2,0)&lt;&gt;"Summer",VLOOKUP(MONTH(A127),ScalarTable,2,0),((0.059228/(B127/100))-(0.4980013/(SQRT(B127/100)))+2.137988))</f>
        <v>1.02</v>
      </c>
      <c r="F127" s="944">
        <f t="shared" si="9"/>
        <v>29.07</v>
      </c>
      <c r="H127" s="955">
        <f t="shared" si="10"/>
        <v>0.98</v>
      </c>
      <c r="I127" s="952">
        <f t="shared" si="11"/>
        <v>27.93</v>
      </c>
      <c r="J127" s="950">
        <f t="shared" si="12"/>
        <v>20.399999999999999</v>
      </c>
      <c r="K127" s="949">
        <f t="shared" si="13"/>
        <v>19.600000000000001</v>
      </c>
      <c r="L127" s="944">
        <f t="shared" si="14"/>
        <v>19.38</v>
      </c>
      <c r="N127" s="1032">
        <v>9678.8260263303346</v>
      </c>
      <c r="O127" s="1032">
        <v>5277.8512249769465</v>
      </c>
      <c r="P127" s="1032">
        <v>13121.320514904422</v>
      </c>
      <c r="Q127" s="1032">
        <v>9245.857268177253</v>
      </c>
      <c r="R127" s="1032">
        <v>6232.9022222436088</v>
      </c>
      <c r="S127" s="1051">
        <f>IF(Tables!$B$2=1,'Michigan Curve'!N127,IF(Tables!$B$2=2,'Michigan Curve'!O127,IF(Tables!$B$2=4,'Michigan Curve'!P127,IF(Tables!$B$2=5,'Michigan Curve'!Q127,IF(Tables!$B$2=3,'Michigan Curve'!R127,0)))))</f>
        <v>9245.857268177253</v>
      </c>
    </row>
    <row r="128" spans="1:19">
      <c r="A128" s="465">
        <v>40634</v>
      </c>
      <c r="B128" s="894">
        <v>28.75</v>
      </c>
      <c r="C128" s="961">
        <v>20</v>
      </c>
      <c r="D128" s="1008">
        <v>18.995000839233398</v>
      </c>
      <c r="E128" s="957">
        <f t="shared" si="15"/>
        <v>1</v>
      </c>
      <c r="F128" s="944">
        <f t="shared" si="9"/>
        <v>28.75</v>
      </c>
      <c r="H128" s="955">
        <f t="shared" si="10"/>
        <v>1</v>
      </c>
      <c r="I128" s="952">
        <f t="shared" si="11"/>
        <v>28.75</v>
      </c>
      <c r="J128" s="950">
        <f t="shared" si="12"/>
        <v>20</v>
      </c>
      <c r="K128" s="949">
        <f t="shared" si="13"/>
        <v>20</v>
      </c>
      <c r="L128" s="944">
        <f t="shared" si="14"/>
        <v>18.995000839233398</v>
      </c>
      <c r="N128" s="1032">
        <v>10783.281129446485</v>
      </c>
      <c r="O128" s="1032">
        <v>5884.5108091159345</v>
      </c>
      <c r="P128" s="1032">
        <v>14616.270561290914</v>
      </c>
      <c r="Q128" s="1032">
        <v>10313.372208639712</v>
      </c>
      <c r="R128" s="1032">
        <v>6951.2076644154076</v>
      </c>
      <c r="S128" s="1051">
        <f>IF(Tables!$B$2=1,'Michigan Curve'!N128,IF(Tables!$B$2=2,'Michigan Curve'!O128,IF(Tables!$B$2=4,'Michigan Curve'!P128,IF(Tables!$B$2=5,'Michigan Curve'!Q128,IF(Tables!$B$2=3,'Michigan Curve'!R128,0)))))</f>
        <v>10313.372208639712</v>
      </c>
    </row>
    <row r="129" spans="1:19">
      <c r="A129" s="465">
        <v>40664</v>
      </c>
      <c r="B129" s="894">
        <v>32.5</v>
      </c>
      <c r="C129" s="961">
        <v>21</v>
      </c>
      <c r="D129" s="1008">
        <v>20.004999160766602</v>
      </c>
      <c r="E129" s="957">
        <f t="shared" si="15"/>
        <v>1.0762500017881393</v>
      </c>
      <c r="F129" s="944">
        <f t="shared" ref="F129:F192" si="16">+E129*B129</f>
        <v>34.978125058114529</v>
      </c>
      <c r="H129" s="955">
        <f t="shared" si="10"/>
        <v>0.92374999821186066</v>
      </c>
      <c r="I129" s="952">
        <f t="shared" si="11"/>
        <v>30.021874941885471</v>
      </c>
      <c r="J129" s="950">
        <f t="shared" si="12"/>
        <v>22.601250037550926</v>
      </c>
      <c r="K129" s="949">
        <f t="shared" si="13"/>
        <v>19.398749962449074</v>
      </c>
      <c r="L129" s="944">
        <f t="shared" si="14"/>
        <v>21.530380382546781</v>
      </c>
      <c r="N129" s="1032">
        <v>23852.63542266711</v>
      </c>
      <c r="O129" s="1032">
        <v>12920.480478576806</v>
      </c>
      <c r="P129" s="1032">
        <v>32377.05191063862</v>
      </c>
      <c r="Q129" s="1032">
        <v>22476.062343759691</v>
      </c>
      <c r="R129" s="1032">
        <v>13976.394942803328</v>
      </c>
      <c r="S129" s="1051">
        <f>IF(Tables!$B$2=1,'Michigan Curve'!N129,IF(Tables!$B$2=2,'Michigan Curve'!O129,IF(Tables!$B$2=4,'Michigan Curve'!P129,IF(Tables!$B$2=5,'Michigan Curve'!Q129,IF(Tables!$B$2=3,'Michigan Curve'!R129,0)))))</f>
        <v>22476.062343759691</v>
      </c>
    </row>
    <row r="130" spans="1:19">
      <c r="A130" s="465">
        <v>40695</v>
      </c>
      <c r="B130" s="894">
        <v>52.25</v>
      </c>
      <c r="C130" s="961">
        <v>26</v>
      </c>
      <c r="D130" s="1008">
        <v>24</v>
      </c>
      <c r="E130" s="957">
        <f t="shared" si="15"/>
        <v>1.5623936194552286</v>
      </c>
      <c r="F130" s="944">
        <f t="shared" si="16"/>
        <v>81.635066616535696</v>
      </c>
      <c r="H130" s="955">
        <f t="shared" si="10"/>
        <v>0.43760638054477141</v>
      </c>
      <c r="I130" s="952">
        <f t="shared" si="11"/>
        <v>22.864933383464304</v>
      </c>
      <c r="J130" s="950">
        <f t="shared" si="12"/>
        <v>40.622234105835943</v>
      </c>
      <c r="K130" s="949">
        <f t="shared" si="13"/>
        <v>11.377765894164057</v>
      </c>
      <c r="L130" s="944">
        <f t="shared" si="14"/>
        <v>37.497446866925486</v>
      </c>
      <c r="N130" s="1032">
        <v>85914.948530209484</v>
      </c>
      <c r="O130" s="1032">
        <v>52213.599323985749</v>
      </c>
      <c r="P130" s="1032">
        <v>114027.66172361327</v>
      </c>
      <c r="Q130" s="1032">
        <v>100606.16373707843</v>
      </c>
      <c r="R130" s="1032">
        <v>112664.65160900285</v>
      </c>
      <c r="S130" s="1051">
        <f>IF(Tables!$B$2=1,'Michigan Curve'!N130,IF(Tables!$B$2=2,'Michigan Curve'!O130,IF(Tables!$B$2=4,'Michigan Curve'!P130,IF(Tables!$B$2=5,'Michigan Curve'!Q130,IF(Tables!$B$2=3,'Michigan Curve'!R130,0)))))</f>
        <v>100606.16373707843</v>
      </c>
    </row>
    <row r="131" spans="1:19">
      <c r="A131" s="465">
        <v>40725</v>
      </c>
      <c r="B131" s="894">
        <v>89</v>
      </c>
      <c r="C131" s="961">
        <v>35</v>
      </c>
      <c r="D131" s="1008">
        <v>30.999998092651367</v>
      </c>
      <c r="E131" s="957">
        <f t="shared" si="15"/>
        <v>1.6766559923663302</v>
      </c>
      <c r="F131" s="944">
        <f t="shared" si="16"/>
        <v>149.2223833206034</v>
      </c>
      <c r="H131" s="955">
        <f t="shared" si="10"/>
        <v>0.32334400763366977</v>
      </c>
      <c r="I131" s="952">
        <f t="shared" si="11"/>
        <v>28.777616679396608</v>
      </c>
      <c r="J131" s="950">
        <f t="shared" si="12"/>
        <v>58.682959732821558</v>
      </c>
      <c r="K131" s="949">
        <f t="shared" si="13"/>
        <v>11.317040267178442</v>
      </c>
      <c r="L131" s="944">
        <f t="shared" si="14"/>
        <v>51.976332565388724</v>
      </c>
      <c r="N131" s="1032">
        <v>278514.50422726106</v>
      </c>
      <c r="O131" s="1032">
        <v>171467.46719809435</v>
      </c>
      <c r="P131" s="1032">
        <v>368553.78289135918</v>
      </c>
      <c r="Q131" s="1032">
        <v>333287.24578136113</v>
      </c>
      <c r="R131" s="1032">
        <v>338621.80632079393</v>
      </c>
      <c r="S131" s="1051">
        <f>IF(Tables!$B$2=1,'Michigan Curve'!N131,IF(Tables!$B$2=2,'Michigan Curve'!O131,IF(Tables!$B$2=4,'Michigan Curve'!P131,IF(Tables!$B$2=5,'Michigan Curve'!Q131,IF(Tables!$B$2=3,'Michigan Curve'!R131,0)))))</f>
        <v>333287.24578136113</v>
      </c>
    </row>
    <row r="132" spans="1:19">
      <c r="A132" s="465">
        <v>40756</v>
      </c>
      <c r="B132" s="894">
        <v>89</v>
      </c>
      <c r="C132" s="961">
        <v>35.000003814697266</v>
      </c>
      <c r="D132" s="1008">
        <v>31</v>
      </c>
      <c r="E132" s="957">
        <f t="shared" si="15"/>
        <v>1.6766559923663302</v>
      </c>
      <c r="F132" s="944">
        <f t="shared" si="16"/>
        <v>149.2223833206034</v>
      </c>
      <c r="H132" s="955">
        <f t="shared" si="10"/>
        <v>0.32334400763366977</v>
      </c>
      <c r="I132" s="952">
        <f t="shared" si="11"/>
        <v>28.777616679396608</v>
      </c>
      <c r="J132" s="950">
        <f t="shared" si="12"/>
        <v>58.68296612875659</v>
      </c>
      <c r="K132" s="949">
        <f t="shared" si="13"/>
        <v>11.317041500637943</v>
      </c>
      <c r="L132" s="944">
        <f t="shared" si="14"/>
        <v>51.976335763356239</v>
      </c>
      <c r="N132" s="1032">
        <v>237825.18094073329</v>
      </c>
      <c r="O132" s="1032">
        <v>145543.76001654379</v>
      </c>
      <c r="P132" s="1032">
        <v>315102.14971461333</v>
      </c>
      <c r="Q132" s="1032">
        <v>281522.27450966183</v>
      </c>
      <c r="R132" s="1032">
        <v>284609.41248069145</v>
      </c>
      <c r="S132" s="1051">
        <f>IF(Tables!$B$2=1,'Michigan Curve'!N132,IF(Tables!$B$2=2,'Michigan Curve'!O132,IF(Tables!$B$2=4,'Michigan Curve'!P132,IF(Tables!$B$2=5,'Michigan Curve'!Q132,IF(Tables!$B$2=3,'Michigan Curve'!R132,0)))))</f>
        <v>281522.27450966183</v>
      </c>
    </row>
    <row r="133" spans="1:19">
      <c r="A133" s="465">
        <v>40787</v>
      </c>
      <c r="B133" s="894">
        <v>35.25</v>
      </c>
      <c r="C133" s="961">
        <v>25</v>
      </c>
      <c r="D133" s="1008">
        <v>24</v>
      </c>
      <c r="E133" s="957">
        <f t="shared" si="15"/>
        <v>1.3512499928474426</v>
      </c>
      <c r="F133" s="944">
        <f t="shared" si="16"/>
        <v>47.631562247872353</v>
      </c>
      <c r="H133" s="955">
        <f t="shared" si="10"/>
        <v>0.64875000715255737</v>
      </c>
      <c r="I133" s="952">
        <f t="shared" si="11"/>
        <v>22.868437752127647</v>
      </c>
      <c r="J133" s="950">
        <f t="shared" si="12"/>
        <v>33.781249821186066</v>
      </c>
      <c r="K133" s="949">
        <f t="shared" si="13"/>
        <v>16.218750178813934</v>
      </c>
      <c r="L133" s="944">
        <f t="shared" si="14"/>
        <v>32.429999828338623</v>
      </c>
      <c r="N133" s="1032">
        <v>168968.37611062356</v>
      </c>
      <c r="O133" s="1032">
        <v>94400.262290200582</v>
      </c>
      <c r="P133" s="1032">
        <v>227927.2867816755</v>
      </c>
      <c r="Q133" s="1032">
        <v>168520.26022714545</v>
      </c>
      <c r="R133" s="1032">
        <v>118946.32865040889</v>
      </c>
      <c r="S133" s="1051">
        <f>IF(Tables!$B$2=1,'Michigan Curve'!N133,IF(Tables!$B$2=2,'Michigan Curve'!O133,IF(Tables!$B$2=4,'Michigan Curve'!P133,IF(Tables!$B$2=5,'Michigan Curve'!Q133,IF(Tables!$B$2=3,'Michigan Curve'!R133,0)))))</f>
        <v>168520.26022714545</v>
      </c>
    </row>
    <row r="134" spans="1:19">
      <c r="A134" s="465">
        <v>40817</v>
      </c>
      <c r="B134" s="894">
        <v>28.349994659423828</v>
      </c>
      <c r="C134" s="961">
        <v>19.996000289916992</v>
      </c>
      <c r="D134" s="1008">
        <v>18.996500015258789</v>
      </c>
      <c r="E134" s="957">
        <f t="shared" si="15"/>
        <v>1</v>
      </c>
      <c r="F134" s="944">
        <f t="shared" si="16"/>
        <v>28.349994659423828</v>
      </c>
      <c r="H134" s="955">
        <f t="shared" ref="H134:H197" si="17">2-E134</f>
        <v>1</v>
      </c>
      <c r="I134" s="952">
        <f t="shared" ref="I134:I197" si="18">B134*H134</f>
        <v>28.349994659423828</v>
      </c>
      <c r="J134" s="950">
        <f t="shared" ref="J134:J197" si="19">C134*E134</f>
        <v>19.996000289916992</v>
      </c>
      <c r="K134" s="949">
        <f t="shared" ref="K134:K197" si="20">C134*H134</f>
        <v>19.996000289916992</v>
      </c>
      <c r="L134" s="944">
        <f t="shared" ref="L134:L197" si="21">D134*E134</f>
        <v>18.996500015258789</v>
      </c>
      <c r="N134" s="1032">
        <v>2562.4936664632437</v>
      </c>
      <c r="O134" s="1032">
        <v>1335.5896073822857</v>
      </c>
      <c r="P134" s="1032">
        <v>3505.2980000551197</v>
      </c>
      <c r="Q134" s="1032">
        <v>2249.3776336250976</v>
      </c>
      <c r="R134" s="1032">
        <v>1188.8796976078279</v>
      </c>
      <c r="S134" s="1051">
        <f>IF(Tables!$B$2=1,'Michigan Curve'!N134,IF(Tables!$B$2=2,'Michigan Curve'!O134,IF(Tables!$B$2=4,'Michigan Curve'!P134,IF(Tables!$B$2=5,'Michigan Curve'!Q134,IF(Tables!$B$2=3,'Michigan Curve'!R134,0)))))</f>
        <v>2249.3776336250976</v>
      </c>
    </row>
    <row r="135" spans="1:19">
      <c r="A135" s="465">
        <v>40848</v>
      </c>
      <c r="B135" s="894">
        <v>28.229995727539063</v>
      </c>
      <c r="C135" s="961">
        <v>20</v>
      </c>
      <c r="D135" s="1008">
        <v>19</v>
      </c>
      <c r="E135" s="957">
        <f t="shared" si="15"/>
        <v>1.08</v>
      </c>
      <c r="F135" s="944">
        <f t="shared" si="16"/>
        <v>30.488395385742191</v>
      </c>
      <c r="H135" s="955">
        <f t="shared" si="17"/>
        <v>0.91999999999999993</v>
      </c>
      <c r="I135" s="952">
        <f t="shared" si="18"/>
        <v>25.971596069335934</v>
      </c>
      <c r="J135" s="950">
        <f t="shared" si="19"/>
        <v>21.6</v>
      </c>
      <c r="K135" s="949">
        <f t="shared" si="20"/>
        <v>18.399999999999999</v>
      </c>
      <c r="L135" s="944">
        <f t="shared" si="21"/>
        <v>20.520000000000003</v>
      </c>
      <c r="N135" s="1032">
        <v>14693.972800549693</v>
      </c>
      <c r="O135" s="1032">
        <v>8073.8025543817002</v>
      </c>
      <c r="P135" s="1032">
        <v>19889.81530658048</v>
      </c>
      <c r="Q135" s="1032">
        <v>14234.303585498032</v>
      </c>
      <c r="R135" s="1032">
        <v>9935.0197324970286</v>
      </c>
      <c r="S135" s="1051">
        <f>IF(Tables!$B$2=1,'Michigan Curve'!N135,IF(Tables!$B$2=2,'Michigan Curve'!O135,IF(Tables!$B$2=4,'Michigan Curve'!P135,IF(Tables!$B$2=5,'Michigan Curve'!Q135,IF(Tables!$B$2=3,'Michigan Curve'!R135,0)))))</f>
        <v>14234.303585498032</v>
      </c>
    </row>
    <row r="136" spans="1:19">
      <c r="A136" s="465">
        <v>40878</v>
      </c>
      <c r="B136" s="894">
        <v>28.699995040893555</v>
      </c>
      <c r="C136" s="961">
        <v>20</v>
      </c>
      <c r="D136" s="1008">
        <v>19</v>
      </c>
      <c r="E136" s="957">
        <f t="shared" si="15"/>
        <v>1.02</v>
      </c>
      <c r="F136" s="944">
        <f t="shared" si="16"/>
        <v>29.273994941711425</v>
      </c>
      <c r="H136" s="955">
        <f t="shared" si="17"/>
        <v>0.98</v>
      </c>
      <c r="I136" s="952">
        <f t="shared" si="18"/>
        <v>28.125995140075684</v>
      </c>
      <c r="J136" s="950">
        <f t="shared" si="19"/>
        <v>20.399999999999999</v>
      </c>
      <c r="K136" s="949">
        <f t="shared" si="20"/>
        <v>19.600000000000001</v>
      </c>
      <c r="L136" s="944">
        <f t="shared" si="21"/>
        <v>19.38</v>
      </c>
      <c r="N136" s="1032">
        <v>8020.4353744911105</v>
      </c>
      <c r="O136" s="1032">
        <v>4366.3840936036158</v>
      </c>
      <c r="P136" s="1032">
        <v>10876.671211386698</v>
      </c>
      <c r="Q136" s="1032">
        <v>7640.2717897706134</v>
      </c>
      <c r="R136" s="1032">
        <v>5273.25650322825</v>
      </c>
      <c r="S136" s="1051">
        <f>IF(Tables!$B$2=1,'Michigan Curve'!N136,IF(Tables!$B$2=2,'Michigan Curve'!O136,IF(Tables!$B$2=4,'Michigan Curve'!P136,IF(Tables!$B$2=5,'Michigan Curve'!Q136,IF(Tables!$B$2=3,'Michigan Curve'!R136,0)))))</f>
        <v>7640.2717897706134</v>
      </c>
    </row>
    <row r="137" spans="1:19">
      <c r="A137" s="465">
        <v>40909</v>
      </c>
      <c r="B137" s="894">
        <v>34.200000381469728</v>
      </c>
      <c r="C137" s="961">
        <v>22</v>
      </c>
      <c r="D137" s="1008">
        <v>21</v>
      </c>
      <c r="E137" s="957">
        <f t="shared" si="15"/>
        <v>1.02</v>
      </c>
      <c r="F137" s="944">
        <f t="shared" si="16"/>
        <v>34.884000389099121</v>
      </c>
      <c r="H137" s="955">
        <f t="shared" si="17"/>
        <v>0.98</v>
      </c>
      <c r="I137" s="952">
        <f t="shared" si="18"/>
        <v>33.516000373840335</v>
      </c>
      <c r="J137" s="950">
        <f t="shared" si="19"/>
        <v>22.44</v>
      </c>
      <c r="K137" s="949">
        <f t="shared" si="20"/>
        <v>21.56</v>
      </c>
      <c r="L137" s="944">
        <f t="shared" si="21"/>
        <v>21.42</v>
      </c>
      <c r="N137" s="1032">
        <v>39724.673271137806</v>
      </c>
      <c r="O137" s="1032">
        <v>22238.931980570946</v>
      </c>
      <c r="P137" s="1032">
        <v>53570.85942176816</v>
      </c>
      <c r="Q137" s="1032">
        <v>39830.674358600751</v>
      </c>
      <c r="R137" s="1032">
        <v>29990.962102568348</v>
      </c>
      <c r="S137" s="1051">
        <f>IF(Tables!$B$2=1,'Michigan Curve'!N137,IF(Tables!$B$2=2,'Michigan Curve'!O137,IF(Tables!$B$2=4,'Michigan Curve'!P137,IF(Tables!$B$2=5,'Michigan Curve'!Q137,IF(Tables!$B$2=3,'Michigan Curve'!R137,0)))))</f>
        <v>39830.674358600751</v>
      </c>
    </row>
    <row r="138" spans="1:19">
      <c r="A138" s="465">
        <v>40940</v>
      </c>
      <c r="B138" s="894">
        <v>34.199998474121095</v>
      </c>
      <c r="C138" s="961">
        <v>21.996000289916992</v>
      </c>
      <c r="D138" s="1008">
        <v>20.996501922607422</v>
      </c>
      <c r="E138" s="957">
        <f t="shared" si="15"/>
        <v>1.02</v>
      </c>
      <c r="F138" s="944">
        <f t="shared" si="16"/>
        <v>34.883998443603517</v>
      </c>
      <c r="H138" s="955">
        <f t="shared" si="17"/>
        <v>0.98</v>
      </c>
      <c r="I138" s="952">
        <f t="shared" si="18"/>
        <v>33.515998504638674</v>
      </c>
      <c r="J138" s="950">
        <f t="shared" si="19"/>
        <v>22.435920295715331</v>
      </c>
      <c r="K138" s="949">
        <f t="shared" si="20"/>
        <v>21.556080284118654</v>
      </c>
      <c r="L138" s="944">
        <f t="shared" si="21"/>
        <v>21.416431961059569</v>
      </c>
      <c r="N138" s="1032">
        <v>40033.816100858618</v>
      </c>
      <c r="O138" s="1032">
        <v>22417.068058090968</v>
      </c>
      <c r="P138" s="1032">
        <v>53985.320146783291</v>
      </c>
      <c r="Q138" s="1032">
        <v>40157.501214488017</v>
      </c>
      <c r="R138" s="1032">
        <v>30279.84107083271</v>
      </c>
      <c r="S138" s="1051">
        <f>IF(Tables!$B$2=1,'Michigan Curve'!N138,IF(Tables!$B$2=2,'Michigan Curve'!O138,IF(Tables!$B$2=4,'Michigan Curve'!P138,IF(Tables!$B$2=5,'Michigan Curve'!Q138,IF(Tables!$B$2=3,'Michigan Curve'!R138,0)))))</f>
        <v>40157.501214488017</v>
      </c>
    </row>
    <row r="139" spans="1:19">
      <c r="A139" s="465">
        <v>40969</v>
      </c>
      <c r="B139" s="894">
        <v>29</v>
      </c>
      <c r="C139" s="961">
        <v>20</v>
      </c>
      <c r="D139" s="1008">
        <v>19</v>
      </c>
      <c r="E139" s="957">
        <f t="shared" si="15"/>
        <v>1.02</v>
      </c>
      <c r="F139" s="944">
        <f t="shared" si="16"/>
        <v>29.580000000000002</v>
      </c>
      <c r="H139" s="955">
        <f t="shared" si="17"/>
        <v>0.98</v>
      </c>
      <c r="I139" s="952">
        <f t="shared" si="18"/>
        <v>28.419999999999998</v>
      </c>
      <c r="J139" s="950">
        <f t="shared" si="19"/>
        <v>20.399999999999999</v>
      </c>
      <c r="K139" s="949">
        <f t="shared" si="20"/>
        <v>19.600000000000001</v>
      </c>
      <c r="L139" s="944">
        <f t="shared" si="21"/>
        <v>19.38</v>
      </c>
      <c r="N139" s="1032">
        <v>10123.758507442344</v>
      </c>
      <c r="O139" s="1032">
        <v>5536.9539399442783</v>
      </c>
      <c r="P139" s="1032">
        <v>13716.360877253395</v>
      </c>
      <c r="Q139" s="1032">
        <v>9724.7562391390074</v>
      </c>
      <c r="R139" s="1032">
        <v>6692.876500542181</v>
      </c>
      <c r="S139" s="1051">
        <f>IF(Tables!$B$2=1,'Michigan Curve'!N139,IF(Tables!$B$2=2,'Michigan Curve'!O139,IF(Tables!$B$2=4,'Michigan Curve'!P139,IF(Tables!$B$2=5,'Michigan Curve'!Q139,IF(Tables!$B$2=3,'Michigan Curve'!R139,0)))))</f>
        <v>9724.7562391390074</v>
      </c>
    </row>
    <row r="140" spans="1:19">
      <c r="A140" s="465">
        <v>41000</v>
      </c>
      <c r="B140" s="894">
        <v>29.25</v>
      </c>
      <c r="C140" s="961">
        <v>20</v>
      </c>
      <c r="D140" s="1008">
        <v>18.995000839233398</v>
      </c>
      <c r="E140" s="957">
        <f t="shared" si="15"/>
        <v>1</v>
      </c>
      <c r="F140" s="944">
        <f t="shared" si="16"/>
        <v>29.25</v>
      </c>
      <c r="H140" s="955">
        <f t="shared" si="17"/>
        <v>1</v>
      </c>
      <c r="I140" s="952">
        <f t="shared" si="18"/>
        <v>29.25</v>
      </c>
      <c r="J140" s="950">
        <f t="shared" si="19"/>
        <v>20</v>
      </c>
      <c r="K140" s="949">
        <f t="shared" si="20"/>
        <v>20</v>
      </c>
      <c r="L140" s="944">
        <f t="shared" si="21"/>
        <v>18.995000839233398</v>
      </c>
      <c r="N140" s="1032">
        <v>11521.607563180602</v>
      </c>
      <c r="O140" s="1032">
        <v>6304.1352706151993</v>
      </c>
      <c r="P140" s="1032">
        <v>15608.807821452623</v>
      </c>
      <c r="Q140" s="1032">
        <v>11074.532416536242</v>
      </c>
      <c r="R140" s="1032">
        <v>7610.2152871408143</v>
      </c>
      <c r="S140" s="1051">
        <f>IF(Tables!$B$2=1,'Michigan Curve'!N140,IF(Tables!$B$2=2,'Michigan Curve'!O140,IF(Tables!$B$2=4,'Michigan Curve'!P140,IF(Tables!$B$2=5,'Michigan Curve'!Q140,IF(Tables!$B$2=3,'Michigan Curve'!R140,0)))))</f>
        <v>11074.532416536242</v>
      </c>
    </row>
    <row r="141" spans="1:19">
      <c r="A141" s="465">
        <v>41030</v>
      </c>
      <c r="B141" s="894">
        <v>33</v>
      </c>
      <c r="C141" s="961">
        <v>21</v>
      </c>
      <c r="D141" s="1008">
        <v>20.004999160766602</v>
      </c>
      <c r="E141" s="957">
        <f t="shared" si="15"/>
        <v>1.0762500017881393</v>
      </c>
      <c r="F141" s="944">
        <f t="shared" si="16"/>
        <v>35.516250059008598</v>
      </c>
      <c r="H141" s="955">
        <f t="shared" si="17"/>
        <v>0.92374999821186066</v>
      </c>
      <c r="I141" s="952">
        <f t="shared" si="18"/>
        <v>30.483749940991402</v>
      </c>
      <c r="J141" s="950">
        <f t="shared" si="19"/>
        <v>22.601250037550926</v>
      </c>
      <c r="K141" s="949">
        <f t="shared" si="20"/>
        <v>19.398749962449074</v>
      </c>
      <c r="L141" s="944">
        <f t="shared" si="21"/>
        <v>21.530380382546781</v>
      </c>
      <c r="N141" s="1032">
        <v>24706.066317705438</v>
      </c>
      <c r="O141" s="1032">
        <v>13394.542963270547</v>
      </c>
      <c r="P141" s="1032">
        <v>33529.803623713597</v>
      </c>
      <c r="Q141" s="1032">
        <v>23321.469670833365</v>
      </c>
      <c r="R141" s="1032">
        <v>14675.450412904771</v>
      </c>
      <c r="S141" s="1051">
        <f>IF(Tables!$B$2=1,'Michigan Curve'!N141,IF(Tables!$B$2=2,'Michigan Curve'!O141,IF(Tables!$B$2=4,'Michigan Curve'!P141,IF(Tables!$B$2=5,'Michigan Curve'!Q141,IF(Tables!$B$2=3,'Michigan Curve'!R141,0)))))</f>
        <v>23321.469670833365</v>
      </c>
    </row>
    <row r="142" spans="1:19">
      <c r="A142" s="465">
        <v>41061</v>
      </c>
      <c r="B142" s="894">
        <v>53.25</v>
      </c>
      <c r="C142" s="961">
        <v>26</v>
      </c>
      <c r="D142" s="1008">
        <v>24</v>
      </c>
      <c r="E142" s="957">
        <f t="shared" si="15"/>
        <v>1.5667645546009452</v>
      </c>
      <c r="F142" s="944">
        <f t="shared" si="16"/>
        <v>83.430212532500335</v>
      </c>
      <c r="H142" s="955">
        <f t="shared" si="17"/>
        <v>0.43323544539905479</v>
      </c>
      <c r="I142" s="952">
        <f t="shared" si="18"/>
        <v>23.069787467499669</v>
      </c>
      <c r="J142" s="950">
        <f t="shared" si="19"/>
        <v>40.735878419624576</v>
      </c>
      <c r="K142" s="949">
        <f t="shared" si="20"/>
        <v>11.264121580375424</v>
      </c>
      <c r="L142" s="944">
        <f t="shared" si="21"/>
        <v>37.602349310422682</v>
      </c>
      <c r="N142" s="1032">
        <v>86154.029664346948</v>
      </c>
      <c r="O142" s="1032">
        <v>52223.367832871503</v>
      </c>
      <c r="P142" s="1032">
        <v>114406.26743597514</v>
      </c>
      <c r="Q142" s="1032">
        <v>100418.86835874221</v>
      </c>
      <c r="R142" s="1032">
        <v>111727.77111232956</v>
      </c>
      <c r="S142" s="1051">
        <f>IF(Tables!$B$2=1,'Michigan Curve'!N142,IF(Tables!$B$2=2,'Michigan Curve'!O142,IF(Tables!$B$2=4,'Michigan Curve'!P142,IF(Tables!$B$2=5,'Michigan Curve'!Q142,IF(Tables!$B$2=3,'Michigan Curve'!R142,0)))))</f>
        <v>100418.86835874221</v>
      </c>
    </row>
    <row r="143" spans="1:19">
      <c r="A143" s="465">
        <v>41091</v>
      </c>
      <c r="B143" s="894">
        <v>92</v>
      </c>
      <c r="C143" s="961">
        <v>35</v>
      </c>
      <c r="D143" s="1008">
        <v>30.999998092651367</v>
      </c>
      <c r="E143" s="957">
        <f t="shared" si="15"/>
        <v>1.6831640145237579</v>
      </c>
      <c r="F143" s="944">
        <f t="shared" si="16"/>
        <v>154.85108933618574</v>
      </c>
      <c r="H143" s="955">
        <f t="shared" si="17"/>
        <v>0.31683598547624214</v>
      </c>
      <c r="I143" s="952">
        <f t="shared" si="18"/>
        <v>29.148910663814277</v>
      </c>
      <c r="J143" s="950">
        <f t="shared" si="19"/>
        <v>58.910740508331529</v>
      </c>
      <c r="K143" s="949">
        <f t="shared" si="20"/>
        <v>11.089259491668475</v>
      </c>
      <c r="L143" s="944">
        <f t="shared" si="21"/>
        <v>52.178081239855914</v>
      </c>
      <c r="N143" s="1032">
        <v>273858.16055012122</v>
      </c>
      <c r="O143" s="1032">
        <v>167506.7520016958</v>
      </c>
      <c r="P143" s="1032">
        <v>362431.1338318605</v>
      </c>
      <c r="Q143" s="1032">
        <v>316294.92717749532</v>
      </c>
      <c r="R143" s="1032">
        <v>312967.48340940289</v>
      </c>
      <c r="S143" s="1051">
        <f>IF(Tables!$B$2=1,'Michigan Curve'!N143,IF(Tables!$B$2=2,'Michigan Curve'!O143,IF(Tables!$B$2=4,'Michigan Curve'!P143,IF(Tables!$B$2=5,'Michigan Curve'!Q143,IF(Tables!$B$2=3,'Michigan Curve'!R143,0)))))</f>
        <v>316294.92717749532</v>
      </c>
    </row>
    <row r="144" spans="1:19">
      <c r="A144" s="465">
        <v>41122</v>
      </c>
      <c r="B144" s="894">
        <v>92</v>
      </c>
      <c r="C144" s="961">
        <v>35.000003814697266</v>
      </c>
      <c r="D144" s="1008">
        <v>31</v>
      </c>
      <c r="E144" s="957">
        <f t="shared" si="15"/>
        <v>1.6831640145237579</v>
      </c>
      <c r="F144" s="944">
        <f t="shared" si="16"/>
        <v>154.85108933618574</v>
      </c>
      <c r="H144" s="955">
        <f t="shared" si="17"/>
        <v>0.31683598547624214</v>
      </c>
      <c r="I144" s="952">
        <f t="shared" si="18"/>
        <v>29.148910663814277</v>
      </c>
      <c r="J144" s="950">
        <f t="shared" si="19"/>
        <v>58.910746929092689</v>
      </c>
      <c r="K144" s="949">
        <f t="shared" si="20"/>
        <v>11.089260700301843</v>
      </c>
      <c r="L144" s="944">
        <f t="shared" si="21"/>
        <v>52.178084450236497</v>
      </c>
      <c r="N144" s="1032">
        <v>242615.17418570165</v>
      </c>
      <c r="O144" s="1032">
        <v>147057.71853354573</v>
      </c>
      <c r="P144" s="1032">
        <v>321355.3332563499</v>
      </c>
      <c r="Q144" s="1032">
        <v>278680.72554368433</v>
      </c>
      <c r="R144" s="1032">
        <v>281722.50990540069</v>
      </c>
      <c r="S144" s="1051">
        <f>IF(Tables!$B$2=1,'Michigan Curve'!N144,IF(Tables!$B$2=2,'Michigan Curve'!O144,IF(Tables!$B$2=4,'Michigan Curve'!P144,IF(Tables!$B$2=5,'Michigan Curve'!Q144,IF(Tables!$B$2=3,'Michigan Curve'!R144,0)))))</f>
        <v>278680.72554368433</v>
      </c>
    </row>
    <row r="145" spans="1:19">
      <c r="A145" s="465">
        <v>41153</v>
      </c>
      <c r="B145" s="894">
        <v>35.75</v>
      </c>
      <c r="C145" s="961">
        <v>25</v>
      </c>
      <c r="D145" s="1008">
        <v>24</v>
      </c>
      <c r="E145" s="957">
        <f t="shared" si="15"/>
        <v>1.3512499928474426</v>
      </c>
      <c r="F145" s="944">
        <f t="shared" si="16"/>
        <v>48.307187244296074</v>
      </c>
      <c r="H145" s="955">
        <f t="shared" si="17"/>
        <v>0.64875000715255737</v>
      </c>
      <c r="I145" s="952">
        <f t="shared" si="18"/>
        <v>23.192812755703926</v>
      </c>
      <c r="J145" s="950">
        <f t="shared" si="19"/>
        <v>33.781249821186066</v>
      </c>
      <c r="K145" s="949">
        <f t="shared" si="20"/>
        <v>16.218750178813934</v>
      </c>
      <c r="L145" s="944">
        <f t="shared" si="21"/>
        <v>32.429999828338623</v>
      </c>
      <c r="N145" s="1032">
        <v>146898.11470376569</v>
      </c>
      <c r="O145" s="1032">
        <v>81964.723997791516</v>
      </c>
      <c r="P145" s="1032">
        <v>198207.23949798296</v>
      </c>
      <c r="Q145" s="1032">
        <v>146168.3946863935</v>
      </c>
      <c r="R145" s="1032">
        <v>102815.83817711253</v>
      </c>
      <c r="S145" s="1051">
        <f>IF(Tables!$B$2=1,'Michigan Curve'!N145,IF(Tables!$B$2=2,'Michigan Curve'!O145,IF(Tables!$B$2=4,'Michigan Curve'!P145,IF(Tables!$B$2=5,'Michigan Curve'!Q145,IF(Tables!$B$2=3,'Michigan Curve'!R145,0)))))</f>
        <v>146168.3946863935</v>
      </c>
    </row>
    <row r="146" spans="1:19">
      <c r="A146" s="465">
        <v>41183</v>
      </c>
      <c r="B146" s="894">
        <v>28.849994659423828</v>
      </c>
      <c r="C146" s="961">
        <v>19.996000289916992</v>
      </c>
      <c r="D146" s="1008">
        <v>18.996500015258789</v>
      </c>
      <c r="E146" s="957">
        <f t="shared" si="15"/>
        <v>1</v>
      </c>
      <c r="F146" s="944">
        <f t="shared" si="16"/>
        <v>28.849994659423828</v>
      </c>
      <c r="H146" s="955">
        <f t="shared" si="17"/>
        <v>1</v>
      </c>
      <c r="I146" s="952">
        <f t="shared" si="18"/>
        <v>28.849994659423828</v>
      </c>
      <c r="J146" s="950">
        <f t="shared" si="19"/>
        <v>19.996000289916992</v>
      </c>
      <c r="K146" s="949">
        <f t="shared" si="20"/>
        <v>19.996000289916992</v>
      </c>
      <c r="L146" s="944">
        <f t="shared" si="21"/>
        <v>18.996500015258789</v>
      </c>
      <c r="N146" s="1032">
        <v>2974.8665909990423</v>
      </c>
      <c r="O146" s="1032">
        <v>1555.5479955973503</v>
      </c>
      <c r="P146" s="1032">
        <v>4066.7869168572042</v>
      </c>
      <c r="Q146" s="1032">
        <v>2627.4849232978804</v>
      </c>
      <c r="R146" s="1032">
        <v>1428.4546698839226</v>
      </c>
      <c r="S146" s="1051">
        <f>IF(Tables!$B$2=1,'Michigan Curve'!N146,IF(Tables!$B$2=2,'Michigan Curve'!O146,IF(Tables!$B$2=4,'Michigan Curve'!P146,IF(Tables!$B$2=5,'Michigan Curve'!Q146,IF(Tables!$B$2=3,'Michigan Curve'!R146,0)))))</f>
        <v>2627.4849232978804</v>
      </c>
    </row>
    <row r="147" spans="1:19">
      <c r="A147" s="465">
        <v>41214</v>
      </c>
      <c r="B147" s="894">
        <v>28.729995727539063</v>
      </c>
      <c r="C147" s="961">
        <v>20</v>
      </c>
      <c r="D147" s="1008">
        <v>19</v>
      </c>
      <c r="E147" s="957">
        <f t="shared" si="15"/>
        <v>1.08</v>
      </c>
      <c r="F147" s="944">
        <f t="shared" si="16"/>
        <v>31.02839538574219</v>
      </c>
      <c r="H147" s="955">
        <f t="shared" si="17"/>
        <v>0.91999999999999993</v>
      </c>
      <c r="I147" s="952">
        <f t="shared" si="18"/>
        <v>26.431596069335935</v>
      </c>
      <c r="J147" s="950">
        <f t="shared" si="19"/>
        <v>21.6</v>
      </c>
      <c r="K147" s="949">
        <f t="shared" si="20"/>
        <v>18.399999999999999</v>
      </c>
      <c r="L147" s="944">
        <f t="shared" si="21"/>
        <v>20.520000000000003</v>
      </c>
      <c r="N147" s="1032">
        <v>15920.840751950114</v>
      </c>
      <c r="O147" s="1032">
        <v>8771.3853766653574</v>
      </c>
      <c r="P147" s="1032">
        <v>21539.02632461855</v>
      </c>
      <c r="Q147" s="1032">
        <v>15499.991393449032</v>
      </c>
      <c r="R147" s="1032">
        <v>11018.883622664598</v>
      </c>
      <c r="S147" s="1051">
        <f>IF(Tables!$B$2=1,'Michigan Curve'!N147,IF(Tables!$B$2=2,'Michigan Curve'!O147,IF(Tables!$B$2=4,'Michigan Curve'!P147,IF(Tables!$B$2=5,'Michigan Curve'!Q147,IF(Tables!$B$2=3,'Michigan Curve'!R147,0)))))</f>
        <v>15499.991393449032</v>
      </c>
    </row>
    <row r="148" spans="1:19">
      <c r="A148" s="465">
        <v>41244</v>
      </c>
      <c r="B148" s="894">
        <v>29.199995040893555</v>
      </c>
      <c r="C148" s="961">
        <v>20</v>
      </c>
      <c r="D148" s="1008">
        <v>19</v>
      </c>
      <c r="E148" s="957">
        <f t="shared" si="15"/>
        <v>1.02</v>
      </c>
      <c r="F148" s="944">
        <f t="shared" si="16"/>
        <v>29.783994941711427</v>
      </c>
      <c r="H148" s="955">
        <f t="shared" si="17"/>
        <v>0.98</v>
      </c>
      <c r="I148" s="952">
        <f t="shared" si="18"/>
        <v>28.615995140075682</v>
      </c>
      <c r="J148" s="950">
        <f t="shared" si="19"/>
        <v>20.399999999999999</v>
      </c>
      <c r="K148" s="949">
        <f t="shared" si="20"/>
        <v>19.600000000000001</v>
      </c>
      <c r="L148" s="944">
        <f t="shared" si="21"/>
        <v>19.38</v>
      </c>
      <c r="N148" s="1032">
        <v>8592.6979473895572</v>
      </c>
      <c r="O148" s="1032">
        <v>4694.6938549328979</v>
      </c>
      <c r="P148" s="1032">
        <v>11644.419595914298</v>
      </c>
      <c r="Q148" s="1032">
        <v>8239.7394568780765</v>
      </c>
      <c r="R148" s="1032">
        <v>5814.6142259339331</v>
      </c>
      <c r="S148" s="1051">
        <f>IF(Tables!$B$2=1,'Michigan Curve'!N148,IF(Tables!$B$2=2,'Michigan Curve'!O148,IF(Tables!$B$2=4,'Michigan Curve'!P148,IF(Tables!$B$2=5,'Michigan Curve'!Q148,IF(Tables!$B$2=3,'Michigan Curve'!R148,0)))))</f>
        <v>8239.7394568780765</v>
      </c>
    </row>
    <row r="149" spans="1:19">
      <c r="A149" s="465">
        <v>41275</v>
      </c>
      <c r="B149" s="894">
        <v>34.700000381469728</v>
      </c>
      <c r="C149" s="961">
        <v>22</v>
      </c>
      <c r="D149" s="1008">
        <v>21</v>
      </c>
      <c r="E149" s="957">
        <f t="shared" si="15"/>
        <v>1.02</v>
      </c>
      <c r="F149" s="944">
        <f t="shared" si="16"/>
        <v>35.394000389099126</v>
      </c>
      <c r="H149" s="955">
        <f t="shared" si="17"/>
        <v>0.98</v>
      </c>
      <c r="I149" s="952">
        <f t="shared" si="18"/>
        <v>34.00600037384033</v>
      </c>
      <c r="J149" s="950">
        <f t="shared" si="19"/>
        <v>22.44</v>
      </c>
      <c r="K149" s="949">
        <f t="shared" si="20"/>
        <v>21.56</v>
      </c>
      <c r="L149" s="944">
        <f t="shared" si="21"/>
        <v>21.42</v>
      </c>
      <c r="N149" s="1032">
        <v>43322.43296784773</v>
      </c>
      <c r="O149" s="1032">
        <v>24290.722333090474</v>
      </c>
      <c r="P149" s="1032">
        <v>58404.63100063568</v>
      </c>
      <c r="Q149" s="1032">
        <v>43564.386737729234</v>
      </c>
      <c r="R149" s="1032">
        <v>33179.659906955996</v>
      </c>
      <c r="S149" s="1051">
        <f>IF(Tables!$B$2=1,'Michigan Curve'!N149,IF(Tables!$B$2=2,'Michigan Curve'!O149,IF(Tables!$B$2=4,'Michigan Curve'!P149,IF(Tables!$B$2=5,'Michigan Curve'!Q149,IF(Tables!$B$2=3,'Michigan Curve'!R149,0)))))</f>
        <v>43564.386737729234</v>
      </c>
    </row>
    <row r="150" spans="1:19">
      <c r="A150" s="465">
        <v>41306</v>
      </c>
      <c r="B150" s="894">
        <v>34.699998474121095</v>
      </c>
      <c r="C150" s="961">
        <v>21.996000289916992</v>
      </c>
      <c r="D150" s="1008">
        <v>20.996501922607422</v>
      </c>
      <c r="E150" s="957">
        <f t="shared" si="15"/>
        <v>1.02</v>
      </c>
      <c r="F150" s="944">
        <f t="shared" si="16"/>
        <v>35.393998443603515</v>
      </c>
      <c r="H150" s="955">
        <f t="shared" si="17"/>
        <v>0.98</v>
      </c>
      <c r="I150" s="952">
        <f t="shared" si="18"/>
        <v>34.005998504638676</v>
      </c>
      <c r="J150" s="950">
        <f t="shared" si="19"/>
        <v>22.435920295715331</v>
      </c>
      <c r="K150" s="949">
        <f t="shared" si="20"/>
        <v>21.556080284118654</v>
      </c>
      <c r="L150" s="944">
        <f t="shared" si="21"/>
        <v>21.416431961059569</v>
      </c>
      <c r="N150" s="1032">
        <v>39536.286168975515</v>
      </c>
      <c r="O150" s="1032">
        <v>22171.503990947826</v>
      </c>
      <c r="P150" s="1032">
        <v>53298.631970324765</v>
      </c>
      <c r="Q150" s="1032">
        <v>39769.311261520837</v>
      </c>
      <c r="R150" s="1032">
        <v>30320.613855879059</v>
      </c>
      <c r="S150" s="1051">
        <f>IF(Tables!$B$2=1,'Michigan Curve'!N150,IF(Tables!$B$2=2,'Michigan Curve'!O150,IF(Tables!$B$2=4,'Michigan Curve'!P150,IF(Tables!$B$2=5,'Michigan Curve'!Q150,IF(Tables!$B$2=3,'Michigan Curve'!R150,0)))))</f>
        <v>39769.311261520837</v>
      </c>
    </row>
    <row r="151" spans="1:19">
      <c r="A151" s="465">
        <v>41334</v>
      </c>
      <c r="B151" s="894">
        <v>29.5</v>
      </c>
      <c r="C151" s="961">
        <v>20</v>
      </c>
      <c r="D151" s="1008">
        <v>19</v>
      </c>
      <c r="E151" s="957">
        <f t="shared" si="15"/>
        <v>1.02</v>
      </c>
      <c r="F151" s="944">
        <f t="shared" si="16"/>
        <v>30.09</v>
      </c>
      <c r="H151" s="955">
        <f t="shared" si="17"/>
        <v>0.98</v>
      </c>
      <c r="I151" s="952">
        <f t="shared" si="18"/>
        <v>28.91</v>
      </c>
      <c r="J151" s="950">
        <f t="shared" si="19"/>
        <v>20.399999999999999</v>
      </c>
      <c r="K151" s="949">
        <f t="shared" si="20"/>
        <v>19.600000000000001</v>
      </c>
      <c r="L151" s="944">
        <f t="shared" si="21"/>
        <v>19.38</v>
      </c>
      <c r="N151" s="1032">
        <v>10517.450388954992</v>
      </c>
      <c r="O151" s="1032">
        <v>5768.4371638330331</v>
      </c>
      <c r="P151" s="1032">
        <v>14241.802574258469</v>
      </c>
      <c r="Q151" s="1032">
        <v>10155.813440189357</v>
      </c>
      <c r="R151" s="1032">
        <v>7125.1657321777002</v>
      </c>
      <c r="S151" s="1051">
        <f>IF(Tables!$B$2=1,'Michigan Curve'!N151,IF(Tables!$B$2=2,'Michigan Curve'!O151,IF(Tables!$B$2=4,'Michigan Curve'!P151,IF(Tables!$B$2=5,'Michigan Curve'!Q151,IF(Tables!$B$2=3,'Michigan Curve'!R151,0)))))</f>
        <v>10155.813440189357</v>
      </c>
    </row>
    <row r="152" spans="1:19">
      <c r="A152" s="465">
        <v>41365</v>
      </c>
      <c r="B152" s="894">
        <v>29.75</v>
      </c>
      <c r="C152" s="961">
        <v>20</v>
      </c>
      <c r="D152" s="1008">
        <v>18.995000839233398</v>
      </c>
      <c r="E152" s="957">
        <f t="shared" si="15"/>
        <v>1</v>
      </c>
      <c r="F152" s="944">
        <f t="shared" si="16"/>
        <v>29.75</v>
      </c>
      <c r="H152" s="955">
        <f t="shared" si="17"/>
        <v>1</v>
      </c>
      <c r="I152" s="952">
        <f t="shared" si="18"/>
        <v>29.75</v>
      </c>
      <c r="J152" s="950">
        <f t="shared" si="19"/>
        <v>20</v>
      </c>
      <c r="K152" s="949">
        <f t="shared" si="20"/>
        <v>20</v>
      </c>
      <c r="L152" s="944">
        <f t="shared" si="21"/>
        <v>18.995000839233398</v>
      </c>
      <c r="N152" s="1032">
        <v>12871.067668361758</v>
      </c>
      <c r="O152" s="1032">
        <v>7060.4594052156799</v>
      </c>
      <c r="P152" s="1032">
        <v>17428.158131920223</v>
      </c>
      <c r="Q152" s="1032">
        <v>12430.705707552972</v>
      </c>
      <c r="R152" s="1032">
        <v>8699.3885983536766</v>
      </c>
      <c r="S152" s="1051">
        <f>IF(Tables!$B$2=1,'Michigan Curve'!N152,IF(Tables!$B$2=2,'Michigan Curve'!O152,IF(Tables!$B$2=4,'Michigan Curve'!P152,IF(Tables!$B$2=5,'Michigan Curve'!Q152,IF(Tables!$B$2=3,'Michigan Curve'!R152,0)))))</f>
        <v>12430.705707552972</v>
      </c>
    </row>
    <row r="153" spans="1:19">
      <c r="A153" s="465">
        <v>41395</v>
      </c>
      <c r="B153" s="894">
        <v>33.5</v>
      </c>
      <c r="C153" s="961">
        <v>21</v>
      </c>
      <c r="D153" s="1008">
        <v>20.004999160766602</v>
      </c>
      <c r="E153" s="957">
        <f t="shared" si="15"/>
        <v>1.0762500017881393</v>
      </c>
      <c r="F153" s="944">
        <f t="shared" si="16"/>
        <v>36.054375059902668</v>
      </c>
      <c r="H153" s="955">
        <f t="shared" si="17"/>
        <v>0.92374999821186066</v>
      </c>
      <c r="I153" s="952">
        <f t="shared" si="18"/>
        <v>30.945624940097332</v>
      </c>
      <c r="J153" s="950">
        <f t="shared" si="19"/>
        <v>22.601250037550926</v>
      </c>
      <c r="K153" s="949">
        <f t="shared" si="20"/>
        <v>19.398749962449074</v>
      </c>
      <c r="L153" s="944">
        <f t="shared" si="21"/>
        <v>21.530380382546781</v>
      </c>
      <c r="N153" s="1032">
        <v>24534.283437741768</v>
      </c>
      <c r="O153" s="1032">
        <v>13315.720626191038</v>
      </c>
      <c r="P153" s="1032">
        <v>33289.725062865669</v>
      </c>
      <c r="Q153" s="1032">
        <v>23208.34430581066</v>
      </c>
      <c r="R153" s="1032">
        <v>14790.941267378992</v>
      </c>
      <c r="S153" s="1051">
        <f>IF(Tables!$B$2=1,'Michigan Curve'!N153,IF(Tables!$B$2=2,'Michigan Curve'!O153,IF(Tables!$B$2=4,'Michigan Curve'!P153,IF(Tables!$B$2=5,'Michigan Curve'!Q153,IF(Tables!$B$2=3,'Michigan Curve'!R153,0)))))</f>
        <v>23208.34430581066</v>
      </c>
    </row>
    <row r="154" spans="1:19">
      <c r="A154" s="465">
        <v>41426</v>
      </c>
      <c r="B154" s="894">
        <v>54.25</v>
      </c>
      <c r="C154" s="961">
        <v>26</v>
      </c>
      <c r="D154" s="1008">
        <v>24</v>
      </c>
      <c r="E154" s="957">
        <f t="shared" si="15"/>
        <v>1.5710334155024308</v>
      </c>
      <c r="F154" s="944">
        <f t="shared" si="16"/>
        <v>85.228562791006865</v>
      </c>
      <c r="H154" s="955">
        <f t="shared" si="17"/>
        <v>0.42896658449756919</v>
      </c>
      <c r="I154" s="952">
        <f t="shared" si="18"/>
        <v>23.271437208993127</v>
      </c>
      <c r="J154" s="950">
        <f t="shared" si="19"/>
        <v>40.846868803063202</v>
      </c>
      <c r="K154" s="949">
        <f t="shared" si="20"/>
        <v>11.153131196936799</v>
      </c>
      <c r="L154" s="944">
        <f t="shared" si="21"/>
        <v>37.704801972058341</v>
      </c>
      <c r="N154" s="1032">
        <v>84379.88904431276</v>
      </c>
      <c r="O154" s="1032">
        <v>51122.307173394831</v>
      </c>
      <c r="P154" s="1032">
        <v>112063.37908245903</v>
      </c>
      <c r="Q154" s="1032">
        <v>98274.806402692338</v>
      </c>
      <c r="R154" s="1032">
        <v>109637.19496243075</v>
      </c>
      <c r="S154" s="1051">
        <f>IF(Tables!$B$2=1,'Michigan Curve'!N154,IF(Tables!$B$2=2,'Michigan Curve'!O154,IF(Tables!$B$2=4,'Michigan Curve'!P154,IF(Tables!$B$2=5,'Michigan Curve'!Q154,IF(Tables!$B$2=3,'Michigan Curve'!R154,0)))))</f>
        <v>98274.806402692338</v>
      </c>
    </row>
    <row r="155" spans="1:19">
      <c r="A155" s="465">
        <v>41456</v>
      </c>
      <c r="B155" s="894">
        <v>95</v>
      </c>
      <c r="C155" s="961">
        <v>35</v>
      </c>
      <c r="D155" s="1008">
        <v>30.999998092651367</v>
      </c>
      <c r="E155" s="957">
        <f t="shared" si="15"/>
        <v>1.6893947100476303</v>
      </c>
      <c r="F155" s="944">
        <f t="shared" si="16"/>
        <v>160.49249745452488</v>
      </c>
      <c r="H155" s="955">
        <f t="shared" si="17"/>
        <v>0.31060528995236969</v>
      </c>
      <c r="I155" s="952">
        <f t="shared" si="18"/>
        <v>29.50750254547512</v>
      </c>
      <c r="J155" s="950">
        <f t="shared" si="19"/>
        <v>59.128814851667059</v>
      </c>
      <c r="K155" s="949">
        <f t="shared" si="20"/>
        <v>10.871185148332939</v>
      </c>
      <c r="L155" s="944">
        <f t="shared" si="21"/>
        <v>52.371232789211852</v>
      </c>
      <c r="N155" s="1032">
        <v>257942.48763310164</v>
      </c>
      <c r="O155" s="1032">
        <v>153917.47798579745</v>
      </c>
      <c r="P155" s="1032">
        <v>343495.78127802163</v>
      </c>
      <c r="Q155" s="1032">
        <v>291367.58386383206</v>
      </c>
      <c r="R155" s="1032">
        <v>292812.09787193965</v>
      </c>
      <c r="S155" s="1051">
        <f>IF(Tables!$B$2=1,'Michigan Curve'!N155,IF(Tables!$B$2=2,'Michigan Curve'!O155,IF(Tables!$B$2=4,'Michigan Curve'!P155,IF(Tables!$B$2=5,'Michigan Curve'!Q155,IF(Tables!$B$2=3,'Michigan Curve'!R155,0)))))</f>
        <v>291367.58386383206</v>
      </c>
    </row>
    <row r="156" spans="1:19">
      <c r="A156" s="465">
        <v>41487</v>
      </c>
      <c r="B156" s="894">
        <v>95</v>
      </c>
      <c r="C156" s="961">
        <v>35.000003814697266</v>
      </c>
      <c r="D156" s="1008">
        <v>31</v>
      </c>
      <c r="E156" s="957">
        <f t="shared" si="15"/>
        <v>1.6893947100476303</v>
      </c>
      <c r="F156" s="944">
        <f t="shared" si="16"/>
        <v>160.49249745452488</v>
      </c>
      <c r="H156" s="955">
        <f t="shared" si="17"/>
        <v>0.31060528995236969</v>
      </c>
      <c r="I156" s="952">
        <f t="shared" si="18"/>
        <v>29.50750254547512</v>
      </c>
      <c r="J156" s="950">
        <f t="shared" si="19"/>
        <v>59.128821296196442</v>
      </c>
      <c r="K156" s="949">
        <f t="shared" si="20"/>
        <v>10.871186333198089</v>
      </c>
      <c r="L156" s="944">
        <f t="shared" si="21"/>
        <v>52.37123601147654</v>
      </c>
      <c r="N156" s="1032">
        <v>256090.78330077697</v>
      </c>
      <c r="O156" s="1032">
        <v>153735.3687809268</v>
      </c>
      <c r="P156" s="1032">
        <v>340621.78806422278</v>
      </c>
      <c r="Q156" s="1032">
        <v>292554.22439276148</v>
      </c>
      <c r="R156" s="1032">
        <v>303035.18211401347</v>
      </c>
      <c r="S156" s="1051">
        <f>IF(Tables!$B$2=1,'Michigan Curve'!N156,IF(Tables!$B$2=2,'Michigan Curve'!O156,IF(Tables!$B$2=4,'Michigan Curve'!P156,IF(Tables!$B$2=5,'Michigan Curve'!Q156,IF(Tables!$B$2=3,'Michigan Curve'!R156,0)))))</f>
        <v>292554.22439276148</v>
      </c>
    </row>
    <row r="157" spans="1:19">
      <c r="A157" s="465">
        <v>41518</v>
      </c>
      <c r="B157" s="894">
        <v>36.25</v>
      </c>
      <c r="C157" s="961">
        <v>25</v>
      </c>
      <c r="D157" s="1008">
        <v>24</v>
      </c>
      <c r="E157" s="957">
        <f t="shared" si="15"/>
        <v>1.3512499928474426</v>
      </c>
      <c r="F157" s="944">
        <f t="shared" si="16"/>
        <v>48.982812240719795</v>
      </c>
      <c r="H157" s="955">
        <f t="shared" si="17"/>
        <v>0.64875000715255737</v>
      </c>
      <c r="I157" s="952">
        <f t="shared" si="18"/>
        <v>23.517187759280205</v>
      </c>
      <c r="J157" s="950">
        <f t="shared" si="19"/>
        <v>33.781249821186066</v>
      </c>
      <c r="K157" s="949">
        <f t="shared" si="20"/>
        <v>16.218750178813934</v>
      </c>
      <c r="L157" s="944">
        <f t="shared" si="21"/>
        <v>32.429999828338623</v>
      </c>
      <c r="N157" s="1032">
        <v>148774.74173123448</v>
      </c>
      <c r="O157" s="1032">
        <v>82924.718376835488</v>
      </c>
      <c r="P157" s="1032">
        <v>200782.21830885246</v>
      </c>
      <c r="Q157" s="1032">
        <v>147756.74681337853</v>
      </c>
      <c r="R157" s="1032">
        <v>103746.38870555778</v>
      </c>
      <c r="S157" s="1051">
        <f>IF(Tables!$B$2=1,'Michigan Curve'!N157,IF(Tables!$B$2=2,'Michigan Curve'!O157,IF(Tables!$B$2=4,'Michigan Curve'!P157,IF(Tables!$B$2=5,'Michigan Curve'!Q157,IF(Tables!$B$2=3,'Michigan Curve'!R157,0)))))</f>
        <v>147756.74681337853</v>
      </c>
    </row>
    <row r="158" spans="1:19">
      <c r="A158" s="465">
        <v>41548</v>
      </c>
      <c r="B158" s="894">
        <v>29.349994659423828</v>
      </c>
      <c r="C158" s="961">
        <v>19.996000289916992</v>
      </c>
      <c r="D158" s="1008">
        <v>18.996500015258789</v>
      </c>
      <c r="E158" s="957">
        <f t="shared" si="15"/>
        <v>1</v>
      </c>
      <c r="F158" s="944">
        <f t="shared" si="16"/>
        <v>29.349994659423828</v>
      </c>
      <c r="H158" s="955">
        <f t="shared" si="17"/>
        <v>1</v>
      </c>
      <c r="I158" s="952">
        <f t="shared" si="18"/>
        <v>29.349994659423828</v>
      </c>
      <c r="J158" s="950">
        <f t="shared" si="19"/>
        <v>19.996000289916992</v>
      </c>
      <c r="K158" s="949">
        <f t="shared" si="20"/>
        <v>19.996000289916992</v>
      </c>
      <c r="L158" s="944">
        <f t="shared" si="21"/>
        <v>18.996500015258789</v>
      </c>
      <c r="N158" s="1032">
        <v>3160.6377640152123</v>
      </c>
      <c r="O158" s="1032">
        <v>1658.0674627463311</v>
      </c>
      <c r="P158" s="1032">
        <v>4317.9639363013048</v>
      </c>
      <c r="Q158" s="1032">
        <v>2808.7786451126867</v>
      </c>
      <c r="R158" s="1032">
        <v>1569.3786925859897</v>
      </c>
      <c r="S158" s="1051">
        <f>IF(Tables!$B$2=1,'Michigan Curve'!N158,IF(Tables!$B$2=2,'Michigan Curve'!O158,IF(Tables!$B$2=4,'Michigan Curve'!P158,IF(Tables!$B$2=5,'Michigan Curve'!Q158,IF(Tables!$B$2=3,'Michigan Curve'!R158,0)))))</f>
        <v>2808.7786451126867</v>
      </c>
    </row>
    <row r="159" spans="1:19">
      <c r="A159" s="465">
        <v>41579</v>
      </c>
      <c r="B159" s="894">
        <v>29.229995727539063</v>
      </c>
      <c r="C159" s="961">
        <v>20</v>
      </c>
      <c r="D159" s="1008">
        <v>19</v>
      </c>
      <c r="E159" s="957">
        <f t="shared" si="15"/>
        <v>1.08</v>
      </c>
      <c r="F159" s="944">
        <f t="shared" si="16"/>
        <v>31.568395385742189</v>
      </c>
      <c r="H159" s="955">
        <f t="shared" si="17"/>
        <v>0.91999999999999993</v>
      </c>
      <c r="I159" s="952">
        <f t="shared" si="18"/>
        <v>26.891596069335936</v>
      </c>
      <c r="J159" s="950">
        <f t="shared" si="19"/>
        <v>21.6</v>
      </c>
      <c r="K159" s="949">
        <f t="shared" si="20"/>
        <v>18.399999999999999</v>
      </c>
      <c r="L159" s="944">
        <f t="shared" si="21"/>
        <v>20.520000000000003</v>
      </c>
      <c r="N159" s="1032">
        <v>16354.206131092882</v>
      </c>
      <c r="O159" s="1032">
        <v>9032.8448393332128</v>
      </c>
      <c r="P159" s="1032">
        <v>22114.241684587221</v>
      </c>
      <c r="Q159" s="1032">
        <v>15996.671938380881</v>
      </c>
      <c r="R159" s="1032">
        <v>11567.404504119344</v>
      </c>
      <c r="S159" s="1051">
        <f>IF(Tables!$B$2=1,'Michigan Curve'!N159,IF(Tables!$B$2=2,'Michigan Curve'!O159,IF(Tables!$B$2=4,'Michigan Curve'!P159,IF(Tables!$B$2=5,'Michigan Curve'!Q159,IF(Tables!$B$2=3,'Michigan Curve'!R159,0)))))</f>
        <v>15996.671938380881</v>
      </c>
    </row>
    <row r="160" spans="1:19">
      <c r="A160" s="465">
        <v>41609</v>
      </c>
      <c r="B160" s="894">
        <v>29.699995040893555</v>
      </c>
      <c r="C160" s="961">
        <v>20</v>
      </c>
      <c r="D160" s="1008">
        <v>19</v>
      </c>
      <c r="E160" s="957">
        <f t="shared" si="15"/>
        <v>1.02</v>
      </c>
      <c r="F160" s="944">
        <f t="shared" si="16"/>
        <v>30.293994941711425</v>
      </c>
      <c r="H160" s="955">
        <f t="shared" si="17"/>
        <v>0.98</v>
      </c>
      <c r="I160" s="952">
        <f t="shared" si="18"/>
        <v>29.105995140075684</v>
      </c>
      <c r="J160" s="950">
        <f t="shared" si="19"/>
        <v>20.399999999999999</v>
      </c>
      <c r="K160" s="949">
        <f t="shared" si="20"/>
        <v>19.600000000000001</v>
      </c>
      <c r="L160" s="944">
        <f t="shared" si="21"/>
        <v>19.38</v>
      </c>
      <c r="N160" s="1032">
        <v>10057.484801116419</v>
      </c>
      <c r="O160" s="1032">
        <v>5513.0711398379126</v>
      </c>
      <c r="P160" s="1032">
        <v>13620.507036220364</v>
      </c>
      <c r="Q160" s="1032">
        <v>9703.0950071975331</v>
      </c>
      <c r="R160" s="1032">
        <v>6986.7157505720816</v>
      </c>
      <c r="S160" s="1051">
        <f>IF(Tables!$B$2=1,'Michigan Curve'!N160,IF(Tables!$B$2=2,'Michigan Curve'!O160,IF(Tables!$B$2=4,'Michigan Curve'!P160,IF(Tables!$B$2=5,'Michigan Curve'!Q160,IF(Tables!$B$2=3,'Michigan Curve'!R160,0)))))</f>
        <v>9703.0950071975331</v>
      </c>
    </row>
    <row r="161" spans="1:19">
      <c r="A161" s="465">
        <v>41640</v>
      </c>
      <c r="B161" s="894">
        <v>35.200000381469728</v>
      </c>
      <c r="C161" s="961">
        <v>22</v>
      </c>
      <c r="D161" s="1008">
        <v>21</v>
      </c>
      <c r="E161" s="957">
        <f t="shared" si="15"/>
        <v>1.02</v>
      </c>
      <c r="F161" s="944">
        <f t="shared" si="16"/>
        <v>35.904000389099124</v>
      </c>
      <c r="H161" s="955">
        <f t="shared" si="17"/>
        <v>0.98</v>
      </c>
      <c r="I161" s="952">
        <f t="shared" si="18"/>
        <v>34.496000373840332</v>
      </c>
      <c r="J161" s="950">
        <f t="shared" si="19"/>
        <v>22.44</v>
      </c>
      <c r="K161" s="949">
        <f t="shared" si="20"/>
        <v>21.56</v>
      </c>
      <c r="L161" s="944">
        <f t="shared" si="21"/>
        <v>21.42</v>
      </c>
      <c r="N161" s="1032">
        <v>49889.378130864483</v>
      </c>
      <c r="O161" s="1032">
        <v>28050.789750584277</v>
      </c>
      <c r="P161" s="1032">
        <v>67220.384407054225</v>
      </c>
      <c r="Q161" s="1032">
        <v>50427.844138546934</v>
      </c>
      <c r="R161" s="1032">
        <v>39119.476729049733</v>
      </c>
      <c r="S161" s="1051">
        <f>IF(Tables!$B$2=1,'Michigan Curve'!N161,IF(Tables!$B$2=2,'Michigan Curve'!O161,IF(Tables!$B$2=4,'Michigan Curve'!P161,IF(Tables!$B$2=5,'Michigan Curve'!Q161,IF(Tables!$B$2=3,'Michigan Curve'!R161,0)))))</f>
        <v>50427.844138546934</v>
      </c>
    </row>
    <row r="162" spans="1:19">
      <c r="A162" s="465">
        <v>41671</v>
      </c>
      <c r="B162" s="894">
        <v>35.199998474121095</v>
      </c>
      <c r="C162" s="961">
        <v>21.996000289916992</v>
      </c>
      <c r="D162" s="1008">
        <v>20.996501922607422</v>
      </c>
      <c r="E162" s="957">
        <f t="shared" si="15"/>
        <v>1.02</v>
      </c>
      <c r="F162" s="944">
        <f t="shared" si="16"/>
        <v>35.90399844360352</v>
      </c>
      <c r="H162" s="955">
        <f t="shared" si="17"/>
        <v>0.98</v>
      </c>
      <c r="I162" s="952">
        <f t="shared" si="18"/>
        <v>34.495998504638671</v>
      </c>
      <c r="J162" s="950">
        <f t="shared" si="19"/>
        <v>22.435920295715331</v>
      </c>
      <c r="K162" s="949">
        <f t="shared" si="20"/>
        <v>21.556080284118654</v>
      </c>
      <c r="L162" s="944">
        <f t="shared" si="21"/>
        <v>21.416431961059569</v>
      </c>
      <c r="N162" s="1032">
        <v>45344.031331164006</v>
      </c>
      <c r="O162" s="1032">
        <v>25497.535056662146</v>
      </c>
      <c r="P162" s="1032">
        <v>61094.894646669847</v>
      </c>
      <c r="Q162" s="1032">
        <v>45841.569454946381</v>
      </c>
      <c r="R162" s="1032">
        <v>35583.740828843111</v>
      </c>
      <c r="S162" s="1051">
        <f>IF(Tables!$B$2=1,'Michigan Curve'!N162,IF(Tables!$B$2=2,'Michigan Curve'!O162,IF(Tables!$B$2=4,'Michigan Curve'!P162,IF(Tables!$B$2=5,'Michigan Curve'!Q162,IF(Tables!$B$2=3,'Michigan Curve'!R162,0)))))</f>
        <v>45841.569454946381</v>
      </c>
    </row>
    <row r="163" spans="1:19">
      <c r="A163" s="465">
        <v>41699</v>
      </c>
      <c r="B163" s="894">
        <v>30</v>
      </c>
      <c r="C163" s="961">
        <v>20</v>
      </c>
      <c r="D163" s="1008">
        <v>19</v>
      </c>
      <c r="E163" s="957">
        <f t="shared" si="15"/>
        <v>1.02</v>
      </c>
      <c r="F163" s="944">
        <f t="shared" si="16"/>
        <v>30.6</v>
      </c>
      <c r="H163" s="955">
        <f t="shared" si="17"/>
        <v>0.98</v>
      </c>
      <c r="I163" s="952">
        <f t="shared" si="18"/>
        <v>29.4</v>
      </c>
      <c r="J163" s="950">
        <f t="shared" si="19"/>
        <v>20.399999999999999</v>
      </c>
      <c r="K163" s="949">
        <f t="shared" si="20"/>
        <v>19.600000000000001</v>
      </c>
      <c r="L163" s="944">
        <f t="shared" si="21"/>
        <v>19.38</v>
      </c>
      <c r="N163" s="1032">
        <v>12963.077760181057</v>
      </c>
      <c r="O163" s="1032">
        <v>7140.152328925411</v>
      </c>
      <c r="P163" s="1032">
        <v>17538.501066073226</v>
      </c>
      <c r="Q163" s="1032">
        <v>12616.387694794234</v>
      </c>
      <c r="R163" s="1032">
        <v>9095.2125205319571</v>
      </c>
      <c r="S163" s="1051">
        <f>IF(Tables!$B$2=1,'Michigan Curve'!N163,IF(Tables!$B$2=2,'Michigan Curve'!O163,IF(Tables!$B$2=4,'Michigan Curve'!P163,IF(Tables!$B$2=5,'Michigan Curve'!Q163,IF(Tables!$B$2=3,'Michigan Curve'!R163,0)))))</f>
        <v>12616.387694794234</v>
      </c>
    </row>
    <row r="164" spans="1:19">
      <c r="A164" s="465">
        <v>41730</v>
      </c>
      <c r="B164" s="894">
        <v>30.25</v>
      </c>
      <c r="C164" s="961">
        <v>20</v>
      </c>
      <c r="D164" s="1008">
        <v>18.995000839233398</v>
      </c>
      <c r="E164" s="957">
        <f t="shared" si="15"/>
        <v>1</v>
      </c>
      <c r="F164" s="944">
        <f t="shared" si="16"/>
        <v>30.25</v>
      </c>
      <c r="H164" s="955">
        <f t="shared" si="17"/>
        <v>1</v>
      </c>
      <c r="I164" s="952">
        <f t="shared" si="18"/>
        <v>30.25</v>
      </c>
      <c r="J164" s="950">
        <f t="shared" si="19"/>
        <v>20</v>
      </c>
      <c r="K164" s="949">
        <f t="shared" si="20"/>
        <v>20</v>
      </c>
      <c r="L164" s="944">
        <f t="shared" si="21"/>
        <v>18.995000839233398</v>
      </c>
      <c r="N164" s="1032">
        <v>15577.825769815357</v>
      </c>
      <c r="O164" s="1032">
        <v>8580.612423299146</v>
      </c>
      <c r="P164" s="1032">
        <v>21075.878216409907</v>
      </c>
      <c r="Q164" s="1032">
        <v>15160.405590271612</v>
      </c>
      <c r="R164" s="1032">
        <v>10899.338491367838</v>
      </c>
      <c r="S164" s="1051">
        <f>IF(Tables!$B$2=1,'Michigan Curve'!N164,IF(Tables!$B$2=2,'Michigan Curve'!O164,IF(Tables!$B$2=4,'Michigan Curve'!P164,IF(Tables!$B$2=5,'Michigan Curve'!Q164,IF(Tables!$B$2=3,'Michigan Curve'!R164,0)))))</f>
        <v>15160.405590271612</v>
      </c>
    </row>
    <row r="165" spans="1:19">
      <c r="A165" s="465">
        <v>41760</v>
      </c>
      <c r="B165" s="894">
        <v>34</v>
      </c>
      <c r="C165" s="961">
        <v>21</v>
      </c>
      <c r="D165" s="1008">
        <v>20.004999160766602</v>
      </c>
      <c r="E165" s="957">
        <f t="shared" si="15"/>
        <v>1.0762500017881393</v>
      </c>
      <c r="F165" s="944">
        <f t="shared" si="16"/>
        <v>36.592500060796738</v>
      </c>
      <c r="H165" s="955">
        <f t="shared" si="17"/>
        <v>0.92374999821186066</v>
      </c>
      <c r="I165" s="952">
        <f t="shared" si="18"/>
        <v>31.407499939203262</v>
      </c>
      <c r="J165" s="950">
        <f t="shared" si="19"/>
        <v>22.601250037550926</v>
      </c>
      <c r="K165" s="949">
        <f t="shared" si="20"/>
        <v>19.398749962449074</v>
      </c>
      <c r="L165" s="944">
        <f t="shared" si="21"/>
        <v>21.530380382546781</v>
      </c>
      <c r="N165" s="1032">
        <v>26919.756752298104</v>
      </c>
      <c r="O165" s="1032">
        <v>14664.710678838974</v>
      </c>
      <c r="P165" s="1032">
        <v>36499.561257986788</v>
      </c>
      <c r="Q165" s="1032">
        <v>25642.798117243292</v>
      </c>
      <c r="R165" s="1032">
        <v>16799.211099025066</v>
      </c>
      <c r="S165" s="1051">
        <f>IF(Tables!$B$2=1,'Michigan Curve'!N165,IF(Tables!$B$2=2,'Michigan Curve'!O165,IF(Tables!$B$2=4,'Michigan Curve'!P165,IF(Tables!$B$2=5,'Michigan Curve'!Q165,IF(Tables!$B$2=3,'Michigan Curve'!R165,0)))))</f>
        <v>25642.798117243292</v>
      </c>
    </row>
    <row r="166" spans="1:19">
      <c r="A166" s="465">
        <v>41791</v>
      </c>
      <c r="B166" s="894">
        <v>55.25</v>
      </c>
      <c r="C166" s="961">
        <v>26</v>
      </c>
      <c r="D166" s="1008">
        <v>24</v>
      </c>
      <c r="E166" s="957">
        <f t="shared" si="15"/>
        <v>1.5752041482304084</v>
      </c>
      <c r="F166" s="944">
        <f t="shared" si="16"/>
        <v>87.030029189730072</v>
      </c>
      <c r="H166" s="955">
        <f t="shared" si="17"/>
        <v>0.42479585176959156</v>
      </c>
      <c r="I166" s="952">
        <f t="shared" si="18"/>
        <v>23.469970810269935</v>
      </c>
      <c r="J166" s="950">
        <f t="shared" si="19"/>
        <v>40.955307853990618</v>
      </c>
      <c r="K166" s="949">
        <f t="shared" si="20"/>
        <v>11.04469214600938</v>
      </c>
      <c r="L166" s="944">
        <f t="shared" si="21"/>
        <v>37.804899557529801</v>
      </c>
      <c r="N166" s="1032">
        <v>83264.425296156667</v>
      </c>
      <c r="O166" s="1032">
        <v>50626.928180491086</v>
      </c>
      <c r="P166" s="1032">
        <v>110499.84303539945</v>
      </c>
      <c r="Q166" s="1032">
        <v>97609.258181011071</v>
      </c>
      <c r="R166" s="1032">
        <v>110503.67226958834</v>
      </c>
      <c r="S166" s="1051">
        <f>IF(Tables!$B$2=1,'Michigan Curve'!N166,IF(Tables!$B$2=2,'Michigan Curve'!O166,IF(Tables!$B$2=4,'Michigan Curve'!P166,IF(Tables!$B$2=5,'Michigan Curve'!Q166,IF(Tables!$B$2=3,'Michigan Curve'!R166,0)))))</f>
        <v>97609.258181011071</v>
      </c>
    </row>
    <row r="167" spans="1:19">
      <c r="A167" s="465">
        <v>41821</v>
      </c>
      <c r="B167" s="894">
        <v>98</v>
      </c>
      <c r="C167" s="961">
        <v>35</v>
      </c>
      <c r="D167" s="1008">
        <v>30.999998092651367</v>
      </c>
      <c r="E167" s="957">
        <f t="shared" si="15"/>
        <v>1.6953674543085686</v>
      </c>
      <c r="F167" s="944">
        <f t="shared" si="16"/>
        <v>166.14601052223972</v>
      </c>
      <c r="H167" s="955">
        <f t="shared" si="17"/>
        <v>0.30463254569143139</v>
      </c>
      <c r="I167" s="952">
        <f t="shared" si="18"/>
        <v>29.853989477760276</v>
      </c>
      <c r="J167" s="950">
        <f t="shared" si="19"/>
        <v>59.337860900799903</v>
      </c>
      <c r="K167" s="949">
        <f t="shared" si="20"/>
        <v>10.662139099200099</v>
      </c>
      <c r="L167" s="944">
        <f t="shared" si="21"/>
        <v>52.55638784990883</v>
      </c>
      <c r="N167" s="1032">
        <v>261355.76937459316</v>
      </c>
      <c r="O167" s="1032">
        <v>155918.57777461503</v>
      </c>
      <c r="P167" s="1032">
        <v>348057.0612948304</v>
      </c>
      <c r="Q167" s="1032">
        <v>295105.11187008303</v>
      </c>
      <c r="R167" s="1032">
        <v>296459.21060538851</v>
      </c>
      <c r="S167" s="1051">
        <f>IF(Tables!$B$2=1,'Michigan Curve'!N167,IF(Tables!$B$2=2,'Michigan Curve'!O167,IF(Tables!$B$2=4,'Michigan Curve'!P167,IF(Tables!$B$2=5,'Michigan Curve'!Q167,IF(Tables!$B$2=3,'Michigan Curve'!R167,0)))))</f>
        <v>295105.11187008303</v>
      </c>
    </row>
    <row r="168" spans="1:19">
      <c r="A168" s="465">
        <v>41852</v>
      </c>
      <c r="B168" s="894">
        <v>98</v>
      </c>
      <c r="C168" s="961">
        <v>35.000003814697266</v>
      </c>
      <c r="D168" s="1008">
        <v>31</v>
      </c>
      <c r="E168" s="957">
        <f t="shared" si="15"/>
        <v>1.6953674543085686</v>
      </c>
      <c r="F168" s="944">
        <f t="shared" si="16"/>
        <v>166.14601052223972</v>
      </c>
      <c r="H168" s="955">
        <f t="shared" si="17"/>
        <v>0.30463254569143139</v>
      </c>
      <c r="I168" s="952">
        <f t="shared" si="18"/>
        <v>29.853989477760276</v>
      </c>
      <c r="J168" s="950">
        <f t="shared" si="19"/>
        <v>59.337867368113493</v>
      </c>
      <c r="K168" s="949">
        <f t="shared" si="20"/>
        <v>10.662140261281039</v>
      </c>
      <c r="L168" s="944">
        <f t="shared" si="21"/>
        <v>52.556391083565629</v>
      </c>
      <c r="N168" s="1032">
        <v>277045.38249395322</v>
      </c>
      <c r="O168" s="1032">
        <v>165930.07059183717</v>
      </c>
      <c r="P168" s="1032">
        <v>368661.20248924289</v>
      </c>
      <c r="Q168" s="1032">
        <v>315125.79700364731</v>
      </c>
      <c r="R168" s="1032">
        <v>322872.52189160138</v>
      </c>
      <c r="S168" s="1051">
        <f>IF(Tables!$B$2=1,'Michigan Curve'!N168,IF(Tables!$B$2=2,'Michigan Curve'!O168,IF(Tables!$B$2=4,'Michigan Curve'!P168,IF(Tables!$B$2=5,'Michigan Curve'!Q168,IF(Tables!$B$2=3,'Michigan Curve'!R168,0)))))</f>
        <v>315125.79700364731</v>
      </c>
    </row>
    <row r="169" spans="1:19">
      <c r="A169" s="465">
        <v>41883</v>
      </c>
      <c r="B169" s="894">
        <v>36.75</v>
      </c>
      <c r="C169" s="961">
        <v>25</v>
      </c>
      <c r="D169" s="1008">
        <v>24</v>
      </c>
      <c r="E169" s="957">
        <f t="shared" si="15"/>
        <v>1.3512499928474426</v>
      </c>
      <c r="F169" s="944">
        <f t="shared" si="16"/>
        <v>49.658437237143517</v>
      </c>
      <c r="H169" s="955">
        <f t="shared" si="17"/>
        <v>0.64875000715255737</v>
      </c>
      <c r="I169" s="952">
        <f t="shared" si="18"/>
        <v>23.841562762856483</v>
      </c>
      <c r="J169" s="950">
        <f t="shared" si="19"/>
        <v>33.781249821186066</v>
      </c>
      <c r="K169" s="949">
        <f t="shared" si="20"/>
        <v>16.218750178813934</v>
      </c>
      <c r="L169" s="944">
        <f t="shared" si="21"/>
        <v>32.429999828338623</v>
      </c>
      <c r="N169" s="1032">
        <v>168313.27920416801</v>
      </c>
      <c r="O169" s="1032">
        <v>93988.951565081836</v>
      </c>
      <c r="P169" s="1032">
        <v>227068.01333827301</v>
      </c>
      <c r="Q169" s="1032">
        <v>167750.53227196526</v>
      </c>
      <c r="R169" s="1032">
        <v>119628.64745204416</v>
      </c>
      <c r="S169" s="1051">
        <f>IF(Tables!$B$2=1,'Michigan Curve'!N169,IF(Tables!$B$2=2,'Michigan Curve'!O169,IF(Tables!$B$2=4,'Michigan Curve'!P169,IF(Tables!$B$2=5,'Michigan Curve'!Q169,IF(Tables!$B$2=3,'Michigan Curve'!R169,0)))))</f>
        <v>167750.53227196526</v>
      </c>
    </row>
    <row r="170" spans="1:19">
      <c r="A170" s="465">
        <v>41913</v>
      </c>
      <c r="B170" s="894">
        <v>29.849994659423828</v>
      </c>
      <c r="C170" s="961">
        <v>19.996000289916992</v>
      </c>
      <c r="D170" s="1008">
        <v>18.996500015258789</v>
      </c>
      <c r="E170" s="957">
        <f t="shared" si="15"/>
        <v>1</v>
      </c>
      <c r="F170" s="944">
        <f t="shared" si="16"/>
        <v>29.849994659423828</v>
      </c>
      <c r="H170" s="955">
        <f t="shared" si="17"/>
        <v>1</v>
      </c>
      <c r="I170" s="952">
        <f t="shared" si="18"/>
        <v>29.849994659423828</v>
      </c>
      <c r="J170" s="950">
        <f t="shared" si="19"/>
        <v>19.996000289916992</v>
      </c>
      <c r="K170" s="949">
        <f t="shared" si="20"/>
        <v>19.996000289916992</v>
      </c>
      <c r="L170" s="944">
        <f t="shared" si="21"/>
        <v>18.996500015258789</v>
      </c>
      <c r="N170" s="1032">
        <v>4034.1175360393131</v>
      </c>
      <c r="O170" s="1032">
        <v>2129.0310745010975</v>
      </c>
      <c r="P170" s="1032">
        <v>5504.6886874315942</v>
      </c>
      <c r="Q170" s="1032">
        <v>3625.3002404241511</v>
      </c>
      <c r="R170" s="1032">
        <v>2112.90480403018</v>
      </c>
      <c r="S170" s="1051">
        <f>IF(Tables!$B$2=1,'Michigan Curve'!N170,IF(Tables!$B$2=2,'Michigan Curve'!O170,IF(Tables!$B$2=4,'Michigan Curve'!P170,IF(Tables!$B$2=5,'Michigan Curve'!Q170,IF(Tables!$B$2=3,'Michigan Curve'!R170,0)))))</f>
        <v>3625.3002404241511</v>
      </c>
    </row>
    <row r="171" spans="1:19">
      <c r="A171" s="465">
        <v>41944</v>
      </c>
      <c r="B171" s="894">
        <v>29.729995727539063</v>
      </c>
      <c r="C171" s="961">
        <v>20</v>
      </c>
      <c r="D171" s="1008">
        <v>19</v>
      </c>
      <c r="E171" s="957">
        <f t="shared" si="15"/>
        <v>1.08</v>
      </c>
      <c r="F171" s="944">
        <f t="shared" si="16"/>
        <v>32.108395385742192</v>
      </c>
      <c r="H171" s="955">
        <f t="shared" si="17"/>
        <v>0.91999999999999993</v>
      </c>
      <c r="I171" s="952">
        <f t="shared" si="18"/>
        <v>27.351596069335937</v>
      </c>
      <c r="J171" s="950">
        <f t="shared" si="19"/>
        <v>21.6</v>
      </c>
      <c r="K171" s="949">
        <f t="shared" si="20"/>
        <v>18.399999999999999</v>
      </c>
      <c r="L171" s="944">
        <f t="shared" si="21"/>
        <v>20.520000000000003</v>
      </c>
      <c r="N171" s="1032">
        <v>16714.839040587442</v>
      </c>
      <c r="O171" s="1032">
        <v>9251.868858225891</v>
      </c>
      <c r="P171" s="1032">
        <v>22592.253385820626</v>
      </c>
      <c r="Q171" s="1032">
        <v>16415.024096473757</v>
      </c>
      <c r="R171" s="1032">
        <v>12050.26840166074</v>
      </c>
      <c r="S171" s="1051">
        <f>IF(Tables!$B$2=1,'Michigan Curve'!N171,IF(Tables!$B$2=2,'Michigan Curve'!O171,IF(Tables!$B$2=4,'Michigan Curve'!P171,IF(Tables!$B$2=5,'Michigan Curve'!Q171,IF(Tables!$B$2=3,'Michigan Curve'!R171,0)))))</f>
        <v>16415.024096473757</v>
      </c>
    </row>
    <row r="172" spans="1:19">
      <c r="A172" s="465">
        <v>41974</v>
      </c>
      <c r="B172" s="894">
        <v>30.199995040893555</v>
      </c>
      <c r="C172" s="961">
        <v>20</v>
      </c>
      <c r="D172" s="1008">
        <v>19</v>
      </c>
      <c r="E172" s="957">
        <f t="shared" si="15"/>
        <v>1.02</v>
      </c>
      <c r="F172" s="944">
        <f t="shared" si="16"/>
        <v>30.803994941711426</v>
      </c>
      <c r="H172" s="955">
        <f t="shared" si="17"/>
        <v>0.98</v>
      </c>
      <c r="I172" s="952">
        <f t="shared" si="18"/>
        <v>29.595995140075683</v>
      </c>
      <c r="J172" s="950">
        <f t="shared" si="19"/>
        <v>20.399999999999999</v>
      </c>
      <c r="K172" s="949">
        <f t="shared" si="20"/>
        <v>19.600000000000001</v>
      </c>
      <c r="L172" s="944">
        <f t="shared" si="21"/>
        <v>19.38</v>
      </c>
      <c r="N172" s="1032">
        <v>11708.20169031329</v>
      </c>
      <c r="O172" s="1032">
        <v>6436.5370049224948</v>
      </c>
      <c r="P172" s="1032">
        <v>15846.871132980836</v>
      </c>
      <c r="Q172" s="1032">
        <v>11356.395304561913</v>
      </c>
      <c r="R172" s="1032">
        <v>8328.4624153418226</v>
      </c>
      <c r="S172" s="1051">
        <f>IF(Tables!$B$2=1,'Michigan Curve'!N172,IF(Tables!$B$2=2,'Michigan Curve'!O172,IF(Tables!$B$2=4,'Michigan Curve'!P172,IF(Tables!$B$2=5,'Michigan Curve'!Q172,IF(Tables!$B$2=3,'Michigan Curve'!R172,0)))))</f>
        <v>11356.395304561913</v>
      </c>
    </row>
    <row r="173" spans="1:19">
      <c r="A173" s="465">
        <v>42005</v>
      </c>
      <c r="B173" s="894">
        <v>35.700000381469728</v>
      </c>
      <c r="C173" s="961">
        <v>22</v>
      </c>
      <c r="D173" s="1008">
        <v>21</v>
      </c>
      <c r="E173" s="957">
        <f t="shared" si="15"/>
        <v>1.02</v>
      </c>
      <c r="F173" s="944">
        <f t="shared" si="16"/>
        <v>36.414000389099122</v>
      </c>
      <c r="H173" s="955">
        <f t="shared" si="17"/>
        <v>0.98</v>
      </c>
      <c r="I173" s="952">
        <f t="shared" si="18"/>
        <v>34.986000373840334</v>
      </c>
      <c r="J173" s="950">
        <f t="shared" si="19"/>
        <v>22.44</v>
      </c>
      <c r="K173" s="949">
        <f t="shared" si="20"/>
        <v>21.56</v>
      </c>
      <c r="L173" s="944">
        <f t="shared" si="21"/>
        <v>21.42</v>
      </c>
      <c r="N173" s="1032">
        <v>45021.628023276309</v>
      </c>
      <c r="O173" s="1032">
        <v>25313.728893495263</v>
      </c>
      <c r="P173" s="1032">
        <v>60661.900815806031</v>
      </c>
      <c r="Q173" s="1032">
        <v>45509.206575487558</v>
      </c>
      <c r="R173" s="1032">
        <v>35388.137493803872</v>
      </c>
      <c r="S173" s="1051">
        <f>IF(Tables!$B$2=1,'Michigan Curve'!N173,IF(Tables!$B$2=2,'Michigan Curve'!O173,IF(Tables!$B$2=4,'Michigan Curve'!P173,IF(Tables!$B$2=5,'Michigan Curve'!Q173,IF(Tables!$B$2=3,'Michigan Curve'!R173,0)))))</f>
        <v>45509.206575487558</v>
      </c>
    </row>
    <row r="174" spans="1:19">
      <c r="A174" s="465">
        <v>42036</v>
      </c>
      <c r="B174" s="894">
        <v>35.699998474121095</v>
      </c>
      <c r="C174" s="961">
        <v>21.996000289916992</v>
      </c>
      <c r="D174" s="1008">
        <v>20.996501922607422</v>
      </c>
      <c r="E174" s="957">
        <f t="shared" si="15"/>
        <v>1.02</v>
      </c>
      <c r="F174" s="944">
        <f t="shared" si="16"/>
        <v>36.413998443603518</v>
      </c>
      <c r="H174" s="955">
        <f t="shared" si="17"/>
        <v>0.98</v>
      </c>
      <c r="I174" s="952">
        <f t="shared" si="18"/>
        <v>34.985998504638673</v>
      </c>
      <c r="J174" s="950">
        <f t="shared" si="19"/>
        <v>22.435920295715331</v>
      </c>
      <c r="K174" s="949">
        <f t="shared" si="20"/>
        <v>21.556080284118654</v>
      </c>
      <c r="L174" s="944">
        <f t="shared" si="21"/>
        <v>21.416431961059569</v>
      </c>
      <c r="N174" s="1032">
        <v>42727.236418822904</v>
      </c>
      <c r="O174" s="1032">
        <v>24024.745911874968</v>
      </c>
      <c r="P174" s="1032">
        <v>57569.960119625423</v>
      </c>
      <c r="Q174" s="1032">
        <v>43193.60101283971</v>
      </c>
      <c r="R174" s="1032">
        <v>33598.694017652459</v>
      </c>
      <c r="S174" s="1051">
        <f>IF(Tables!$B$2=1,'Michigan Curve'!N174,IF(Tables!$B$2=2,'Michigan Curve'!O174,IF(Tables!$B$2=4,'Michigan Curve'!P174,IF(Tables!$B$2=5,'Michigan Curve'!Q174,IF(Tables!$B$2=3,'Michigan Curve'!R174,0)))))</f>
        <v>43193.60101283971</v>
      </c>
    </row>
    <row r="175" spans="1:19">
      <c r="A175" s="465">
        <v>42064</v>
      </c>
      <c r="B175" s="894">
        <v>30.5</v>
      </c>
      <c r="C175" s="961">
        <v>20</v>
      </c>
      <c r="D175" s="1008">
        <v>19</v>
      </c>
      <c r="E175" s="957">
        <f t="shared" si="15"/>
        <v>1.02</v>
      </c>
      <c r="F175" s="944">
        <f t="shared" si="16"/>
        <v>31.11</v>
      </c>
      <c r="H175" s="955">
        <f t="shared" si="17"/>
        <v>0.98</v>
      </c>
      <c r="I175" s="952">
        <f t="shared" si="18"/>
        <v>29.89</v>
      </c>
      <c r="J175" s="950">
        <f t="shared" si="19"/>
        <v>20.399999999999999</v>
      </c>
      <c r="K175" s="949">
        <f t="shared" si="20"/>
        <v>19.600000000000001</v>
      </c>
      <c r="L175" s="944">
        <f t="shared" si="21"/>
        <v>19.38</v>
      </c>
      <c r="N175" s="1032">
        <v>12971.473514724348</v>
      </c>
      <c r="O175" s="1032">
        <v>7150.0591781193452</v>
      </c>
      <c r="P175" s="1032">
        <v>17547.339802213428</v>
      </c>
      <c r="Q175" s="1032">
        <v>12642.531726696308</v>
      </c>
      <c r="R175" s="1032">
        <v>9179.4687396759418</v>
      </c>
      <c r="S175" s="1051">
        <f>IF(Tables!$B$2=1,'Michigan Curve'!N175,IF(Tables!$B$2=2,'Michigan Curve'!O175,IF(Tables!$B$2=4,'Michigan Curve'!P175,IF(Tables!$B$2=5,'Michigan Curve'!Q175,IF(Tables!$B$2=3,'Michigan Curve'!R175,0)))))</f>
        <v>12642.531726696308</v>
      </c>
    </row>
    <row r="176" spans="1:19">
      <c r="A176" s="465">
        <v>42095</v>
      </c>
      <c r="B176" s="894">
        <v>30.75</v>
      </c>
      <c r="C176" s="961">
        <v>20</v>
      </c>
      <c r="D176" s="1008">
        <v>18.995000839233398</v>
      </c>
      <c r="E176" s="957">
        <f t="shared" si="15"/>
        <v>1</v>
      </c>
      <c r="F176" s="944">
        <f t="shared" si="16"/>
        <v>30.75</v>
      </c>
      <c r="H176" s="955">
        <f t="shared" si="17"/>
        <v>1</v>
      </c>
      <c r="I176" s="952">
        <f t="shared" si="18"/>
        <v>30.75</v>
      </c>
      <c r="J176" s="950">
        <f t="shared" si="19"/>
        <v>20</v>
      </c>
      <c r="K176" s="949">
        <f t="shared" si="20"/>
        <v>20</v>
      </c>
      <c r="L176" s="944">
        <f t="shared" si="21"/>
        <v>18.995000839233398</v>
      </c>
      <c r="N176" s="1032">
        <v>14538.422384429336</v>
      </c>
      <c r="O176" s="1032">
        <v>8011.1213005797681</v>
      </c>
      <c r="P176" s="1032">
        <v>19668.234980970075</v>
      </c>
      <c r="Q176" s="1032">
        <v>14159.8010121482</v>
      </c>
      <c r="R176" s="1032">
        <v>10235.738876989053</v>
      </c>
      <c r="S176" s="1051">
        <f>IF(Tables!$B$2=1,'Michigan Curve'!N176,IF(Tables!$B$2=2,'Michigan Curve'!O176,IF(Tables!$B$2=4,'Michigan Curve'!P176,IF(Tables!$B$2=5,'Michigan Curve'!Q176,IF(Tables!$B$2=3,'Michigan Curve'!R176,0)))))</f>
        <v>14159.8010121482</v>
      </c>
    </row>
    <row r="177" spans="1:19">
      <c r="A177" s="465">
        <v>42125</v>
      </c>
      <c r="B177" s="894">
        <v>34.5</v>
      </c>
      <c r="C177" s="961">
        <v>21</v>
      </c>
      <c r="D177" s="1008">
        <v>20.004999160766602</v>
      </c>
      <c r="E177" s="957">
        <f t="shared" si="15"/>
        <v>1.0762500017881393</v>
      </c>
      <c r="F177" s="944">
        <f t="shared" si="16"/>
        <v>37.130625061690807</v>
      </c>
      <c r="H177" s="955">
        <f t="shared" si="17"/>
        <v>0.92374999821186066</v>
      </c>
      <c r="I177" s="952">
        <f t="shared" si="18"/>
        <v>31.869374938309193</v>
      </c>
      <c r="J177" s="950">
        <f t="shared" si="19"/>
        <v>22.601250037550926</v>
      </c>
      <c r="K177" s="949">
        <f t="shared" si="20"/>
        <v>19.398749962449074</v>
      </c>
      <c r="L177" s="944">
        <f t="shared" si="21"/>
        <v>21.530380382546781</v>
      </c>
      <c r="N177" s="1032">
        <v>22090.707605818308</v>
      </c>
      <c r="O177" s="1032">
        <v>12014.192223978094</v>
      </c>
      <c r="P177" s="1032">
        <v>29962.173513557664</v>
      </c>
      <c r="Q177" s="1032">
        <v>20981.101073426671</v>
      </c>
      <c r="R177" s="1032">
        <v>13702.75993488831</v>
      </c>
      <c r="S177" s="1051">
        <f>IF(Tables!$B$2=1,'Michigan Curve'!N177,IF(Tables!$B$2=2,'Michigan Curve'!O177,IF(Tables!$B$2=4,'Michigan Curve'!P177,IF(Tables!$B$2=5,'Michigan Curve'!Q177,IF(Tables!$B$2=3,'Michigan Curve'!R177,0)))))</f>
        <v>20981.101073426671</v>
      </c>
    </row>
    <row r="178" spans="1:19">
      <c r="A178" s="465">
        <v>42156</v>
      </c>
      <c r="B178" s="894">
        <v>56.25</v>
      </c>
      <c r="C178" s="961">
        <v>26</v>
      </c>
      <c r="D178" s="1008">
        <v>24</v>
      </c>
      <c r="E178" s="957">
        <f t="shared" si="15"/>
        <v>1.5792804888888889</v>
      </c>
      <c r="F178" s="944">
        <f t="shared" si="16"/>
        <v>88.834527500000007</v>
      </c>
      <c r="H178" s="955">
        <f t="shared" si="17"/>
        <v>0.42071951111111106</v>
      </c>
      <c r="I178" s="952">
        <f t="shared" si="18"/>
        <v>23.665472499999996</v>
      </c>
      <c r="J178" s="950">
        <f t="shared" si="19"/>
        <v>41.061292711111115</v>
      </c>
      <c r="K178" s="949">
        <f t="shared" si="20"/>
        <v>10.938707288888887</v>
      </c>
      <c r="L178" s="944">
        <f t="shared" si="21"/>
        <v>37.902731733333333</v>
      </c>
      <c r="N178" s="1032">
        <v>85891.735582712339</v>
      </c>
      <c r="O178" s="1032">
        <v>52906.947270501871</v>
      </c>
      <c r="P178" s="1032">
        <v>113685.0666529499</v>
      </c>
      <c r="Q178" s="1032">
        <v>103121.02301234961</v>
      </c>
      <c r="R178" s="1032">
        <v>123702.60737320292</v>
      </c>
      <c r="S178" s="1051">
        <f>IF(Tables!$B$2=1,'Michigan Curve'!N178,IF(Tables!$B$2=2,'Michigan Curve'!O178,IF(Tables!$B$2=4,'Michigan Curve'!P178,IF(Tables!$B$2=5,'Michigan Curve'!Q178,IF(Tables!$B$2=3,'Michigan Curve'!R178,0)))))</f>
        <v>103121.02301234961</v>
      </c>
    </row>
    <row r="179" spans="1:19">
      <c r="A179" s="465">
        <v>42186</v>
      </c>
      <c r="B179" s="894">
        <v>101</v>
      </c>
      <c r="C179" s="961">
        <v>35</v>
      </c>
      <c r="D179" s="1008">
        <v>30.999998092651367</v>
      </c>
      <c r="E179" s="957">
        <f t="shared" si="15"/>
        <v>1.7010997698854939</v>
      </c>
      <c r="F179" s="944">
        <f t="shared" si="16"/>
        <v>171.81107675843489</v>
      </c>
      <c r="H179" s="955">
        <f t="shared" si="17"/>
        <v>0.29890023011450606</v>
      </c>
      <c r="I179" s="952">
        <f t="shared" si="18"/>
        <v>30.188923241565114</v>
      </c>
      <c r="J179" s="950">
        <f t="shared" si="19"/>
        <v>59.538491945992291</v>
      </c>
      <c r="K179" s="949">
        <f t="shared" si="20"/>
        <v>10.461508054007712</v>
      </c>
      <c r="L179" s="944">
        <f t="shared" si="21"/>
        <v>52.734089621859994</v>
      </c>
      <c r="N179" s="1032">
        <v>238239.99110466149</v>
      </c>
      <c r="O179" s="1032">
        <v>142026.17587715061</v>
      </c>
      <c r="P179" s="1032">
        <v>317321.43309438787</v>
      </c>
      <c r="Q179" s="1032">
        <v>268664.3758863695</v>
      </c>
      <c r="R179" s="1032">
        <v>257100.62807475217</v>
      </c>
      <c r="S179" s="1051">
        <f>IF(Tables!$B$2=1,'Michigan Curve'!N179,IF(Tables!$B$2=2,'Michigan Curve'!O179,IF(Tables!$B$2=4,'Michigan Curve'!P179,IF(Tables!$B$2=5,'Michigan Curve'!Q179,IF(Tables!$B$2=3,'Michigan Curve'!R179,0)))))</f>
        <v>268664.3758863695</v>
      </c>
    </row>
    <row r="180" spans="1:19">
      <c r="A180" s="465">
        <v>42217</v>
      </c>
      <c r="B180" s="894">
        <v>101</v>
      </c>
      <c r="C180" s="961">
        <v>35.000003814697266</v>
      </c>
      <c r="D180" s="1008">
        <v>31</v>
      </c>
      <c r="E180" s="957">
        <f t="shared" si="15"/>
        <v>1.7010997698854939</v>
      </c>
      <c r="F180" s="944">
        <f t="shared" si="16"/>
        <v>171.81107675843489</v>
      </c>
      <c r="H180" s="955">
        <f t="shared" si="17"/>
        <v>0.29890023011450606</v>
      </c>
      <c r="I180" s="952">
        <f t="shared" si="18"/>
        <v>30.188923241565114</v>
      </c>
      <c r="J180" s="950">
        <f t="shared" si="19"/>
        <v>59.538498435172926</v>
      </c>
      <c r="K180" s="949">
        <f t="shared" si="20"/>
        <v>10.461509194221602</v>
      </c>
      <c r="L180" s="944">
        <f t="shared" si="21"/>
        <v>52.734092866450311</v>
      </c>
      <c r="N180" s="1032">
        <v>273068.14853034541</v>
      </c>
      <c r="O180" s="1032">
        <v>164144.51698598126</v>
      </c>
      <c r="P180" s="1032">
        <v>363105.85542380251</v>
      </c>
      <c r="Q180" s="1032">
        <v>312731.22430419922</v>
      </c>
      <c r="R180" s="1032">
        <v>303295.44159525819</v>
      </c>
      <c r="S180" s="1051">
        <f>IF(Tables!$B$2=1,'Michigan Curve'!N180,IF(Tables!$B$2=2,'Michigan Curve'!O180,IF(Tables!$B$2=4,'Michigan Curve'!P180,IF(Tables!$B$2=5,'Michigan Curve'!Q180,IF(Tables!$B$2=3,'Michigan Curve'!R180,0)))))</f>
        <v>312731.22430419922</v>
      </c>
    </row>
    <row r="181" spans="1:19">
      <c r="A181" s="465">
        <v>42248</v>
      </c>
      <c r="B181" s="894">
        <v>37.25</v>
      </c>
      <c r="C181" s="961">
        <v>25</v>
      </c>
      <c r="D181" s="1008">
        <v>24</v>
      </c>
      <c r="E181" s="957">
        <f t="shared" si="15"/>
        <v>1.3512499928474426</v>
      </c>
      <c r="F181" s="944">
        <f t="shared" si="16"/>
        <v>50.334062233567238</v>
      </c>
      <c r="H181" s="955">
        <f t="shared" si="17"/>
        <v>0.64875000715255737</v>
      </c>
      <c r="I181" s="952">
        <f t="shared" si="18"/>
        <v>24.165937766432762</v>
      </c>
      <c r="J181" s="950">
        <f t="shared" si="19"/>
        <v>33.781249821186066</v>
      </c>
      <c r="K181" s="949">
        <f t="shared" si="20"/>
        <v>16.218750178813934</v>
      </c>
      <c r="L181" s="944">
        <f t="shared" si="21"/>
        <v>32.429999828338623</v>
      </c>
      <c r="N181" s="1032">
        <v>145277.9211503556</v>
      </c>
      <c r="O181" s="1032">
        <v>80810.43213828915</v>
      </c>
      <c r="P181" s="1032">
        <v>196144.89606614539</v>
      </c>
      <c r="Q181" s="1032">
        <v>143757.27038111415</v>
      </c>
      <c r="R181" s="1032">
        <v>100699.1765960278</v>
      </c>
      <c r="S181" s="1051">
        <f>IF(Tables!$B$2=1,'Michigan Curve'!N181,IF(Tables!$B$2=2,'Michigan Curve'!O181,IF(Tables!$B$2=4,'Michigan Curve'!P181,IF(Tables!$B$2=5,'Michigan Curve'!Q181,IF(Tables!$B$2=3,'Michigan Curve'!R181,0)))))</f>
        <v>143757.27038111415</v>
      </c>
    </row>
    <row r="182" spans="1:19">
      <c r="A182" s="465">
        <v>42278</v>
      </c>
      <c r="B182" s="894">
        <v>30.349994659423828</v>
      </c>
      <c r="C182" s="961">
        <v>19.996000289916992</v>
      </c>
      <c r="D182" s="1008">
        <v>18.996500015258789</v>
      </c>
      <c r="E182" s="957">
        <f t="shared" si="15"/>
        <v>1</v>
      </c>
      <c r="F182" s="944">
        <f t="shared" si="16"/>
        <v>30.349994659423828</v>
      </c>
      <c r="H182" s="955">
        <f t="shared" si="17"/>
        <v>1</v>
      </c>
      <c r="I182" s="952">
        <f t="shared" si="18"/>
        <v>30.349994659423828</v>
      </c>
      <c r="J182" s="950">
        <f t="shared" si="19"/>
        <v>19.996000289916992</v>
      </c>
      <c r="K182" s="949">
        <f t="shared" si="20"/>
        <v>19.996000289916992</v>
      </c>
      <c r="L182" s="944">
        <f t="shared" si="21"/>
        <v>18.996500015258789</v>
      </c>
      <c r="N182" s="1032">
        <v>3387.1695428629419</v>
      </c>
      <c r="O182" s="1032">
        <v>1787.5074713863844</v>
      </c>
      <c r="P182" s="1032">
        <v>4621.9959908291112</v>
      </c>
      <c r="Q182" s="1032">
        <v>3044.0592777546935</v>
      </c>
      <c r="R182" s="1032">
        <v>1788.3645351196974</v>
      </c>
      <c r="S182" s="1051">
        <f>IF(Tables!$B$2=1,'Michigan Curve'!N182,IF(Tables!$B$2=2,'Michigan Curve'!O182,IF(Tables!$B$2=4,'Michigan Curve'!P182,IF(Tables!$B$2=5,'Michigan Curve'!Q182,IF(Tables!$B$2=3,'Michigan Curve'!R182,0)))))</f>
        <v>3044.0592777546935</v>
      </c>
    </row>
    <row r="183" spans="1:19">
      <c r="A183" s="465">
        <v>42309</v>
      </c>
      <c r="B183" s="894">
        <v>30.229995727539063</v>
      </c>
      <c r="C183" s="961">
        <v>20</v>
      </c>
      <c r="D183" s="1008">
        <v>19</v>
      </c>
      <c r="E183" s="957">
        <f t="shared" si="15"/>
        <v>1.08</v>
      </c>
      <c r="F183" s="944">
        <f t="shared" si="16"/>
        <v>32.648395385742191</v>
      </c>
      <c r="H183" s="955">
        <f t="shared" si="17"/>
        <v>0.91999999999999993</v>
      </c>
      <c r="I183" s="952">
        <f t="shared" si="18"/>
        <v>27.811596069335934</v>
      </c>
      <c r="J183" s="950">
        <f t="shared" si="19"/>
        <v>21.6</v>
      </c>
      <c r="K183" s="949">
        <f t="shared" si="20"/>
        <v>18.399999999999999</v>
      </c>
      <c r="L183" s="944">
        <f t="shared" si="21"/>
        <v>20.520000000000003</v>
      </c>
      <c r="N183" s="1032">
        <v>16905.155474779116</v>
      </c>
      <c r="O183" s="1032">
        <v>9363.6231438904197</v>
      </c>
      <c r="P183" s="1032">
        <v>22846.451155719627</v>
      </c>
      <c r="Q183" s="1032">
        <v>16623.816911625796</v>
      </c>
      <c r="R183" s="1032">
        <v>12283.539827448118</v>
      </c>
      <c r="S183" s="1051">
        <f>IF(Tables!$B$2=1,'Michigan Curve'!N183,IF(Tables!$B$2=2,'Michigan Curve'!O183,IF(Tables!$B$2=4,'Michigan Curve'!P183,IF(Tables!$B$2=5,'Michigan Curve'!Q183,IF(Tables!$B$2=3,'Michigan Curve'!R183,0)))))</f>
        <v>16623.816911625796</v>
      </c>
    </row>
    <row r="184" spans="1:19">
      <c r="A184" s="465">
        <v>42339</v>
      </c>
      <c r="B184" s="894">
        <v>30.699995040893555</v>
      </c>
      <c r="C184" s="961">
        <v>20</v>
      </c>
      <c r="D184" s="1008">
        <v>19</v>
      </c>
      <c r="E184" s="957">
        <f t="shared" si="15"/>
        <v>1.02</v>
      </c>
      <c r="F184" s="944">
        <f t="shared" si="16"/>
        <v>31.313994941711428</v>
      </c>
      <c r="H184" s="955">
        <f t="shared" si="17"/>
        <v>0.98</v>
      </c>
      <c r="I184" s="952">
        <f t="shared" si="18"/>
        <v>30.085995140075681</v>
      </c>
      <c r="J184" s="950">
        <f t="shared" si="19"/>
        <v>20.399999999999999</v>
      </c>
      <c r="K184" s="949">
        <f t="shared" si="20"/>
        <v>19.600000000000001</v>
      </c>
      <c r="L184" s="944">
        <f t="shared" si="21"/>
        <v>19.38</v>
      </c>
      <c r="N184" s="1032">
        <v>11492.511118189032</v>
      </c>
      <c r="O184" s="1033">
        <v>6326.0309002145123</v>
      </c>
      <c r="P184" s="1033">
        <v>15551.023809117791</v>
      </c>
      <c r="Q184" s="1033">
        <v>11173.891256031351</v>
      </c>
      <c r="R184" s="1033">
        <v>8271.0883944089055</v>
      </c>
      <c r="S184" s="1051">
        <f>IF(Tables!$B$2=1,'Michigan Curve'!N184,IF(Tables!$B$2=2,'Michigan Curve'!O184,IF(Tables!$B$2=4,'Michigan Curve'!P184,IF(Tables!$B$2=5,'Michigan Curve'!Q184,IF(Tables!$B$2=3,'Michigan Curve'!R184,0)))))</f>
        <v>11173.891256031351</v>
      </c>
    </row>
    <row r="185" spans="1:19">
      <c r="A185" s="465">
        <v>42370</v>
      </c>
      <c r="B185" s="894">
        <v>36.200000381469728</v>
      </c>
      <c r="C185" s="961">
        <v>22</v>
      </c>
      <c r="D185" s="1005">
        <v>21</v>
      </c>
      <c r="E185" s="957">
        <f t="shared" si="15"/>
        <v>1.02</v>
      </c>
      <c r="F185" s="944">
        <f t="shared" si="16"/>
        <v>36.92400038909912</v>
      </c>
      <c r="H185" s="955">
        <f t="shared" si="17"/>
        <v>0.98</v>
      </c>
      <c r="I185" s="952">
        <f t="shared" si="18"/>
        <v>35.476000373840336</v>
      </c>
      <c r="J185" s="950">
        <f t="shared" si="19"/>
        <v>22.44</v>
      </c>
      <c r="K185" s="949">
        <f t="shared" si="20"/>
        <v>21.56</v>
      </c>
      <c r="L185" s="944">
        <f t="shared" si="21"/>
        <v>21.42</v>
      </c>
      <c r="N185" s="1032"/>
    </row>
    <row r="186" spans="1:19">
      <c r="A186" s="465">
        <v>42401</v>
      </c>
      <c r="B186" s="894">
        <v>36.199998474121095</v>
      </c>
      <c r="C186" s="961">
        <v>21.996000289916992</v>
      </c>
      <c r="D186" s="1005">
        <v>20.996501922607422</v>
      </c>
      <c r="E186" s="957">
        <f t="shared" si="15"/>
        <v>1.02</v>
      </c>
      <c r="F186" s="944">
        <f t="shared" si="16"/>
        <v>36.923998443603516</v>
      </c>
      <c r="H186" s="955">
        <f t="shared" si="17"/>
        <v>0.98</v>
      </c>
      <c r="I186" s="952">
        <f t="shared" si="18"/>
        <v>35.475998504638675</v>
      </c>
      <c r="J186" s="950">
        <f t="shared" si="19"/>
        <v>22.435920295715331</v>
      </c>
      <c r="K186" s="949">
        <f t="shared" si="20"/>
        <v>21.556080284118654</v>
      </c>
      <c r="L186" s="944">
        <f t="shared" si="21"/>
        <v>21.416431961059569</v>
      </c>
      <c r="N186" s="1032"/>
    </row>
    <row r="187" spans="1:19">
      <c r="A187" s="465">
        <v>42430</v>
      </c>
      <c r="B187" s="894">
        <v>31</v>
      </c>
      <c r="C187" s="961">
        <v>20</v>
      </c>
      <c r="D187" s="1005">
        <v>19</v>
      </c>
      <c r="E187" s="957">
        <f t="shared" si="15"/>
        <v>1.02</v>
      </c>
      <c r="F187" s="944">
        <f t="shared" si="16"/>
        <v>31.62</v>
      </c>
      <c r="H187" s="955">
        <f t="shared" si="17"/>
        <v>0.98</v>
      </c>
      <c r="I187" s="952">
        <f t="shared" si="18"/>
        <v>30.38</v>
      </c>
      <c r="J187" s="950">
        <f t="shared" si="19"/>
        <v>20.399999999999999</v>
      </c>
      <c r="K187" s="949">
        <f t="shared" si="20"/>
        <v>19.600000000000001</v>
      </c>
      <c r="L187" s="944">
        <f t="shared" si="21"/>
        <v>19.38</v>
      </c>
      <c r="N187" s="1032"/>
    </row>
    <row r="188" spans="1:19">
      <c r="A188" s="465">
        <v>42461</v>
      </c>
      <c r="B188" s="894">
        <v>31.25</v>
      </c>
      <c r="C188" s="961">
        <v>20</v>
      </c>
      <c r="D188" s="1005">
        <v>18.995000839233398</v>
      </c>
      <c r="E188" s="957">
        <f t="shared" si="15"/>
        <v>1</v>
      </c>
      <c r="F188" s="944">
        <f t="shared" si="16"/>
        <v>31.25</v>
      </c>
      <c r="H188" s="955">
        <f t="shared" si="17"/>
        <v>1</v>
      </c>
      <c r="I188" s="952">
        <f t="shared" si="18"/>
        <v>31.25</v>
      </c>
      <c r="J188" s="950">
        <f t="shared" si="19"/>
        <v>20</v>
      </c>
      <c r="K188" s="949">
        <f t="shared" si="20"/>
        <v>20</v>
      </c>
      <c r="L188" s="944">
        <f t="shared" si="21"/>
        <v>18.995000839233398</v>
      </c>
      <c r="N188" s="1032"/>
    </row>
    <row r="189" spans="1:19">
      <c r="A189" s="465">
        <v>42491</v>
      </c>
      <c r="B189" s="894">
        <v>35</v>
      </c>
      <c r="C189" s="961">
        <v>21</v>
      </c>
      <c r="D189" s="1005">
        <v>20.004999160766602</v>
      </c>
      <c r="E189" s="957">
        <f t="shared" si="15"/>
        <v>1.0762500017881393</v>
      </c>
      <c r="F189" s="944">
        <f t="shared" si="16"/>
        <v>37.668750062584877</v>
      </c>
      <c r="H189" s="955">
        <f t="shared" si="17"/>
        <v>0.92374999821186066</v>
      </c>
      <c r="I189" s="952">
        <f t="shared" si="18"/>
        <v>32.331249937415123</v>
      </c>
      <c r="J189" s="950">
        <f t="shared" si="19"/>
        <v>22.601250037550926</v>
      </c>
      <c r="K189" s="949">
        <f t="shared" si="20"/>
        <v>19.398749962449074</v>
      </c>
      <c r="L189" s="944">
        <f t="shared" si="21"/>
        <v>21.530380382546781</v>
      </c>
      <c r="N189" s="1032"/>
    </row>
    <row r="190" spans="1:19">
      <c r="A190" s="465">
        <v>42522</v>
      </c>
      <c r="B190" s="894">
        <v>57.25</v>
      </c>
      <c r="C190" s="961">
        <v>26</v>
      </c>
      <c r="D190" s="1005">
        <v>24</v>
      </c>
      <c r="E190" s="957">
        <f t="shared" si="15"/>
        <v>1.5832659776524305</v>
      </c>
      <c r="F190" s="944">
        <f t="shared" si="16"/>
        <v>90.641977220601646</v>
      </c>
      <c r="H190" s="955">
        <f t="shared" si="17"/>
        <v>0.41673402234756951</v>
      </c>
      <c r="I190" s="952">
        <f t="shared" si="18"/>
        <v>23.858022779398354</v>
      </c>
      <c r="J190" s="950">
        <f t="shared" si="19"/>
        <v>41.16491541896319</v>
      </c>
      <c r="K190" s="949">
        <f t="shared" si="20"/>
        <v>10.835084581036806</v>
      </c>
      <c r="L190" s="944">
        <f t="shared" si="21"/>
        <v>37.998383463658328</v>
      </c>
      <c r="N190" s="1032"/>
    </row>
    <row r="191" spans="1:19">
      <c r="A191" s="465">
        <v>42552</v>
      </c>
      <c r="B191" s="894">
        <v>104</v>
      </c>
      <c r="C191" s="961">
        <v>35</v>
      </c>
      <c r="D191" s="1005">
        <v>30.999998092651367</v>
      </c>
      <c r="E191" s="957">
        <f t="shared" ref="E191:E256" si="22">IF(VLOOKUP(MONTH(A191),SeasonTable,2,0)&lt;&gt;"Summer",VLOOKUP(MONTH(A191),ScalarTable,2,0),((0.059228/(B191/100))-(0.4980013/(SQRT(B191/100)))+2.137988))</f>
        <v>1.7066075487510435</v>
      </c>
      <c r="F191" s="944">
        <f t="shared" si="16"/>
        <v>177.48718507010852</v>
      </c>
      <c r="H191" s="955">
        <f t="shared" si="17"/>
        <v>0.29339245124895652</v>
      </c>
      <c r="I191" s="952">
        <f t="shared" si="18"/>
        <v>30.512814929891476</v>
      </c>
      <c r="J191" s="950">
        <f t="shared" si="19"/>
        <v>59.731264206286525</v>
      </c>
      <c r="K191" s="949">
        <f t="shared" si="20"/>
        <v>10.268735793713478</v>
      </c>
      <c r="L191" s="944">
        <f t="shared" si="21"/>
        <v>52.904830756186776</v>
      </c>
      <c r="N191" s="1032"/>
    </row>
    <row r="192" spans="1:19">
      <c r="A192" s="465">
        <v>42583</v>
      </c>
      <c r="B192" s="894">
        <v>104</v>
      </c>
      <c r="C192" s="961">
        <v>35.000003814697266</v>
      </c>
      <c r="D192" s="1005">
        <v>31</v>
      </c>
      <c r="E192" s="957">
        <f t="shared" si="22"/>
        <v>1.7066075487510435</v>
      </c>
      <c r="F192" s="944">
        <f t="shared" si="16"/>
        <v>177.48718507010852</v>
      </c>
      <c r="H192" s="955">
        <f t="shared" si="17"/>
        <v>0.29339245124895652</v>
      </c>
      <c r="I192" s="952">
        <f t="shared" si="18"/>
        <v>30.512814929891476</v>
      </c>
      <c r="J192" s="950">
        <f t="shared" si="19"/>
        <v>59.731270716477674</v>
      </c>
      <c r="K192" s="949">
        <f t="shared" si="20"/>
        <v>10.268736912916859</v>
      </c>
      <c r="L192" s="944">
        <f t="shared" si="21"/>
        <v>52.904834011282347</v>
      </c>
      <c r="N192" s="1032"/>
    </row>
    <row r="193" spans="1:14">
      <c r="A193" s="465">
        <v>42614</v>
      </c>
      <c r="B193" s="894">
        <v>37.75</v>
      </c>
      <c r="C193" s="961">
        <v>25</v>
      </c>
      <c r="D193" s="1005">
        <v>24</v>
      </c>
      <c r="E193" s="957">
        <f t="shared" si="22"/>
        <v>1.3512499928474426</v>
      </c>
      <c r="F193" s="944">
        <f t="shared" ref="F193:F256" si="23">+E193*B193</f>
        <v>51.009687229990959</v>
      </c>
      <c r="H193" s="955">
        <f t="shared" si="17"/>
        <v>0.64875000715255737</v>
      </c>
      <c r="I193" s="952">
        <f t="shared" si="18"/>
        <v>24.490312770009041</v>
      </c>
      <c r="J193" s="950">
        <f t="shared" si="19"/>
        <v>33.781249821186066</v>
      </c>
      <c r="K193" s="949">
        <f t="shared" si="20"/>
        <v>16.218750178813934</v>
      </c>
      <c r="L193" s="944">
        <f t="shared" si="21"/>
        <v>32.429999828338623</v>
      </c>
      <c r="N193" s="1032"/>
    </row>
    <row r="194" spans="1:14">
      <c r="A194" s="465">
        <v>42644</v>
      </c>
      <c r="B194" s="894">
        <v>30.849994659423828</v>
      </c>
      <c r="C194" s="961">
        <v>19.996000289916992</v>
      </c>
      <c r="D194" s="1005">
        <v>18.996500015258789</v>
      </c>
      <c r="E194" s="957">
        <f t="shared" si="22"/>
        <v>1</v>
      </c>
      <c r="F194" s="944">
        <f t="shared" si="23"/>
        <v>30.849994659423828</v>
      </c>
      <c r="H194" s="955">
        <f t="shared" si="17"/>
        <v>1</v>
      </c>
      <c r="I194" s="952">
        <f t="shared" si="18"/>
        <v>30.849994659423828</v>
      </c>
      <c r="J194" s="950">
        <f t="shared" si="19"/>
        <v>19.996000289916992</v>
      </c>
      <c r="K194" s="949">
        <f t="shared" si="20"/>
        <v>19.996000289916992</v>
      </c>
      <c r="L194" s="944">
        <f t="shared" si="21"/>
        <v>18.996500015258789</v>
      </c>
      <c r="N194" s="1032"/>
    </row>
    <row r="195" spans="1:14">
      <c r="A195" s="465">
        <v>42675</v>
      </c>
      <c r="B195" s="894">
        <v>30.729995727539063</v>
      </c>
      <c r="C195" s="961">
        <v>20</v>
      </c>
      <c r="D195" s="1005">
        <v>19</v>
      </c>
      <c r="E195" s="957">
        <f t="shared" si="22"/>
        <v>1.08</v>
      </c>
      <c r="F195" s="944">
        <f t="shared" si="23"/>
        <v>33.18839538574219</v>
      </c>
      <c r="H195" s="955">
        <f t="shared" si="17"/>
        <v>0.91999999999999993</v>
      </c>
      <c r="I195" s="952">
        <f t="shared" si="18"/>
        <v>28.271596069335935</v>
      </c>
      <c r="J195" s="950">
        <f t="shared" si="19"/>
        <v>21.6</v>
      </c>
      <c r="K195" s="949">
        <f t="shared" si="20"/>
        <v>18.399999999999999</v>
      </c>
      <c r="L195" s="944">
        <f t="shared" si="21"/>
        <v>20.520000000000003</v>
      </c>
      <c r="N195" s="1032"/>
    </row>
    <row r="196" spans="1:14">
      <c r="A196" s="465">
        <v>42705</v>
      </c>
      <c r="B196" s="894">
        <v>31.199995040893555</v>
      </c>
      <c r="C196" s="961">
        <v>20</v>
      </c>
      <c r="D196" s="1005">
        <v>19</v>
      </c>
      <c r="E196" s="957">
        <f t="shared" si="22"/>
        <v>1.02</v>
      </c>
      <c r="F196" s="944">
        <f t="shared" si="23"/>
        <v>31.823994941711426</v>
      </c>
      <c r="H196" s="955">
        <f t="shared" si="17"/>
        <v>0.98</v>
      </c>
      <c r="I196" s="952">
        <f t="shared" si="18"/>
        <v>30.575995140075683</v>
      </c>
      <c r="J196" s="950">
        <f t="shared" si="19"/>
        <v>20.399999999999999</v>
      </c>
      <c r="K196" s="949">
        <f t="shared" si="20"/>
        <v>19.600000000000001</v>
      </c>
      <c r="L196" s="944">
        <f t="shared" si="21"/>
        <v>19.38</v>
      </c>
      <c r="N196" s="1032"/>
    </row>
    <row r="197" spans="1:14">
      <c r="A197" s="465">
        <v>42736</v>
      </c>
      <c r="B197" s="894">
        <v>36.700000381469728</v>
      </c>
      <c r="C197" s="961">
        <v>22</v>
      </c>
      <c r="D197" s="1005">
        <v>21</v>
      </c>
      <c r="E197" s="957">
        <f t="shared" si="22"/>
        <v>1.02</v>
      </c>
      <c r="F197" s="944">
        <f t="shared" si="23"/>
        <v>37.434000389099126</v>
      </c>
      <c r="H197" s="955">
        <f t="shared" si="17"/>
        <v>0.98</v>
      </c>
      <c r="I197" s="952">
        <f t="shared" si="18"/>
        <v>35.96600037384033</v>
      </c>
      <c r="J197" s="950">
        <f t="shared" si="19"/>
        <v>22.44</v>
      </c>
      <c r="K197" s="949">
        <f t="shared" si="20"/>
        <v>21.56</v>
      </c>
      <c r="L197" s="944">
        <f t="shared" si="21"/>
        <v>21.42</v>
      </c>
      <c r="N197" s="1032"/>
    </row>
    <row r="198" spans="1:14">
      <c r="A198" s="465">
        <v>42767</v>
      </c>
      <c r="B198" s="894">
        <v>36.699998474121095</v>
      </c>
      <c r="C198" s="961">
        <v>21.996000289916992</v>
      </c>
      <c r="D198" s="1005">
        <v>20.996501922607422</v>
      </c>
      <c r="E198" s="957">
        <f t="shared" si="22"/>
        <v>1.02</v>
      </c>
      <c r="F198" s="944">
        <f t="shared" si="23"/>
        <v>37.433998443603521</v>
      </c>
      <c r="H198" s="955">
        <f t="shared" ref="H198:H256" si="24">2-E198</f>
        <v>0.98</v>
      </c>
      <c r="I198" s="952">
        <f t="shared" ref="I198:I256" si="25">B198*H198</f>
        <v>35.965998504638669</v>
      </c>
      <c r="J198" s="950">
        <f t="shared" ref="J198:J256" si="26">C198*E198</f>
        <v>22.435920295715331</v>
      </c>
      <c r="K198" s="949">
        <f t="shared" ref="K198:K256" si="27">C198*H198</f>
        <v>21.556080284118654</v>
      </c>
      <c r="L198" s="944">
        <f t="shared" ref="L198:L256" si="28">D198*E198</f>
        <v>21.416431961059569</v>
      </c>
      <c r="N198" s="1032"/>
    </row>
    <row r="199" spans="1:14">
      <c r="A199" s="465">
        <v>42795</v>
      </c>
      <c r="B199" s="894">
        <v>31.5</v>
      </c>
      <c r="C199" s="961">
        <v>20</v>
      </c>
      <c r="D199" s="1005">
        <v>19</v>
      </c>
      <c r="E199" s="957">
        <f t="shared" si="22"/>
        <v>1.02</v>
      </c>
      <c r="F199" s="944">
        <f t="shared" si="23"/>
        <v>32.130000000000003</v>
      </c>
      <c r="H199" s="955">
        <f t="shared" si="24"/>
        <v>0.98</v>
      </c>
      <c r="I199" s="952">
        <f t="shared" si="25"/>
        <v>30.87</v>
      </c>
      <c r="J199" s="950">
        <f t="shared" si="26"/>
        <v>20.399999999999999</v>
      </c>
      <c r="K199" s="949">
        <f t="shared" si="27"/>
        <v>19.600000000000001</v>
      </c>
      <c r="L199" s="944">
        <f t="shared" si="28"/>
        <v>19.38</v>
      </c>
      <c r="N199" s="1032"/>
    </row>
    <row r="200" spans="1:14">
      <c r="A200" s="465">
        <v>42826</v>
      </c>
      <c r="B200" s="894">
        <v>31.75</v>
      </c>
      <c r="C200" s="961">
        <v>20</v>
      </c>
      <c r="D200" s="1005">
        <v>18.995000839233398</v>
      </c>
      <c r="E200" s="957">
        <f t="shared" si="22"/>
        <v>1</v>
      </c>
      <c r="F200" s="944">
        <f t="shared" si="23"/>
        <v>31.75</v>
      </c>
      <c r="H200" s="955">
        <f t="shared" si="24"/>
        <v>1</v>
      </c>
      <c r="I200" s="952">
        <f t="shared" si="25"/>
        <v>31.75</v>
      </c>
      <c r="J200" s="950">
        <f t="shared" si="26"/>
        <v>20</v>
      </c>
      <c r="K200" s="949">
        <f t="shared" si="27"/>
        <v>20</v>
      </c>
      <c r="L200" s="944">
        <f t="shared" si="28"/>
        <v>18.995000839233398</v>
      </c>
      <c r="N200" s="1032"/>
    </row>
    <row r="201" spans="1:14">
      <c r="A201" s="465">
        <v>42856</v>
      </c>
      <c r="B201" s="894">
        <v>35.5</v>
      </c>
      <c r="C201" s="961">
        <v>21</v>
      </c>
      <c r="D201" s="1005">
        <v>20.004999160766602</v>
      </c>
      <c r="E201" s="957">
        <f t="shared" si="22"/>
        <v>1.0762500017881393</v>
      </c>
      <c r="F201" s="944">
        <f t="shared" si="23"/>
        <v>38.206875063478947</v>
      </c>
      <c r="H201" s="955">
        <f t="shared" si="24"/>
        <v>0.92374999821186066</v>
      </c>
      <c r="I201" s="952">
        <f t="shared" si="25"/>
        <v>32.793124936521053</v>
      </c>
      <c r="J201" s="950">
        <f t="shared" si="26"/>
        <v>22.601250037550926</v>
      </c>
      <c r="K201" s="949">
        <f t="shared" si="27"/>
        <v>19.398749962449074</v>
      </c>
      <c r="L201" s="944">
        <f t="shared" si="28"/>
        <v>21.530380382546781</v>
      </c>
      <c r="N201" s="1032"/>
    </row>
    <row r="202" spans="1:14">
      <c r="A202" s="465">
        <v>42887</v>
      </c>
      <c r="B202" s="894">
        <v>58.25</v>
      </c>
      <c r="C202" s="961">
        <v>26</v>
      </c>
      <c r="D202" s="1005">
        <v>24</v>
      </c>
      <c r="E202" s="957">
        <f t="shared" si="22"/>
        <v>1.5871639716883514</v>
      </c>
      <c r="F202" s="944">
        <f t="shared" si="23"/>
        <v>92.452301350846469</v>
      </c>
      <c r="H202" s="955">
        <f t="shared" si="24"/>
        <v>0.41283602831164856</v>
      </c>
      <c r="I202" s="952">
        <f t="shared" si="25"/>
        <v>24.047698649153528</v>
      </c>
      <c r="J202" s="950">
        <f t="shared" si="26"/>
        <v>41.266263263897137</v>
      </c>
      <c r="K202" s="949">
        <f t="shared" si="27"/>
        <v>10.733736736102863</v>
      </c>
      <c r="L202" s="944">
        <f t="shared" si="28"/>
        <v>38.091935320520435</v>
      </c>
      <c r="N202" s="1032"/>
    </row>
    <row r="203" spans="1:14">
      <c r="A203" s="465">
        <v>42917</v>
      </c>
      <c r="B203" s="894">
        <v>107</v>
      </c>
      <c r="C203" s="961">
        <v>35</v>
      </c>
      <c r="D203" s="1005">
        <v>30.999998092651367</v>
      </c>
      <c r="E203" s="957">
        <f t="shared" si="22"/>
        <v>1.7119052427258612</v>
      </c>
      <c r="F203" s="944">
        <f t="shared" si="23"/>
        <v>183.17386097166715</v>
      </c>
      <c r="H203" s="955">
        <f t="shared" si="24"/>
        <v>0.2880947572741388</v>
      </c>
      <c r="I203" s="952">
        <f t="shared" si="25"/>
        <v>30.82613902833285</v>
      </c>
      <c r="J203" s="950">
        <f t="shared" si="26"/>
        <v>59.916683495405145</v>
      </c>
      <c r="K203" s="949">
        <f t="shared" si="27"/>
        <v>10.083316504594858</v>
      </c>
      <c r="L203" s="944">
        <f t="shared" si="28"/>
        <v>53.069059259301575</v>
      </c>
      <c r="N203" s="1032"/>
    </row>
    <row r="204" spans="1:14">
      <c r="A204" s="465">
        <v>42948</v>
      </c>
      <c r="B204" s="894">
        <v>107</v>
      </c>
      <c r="C204" s="961">
        <v>35.000003814697266</v>
      </c>
      <c r="D204" s="1005">
        <v>31</v>
      </c>
      <c r="E204" s="957">
        <f t="shared" si="22"/>
        <v>1.7119052427258612</v>
      </c>
      <c r="F204" s="944">
        <f t="shared" si="23"/>
        <v>183.17386097166715</v>
      </c>
      <c r="H204" s="955">
        <f t="shared" si="24"/>
        <v>0.2880947572741388</v>
      </c>
      <c r="I204" s="952">
        <f t="shared" si="25"/>
        <v>30.82613902833285</v>
      </c>
      <c r="J204" s="950">
        <f t="shared" si="26"/>
        <v>59.916690025805387</v>
      </c>
      <c r="K204" s="949">
        <f t="shared" si="27"/>
        <v>10.083317603589141</v>
      </c>
      <c r="L204" s="944">
        <f t="shared" si="28"/>
        <v>53.069062524501696</v>
      </c>
      <c r="N204" s="1032"/>
    </row>
    <row r="205" spans="1:14">
      <c r="A205" s="465">
        <v>42979</v>
      </c>
      <c r="B205" s="894">
        <v>38.25</v>
      </c>
      <c r="C205" s="961">
        <v>25</v>
      </c>
      <c r="D205" s="1005">
        <v>24</v>
      </c>
      <c r="E205" s="957">
        <f t="shared" si="22"/>
        <v>1.3512499928474426</v>
      </c>
      <c r="F205" s="944">
        <f t="shared" si="23"/>
        <v>51.68531222641468</v>
      </c>
      <c r="H205" s="955">
        <f t="shared" si="24"/>
        <v>0.64875000715255737</v>
      </c>
      <c r="I205" s="952">
        <f t="shared" si="25"/>
        <v>24.81468777358532</v>
      </c>
      <c r="J205" s="950">
        <f t="shared" si="26"/>
        <v>33.781249821186066</v>
      </c>
      <c r="K205" s="949">
        <f t="shared" si="27"/>
        <v>16.218750178813934</v>
      </c>
      <c r="L205" s="944">
        <f t="shared" si="28"/>
        <v>32.429999828338623</v>
      </c>
      <c r="N205" s="1032"/>
    </row>
    <row r="206" spans="1:14">
      <c r="A206" s="465">
        <v>43009</v>
      </c>
      <c r="B206" s="894">
        <v>31.349994659423828</v>
      </c>
      <c r="C206" s="961">
        <v>19.996000289916992</v>
      </c>
      <c r="D206" s="1005">
        <v>18.996500015258789</v>
      </c>
      <c r="E206" s="957">
        <f t="shared" si="22"/>
        <v>1</v>
      </c>
      <c r="F206" s="944">
        <f t="shared" si="23"/>
        <v>31.349994659423828</v>
      </c>
      <c r="H206" s="955">
        <f t="shared" si="24"/>
        <v>1</v>
      </c>
      <c r="I206" s="952">
        <f t="shared" si="25"/>
        <v>31.349994659423828</v>
      </c>
      <c r="J206" s="950">
        <f t="shared" si="26"/>
        <v>19.996000289916992</v>
      </c>
      <c r="K206" s="949">
        <f t="shared" si="27"/>
        <v>19.996000289916992</v>
      </c>
      <c r="L206" s="944">
        <f t="shared" si="28"/>
        <v>18.996500015258789</v>
      </c>
      <c r="N206" s="1032"/>
    </row>
    <row r="207" spans="1:14">
      <c r="A207" s="465">
        <v>43040</v>
      </c>
      <c r="B207" s="894">
        <v>31.229995727539063</v>
      </c>
      <c r="C207" s="961">
        <v>20</v>
      </c>
      <c r="D207" s="1005">
        <v>19</v>
      </c>
      <c r="E207" s="957">
        <f t="shared" si="22"/>
        <v>1.08</v>
      </c>
      <c r="F207" s="944">
        <f t="shared" si="23"/>
        <v>33.728395385742189</v>
      </c>
      <c r="H207" s="955">
        <f t="shared" si="24"/>
        <v>0.91999999999999993</v>
      </c>
      <c r="I207" s="952">
        <f t="shared" si="25"/>
        <v>28.731596069335936</v>
      </c>
      <c r="J207" s="950">
        <f t="shared" si="26"/>
        <v>21.6</v>
      </c>
      <c r="K207" s="949">
        <f t="shared" si="27"/>
        <v>18.399999999999999</v>
      </c>
      <c r="L207" s="944">
        <f t="shared" si="28"/>
        <v>20.520000000000003</v>
      </c>
      <c r="N207" s="1032"/>
    </row>
    <row r="208" spans="1:14">
      <c r="A208" s="465">
        <v>43070</v>
      </c>
      <c r="B208" s="894">
        <v>31.699995040893555</v>
      </c>
      <c r="C208" s="961">
        <v>20</v>
      </c>
      <c r="D208" s="1005">
        <v>19</v>
      </c>
      <c r="E208" s="957">
        <f t="shared" si="22"/>
        <v>1.02</v>
      </c>
      <c r="F208" s="944">
        <f t="shared" si="23"/>
        <v>32.333994941711424</v>
      </c>
      <c r="H208" s="955">
        <f t="shared" si="24"/>
        <v>0.98</v>
      </c>
      <c r="I208" s="952">
        <f t="shared" si="25"/>
        <v>31.065995140075682</v>
      </c>
      <c r="J208" s="950">
        <f t="shared" si="26"/>
        <v>20.399999999999999</v>
      </c>
      <c r="K208" s="949">
        <f t="shared" si="27"/>
        <v>19.600000000000001</v>
      </c>
      <c r="L208" s="944">
        <f t="shared" si="28"/>
        <v>19.38</v>
      </c>
      <c r="N208" s="1032"/>
    </row>
    <row r="209" spans="1:14">
      <c r="A209" s="465">
        <v>43101</v>
      </c>
      <c r="B209" s="894">
        <v>37.200000381469728</v>
      </c>
      <c r="C209" s="961">
        <v>22</v>
      </c>
      <c r="D209" s="1005">
        <v>21</v>
      </c>
      <c r="E209" s="957">
        <f t="shared" si="22"/>
        <v>1.02</v>
      </c>
      <c r="F209" s="944">
        <f t="shared" si="23"/>
        <v>37.944000389099124</v>
      </c>
      <c r="H209" s="955">
        <f t="shared" si="24"/>
        <v>0.98</v>
      </c>
      <c r="I209" s="952">
        <f t="shared" si="25"/>
        <v>36.456000373840332</v>
      </c>
      <c r="J209" s="950">
        <f t="shared" si="26"/>
        <v>22.44</v>
      </c>
      <c r="K209" s="949">
        <f t="shared" si="27"/>
        <v>21.56</v>
      </c>
      <c r="L209" s="944">
        <f t="shared" si="28"/>
        <v>21.42</v>
      </c>
      <c r="N209" s="1032"/>
    </row>
    <row r="210" spans="1:14">
      <c r="A210" s="465">
        <v>43132</v>
      </c>
      <c r="B210" s="894">
        <v>37.199998474121095</v>
      </c>
      <c r="C210" s="961">
        <v>21.996000289916992</v>
      </c>
      <c r="D210" s="1005">
        <v>20.996501922607422</v>
      </c>
      <c r="E210" s="957">
        <f t="shared" si="22"/>
        <v>1.02</v>
      </c>
      <c r="F210" s="944">
        <f t="shared" si="23"/>
        <v>37.943998443603519</v>
      </c>
      <c r="H210" s="955">
        <f t="shared" si="24"/>
        <v>0.98</v>
      </c>
      <c r="I210" s="952">
        <f t="shared" si="25"/>
        <v>36.455998504638671</v>
      </c>
      <c r="J210" s="950">
        <f t="shared" si="26"/>
        <v>22.435920295715331</v>
      </c>
      <c r="K210" s="949">
        <f t="shared" si="27"/>
        <v>21.556080284118654</v>
      </c>
      <c r="L210" s="944">
        <f t="shared" si="28"/>
        <v>21.416431961059569</v>
      </c>
      <c r="N210" s="1032"/>
    </row>
    <row r="211" spans="1:14">
      <c r="A211" s="465">
        <v>43160</v>
      </c>
      <c r="B211" s="894">
        <v>32</v>
      </c>
      <c r="C211" s="961">
        <v>20</v>
      </c>
      <c r="D211" s="1005">
        <v>19</v>
      </c>
      <c r="E211" s="957">
        <f t="shared" si="22"/>
        <v>1.02</v>
      </c>
      <c r="F211" s="944">
        <f t="shared" si="23"/>
        <v>32.64</v>
      </c>
      <c r="H211" s="955">
        <f t="shared" si="24"/>
        <v>0.98</v>
      </c>
      <c r="I211" s="952">
        <f t="shared" si="25"/>
        <v>31.36</v>
      </c>
      <c r="J211" s="950">
        <f t="shared" si="26"/>
        <v>20.399999999999999</v>
      </c>
      <c r="K211" s="949">
        <f t="shared" si="27"/>
        <v>19.600000000000001</v>
      </c>
      <c r="L211" s="944">
        <f t="shared" si="28"/>
        <v>19.38</v>
      </c>
      <c r="N211" s="1032"/>
    </row>
    <row r="212" spans="1:14">
      <c r="A212" s="465">
        <v>43191</v>
      </c>
      <c r="B212" s="894">
        <v>32.25</v>
      </c>
      <c r="C212" s="961">
        <v>20</v>
      </c>
      <c r="D212" s="1005">
        <v>18.995000839233398</v>
      </c>
      <c r="E212" s="957">
        <f t="shared" si="22"/>
        <v>1</v>
      </c>
      <c r="F212" s="944">
        <f t="shared" si="23"/>
        <v>32.25</v>
      </c>
      <c r="H212" s="955">
        <f t="shared" si="24"/>
        <v>1</v>
      </c>
      <c r="I212" s="952">
        <f t="shared" si="25"/>
        <v>32.25</v>
      </c>
      <c r="J212" s="950">
        <f t="shared" si="26"/>
        <v>20</v>
      </c>
      <c r="K212" s="949">
        <f t="shared" si="27"/>
        <v>20</v>
      </c>
      <c r="L212" s="944">
        <f t="shared" si="28"/>
        <v>18.995000839233398</v>
      </c>
      <c r="N212" s="1032"/>
    </row>
    <row r="213" spans="1:14">
      <c r="A213" s="465">
        <v>43221</v>
      </c>
      <c r="B213" s="894">
        <v>36</v>
      </c>
      <c r="C213" s="961">
        <v>21</v>
      </c>
      <c r="D213" s="1005">
        <v>20.004999160766602</v>
      </c>
      <c r="E213" s="957">
        <f t="shared" si="22"/>
        <v>1.0762500017881393</v>
      </c>
      <c r="F213" s="944">
        <f t="shared" si="23"/>
        <v>38.745000064373016</v>
      </c>
      <c r="H213" s="955">
        <f t="shared" si="24"/>
        <v>0.92374999821186066</v>
      </c>
      <c r="I213" s="952">
        <f t="shared" si="25"/>
        <v>33.254999935626984</v>
      </c>
      <c r="J213" s="950">
        <f t="shared" si="26"/>
        <v>22.601250037550926</v>
      </c>
      <c r="K213" s="949">
        <f t="shared" si="27"/>
        <v>19.398749962449074</v>
      </c>
      <c r="L213" s="944">
        <f t="shared" si="28"/>
        <v>21.530380382546781</v>
      </c>
      <c r="N213" s="1032"/>
    </row>
    <row r="214" spans="1:14">
      <c r="A214" s="465">
        <v>43252</v>
      </c>
      <c r="B214" s="894">
        <v>59.25</v>
      </c>
      <c r="C214" s="961">
        <v>26</v>
      </c>
      <c r="D214" s="1005">
        <v>24</v>
      </c>
      <c r="E214" s="957">
        <f t="shared" si="22"/>
        <v>1.5909776570650416</v>
      </c>
      <c r="F214" s="944">
        <f t="shared" si="23"/>
        <v>94.26542618110372</v>
      </c>
      <c r="H214" s="955">
        <f t="shared" si="24"/>
        <v>0.40902234293495843</v>
      </c>
      <c r="I214" s="952">
        <f t="shared" si="25"/>
        <v>24.234573818896287</v>
      </c>
      <c r="J214" s="950">
        <f t="shared" si="26"/>
        <v>41.36541908369108</v>
      </c>
      <c r="K214" s="949">
        <f t="shared" si="27"/>
        <v>10.63458091630892</v>
      </c>
      <c r="L214" s="944">
        <f t="shared" si="28"/>
        <v>38.183463769561001</v>
      </c>
      <c r="N214" s="1032"/>
    </row>
    <row r="215" spans="1:14">
      <c r="A215" s="465">
        <v>43282</v>
      </c>
      <c r="B215" s="894">
        <v>110</v>
      </c>
      <c r="C215" s="961">
        <v>35</v>
      </c>
      <c r="D215" s="1005">
        <v>30.999998092651367</v>
      </c>
      <c r="E215" s="957">
        <f t="shared" si="22"/>
        <v>1.7170060274179655</v>
      </c>
      <c r="F215" s="944">
        <f t="shared" si="23"/>
        <v>188.87066301597619</v>
      </c>
      <c r="H215" s="955">
        <f t="shared" si="24"/>
        <v>0.28299397258203451</v>
      </c>
      <c r="I215" s="952">
        <f t="shared" si="25"/>
        <v>31.129336984023798</v>
      </c>
      <c r="J215" s="950">
        <f t="shared" si="26"/>
        <v>60.095210959628794</v>
      </c>
      <c r="K215" s="949">
        <f t="shared" si="27"/>
        <v>9.9047890403712078</v>
      </c>
      <c r="L215" s="944">
        <f t="shared" si="28"/>
        <v>53.22718357502783</v>
      </c>
      <c r="N215" s="1032"/>
    </row>
    <row r="216" spans="1:14">
      <c r="A216" s="465">
        <v>43313</v>
      </c>
      <c r="B216" s="894">
        <v>110</v>
      </c>
      <c r="C216" s="961">
        <v>35.000003814697266</v>
      </c>
      <c r="D216" s="1005">
        <v>31</v>
      </c>
      <c r="E216" s="957">
        <f t="shared" si="22"/>
        <v>1.7170060274179655</v>
      </c>
      <c r="F216" s="944">
        <f t="shared" si="23"/>
        <v>188.87066301597619</v>
      </c>
      <c r="H216" s="955">
        <f t="shared" si="24"/>
        <v>0.28299397258203451</v>
      </c>
      <c r="I216" s="952">
        <f t="shared" si="25"/>
        <v>31.129336984023798</v>
      </c>
      <c r="J216" s="950">
        <f t="shared" si="26"/>
        <v>60.095217509486993</v>
      </c>
      <c r="K216" s="949">
        <f t="shared" si="27"/>
        <v>9.9047901199075419</v>
      </c>
      <c r="L216" s="944">
        <f t="shared" si="28"/>
        <v>53.227186849956929</v>
      </c>
      <c r="N216" s="1032"/>
    </row>
    <row r="217" spans="1:14">
      <c r="A217" s="465">
        <v>43344</v>
      </c>
      <c r="B217" s="958">
        <v>38.75</v>
      </c>
      <c r="C217" s="889">
        <v>25</v>
      </c>
      <c r="D217" s="1006">
        <v>24</v>
      </c>
      <c r="E217" s="957">
        <f t="shared" si="22"/>
        <v>1.3512499928474426</v>
      </c>
      <c r="F217" s="944">
        <f t="shared" si="23"/>
        <v>52.360937222838402</v>
      </c>
      <c r="H217" s="955">
        <f t="shared" si="24"/>
        <v>0.64875000715255737</v>
      </c>
      <c r="I217" s="952">
        <f t="shared" si="25"/>
        <v>25.139062777161598</v>
      </c>
      <c r="J217" s="950">
        <f t="shared" si="26"/>
        <v>33.781249821186066</v>
      </c>
      <c r="K217" s="949">
        <f t="shared" si="27"/>
        <v>16.218750178813934</v>
      </c>
      <c r="L217" s="944">
        <f t="shared" si="28"/>
        <v>32.429999828338623</v>
      </c>
      <c r="N217" s="1032"/>
    </row>
    <row r="218" spans="1:14">
      <c r="A218" s="465">
        <v>43374</v>
      </c>
      <c r="B218" s="958"/>
      <c r="C218" s="889"/>
      <c r="D218" s="1006"/>
      <c r="E218" s="957">
        <f t="shared" si="22"/>
        <v>1</v>
      </c>
      <c r="F218" s="944">
        <f t="shared" si="23"/>
        <v>0</v>
      </c>
      <c r="H218" s="955">
        <f t="shared" si="24"/>
        <v>1</v>
      </c>
      <c r="I218" s="952">
        <f t="shared" si="25"/>
        <v>0</v>
      </c>
      <c r="J218" s="950">
        <f t="shared" si="26"/>
        <v>0</v>
      </c>
      <c r="K218" s="949">
        <f t="shared" si="27"/>
        <v>0</v>
      </c>
      <c r="L218" s="944">
        <f t="shared" si="28"/>
        <v>0</v>
      </c>
      <c r="N218" s="1032"/>
    </row>
    <row r="219" spans="1:14">
      <c r="A219" s="465">
        <v>43405</v>
      </c>
      <c r="B219" s="958"/>
      <c r="C219" s="889"/>
      <c r="D219" s="1006"/>
      <c r="E219" s="957">
        <f t="shared" si="22"/>
        <v>1.08</v>
      </c>
      <c r="F219" s="944">
        <f t="shared" si="23"/>
        <v>0</v>
      </c>
      <c r="H219" s="955">
        <f t="shared" si="24"/>
        <v>0.91999999999999993</v>
      </c>
      <c r="I219" s="952">
        <f t="shared" si="25"/>
        <v>0</v>
      </c>
      <c r="J219" s="950">
        <f t="shared" si="26"/>
        <v>0</v>
      </c>
      <c r="K219" s="949">
        <f t="shared" si="27"/>
        <v>0</v>
      </c>
      <c r="L219" s="944">
        <f t="shared" si="28"/>
        <v>0</v>
      </c>
      <c r="N219" s="1032"/>
    </row>
    <row r="220" spans="1:14">
      <c r="A220" s="465">
        <v>43435</v>
      </c>
      <c r="B220" s="958"/>
      <c r="C220" s="889"/>
      <c r="D220" s="1006"/>
      <c r="E220" s="957">
        <f t="shared" si="22"/>
        <v>1.02</v>
      </c>
      <c r="F220" s="944">
        <f t="shared" si="23"/>
        <v>0</v>
      </c>
      <c r="H220" s="955">
        <f t="shared" si="24"/>
        <v>0.98</v>
      </c>
      <c r="I220" s="952">
        <f t="shared" si="25"/>
        <v>0</v>
      </c>
      <c r="J220" s="950">
        <f t="shared" si="26"/>
        <v>0</v>
      </c>
      <c r="K220" s="949">
        <f t="shared" si="27"/>
        <v>0</v>
      </c>
      <c r="L220" s="944">
        <f t="shared" si="28"/>
        <v>0</v>
      </c>
      <c r="N220" s="1032"/>
    </row>
    <row r="221" spans="1:14">
      <c r="A221" s="465">
        <v>43466</v>
      </c>
      <c r="B221" s="958"/>
      <c r="C221" s="889"/>
      <c r="D221" s="1006"/>
      <c r="E221" s="957">
        <f t="shared" si="22"/>
        <v>1.02</v>
      </c>
      <c r="F221" s="944">
        <f t="shared" si="23"/>
        <v>0</v>
      </c>
      <c r="H221" s="955">
        <f t="shared" si="24"/>
        <v>0.98</v>
      </c>
      <c r="I221" s="952">
        <f t="shared" si="25"/>
        <v>0</v>
      </c>
      <c r="J221" s="950">
        <f t="shared" si="26"/>
        <v>0</v>
      </c>
      <c r="K221" s="949">
        <f t="shared" si="27"/>
        <v>0</v>
      </c>
      <c r="L221" s="944">
        <f t="shared" si="28"/>
        <v>0</v>
      </c>
      <c r="N221" s="1032"/>
    </row>
    <row r="222" spans="1:14">
      <c r="A222" s="465">
        <v>43497</v>
      </c>
      <c r="B222" s="958"/>
      <c r="C222" s="889"/>
      <c r="D222" s="1006"/>
      <c r="E222" s="957">
        <f t="shared" si="22"/>
        <v>1.02</v>
      </c>
      <c r="F222" s="944">
        <f t="shared" si="23"/>
        <v>0</v>
      </c>
      <c r="H222" s="955">
        <f t="shared" si="24"/>
        <v>0.98</v>
      </c>
      <c r="I222" s="952">
        <f t="shared" si="25"/>
        <v>0</v>
      </c>
      <c r="J222" s="950">
        <f t="shared" si="26"/>
        <v>0</v>
      </c>
      <c r="K222" s="949">
        <f t="shared" si="27"/>
        <v>0</v>
      </c>
      <c r="L222" s="944">
        <f t="shared" si="28"/>
        <v>0</v>
      </c>
      <c r="N222" s="1032"/>
    </row>
    <row r="223" spans="1:14">
      <c r="A223" s="465">
        <v>43525</v>
      </c>
      <c r="B223" s="958"/>
      <c r="C223" s="889"/>
      <c r="D223" s="1006"/>
      <c r="E223" s="957">
        <f t="shared" si="22"/>
        <v>1.02</v>
      </c>
      <c r="F223" s="944">
        <f t="shared" si="23"/>
        <v>0</v>
      </c>
      <c r="H223" s="955">
        <f t="shared" si="24"/>
        <v>0.98</v>
      </c>
      <c r="I223" s="952">
        <f t="shared" si="25"/>
        <v>0</v>
      </c>
      <c r="J223" s="950">
        <f t="shared" si="26"/>
        <v>0</v>
      </c>
      <c r="K223" s="949">
        <f t="shared" si="27"/>
        <v>0</v>
      </c>
      <c r="L223" s="944">
        <f t="shared" si="28"/>
        <v>0</v>
      </c>
      <c r="N223" s="1032"/>
    </row>
    <row r="224" spans="1:14">
      <c r="A224" s="465">
        <v>43556</v>
      </c>
      <c r="B224" s="958"/>
      <c r="C224" s="889"/>
      <c r="D224" s="1006"/>
      <c r="E224" s="957">
        <f t="shared" si="22"/>
        <v>1</v>
      </c>
      <c r="F224" s="944">
        <f t="shared" si="23"/>
        <v>0</v>
      </c>
      <c r="H224" s="955">
        <f t="shared" si="24"/>
        <v>1</v>
      </c>
      <c r="I224" s="952">
        <f t="shared" si="25"/>
        <v>0</v>
      </c>
      <c r="J224" s="950">
        <f t="shared" si="26"/>
        <v>0</v>
      </c>
      <c r="K224" s="949">
        <f t="shared" si="27"/>
        <v>0</v>
      </c>
      <c r="L224" s="944">
        <f t="shared" si="28"/>
        <v>0</v>
      </c>
      <c r="N224" s="1032"/>
    </row>
    <row r="225" spans="1:14">
      <c r="A225" s="465">
        <v>43586</v>
      </c>
      <c r="B225" s="958"/>
      <c r="C225" s="889"/>
      <c r="D225" s="1006"/>
      <c r="E225" s="957">
        <f t="shared" si="22"/>
        <v>1.0762500017881393</v>
      </c>
      <c r="F225" s="944">
        <f t="shared" si="23"/>
        <v>0</v>
      </c>
      <c r="H225" s="955">
        <f t="shared" si="24"/>
        <v>0.92374999821186066</v>
      </c>
      <c r="I225" s="952">
        <f t="shared" si="25"/>
        <v>0</v>
      </c>
      <c r="J225" s="950">
        <f t="shared" si="26"/>
        <v>0</v>
      </c>
      <c r="K225" s="949">
        <f t="shared" si="27"/>
        <v>0</v>
      </c>
      <c r="L225" s="944">
        <f t="shared" si="28"/>
        <v>0</v>
      </c>
      <c r="N225" s="1032"/>
    </row>
    <row r="226" spans="1:14">
      <c r="A226" s="465">
        <v>43617</v>
      </c>
      <c r="B226" s="958"/>
      <c r="C226" s="889"/>
      <c r="D226" s="1006"/>
      <c r="E226" s="957" t="e">
        <f t="shared" si="22"/>
        <v>#DIV/0!</v>
      </c>
      <c r="F226" s="944" t="e">
        <f t="shared" si="23"/>
        <v>#DIV/0!</v>
      </c>
      <c r="H226" s="955" t="e">
        <f t="shared" si="24"/>
        <v>#DIV/0!</v>
      </c>
      <c r="I226" s="952" t="e">
        <f t="shared" si="25"/>
        <v>#DIV/0!</v>
      </c>
      <c r="J226" s="950" t="e">
        <f t="shared" si="26"/>
        <v>#DIV/0!</v>
      </c>
      <c r="K226" s="949" t="e">
        <f t="shared" si="27"/>
        <v>#DIV/0!</v>
      </c>
      <c r="L226" s="944" t="e">
        <f t="shared" si="28"/>
        <v>#DIV/0!</v>
      </c>
      <c r="N226" s="1032"/>
    </row>
    <row r="227" spans="1:14">
      <c r="A227" s="465">
        <v>43647</v>
      </c>
      <c r="B227" s="958"/>
      <c r="C227" s="889"/>
      <c r="D227" s="1006"/>
      <c r="E227" s="957" t="e">
        <f t="shared" si="22"/>
        <v>#DIV/0!</v>
      </c>
      <c r="F227" s="944" t="e">
        <f t="shared" si="23"/>
        <v>#DIV/0!</v>
      </c>
      <c r="H227" s="955" t="e">
        <f t="shared" si="24"/>
        <v>#DIV/0!</v>
      </c>
      <c r="I227" s="952" t="e">
        <f t="shared" si="25"/>
        <v>#DIV/0!</v>
      </c>
      <c r="J227" s="950" t="e">
        <f t="shared" si="26"/>
        <v>#DIV/0!</v>
      </c>
      <c r="K227" s="949" t="e">
        <f t="shared" si="27"/>
        <v>#DIV/0!</v>
      </c>
      <c r="L227" s="944" t="e">
        <f t="shared" si="28"/>
        <v>#DIV/0!</v>
      </c>
      <c r="N227" s="1032"/>
    </row>
    <row r="228" spans="1:14">
      <c r="A228" s="465">
        <v>43678</v>
      </c>
      <c r="B228" s="958"/>
      <c r="C228" s="889"/>
      <c r="D228" s="1006"/>
      <c r="E228" s="957" t="e">
        <f t="shared" si="22"/>
        <v>#DIV/0!</v>
      </c>
      <c r="F228" s="944" t="e">
        <f t="shared" si="23"/>
        <v>#DIV/0!</v>
      </c>
      <c r="H228" s="955" t="e">
        <f t="shared" si="24"/>
        <v>#DIV/0!</v>
      </c>
      <c r="I228" s="952" t="e">
        <f t="shared" si="25"/>
        <v>#DIV/0!</v>
      </c>
      <c r="J228" s="950" t="e">
        <f t="shared" si="26"/>
        <v>#DIV/0!</v>
      </c>
      <c r="K228" s="949" t="e">
        <f t="shared" si="27"/>
        <v>#DIV/0!</v>
      </c>
      <c r="L228" s="944" t="e">
        <f t="shared" si="28"/>
        <v>#DIV/0!</v>
      </c>
      <c r="N228" s="1032"/>
    </row>
    <row r="229" spans="1:14">
      <c r="A229" s="465">
        <v>43709</v>
      </c>
      <c r="B229" s="958"/>
      <c r="C229" s="889"/>
      <c r="D229" s="1006"/>
      <c r="E229" s="957">
        <f t="shared" si="22"/>
        <v>1.3512499928474426</v>
      </c>
      <c r="F229" s="944">
        <f t="shared" si="23"/>
        <v>0</v>
      </c>
      <c r="H229" s="955">
        <f t="shared" si="24"/>
        <v>0.64875000715255737</v>
      </c>
      <c r="I229" s="952">
        <f t="shared" si="25"/>
        <v>0</v>
      </c>
      <c r="J229" s="950">
        <f t="shared" si="26"/>
        <v>0</v>
      </c>
      <c r="K229" s="949">
        <f t="shared" si="27"/>
        <v>0</v>
      </c>
      <c r="L229" s="944">
        <f t="shared" si="28"/>
        <v>0</v>
      </c>
      <c r="N229" s="1032"/>
    </row>
    <row r="230" spans="1:14">
      <c r="A230" s="465">
        <v>43739</v>
      </c>
      <c r="B230" s="958"/>
      <c r="C230" s="889"/>
      <c r="D230" s="1006"/>
      <c r="E230" s="957">
        <f t="shared" si="22"/>
        <v>1</v>
      </c>
      <c r="F230" s="944">
        <f t="shared" si="23"/>
        <v>0</v>
      </c>
      <c r="H230" s="955">
        <f t="shared" si="24"/>
        <v>1</v>
      </c>
      <c r="I230" s="952">
        <f t="shared" si="25"/>
        <v>0</v>
      </c>
      <c r="J230" s="950">
        <f t="shared" si="26"/>
        <v>0</v>
      </c>
      <c r="K230" s="949">
        <f t="shared" si="27"/>
        <v>0</v>
      </c>
      <c r="L230" s="944">
        <f t="shared" si="28"/>
        <v>0</v>
      </c>
      <c r="N230" s="1032"/>
    </row>
    <row r="231" spans="1:14">
      <c r="A231" s="465">
        <v>43770</v>
      </c>
      <c r="B231" s="958"/>
      <c r="C231" s="889"/>
      <c r="D231" s="1006"/>
      <c r="E231" s="957">
        <f t="shared" si="22"/>
        <v>1.08</v>
      </c>
      <c r="F231" s="944">
        <f t="shared" si="23"/>
        <v>0</v>
      </c>
      <c r="H231" s="955">
        <f t="shared" si="24"/>
        <v>0.91999999999999993</v>
      </c>
      <c r="I231" s="952">
        <f t="shared" si="25"/>
        <v>0</v>
      </c>
      <c r="J231" s="950">
        <f t="shared" si="26"/>
        <v>0</v>
      </c>
      <c r="K231" s="949">
        <f t="shared" si="27"/>
        <v>0</v>
      </c>
      <c r="L231" s="944">
        <f t="shared" si="28"/>
        <v>0</v>
      </c>
      <c r="N231" s="1032"/>
    </row>
    <row r="232" spans="1:14">
      <c r="A232" s="465">
        <v>43800</v>
      </c>
      <c r="B232" s="958"/>
      <c r="C232" s="889"/>
      <c r="D232" s="1006"/>
      <c r="E232" s="957">
        <f t="shared" si="22"/>
        <v>1.02</v>
      </c>
      <c r="F232" s="944">
        <f t="shared" si="23"/>
        <v>0</v>
      </c>
      <c r="H232" s="955">
        <f t="shared" si="24"/>
        <v>0.98</v>
      </c>
      <c r="I232" s="952">
        <f t="shared" si="25"/>
        <v>0</v>
      </c>
      <c r="J232" s="950">
        <f t="shared" si="26"/>
        <v>0</v>
      </c>
      <c r="K232" s="949">
        <f t="shared" si="27"/>
        <v>0</v>
      </c>
      <c r="L232" s="944">
        <f t="shared" si="28"/>
        <v>0</v>
      </c>
      <c r="N232" s="1032"/>
    </row>
    <row r="233" spans="1:14">
      <c r="A233" s="465">
        <v>43831</v>
      </c>
      <c r="B233" s="958"/>
      <c r="C233" s="889"/>
      <c r="D233" s="1006"/>
      <c r="E233" s="957">
        <f t="shared" si="22"/>
        <v>1.02</v>
      </c>
      <c r="F233" s="944">
        <f t="shared" si="23"/>
        <v>0</v>
      </c>
      <c r="H233" s="955">
        <f t="shared" si="24"/>
        <v>0.98</v>
      </c>
      <c r="I233" s="952">
        <f t="shared" si="25"/>
        <v>0</v>
      </c>
      <c r="J233" s="950">
        <f t="shared" si="26"/>
        <v>0</v>
      </c>
      <c r="K233" s="949">
        <f t="shared" si="27"/>
        <v>0</v>
      </c>
      <c r="L233" s="944">
        <f t="shared" si="28"/>
        <v>0</v>
      </c>
      <c r="N233" s="1032"/>
    </row>
    <row r="234" spans="1:14">
      <c r="A234" s="465">
        <v>43862</v>
      </c>
      <c r="B234" s="958"/>
      <c r="C234" s="889"/>
      <c r="D234" s="1006"/>
      <c r="E234" s="957">
        <f t="shared" si="22"/>
        <v>1.02</v>
      </c>
      <c r="F234" s="944">
        <f t="shared" si="23"/>
        <v>0</v>
      </c>
      <c r="H234" s="955">
        <f t="shared" si="24"/>
        <v>0.98</v>
      </c>
      <c r="I234" s="952">
        <f t="shared" si="25"/>
        <v>0</v>
      </c>
      <c r="J234" s="950">
        <f t="shared" si="26"/>
        <v>0</v>
      </c>
      <c r="K234" s="949">
        <f t="shared" si="27"/>
        <v>0</v>
      </c>
      <c r="L234" s="944">
        <f t="shared" si="28"/>
        <v>0</v>
      </c>
      <c r="N234" s="1032"/>
    </row>
    <row r="235" spans="1:14">
      <c r="A235" s="465">
        <v>43891</v>
      </c>
      <c r="B235" s="958"/>
      <c r="C235" s="889"/>
      <c r="D235" s="1006"/>
      <c r="E235" s="957">
        <f t="shared" si="22"/>
        <v>1.02</v>
      </c>
      <c r="F235" s="944">
        <f t="shared" si="23"/>
        <v>0</v>
      </c>
      <c r="H235" s="955">
        <f t="shared" si="24"/>
        <v>0.98</v>
      </c>
      <c r="I235" s="952">
        <f t="shared" si="25"/>
        <v>0</v>
      </c>
      <c r="J235" s="950">
        <f t="shared" si="26"/>
        <v>0</v>
      </c>
      <c r="K235" s="949">
        <f t="shared" si="27"/>
        <v>0</v>
      </c>
      <c r="L235" s="944">
        <f t="shared" si="28"/>
        <v>0</v>
      </c>
      <c r="N235" s="1032"/>
    </row>
    <row r="236" spans="1:14">
      <c r="A236" s="465">
        <v>43922</v>
      </c>
      <c r="B236" s="958"/>
      <c r="C236" s="889"/>
      <c r="D236" s="1006"/>
      <c r="E236" s="957">
        <f t="shared" si="22"/>
        <v>1</v>
      </c>
      <c r="F236" s="944">
        <f t="shared" si="23"/>
        <v>0</v>
      </c>
      <c r="H236" s="955">
        <f t="shared" si="24"/>
        <v>1</v>
      </c>
      <c r="I236" s="952">
        <f t="shared" si="25"/>
        <v>0</v>
      </c>
      <c r="J236" s="950">
        <f t="shared" si="26"/>
        <v>0</v>
      </c>
      <c r="K236" s="949">
        <f t="shared" si="27"/>
        <v>0</v>
      </c>
      <c r="L236" s="944">
        <f t="shared" si="28"/>
        <v>0</v>
      </c>
      <c r="N236" s="1032"/>
    </row>
    <row r="237" spans="1:14">
      <c r="A237" s="465">
        <v>43952</v>
      </c>
      <c r="B237" s="958"/>
      <c r="C237" s="889"/>
      <c r="D237" s="1006"/>
      <c r="E237" s="957">
        <f t="shared" si="22"/>
        <v>1.0762500017881393</v>
      </c>
      <c r="F237" s="944">
        <f t="shared" si="23"/>
        <v>0</v>
      </c>
      <c r="H237" s="955">
        <f t="shared" si="24"/>
        <v>0.92374999821186066</v>
      </c>
      <c r="I237" s="952">
        <f t="shared" si="25"/>
        <v>0</v>
      </c>
      <c r="J237" s="950">
        <f t="shared" si="26"/>
        <v>0</v>
      </c>
      <c r="K237" s="949">
        <f t="shared" si="27"/>
        <v>0</v>
      </c>
      <c r="L237" s="944">
        <f t="shared" si="28"/>
        <v>0</v>
      </c>
      <c r="N237" s="1032"/>
    </row>
    <row r="238" spans="1:14">
      <c r="A238" s="465">
        <v>43983</v>
      </c>
      <c r="B238" s="958"/>
      <c r="C238" s="889"/>
      <c r="D238" s="1006"/>
      <c r="E238" s="957" t="e">
        <f t="shared" si="22"/>
        <v>#DIV/0!</v>
      </c>
      <c r="F238" s="944" t="e">
        <f t="shared" si="23"/>
        <v>#DIV/0!</v>
      </c>
      <c r="H238" s="955" t="e">
        <f t="shared" si="24"/>
        <v>#DIV/0!</v>
      </c>
      <c r="I238" s="952" t="e">
        <f t="shared" si="25"/>
        <v>#DIV/0!</v>
      </c>
      <c r="J238" s="950" t="e">
        <f t="shared" si="26"/>
        <v>#DIV/0!</v>
      </c>
      <c r="K238" s="949" t="e">
        <f t="shared" si="27"/>
        <v>#DIV/0!</v>
      </c>
      <c r="L238" s="944" t="e">
        <f t="shared" si="28"/>
        <v>#DIV/0!</v>
      </c>
      <c r="N238" s="1032"/>
    </row>
    <row r="239" spans="1:14">
      <c r="A239" s="465">
        <v>44013</v>
      </c>
      <c r="B239" s="958"/>
      <c r="C239" s="889"/>
      <c r="D239" s="1006"/>
      <c r="E239" s="957" t="e">
        <f t="shared" si="22"/>
        <v>#DIV/0!</v>
      </c>
      <c r="F239" s="944" t="e">
        <f t="shared" si="23"/>
        <v>#DIV/0!</v>
      </c>
      <c r="H239" s="955" t="e">
        <f t="shared" si="24"/>
        <v>#DIV/0!</v>
      </c>
      <c r="I239" s="952" t="e">
        <f t="shared" si="25"/>
        <v>#DIV/0!</v>
      </c>
      <c r="J239" s="950" t="e">
        <f t="shared" si="26"/>
        <v>#DIV/0!</v>
      </c>
      <c r="K239" s="949" t="e">
        <f t="shared" si="27"/>
        <v>#DIV/0!</v>
      </c>
      <c r="L239" s="944" t="e">
        <f t="shared" si="28"/>
        <v>#DIV/0!</v>
      </c>
      <c r="N239" s="1032"/>
    </row>
    <row r="240" spans="1:14">
      <c r="A240" s="465">
        <v>44044</v>
      </c>
      <c r="B240" s="958"/>
      <c r="C240" s="889"/>
      <c r="D240" s="1006"/>
      <c r="E240" s="957" t="e">
        <f t="shared" si="22"/>
        <v>#DIV/0!</v>
      </c>
      <c r="F240" s="944" t="e">
        <f t="shared" si="23"/>
        <v>#DIV/0!</v>
      </c>
      <c r="H240" s="955" t="e">
        <f t="shared" si="24"/>
        <v>#DIV/0!</v>
      </c>
      <c r="I240" s="952" t="e">
        <f t="shared" si="25"/>
        <v>#DIV/0!</v>
      </c>
      <c r="J240" s="950" t="e">
        <f t="shared" si="26"/>
        <v>#DIV/0!</v>
      </c>
      <c r="K240" s="949" t="e">
        <f t="shared" si="27"/>
        <v>#DIV/0!</v>
      </c>
      <c r="L240" s="944" t="e">
        <f t="shared" si="28"/>
        <v>#DIV/0!</v>
      </c>
      <c r="N240" s="1032"/>
    </row>
    <row r="241" spans="1:14">
      <c r="A241" s="465">
        <v>44075</v>
      </c>
      <c r="B241" s="958"/>
      <c r="C241" s="889"/>
      <c r="D241" s="1006"/>
      <c r="E241" s="957">
        <f t="shared" si="22"/>
        <v>1.3512499928474426</v>
      </c>
      <c r="F241" s="944">
        <f t="shared" si="23"/>
        <v>0</v>
      </c>
      <c r="H241" s="955">
        <f t="shared" si="24"/>
        <v>0.64875000715255737</v>
      </c>
      <c r="I241" s="952">
        <f t="shared" si="25"/>
        <v>0</v>
      </c>
      <c r="J241" s="950">
        <f t="shared" si="26"/>
        <v>0</v>
      </c>
      <c r="K241" s="949">
        <f t="shared" si="27"/>
        <v>0</v>
      </c>
      <c r="L241" s="944">
        <f t="shared" si="28"/>
        <v>0</v>
      </c>
      <c r="N241" s="1032"/>
    </row>
    <row r="242" spans="1:14">
      <c r="A242" s="465">
        <v>44105</v>
      </c>
      <c r="B242" s="958"/>
      <c r="C242" s="889"/>
      <c r="D242" s="1006"/>
      <c r="E242" s="957">
        <f t="shared" si="22"/>
        <v>1</v>
      </c>
      <c r="F242" s="944">
        <f t="shared" si="23"/>
        <v>0</v>
      </c>
      <c r="H242" s="955">
        <f t="shared" si="24"/>
        <v>1</v>
      </c>
      <c r="I242" s="952">
        <f t="shared" si="25"/>
        <v>0</v>
      </c>
      <c r="J242" s="950">
        <f t="shared" si="26"/>
        <v>0</v>
      </c>
      <c r="K242" s="949">
        <f t="shared" si="27"/>
        <v>0</v>
      </c>
      <c r="L242" s="944">
        <f t="shared" si="28"/>
        <v>0</v>
      </c>
      <c r="N242" s="1032"/>
    </row>
    <row r="243" spans="1:14">
      <c r="A243" s="465">
        <v>44136</v>
      </c>
      <c r="B243" s="958"/>
      <c r="C243" s="889"/>
      <c r="D243" s="1006"/>
      <c r="E243" s="957">
        <f t="shared" si="22"/>
        <v>1.08</v>
      </c>
      <c r="F243" s="944">
        <f t="shared" si="23"/>
        <v>0</v>
      </c>
      <c r="H243" s="955">
        <f t="shared" si="24"/>
        <v>0.91999999999999993</v>
      </c>
      <c r="I243" s="952">
        <f t="shared" si="25"/>
        <v>0</v>
      </c>
      <c r="J243" s="950">
        <f t="shared" si="26"/>
        <v>0</v>
      </c>
      <c r="K243" s="949">
        <f t="shared" si="27"/>
        <v>0</v>
      </c>
      <c r="L243" s="944">
        <f t="shared" si="28"/>
        <v>0</v>
      </c>
      <c r="N243" s="1032"/>
    </row>
    <row r="244" spans="1:14">
      <c r="A244" s="465">
        <v>44166</v>
      </c>
      <c r="B244" s="958"/>
      <c r="C244" s="889"/>
      <c r="D244" s="1006"/>
      <c r="E244" s="957">
        <f t="shared" si="22"/>
        <v>1.02</v>
      </c>
      <c r="F244" s="944">
        <f t="shared" si="23"/>
        <v>0</v>
      </c>
      <c r="H244" s="955">
        <f t="shared" si="24"/>
        <v>0.98</v>
      </c>
      <c r="I244" s="952">
        <f t="shared" si="25"/>
        <v>0</v>
      </c>
      <c r="J244" s="950">
        <f t="shared" si="26"/>
        <v>0</v>
      </c>
      <c r="K244" s="949">
        <f t="shared" si="27"/>
        <v>0</v>
      </c>
      <c r="L244" s="944">
        <f t="shared" si="28"/>
        <v>0</v>
      </c>
      <c r="N244" s="1032"/>
    </row>
    <row r="245" spans="1:14">
      <c r="A245" s="465">
        <v>44197</v>
      </c>
      <c r="B245" s="958"/>
      <c r="C245" s="889"/>
      <c r="D245" s="1006"/>
      <c r="E245" s="957">
        <f t="shared" si="22"/>
        <v>1.02</v>
      </c>
      <c r="F245" s="944">
        <f t="shared" si="23"/>
        <v>0</v>
      </c>
      <c r="H245" s="955">
        <f t="shared" si="24"/>
        <v>0.98</v>
      </c>
      <c r="I245" s="952">
        <f t="shared" si="25"/>
        <v>0</v>
      </c>
      <c r="J245" s="950">
        <f t="shared" si="26"/>
        <v>0</v>
      </c>
      <c r="K245" s="949">
        <f t="shared" si="27"/>
        <v>0</v>
      </c>
      <c r="L245" s="944">
        <f t="shared" si="28"/>
        <v>0</v>
      </c>
      <c r="N245" s="1032"/>
    </row>
    <row r="246" spans="1:14">
      <c r="A246" s="465">
        <v>44228</v>
      </c>
      <c r="B246" s="958"/>
      <c r="C246" s="889"/>
      <c r="D246" s="1006"/>
      <c r="E246" s="957">
        <f t="shared" si="22"/>
        <v>1.02</v>
      </c>
      <c r="F246" s="944">
        <f t="shared" si="23"/>
        <v>0</v>
      </c>
      <c r="H246" s="955">
        <f t="shared" si="24"/>
        <v>0.98</v>
      </c>
      <c r="I246" s="952">
        <f t="shared" si="25"/>
        <v>0</v>
      </c>
      <c r="J246" s="950">
        <f t="shared" si="26"/>
        <v>0</v>
      </c>
      <c r="K246" s="949">
        <f t="shared" si="27"/>
        <v>0</v>
      </c>
      <c r="L246" s="944">
        <f t="shared" si="28"/>
        <v>0</v>
      </c>
      <c r="N246" s="1032"/>
    </row>
    <row r="247" spans="1:14">
      <c r="A247" s="465">
        <v>44256</v>
      </c>
      <c r="B247" s="958"/>
      <c r="C247" s="889"/>
      <c r="D247" s="1006"/>
      <c r="E247" s="957">
        <f t="shared" si="22"/>
        <v>1.02</v>
      </c>
      <c r="F247" s="944">
        <f t="shared" si="23"/>
        <v>0</v>
      </c>
      <c r="H247" s="955">
        <f t="shared" si="24"/>
        <v>0.98</v>
      </c>
      <c r="I247" s="952">
        <f t="shared" si="25"/>
        <v>0</v>
      </c>
      <c r="J247" s="950">
        <f t="shared" si="26"/>
        <v>0</v>
      </c>
      <c r="K247" s="949">
        <f t="shared" si="27"/>
        <v>0</v>
      </c>
      <c r="L247" s="944">
        <f t="shared" si="28"/>
        <v>0</v>
      </c>
      <c r="N247" s="1032"/>
    </row>
    <row r="248" spans="1:14">
      <c r="A248" s="465">
        <v>44287</v>
      </c>
      <c r="B248" s="958"/>
      <c r="C248" s="889"/>
      <c r="D248" s="1006"/>
      <c r="E248" s="957">
        <f t="shared" si="22"/>
        <v>1</v>
      </c>
      <c r="F248" s="944">
        <f t="shared" si="23"/>
        <v>0</v>
      </c>
      <c r="H248" s="955">
        <f t="shared" si="24"/>
        <v>1</v>
      </c>
      <c r="I248" s="952">
        <f t="shared" si="25"/>
        <v>0</v>
      </c>
      <c r="J248" s="950">
        <f t="shared" si="26"/>
        <v>0</v>
      </c>
      <c r="K248" s="949">
        <f t="shared" si="27"/>
        <v>0</v>
      </c>
      <c r="L248" s="944">
        <f t="shared" si="28"/>
        <v>0</v>
      </c>
      <c r="N248" s="1032"/>
    </row>
    <row r="249" spans="1:14">
      <c r="A249" s="465">
        <v>44317</v>
      </c>
      <c r="B249" s="958"/>
      <c r="C249" s="889"/>
      <c r="D249" s="1006"/>
      <c r="E249" s="957">
        <f t="shared" si="22"/>
        <v>1.0762500017881393</v>
      </c>
      <c r="F249" s="944">
        <f t="shared" si="23"/>
        <v>0</v>
      </c>
      <c r="H249" s="955">
        <f t="shared" si="24"/>
        <v>0.92374999821186066</v>
      </c>
      <c r="I249" s="952">
        <f t="shared" si="25"/>
        <v>0</v>
      </c>
      <c r="J249" s="950">
        <f t="shared" si="26"/>
        <v>0</v>
      </c>
      <c r="K249" s="949">
        <f t="shared" si="27"/>
        <v>0</v>
      </c>
      <c r="L249" s="944">
        <f t="shared" si="28"/>
        <v>0</v>
      </c>
      <c r="N249" s="1032"/>
    </row>
    <row r="250" spans="1:14">
      <c r="A250" s="465">
        <v>44348</v>
      </c>
      <c r="B250" s="958"/>
      <c r="C250" s="889"/>
      <c r="D250" s="1006"/>
      <c r="E250" s="957" t="e">
        <f t="shared" si="22"/>
        <v>#DIV/0!</v>
      </c>
      <c r="F250" s="944" t="e">
        <f t="shared" si="23"/>
        <v>#DIV/0!</v>
      </c>
      <c r="H250" s="955" t="e">
        <f t="shared" si="24"/>
        <v>#DIV/0!</v>
      </c>
      <c r="I250" s="952" t="e">
        <f t="shared" si="25"/>
        <v>#DIV/0!</v>
      </c>
      <c r="J250" s="950" t="e">
        <f t="shared" si="26"/>
        <v>#DIV/0!</v>
      </c>
      <c r="K250" s="949" t="e">
        <f t="shared" si="27"/>
        <v>#DIV/0!</v>
      </c>
      <c r="L250" s="944" t="e">
        <f t="shared" si="28"/>
        <v>#DIV/0!</v>
      </c>
      <c r="N250" s="1032"/>
    </row>
    <row r="251" spans="1:14">
      <c r="A251" s="465">
        <v>44378</v>
      </c>
      <c r="B251" s="958"/>
      <c r="C251" s="889"/>
      <c r="D251" s="1006"/>
      <c r="E251" s="957" t="e">
        <f t="shared" si="22"/>
        <v>#DIV/0!</v>
      </c>
      <c r="F251" s="944" t="e">
        <f t="shared" si="23"/>
        <v>#DIV/0!</v>
      </c>
      <c r="H251" s="955" t="e">
        <f t="shared" si="24"/>
        <v>#DIV/0!</v>
      </c>
      <c r="I251" s="952" t="e">
        <f t="shared" si="25"/>
        <v>#DIV/0!</v>
      </c>
      <c r="J251" s="950" t="e">
        <f t="shared" si="26"/>
        <v>#DIV/0!</v>
      </c>
      <c r="K251" s="949" t="e">
        <f t="shared" si="27"/>
        <v>#DIV/0!</v>
      </c>
      <c r="L251" s="944" t="e">
        <f t="shared" si="28"/>
        <v>#DIV/0!</v>
      </c>
      <c r="N251" s="1032"/>
    </row>
    <row r="252" spans="1:14">
      <c r="A252" s="465">
        <v>44409</v>
      </c>
      <c r="B252" s="958"/>
      <c r="C252" s="889"/>
      <c r="D252" s="1006"/>
      <c r="E252" s="957" t="e">
        <f t="shared" si="22"/>
        <v>#DIV/0!</v>
      </c>
      <c r="F252" s="944" t="e">
        <f t="shared" si="23"/>
        <v>#DIV/0!</v>
      </c>
      <c r="H252" s="955" t="e">
        <f t="shared" si="24"/>
        <v>#DIV/0!</v>
      </c>
      <c r="I252" s="952" t="e">
        <f t="shared" si="25"/>
        <v>#DIV/0!</v>
      </c>
      <c r="J252" s="950" t="e">
        <f t="shared" si="26"/>
        <v>#DIV/0!</v>
      </c>
      <c r="K252" s="949" t="e">
        <f t="shared" si="27"/>
        <v>#DIV/0!</v>
      </c>
      <c r="L252" s="944" t="e">
        <f t="shared" si="28"/>
        <v>#DIV/0!</v>
      </c>
      <c r="N252" s="1032"/>
    </row>
    <row r="253" spans="1:14">
      <c r="A253" s="465">
        <v>44440</v>
      </c>
      <c r="B253" s="958"/>
      <c r="C253" s="889"/>
      <c r="D253" s="1006"/>
      <c r="E253" s="957">
        <f t="shared" si="22"/>
        <v>1.3512499928474426</v>
      </c>
      <c r="F253" s="944">
        <f t="shared" si="23"/>
        <v>0</v>
      </c>
      <c r="H253" s="955">
        <f t="shared" si="24"/>
        <v>0.64875000715255737</v>
      </c>
      <c r="I253" s="952">
        <f t="shared" si="25"/>
        <v>0</v>
      </c>
      <c r="J253" s="950">
        <f t="shared" si="26"/>
        <v>0</v>
      </c>
      <c r="K253" s="949">
        <f t="shared" si="27"/>
        <v>0</v>
      </c>
      <c r="L253" s="944">
        <f t="shared" si="28"/>
        <v>0</v>
      </c>
      <c r="N253" s="1032"/>
    </row>
    <row r="254" spans="1:14">
      <c r="A254" s="465">
        <v>44470</v>
      </c>
      <c r="B254" s="958"/>
      <c r="C254" s="889"/>
      <c r="D254" s="1006"/>
      <c r="E254" s="957">
        <f t="shared" si="22"/>
        <v>1</v>
      </c>
      <c r="F254" s="944">
        <f t="shared" si="23"/>
        <v>0</v>
      </c>
      <c r="H254" s="955">
        <f t="shared" si="24"/>
        <v>1</v>
      </c>
      <c r="I254" s="952">
        <f t="shared" si="25"/>
        <v>0</v>
      </c>
      <c r="J254" s="950">
        <f t="shared" si="26"/>
        <v>0</v>
      </c>
      <c r="K254" s="949">
        <f t="shared" si="27"/>
        <v>0</v>
      </c>
      <c r="L254" s="944">
        <f t="shared" si="28"/>
        <v>0</v>
      </c>
      <c r="N254" s="1032"/>
    </row>
    <row r="255" spans="1:14">
      <c r="A255" s="465">
        <v>44501</v>
      </c>
      <c r="B255" s="958"/>
      <c r="C255" s="889"/>
      <c r="D255" s="1006"/>
      <c r="E255" s="957">
        <f t="shared" si="22"/>
        <v>1.08</v>
      </c>
      <c r="F255" s="944">
        <f t="shared" si="23"/>
        <v>0</v>
      </c>
      <c r="H255" s="955">
        <f t="shared" si="24"/>
        <v>0.91999999999999993</v>
      </c>
      <c r="I255" s="952">
        <f t="shared" si="25"/>
        <v>0</v>
      </c>
      <c r="J255" s="950">
        <f t="shared" si="26"/>
        <v>0</v>
      </c>
      <c r="K255" s="949">
        <f t="shared" si="27"/>
        <v>0</v>
      </c>
      <c r="L255" s="944">
        <f t="shared" si="28"/>
        <v>0</v>
      </c>
      <c r="N255" s="1032"/>
    </row>
    <row r="256" spans="1:14">
      <c r="A256" s="465">
        <v>44531</v>
      </c>
      <c r="B256" s="959"/>
      <c r="C256" s="890"/>
      <c r="D256" s="1007"/>
      <c r="E256" s="960">
        <f t="shared" si="22"/>
        <v>1.02</v>
      </c>
      <c r="F256" s="964">
        <f t="shared" si="23"/>
        <v>0</v>
      </c>
      <c r="H256" s="956">
        <f t="shared" si="24"/>
        <v>0.98</v>
      </c>
      <c r="I256" s="953">
        <f t="shared" si="25"/>
        <v>0</v>
      </c>
      <c r="J256" s="951">
        <f t="shared" si="26"/>
        <v>0</v>
      </c>
      <c r="K256" s="949">
        <f t="shared" si="27"/>
        <v>0</v>
      </c>
      <c r="L256" s="964">
        <f t="shared" si="28"/>
        <v>0</v>
      </c>
      <c r="N256" s="1032"/>
    </row>
    <row r="257" spans="14:14">
      <c r="N257" s="1032"/>
    </row>
    <row r="258" spans="14:14">
      <c r="N258" s="1032"/>
    </row>
    <row r="259" spans="14:14">
      <c r="N259" s="1032"/>
    </row>
    <row r="260" spans="14:14">
      <c r="N260" s="1032"/>
    </row>
    <row r="261" spans="14:14">
      <c r="N261" s="1032"/>
    </row>
    <row r="262" spans="14:14">
      <c r="N262" s="1032"/>
    </row>
    <row r="263" spans="14:14">
      <c r="N263" s="1032"/>
    </row>
    <row r="264" spans="14:14">
      <c r="N264" s="1032"/>
    </row>
    <row r="265" spans="14:14">
      <c r="N265" s="1032"/>
    </row>
    <row r="266" spans="14:14">
      <c r="N266" s="1032"/>
    </row>
    <row r="267" spans="14:14">
      <c r="N267" s="1032"/>
    </row>
    <row r="268" spans="14:14">
      <c r="N268" s="1032"/>
    </row>
    <row r="269" spans="14:14">
      <c r="N269" s="1032"/>
    </row>
    <row r="270" spans="14:14">
      <c r="N270" s="1032"/>
    </row>
    <row r="271" spans="14:14">
      <c r="N271" s="1032"/>
    </row>
    <row r="272" spans="14:14">
      <c r="N272" s="1032"/>
    </row>
    <row r="273" spans="14:14">
      <c r="N273" s="1032"/>
    </row>
    <row r="274" spans="14:14">
      <c r="N274" s="1032"/>
    </row>
    <row r="275" spans="14:14">
      <c r="N275" s="1032"/>
    </row>
    <row r="276" spans="14:14">
      <c r="N276" s="1032"/>
    </row>
    <row r="277" spans="14:14">
      <c r="N277" s="1032"/>
    </row>
    <row r="278" spans="14:14">
      <c r="N278" s="1032"/>
    </row>
    <row r="279" spans="14:14">
      <c r="N279" s="1032"/>
    </row>
    <row r="280" spans="14:14">
      <c r="N280" s="1032"/>
    </row>
    <row r="281" spans="14:14">
      <c r="N281" s="1032"/>
    </row>
    <row r="282" spans="14:14">
      <c r="N282" s="1032"/>
    </row>
    <row r="283" spans="14:14">
      <c r="N283" s="1032"/>
    </row>
    <row r="284" spans="14:14">
      <c r="N284" s="1032"/>
    </row>
    <row r="285" spans="14:14">
      <c r="N285" s="1032"/>
    </row>
    <row r="286" spans="14:14">
      <c r="N286" s="1032"/>
    </row>
    <row r="287" spans="14:14">
      <c r="N287" s="1032"/>
    </row>
    <row r="288" spans="14:14">
      <c r="N288" s="1032"/>
    </row>
    <row r="289" spans="14:14">
      <c r="N289" s="1032"/>
    </row>
    <row r="290" spans="14:14">
      <c r="N290" s="1032"/>
    </row>
    <row r="291" spans="14:14">
      <c r="N291" s="1032"/>
    </row>
    <row r="292" spans="14:14">
      <c r="N292" s="1032"/>
    </row>
    <row r="293" spans="14:14">
      <c r="N293" s="1032"/>
    </row>
    <row r="294" spans="14:14">
      <c r="N294" s="1032"/>
    </row>
    <row r="295" spans="14:14">
      <c r="N295" s="1032"/>
    </row>
    <row r="296" spans="14:14">
      <c r="N296" s="1032"/>
    </row>
    <row r="297" spans="14:14">
      <c r="N297" s="1032"/>
    </row>
    <row r="298" spans="14:14">
      <c r="N298" s="1032"/>
    </row>
    <row r="299" spans="14:14">
      <c r="N299" s="1032"/>
    </row>
    <row r="300" spans="14:14">
      <c r="N300" s="1032"/>
    </row>
    <row r="301" spans="14:14">
      <c r="N301" s="1032"/>
    </row>
    <row r="302" spans="14:14">
      <c r="N302" s="1032"/>
    </row>
    <row r="303" spans="14:14">
      <c r="N303" s="1032"/>
    </row>
    <row r="304" spans="14:14">
      <c r="N304" s="1032"/>
    </row>
    <row r="305" spans="14:14">
      <c r="N305" s="1032"/>
    </row>
    <row r="306" spans="14:14">
      <c r="N306" s="1032"/>
    </row>
    <row r="307" spans="14:14">
      <c r="N307" s="1032"/>
    </row>
    <row r="308" spans="14:14">
      <c r="N308" s="1032"/>
    </row>
    <row r="309" spans="14:14">
      <c r="N309" s="1032"/>
    </row>
    <row r="310" spans="14:14">
      <c r="N310" s="1032"/>
    </row>
    <row r="311" spans="14:14">
      <c r="N311" s="1032"/>
    </row>
    <row r="312" spans="14:14">
      <c r="N312" s="1032"/>
    </row>
    <row r="313" spans="14:14">
      <c r="N313" s="1032"/>
    </row>
    <row r="314" spans="14:14">
      <c r="N314" s="1032"/>
    </row>
    <row r="315" spans="14:14">
      <c r="N315" s="1032"/>
    </row>
    <row r="316" spans="14:14">
      <c r="N316" s="1032"/>
    </row>
    <row r="317" spans="14:14">
      <c r="N317" s="1032"/>
    </row>
    <row r="318" spans="14:14">
      <c r="N318" s="1032"/>
    </row>
    <row r="319" spans="14:14">
      <c r="N319" s="1032"/>
    </row>
    <row r="320" spans="14:14">
      <c r="N320" s="1032"/>
    </row>
    <row r="321" spans="14:14">
      <c r="N321" s="1032"/>
    </row>
    <row r="322" spans="14:14">
      <c r="N322" s="1032"/>
    </row>
    <row r="323" spans="14:14">
      <c r="N323" s="1032"/>
    </row>
    <row r="324" spans="14:14">
      <c r="N324" s="1032"/>
    </row>
    <row r="325" spans="14:14">
      <c r="N325" s="1032"/>
    </row>
    <row r="326" spans="14:14">
      <c r="N326" s="1032"/>
    </row>
    <row r="327" spans="14:14">
      <c r="N327" s="1032"/>
    </row>
    <row r="328" spans="14:14">
      <c r="N328" s="1032"/>
    </row>
    <row r="329" spans="14:14">
      <c r="N329" s="1032"/>
    </row>
    <row r="330" spans="14:14">
      <c r="N330" s="1032"/>
    </row>
    <row r="331" spans="14:14">
      <c r="N331" s="1032"/>
    </row>
    <row r="332" spans="14:14">
      <c r="N332" s="1032"/>
    </row>
    <row r="333" spans="14:14">
      <c r="N333" s="1032"/>
    </row>
    <row r="334" spans="14:14">
      <c r="N334" s="1032"/>
    </row>
    <row r="335" spans="14:14">
      <c r="N335" s="1032"/>
    </row>
    <row r="336" spans="14:14">
      <c r="N336" s="1032"/>
    </row>
    <row r="337" spans="14:14">
      <c r="N337" s="1032"/>
    </row>
    <row r="338" spans="14:14">
      <c r="N338" s="1032"/>
    </row>
    <row r="339" spans="14:14">
      <c r="N339" s="1032"/>
    </row>
    <row r="340" spans="14:14">
      <c r="N340" s="1032"/>
    </row>
    <row r="341" spans="14:14">
      <c r="N341" s="1032"/>
    </row>
    <row r="342" spans="14:14">
      <c r="N342" s="1032"/>
    </row>
    <row r="343" spans="14:14">
      <c r="N343" s="1032"/>
    </row>
    <row r="344" spans="14:14">
      <c r="N344" s="1032"/>
    </row>
    <row r="345" spans="14:14">
      <c r="N345" s="1032"/>
    </row>
    <row r="346" spans="14:14">
      <c r="N346" s="1032"/>
    </row>
    <row r="347" spans="14:14">
      <c r="N347" s="1032"/>
    </row>
    <row r="348" spans="14:14">
      <c r="N348" s="1032"/>
    </row>
    <row r="349" spans="14:14">
      <c r="N349" s="1032"/>
    </row>
    <row r="350" spans="14:14">
      <c r="N350" s="1032"/>
    </row>
    <row r="351" spans="14:14">
      <c r="N351" s="1032"/>
    </row>
    <row r="352" spans="14:14">
      <c r="N352" s="1032"/>
    </row>
    <row r="353" spans="14:14">
      <c r="N353" s="1032"/>
    </row>
    <row r="354" spans="14:14">
      <c r="N354" s="1032"/>
    </row>
    <row r="355" spans="14:14">
      <c r="N355" s="1032"/>
    </row>
    <row r="356" spans="14:14">
      <c r="N356" s="1032"/>
    </row>
    <row r="357" spans="14:14">
      <c r="N357" s="1032"/>
    </row>
    <row r="358" spans="14:14">
      <c r="N358" s="1032"/>
    </row>
    <row r="359" spans="14:14">
      <c r="N359" s="1032"/>
    </row>
    <row r="360" spans="14:14">
      <c r="N360" s="1032"/>
    </row>
    <row r="361" spans="14:14">
      <c r="N361" s="1032"/>
    </row>
    <row r="362" spans="14:14">
      <c r="N362" s="1032"/>
    </row>
    <row r="363" spans="14:14">
      <c r="N363" s="1032"/>
    </row>
    <row r="364" spans="14:14">
      <c r="N364" s="1032"/>
    </row>
    <row r="365" spans="14:14">
      <c r="N365" s="1032"/>
    </row>
    <row r="366" spans="14:14">
      <c r="N366" s="1032"/>
    </row>
    <row r="367" spans="14:14">
      <c r="N367" s="1032"/>
    </row>
    <row r="368" spans="14:14">
      <c r="N368" s="1032"/>
    </row>
    <row r="369" spans="14:14">
      <c r="N369" s="1032"/>
    </row>
    <row r="370" spans="14:14">
      <c r="N370" s="1032"/>
    </row>
    <row r="371" spans="14:14">
      <c r="N371" s="1032"/>
    </row>
    <row r="372" spans="14:14">
      <c r="N372" s="1032"/>
    </row>
    <row r="373" spans="14:14">
      <c r="N373" s="1032"/>
    </row>
    <row r="374" spans="14:14">
      <c r="N374" s="1032"/>
    </row>
    <row r="375" spans="14:14">
      <c r="N375" s="1032"/>
    </row>
    <row r="376" spans="14:14">
      <c r="N376" s="1032"/>
    </row>
    <row r="377" spans="14:14">
      <c r="N377" s="1032"/>
    </row>
    <row r="378" spans="14:14">
      <c r="N378" s="1032"/>
    </row>
    <row r="379" spans="14:14">
      <c r="N379" s="1032"/>
    </row>
    <row r="380" spans="14:14">
      <c r="N380" s="1032"/>
    </row>
    <row r="381" spans="14:14">
      <c r="N381" s="1032"/>
    </row>
    <row r="382" spans="14:14">
      <c r="N382" s="1032"/>
    </row>
    <row r="383" spans="14:14">
      <c r="N383" s="1032"/>
    </row>
    <row r="384" spans="14:14">
      <c r="N384" s="1032"/>
    </row>
    <row r="385" spans="14:14">
      <c r="N385" s="1032"/>
    </row>
    <row r="386" spans="14:14">
      <c r="N386" s="1032"/>
    </row>
    <row r="387" spans="14:14">
      <c r="N387" s="1032"/>
    </row>
    <row r="388" spans="14:14">
      <c r="N388" s="1032"/>
    </row>
    <row r="389" spans="14:14">
      <c r="N389" s="1032"/>
    </row>
    <row r="390" spans="14:14">
      <c r="N390" s="1032"/>
    </row>
    <row r="391" spans="14:14">
      <c r="N391" s="1032"/>
    </row>
    <row r="392" spans="14:14">
      <c r="N392" s="1032"/>
    </row>
    <row r="393" spans="14:14">
      <c r="N393" s="1032"/>
    </row>
    <row r="394" spans="14:14">
      <c r="N394" s="1032"/>
    </row>
    <row r="395" spans="14:14">
      <c r="N395" s="1032"/>
    </row>
    <row r="396" spans="14:14">
      <c r="N396" s="1032"/>
    </row>
    <row r="397" spans="14:14">
      <c r="N397" s="1032"/>
    </row>
    <row r="398" spans="14:14">
      <c r="N398" s="1032"/>
    </row>
    <row r="399" spans="14:14">
      <c r="N399" s="1032"/>
    </row>
    <row r="400" spans="14:14">
      <c r="N400" s="1032"/>
    </row>
    <row r="401" spans="14:14">
      <c r="N401" s="1032"/>
    </row>
    <row r="402" spans="14:14">
      <c r="N402" s="1032"/>
    </row>
    <row r="403" spans="14:14">
      <c r="N403" s="1032"/>
    </row>
    <row r="404" spans="14:14">
      <c r="N404" s="1032"/>
    </row>
    <row r="405" spans="14:14">
      <c r="N405" s="1032"/>
    </row>
    <row r="406" spans="14:14">
      <c r="N406" s="1032"/>
    </row>
    <row r="407" spans="14:14">
      <c r="N407" s="1032"/>
    </row>
    <row r="408" spans="14:14">
      <c r="N408" s="1032"/>
    </row>
    <row r="409" spans="14:14">
      <c r="N409" s="1032"/>
    </row>
    <row r="410" spans="14:14">
      <c r="N410" s="1032"/>
    </row>
    <row r="411" spans="14:14">
      <c r="N411" s="1032"/>
    </row>
    <row r="412" spans="14:14">
      <c r="N412" s="1032"/>
    </row>
    <row r="413" spans="14:14">
      <c r="N413" s="1032"/>
    </row>
    <row r="414" spans="14:14">
      <c r="N414" s="1032"/>
    </row>
    <row r="415" spans="14:14">
      <c r="N415" s="1032"/>
    </row>
    <row r="416" spans="14:14">
      <c r="N416" s="1032"/>
    </row>
    <row r="417" spans="14:14">
      <c r="N417" s="1032"/>
    </row>
    <row r="418" spans="14:14">
      <c r="N418" s="1032"/>
    </row>
    <row r="419" spans="14:14">
      <c r="N419" s="1032"/>
    </row>
    <row r="420" spans="14:14">
      <c r="N420" s="1032"/>
    </row>
    <row r="421" spans="14:14">
      <c r="N421" s="1032"/>
    </row>
    <row r="422" spans="14:14">
      <c r="N422" s="1032"/>
    </row>
    <row r="423" spans="14:14">
      <c r="N423" s="1032"/>
    </row>
    <row r="424" spans="14:14">
      <c r="N424" s="1032"/>
    </row>
    <row r="425" spans="14:14">
      <c r="N425" s="1032"/>
    </row>
    <row r="426" spans="14:14">
      <c r="N426" s="1032"/>
    </row>
    <row r="427" spans="14:14">
      <c r="N427" s="1032"/>
    </row>
    <row r="428" spans="14:14">
      <c r="N428" s="1032"/>
    </row>
    <row r="429" spans="14:14">
      <c r="N429" s="1032"/>
    </row>
    <row r="430" spans="14:14">
      <c r="N430" s="1032"/>
    </row>
    <row r="431" spans="14:14">
      <c r="N431" s="1032"/>
    </row>
    <row r="432" spans="14:14">
      <c r="N432" s="1032"/>
    </row>
    <row r="433" spans="14:14">
      <c r="N433" s="1032"/>
    </row>
    <row r="434" spans="14:14">
      <c r="N434" s="1032"/>
    </row>
    <row r="435" spans="14:14">
      <c r="N435" s="1032"/>
    </row>
    <row r="436" spans="14:14">
      <c r="N436" s="1032"/>
    </row>
    <row r="437" spans="14:14">
      <c r="N437" s="1032"/>
    </row>
    <row r="438" spans="14:14">
      <c r="N438" s="1032"/>
    </row>
    <row r="439" spans="14:14">
      <c r="N439" s="1032"/>
    </row>
    <row r="440" spans="14:14">
      <c r="N440" s="1032"/>
    </row>
    <row r="441" spans="14:14">
      <c r="N441" s="1032"/>
    </row>
    <row r="442" spans="14:14">
      <c r="N442" s="1032"/>
    </row>
    <row r="443" spans="14:14">
      <c r="N443" s="1032"/>
    </row>
    <row r="444" spans="14:14">
      <c r="N444" s="1032"/>
    </row>
    <row r="445" spans="14:14">
      <c r="N445" s="1032"/>
    </row>
    <row r="446" spans="14:14">
      <c r="N446" s="1032"/>
    </row>
    <row r="447" spans="14:14">
      <c r="N447" s="1032"/>
    </row>
    <row r="448" spans="14:14">
      <c r="N448" s="1032"/>
    </row>
    <row r="449" spans="14:14">
      <c r="N449" s="1032"/>
    </row>
    <row r="450" spans="14:14">
      <c r="N450" s="1032"/>
    </row>
    <row r="451" spans="14:14">
      <c r="N451" s="1032"/>
    </row>
    <row r="452" spans="14:14">
      <c r="N452" s="1032"/>
    </row>
    <row r="453" spans="14:14">
      <c r="N453" s="1032"/>
    </row>
    <row r="454" spans="14:14">
      <c r="N454" s="1032"/>
    </row>
    <row r="455" spans="14:14">
      <c r="N455" s="1032"/>
    </row>
    <row r="456" spans="14:14">
      <c r="N456" s="1032"/>
    </row>
    <row r="457" spans="14:14">
      <c r="N457" s="1032"/>
    </row>
    <row r="458" spans="14:14">
      <c r="N458" s="1032"/>
    </row>
    <row r="459" spans="14:14">
      <c r="N459" s="1032"/>
    </row>
    <row r="460" spans="14:14">
      <c r="N460" s="1032"/>
    </row>
    <row r="461" spans="14:14">
      <c r="N461" s="1032"/>
    </row>
    <row r="462" spans="14:14">
      <c r="N462" s="1032"/>
    </row>
    <row r="463" spans="14:14">
      <c r="N463" s="1032"/>
    </row>
    <row r="464" spans="14:14">
      <c r="N464" s="1032"/>
    </row>
    <row r="465" spans="14:14">
      <c r="N465" s="1032"/>
    </row>
    <row r="466" spans="14:14">
      <c r="N466" s="1032"/>
    </row>
    <row r="467" spans="14:14">
      <c r="N467" s="1032"/>
    </row>
    <row r="468" spans="14:14">
      <c r="N468" s="1032"/>
    </row>
    <row r="469" spans="14:14">
      <c r="N469" s="1032"/>
    </row>
    <row r="470" spans="14:14">
      <c r="N470" s="1032"/>
    </row>
    <row r="471" spans="14:14">
      <c r="N471" s="1032"/>
    </row>
    <row r="472" spans="14:14">
      <c r="N472" s="1032"/>
    </row>
    <row r="473" spans="14:14">
      <c r="N473" s="1032"/>
    </row>
    <row r="474" spans="14:14">
      <c r="N474" s="1032"/>
    </row>
    <row r="475" spans="14:14">
      <c r="N475" s="1032"/>
    </row>
    <row r="476" spans="14:14">
      <c r="N476" s="1032"/>
    </row>
    <row r="477" spans="14:14">
      <c r="N477" s="1032"/>
    </row>
    <row r="478" spans="14:14">
      <c r="N478" s="1032"/>
    </row>
    <row r="479" spans="14:14">
      <c r="N479" s="1032"/>
    </row>
    <row r="480" spans="14:14">
      <c r="N480" s="1032"/>
    </row>
    <row r="481" spans="14:14">
      <c r="N481" s="1032"/>
    </row>
    <row r="482" spans="14:14">
      <c r="N482" s="1032"/>
    </row>
    <row r="483" spans="14:14">
      <c r="N483" s="1032"/>
    </row>
    <row r="484" spans="14:14">
      <c r="N484" s="1032"/>
    </row>
    <row r="485" spans="14:14">
      <c r="N485" s="1032"/>
    </row>
    <row r="486" spans="14:14">
      <c r="N486" s="1032"/>
    </row>
    <row r="487" spans="14:14">
      <c r="N487" s="1032"/>
    </row>
    <row r="488" spans="14:14">
      <c r="N488" s="1032"/>
    </row>
    <row r="489" spans="14:14">
      <c r="N489" s="1032"/>
    </row>
    <row r="490" spans="14:14">
      <c r="N490" s="1032"/>
    </row>
    <row r="491" spans="14:14">
      <c r="N491" s="1032"/>
    </row>
    <row r="492" spans="14:14">
      <c r="N492" s="1032"/>
    </row>
    <row r="493" spans="14:14">
      <c r="N493" s="1032"/>
    </row>
    <row r="494" spans="14:14">
      <c r="N494" s="1032"/>
    </row>
    <row r="495" spans="14:14">
      <c r="N495" s="1032"/>
    </row>
    <row r="496" spans="14:14">
      <c r="N496" s="1032"/>
    </row>
    <row r="497" spans="14:14">
      <c r="N497" s="1032"/>
    </row>
    <row r="498" spans="14:14">
      <c r="N498" s="1032"/>
    </row>
    <row r="499" spans="14:14">
      <c r="N499" s="1032"/>
    </row>
    <row r="500" spans="14:14">
      <c r="N500" s="1032"/>
    </row>
    <row r="501" spans="14:14">
      <c r="N501" s="1032"/>
    </row>
    <row r="502" spans="14:14">
      <c r="N502" s="1032"/>
    </row>
    <row r="503" spans="14:14">
      <c r="N503" s="1032"/>
    </row>
    <row r="504" spans="14:14">
      <c r="N504" s="1032"/>
    </row>
    <row r="505" spans="14:14">
      <c r="N505" s="1032"/>
    </row>
    <row r="506" spans="14:14">
      <c r="N506" s="1032"/>
    </row>
    <row r="507" spans="14:14">
      <c r="N507" s="1032"/>
    </row>
    <row r="508" spans="14:14">
      <c r="N508" s="1032"/>
    </row>
    <row r="509" spans="14:14">
      <c r="N509" s="1032"/>
    </row>
    <row r="510" spans="14:14">
      <c r="N510" s="1032"/>
    </row>
    <row r="511" spans="14:14">
      <c r="N511" s="1032"/>
    </row>
    <row r="512" spans="14:14">
      <c r="N512" s="1032"/>
    </row>
    <row r="513" spans="14:14">
      <c r="N513" s="1032"/>
    </row>
    <row r="514" spans="14:14">
      <c r="N514" s="1032"/>
    </row>
    <row r="515" spans="14:14">
      <c r="N515" s="1032"/>
    </row>
    <row r="516" spans="14:14">
      <c r="N516" s="1032"/>
    </row>
    <row r="517" spans="14:14">
      <c r="N517" s="1032"/>
    </row>
    <row r="518" spans="14:14">
      <c r="N518" s="1032"/>
    </row>
    <row r="519" spans="14:14">
      <c r="N519" s="1032"/>
    </row>
    <row r="520" spans="14:14">
      <c r="N520" s="1032"/>
    </row>
    <row r="521" spans="14:14">
      <c r="N521" s="1032"/>
    </row>
    <row r="522" spans="14:14">
      <c r="N522" s="1032"/>
    </row>
    <row r="523" spans="14:14">
      <c r="N523" s="1032"/>
    </row>
    <row r="524" spans="14:14">
      <c r="N524" s="1032"/>
    </row>
    <row r="525" spans="14:14">
      <c r="N525" s="1032"/>
    </row>
    <row r="526" spans="14:14">
      <c r="N526" s="1032"/>
    </row>
    <row r="527" spans="14:14">
      <c r="N527" s="1032"/>
    </row>
    <row r="528" spans="14:14">
      <c r="N528" s="1032"/>
    </row>
    <row r="529" spans="14:14">
      <c r="N529" s="1032"/>
    </row>
    <row r="530" spans="14:14">
      <c r="N530" s="1032"/>
    </row>
    <row r="531" spans="14:14">
      <c r="N531" s="1032"/>
    </row>
    <row r="532" spans="14:14">
      <c r="N532" s="1032"/>
    </row>
    <row r="533" spans="14:14">
      <c r="N533" s="1032"/>
    </row>
    <row r="534" spans="14:14">
      <c r="N534" s="1032"/>
    </row>
    <row r="535" spans="14:14">
      <c r="N535" s="1032"/>
    </row>
    <row r="536" spans="14:14">
      <c r="N536" s="1032"/>
    </row>
    <row r="537" spans="14:14">
      <c r="N537" s="1032"/>
    </row>
    <row r="538" spans="14:14">
      <c r="N538" s="1032"/>
    </row>
    <row r="539" spans="14:14">
      <c r="N539" s="1032"/>
    </row>
    <row r="540" spans="14:14">
      <c r="N540" s="1032"/>
    </row>
    <row r="541" spans="14:14">
      <c r="N541" s="1032"/>
    </row>
    <row r="542" spans="14:14">
      <c r="N542" s="1032"/>
    </row>
    <row r="543" spans="14:14">
      <c r="N543" s="1032"/>
    </row>
    <row r="544" spans="14:14">
      <c r="N544" s="1032"/>
    </row>
    <row r="545" spans="14:14">
      <c r="N545" s="1032"/>
    </row>
    <row r="546" spans="14:14">
      <c r="N546" s="1032"/>
    </row>
    <row r="547" spans="14:14">
      <c r="N547" s="1032"/>
    </row>
    <row r="548" spans="14:14">
      <c r="N548" s="1032"/>
    </row>
    <row r="549" spans="14:14">
      <c r="N549" s="1032"/>
    </row>
    <row r="550" spans="14:14">
      <c r="N550" s="1032"/>
    </row>
    <row r="551" spans="14:14">
      <c r="N551" s="1032"/>
    </row>
    <row r="552" spans="14:14">
      <c r="N552" s="1032"/>
    </row>
    <row r="553" spans="14:14">
      <c r="N553" s="1032"/>
    </row>
    <row r="554" spans="14:14">
      <c r="N554" s="1032"/>
    </row>
    <row r="555" spans="14:14">
      <c r="N555" s="1032"/>
    </row>
    <row r="556" spans="14:14">
      <c r="N556" s="1032"/>
    </row>
    <row r="557" spans="14:14">
      <c r="N557" s="1032"/>
    </row>
    <row r="558" spans="14:14">
      <c r="N558" s="1032"/>
    </row>
    <row r="559" spans="14:14">
      <c r="N559" s="1032"/>
    </row>
    <row r="560" spans="14:14">
      <c r="N560" s="1032"/>
    </row>
    <row r="561" spans="14:14">
      <c r="N561" s="1032"/>
    </row>
    <row r="562" spans="14:14">
      <c r="N562" s="1032"/>
    </row>
    <row r="563" spans="14:14">
      <c r="N563" s="1032"/>
    </row>
    <row r="564" spans="14:14">
      <c r="N564" s="1032"/>
    </row>
    <row r="565" spans="14:14">
      <c r="N565" s="1032"/>
    </row>
    <row r="566" spans="14:14">
      <c r="N566" s="1032"/>
    </row>
    <row r="567" spans="14:14">
      <c r="N567" s="1032"/>
    </row>
    <row r="568" spans="14:14">
      <c r="N568" s="1032"/>
    </row>
    <row r="569" spans="14:14">
      <c r="N569" s="1032"/>
    </row>
    <row r="570" spans="14:14">
      <c r="N570" s="1032"/>
    </row>
    <row r="571" spans="14:14">
      <c r="N571" s="1032"/>
    </row>
    <row r="572" spans="14:14">
      <c r="N572" s="1032"/>
    </row>
    <row r="573" spans="14:14">
      <c r="N573" s="1032"/>
    </row>
    <row r="574" spans="14:14">
      <c r="N574" s="1032"/>
    </row>
    <row r="575" spans="14:14">
      <c r="N575" s="1032"/>
    </row>
    <row r="576" spans="14:14">
      <c r="N576" s="1032"/>
    </row>
    <row r="577" spans="14:14">
      <c r="N577" s="1032"/>
    </row>
    <row r="578" spans="14:14">
      <c r="N578" s="1032"/>
    </row>
    <row r="579" spans="14:14">
      <c r="N579" s="1032"/>
    </row>
    <row r="580" spans="14:14">
      <c r="N580" s="1032"/>
    </row>
    <row r="581" spans="14:14">
      <c r="N581" s="1032"/>
    </row>
    <row r="582" spans="14:14">
      <c r="N582" s="1032"/>
    </row>
    <row r="583" spans="14:14">
      <c r="N583" s="1032"/>
    </row>
    <row r="584" spans="14:14">
      <c r="N584" s="1032"/>
    </row>
    <row r="585" spans="14:14">
      <c r="N585" s="1032"/>
    </row>
    <row r="586" spans="14:14">
      <c r="N586" s="1032"/>
    </row>
    <row r="587" spans="14:14">
      <c r="N587" s="1032"/>
    </row>
    <row r="588" spans="14:14">
      <c r="N588" s="1032"/>
    </row>
    <row r="589" spans="14:14">
      <c r="N589" s="1032"/>
    </row>
    <row r="590" spans="14:14">
      <c r="N590" s="1032"/>
    </row>
    <row r="591" spans="14:14">
      <c r="N591" s="1032"/>
    </row>
    <row r="592" spans="14:14">
      <c r="N592" s="1032"/>
    </row>
    <row r="593" spans="14:14">
      <c r="N593" s="1032"/>
    </row>
    <row r="594" spans="14:14">
      <c r="N594" s="1032"/>
    </row>
    <row r="595" spans="14:14">
      <c r="N595" s="1032"/>
    </row>
    <row r="596" spans="14:14">
      <c r="N596" s="1032"/>
    </row>
    <row r="597" spans="14:14">
      <c r="N597" s="1032"/>
    </row>
    <row r="598" spans="14:14">
      <c r="N598" s="1032"/>
    </row>
    <row r="599" spans="14:14">
      <c r="N599" s="1032"/>
    </row>
    <row r="600" spans="14:14">
      <c r="N600" s="1032"/>
    </row>
    <row r="601" spans="14:14">
      <c r="N601" s="1032"/>
    </row>
    <row r="602" spans="14:14">
      <c r="N602" s="1032"/>
    </row>
    <row r="603" spans="14:14">
      <c r="N603" s="1032"/>
    </row>
    <row r="604" spans="14:14">
      <c r="N604" s="1032"/>
    </row>
    <row r="605" spans="14:14">
      <c r="N605" s="1032"/>
    </row>
    <row r="606" spans="14:14">
      <c r="N606" s="1032"/>
    </row>
    <row r="607" spans="14:14">
      <c r="N607" s="1032"/>
    </row>
    <row r="608" spans="14:14">
      <c r="N608" s="1032"/>
    </row>
    <row r="609" spans="14:14">
      <c r="N609" s="1032"/>
    </row>
    <row r="610" spans="14:14">
      <c r="N610" s="1032"/>
    </row>
    <row r="611" spans="14:14">
      <c r="N611" s="1032"/>
    </row>
    <row r="612" spans="14:14">
      <c r="N612" s="1032"/>
    </row>
    <row r="613" spans="14:14">
      <c r="N613" s="1032"/>
    </row>
    <row r="614" spans="14:14">
      <c r="N614" s="1032"/>
    </row>
    <row r="615" spans="14:14">
      <c r="N615" s="1032"/>
    </row>
    <row r="616" spans="14:14">
      <c r="N616" s="1032"/>
    </row>
    <row r="617" spans="14:14">
      <c r="N617" s="1032"/>
    </row>
    <row r="618" spans="14:14">
      <c r="N618" s="1032"/>
    </row>
    <row r="619" spans="14:14">
      <c r="N619" s="1032"/>
    </row>
    <row r="620" spans="14:14">
      <c r="N620" s="1032"/>
    </row>
    <row r="621" spans="14:14">
      <c r="N621" s="1032"/>
    </row>
    <row r="622" spans="14:14">
      <c r="N622" s="1032"/>
    </row>
    <row r="623" spans="14:14">
      <c r="N623" s="1032"/>
    </row>
    <row r="624" spans="14:14">
      <c r="N624" s="1032"/>
    </row>
    <row r="625" spans="14:14">
      <c r="N625" s="1032"/>
    </row>
    <row r="626" spans="14:14">
      <c r="N626" s="1032"/>
    </row>
    <row r="627" spans="14:14">
      <c r="N627" s="1032"/>
    </row>
    <row r="628" spans="14:14">
      <c r="N628" s="1032"/>
    </row>
    <row r="629" spans="14:14">
      <c r="N629" s="1032"/>
    </row>
    <row r="630" spans="14:14">
      <c r="N630" s="1032"/>
    </row>
    <row r="631" spans="14:14">
      <c r="N631" s="1032"/>
    </row>
    <row r="632" spans="14:14">
      <c r="N632" s="1032"/>
    </row>
    <row r="633" spans="14:14">
      <c r="N633" s="1032"/>
    </row>
    <row r="634" spans="14:14">
      <c r="N634" s="1032"/>
    </row>
    <row r="635" spans="14:14">
      <c r="N635" s="1032"/>
    </row>
    <row r="636" spans="14:14">
      <c r="N636" s="1032"/>
    </row>
    <row r="637" spans="14:14">
      <c r="N637" s="1032"/>
    </row>
    <row r="638" spans="14:14">
      <c r="N638" s="1032"/>
    </row>
    <row r="639" spans="14:14">
      <c r="N639" s="1032"/>
    </row>
    <row r="640" spans="14:14">
      <c r="N640" s="1032"/>
    </row>
    <row r="641" spans="14:14">
      <c r="N641" s="1032"/>
    </row>
    <row r="642" spans="14:14">
      <c r="N642" s="1032"/>
    </row>
    <row r="643" spans="14:14">
      <c r="N643" s="1032"/>
    </row>
    <row r="644" spans="14:14">
      <c r="N644" s="1032"/>
    </row>
    <row r="645" spans="14:14">
      <c r="N645" s="1032"/>
    </row>
    <row r="646" spans="14:14">
      <c r="N646" s="1032"/>
    </row>
    <row r="647" spans="14:14">
      <c r="N647" s="1032"/>
    </row>
    <row r="648" spans="14:14">
      <c r="N648" s="1032"/>
    </row>
    <row r="649" spans="14:14">
      <c r="N649" s="1032"/>
    </row>
    <row r="650" spans="14:14">
      <c r="N650" s="1032"/>
    </row>
    <row r="651" spans="14:14">
      <c r="N651" s="1032"/>
    </row>
    <row r="652" spans="14:14">
      <c r="N652" s="1032"/>
    </row>
    <row r="653" spans="14:14">
      <c r="N653" s="1032"/>
    </row>
    <row r="654" spans="14:14">
      <c r="N654" s="1032"/>
    </row>
    <row r="655" spans="14:14">
      <c r="N655" s="1032"/>
    </row>
    <row r="656" spans="14:14">
      <c r="N656" s="1032"/>
    </row>
    <row r="657" spans="14:14">
      <c r="N657" s="1032"/>
    </row>
    <row r="658" spans="14:14">
      <c r="N658" s="1032"/>
    </row>
    <row r="659" spans="14:14">
      <c r="N659" s="1032"/>
    </row>
    <row r="660" spans="14:14">
      <c r="N660" s="1032"/>
    </row>
    <row r="661" spans="14:14">
      <c r="N661" s="1032"/>
    </row>
    <row r="662" spans="14:14">
      <c r="N662" s="1032"/>
    </row>
    <row r="663" spans="14:14">
      <c r="N663" s="1032"/>
    </row>
    <row r="664" spans="14:14">
      <c r="N664" s="1032"/>
    </row>
    <row r="665" spans="14:14">
      <c r="N665" s="1032"/>
    </row>
    <row r="666" spans="14:14">
      <c r="N666" s="1032"/>
    </row>
    <row r="667" spans="14:14">
      <c r="N667" s="1032"/>
    </row>
    <row r="668" spans="14:14">
      <c r="N668" s="1032"/>
    </row>
    <row r="669" spans="14:14">
      <c r="N669" s="1032"/>
    </row>
    <row r="670" spans="14:14">
      <c r="N670" s="1032"/>
    </row>
    <row r="671" spans="14:14">
      <c r="N671" s="1032"/>
    </row>
    <row r="672" spans="14:14">
      <c r="N672" s="1032"/>
    </row>
    <row r="673" spans="14:14">
      <c r="N673" s="1032"/>
    </row>
    <row r="674" spans="14:14">
      <c r="N674" s="1032"/>
    </row>
    <row r="675" spans="14:14">
      <c r="N675" s="1032"/>
    </row>
    <row r="676" spans="14:14">
      <c r="N676" s="1032"/>
    </row>
    <row r="677" spans="14:14">
      <c r="N677" s="1032"/>
    </row>
    <row r="678" spans="14:14">
      <c r="N678" s="1032"/>
    </row>
    <row r="679" spans="14:14">
      <c r="N679" s="1032"/>
    </row>
    <row r="680" spans="14:14">
      <c r="N680" s="1032"/>
    </row>
    <row r="681" spans="14:14">
      <c r="N681" s="1032"/>
    </row>
    <row r="682" spans="14:14">
      <c r="N682" s="1032"/>
    </row>
    <row r="683" spans="14:14">
      <c r="N683" s="1032"/>
    </row>
    <row r="684" spans="14:14">
      <c r="N684" s="1032"/>
    </row>
    <row r="685" spans="14:14">
      <c r="N685" s="1032"/>
    </row>
    <row r="686" spans="14:14">
      <c r="N686" s="1032"/>
    </row>
    <row r="687" spans="14:14">
      <c r="N687" s="1032"/>
    </row>
    <row r="688" spans="14:14">
      <c r="N688" s="1032"/>
    </row>
    <row r="689" spans="14:14">
      <c r="N689" s="1032"/>
    </row>
    <row r="690" spans="14:14">
      <c r="N690" s="1032"/>
    </row>
    <row r="691" spans="14:14">
      <c r="N691" s="1032"/>
    </row>
    <row r="692" spans="14:14">
      <c r="N692" s="1032"/>
    </row>
    <row r="693" spans="14:14">
      <c r="N693" s="1032"/>
    </row>
    <row r="694" spans="14:14">
      <c r="N694" s="1032"/>
    </row>
    <row r="695" spans="14:14">
      <c r="N695" s="1032"/>
    </row>
    <row r="696" spans="14:14">
      <c r="N696" s="1032"/>
    </row>
    <row r="697" spans="14:14">
      <c r="N697" s="1032"/>
    </row>
    <row r="698" spans="14:14">
      <c r="N698" s="1032"/>
    </row>
    <row r="699" spans="14:14">
      <c r="N699" s="1032"/>
    </row>
    <row r="700" spans="14:14">
      <c r="N700" s="1032"/>
    </row>
    <row r="701" spans="14:14">
      <c r="N701" s="1032"/>
    </row>
    <row r="702" spans="14:14">
      <c r="N702" s="1032"/>
    </row>
    <row r="703" spans="14:14">
      <c r="N703" s="1032"/>
    </row>
    <row r="704" spans="14:14">
      <c r="N704" s="1032"/>
    </row>
    <row r="705" spans="14:14">
      <c r="N705" s="1032"/>
    </row>
    <row r="706" spans="14:14">
      <c r="N706" s="1032"/>
    </row>
    <row r="707" spans="14:14">
      <c r="N707" s="1032"/>
    </row>
    <row r="708" spans="14:14">
      <c r="N708" s="1032"/>
    </row>
    <row r="709" spans="14:14">
      <c r="N709" s="1032"/>
    </row>
    <row r="710" spans="14:14">
      <c r="N710" s="1032"/>
    </row>
    <row r="711" spans="14:14">
      <c r="N711" s="1032"/>
    </row>
    <row r="712" spans="14:14">
      <c r="N712" s="1032"/>
    </row>
    <row r="713" spans="14:14">
      <c r="N713" s="1032"/>
    </row>
    <row r="714" spans="14:14">
      <c r="N714" s="1032"/>
    </row>
    <row r="715" spans="14:14">
      <c r="N715" s="1032"/>
    </row>
    <row r="716" spans="14:14">
      <c r="N716" s="1032"/>
    </row>
    <row r="717" spans="14:14">
      <c r="N717" s="1032"/>
    </row>
    <row r="718" spans="14:14">
      <c r="N718" s="1032"/>
    </row>
    <row r="719" spans="14:14">
      <c r="N719" s="1032"/>
    </row>
    <row r="720" spans="14:14">
      <c r="N720" s="1032"/>
    </row>
    <row r="721" spans="14:14">
      <c r="N721" s="1032"/>
    </row>
    <row r="722" spans="14:14">
      <c r="N722" s="1032"/>
    </row>
    <row r="723" spans="14:14">
      <c r="N723" s="1032"/>
    </row>
    <row r="724" spans="14:14">
      <c r="N724" s="1032"/>
    </row>
    <row r="725" spans="14:14">
      <c r="N725" s="1032"/>
    </row>
    <row r="726" spans="14:14">
      <c r="N726" s="1032"/>
    </row>
    <row r="727" spans="14:14">
      <c r="N727" s="1032"/>
    </row>
    <row r="728" spans="14:14">
      <c r="N728" s="1032"/>
    </row>
    <row r="729" spans="14:14">
      <c r="N729" s="1032"/>
    </row>
    <row r="730" spans="14:14">
      <c r="N730" s="1032"/>
    </row>
    <row r="731" spans="14:14">
      <c r="N731" s="1032"/>
    </row>
    <row r="732" spans="14:14">
      <c r="N732" s="1032"/>
    </row>
    <row r="733" spans="14:14">
      <c r="N733" s="1032"/>
    </row>
    <row r="734" spans="14:14">
      <c r="N734" s="1032"/>
    </row>
    <row r="735" spans="14:14">
      <c r="N735" s="1032"/>
    </row>
    <row r="736" spans="14:14">
      <c r="N736" s="1032"/>
    </row>
    <row r="737" spans="14:14">
      <c r="N737" s="1032"/>
    </row>
    <row r="738" spans="14:14">
      <c r="N738" s="1032"/>
    </row>
    <row r="739" spans="14:14">
      <c r="N739" s="1032"/>
    </row>
    <row r="740" spans="14:14">
      <c r="N740" s="1032"/>
    </row>
    <row r="741" spans="14:14">
      <c r="N741" s="1032"/>
    </row>
    <row r="742" spans="14:14">
      <c r="N742" s="1032"/>
    </row>
    <row r="743" spans="14:14">
      <c r="N743" s="1032"/>
    </row>
    <row r="744" spans="14:14">
      <c r="N744" s="1032"/>
    </row>
    <row r="745" spans="14:14">
      <c r="N745" s="1032"/>
    </row>
    <row r="746" spans="14:14">
      <c r="N746" s="1032"/>
    </row>
    <row r="747" spans="14:14">
      <c r="N747" s="1032"/>
    </row>
    <row r="748" spans="14:14">
      <c r="N748" s="1032"/>
    </row>
    <row r="749" spans="14:14">
      <c r="N749" s="1032"/>
    </row>
    <row r="750" spans="14:14">
      <c r="N750" s="1032"/>
    </row>
    <row r="751" spans="14:14">
      <c r="N751" s="1032"/>
    </row>
    <row r="752" spans="14:14">
      <c r="N752" s="1032"/>
    </row>
    <row r="753" spans="14:14">
      <c r="N753" s="1032"/>
    </row>
    <row r="754" spans="14:14">
      <c r="N754" s="1032"/>
    </row>
    <row r="755" spans="14:14">
      <c r="N755" s="1032"/>
    </row>
    <row r="756" spans="14:14">
      <c r="N756" s="1032"/>
    </row>
    <row r="757" spans="14:14">
      <c r="N757" s="1032"/>
    </row>
    <row r="758" spans="14:14">
      <c r="N758" s="1032"/>
    </row>
    <row r="759" spans="14:14">
      <c r="N759" s="1032"/>
    </row>
    <row r="760" spans="14:14">
      <c r="N760" s="1032"/>
    </row>
    <row r="761" spans="14:14">
      <c r="N761" s="1032"/>
    </row>
    <row r="762" spans="14:14">
      <c r="N762" s="1032"/>
    </row>
    <row r="763" spans="14:14">
      <c r="N763" s="1032"/>
    </row>
    <row r="764" spans="14:14">
      <c r="N764" s="1032"/>
    </row>
    <row r="765" spans="14:14">
      <c r="N765" s="1032"/>
    </row>
    <row r="766" spans="14:14">
      <c r="N766" s="1032"/>
    </row>
    <row r="767" spans="14:14">
      <c r="N767" s="1032"/>
    </row>
    <row r="768" spans="14:14">
      <c r="N768" s="1032"/>
    </row>
    <row r="769" spans="14:14">
      <c r="N769" s="1032"/>
    </row>
    <row r="770" spans="14:14">
      <c r="N770" s="1032"/>
    </row>
    <row r="771" spans="14:14">
      <c r="N771" s="1032"/>
    </row>
    <row r="772" spans="14:14">
      <c r="N772" s="1032"/>
    </row>
    <row r="773" spans="14:14">
      <c r="N773" s="1032"/>
    </row>
    <row r="774" spans="14:14">
      <c r="N774" s="1032"/>
    </row>
    <row r="775" spans="14:14">
      <c r="N775" s="1032"/>
    </row>
    <row r="776" spans="14:14">
      <c r="N776" s="1032"/>
    </row>
    <row r="777" spans="14:14">
      <c r="N777" s="1032"/>
    </row>
    <row r="778" spans="14:14">
      <c r="N778" s="1032"/>
    </row>
    <row r="779" spans="14:14">
      <c r="N779" s="1032"/>
    </row>
    <row r="780" spans="14:14">
      <c r="N780" s="1032"/>
    </row>
    <row r="781" spans="14:14">
      <c r="N781" s="1032"/>
    </row>
    <row r="782" spans="14:14">
      <c r="N782" s="1032"/>
    </row>
    <row r="783" spans="14:14">
      <c r="N783" s="1032"/>
    </row>
    <row r="784" spans="14:14">
      <c r="N784" s="1032"/>
    </row>
    <row r="785" spans="14:14">
      <c r="N785" s="1032"/>
    </row>
    <row r="786" spans="14:14">
      <c r="N786" s="1032"/>
    </row>
    <row r="787" spans="14:14">
      <c r="N787" s="1032"/>
    </row>
    <row r="788" spans="14:14">
      <c r="N788" s="1032"/>
    </row>
    <row r="789" spans="14:14">
      <c r="N789" s="1032"/>
    </row>
    <row r="790" spans="14:14">
      <c r="N790" s="1032"/>
    </row>
    <row r="791" spans="14:14">
      <c r="N791" s="1032"/>
    </row>
    <row r="792" spans="14:14">
      <c r="N792" s="1032"/>
    </row>
    <row r="793" spans="14:14">
      <c r="N793" s="1032"/>
    </row>
    <row r="794" spans="14:14">
      <c r="N794" s="1032"/>
    </row>
    <row r="795" spans="14:14">
      <c r="N795" s="1032"/>
    </row>
    <row r="796" spans="14:14">
      <c r="N796" s="1032"/>
    </row>
    <row r="797" spans="14:14">
      <c r="N797" s="1032"/>
    </row>
    <row r="798" spans="14:14">
      <c r="N798" s="1032"/>
    </row>
    <row r="799" spans="14:14">
      <c r="N799" s="1032"/>
    </row>
    <row r="800" spans="14:14">
      <c r="N800" s="1032"/>
    </row>
    <row r="801" spans="14:14">
      <c r="N801" s="1032"/>
    </row>
    <row r="802" spans="14:14">
      <c r="N802" s="1032"/>
    </row>
    <row r="803" spans="14:14">
      <c r="N803" s="1032"/>
    </row>
    <row r="804" spans="14:14">
      <c r="N804" s="1032"/>
    </row>
    <row r="805" spans="14:14">
      <c r="N805" s="1032"/>
    </row>
    <row r="806" spans="14:14">
      <c r="N806" s="1032"/>
    </row>
    <row r="807" spans="14:14">
      <c r="N807" s="1032"/>
    </row>
    <row r="808" spans="14:14">
      <c r="N808" s="1032"/>
    </row>
    <row r="809" spans="14:14">
      <c r="N809" s="1032"/>
    </row>
    <row r="810" spans="14:14">
      <c r="N810" s="1032"/>
    </row>
    <row r="811" spans="14:14">
      <c r="N811" s="1032"/>
    </row>
    <row r="812" spans="14:14">
      <c r="N812" s="1032"/>
    </row>
    <row r="813" spans="14:14">
      <c r="N813" s="1032"/>
    </row>
    <row r="814" spans="14:14">
      <c r="N814" s="1032"/>
    </row>
    <row r="815" spans="14:14">
      <c r="N815" s="1032"/>
    </row>
    <row r="816" spans="14:14">
      <c r="N816" s="1032"/>
    </row>
    <row r="817" spans="14:14">
      <c r="N817" s="1032"/>
    </row>
    <row r="818" spans="14:14">
      <c r="N818" s="1032"/>
    </row>
    <row r="819" spans="14:14">
      <c r="N819" s="1032"/>
    </row>
    <row r="820" spans="14:14">
      <c r="N820" s="1032"/>
    </row>
    <row r="821" spans="14:14">
      <c r="N821" s="1032"/>
    </row>
    <row r="822" spans="14:14">
      <c r="N822" s="1032"/>
    </row>
    <row r="823" spans="14:14">
      <c r="N823" s="1032"/>
    </row>
    <row r="824" spans="14:14">
      <c r="N824" s="1032"/>
    </row>
    <row r="825" spans="14:14">
      <c r="N825" s="1032"/>
    </row>
    <row r="826" spans="14:14">
      <c r="N826" s="1032"/>
    </row>
    <row r="827" spans="14:14">
      <c r="N827" s="1032"/>
    </row>
    <row r="828" spans="14:14">
      <c r="N828" s="1032"/>
    </row>
    <row r="829" spans="14:14">
      <c r="N829" s="1032"/>
    </row>
    <row r="830" spans="14:14">
      <c r="N830" s="1032"/>
    </row>
    <row r="831" spans="14:14">
      <c r="N831" s="1032"/>
    </row>
    <row r="832" spans="14:14">
      <c r="N832" s="1032"/>
    </row>
    <row r="833" spans="14:14">
      <c r="N833" s="1032"/>
    </row>
    <row r="834" spans="14:14">
      <c r="N834" s="1032"/>
    </row>
    <row r="835" spans="14:14">
      <c r="N835" s="1032"/>
    </row>
    <row r="836" spans="14:14">
      <c r="N836" s="1032"/>
    </row>
    <row r="837" spans="14:14">
      <c r="N837" s="1032"/>
    </row>
    <row r="838" spans="14:14">
      <c r="N838" s="1032"/>
    </row>
    <row r="839" spans="14:14">
      <c r="N839" s="1032"/>
    </row>
    <row r="840" spans="14:14">
      <c r="N840" s="1032"/>
    </row>
    <row r="841" spans="14:14">
      <c r="N841" s="1032"/>
    </row>
    <row r="842" spans="14:14">
      <c r="N842" s="1032"/>
    </row>
    <row r="843" spans="14:14">
      <c r="N843" s="1032"/>
    </row>
    <row r="844" spans="14:14">
      <c r="N844" s="1032"/>
    </row>
    <row r="845" spans="14:14">
      <c r="N845" s="1032"/>
    </row>
    <row r="846" spans="14:14">
      <c r="N846" s="1032"/>
    </row>
    <row r="847" spans="14:14">
      <c r="N847" s="1032"/>
    </row>
    <row r="848" spans="14:14">
      <c r="N848" s="1032"/>
    </row>
    <row r="849" spans="14:14">
      <c r="N849" s="1032"/>
    </row>
    <row r="850" spans="14:14">
      <c r="N850" s="1032"/>
    </row>
    <row r="851" spans="14:14">
      <c r="N851" s="1032"/>
    </row>
    <row r="852" spans="14:14">
      <c r="N852" s="1032"/>
    </row>
    <row r="853" spans="14:14">
      <c r="N853" s="1032"/>
    </row>
    <row r="854" spans="14:14">
      <c r="N854" s="1032"/>
    </row>
    <row r="855" spans="14:14">
      <c r="N855" s="1032"/>
    </row>
    <row r="856" spans="14:14">
      <c r="N856" s="1032"/>
    </row>
    <row r="857" spans="14:14">
      <c r="N857" s="1032"/>
    </row>
    <row r="858" spans="14:14">
      <c r="N858" s="1032"/>
    </row>
    <row r="859" spans="14:14">
      <c r="N859" s="1032"/>
    </row>
    <row r="860" spans="14:14">
      <c r="N860" s="1032"/>
    </row>
    <row r="861" spans="14:14">
      <c r="N861" s="1032"/>
    </row>
    <row r="862" spans="14:14">
      <c r="N862" s="1032"/>
    </row>
    <row r="863" spans="14:14">
      <c r="N863" s="1032"/>
    </row>
    <row r="864" spans="14:14">
      <c r="N864" s="1032"/>
    </row>
    <row r="865" spans="14:14">
      <c r="N865" s="1032"/>
    </row>
    <row r="866" spans="14:14">
      <c r="N866" s="1032"/>
    </row>
    <row r="867" spans="14:14">
      <c r="N867" s="1032"/>
    </row>
    <row r="868" spans="14:14">
      <c r="N868" s="1032"/>
    </row>
    <row r="869" spans="14:14">
      <c r="N869" s="1032"/>
    </row>
    <row r="870" spans="14:14">
      <c r="N870" s="1032"/>
    </row>
    <row r="871" spans="14:14">
      <c r="N871" s="1032"/>
    </row>
    <row r="872" spans="14:14">
      <c r="N872" s="1032"/>
    </row>
    <row r="873" spans="14:14">
      <c r="N873" s="1032"/>
    </row>
    <row r="874" spans="14:14">
      <c r="N874" s="1032"/>
    </row>
    <row r="875" spans="14:14">
      <c r="N875" s="1032"/>
    </row>
    <row r="876" spans="14:14">
      <c r="N876" s="1032"/>
    </row>
    <row r="877" spans="14:14">
      <c r="N877" s="1032"/>
    </row>
    <row r="878" spans="14:14">
      <c r="N878" s="1032"/>
    </row>
    <row r="879" spans="14:14">
      <c r="N879" s="1032"/>
    </row>
    <row r="880" spans="14:14">
      <c r="N880" s="1032"/>
    </row>
    <row r="881" spans="14:14">
      <c r="N881" s="1032"/>
    </row>
    <row r="882" spans="14:14">
      <c r="N882" s="1032"/>
    </row>
    <row r="883" spans="14:14">
      <c r="N883" s="1032"/>
    </row>
    <row r="884" spans="14:14">
      <c r="N884" s="1032"/>
    </row>
    <row r="885" spans="14:14">
      <c r="N885" s="1032"/>
    </row>
    <row r="886" spans="14:14">
      <c r="N886" s="1032"/>
    </row>
    <row r="887" spans="14:14">
      <c r="N887" s="1032"/>
    </row>
    <row r="888" spans="14:14">
      <c r="N888" s="1032"/>
    </row>
    <row r="889" spans="14:14">
      <c r="N889" s="1032"/>
    </row>
    <row r="890" spans="14:14">
      <c r="N890" s="1032"/>
    </row>
    <row r="891" spans="14:14">
      <c r="N891" s="1032"/>
    </row>
    <row r="892" spans="14:14">
      <c r="N892" s="1032"/>
    </row>
    <row r="893" spans="14:14">
      <c r="N893" s="1032"/>
    </row>
    <row r="894" spans="14:14">
      <c r="N894" s="1032"/>
    </row>
    <row r="895" spans="14:14">
      <c r="N895" s="1032"/>
    </row>
    <row r="896" spans="14:14">
      <c r="N896" s="1032"/>
    </row>
    <row r="897" spans="14:14">
      <c r="N897" s="1032"/>
    </row>
    <row r="898" spans="14:14">
      <c r="N898" s="1032"/>
    </row>
    <row r="899" spans="14:14">
      <c r="N899" s="1032"/>
    </row>
    <row r="900" spans="14:14">
      <c r="N900" s="1032"/>
    </row>
    <row r="901" spans="14:14">
      <c r="N901" s="1032"/>
    </row>
    <row r="902" spans="14:14">
      <c r="N902" s="1032"/>
    </row>
    <row r="903" spans="14:14">
      <c r="N903" s="1032"/>
    </row>
    <row r="904" spans="14:14">
      <c r="N904" s="1032"/>
    </row>
    <row r="905" spans="14:14">
      <c r="N905" s="1032"/>
    </row>
    <row r="906" spans="14:14">
      <c r="N906" s="1032"/>
    </row>
    <row r="907" spans="14:14">
      <c r="N907" s="1032"/>
    </row>
    <row r="908" spans="14:14">
      <c r="N908" s="1032"/>
    </row>
    <row r="909" spans="14:14">
      <c r="N909" s="1032"/>
    </row>
    <row r="910" spans="14:14">
      <c r="N910" s="1032"/>
    </row>
    <row r="911" spans="14:14">
      <c r="N911" s="1032"/>
    </row>
    <row r="912" spans="14:14">
      <c r="N912" s="1032"/>
    </row>
    <row r="913" spans="14:14">
      <c r="N913" s="1032"/>
    </row>
    <row r="914" spans="14:14">
      <c r="N914" s="1032"/>
    </row>
    <row r="915" spans="14:14">
      <c r="N915" s="1032"/>
    </row>
    <row r="916" spans="14:14">
      <c r="N916" s="1032"/>
    </row>
    <row r="917" spans="14:14">
      <c r="N917" s="1032"/>
    </row>
    <row r="918" spans="14:14">
      <c r="N918" s="1032"/>
    </row>
    <row r="919" spans="14:14">
      <c r="N919" s="1032"/>
    </row>
    <row r="920" spans="14:14">
      <c r="N920" s="1032"/>
    </row>
    <row r="921" spans="14:14">
      <c r="N921" s="1032"/>
    </row>
    <row r="922" spans="14:14">
      <c r="N922" s="1032"/>
    </row>
    <row r="923" spans="14:14">
      <c r="N923" s="1032"/>
    </row>
    <row r="924" spans="14:14">
      <c r="N924" s="1032"/>
    </row>
    <row r="925" spans="14:14">
      <c r="N925" s="1032"/>
    </row>
    <row r="926" spans="14:14">
      <c r="N926" s="1032"/>
    </row>
    <row r="927" spans="14:14">
      <c r="N927" s="1032"/>
    </row>
    <row r="928" spans="14:14">
      <c r="N928" s="1032"/>
    </row>
    <row r="929" spans="14:14">
      <c r="N929" s="1032"/>
    </row>
    <row r="930" spans="14:14">
      <c r="N930" s="1032"/>
    </row>
    <row r="931" spans="14:14">
      <c r="N931" s="1032"/>
    </row>
    <row r="932" spans="14:14">
      <c r="N932" s="1032"/>
    </row>
    <row r="933" spans="14:14">
      <c r="N933" s="1032"/>
    </row>
    <row r="934" spans="14:14">
      <c r="N934" s="1032"/>
    </row>
    <row r="935" spans="14:14">
      <c r="N935" s="1032"/>
    </row>
    <row r="936" spans="14:14">
      <c r="N936" s="1032"/>
    </row>
    <row r="937" spans="14:14">
      <c r="N937" s="1032"/>
    </row>
    <row r="938" spans="14:14">
      <c r="N938" s="1032"/>
    </row>
    <row r="939" spans="14:14">
      <c r="N939" s="1032"/>
    </row>
    <row r="940" spans="14:14">
      <c r="N940" s="1032"/>
    </row>
    <row r="941" spans="14:14">
      <c r="N941" s="1032"/>
    </row>
    <row r="942" spans="14:14">
      <c r="N942" s="1032"/>
    </row>
    <row r="943" spans="14:14">
      <c r="N943" s="1032"/>
    </row>
    <row r="944" spans="14:14">
      <c r="N944" s="1032"/>
    </row>
    <row r="945" spans="14:14">
      <c r="N945" s="1032"/>
    </row>
    <row r="946" spans="14:14">
      <c r="N946" s="1032"/>
    </row>
    <row r="947" spans="14:14">
      <c r="N947" s="1032"/>
    </row>
    <row r="948" spans="14:14">
      <c r="N948" s="1032"/>
    </row>
    <row r="949" spans="14:14">
      <c r="N949" s="1032"/>
    </row>
    <row r="950" spans="14:14">
      <c r="N950" s="1032"/>
    </row>
    <row r="951" spans="14:14">
      <c r="N951" s="1032"/>
    </row>
    <row r="952" spans="14:14">
      <c r="N952" s="1032"/>
    </row>
    <row r="953" spans="14:14">
      <c r="N953" s="1032"/>
    </row>
    <row r="954" spans="14:14">
      <c r="N954" s="1032"/>
    </row>
    <row r="955" spans="14:14">
      <c r="N955" s="1032"/>
    </row>
    <row r="956" spans="14:14">
      <c r="N956" s="1032"/>
    </row>
    <row r="957" spans="14:14">
      <c r="N957" s="1032"/>
    </row>
    <row r="958" spans="14:14">
      <c r="N958" s="1032"/>
    </row>
    <row r="959" spans="14:14">
      <c r="N959" s="1032"/>
    </row>
    <row r="960" spans="14:14">
      <c r="N960" s="1032"/>
    </row>
    <row r="961" spans="14:14">
      <c r="N961" s="1032"/>
    </row>
    <row r="962" spans="14:14">
      <c r="N962" s="1032"/>
    </row>
    <row r="963" spans="14:14">
      <c r="N963" s="1032"/>
    </row>
    <row r="964" spans="14:14">
      <c r="N964" s="1032"/>
    </row>
    <row r="965" spans="14:14">
      <c r="N965" s="1032"/>
    </row>
    <row r="966" spans="14:14">
      <c r="N966" s="1032"/>
    </row>
    <row r="967" spans="14:14">
      <c r="N967" s="1032"/>
    </row>
    <row r="968" spans="14:14">
      <c r="N968" s="1032"/>
    </row>
    <row r="969" spans="14:14">
      <c r="N969" s="1032"/>
    </row>
    <row r="970" spans="14:14">
      <c r="N970" s="1032"/>
    </row>
    <row r="971" spans="14:14">
      <c r="N971" s="1032"/>
    </row>
    <row r="972" spans="14:14">
      <c r="N972" s="1032"/>
    </row>
    <row r="973" spans="14:14">
      <c r="N973" s="1032"/>
    </row>
    <row r="974" spans="14:14">
      <c r="N974" s="1032"/>
    </row>
    <row r="975" spans="14:14">
      <c r="N975" s="1032"/>
    </row>
    <row r="976" spans="14:14">
      <c r="N976" s="1032"/>
    </row>
    <row r="977" spans="14:14">
      <c r="N977" s="1032"/>
    </row>
    <row r="978" spans="14:14">
      <c r="N978" s="1032"/>
    </row>
    <row r="979" spans="14:14">
      <c r="N979" s="1032"/>
    </row>
    <row r="980" spans="14:14">
      <c r="N980" s="1032"/>
    </row>
    <row r="981" spans="14:14">
      <c r="N981" s="1032"/>
    </row>
    <row r="982" spans="14:14">
      <c r="N982" s="1032"/>
    </row>
    <row r="983" spans="14:14">
      <c r="N983" s="1032"/>
    </row>
    <row r="984" spans="14:14">
      <c r="N984" s="1032"/>
    </row>
    <row r="985" spans="14:14">
      <c r="N985" s="1032"/>
    </row>
    <row r="986" spans="14:14">
      <c r="N986" s="1032"/>
    </row>
    <row r="987" spans="14:14">
      <c r="N987" s="1032"/>
    </row>
    <row r="988" spans="14:14">
      <c r="N988" s="1032"/>
    </row>
    <row r="989" spans="14:14">
      <c r="N989" s="1032"/>
    </row>
    <row r="990" spans="14:14">
      <c r="N990" s="1032"/>
    </row>
    <row r="991" spans="14:14">
      <c r="N991" s="1032"/>
    </row>
    <row r="992" spans="14:14">
      <c r="N992" s="1032"/>
    </row>
    <row r="993" spans="14:14">
      <c r="N993" s="1032"/>
    </row>
    <row r="994" spans="14:14">
      <c r="N994" s="1032"/>
    </row>
    <row r="995" spans="14:14">
      <c r="N995" s="1032"/>
    </row>
    <row r="996" spans="14:14">
      <c r="N996" s="1032"/>
    </row>
    <row r="997" spans="14:14">
      <c r="N997" s="1032"/>
    </row>
    <row r="998" spans="14:14">
      <c r="N998" s="1032"/>
    </row>
    <row r="999" spans="14:14">
      <c r="N999" s="1032"/>
    </row>
    <row r="1000" spans="14:14">
      <c r="N1000" s="1032"/>
    </row>
    <row r="1001" spans="14:14">
      <c r="N1001" s="1032"/>
    </row>
    <row r="1002" spans="14:14">
      <c r="N1002" s="1032"/>
    </row>
    <row r="1003" spans="14:14">
      <c r="N1003" s="1032"/>
    </row>
    <row r="1004" spans="14:14">
      <c r="N1004" s="1032"/>
    </row>
    <row r="1005" spans="14:14">
      <c r="N1005" s="1032"/>
    </row>
    <row r="1006" spans="14:14">
      <c r="N1006" s="1032"/>
    </row>
    <row r="1007" spans="14:14">
      <c r="N1007" s="1032"/>
    </row>
    <row r="1008" spans="14:14">
      <c r="N1008" s="1032"/>
    </row>
    <row r="1009" spans="14:14">
      <c r="N1009" s="1032"/>
    </row>
    <row r="1010" spans="14:14">
      <c r="N1010" s="1032"/>
    </row>
    <row r="1011" spans="14:14">
      <c r="N1011" s="1032"/>
    </row>
    <row r="1012" spans="14:14">
      <c r="N1012" s="1032"/>
    </row>
    <row r="1013" spans="14:14">
      <c r="N1013" s="1032"/>
    </row>
    <row r="1014" spans="14:14">
      <c r="N1014" s="1032"/>
    </row>
    <row r="1015" spans="14:14">
      <c r="N1015" s="1032"/>
    </row>
    <row r="1016" spans="14:14">
      <c r="N1016" s="1032"/>
    </row>
    <row r="1017" spans="14:14">
      <c r="N1017" s="1032"/>
    </row>
    <row r="1018" spans="14:14">
      <c r="N1018" s="1032"/>
    </row>
    <row r="1019" spans="14:14">
      <c r="N1019" s="1032"/>
    </row>
    <row r="1020" spans="14:14">
      <c r="N1020" s="1032"/>
    </row>
    <row r="1021" spans="14:14">
      <c r="N1021" s="1032"/>
    </row>
    <row r="1022" spans="14:14">
      <c r="N1022" s="1032"/>
    </row>
    <row r="1023" spans="14:14">
      <c r="N1023" s="1032"/>
    </row>
    <row r="1024" spans="14:14">
      <c r="N1024" s="1032"/>
    </row>
    <row r="1025" spans="14:14">
      <c r="N1025" s="1032"/>
    </row>
    <row r="1026" spans="14:14">
      <c r="N1026" s="1032"/>
    </row>
    <row r="1027" spans="14:14">
      <c r="N1027" s="1032"/>
    </row>
    <row r="1028" spans="14:14">
      <c r="N1028" s="1032"/>
    </row>
    <row r="1029" spans="14:14">
      <c r="N1029" s="1032"/>
    </row>
    <row r="1030" spans="14:14">
      <c r="N1030" s="1032"/>
    </row>
    <row r="1031" spans="14:14">
      <c r="N1031" s="1032"/>
    </row>
    <row r="1032" spans="14:14">
      <c r="N1032" s="1032"/>
    </row>
    <row r="1033" spans="14:14">
      <c r="N1033" s="1032"/>
    </row>
    <row r="1034" spans="14:14">
      <c r="N1034" s="1032"/>
    </row>
    <row r="1035" spans="14:14">
      <c r="N1035" s="1032"/>
    </row>
    <row r="1036" spans="14:14">
      <c r="N1036" s="1032"/>
    </row>
    <row r="1037" spans="14:14">
      <c r="N1037" s="1032"/>
    </row>
    <row r="1038" spans="14:14">
      <c r="N1038" s="1032"/>
    </row>
    <row r="1039" spans="14:14">
      <c r="N1039" s="1032"/>
    </row>
    <row r="1040" spans="14:14">
      <c r="N1040" s="1032"/>
    </row>
    <row r="1041" spans="14:14">
      <c r="N1041" s="1032"/>
    </row>
    <row r="1042" spans="14:14">
      <c r="N1042" s="1032"/>
    </row>
    <row r="1043" spans="14:14">
      <c r="N1043" s="1032"/>
    </row>
    <row r="1044" spans="14:14">
      <c r="N1044" s="1032"/>
    </row>
    <row r="1045" spans="14:14">
      <c r="N1045" s="1032"/>
    </row>
    <row r="1046" spans="14:14">
      <c r="N1046" s="1032"/>
    </row>
    <row r="1047" spans="14:14">
      <c r="N1047" s="1032"/>
    </row>
    <row r="1048" spans="14:14">
      <c r="N1048" s="1032"/>
    </row>
    <row r="1049" spans="14:14">
      <c r="N1049" s="1032"/>
    </row>
    <row r="1050" spans="14:14">
      <c r="N1050" s="1032"/>
    </row>
    <row r="1051" spans="14:14">
      <c r="N1051" s="1032"/>
    </row>
    <row r="1052" spans="14:14">
      <c r="N1052" s="1032"/>
    </row>
    <row r="1053" spans="14:14">
      <c r="N1053" s="1032"/>
    </row>
    <row r="1054" spans="14:14">
      <c r="N1054" s="1032"/>
    </row>
    <row r="1055" spans="14:14">
      <c r="N1055" s="1032"/>
    </row>
    <row r="1056" spans="14:14">
      <c r="N1056" s="1032"/>
    </row>
    <row r="1057" spans="14:14">
      <c r="N1057" s="1032"/>
    </row>
    <row r="1058" spans="14:14">
      <c r="N1058" s="1032"/>
    </row>
    <row r="1059" spans="14:14">
      <c r="N1059" s="1032"/>
    </row>
    <row r="1060" spans="14:14">
      <c r="N1060" s="1032"/>
    </row>
    <row r="1061" spans="14:14">
      <c r="N1061" s="1032"/>
    </row>
    <row r="1062" spans="14:14">
      <c r="N1062" s="1032"/>
    </row>
    <row r="1063" spans="14:14">
      <c r="N1063" s="1032"/>
    </row>
    <row r="1064" spans="14:14">
      <c r="N1064" s="1032"/>
    </row>
    <row r="1065" spans="14:14">
      <c r="N1065" s="1032"/>
    </row>
    <row r="1066" spans="14:14">
      <c r="N1066" s="1032"/>
    </row>
    <row r="1067" spans="14:14">
      <c r="N1067" s="1032"/>
    </row>
    <row r="1068" spans="14:14">
      <c r="N1068" s="1032"/>
    </row>
    <row r="1069" spans="14:14">
      <c r="N1069" s="1032"/>
    </row>
    <row r="1070" spans="14:14">
      <c r="N1070" s="1032"/>
    </row>
    <row r="1071" spans="14:14">
      <c r="N1071" s="1032"/>
    </row>
    <row r="1072" spans="14:14">
      <c r="N1072" s="1032"/>
    </row>
    <row r="1073" spans="14:14">
      <c r="N1073" s="1032"/>
    </row>
    <row r="1074" spans="14:14">
      <c r="N1074" s="1032"/>
    </row>
    <row r="1075" spans="14:14">
      <c r="N1075" s="1032"/>
    </row>
    <row r="1076" spans="14:14">
      <c r="N1076" s="1032"/>
    </row>
    <row r="1077" spans="14:14">
      <c r="N1077" s="1032"/>
    </row>
    <row r="1078" spans="14:14">
      <c r="N1078" s="1032"/>
    </row>
    <row r="1079" spans="14:14">
      <c r="N1079" s="1032"/>
    </row>
    <row r="1080" spans="14:14">
      <c r="N1080" s="1032"/>
    </row>
    <row r="1081" spans="14:14">
      <c r="N1081" s="1032"/>
    </row>
    <row r="1082" spans="14:14">
      <c r="N1082" s="1032"/>
    </row>
    <row r="1083" spans="14:14">
      <c r="N1083" s="1032"/>
    </row>
    <row r="1084" spans="14:14">
      <c r="N1084" s="1032"/>
    </row>
    <row r="1085" spans="14:14">
      <c r="N1085" s="1032"/>
    </row>
    <row r="1086" spans="14:14">
      <c r="N1086" s="1032"/>
    </row>
    <row r="1087" spans="14:14">
      <c r="N1087" s="1032"/>
    </row>
    <row r="1088" spans="14:14">
      <c r="N1088" s="1032"/>
    </row>
    <row r="1089" spans="14:14">
      <c r="N1089" s="1032"/>
    </row>
    <row r="1090" spans="14:14">
      <c r="N1090" s="1032"/>
    </row>
    <row r="1091" spans="14:14">
      <c r="N1091" s="1032"/>
    </row>
    <row r="1092" spans="14:14">
      <c r="N1092" s="1032"/>
    </row>
    <row r="1093" spans="14:14">
      <c r="N1093" s="1032"/>
    </row>
    <row r="1094" spans="14:14">
      <c r="N1094" s="1032"/>
    </row>
    <row r="1095" spans="14:14">
      <c r="N1095" s="1032"/>
    </row>
    <row r="1096" spans="14:14">
      <c r="N1096" s="1032"/>
    </row>
    <row r="1097" spans="14:14">
      <c r="N1097" s="1032"/>
    </row>
    <row r="1098" spans="14:14">
      <c r="N1098" s="1032"/>
    </row>
    <row r="1099" spans="14:14">
      <c r="N1099" s="1032"/>
    </row>
    <row r="1100" spans="14:14">
      <c r="N1100" s="1032"/>
    </row>
    <row r="1101" spans="14:14">
      <c r="N1101" s="1032"/>
    </row>
    <row r="1102" spans="14:14">
      <c r="N1102" s="1032"/>
    </row>
    <row r="1103" spans="14:14">
      <c r="N1103" s="1032"/>
    </row>
    <row r="1104" spans="14:14">
      <c r="N1104" s="1032"/>
    </row>
    <row r="1105" spans="14:14">
      <c r="N1105" s="1032"/>
    </row>
    <row r="1106" spans="14:14">
      <c r="N1106" s="1032"/>
    </row>
    <row r="1107" spans="14:14">
      <c r="N1107" s="1032"/>
    </row>
    <row r="1108" spans="14:14">
      <c r="N1108" s="1032"/>
    </row>
    <row r="1109" spans="14:14">
      <c r="N1109" s="1032"/>
    </row>
    <row r="1110" spans="14:14">
      <c r="N1110" s="1032"/>
    </row>
    <row r="1111" spans="14:14">
      <c r="N1111" s="1032"/>
    </row>
    <row r="1112" spans="14:14">
      <c r="N1112" s="1032"/>
    </row>
    <row r="1113" spans="14:14">
      <c r="N1113" s="1032"/>
    </row>
    <row r="1114" spans="14:14">
      <c r="N1114" s="1032"/>
    </row>
    <row r="1115" spans="14:14">
      <c r="N1115" s="1032"/>
    </row>
    <row r="1116" spans="14:14">
      <c r="N1116" s="1032"/>
    </row>
    <row r="1117" spans="14:14">
      <c r="N1117" s="1032"/>
    </row>
    <row r="1118" spans="14:14">
      <c r="N1118" s="1032"/>
    </row>
    <row r="1119" spans="14:14">
      <c r="N1119" s="1032"/>
    </row>
    <row r="1120" spans="14:14">
      <c r="N1120" s="1032"/>
    </row>
    <row r="1121" spans="14:14">
      <c r="N1121" s="1032"/>
    </row>
    <row r="1122" spans="14:14">
      <c r="N1122" s="1032"/>
    </row>
    <row r="1123" spans="14:14">
      <c r="N1123" s="1032"/>
    </row>
    <row r="1124" spans="14:14">
      <c r="N1124" s="1032"/>
    </row>
    <row r="1125" spans="14:14">
      <c r="N1125" s="1032"/>
    </row>
    <row r="1126" spans="14:14">
      <c r="N1126" s="1032"/>
    </row>
    <row r="1127" spans="14:14">
      <c r="N1127" s="1032"/>
    </row>
    <row r="1128" spans="14:14">
      <c r="N1128" s="1032"/>
    </row>
    <row r="1129" spans="14:14">
      <c r="N1129" s="1032"/>
    </row>
    <row r="1130" spans="14:14">
      <c r="N1130" s="1032"/>
    </row>
    <row r="1131" spans="14:14">
      <c r="N1131" s="1032"/>
    </row>
    <row r="1132" spans="14:14">
      <c r="N1132" s="1032"/>
    </row>
    <row r="1133" spans="14:14">
      <c r="N1133" s="1032"/>
    </row>
    <row r="1134" spans="14:14">
      <c r="N1134" s="1032"/>
    </row>
    <row r="1135" spans="14:14">
      <c r="N1135" s="1032"/>
    </row>
    <row r="1136" spans="14:14">
      <c r="N1136" s="1032"/>
    </row>
    <row r="1137" spans="14:14">
      <c r="N1137" s="1032"/>
    </row>
    <row r="1138" spans="14:14">
      <c r="N1138" s="1032"/>
    </row>
    <row r="1139" spans="14:14">
      <c r="N1139" s="1032"/>
    </row>
    <row r="1140" spans="14:14">
      <c r="N1140" s="1032"/>
    </row>
    <row r="1141" spans="14:14">
      <c r="N1141" s="1032"/>
    </row>
    <row r="1142" spans="14:14">
      <c r="N1142" s="1032"/>
    </row>
    <row r="1143" spans="14:14">
      <c r="N1143" s="1032"/>
    </row>
    <row r="1144" spans="14:14">
      <c r="N1144" s="1032"/>
    </row>
    <row r="1145" spans="14:14">
      <c r="N1145" s="1032"/>
    </row>
    <row r="1146" spans="14:14">
      <c r="N1146" s="1032"/>
    </row>
    <row r="1147" spans="14:14">
      <c r="N1147" s="1032"/>
    </row>
    <row r="1148" spans="14:14">
      <c r="N1148" s="1032"/>
    </row>
    <row r="1149" spans="14:14">
      <c r="N1149" s="1032"/>
    </row>
    <row r="1150" spans="14:14">
      <c r="N1150" s="1032"/>
    </row>
    <row r="1151" spans="14:14">
      <c r="N1151" s="1032"/>
    </row>
    <row r="1152" spans="14:14">
      <c r="N1152" s="1032"/>
    </row>
    <row r="1153" spans="14:14">
      <c r="N1153" s="1032"/>
    </row>
    <row r="1154" spans="14:14">
      <c r="N1154" s="1032"/>
    </row>
    <row r="1155" spans="14:14">
      <c r="N1155" s="1032"/>
    </row>
    <row r="1156" spans="14:14">
      <c r="N1156" s="1032"/>
    </row>
    <row r="1157" spans="14:14">
      <c r="N1157" s="1032"/>
    </row>
    <row r="1158" spans="14:14">
      <c r="N1158" s="1032"/>
    </row>
    <row r="1159" spans="14:14">
      <c r="N1159" s="1032"/>
    </row>
    <row r="1160" spans="14:14">
      <c r="N1160" s="1032"/>
    </row>
    <row r="1161" spans="14:14">
      <c r="N1161" s="1032"/>
    </row>
    <row r="1162" spans="14:14">
      <c r="N1162" s="1032"/>
    </row>
    <row r="1163" spans="14:14">
      <c r="N1163" s="1032"/>
    </row>
    <row r="1164" spans="14:14">
      <c r="N1164" s="1032"/>
    </row>
    <row r="1165" spans="14:14">
      <c r="N1165" s="1032"/>
    </row>
    <row r="1166" spans="14:14">
      <c r="N1166" s="1032"/>
    </row>
    <row r="1167" spans="14:14">
      <c r="N1167" s="1032"/>
    </row>
    <row r="1168" spans="14:14">
      <c r="N1168" s="1032"/>
    </row>
    <row r="1169" spans="14:14">
      <c r="N1169" s="1032"/>
    </row>
    <row r="1170" spans="14:14">
      <c r="N1170" s="1032"/>
    </row>
    <row r="1171" spans="14:14">
      <c r="N1171" s="1032"/>
    </row>
    <row r="1172" spans="14:14">
      <c r="N1172" s="1032"/>
    </row>
    <row r="1173" spans="14:14">
      <c r="N1173" s="1032"/>
    </row>
    <row r="1174" spans="14:14">
      <c r="N1174" s="1032"/>
    </row>
    <row r="1175" spans="14:14">
      <c r="N1175" s="1032"/>
    </row>
    <row r="1176" spans="14:14">
      <c r="N1176" s="1032"/>
    </row>
    <row r="1177" spans="14:14">
      <c r="N1177" s="1032"/>
    </row>
    <row r="1178" spans="14:14">
      <c r="N1178" s="1032"/>
    </row>
    <row r="1179" spans="14:14">
      <c r="N1179" s="1032"/>
    </row>
    <row r="1180" spans="14:14">
      <c r="N1180" s="1032"/>
    </row>
    <row r="1181" spans="14:14">
      <c r="N1181" s="1032"/>
    </row>
    <row r="1182" spans="14:14">
      <c r="N1182" s="1032"/>
    </row>
    <row r="1183" spans="14:14">
      <c r="N1183" s="1032"/>
    </row>
    <row r="1184" spans="14:14">
      <c r="N1184" s="1032"/>
    </row>
    <row r="1185" spans="14:14">
      <c r="N1185" s="1032"/>
    </row>
    <row r="1186" spans="14:14">
      <c r="N1186" s="1032"/>
    </row>
    <row r="1187" spans="14:14">
      <c r="N1187" s="1032"/>
    </row>
    <row r="1188" spans="14:14">
      <c r="N1188" s="1032"/>
    </row>
    <row r="1189" spans="14:14">
      <c r="N1189" s="1032"/>
    </row>
    <row r="1190" spans="14:14">
      <c r="N1190" s="1032"/>
    </row>
    <row r="1191" spans="14:14">
      <c r="N1191" s="1032"/>
    </row>
    <row r="1192" spans="14:14">
      <c r="N1192" s="1032"/>
    </row>
    <row r="1193" spans="14:14">
      <c r="N1193" s="1032"/>
    </row>
    <row r="1194" spans="14:14">
      <c r="N1194" s="1032"/>
    </row>
    <row r="1195" spans="14:14">
      <c r="N1195" s="1032"/>
    </row>
    <row r="1196" spans="14:14">
      <c r="N1196" s="1032"/>
    </row>
    <row r="1197" spans="14:14">
      <c r="N1197" s="1032"/>
    </row>
    <row r="1198" spans="14:14">
      <c r="N1198" s="1032"/>
    </row>
    <row r="1199" spans="14:14">
      <c r="N1199" s="1032"/>
    </row>
    <row r="1200" spans="14:14">
      <c r="N1200" s="1032"/>
    </row>
    <row r="1201" spans="14:14">
      <c r="N1201" s="1032"/>
    </row>
    <row r="1202" spans="14:14">
      <c r="N1202" s="1032"/>
    </row>
    <row r="1203" spans="14:14">
      <c r="N1203" s="1032"/>
    </row>
    <row r="1204" spans="14:14">
      <c r="N1204" s="1032"/>
    </row>
    <row r="1205" spans="14:14">
      <c r="N1205" s="1032"/>
    </row>
    <row r="1206" spans="14:14">
      <c r="N1206" s="1032"/>
    </row>
    <row r="1207" spans="14:14">
      <c r="N1207" s="1032"/>
    </row>
    <row r="1208" spans="14:14">
      <c r="N1208" s="1032"/>
    </row>
    <row r="1209" spans="14:14">
      <c r="N1209" s="1032"/>
    </row>
    <row r="1210" spans="14:14">
      <c r="N1210" s="1032"/>
    </row>
    <row r="1211" spans="14:14">
      <c r="N1211" s="1032"/>
    </row>
    <row r="1212" spans="14:14">
      <c r="N1212" s="1032"/>
    </row>
    <row r="1213" spans="14:14">
      <c r="N1213" s="1032"/>
    </row>
    <row r="1214" spans="14:14">
      <c r="N1214" s="1032"/>
    </row>
    <row r="1215" spans="14:14">
      <c r="N1215" s="1032"/>
    </row>
    <row r="1216" spans="14:14">
      <c r="N1216" s="1032"/>
    </row>
    <row r="1217" spans="14:14">
      <c r="N1217" s="1032"/>
    </row>
    <row r="1218" spans="14:14">
      <c r="N1218" s="1032"/>
    </row>
    <row r="1219" spans="14:14">
      <c r="N1219" s="1032"/>
    </row>
    <row r="1220" spans="14:14">
      <c r="N1220" s="1032"/>
    </row>
    <row r="1221" spans="14:14">
      <c r="N1221" s="1032"/>
    </row>
    <row r="1222" spans="14:14">
      <c r="N1222" s="1032"/>
    </row>
    <row r="1223" spans="14:14">
      <c r="N1223" s="1032"/>
    </row>
    <row r="1224" spans="14:14">
      <c r="N1224" s="1032"/>
    </row>
    <row r="1225" spans="14:14">
      <c r="N1225" s="1032"/>
    </row>
    <row r="1226" spans="14:14">
      <c r="N1226" s="1032"/>
    </row>
    <row r="1227" spans="14:14">
      <c r="N1227" s="1032"/>
    </row>
    <row r="1228" spans="14:14">
      <c r="N1228" s="1032"/>
    </row>
    <row r="1229" spans="14:14">
      <c r="N1229" s="1032"/>
    </row>
    <row r="1230" spans="14:14">
      <c r="N1230" s="1032"/>
    </row>
    <row r="1231" spans="14:14">
      <c r="N1231" s="1032"/>
    </row>
    <row r="1232" spans="14:14">
      <c r="N1232" s="1032"/>
    </row>
    <row r="1233" spans="14:14">
      <c r="N1233" s="1032"/>
    </row>
    <row r="1234" spans="14:14">
      <c r="N1234" s="1032"/>
    </row>
    <row r="1235" spans="14:14">
      <c r="N1235" s="1032"/>
    </row>
    <row r="1236" spans="14:14">
      <c r="N1236" s="1032"/>
    </row>
    <row r="1237" spans="14:14">
      <c r="N1237" s="1032"/>
    </row>
    <row r="1238" spans="14:14">
      <c r="N1238" s="1032"/>
    </row>
    <row r="1239" spans="14:14">
      <c r="N1239" s="1032"/>
    </row>
    <row r="1240" spans="14:14">
      <c r="N1240" s="1032"/>
    </row>
    <row r="1241" spans="14:14">
      <c r="N1241" s="1032"/>
    </row>
    <row r="1242" spans="14:14">
      <c r="N1242" s="1032"/>
    </row>
    <row r="1243" spans="14:14">
      <c r="N1243" s="1032"/>
    </row>
    <row r="1244" spans="14:14">
      <c r="N1244" s="1032"/>
    </row>
    <row r="1245" spans="14:14">
      <c r="N1245" s="1032"/>
    </row>
    <row r="1246" spans="14:14">
      <c r="N1246" s="1032"/>
    </row>
    <row r="1247" spans="14:14">
      <c r="N1247" s="1032"/>
    </row>
    <row r="1248" spans="14:14">
      <c r="N1248" s="1032"/>
    </row>
    <row r="1249" spans="14:14">
      <c r="N1249" s="1032"/>
    </row>
    <row r="1250" spans="14:14">
      <c r="N1250" s="1032"/>
    </row>
    <row r="1251" spans="14:14">
      <c r="N1251" s="1032"/>
    </row>
    <row r="1252" spans="14:14">
      <c r="N1252" s="1032"/>
    </row>
    <row r="1253" spans="14:14">
      <c r="N1253" s="1032"/>
    </row>
    <row r="1254" spans="14:14">
      <c r="N1254" s="1032"/>
    </row>
    <row r="1255" spans="14:14">
      <c r="N1255" s="1032"/>
    </row>
    <row r="1256" spans="14:14">
      <c r="N1256" s="1032"/>
    </row>
    <row r="1257" spans="14:14">
      <c r="N1257" s="1032"/>
    </row>
    <row r="1258" spans="14:14">
      <c r="N1258" s="1032"/>
    </row>
    <row r="1259" spans="14:14">
      <c r="N1259" s="1032"/>
    </row>
    <row r="1260" spans="14:14">
      <c r="N1260" s="1032"/>
    </row>
    <row r="1261" spans="14:14">
      <c r="N1261" s="1032"/>
    </row>
    <row r="1262" spans="14:14">
      <c r="N1262" s="1032"/>
    </row>
    <row r="1263" spans="14:14">
      <c r="N1263" s="1032"/>
    </row>
    <row r="1264" spans="14:14">
      <c r="N1264" s="1032"/>
    </row>
    <row r="1265" spans="14:14">
      <c r="N1265" s="1032"/>
    </row>
    <row r="1266" spans="14:14">
      <c r="N1266" s="1032"/>
    </row>
    <row r="1267" spans="14:14">
      <c r="N1267" s="1032"/>
    </row>
    <row r="1268" spans="14:14">
      <c r="N1268" s="1032"/>
    </row>
    <row r="1269" spans="14:14">
      <c r="N1269" s="1032"/>
    </row>
    <row r="1270" spans="14:14">
      <c r="N1270" s="1032"/>
    </row>
    <row r="1271" spans="14:14">
      <c r="N1271" s="1032"/>
    </row>
    <row r="1272" spans="14:14">
      <c r="N1272" s="1032"/>
    </row>
    <row r="1273" spans="14:14">
      <c r="N1273" s="1032"/>
    </row>
    <row r="1274" spans="14:14">
      <c r="N1274" s="1032"/>
    </row>
    <row r="1275" spans="14:14">
      <c r="N1275" s="1032"/>
    </row>
    <row r="1276" spans="14:14">
      <c r="N1276" s="1032"/>
    </row>
    <row r="1277" spans="14:14">
      <c r="N1277" s="1032"/>
    </row>
    <row r="1278" spans="14:14">
      <c r="N1278" s="1032"/>
    </row>
    <row r="1279" spans="14:14">
      <c r="N1279" s="1032"/>
    </row>
    <row r="1280" spans="14:14">
      <c r="N1280" s="1032"/>
    </row>
    <row r="1281" spans="14:14">
      <c r="N1281" s="1032"/>
    </row>
    <row r="1282" spans="14:14">
      <c r="N1282" s="1032"/>
    </row>
    <row r="1283" spans="14:14">
      <c r="N1283" s="1032"/>
    </row>
    <row r="1284" spans="14:14">
      <c r="N1284" s="1032"/>
    </row>
    <row r="1285" spans="14:14">
      <c r="N1285" s="1032"/>
    </row>
    <row r="1286" spans="14:14">
      <c r="N1286" s="1032"/>
    </row>
    <row r="1287" spans="14:14">
      <c r="N1287" s="1032"/>
    </row>
    <row r="1288" spans="14:14">
      <c r="N1288" s="1032"/>
    </row>
    <row r="1289" spans="14:14">
      <c r="N1289" s="1032"/>
    </row>
    <row r="1290" spans="14:14">
      <c r="N1290" s="1032"/>
    </row>
    <row r="1291" spans="14:14">
      <c r="N1291" s="1032"/>
    </row>
    <row r="1292" spans="14:14">
      <c r="N1292" s="1032"/>
    </row>
    <row r="1293" spans="14:14">
      <c r="N1293" s="1032"/>
    </row>
    <row r="1294" spans="14:14">
      <c r="N1294" s="1032"/>
    </row>
    <row r="1295" spans="14:14">
      <c r="N1295" s="1032"/>
    </row>
    <row r="1296" spans="14:14">
      <c r="N1296" s="1032"/>
    </row>
    <row r="1297" spans="14:14">
      <c r="N1297" s="1032"/>
    </row>
    <row r="1298" spans="14:14">
      <c r="N1298" s="1032"/>
    </row>
    <row r="1299" spans="14:14">
      <c r="N1299" s="1032"/>
    </row>
    <row r="1300" spans="14:14">
      <c r="N1300" s="1032"/>
    </row>
    <row r="1301" spans="14:14">
      <c r="N1301" s="1032"/>
    </row>
    <row r="1302" spans="14:14">
      <c r="N1302" s="1032"/>
    </row>
    <row r="1303" spans="14:14">
      <c r="N1303" s="1032"/>
    </row>
    <row r="1304" spans="14:14">
      <c r="N1304" s="1032"/>
    </row>
    <row r="1305" spans="14:14">
      <c r="N1305" s="1032"/>
    </row>
    <row r="1306" spans="14:14">
      <c r="N1306" s="1032"/>
    </row>
    <row r="1307" spans="14:14">
      <c r="N1307" s="1032"/>
    </row>
    <row r="1308" spans="14:14">
      <c r="N1308" s="1032"/>
    </row>
    <row r="1309" spans="14:14">
      <c r="N1309" s="1032"/>
    </row>
    <row r="1310" spans="14:14">
      <c r="N1310" s="1032"/>
    </row>
    <row r="1311" spans="14:14">
      <c r="N1311" s="1032"/>
    </row>
    <row r="1312" spans="14:14">
      <c r="N1312" s="1032"/>
    </row>
    <row r="1313" spans="14:14">
      <c r="N1313" s="1032"/>
    </row>
    <row r="1314" spans="14:14">
      <c r="N1314" s="1032"/>
    </row>
    <row r="1315" spans="14:14">
      <c r="N1315" s="1032"/>
    </row>
    <row r="1316" spans="14:14">
      <c r="N1316" s="1032"/>
    </row>
    <row r="1317" spans="14:14">
      <c r="N1317" s="1032"/>
    </row>
    <row r="1318" spans="14:14">
      <c r="N1318" s="1032"/>
    </row>
    <row r="1319" spans="14:14">
      <c r="N1319" s="1032"/>
    </row>
    <row r="1320" spans="14:14">
      <c r="N1320" s="1032"/>
    </row>
    <row r="1321" spans="14:14">
      <c r="N1321" s="1032"/>
    </row>
    <row r="1322" spans="14:14">
      <c r="N1322" s="1032"/>
    </row>
    <row r="1323" spans="14:14">
      <c r="N1323" s="1032"/>
    </row>
    <row r="1324" spans="14:14">
      <c r="N1324" s="1032"/>
    </row>
    <row r="1325" spans="14:14">
      <c r="N1325" s="1032"/>
    </row>
    <row r="1326" spans="14:14">
      <c r="N1326" s="1032"/>
    </row>
    <row r="1327" spans="14:14">
      <c r="N1327" s="1032"/>
    </row>
    <row r="1328" spans="14:14">
      <c r="N1328" s="1032"/>
    </row>
    <row r="1329" spans="14:14">
      <c r="N1329" s="1032"/>
    </row>
    <row r="1330" spans="14:14">
      <c r="N1330" s="1032"/>
    </row>
    <row r="1331" spans="14:14">
      <c r="N1331" s="1032"/>
    </row>
    <row r="1332" spans="14:14">
      <c r="N1332" s="1032"/>
    </row>
    <row r="1333" spans="14:14">
      <c r="N1333" s="1032"/>
    </row>
    <row r="1334" spans="14:14">
      <c r="N1334" s="1032"/>
    </row>
    <row r="1335" spans="14:14">
      <c r="N1335" s="1032"/>
    </row>
    <row r="1336" spans="14:14">
      <c r="N1336" s="1032"/>
    </row>
    <row r="1337" spans="14:14">
      <c r="N1337" s="1032"/>
    </row>
    <row r="1338" spans="14:14">
      <c r="N1338" s="1032"/>
    </row>
    <row r="1339" spans="14:14">
      <c r="N1339" s="1032"/>
    </row>
    <row r="1340" spans="14:14">
      <c r="N1340" s="1032"/>
    </row>
    <row r="1341" spans="14:14">
      <c r="N1341" s="1032"/>
    </row>
    <row r="1342" spans="14:14">
      <c r="N1342" s="1032"/>
    </row>
    <row r="1343" spans="14:14">
      <c r="N1343" s="1032"/>
    </row>
    <row r="1344" spans="14:14">
      <c r="N1344" s="1032"/>
    </row>
    <row r="1345" spans="14:14">
      <c r="N1345" s="1032"/>
    </row>
    <row r="1346" spans="14:14">
      <c r="N1346" s="1032"/>
    </row>
    <row r="1347" spans="14:14">
      <c r="N1347" s="1032"/>
    </row>
    <row r="1348" spans="14:14">
      <c r="N1348" s="1032"/>
    </row>
    <row r="1349" spans="14:14">
      <c r="N1349" s="1032"/>
    </row>
    <row r="1350" spans="14:14">
      <c r="N1350" s="1032"/>
    </row>
    <row r="1351" spans="14:14">
      <c r="N1351" s="1032"/>
    </row>
    <row r="1352" spans="14:14">
      <c r="N1352" s="1032"/>
    </row>
    <row r="1353" spans="14:14">
      <c r="N1353" s="1032"/>
    </row>
    <row r="1354" spans="14:14">
      <c r="N1354" s="1032"/>
    </row>
    <row r="1355" spans="14:14">
      <c r="N1355" s="1032"/>
    </row>
    <row r="1356" spans="14:14">
      <c r="N1356" s="1032"/>
    </row>
    <row r="1357" spans="14:14">
      <c r="N1357" s="1032"/>
    </row>
    <row r="1358" spans="14:14">
      <c r="N1358" s="1032"/>
    </row>
    <row r="1359" spans="14:14">
      <c r="N1359" s="1032"/>
    </row>
    <row r="1360" spans="14:14">
      <c r="N1360" s="1032"/>
    </row>
    <row r="1361" spans="14:14">
      <c r="N1361" s="1032"/>
    </row>
    <row r="1362" spans="14:14">
      <c r="N1362" s="1032"/>
    </row>
    <row r="1363" spans="14:14">
      <c r="N1363" s="1032"/>
    </row>
    <row r="1364" spans="14:14">
      <c r="N1364" s="1032"/>
    </row>
    <row r="1365" spans="14:14">
      <c r="N1365" s="1032"/>
    </row>
    <row r="1366" spans="14:14">
      <c r="N1366" s="1032"/>
    </row>
    <row r="1367" spans="14:14">
      <c r="N1367" s="1032"/>
    </row>
    <row r="1368" spans="14:14">
      <c r="N1368" s="1032"/>
    </row>
    <row r="1369" spans="14:14">
      <c r="N1369" s="1032"/>
    </row>
    <row r="1370" spans="14:14">
      <c r="N1370" s="1032"/>
    </row>
    <row r="1371" spans="14:14">
      <c r="N1371" s="1032"/>
    </row>
    <row r="1372" spans="14:14">
      <c r="N1372" s="1032"/>
    </row>
    <row r="1373" spans="14:14">
      <c r="N1373" s="1032"/>
    </row>
    <row r="1374" spans="14:14">
      <c r="N1374" s="1032"/>
    </row>
    <row r="1375" spans="14:14">
      <c r="N1375" s="1032"/>
    </row>
    <row r="1376" spans="14:14">
      <c r="N1376" s="1032"/>
    </row>
    <row r="1377" spans="14:14">
      <c r="N1377" s="1032"/>
    </row>
    <row r="1378" spans="14:14">
      <c r="N1378" s="1032"/>
    </row>
    <row r="1379" spans="14:14">
      <c r="N1379" s="1032"/>
    </row>
    <row r="1380" spans="14:14">
      <c r="N1380" s="1032"/>
    </row>
    <row r="1381" spans="14:14">
      <c r="N1381" s="1032"/>
    </row>
    <row r="1382" spans="14:14">
      <c r="N1382" s="1032"/>
    </row>
    <row r="1383" spans="14:14">
      <c r="N1383" s="1032"/>
    </row>
    <row r="1384" spans="14:14">
      <c r="N1384" s="1032"/>
    </row>
    <row r="1385" spans="14:14">
      <c r="N1385" s="1032"/>
    </row>
    <row r="1386" spans="14:14">
      <c r="N1386" s="1032"/>
    </row>
    <row r="1387" spans="14:14">
      <c r="N1387" s="1032"/>
    </row>
    <row r="1388" spans="14:14">
      <c r="N1388" s="1032"/>
    </row>
    <row r="1389" spans="14:14">
      <c r="N1389" s="1032"/>
    </row>
    <row r="1390" spans="14:14">
      <c r="N1390" s="1032"/>
    </row>
    <row r="1391" spans="14:14">
      <c r="N1391" s="1032"/>
    </row>
    <row r="1392" spans="14:14">
      <c r="N1392" s="1032"/>
    </row>
    <row r="1393" spans="14:14">
      <c r="N1393" s="1032"/>
    </row>
    <row r="1394" spans="14:14">
      <c r="N1394" s="1032"/>
    </row>
    <row r="1395" spans="14:14">
      <c r="N1395" s="1032"/>
    </row>
    <row r="1396" spans="14:14">
      <c r="N1396" s="1032"/>
    </row>
    <row r="1397" spans="14:14">
      <c r="N1397" s="1032"/>
    </row>
    <row r="1398" spans="14:14">
      <c r="N1398" s="1032"/>
    </row>
    <row r="1399" spans="14:14">
      <c r="N1399" s="1032"/>
    </row>
    <row r="1400" spans="14:14">
      <c r="N1400" s="1032"/>
    </row>
    <row r="1401" spans="14:14">
      <c r="N1401" s="1032"/>
    </row>
    <row r="1402" spans="14:14">
      <c r="N1402" s="1032"/>
    </row>
    <row r="1403" spans="14:14">
      <c r="N1403" s="1032"/>
    </row>
    <row r="1404" spans="14:14">
      <c r="N1404" s="1032"/>
    </row>
    <row r="1405" spans="14:14">
      <c r="N1405" s="1032"/>
    </row>
    <row r="1406" spans="14:14">
      <c r="N1406" s="1032"/>
    </row>
    <row r="1407" spans="14:14">
      <c r="N1407" s="1032"/>
    </row>
    <row r="1408" spans="14:14">
      <c r="N1408" s="1032"/>
    </row>
    <row r="1409" spans="14:14">
      <c r="N1409" s="1032"/>
    </row>
    <row r="1410" spans="14:14">
      <c r="N1410" s="1032"/>
    </row>
  </sheetData>
  <mergeCells count="1">
    <mergeCell ref="N1:R1"/>
  </mergeCells>
  <pageMargins left="0.25" right="0.34" top="1" bottom="1" header="0.59" footer="0.5"/>
  <pageSetup paperSize="5" scale="65" orientation="portrait" horizont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K366"/>
  <sheetViews>
    <sheetView workbookViewId="0">
      <selection activeCell="E4" sqref="E4"/>
    </sheetView>
  </sheetViews>
  <sheetFormatPr defaultRowHeight="12.75"/>
  <cols>
    <col min="7" max="7" width="9.5703125" bestFit="1" customWidth="1"/>
  </cols>
  <sheetData>
    <row r="1" spans="1:11">
      <c r="A1" s="63" t="s">
        <v>816</v>
      </c>
      <c r="D1" s="587" t="s">
        <v>584</v>
      </c>
      <c r="I1" t="s">
        <v>539</v>
      </c>
      <c r="K1" s="681">
        <v>0</v>
      </c>
    </row>
    <row r="2" spans="1:11" ht="25.5">
      <c r="C2" t="s">
        <v>511</v>
      </c>
      <c r="G2" s="350" t="s">
        <v>453</v>
      </c>
    </row>
    <row r="3" spans="1:11">
      <c r="A3" s="465"/>
      <c r="B3" s="431"/>
      <c r="C3" s="587">
        <v>0</v>
      </c>
      <c r="F3">
        <v>2000</v>
      </c>
      <c r="G3" s="445">
        <f>(SUMIF(B:B,F3,C:C)/COUNTIF(B:B,F3))+$K$1</f>
        <v>1.448419756899828</v>
      </c>
    </row>
    <row r="4" spans="1:11">
      <c r="A4" s="465"/>
      <c r="B4" s="431"/>
      <c r="C4" s="718"/>
      <c r="F4">
        <v>2001</v>
      </c>
      <c r="G4" s="445">
        <f t="shared" ref="G4:G28" si="0">(SUMIF(B:B,F4,C:C)/COUNTIF(B:B,F4))+$K$1</f>
        <v>1.4371112386416593</v>
      </c>
    </row>
    <row r="5" spans="1:11">
      <c r="A5" s="465"/>
      <c r="B5" s="431"/>
      <c r="C5" s="718"/>
      <c r="F5">
        <v>2002</v>
      </c>
      <c r="G5" s="445">
        <f t="shared" si="0"/>
        <v>1.4262562557458309</v>
      </c>
    </row>
    <row r="6" spans="1:11">
      <c r="A6" s="465">
        <v>36617</v>
      </c>
      <c r="B6" s="431">
        <f t="shared" ref="B6:B67" si="1">YEAR(A6)</f>
        <v>2000</v>
      </c>
      <c r="C6" s="1055">
        <v>1.4525999999999999</v>
      </c>
      <c r="F6">
        <v>2003</v>
      </c>
      <c r="G6" s="445">
        <f t="shared" si="0"/>
        <v>1.4140742774701416</v>
      </c>
    </row>
    <row r="7" spans="1:11">
      <c r="A7" s="465">
        <v>36647</v>
      </c>
      <c r="B7" s="431">
        <f t="shared" si="1"/>
        <v>2000</v>
      </c>
      <c r="C7" s="1055">
        <v>1.4516526322657901</v>
      </c>
      <c r="F7">
        <v>2004</v>
      </c>
      <c r="G7" s="445">
        <f t="shared" si="0"/>
        <v>1.4001862851214766</v>
      </c>
    </row>
    <row r="8" spans="1:11">
      <c r="A8" s="465">
        <v>36678</v>
      </c>
      <c r="B8" s="431">
        <f t="shared" si="1"/>
        <v>2000</v>
      </c>
      <c r="C8" s="1055">
        <v>1.4502811406514899</v>
      </c>
      <c r="F8">
        <v>2005</v>
      </c>
      <c r="G8" s="445">
        <f t="shared" si="0"/>
        <v>1.3825442094226041</v>
      </c>
    </row>
    <row r="9" spans="1:11">
      <c r="A9" s="465">
        <v>36708</v>
      </c>
      <c r="B9" s="431">
        <f t="shared" si="1"/>
        <v>2000</v>
      </c>
      <c r="C9" s="1055">
        <v>1.44973210666355</v>
      </c>
      <c r="F9">
        <v>2006</v>
      </c>
      <c r="G9" s="445">
        <f t="shared" si="0"/>
        <v>1.3691933935263132</v>
      </c>
    </row>
    <row r="10" spans="1:11">
      <c r="A10" s="465">
        <v>36739</v>
      </c>
      <c r="B10" s="431">
        <f t="shared" si="1"/>
        <v>2000</v>
      </c>
      <c r="C10" s="1055">
        <v>1.44863949884251</v>
      </c>
      <c r="F10">
        <v>2007</v>
      </c>
      <c r="G10" s="445">
        <f t="shared" si="0"/>
        <v>1.3567243341672643</v>
      </c>
    </row>
    <row r="11" spans="1:11">
      <c r="A11" s="465">
        <v>36770</v>
      </c>
      <c r="B11" s="431">
        <f t="shared" si="1"/>
        <v>2000</v>
      </c>
      <c r="C11" s="1055">
        <v>1.4474220388785799</v>
      </c>
      <c r="F11">
        <v>2008</v>
      </c>
      <c r="G11" s="445">
        <f t="shared" si="0"/>
        <v>1.3458119116935789</v>
      </c>
    </row>
    <row r="12" spans="1:11">
      <c r="A12" s="465">
        <v>36800</v>
      </c>
      <c r="B12" s="431">
        <f t="shared" si="1"/>
        <v>2000</v>
      </c>
      <c r="C12" s="1055">
        <v>1.4462457558828701</v>
      </c>
      <c r="F12">
        <v>2009</v>
      </c>
      <c r="G12" s="445">
        <f t="shared" si="0"/>
        <v>1.3355676432082113</v>
      </c>
    </row>
    <row r="13" spans="1:11">
      <c r="A13" s="465">
        <v>36831</v>
      </c>
      <c r="B13" s="431">
        <f t="shared" si="1"/>
        <v>2000</v>
      </c>
      <c r="C13" s="1055">
        <v>1.4451393499534799</v>
      </c>
      <c r="F13">
        <v>2010</v>
      </c>
      <c r="G13" s="445">
        <f t="shared" si="0"/>
        <v>1.3256144653012283</v>
      </c>
    </row>
    <row r="14" spans="1:11">
      <c r="A14" s="465">
        <v>36861</v>
      </c>
      <c r="B14" s="431">
        <f t="shared" si="1"/>
        <v>2000</v>
      </c>
      <c r="C14" s="1055">
        <v>1.4440652889601799</v>
      </c>
      <c r="F14">
        <v>2011</v>
      </c>
      <c r="G14" s="445">
        <f t="shared" si="0"/>
        <v>1.3153109772453393</v>
      </c>
    </row>
    <row r="15" spans="1:11">
      <c r="A15" s="465">
        <v>36892</v>
      </c>
      <c r="B15" s="431">
        <f t="shared" si="1"/>
        <v>2001</v>
      </c>
      <c r="C15" s="1055">
        <v>1.44293783666563</v>
      </c>
      <c r="F15">
        <v>2012</v>
      </c>
      <c r="G15" s="445">
        <f t="shared" si="0"/>
        <v>1.3052784236635901</v>
      </c>
    </row>
    <row r="16" spans="1:11">
      <c r="A16" s="465">
        <v>36923</v>
      </c>
      <c r="B16" s="431">
        <f t="shared" si="1"/>
        <v>2001</v>
      </c>
      <c r="C16" s="1055">
        <v>1.44179861399005</v>
      </c>
      <c r="F16">
        <v>2013</v>
      </c>
      <c r="G16" s="445">
        <f t="shared" si="0"/>
        <v>1.2955998053801068</v>
      </c>
    </row>
    <row r="17" spans="1:7">
      <c r="A17" s="465">
        <v>36951</v>
      </c>
      <c r="B17" s="431">
        <f t="shared" si="1"/>
        <v>2001</v>
      </c>
      <c r="C17" s="1055">
        <v>1.4407630236623801</v>
      </c>
      <c r="F17">
        <v>2014</v>
      </c>
      <c r="G17" s="445">
        <f t="shared" si="0"/>
        <v>1.2862545492810176</v>
      </c>
    </row>
    <row r="18" spans="1:7">
      <c r="A18" s="465">
        <v>36982</v>
      </c>
      <c r="B18" s="431">
        <f t="shared" si="1"/>
        <v>2001</v>
      </c>
      <c r="C18" s="1055">
        <v>1.43961860543668</v>
      </c>
      <c r="F18">
        <v>2015</v>
      </c>
      <c r="G18" s="445">
        <f t="shared" si="0"/>
        <v>1.2774996255124191</v>
      </c>
    </row>
    <row r="19" spans="1:7">
      <c r="A19" s="465">
        <v>37012</v>
      </c>
      <c r="B19" s="431">
        <f t="shared" si="1"/>
        <v>2001</v>
      </c>
      <c r="C19" s="1055">
        <v>1.43854335370451</v>
      </c>
      <c r="F19">
        <v>2016</v>
      </c>
      <c r="G19" s="445">
        <f t="shared" si="0"/>
        <v>1.2699034289925668</v>
      </c>
    </row>
    <row r="20" spans="1:7">
      <c r="A20" s="465">
        <v>37043</v>
      </c>
      <c r="B20" s="431">
        <f t="shared" si="1"/>
        <v>2001</v>
      </c>
      <c r="C20" s="1055">
        <v>1.43743235552266</v>
      </c>
      <c r="F20">
        <v>2017</v>
      </c>
      <c r="G20" s="445">
        <f t="shared" si="0"/>
        <v>1.2628110343846066</v>
      </c>
    </row>
    <row r="21" spans="1:7">
      <c r="A21" s="465">
        <v>37073</v>
      </c>
      <c r="B21" s="431">
        <f t="shared" si="1"/>
        <v>2001</v>
      </c>
      <c r="C21" s="1055">
        <v>1.4363936779086699</v>
      </c>
      <c r="F21">
        <v>2018</v>
      </c>
      <c r="G21" s="445">
        <f t="shared" si="0"/>
        <v>1.256154552542575</v>
      </c>
    </row>
    <row r="22" spans="1:7">
      <c r="A22" s="465">
        <v>37104</v>
      </c>
      <c r="B22" s="431">
        <f t="shared" si="1"/>
        <v>2001</v>
      </c>
      <c r="C22" s="1055">
        <v>1.43539608888184</v>
      </c>
      <c r="F22">
        <v>2019</v>
      </c>
      <c r="G22" s="445">
        <f t="shared" si="0"/>
        <v>1.2499240862579284</v>
      </c>
    </row>
    <row r="23" spans="1:7">
      <c r="A23" s="465">
        <v>37135</v>
      </c>
      <c r="B23" s="431">
        <f t="shared" si="1"/>
        <v>2001</v>
      </c>
      <c r="C23" s="1055">
        <v>1.43441258785536</v>
      </c>
      <c r="F23">
        <v>2020</v>
      </c>
      <c r="G23" s="445">
        <f t="shared" si="0"/>
        <v>1.2422839673732373</v>
      </c>
    </row>
    <row r="24" spans="1:7">
      <c r="A24" s="465">
        <v>37165</v>
      </c>
      <c r="B24" s="431">
        <f t="shared" si="1"/>
        <v>2001</v>
      </c>
      <c r="C24" s="1055">
        <v>1.4335113254844101</v>
      </c>
      <c r="F24">
        <v>2021</v>
      </c>
      <c r="G24" s="445">
        <f t="shared" si="0"/>
        <v>1.2294124508931634</v>
      </c>
    </row>
    <row r="25" spans="1:7">
      <c r="A25" s="465">
        <v>37196</v>
      </c>
      <c r="B25" s="431">
        <f t="shared" si="1"/>
        <v>2001</v>
      </c>
      <c r="C25" s="1055">
        <v>1.43266246931427</v>
      </c>
      <c r="F25">
        <v>2022</v>
      </c>
      <c r="G25" s="445">
        <f t="shared" si="0"/>
        <v>1.2160103912942317</v>
      </c>
    </row>
    <row r="26" spans="1:7">
      <c r="A26" s="465">
        <v>37226</v>
      </c>
      <c r="B26" s="431">
        <f t="shared" si="1"/>
        <v>2001</v>
      </c>
      <c r="C26" s="1055">
        <v>1.4318649252734501</v>
      </c>
      <c r="F26">
        <v>2023</v>
      </c>
      <c r="G26" s="445">
        <f t="shared" si="0"/>
        <v>1.2024187584381785</v>
      </c>
    </row>
    <row r="27" spans="1:7">
      <c r="A27" s="465">
        <v>37257</v>
      </c>
      <c r="B27" s="431">
        <f t="shared" si="1"/>
        <v>2002</v>
      </c>
      <c r="C27" s="1055">
        <v>1.4310865684708201</v>
      </c>
      <c r="F27">
        <v>2024</v>
      </c>
      <c r="G27" s="445">
        <f t="shared" si="0"/>
        <v>1.1886155138367476</v>
      </c>
    </row>
    <row r="28" spans="1:7">
      <c r="A28" s="465">
        <v>37288</v>
      </c>
      <c r="B28" s="431">
        <f t="shared" si="1"/>
        <v>2002</v>
      </c>
      <c r="C28" s="1055">
        <v>1.43036588367405</v>
      </c>
      <c r="F28">
        <v>2025</v>
      </c>
      <c r="G28" s="445">
        <f t="shared" si="0"/>
        <v>1.1746669305546849</v>
      </c>
    </row>
    <row r="29" spans="1:7">
      <c r="A29" s="465">
        <v>37316</v>
      </c>
      <c r="B29" s="431">
        <f t="shared" si="1"/>
        <v>2002</v>
      </c>
      <c r="C29" s="1055">
        <v>1.4297405733562401</v>
      </c>
    </row>
    <row r="30" spans="1:7">
      <c r="A30" s="465">
        <v>37347</v>
      </c>
      <c r="B30" s="431">
        <f t="shared" si="1"/>
        <v>2002</v>
      </c>
      <c r="C30" s="1055">
        <v>1.4291346109185701</v>
      </c>
    </row>
    <row r="31" spans="1:7">
      <c r="A31" s="465">
        <v>37377</v>
      </c>
      <c r="B31" s="431">
        <f t="shared" si="1"/>
        <v>2002</v>
      </c>
      <c r="C31" s="1055">
        <v>1.4281177975516</v>
      </c>
    </row>
    <row r="32" spans="1:7">
      <c r="A32" s="465">
        <v>37408</v>
      </c>
      <c r="B32" s="431">
        <f t="shared" si="1"/>
        <v>2002</v>
      </c>
      <c r="C32" s="1055">
        <v>1.42699723806337</v>
      </c>
    </row>
    <row r="33" spans="1:3">
      <c r="A33" s="465">
        <v>37438</v>
      </c>
      <c r="B33" s="431">
        <f t="shared" si="1"/>
        <v>2002</v>
      </c>
      <c r="C33" s="1055">
        <v>1.4259256062350401</v>
      </c>
    </row>
    <row r="34" spans="1:3">
      <c r="A34" s="465">
        <v>37469</v>
      </c>
      <c r="B34" s="431">
        <f t="shared" si="1"/>
        <v>2002</v>
      </c>
      <c r="C34" s="1055">
        <v>1.42484759188735</v>
      </c>
    </row>
    <row r="35" spans="1:3">
      <c r="A35" s="465">
        <v>37500</v>
      </c>
      <c r="B35" s="431">
        <f t="shared" si="1"/>
        <v>2002</v>
      </c>
      <c r="C35" s="1055">
        <v>1.4237647899783901</v>
      </c>
    </row>
    <row r="36" spans="1:3">
      <c r="A36" s="465">
        <v>37530</v>
      </c>
      <c r="B36" s="431">
        <f t="shared" si="1"/>
        <v>2002</v>
      </c>
      <c r="C36" s="1055">
        <v>1.4227311296518399</v>
      </c>
    </row>
    <row r="37" spans="1:3">
      <c r="A37" s="465">
        <v>37561</v>
      </c>
      <c r="B37" s="431">
        <f t="shared" si="1"/>
        <v>2002</v>
      </c>
      <c r="C37" s="1055">
        <v>1.4216874450006201</v>
      </c>
    </row>
    <row r="38" spans="1:3">
      <c r="A38" s="465">
        <v>37591</v>
      </c>
      <c r="B38" s="431">
        <f t="shared" si="1"/>
        <v>2002</v>
      </c>
      <c r="C38" s="1055">
        <v>1.42067583416208</v>
      </c>
    </row>
    <row r="39" spans="1:3">
      <c r="A39" s="465">
        <v>37622</v>
      </c>
      <c r="B39" s="431">
        <f t="shared" si="1"/>
        <v>2003</v>
      </c>
      <c r="C39" s="1055">
        <v>1.41962115947708</v>
      </c>
    </row>
    <row r="40" spans="1:3">
      <c r="A40" s="465">
        <v>37653</v>
      </c>
      <c r="B40" s="431">
        <f t="shared" si="1"/>
        <v>2003</v>
      </c>
      <c r="C40" s="1055">
        <v>1.4185547224725601</v>
      </c>
    </row>
    <row r="41" spans="1:3">
      <c r="A41" s="465">
        <v>37681</v>
      </c>
      <c r="B41" s="431">
        <f t="shared" si="1"/>
        <v>2003</v>
      </c>
      <c r="C41" s="1055">
        <v>1.4175891808282</v>
      </c>
    </row>
    <row r="42" spans="1:3">
      <c r="A42" s="465">
        <v>37712</v>
      </c>
      <c r="B42" s="431">
        <f t="shared" si="1"/>
        <v>2003</v>
      </c>
      <c r="C42" s="1055">
        <v>1.4165599623596901</v>
      </c>
    </row>
    <row r="43" spans="1:3">
      <c r="A43" s="465">
        <v>37742</v>
      </c>
      <c r="B43" s="431">
        <f t="shared" si="1"/>
        <v>2003</v>
      </c>
      <c r="C43" s="1055">
        <v>1.4155776290547399</v>
      </c>
    </row>
    <row r="44" spans="1:3">
      <c r="A44" s="465">
        <v>37773</v>
      </c>
      <c r="B44" s="431">
        <f t="shared" si="1"/>
        <v>2003</v>
      </c>
      <c r="C44" s="1055">
        <v>1.4145579704979101</v>
      </c>
    </row>
    <row r="45" spans="1:3">
      <c r="A45" s="465">
        <v>37803</v>
      </c>
      <c r="B45" s="431">
        <f t="shared" si="1"/>
        <v>2003</v>
      </c>
      <c r="C45" s="1055">
        <v>1.41357433649335</v>
      </c>
    </row>
    <row r="46" spans="1:3">
      <c r="A46" s="465">
        <v>37834</v>
      </c>
      <c r="B46" s="431">
        <f t="shared" si="1"/>
        <v>2003</v>
      </c>
      <c r="C46" s="1055">
        <v>1.4125626124008901</v>
      </c>
    </row>
    <row r="47" spans="1:3">
      <c r="A47" s="465">
        <v>37865</v>
      </c>
      <c r="B47" s="431">
        <f t="shared" si="1"/>
        <v>2003</v>
      </c>
      <c r="C47" s="1055">
        <v>1.4115514442814601</v>
      </c>
    </row>
    <row r="48" spans="1:3">
      <c r="A48" s="465">
        <v>37895</v>
      </c>
      <c r="B48" s="431">
        <f t="shared" si="1"/>
        <v>2003</v>
      </c>
      <c r="C48" s="1055">
        <v>1.4105753144369799</v>
      </c>
    </row>
    <row r="49" spans="1:3">
      <c r="A49" s="465">
        <v>37926</v>
      </c>
      <c r="B49" s="431">
        <f t="shared" si="1"/>
        <v>2003</v>
      </c>
      <c r="C49" s="1055">
        <v>1.40956971671875</v>
      </c>
    </row>
    <row r="50" spans="1:3">
      <c r="A50" s="465">
        <v>37956</v>
      </c>
      <c r="B50" s="431">
        <f t="shared" si="1"/>
        <v>2003</v>
      </c>
      <c r="C50" s="1055">
        <v>1.4085972806200899</v>
      </c>
    </row>
    <row r="51" spans="1:3">
      <c r="A51" s="465">
        <v>37987</v>
      </c>
      <c r="B51" s="431">
        <f t="shared" si="1"/>
        <v>2004</v>
      </c>
      <c r="C51" s="1055">
        <v>1.4075686015837401</v>
      </c>
    </row>
    <row r="52" spans="1:3">
      <c r="A52" s="465">
        <v>38018</v>
      </c>
      <c r="B52" s="431">
        <f t="shared" si="1"/>
        <v>2004</v>
      </c>
      <c r="C52" s="1055">
        <v>1.40651281544275</v>
      </c>
    </row>
    <row r="53" spans="1:3">
      <c r="A53" s="465">
        <v>38047</v>
      </c>
      <c r="B53" s="431">
        <f t="shared" si="1"/>
        <v>2004</v>
      </c>
      <c r="C53" s="1055">
        <v>1.4055238183243299</v>
      </c>
    </row>
    <row r="54" spans="1:3">
      <c r="A54" s="465">
        <v>38078</v>
      </c>
      <c r="B54" s="431">
        <f t="shared" si="1"/>
        <v>2004</v>
      </c>
      <c r="C54" s="1055">
        <v>1.4042469732017999</v>
      </c>
    </row>
    <row r="55" spans="1:3">
      <c r="A55" s="465">
        <v>38108</v>
      </c>
      <c r="B55" s="431">
        <f t="shared" si="1"/>
        <v>2004</v>
      </c>
      <c r="C55" s="1055">
        <v>1.4027718067593999</v>
      </c>
    </row>
    <row r="56" spans="1:3">
      <c r="A56" s="465">
        <v>38139</v>
      </c>
      <c r="B56" s="431">
        <f t="shared" si="1"/>
        <v>2004</v>
      </c>
      <c r="C56" s="1055">
        <v>1.4012280845882199</v>
      </c>
    </row>
    <row r="57" spans="1:3">
      <c r="A57" s="465">
        <v>38169</v>
      </c>
      <c r="B57" s="431">
        <f t="shared" si="1"/>
        <v>2004</v>
      </c>
      <c r="C57" s="1055">
        <v>1.39971546738061</v>
      </c>
    </row>
    <row r="58" spans="1:3">
      <c r="A58" s="465">
        <v>38200</v>
      </c>
      <c r="B58" s="431">
        <f t="shared" si="1"/>
        <v>2004</v>
      </c>
      <c r="C58" s="1055">
        <v>1.39813318341772</v>
      </c>
    </row>
    <row r="59" spans="1:3">
      <c r="A59" s="465">
        <v>38231</v>
      </c>
      <c r="B59" s="431">
        <f t="shared" si="1"/>
        <v>2004</v>
      </c>
      <c r="C59" s="1055">
        <v>1.3965314091205401</v>
      </c>
    </row>
    <row r="60" spans="1:3">
      <c r="A60" s="465">
        <v>38261</v>
      </c>
      <c r="B60" s="431">
        <f t="shared" si="1"/>
        <v>2004</v>
      </c>
      <c r="C60" s="1055">
        <v>1.39496281625372</v>
      </c>
    </row>
    <row r="61" spans="1:3">
      <c r="A61" s="465">
        <v>38292</v>
      </c>
      <c r="B61" s="431">
        <f t="shared" si="1"/>
        <v>2004</v>
      </c>
      <c r="C61" s="1055">
        <v>1.3933229037038699</v>
      </c>
    </row>
    <row r="62" spans="1:3">
      <c r="A62" s="465">
        <v>38322</v>
      </c>
      <c r="B62" s="431">
        <f t="shared" si="1"/>
        <v>2004</v>
      </c>
      <c r="C62" s="1055">
        <v>1.3917175416810199</v>
      </c>
    </row>
    <row r="63" spans="1:3">
      <c r="A63" s="465">
        <v>38353</v>
      </c>
      <c r="B63" s="431">
        <f t="shared" si="1"/>
        <v>2005</v>
      </c>
      <c r="C63" s="1055">
        <v>1.3900397793041499</v>
      </c>
    </row>
    <row r="64" spans="1:3">
      <c r="A64" s="465">
        <v>38384</v>
      </c>
      <c r="B64" s="431">
        <f t="shared" si="1"/>
        <v>2005</v>
      </c>
      <c r="C64" s="1055">
        <v>1.3883428942165801</v>
      </c>
    </row>
    <row r="65" spans="1:3">
      <c r="A65" s="465">
        <v>38412</v>
      </c>
      <c r="B65" s="431">
        <f t="shared" si="1"/>
        <v>2005</v>
      </c>
      <c r="C65" s="1055">
        <v>1.3867938513079501</v>
      </c>
    </row>
    <row r="66" spans="1:3">
      <c r="A66" s="465">
        <v>38443</v>
      </c>
      <c r="B66" s="431">
        <f t="shared" si="1"/>
        <v>2005</v>
      </c>
      <c r="C66" s="1055">
        <v>1.38506078421694</v>
      </c>
    </row>
    <row r="67" spans="1:3">
      <c r="A67" s="465">
        <v>38473</v>
      </c>
      <c r="B67" s="431">
        <f t="shared" si="1"/>
        <v>2005</v>
      </c>
      <c r="C67" s="1055">
        <v>1.3838833547190701</v>
      </c>
    </row>
    <row r="68" spans="1:3">
      <c r="A68" s="465">
        <v>38504</v>
      </c>
      <c r="B68" s="431">
        <f t="shared" ref="B68:B131" si="2">YEAR(A68)</f>
        <v>2005</v>
      </c>
      <c r="C68" s="1055">
        <v>1.3827692446859201</v>
      </c>
    </row>
    <row r="69" spans="1:3">
      <c r="A69" s="465">
        <v>38534</v>
      </c>
      <c r="B69" s="431">
        <f t="shared" si="2"/>
        <v>2005</v>
      </c>
      <c r="C69" s="1055">
        <v>1.3816921595032801</v>
      </c>
    </row>
    <row r="70" spans="1:3">
      <c r="A70" s="465">
        <v>38565</v>
      </c>
      <c r="B70" s="431">
        <f t="shared" si="2"/>
        <v>2005</v>
      </c>
      <c r="C70" s="1055">
        <v>1.38058029221068</v>
      </c>
    </row>
    <row r="71" spans="1:3">
      <c r="A71" s="465">
        <v>38596</v>
      </c>
      <c r="B71" s="431">
        <f t="shared" si="2"/>
        <v>2005</v>
      </c>
      <c r="C71" s="1055">
        <v>1.37946956271916</v>
      </c>
    </row>
    <row r="72" spans="1:3">
      <c r="A72" s="465">
        <v>38626</v>
      </c>
      <c r="B72" s="431">
        <f t="shared" si="2"/>
        <v>2005</v>
      </c>
      <c r="C72" s="1055">
        <v>1.37839574531224</v>
      </c>
    </row>
    <row r="73" spans="1:3">
      <c r="A73" s="465">
        <v>38657</v>
      </c>
      <c r="B73" s="431">
        <f t="shared" si="2"/>
        <v>2005</v>
      </c>
      <c r="C73" s="1055">
        <v>1.3772872508860099</v>
      </c>
    </row>
    <row r="74" spans="1:3">
      <c r="A74" s="465">
        <v>38687</v>
      </c>
      <c r="B74" s="431">
        <f t="shared" si="2"/>
        <v>2005</v>
      </c>
      <c r="C74" s="1055">
        <v>1.37621559398927</v>
      </c>
    </row>
    <row r="75" spans="1:3">
      <c r="A75" s="465">
        <v>38718</v>
      </c>
      <c r="B75" s="431">
        <f t="shared" si="2"/>
        <v>2006</v>
      </c>
      <c r="C75" s="1055">
        <v>1.3751093295553001</v>
      </c>
    </row>
    <row r="76" spans="1:3">
      <c r="A76" s="465">
        <v>38749</v>
      </c>
      <c r="B76" s="431">
        <f t="shared" si="2"/>
        <v>2006</v>
      </c>
      <c r="C76" s="1055">
        <v>1.3740041964560299</v>
      </c>
    </row>
    <row r="77" spans="1:3">
      <c r="A77" s="465">
        <v>38777</v>
      </c>
      <c r="B77" s="431">
        <f t="shared" si="2"/>
        <v>2006</v>
      </c>
      <c r="C77" s="1055">
        <v>1.3730069830417799</v>
      </c>
    </row>
    <row r="78" spans="1:3">
      <c r="A78" s="465">
        <v>38808</v>
      </c>
      <c r="B78" s="431">
        <f t="shared" si="2"/>
        <v>2006</v>
      </c>
      <c r="C78" s="1055">
        <v>1.3719039995232301</v>
      </c>
    </row>
    <row r="79" spans="1:3">
      <c r="A79" s="465">
        <v>38838</v>
      </c>
      <c r="B79" s="431">
        <f t="shared" si="2"/>
        <v>2006</v>
      </c>
      <c r="C79" s="1055">
        <v>1.37083766970919</v>
      </c>
    </row>
    <row r="80" spans="1:3">
      <c r="A80" s="465">
        <v>38869</v>
      </c>
      <c r="B80" s="431">
        <f t="shared" si="2"/>
        <v>2006</v>
      </c>
      <c r="C80" s="1055">
        <v>1.36973690367967</v>
      </c>
    </row>
    <row r="81" spans="1:3">
      <c r="A81" s="465">
        <v>38899</v>
      </c>
      <c r="B81" s="431">
        <f t="shared" si="2"/>
        <v>2006</v>
      </c>
      <c r="C81" s="1055">
        <v>1.3686727173878199</v>
      </c>
    </row>
    <row r="82" spans="1:3">
      <c r="A82" s="465">
        <v>38930</v>
      </c>
      <c r="B82" s="431">
        <f t="shared" si="2"/>
        <v>2006</v>
      </c>
      <c r="C82" s="1055">
        <v>1.3675741638183101</v>
      </c>
    </row>
    <row r="83" spans="1:3">
      <c r="A83" s="465">
        <v>38961</v>
      </c>
      <c r="B83" s="431">
        <f t="shared" si="2"/>
        <v>2006</v>
      </c>
      <c r="C83" s="1055">
        <v>1.3664767326905001</v>
      </c>
    </row>
    <row r="84" spans="1:3">
      <c r="A84" s="465">
        <v>38991</v>
      </c>
      <c r="B84" s="431">
        <f t="shared" si="2"/>
        <v>2006</v>
      </c>
      <c r="C84" s="1055">
        <v>1.3654157700620699</v>
      </c>
    </row>
    <row r="85" spans="1:3">
      <c r="A85" s="465">
        <v>39022</v>
      </c>
      <c r="B85" s="431">
        <f t="shared" si="2"/>
        <v>2006</v>
      </c>
      <c r="C85" s="1055">
        <v>1.3643205438333299</v>
      </c>
    </row>
    <row r="86" spans="1:3">
      <c r="A86" s="465">
        <v>39052</v>
      </c>
      <c r="B86" s="431">
        <f t="shared" si="2"/>
        <v>2006</v>
      </c>
      <c r="C86" s="1055">
        <v>1.36326171255853</v>
      </c>
    </row>
    <row r="87" spans="1:3">
      <c r="A87" s="465">
        <v>39083</v>
      </c>
      <c r="B87" s="431">
        <f t="shared" si="2"/>
        <v>2007</v>
      </c>
      <c r="C87" s="1055">
        <v>1.36216868623139</v>
      </c>
    </row>
    <row r="88" spans="1:3">
      <c r="A88" s="465">
        <v>39114</v>
      </c>
      <c r="B88" s="431">
        <f t="shared" si="2"/>
        <v>2007</v>
      </c>
      <c r="C88" s="1055">
        <v>1.36107677597584</v>
      </c>
    </row>
    <row r="89" spans="1:3">
      <c r="A89" s="465">
        <v>39142</v>
      </c>
      <c r="B89" s="431">
        <f t="shared" si="2"/>
        <v>2007</v>
      </c>
      <c r="C89" s="1055">
        <v>1.3600914926724801</v>
      </c>
    </row>
    <row r="90" spans="1:3">
      <c r="A90" s="465">
        <v>39173</v>
      </c>
      <c r="B90" s="431">
        <f t="shared" si="2"/>
        <v>2007</v>
      </c>
      <c r="C90" s="1055">
        <v>1.3590017030021999</v>
      </c>
    </row>
    <row r="91" spans="1:3">
      <c r="A91" s="465">
        <v>39203</v>
      </c>
      <c r="B91" s="431">
        <f t="shared" si="2"/>
        <v>2007</v>
      </c>
      <c r="C91" s="1055">
        <v>1.3580416565022999</v>
      </c>
    </row>
    <row r="92" spans="1:3">
      <c r="A92" s="465">
        <v>39234</v>
      </c>
      <c r="B92" s="431">
        <f t="shared" si="2"/>
        <v>2007</v>
      </c>
      <c r="C92" s="1055">
        <v>1.3570947245203799</v>
      </c>
    </row>
    <row r="93" spans="1:3">
      <c r="A93" s="465">
        <v>39264</v>
      </c>
      <c r="B93" s="431">
        <f t="shared" si="2"/>
        <v>2007</v>
      </c>
      <c r="C93" s="1055">
        <v>1.3561823444879899</v>
      </c>
    </row>
    <row r="94" spans="1:3">
      <c r="A94" s="465">
        <v>39295</v>
      </c>
      <c r="B94" s="431">
        <f t="shared" si="2"/>
        <v>2007</v>
      </c>
      <c r="C94" s="1055">
        <v>1.3552436833675201</v>
      </c>
    </row>
    <row r="95" spans="1:3">
      <c r="A95" s="465">
        <v>39326</v>
      </c>
      <c r="B95" s="431">
        <f t="shared" si="2"/>
        <v>2007</v>
      </c>
      <c r="C95" s="1055">
        <v>1.3543092137669701</v>
      </c>
    </row>
    <row r="96" spans="1:3">
      <c r="A96" s="465">
        <v>39356</v>
      </c>
      <c r="B96" s="431">
        <f t="shared" si="2"/>
        <v>2007</v>
      </c>
      <c r="C96" s="1055">
        <v>1.3534088718502799</v>
      </c>
    </row>
    <row r="97" spans="1:3">
      <c r="A97" s="465">
        <v>39387</v>
      </c>
      <c r="B97" s="431">
        <f t="shared" si="2"/>
        <v>2007</v>
      </c>
      <c r="C97" s="1055">
        <v>1.3524826272319299</v>
      </c>
    </row>
    <row r="98" spans="1:3">
      <c r="A98" s="465">
        <v>39417</v>
      </c>
      <c r="B98" s="431">
        <f t="shared" si="2"/>
        <v>2007</v>
      </c>
      <c r="C98" s="1055">
        <v>1.3515902303978899</v>
      </c>
    </row>
    <row r="99" spans="1:3">
      <c r="A99" s="465">
        <v>39448</v>
      </c>
      <c r="B99" s="431">
        <f t="shared" si="2"/>
        <v>2008</v>
      </c>
      <c r="C99" s="1055">
        <v>1.35067218070793</v>
      </c>
    </row>
    <row r="100" spans="1:3">
      <c r="A100" s="465">
        <v>39479</v>
      </c>
      <c r="B100" s="431">
        <f t="shared" si="2"/>
        <v>2008</v>
      </c>
      <c r="C100" s="1055">
        <v>1.34975828422918</v>
      </c>
    </row>
    <row r="101" spans="1:3">
      <c r="A101" s="465">
        <v>39508</v>
      </c>
      <c r="B101" s="431">
        <f t="shared" si="2"/>
        <v>2008</v>
      </c>
      <c r="C101" s="1055">
        <v>1.3489071019683201</v>
      </c>
    </row>
    <row r="102" spans="1:3">
      <c r="A102" s="465">
        <v>39539</v>
      </c>
      <c r="B102" s="431">
        <f t="shared" si="2"/>
        <v>2008</v>
      </c>
      <c r="C102" s="1055">
        <v>1.3480012222672</v>
      </c>
    </row>
    <row r="103" spans="1:3">
      <c r="A103" s="465">
        <v>39569</v>
      </c>
      <c r="B103" s="431">
        <f t="shared" si="2"/>
        <v>2008</v>
      </c>
      <c r="C103" s="1055">
        <v>1.3471284977029301</v>
      </c>
    </row>
    <row r="104" spans="1:3">
      <c r="A104" s="465">
        <v>39600</v>
      </c>
      <c r="B104" s="431">
        <f t="shared" si="2"/>
        <v>2008</v>
      </c>
      <c r="C104" s="1055">
        <v>1.3462307393003301</v>
      </c>
    </row>
    <row r="105" spans="1:3">
      <c r="A105" s="465">
        <v>39630</v>
      </c>
      <c r="B105" s="431">
        <f t="shared" si="2"/>
        <v>2008</v>
      </c>
      <c r="C105" s="1055">
        <v>1.34536585996701</v>
      </c>
    </row>
    <row r="106" spans="1:3">
      <c r="A106" s="465">
        <v>39661</v>
      </c>
      <c r="B106" s="431">
        <f t="shared" si="2"/>
        <v>2008</v>
      </c>
      <c r="C106" s="1055">
        <v>1.3444761938149099</v>
      </c>
    </row>
    <row r="107" spans="1:3">
      <c r="A107" s="465">
        <v>39692</v>
      </c>
      <c r="B107" s="431">
        <f t="shared" si="2"/>
        <v>2008</v>
      </c>
      <c r="C107" s="1055">
        <v>1.34359062907711</v>
      </c>
    </row>
    <row r="108" spans="1:3">
      <c r="A108" s="465">
        <v>39722</v>
      </c>
      <c r="B108" s="431">
        <f t="shared" si="2"/>
        <v>2008</v>
      </c>
      <c r="C108" s="1055">
        <v>1.34273752907428</v>
      </c>
    </row>
    <row r="109" spans="1:3">
      <c r="A109" s="465">
        <v>39753</v>
      </c>
      <c r="B109" s="431">
        <f t="shared" si="2"/>
        <v>2008</v>
      </c>
      <c r="C109" s="1055">
        <v>1.34186001331446</v>
      </c>
    </row>
    <row r="110" spans="1:3">
      <c r="A110" s="465">
        <v>39783</v>
      </c>
      <c r="B110" s="431">
        <f t="shared" si="2"/>
        <v>2008</v>
      </c>
      <c r="C110" s="1055">
        <v>1.34101468889929</v>
      </c>
    </row>
    <row r="111" spans="1:3">
      <c r="A111" s="465">
        <v>39814</v>
      </c>
      <c r="B111" s="431">
        <f t="shared" si="2"/>
        <v>2009</v>
      </c>
      <c r="C111" s="1055">
        <v>1.3401451937800499</v>
      </c>
    </row>
    <row r="112" spans="1:3">
      <c r="A112" s="465">
        <v>39845</v>
      </c>
      <c r="B112" s="431">
        <f t="shared" si="2"/>
        <v>2009</v>
      </c>
      <c r="C112" s="1055">
        <v>1.3392797639542899</v>
      </c>
    </row>
    <row r="113" spans="1:3">
      <c r="A113" s="465">
        <v>39873</v>
      </c>
      <c r="B113" s="431">
        <f t="shared" si="2"/>
        <v>2009</v>
      </c>
      <c r="C113" s="1055">
        <v>1.3385015736110399</v>
      </c>
    </row>
    <row r="114" spans="1:3">
      <c r="A114" s="465">
        <v>39904</v>
      </c>
      <c r="B114" s="431">
        <f t="shared" si="2"/>
        <v>2009</v>
      </c>
      <c r="C114" s="1055">
        <v>1.33764386106961</v>
      </c>
    </row>
    <row r="115" spans="1:3">
      <c r="A115" s="465">
        <v>39934</v>
      </c>
      <c r="B115" s="431">
        <f t="shared" si="2"/>
        <v>2009</v>
      </c>
      <c r="C115" s="1055">
        <v>1.3368176676160399</v>
      </c>
    </row>
    <row r="116" spans="1:3">
      <c r="A116" s="465">
        <v>39965</v>
      </c>
      <c r="B116" s="431">
        <f t="shared" si="2"/>
        <v>2009</v>
      </c>
      <c r="C116" s="1055">
        <v>1.3359679067725201</v>
      </c>
    </row>
    <row r="117" spans="1:3">
      <c r="A117" s="465">
        <v>39995</v>
      </c>
      <c r="B117" s="431">
        <f t="shared" si="2"/>
        <v>2009</v>
      </c>
      <c r="C117" s="1055">
        <v>1.3351493952340701</v>
      </c>
    </row>
    <row r="118" spans="1:3">
      <c r="A118" s="465">
        <v>40026</v>
      </c>
      <c r="B118" s="431">
        <f t="shared" si="2"/>
        <v>2009</v>
      </c>
      <c r="C118" s="1055">
        <v>1.33430755871995</v>
      </c>
    </row>
    <row r="119" spans="1:3">
      <c r="A119" s="465">
        <v>40057</v>
      </c>
      <c r="B119" s="431">
        <f t="shared" si="2"/>
        <v>2009</v>
      </c>
      <c r="C119" s="1055">
        <v>1.3334697389239101</v>
      </c>
    </row>
    <row r="120" spans="1:3">
      <c r="A120" s="465">
        <v>40087</v>
      </c>
      <c r="B120" s="431">
        <f t="shared" si="2"/>
        <v>2009</v>
      </c>
      <c r="C120" s="1055">
        <v>1.3326627634666</v>
      </c>
    </row>
    <row r="121" spans="1:3">
      <c r="A121" s="465">
        <v>40118</v>
      </c>
      <c r="B121" s="431">
        <f t="shared" si="2"/>
        <v>2009</v>
      </c>
      <c r="C121" s="1055">
        <v>1.3318328272433799</v>
      </c>
    </row>
    <row r="122" spans="1:3">
      <c r="A122" s="465">
        <v>40148</v>
      </c>
      <c r="B122" s="431">
        <f t="shared" si="2"/>
        <v>2009</v>
      </c>
      <c r="C122" s="1055">
        <v>1.3310334681070799</v>
      </c>
    </row>
    <row r="123" spans="1:3">
      <c r="A123" s="465">
        <v>40179</v>
      </c>
      <c r="B123" s="431">
        <f t="shared" si="2"/>
        <v>2010</v>
      </c>
      <c r="C123" s="1055">
        <v>1.3302113887763001</v>
      </c>
    </row>
    <row r="124" spans="1:3">
      <c r="A124" s="465">
        <v>40210</v>
      </c>
      <c r="B124" s="431">
        <f t="shared" si="2"/>
        <v>2010</v>
      </c>
      <c r="C124" s="1055">
        <v>1.3293932921549401</v>
      </c>
    </row>
    <row r="125" spans="1:3">
      <c r="A125" s="465">
        <v>40238</v>
      </c>
      <c r="B125" s="431">
        <f t="shared" si="2"/>
        <v>2010</v>
      </c>
      <c r="C125" s="1055">
        <v>1.3286577837537501</v>
      </c>
    </row>
    <row r="126" spans="1:3">
      <c r="A126" s="465">
        <v>40269</v>
      </c>
      <c r="B126" s="431">
        <f t="shared" si="2"/>
        <v>2010</v>
      </c>
      <c r="C126" s="1055">
        <v>1.3278472484124799</v>
      </c>
    </row>
    <row r="127" spans="1:3">
      <c r="A127" s="465">
        <v>40299</v>
      </c>
      <c r="B127" s="431">
        <f t="shared" si="2"/>
        <v>2010</v>
      </c>
      <c r="C127" s="1055">
        <v>1.32699214528549</v>
      </c>
    </row>
    <row r="128" spans="1:3">
      <c r="A128" s="465">
        <v>40330</v>
      </c>
      <c r="B128" s="431">
        <f t="shared" si="2"/>
        <v>2010</v>
      </c>
      <c r="C128" s="1055">
        <v>1.3260957409287499</v>
      </c>
    </row>
    <row r="129" spans="1:3">
      <c r="A129" s="465">
        <v>40360</v>
      </c>
      <c r="B129" s="431">
        <f t="shared" si="2"/>
        <v>2010</v>
      </c>
      <c r="C129" s="1055">
        <v>1.32523064924762</v>
      </c>
    </row>
    <row r="130" spans="1:3">
      <c r="A130" s="465">
        <v>40391</v>
      </c>
      <c r="B130" s="431">
        <f t="shared" si="2"/>
        <v>2010</v>
      </c>
      <c r="C130" s="1055">
        <v>1.3243391932926001</v>
      </c>
    </row>
    <row r="131" spans="1:3">
      <c r="A131" s="465">
        <v>40422</v>
      </c>
      <c r="B131" s="431">
        <f t="shared" si="2"/>
        <v>2010</v>
      </c>
      <c r="C131" s="1055">
        <v>1.3234502457539501</v>
      </c>
    </row>
    <row r="132" spans="1:3">
      <c r="A132" s="465">
        <v>40452</v>
      </c>
      <c r="B132" s="431">
        <f t="shared" ref="B132:B195" si="3">YEAR(A132)</f>
        <v>2010</v>
      </c>
      <c r="C132" s="1055">
        <v>1.32259235827823</v>
      </c>
    </row>
    <row r="133" spans="1:3">
      <c r="A133" s="465">
        <v>40483</v>
      </c>
      <c r="B133" s="431">
        <f t="shared" si="3"/>
        <v>2010</v>
      </c>
      <c r="C133" s="1055">
        <v>1.3217083342360001</v>
      </c>
    </row>
    <row r="134" spans="1:3">
      <c r="A134" s="465">
        <v>40513</v>
      </c>
      <c r="B134" s="431">
        <f t="shared" si="3"/>
        <v>2010</v>
      </c>
      <c r="C134" s="1055">
        <v>1.3208552034946299</v>
      </c>
    </row>
    <row r="135" spans="1:3">
      <c r="A135" s="465">
        <v>40544</v>
      </c>
      <c r="B135" s="431">
        <f t="shared" si="3"/>
        <v>2011</v>
      </c>
      <c r="C135" s="1055">
        <v>1.31997608656645</v>
      </c>
    </row>
    <row r="136" spans="1:3">
      <c r="A136" s="465">
        <v>40575</v>
      </c>
      <c r="B136" s="431">
        <f t="shared" si="3"/>
        <v>2011</v>
      </c>
      <c r="C136" s="1055">
        <v>1.31909945717263</v>
      </c>
    </row>
    <row r="137" spans="1:3">
      <c r="A137" s="465">
        <v>40603</v>
      </c>
      <c r="B137" s="431">
        <f t="shared" si="3"/>
        <v>2011</v>
      </c>
      <c r="C137" s="1055">
        <v>1.3183097974842899</v>
      </c>
    </row>
    <row r="138" spans="1:3">
      <c r="A138" s="465">
        <v>40634</v>
      </c>
      <c r="B138" s="431">
        <f t="shared" si="3"/>
        <v>2011</v>
      </c>
      <c r="C138" s="1055">
        <v>1.31743789086378</v>
      </c>
    </row>
    <row r="139" spans="1:3">
      <c r="A139" s="465">
        <v>40664</v>
      </c>
      <c r="B139" s="431">
        <f t="shared" si="3"/>
        <v>2011</v>
      </c>
      <c r="C139" s="1055">
        <v>1.3165964672216099</v>
      </c>
    </row>
    <row r="140" spans="1:3">
      <c r="A140" s="465">
        <v>40695</v>
      </c>
      <c r="B140" s="431">
        <f t="shared" si="3"/>
        <v>2011</v>
      </c>
      <c r="C140" s="1055">
        <v>1.3157294276076099</v>
      </c>
    </row>
    <row r="141" spans="1:3">
      <c r="A141" s="465">
        <v>40725</v>
      </c>
      <c r="B141" s="431">
        <f t="shared" si="3"/>
        <v>2011</v>
      </c>
      <c r="C141" s="1055">
        <v>1.3148927062058799</v>
      </c>
    </row>
    <row r="142" spans="1:3">
      <c r="A142" s="465">
        <v>40756</v>
      </c>
      <c r="B142" s="431">
        <f t="shared" si="3"/>
        <v>2011</v>
      </c>
      <c r="C142" s="1055">
        <v>1.31403051757469</v>
      </c>
    </row>
    <row r="143" spans="1:3">
      <c r="A143" s="465">
        <v>40787</v>
      </c>
      <c r="B143" s="431">
        <f t="shared" si="3"/>
        <v>2011</v>
      </c>
      <c r="C143" s="1055">
        <v>1.31317078808901</v>
      </c>
    </row>
    <row r="144" spans="1:3">
      <c r="A144" s="465">
        <v>40817</v>
      </c>
      <c r="B144" s="431">
        <f t="shared" si="3"/>
        <v>2011</v>
      </c>
      <c r="C144" s="1055">
        <v>1.3123411293860501</v>
      </c>
    </row>
    <row r="145" spans="1:3">
      <c r="A145" s="465">
        <v>40848</v>
      </c>
      <c r="B145" s="431">
        <f t="shared" si="3"/>
        <v>2011</v>
      </c>
      <c r="C145" s="1055">
        <v>1.31148622690921</v>
      </c>
    </row>
    <row r="146" spans="1:3">
      <c r="A146" s="465">
        <v>40878</v>
      </c>
      <c r="B146" s="431">
        <f t="shared" si="3"/>
        <v>2011</v>
      </c>
      <c r="C146" s="1055">
        <v>1.3106612318628601</v>
      </c>
    </row>
    <row r="147" spans="1:3">
      <c r="A147" s="465">
        <v>40909</v>
      </c>
      <c r="B147" s="431">
        <f t="shared" si="3"/>
        <v>2012</v>
      </c>
      <c r="C147" s="1055">
        <v>1.30981114062628</v>
      </c>
    </row>
    <row r="148" spans="1:3">
      <c r="A148" s="465">
        <v>40940</v>
      </c>
      <c r="B148" s="431">
        <f t="shared" si="3"/>
        <v>2012</v>
      </c>
      <c r="C148" s="1055">
        <v>1.3089634884355701</v>
      </c>
    </row>
    <row r="149" spans="1:3">
      <c r="A149" s="465">
        <v>40969</v>
      </c>
      <c r="B149" s="431">
        <f t="shared" si="3"/>
        <v>2012</v>
      </c>
      <c r="C149" s="1055">
        <v>1.30817272799524</v>
      </c>
    </row>
    <row r="150" spans="1:3">
      <c r="A150" s="465">
        <v>41000</v>
      </c>
      <c r="B150" s="431">
        <f t="shared" si="3"/>
        <v>2012</v>
      </c>
      <c r="C150" s="1055">
        <v>1.30732978509263</v>
      </c>
    </row>
    <row r="151" spans="1:3">
      <c r="A151" s="465">
        <v>41030</v>
      </c>
      <c r="B151" s="431">
        <f t="shared" si="3"/>
        <v>2012</v>
      </c>
      <c r="C151" s="1055">
        <v>1.3065163449969099</v>
      </c>
    </row>
    <row r="152" spans="1:3">
      <c r="A152" s="465">
        <v>41061</v>
      </c>
      <c r="B152" s="431">
        <f t="shared" si="3"/>
        <v>2012</v>
      </c>
      <c r="C152" s="1055">
        <v>1.30567817448017</v>
      </c>
    </row>
    <row r="153" spans="1:3">
      <c r="A153" s="465">
        <v>41091</v>
      </c>
      <c r="B153" s="431">
        <f t="shared" si="3"/>
        <v>2012</v>
      </c>
      <c r="C153" s="1055">
        <v>1.30486934534974</v>
      </c>
    </row>
    <row r="154" spans="1:3">
      <c r="A154" s="465">
        <v>41122</v>
      </c>
      <c r="B154" s="431">
        <f t="shared" si="3"/>
        <v>2012</v>
      </c>
      <c r="C154" s="1055">
        <v>1.30403593180042</v>
      </c>
    </row>
    <row r="155" spans="1:3">
      <c r="A155" s="465">
        <v>41153</v>
      </c>
      <c r="B155" s="431">
        <f t="shared" si="3"/>
        <v>2012</v>
      </c>
      <c r="C155" s="1055">
        <v>1.30320492984935</v>
      </c>
    </row>
    <row r="156" spans="1:3">
      <c r="A156" s="465">
        <v>41183</v>
      </c>
      <c r="B156" s="431">
        <f t="shared" si="3"/>
        <v>2012</v>
      </c>
      <c r="C156" s="1055">
        <v>1.3024030268611599</v>
      </c>
    </row>
    <row r="157" spans="1:3">
      <c r="A157" s="465">
        <v>41214</v>
      </c>
      <c r="B157" s="431">
        <f t="shared" si="3"/>
        <v>2012</v>
      </c>
      <c r="C157" s="1055">
        <v>1.3015767588109599</v>
      </c>
    </row>
    <row r="158" spans="1:3">
      <c r="A158" s="465">
        <v>41244</v>
      </c>
      <c r="B158" s="431">
        <f t="shared" si="3"/>
        <v>2012</v>
      </c>
      <c r="C158" s="1055">
        <v>1.30077942966465</v>
      </c>
    </row>
    <row r="159" spans="1:3">
      <c r="A159" s="465">
        <v>41275</v>
      </c>
      <c r="B159" s="431">
        <f t="shared" si="3"/>
        <v>2013</v>
      </c>
      <c r="C159" s="1055">
        <v>1.29995788034482</v>
      </c>
    </row>
    <row r="160" spans="1:3">
      <c r="A160" s="465">
        <v>41306</v>
      </c>
      <c r="B160" s="431">
        <f t="shared" si="3"/>
        <v>2013</v>
      </c>
      <c r="C160" s="1055">
        <v>1.2991387232859299</v>
      </c>
    </row>
    <row r="161" spans="1:3">
      <c r="A161" s="465">
        <v>41334</v>
      </c>
      <c r="B161" s="431">
        <f t="shared" si="3"/>
        <v>2013</v>
      </c>
      <c r="C161" s="1055">
        <v>1.29840089246263</v>
      </c>
    </row>
    <row r="162" spans="1:3">
      <c r="A162" s="465">
        <v>41365</v>
      </c>
      <c r="B162" s="431">
        <f t="shared" si="3"/>
        <v>2013</v>
      </c>
      <c r="C162" s="1055">
        <v>1.29758627770811</v>
      </c>
    </row>
    <row r="163" spans="1:3">
      <c r="A163" s="465">
        <v>41395</v>
      </c>
      <c r="B163" s="431">
        <f t="shared" si="3"/>
        <v>2013</v>
      </c>
      <c r="C163" s="1055">
        <v>1.29680020794808</v>
      </c>
    </row>
    <row r="164" spans="1:3">
      <c r="A164" s="465">
        <v>41426</v>
      </c>
      <c r="B164" s="431">
        <f t="shared" si="3"/>
        <v>2013</v>
      </c>
      <c r="C164" s="1055">
        <v>1.2959902747915</v>
      </c>
    </row>
    <row r="165" spans="1:3">
      <c r="A165" s="465">
        <v>41456</v>
      </c>
      <c r="B165" s="431">
        <f t="shared" si="3"/>
        <v>2013</v>
      </c>
      <c r="C165" s="1055">
        <v>1.29520872842168</v>
      </c>
    </row>
    <row r="166" spans="1:3">
      <c r="A166" s="465">
        <v>41487</v>
      </c>
      <c r="B166" s="431">
        <f t="shared" si="3"/>
        <v>2013</v>
      </c>
      <c r="C166" s="1055">
        <v>1.2944034620312901</v>
      </c>
    </row>
    <row r="167" spans="1:3">
      <c r="A167" s="465">
        <v>41518</v>
      </c>
      <c r="B167" s="431">
        <f t="shared" si="3"/>
        <v>2013</v>
      </c>
      <c r="C167" s="1055">
        <v>1.2936005616231001</v>
      </c>
    </row>
    <row r="168" spans="1:3">
      <c r="A168" s="465">
        <v>41548</v>
      </c>
      <c r="B168" s="431">
        <f t="shared" si="3"/>
        <v>2013</v>
      </c>
      <c r="C168" s="1055">
        <v>1.29282581038563</v>
      </c>
    </row>
    <row r="169" spans="1:3">
      <c r="A169" s="465">
        <v>41579</v>
      </c>
      <c r="B169" s="431">
        <f t="shared" si="3"/>
        <v>2013</v>
      </c>
      <c r="C169" s="1055">
        <v>1.2920275545567299</v>
      </c>
    </row>
    <row r="170" spans="1:3">
      <c r="A170" s="465">
        <v>41609</v>
      </c>
      <c r="B170" s="431">
        <f t="shared" si="3"/>
        <v>2013</v>
      </c>
      <c r="C170" s="1055">
        <v>1.2912572910017801</v>
      </c>
    </row>
    <row r="171" spans="1:3">
      <c r="A171" s="465">
        <v>41640</v>
      </c>
      <c r="B171" s="431">
        <f t="shared" si="3"/>
        <v>2014</v>
      </c>
      <c r="C171" s="1055">
        <v>1.29046366516151</v>
      </c>
    </row>
    <row r="172" spans="1:3">
      <c r="A172" s="465">
        <v>41671</v>
      </c>
      <c r="B172" s="431">
        <f t="shared" si="3"/>
        <v>2014</v>
      </c>
      <c r="C172" s="1055">
        <v>1.28967238670525</v>
      </c>
    </row>
    <row r="173" spans="1:3">
      <c r="A173" s="465">
        <v>41699</v>
      </c>
      <c r="B173" s="431">
        <f t="shared" si="3"/>
        <v>2014</v>
      </c>
      <c r="C173" s="1055">
        <v>1.2889596981063001</v>
      </c>
    </row>
    <row r="174" spans="1:3">
      <c r="A174" s="465">
        <v>41730</v>
      </c>
      <c r="B174" s="431">
        <f t="shared" si="3"/>
        <v>2014</v>
      </c>
      <c r="C174" s="1055">
        <v>1.2881728769540199</v>
      </c>
    </row>
    <row r="175" spans="1:3">
      <c r="A175" s="465">
        <v>41760</v>
      </c>
      <c r="B175" s="431">
        <f t="shared" si="3"/>
        <v>2014</v>
      </c>
      <c r="C175" s="1055">
        <v>1.28741366190819</v>
      </c>
    </row>
    <row r="176" spans="1:3">
      <c r="A176" s="465">
        <v>41791</v>
      </c>
      <c r="B176" s="431">
        <f t="shared" si="3"/>
        <v>2014</v>
      </c>
      <c r="C176" s="1055">
        <v>1.2866314350358099</v>
      </c>
    </row>
    <row r="177" spans="1:3">
      <c r="A177" s="465">
        <v>41821</v>
      </c>
      <c r="B177" s="431">
        <f t="shared" si="3"/>
        <v>2014</v>
      </c>
      <c r="C177" s="1055">
        <v>1.2858766591552599</v>
      </c>
    </row>
    <row r="178" spans="1:3">
      <c r="A178" s="465">
        <v>41852</v>
      </c>
      <c r="B178" s="431">
        <f t="shared" si="3"/>
        <v>2014</v>
      </c>
      <c r="C178" s="1055">
        <v>1.28509901230155</v>
      </c>
    </row>
    <row r="179" spans="1:3">
      <c r="A179" s="465">
        <v>41883</v>
      </c>
      <c r="B179" s="431">
        <f t="shared" si="3"/>
        <v>2014</v>
      </c>
      <c r="C179" s="1055">
        <v>1.2843236875630499</v>
      </c>
    </row>
    <row r="180" spans="1:3">
      <c r="A180" s="465">
        <v>41913</v>
      </c>
      <c r="B180" s="431">
        <f t="shared" si="3"/>
        <v>2014</v>
      </c>
      <c r="C180" s="1055">
        <v>1.2835755808281</v>
      </c>
    </row>
    <row r="181" spans="1:3">
      <c r="A181" s="465">
        <v>41944</v>
      </c>
      <c r="B181" s="431">
        <f t="shared" si="3"/>
        <v>2014</v>
      </c>
      <c r="C181" s="1055">
        <v>1.28280481477686</v>
      </c>
    </row>
    <row r="182" spans="1:3">
      <c r="A182" s="465">
        <v>41974</v>
      </c>
      <c r="B182" s="431">
        <f t="shared" si="3"/>
        <v>2014</v>
      </c>
      <c r="C182" s="1055">
        <v>1.28206111287631</v>
      </c>
    </row>
    <row r="183" spans="1:3">
      <c r="A183" s="465">
        <v>42005</v>
      </c>
      <c r="B183" s="431">
        <f t="shared" si="3"/>
        <v>2015</v>
      </c>
      <c r="C183" s="1055">
        <v>1.2812948914855999</v>
      </c>
    </row>
    <row r="184" spans="1:3">
      <c r="A184" s="465">
        <v>42036</v>
      </c>
      <c r="B184" s="431">
        <f t="shared" si="3"/>
        <v>2015</v>
      </c>
      <c r="C184" s="1055">
        <v>1.2805309743307201</v>
      </c>
    </row>
    <row r="185" spans="1:3">
      <c r="A185" s="465">
        <v>42064</v>
      </c>
      <c r="B185" s="431">
        <f t="shared" si="3"/>
        <v>2015</v>
      </c>
      <c r="C185" s="1055">
        <v>1.2798429621988301</v>
      </c>
    </row>
    <row r="186" spans="1:3">
      <c r="A186" s="465">
        <v>42095</v>
      </c>
      <c r="B186" s="431">
        <f t="shared" si="3"/>
        <v>2015</v>
      </c>
      <c r="C186" s="1055">
        <v>1.27908342062653</v>
      </c>
    </row>
    <row r="187" spans="1:3">
      <c r="A187" s="465">
        <v>42125</v>
      </c>
      <c r="B187" s="431">
        <f t="shared" si="3"/>
        <v>2015</v>
      </c>
      <c r="C187" s="1055">
        <v>1.2784222804232099</v>
      </c>
    </row>
    <row r="188" spans="1:3">
      <c r="A188" s="465">
        <v>42156</v>
      </c>
      <c r="B188" s="431">
        <f t="shared" si="3"/>
        <v>2015</v>
      </c>
      <c r="C188" s="1055">
        <v>1.27776071532541</v>
      </c>
    </row>
    <row r="189" spans="1:3">
      <c r="A189" s="465">
        <v>42186</v>
      </c>
      <c r="B189" s="431">
        <f t="shared" si="3"/>
        <v>2015</v>
      </c>
      <c r="C189" s="1055">
        <v>1.27712356162318</v>
      </c>
    </row>
    <row r="190" spans="1:3">
      <c r="A190" s="465">
        <v>42217</v>
      </c>
      <c r="B190" s="431">
        <f t="shared" si="3"/>
        <v>2015</v>
      </c>
      <c r="C190" s="1055">
        <v>1.27646833786765</v>
      </c>
    </row>
    <row r="191" spans="1:3">
      <c r="A191" s="465">
        <v>42248</v>
      </c>
      <c r="B191" s="431">
        <f t="shared" si="3"/>
        <v>2015</v>
      </c>
      <c r="C191" s="1055">
        <v>1.27581632987067</v>
      </c>
    </row>
    <row r="192" spans="1:3">
      <c r="A192" s="465">
        <v>42278</v>
      </c>
      <c r="B192" s="431">
        <f t="shared" si="3"/>
        <v>2015</v>
      </c>
      <c r="C192" s="1055">
        <v>1.27518841187618</v>
      </c>
    </row>
    <row r="193" spans="1:3">
      <c r="A193" s="465">
        <v>42309</v>
      </c>
      <c r="B193" s="431">
        <f t="shared" si="3"/>
        <v>2015</v>
      </c>
      <c r="C193" s="1055">
        <v>1.2745427182190101</v>
      </c>
    </row>
    <row r="194" spans="1:3">
      <c r="A194" s="465">
        <v>42339</v>
      </c>
      <c r="B194" s="431">
        <f t="shared" si="3"/>
        <v>2015</v>
      </c>
      <c r="C194" s="1055">
        <v>1.2739209023020399</v>
      </c>
    </row>
    <row r="195" spans="1:3">
      <c r="A195" s="465">
        <v>42370</v>
      </c>
      <c r="B195" s="431">
        <f t="shared" si="3"/>
        <v>2016</v>
      </c>
      <c r="C195" s="1055">
        <v>1.27328150531135</v>
      </c>
    </row>
    <row r="196" spans="1:3">
      <c r="A196" s="465">
        <v>42401</v>
      </c>
      <c r="B196" s="431">
        <f t="shared" ref="B196:B259" si="4">YEAR(A196)</f>
        <v>2016</v>
      </c>
      <c r="C196" s="1055">
        <v>1.27264530155158</v>
      </c>
    </row>
    <row r="197" spans="1:3">
      <c r="A197" s="465">
        <v>42430</v>
      </c>
      <c r="B197" s="431">
        <f t="shared" si="4"/>
        <v>2016</v>
      </c>
      <c r="C197" s="1055">
        <v>1.2720530300692401</v>
      </c>
    </row>
    <row r="198" spans="1:3">
      <c r="A198" s="465">
        <v>42461</v>
      </c>
      <c r="B198" s="431">
        <f t="shared" si="4"/>
        <v>2016</v>
      </c>
      <c r="C198" s="1055">
        <v>1.27142299401321</v>
      </c>
    </row>
    <row r="199" spans="1:3">
      <c r="A199" s="465">
        <v>42491</v>
      </c>
      <c r="B199" s="431">
        <f t="shared" si="4"/>
        <v>2016</v>
      </c>
      <c r="C199" s="1055">
        <v>1.2708163096334699</v>
      </c>
    </row>
    <row r="200" spans="1:3">
      <c r="A200" s="465">
        <v>42522</v>
      </c>
      <c r="B200" s="431">
        <f t="shared" si="4"/>
        <v>2016</v>
      </c>
      <c r="C200" s="1055">
        <v>1.2701925269991601</v>
      </c>
    </row>
    <row r="201" spans="1:3">
      <c r="A201" s="465">
        <v>42552</v>
      </c>
      <c r="B201" s="431">
        <f t="shared" si="4"/>
        <v>2016</v>
      </c>
      <c r="C201" s="1055">
        <v>1.26959188605155</v>
      </c>
    </row>
    <row r="202" spans="1:3">
      <c r="A202" s="465">
        <v>42583</v>
      </c>
      <c r="B202" s="431">
        <f t="shared" si="4"/>
        <v>2016</v>
      </c>
      <c r="C202" s="1055">
        <v>1.2689743398006099</v>
      </c>
    </row>
    <row r="203" spans="1:3">
      <c r="A203" s="465">
        <v>42614</v>
      </c>
      <c r="B203" s="431">
        <f t="shared" si="4"/>
        <v>2016</v>
      </c>
      <c r="C203" s="1055">
        <v>1.26835995638737</v>
      </c>
    </row>
    <row r="204" spans="1:3">
      <c r="A204" s="465">
        <v>42644</v>
      </c>
      <c r="B204" s="431">
        <f t="shared" si="4"/>
        <v>2016</v>
      </c>
      <c r="C204" s="1055">
        <v>1.2677683991578099</v>
      </c>
    </row>
    <row r="205" spans="1:3">
      <c r="A205" s="465">
        <v>42675</v>
      </c>
      <c r="B205" s="431">
        <f t="shared" si="4"/>
        <v>2016</v>
      </c>
      <c r="C205" s="1055">
        <v>1.2671602267711599</v>
      </c>
    </row>
    <row r="206" spans="1:3">
      <c r="A206" s="465">
        <v>42705</v>
      </c>
      <c r="B206" s="431">
        <f t="shared" si="4"/>
        <v>2016</v>
      </c>
      <c r="C206" s="1055">
        <v>1.2665746721642901</v>
      </c>
    </row>
    <row r="207" spans="1:3">
      <c r="A207" s="465">
        <v>42736</v>
      </c>
      <c r="B207" s="431">
        <f t="shared" si="4"/>
        <v>2017</v>
      </c>
      <c r="C207" s="1055">
        <v>1.26597269421613</v>
      </c>
    </row>
    <row r="208" spans="1:3">
      <c r="A208" s="465">
        <v>42767</v>
      </c>
      <c r="B208" s="431">
        <f t="shared" si="4"/>
        <v>2017</v>
      </c>
      <c r="C208" s="1055">
        <v>1.26537385796139</v>
      </c>
    </row>
    <row r="209" spans="1:3">
      <c r="A209" s="465">
        <v>42795</v>
      </c>
      <c r="B209" s="431">
        <f t="shared" si="4"/>
        <v>2017</v>
      </c>
      <c r="C209" s="1055">
        <v>1.26483567044846</v>
      </c>
    </row>
    <row r="210" spans="1:3">
      <c r="A210" s="465">
        <v>42826</v>
      </c>
      <c r="B210" s="431">
        <f t="shared" si="4"/>
        <v>2017</v>
      </c>
      <c r="C210" s="1055">
        <v>1.2642428019206899</v>
      </c>
    </row>
    <row r="211" spans="1:3">
      <c r="A211" s="465">
        <v>42856</v>
      </c>
      <c r="B211" s="431">
        <f t="shared" si="4"/>
        <v>2017</v>
      </c>
      <c r="C211" s="1055">
        <v>1.26367203794771</v>
      </c>
    </row>
    <row r="212" spans="1:3">
      <c r="A212" s="465">
        <v>42887</v>
      </c>
      <c r="B212" s="431">
        <f t="shared" si="4"/>
        <v>2017</v>
      </c>
      <c r="C212" s="1055">
        <v>1.26308532356102</v>
      </c>
    </row>
    <row r="213" spans="1:3">
      <c r="A213" s="465">
        <v>42917</v>
      </c>
      <c r="B213" s="431">
        <f t="shared" si="4"/>
        <v>2017</v>
      </c>
      <c r="C213" s="1055">
        <v>1.2625205074586201</v>
      </c>
    </row>
    <row r="214" spans="1:3">
      <c r="A214" s="465">
        <v>42948</v>
      </c>
      <c r="B214" s="431">
        <f t="shared" si="4"/>
        <v>2017</v>
      </c>
      <c r="C214" s="1055">
        <v>1.26193993124099</v>
      </c>
    </row>
    <row r="215" spans="1:3">
      <c r="A215" s="465">
        <v>42979</v>
      </c>
      <c r="B215" s="431">
        <f t="shared" si="4"/>
        <v>2017</v>
      </c>
      <c r="C215" s="1055">
        <v>1.26136246835609</v>
      </c>
    </row>
    <row r="216" spans="1:3">
      <c r="A216" s="465">
        <v>43009</v>
      </c>
      <c r="B216" s="431">
        <f t="shared" si="4"/>
        <v>2017</v>
      </c>
      <c r="C216" s="1055">
        <v>1.2608065937925099</v>
      </c>
    </row>
    <row r="217" spans="1:3">
      <c r="A217" s="465">
        <v>43040</v>
      </c>
      <c r="B217" s="431">
        <f t="shared" si="4"/>
        <v>2017</v>
      </c>
      <c r="C217" s="1055">
        <v>1.2602352453196799</v>
      </c>
    </row>
    <row r="218" spans="1:3">
      <c r="A218" s="465">
        <v>43070</v>
      </c>
      <c r="B218" s="431">
        <f t="shared" si="4"/>
        <v>2017</v>
      </c>
      <c r="C218" s="1055">
        <v>1.25968528039199</v>
      </c>
    </row>
    <row r="219" spans="1:3">
      <c r="A219" s="465">
        <v>43101</v>
      </c>
      <c r="B219" s="431">
        <f t="shared" si="4"/>
        <v>2018</v>
      </c>
      <c r="C219" s="1055">
        <v>1.2591200307983701</v>
      </c>
    </row>
    <row r="220" spans="1:3">
      <c r="A220" s="465">
        <v>43132</v>
      </c>
      <c r="B220" s="431">
        <f t="shared" si="4"/>
        <v>2018</v>
      </c>
      <c r="C220" s="1055">
        <v>1.25855787473825</v>
      </c>
    </row>
    <row r="221" spans="1:3">
      <c r="A221" s="465">
        <v>43160</v>
      </c>
      <c r="B221" s="431">
        <f t="shared" si="4"/>
        <v>2018</v>
      </c>
      <c r="C221" s="1055">
        <v>1.25805277655453</v>
      </c>
    </row>
    <row r="222" spans="1:3">
      <c r="A222" s="465">
        <v>43191</v>
      </c>
      <c r="B222" s="431">
        <f t="shared" si="4"/>
        <v>2018</v>
      </c>
      <c r="C222" s="1055">
        <v>1.25749649731001</v>
      </c>
    </row>
    <row r="223" spans="1:3">
      <c r="A223" s="465">
        <v>43221</v>
      </c>
      <c r="B223" s="431">
        <f t="shared" si="4"/>
        <v>2018</v>
      </c>
      <c r="C223" s="1055">
        <v>1.25696109721058</v>
      </c>
    </row>
    <row r="224" spans="1:3">
      <c r="A224" s="465">
        <v>43252</v>
      </c>
      <c r="B224" s="431">
        <f t="shared" si="4"/>
        <v>2018</v>
      </c>
      <c r="C224" s="1055">
        <v>1.2564108791414199</v>
      </c>
    </row>
    <row r="225" spans="1:3">
      <c r="A225" s="465">
        <v>43282</v>
      </c>
      <c r="B225" s="431">
        <f t="shared" si="4"/>
        <v>2018</v>
      </c>
      <c r="C225" s="1055">
        <v>1.25588133744969</v>
      </c>
    </row>
    <row r="226" spans="1:3">
      <c r="A226" s="465">
        <v>43313</v>
      </c>
      <c r="B226" s="431">
        <f t="shared" si="4"/>
        <v>2018</v>
      </c>
      <c r="C226" s="1055">
        <v>1.25533716562424</v>
      </c>
    </row>
    <row r="227" spans="1:3">
      <c r="A227" s="465">
        <v>43344</v>
      </c>
      <c r="B227" s="431">
        <f t="shared" si="4"/>
        <v>2018</v>
      </c>
      <c r="C227" s="1055">
        <v>1.25479606081271</v>
      </c>
    </row>
    <row r="228" spans="1:3">
      <c r="A228" s="465">
        <v>43374</v>
      </c>
      <c r="B228" s="431">
        <f t="shared" si="4"/>
        <v>2018</v>
      </c>
      <c r="C228" s="1055">
        <v>1.2542753276313401</v>
      </c>
    </row>
    <row r="229" spans="1:3">
      <c r="A229" s="465">
        <v>43405</v>
      </c>
      <c r="B229" s="431">
        <f t="shared" si="4"/>
        <v>2018</v>
      </c>
      <c r="C229" s="1055">
        <v>1.2537402468677601</v>
      </c>
    </row>
    <row r="230" spans="1:3">
      <c r="A230" s="465">
        <v>43435</v>
      </c>
      <c r="B230" s="431">
        <f t="shared" si="4"/>
        <v>2018</v>
      </c>
      <c r="C230" s="1055">
        <v>1.2532253363720001</v>
      </c>
    </row>
    <row r="231" spans="1:3">
      <c r="A231" s="465">
        <v>43466</v>
      </c>
      <c r="B231" s="431">
        <f t="shared" si="4"/>
        <v>2019</v>
      </c>
      <c r="C231" s="1055">
        <v>1.2526962651535301</v>
      </c>
    </row>
    <row r="232" spans="1:3">
      <c r="A232" s="465">
        <v>43497</v>
      </c>
      <c r="B232" s="431">
        <f t="shared" si="4"/>
        <v>2019</v>
      </c>
      <c r="C232" s="1055">
        <v>1.25217024246266</v>
      </c>
    </row>
    <row r="233" spans="1:3">
      <c r="A233" s="465">
        <v>43525</v>
      </c>
      <c r="B233" s="431">
        <f t="shared" si="4"/>
        <v>2019</v>
      </c>
      <c r="C233" s="1055">
        <v>1.2516977424069999</v>
      </c>
    </row>
    <row r="234" spans="1:3">
      <c r="A234" s="465">
        <v>43556</v>
      </c>
      <c r="B234" s="431">
        <f t="shared" si="4"/>
        <v>2019</v>
      </c>
      <c r="C234" s="1055">
        <v>1.2511775116055699</v>
      </c>
    </row>
    <row r="235" spans="1:3">
      <c r="A235" s="465">
        <v>43586</v>
      </c>
      <c r="B235" s="431">
        <f t="shared" si="4"/>
        <v>2019</v>
      </c>
      <c r="C235" s="1055">
        <v>1.2506769549715899</v>
      </c>
    </row>
    <row r="236" spans="1:3">
      <c r="A236" s="465">
        <v>43617</v>
      </c>
      <c r="B236" s="431">
        <f t="shared" si="4"/>
        <v>2019</v>
      </c>
      <c r="C236" s="1055">
        <v>1.2501626985438199</v>
      </c>
    </row>
    <row r="237" spans="1:3">
      <c r="A237" s="465">
        <v>43647</v>
      </c>
      <c r="B237" s="431">
        <f t="shared" si="4"/>
        <v>2019</v>
      </c>
      <c r="C237" s="1055">
        <v>1.24966791680805</v>
      </c>
    </row>
    <row r="238" spans="1:3">
      <c r="A238" s="465">
        <v>43678</v>
      </c>
      <c r="B238" s="431">
        <f t="shared" si="4"/>
        <v>2019</v>
      </c>
      <c r="C238" s="1055">
        <v>1.2491596208384701</v>
      </c>
    </row>
    <row r="239" spans="1:3">
      <c r="A239" s="465">
        <v>43709</v>
      </c>
      <c r="B239" s="431">
        <f t="shared" si="4"/>
        <v>2019</v>
      </c>
      <c r="C239" s="1055">
        <v>1.2486543486750801</v>
      </c>
    </row>
    <row r="240" spans="1:3">
      <c r="A240" s="465">
        <v>43739</v>
      </c>
      <c r="B240" s="431">
        <f t="shared" si="4"/>
        <v>2019</v>
      </c>
      <c r="C240" s="1055">
        <v>1.24816825135623</v>
      </c>
    </row>
    <row r="241" spans="1:3">
      <c r="A241" s="465">
        <v>43770</v>
      </c>
      <c r="B241" s="431">
        <f t="shared" si="4"/>
        <v>2019</v>
      </c>
      <c r="C241" s="1055">
        <v>1.2476689189805299</v>
      </c>
    </row>
    <row r="242" spans="1:3">
      <c r="A242" s="465">
        <v>43800</v>
      </c>
      <c r="B242" s="431">
        <f t="shared" si="4"/>
        <v>2019</v>
      </c>
      <c r="C242" s="1055">
        <v>1.2471885632926101</v>
      </c>
    </row>
    <row r="243" spans="1:3">
      <c r="A243" s="465">
        <v>43831</v>
      </c>
      <c r="B243" s="431">
        <f t="shared" si="4"/>
        <v>2020</v>
      </c>
      <c r="C243" s="1055">
        <v>1.24669515720832</v>
      </c>
    </row>
    <row r="244" spans="1:3">
      <c r="A244" s="465">
        <v>43862</v>
      </c>
      <c r="B244" s="431">
        <f t="shared" si="4"/>
        <v>2020</v>
      </c>
      <c r="C244" s="1055">
        <v>1.24620475772691</v>
      </c>
    </row>
    <row r="245" spans="1:3">
      <c r="A245" s="465">
        <v>43891</v>
      </c>
      <c r="B245" s="431">
        <f t="shared" si="4"/>
        <v>2020</v>
      </c>
      <c r="C245" s="1055">
        <v>1.2457487157895399</v>
      </c>
    </row>
    <row r="246" spans="1:3">
      <c r="A246" s="465">
        <v>43922</v>
      </c>
      <c r="B246" s="431">
        <f t="shared" si="4"/>
        <v>2020</v>
      </c>
      <c r="C246" s="1055">
        <v>1.24526412584045</v>
      </c>
    </row>
    <row r="247" spans="1:3">
      <c r="A247" s="465">
        <v>43952</v>
      </c>
      <c r="B247" s="431">
        <f t="shared" si="4"/>
        <v>2020</v>
      </c>
      <c r="C247" s="1055">
        <v>1.24429126853314</v>
      </c>
    </row>
    <row r="248" spans="1:3">
      <c r="A248" s="465">
        <v>43983</v>
      </c>
      <c r="B248" s="431">
        <f t="shared" si="4"/>
        <v>2020</v>
      </c>
      <c r="C248" s="1055">
        <v>1.24318012821095</v>
      </c>
    </row>
    <row r="249" spans="1:3">
      <c r="A249" s="465">
        <v>44013</v>
      </c>
      <c r="B249" s="431">
        <f t="shared" si="4"/>
        <v>2020</v>
      </c>
      <c r="C249" s="1055">
        <v>1.24210339506228</v>
      </c>
    </row>
    <row r="250" spans="1:3">
      <c r="A250" s="465">
        <v>44044</v>
      </c>
      <c r="B250" s="431">
        <f t="shared" si="4"/>
        <v>2020</v>
      </c>
      <c r="C250" s="1055">
        <v>1.24098929253132</v>
      </c>
    </row>
    <row r="251" spans="1:3">
      <c r="A251" s="465">
        <v>44075</v>
      </c>
      <c r="B251" s="431">
        <f t="shared" si="4"/>
        <v>2020</v>
      </c>
      <c r="C251" s="1055">
        <v>1.2398736932396699</v>
      </c>
    </row>
    <row r="252" spans="1:3">
      <c r="A252" s="465">
        <v>44105</v>
      </c>
      <c r="B252" s="431">
        <f t="shared" si="4"/>
        <v>2020</v>
      </c>
      <c r="C252" s="1055">
        <v>1.2387926613853699</v>
      </c>
    </row>
    <row r="253" spans="1:3">
      <c r="A253" s="465">
        <v>44136</v>
      </c>
      <c r="B253" s="431">
        <f t="shared" si="4"/>
        <v>2020</v>
      </c>
      <c r="C253" s="1055">
        <v>1.2376741338434301</v>
      </c>
    </row>
    <row r="254" spans="1:3">
      <c r="A254" s="465">
        <v>44166</v>
      </c>
      <c r="B254" s="431">
        <f t="shared" si="4"/>
        <v>2020</v>
      </c>
      <c r="C254" s="1055">
        <v>1.2365902791074701</v>
      </c>
    </row>
    <row r="255" spans="1:3">
      <c r="A255" s="465">
        <v>44197</v>
      </c>
      <c r="B255" s="431">
        <f t="shared" si="4"/>
        <v>2021</v>
      </c>
      <c r="C255" s="1055">
        <v>1.23546884586758</v>
      </c>
    </row>
    <row r="256" spans="1:3">
      <c r="A256" s="465">
        <v>44228</v>
      </c>
      <c r="B256" s="431">
        <f t="shared" si="4"/>
        <v>2021</v>
      </c>
      <c r="C256" s="1055">
        <v>1.2343459446132901</v>
      </c>
    </row>
    <row r="257" spans="1:3">
      <c r="A257" s="465">
        <v>44256</v>
      </c>
      <c r="B257" s="431">
        <f t="shared" si="4"/>
        <v>2021</v>
      </c>
      <c r="C257" s="1055">
        <v>1.2333304542863499</v>
      </c>
    </row>
    <row r="258" spans="1:3">
      <c r="A258" s="465">
        <v>44287</v>
      </c>
      <c r="B258" s="431">
        <f t="shared" si="4"/>
        <v>2021</v>
      </c>
      <c r="C258" s="1055">
        <v>1.23220477519371</v>
      </c>
    </row>
    <row r="259" spans="1:3">
      <c r="A259" s="465">
        <v>44317</v>
      </c>
      <c r="B259" s="431">
        <f t="shared" si="4"/>
        <v>2021</v>
      </c>
      <c r="C259" s="1055">
        <v>1.23111402666452</v>
      </c>
    </row>
    <row r="260" spans="1:3">
      <c r="A260" s="465">
        <v>44348</v>
      </c>
      <c r="B260" s="431">
        <f t="shared" ref="B260:B323" si="5">YEAR(A260)</f>
        <v>2021</v>
      </c>
      <c r="C260" s="1055">
        <v>1.2299854978195801</v>
      </c>
    </row>
    <row r="261" spans="1:3">
      <c r="A261" s="465">
        <v>44378</v>
      </c>
      <c r="B261" s="431">
        <f t="shared" si="5"/>
        <v>2021</v>
      </c>
      <c r="C261" s="1055">
        <v>1.2288920024205601</v>
      </c>
    </row>
    <row r="262" spans="1:3">
      <c r="A262" s="465">
        <v>44409</v>
      </c>
      <c r="B262" s="431">
        <f t="shared" si="5"/>
        <v>2021</v>
      </c>
      <c r="C262" s="1055">
        <v>1.2277606464701301</v>
      </c>
    </row>
    <row r="263" spans="1:3">
      <c r="A263" s="465">
        <v>44440</v>
      </c>
      <c r="B263" s="431">
        <f t="shared" si="5"/>
        <v>2021</v>
      </c>
      <c r="C263" s="1055">
        <v>1.22662786248111</v>
      </c>
    </row>
    <row r="264" spans="1:3">
      <c r="A264" s="465">
        <v>44470</v>
      </c>
      <c r="B264" s="431">
        <f t="shared" si="5"/>
        <v>2021</v>
      </c>
      <c r="C264" s="1055">
        <v>1.2255302657464799</v>
      </c>
    </row>
    <row r="265" spans="1:3">
      <c r="A265" s="465">
        <v>44501</v>
      </c>
      <c r="B265" s="431">
        <f t="shared" si="5"/>
        <v>2021</v>
      </c>
      <c r="C265" s="1055">
        <v>1.2243946888558801</v>
      </c>
    </row>
    <row r="266" spans="1:3">
      <c r="A266" s="465">
        <v>44531</v>
      </c>
      <c r="B266" s="431">
        <f t="shared" si="5"/>
        <v>2021</v>
      </c>
      <c r="C266" s="1055">
        <v>1.22329440029877</v>
      </c>
    </row>
    <row r="267" spans="1:3">
      <c r="A267" s="465">
        <v>44562</v>
      </c>
      <c r="B267" s="431">
        <f t="shared" si="5"/>
        <v>2022</v>
      </c>
      <c r="C267" s="1055">
        <v>1.22215605321603</v>
      </c>
    </row>
    <row r="268" spans="1:3">
      <c r="A268" s="465">
        <v>44593</v>
      </c>
      <c r="B268" s="431">
        <f t="shared" si="5"/>
        <v>2022</v>
      </c>
      <c r="C268" s="1055">
        <v>1.2210163070412801</v>
      </c>
    </row>
    <row r="269" spans="1:3">
      <c r="A269" s="465">
        <v>44621</v>
      </c>
      <c r="B269" s="431">
        <f t="shared" si="5"/>
        <v>2022</v>
      </c>
      <c r="C269" s="1055">
        <v>1.21998566122001</v>
      </c>
    </row>
    <row r="270" spans="1:3">
      <c r="A270" s="465">
        <v>44652</v>
      </c>
      <c r="B270" s="431">
        <f t="shared" si="5"/>
        <v>2022</v>
      </c>
      <c r="C270" s="1055">
        <v>1.21884326848849</v>
      </c>
    </row>
    <row r="271" spans="1:3">
      <c r="A271" s="465">
        <v>44682</v>
      </c>
      <c r="B271" s="431">
        <f t="shared" si="5"/>
        <v>2022</v>
      </c>
      <c r="C271" s="1055">
        <v>1.2177364111987099</v>
      </c>
    </row>
    <row r="272" spans="1:3">
      <c r="A272" s="465">
        <v>44713</v>
      </c>
      <c r="B272" s="431">
        <f t="shared" si="5"/>
        <v>2022</v>
      </c>
      <c r="C272" s="1055">
        <v>1.2165913045902299</v>
      </c>
    </row>
    <row r="273" spans="1:3">
      <c r="A273" s="465">
        <v>44743</v>
      </c>
      <c r="B273" s="431">
        <f t="shared" si="5"/>
        <v>2022</v>
      </c>
      <c r="C273" s="1055">
        <v>1.2154818319919101</v>
      </c>
    </row>
    <row r="274" spans="1:3">
      <c r="A274" s="465">
        <v>44774</v>
      </c>
      <c r="B274" s="431">
        <f t="shared" si="5"/>
        <v>2022</v>
      </c>
      <c r="C274" s="1055">
        <v>1.2143340342947599</v>
      </c>
    </row>
    <row r="275" spans="1:3">
      <c r="A275" s="465">
        <v>44805</v>
      </c>
      <c r="B275" s="431">
        <f t="shared" si="5"/>
        <v>2022</v>
      </c>
      <c r="C275" s="1055">
        <v>1.21318487773512</v>
      </c>
    </row>
    <row r="276" spans="1:3">
      <c r="A276" s="465">
        <v>44835</v>
      </c>
      <c r="B276" s="431">
        <f t="shared" si="5"/>
        <v>2022</v>
      </c>
      <c r="C276" s="1055">
        <v>1.21207150247494</v>
      </c>
    </row>
    <row r="277" spans="1:3">
      <c r="A277" s="465">
        <v>44866</v>
      </c>
      <c r="B277" s="431">
        <f t="shared" si="5"/>
        <v>2022</v>
      </c>
      <c r="C277" s="1055">
        <v>1.2109196892354599</v>
      </c>
    </row>
    <row r="278" spans="1:3">
      <c r="A278" s="465">
        <v>44896</v>
      </c>
      <c r="B278" s="431">
        <f t="shared" si="5"/>
        <v>2022</v>
      </c>
      <c r="C278" s="1055">
        <v>1.20980375404384</v>
      </c>
    </row>
    <row r="279" spans="1:3">
      <c r="A279" s="465">
        <v>44927</v>
      </c>
      <c r="B279" s="431">
        <f t="shared" si="5"/>
        <v>2023</v>
      </c>
      <c r="C279" s="1055">
        <v>1.2086493069641799</v>
      </c>
    </row>
    <row r="280" spans="1:3">
      <c r="A280" s="465">
        <v>44958</v>
      </c>
      <c r="B280" s="431">
        <f t="shared" si="5"/>
        <v>2023</v>
      </c>
      <c r="C280" s="1055">
        <v>1.2074935301345999</v>
      </c>
    </row>
    <row r="281" spans="1:3">
      <c r="A281" s="465">
        <v>44986</v>
      </c>
      <c r="B281" s="431">
        <f t="shared" si="5"/>
        <v>2023</v>
      </c>
      <c r="C281" s="1055">
        <v>1.20644846463976</v>
      </c>
    </row>
    <row r="282" spans="1:3">
      <c r="A282" s="465">
        <v>45017</v>
      </c>
      <c r="B282" s="431">
        <f t="shared" si="5"/>
        <v>2023</v>
      </c>
      <c r="C282" s="1055">
        <v>1.2052901733147201</v>
      </c>
    </row>
    <row r="283" spans="1:3">
      <c r="A283" s="465">
        <v>45047</v>
      </c>
      <c r="B283" s="431">
        <f t="shared" si="5"/>
        <v>2023</v>
      </c>
      <c r="C283" s="1055">
        <v>1.2041679963985099</v>
      </c>
    </row>
    <row r="284" spans="1:3">
      <c r="A284" s="465">
        <v>45078</v>
      </c>
      <c r="B284" s="431">
        <f t="shared" si="5"/>
        <v>2023</v>
      </c>
      <c r="C284" s="1055">
        <v>1.2030071278516099</v>
      </c>
    </row>
    <row r="285" spans="1:3">
      <c r="A285" s="465">
        <v>45108</v>
      </c>
      <c r="B285" s="431">
        <f t="shared" si="5"/>
        <v>2023</v>
      </c>
      <c r="C285" s="1055">
        <v>1.20188246792975</v>
      </c>
    </row>
    <row r="286" spans="1:3">
      <c r="A286" s="465">
        <v>45139</v>
      </c>
      <c r="B286" s="431">
        <f t="shared" si="5"/>
        <v>2023</v>
      </c>
      <c r="C286" s="1055">
        <v>1.200719045064</v>
      </c>
    </row>
    <row r="287" spans="1:3">
      <c r="A287" s="465">
        <v>45170</v>
      </c>
      <c r="B287" s="431">
        <f t="shared" si="5"/>
        <v>2023</v>
      </c>
      <c r="C287" s="1055">
        <v>1.19955433288425</v>
      </c>
    </row>
    <row r="288" spans="1:3">
      <c r="A288" s="465">
        <v>45200</v>
      </c>
      <c r="B288" s="431">
        <f t="shared" si="5"/>
        <v>2023</v>
      </c>
      <c r="C288" s="1055">
        <v>1.19842597004381</v>
      </c>
    </row>
    <row r="289" spans="1:3">
      <c r="A289" s="465">
        <v>45231</v>
      </c>
      <c r="B289" s="431">
        <f t="shared" si="5"/>
        <v>2023</v>
      </c>
      <c r="C289" s="1055">
        <v>1.19725873811854</v>
      </c>
    </row>
    <row r="290" spans="1:3">
      <c r="A290" s="465">
        <v>45261</v>
      </c>
      <c r="B290" s="431">
        <f t="shared" si="5"/>
        <v>2023</v>
      </c>
      <c r="C290" s="1055">
        <v>1.19612794791441</v>
      </c>
    </row>
    <row r="291" spans="1:3">
      <c r="A291" s="465">
        <v>45292</v>
      </c>
      <c r="B291" s="431">
        <f t="shared" si="5"/>
        <v>2024</v>
      </c>
      <c r="C291" s="1055">
        <v>1.19495821918679</v>
      </c>
    </row>
    <row r="292" spans="1:3">
      <c r="A292" s="465">
        <v>45323</v>
      </c>
      <c r="B292" s="431">
        <f t="shared" si="5"/>
        <v>2024</v>
      </c>
      <c r="C292" s="1055">
        <v>1.19378723038965</v>
      </c>
    </row>
    <row r="293" spans="1:3">
      <c r="A293" s="465">
        <v>45352</v>
      </c>
      <c r="B293" s="431">
        <f t="shared" si="5"/>
        <v>2024</v>
      </c>
      <c r="C293" s="1055">
        <v>1.19269065376105</v>
      </c>
    </row>
    <row r="294" spans="1:3">
      <c r="A294" s="465">
        <v>45383</v>
      </c>
      <c r="B294" s="431">
        <f t="shared" si="5"/>
        <v>2024</v>
      </c>
      <c r="C294" s="1055">
        <v>1.1915172429701499</v>
      </c>
    </row>
    <row r="295" spans="1:3">
      <c r="A295" s="465">
        <v>45413</v>
      </c>
      <c r="B295" s="431">
        <f t="shared" si="5"/>
        <v>2024</v>
      </c>
      <c r="C295" s="1055">
        <v>1.19038050090745</v>
      </c>
    </row>
    <row r="296" spans="1:3">
      <c r="A296" s="465">
        <v>45444</v>
      </c>
      <c r="B296" s="431">
        <f t="shared" si="5"/>
        <v>2024</v>
      </c>
      <c r="C296" s="1055">
        <v>1.1892046505463501</v>
      </c>
    </row>
    <row r="297" spans="1:3">
      <c r="A297" s="465">
        <v>45474</v>
      </c>
      <c r="B297" s="431">
        <f t="shared" si="5"/>
        <v>2024</v>
      </c>
      <c r="C297" s="1055">
        <v>1.1880655587325399</v>
      </c>
    </row>
    <row r="298" spans="1:3">
      <c r="A298" s="465">
        <v>45505</v>
      </c>
      <c r="B298" s="431">
        <f t="shared" si="5"/>
        <v>2024</v>
      </c>
      <c r="C298" s="1055">
        <v>1.18688729179251</v>
      </c>
    </row>
    <row r="299" spans="1:3">
      <c r="A299" s="465">
        <v>45536</v>
      </c>
      <c r="B299" s="431">
        <f t="shared" si="5"/>
        <v>2024</v>
      </c>
      <c r="C299" s="1055">
        <v>1.18570780556986</v>
      </c>
    </row>
    <row r="300" spans="1:3">
      <c r="A300" s="465">
        <v>45566</v>
      </c>
      <c r="B300" s="431">
        <f t="shared" si="5"/>
        <v>2024</v>
      </c>
      <c r="C300" s="1055">
        <v>1.18456521196755</v>
      </c>
    </row>
    <row r="301" spans="1:3">
      <c r="A301" s="465">
        <v>45597</v>
      </c>
      <c r="B301" s="431">
        <f t="shared" si="5"/>
        <v>2024</v>
      </c>
      <c r="C301" s="1055">
        <v>1.18338334386396</v>
      </c>
    </row>
    <row r="302" spans="1:3">
      <c r="A302" s="465">
        <v>45627</v>
      </c>
      <c r="B302" s="431">
        <f t="shared" si="5"/>
        <v>2024</v>
      </c>
      <c r="C302" s="1055">
        <v>1.1822384563531101</v>
      </c>
    </row>
    <row r="303" spans="1:3">
      <c r="A303" s="465">
        <v>45658</v>
      </c>
      <c r="B303" s="431">
        <f t="shared" si="5"/>
        <v>2025</v>
      </c>
      <c r="C303" s="1055">
        <v>1.18105422938883</v>
      </c>
    </row>
    <row r="304" spans="1:3">
      <c r="A304" s="465">
        <v>45689</v>
      </c>
      <c r="B304" s="431">
        <f t="shared" si="5"/>
        <v>2025</v>
      </c>
      <c r="C304" s="1055">
        <v>1.1798688124846199</v>
      </c>
    </row>
    <row r="305" spans="1:3">
      <c r="A305" s="465">
        <v>45717</v>
      </c>
      <c r="B305" s="431">
        <f t="shared" si="5"/>
        <v>2025</v>
      </c>
      <c r="C305" s="1055">
        <v>1.1787970955151099</v>
      </c>
    </row>
    <row r="306" spans="1:3">
      <c r="A306" s="465">
        <v>45748</v>
      </c>
      <c r="B306" s="431">
        <f t="shared" si="5"/>
        <v>2025</v>
      </c>
      <c r="C306" s="1055">
        <v>1.17760943032381</v>
      </c>
    </row>
    <row r="307" spans="1:3">
      <c r="A307" s="465">
        <v>45778</v>
      </c>
      <c r="B307" s="431">
        <f t="shared" si="5"/>
        <v>2025</v>
      </c>
      <c r="C307" s="1055">
        <v>1.1764589603190501</v>
      </c>
    </row>
    <row r="308" spans="1:3">
      <c r="A308" s="465">
        <v>45809</v>
      </c>
      <c r="B308" s="431">
        <f t="shared" si="5"/>
        <v>2025</v>
      </c>
      <c r="C308" s="1055">
        <v>1.17526899329414</v>
      </c>
    </row>
    <row r="309" spans="1:3">
      <c r="A309" s="465">
        <v>45839</v>
      </c>
      <c r="B309" s="431">
        <f t="shared" si="5"/>
        <v>2025</v>
      </c>
      <c r="C309" s="1055">
        <v>1.17411630686202</v>
      </c>
    </row>
    <row r="310" spans="1:3">
      <c r="A310" s="465">
        <v>45870</v>
      </c>
      <c r="B310" s="431">
        <f t="shared" si="5"/>
        <v>2025</v>
      </c>
      <c r="C310" s="1055">
        <v>1.1729240610562199</v>
      </c>
    </row>
    <row r="311" spans="1:3">
      <c r="A311" s="465">
        <v>45901</v>
      </c>
      <c r="B311" s="431">
        <f t="shared" si="5"/>
        <v>2025</v>
      </c>
      <c r="C311" s="1055">
        <v>1.1717306660184801</v>
      </c>
    </row>
    <row r="312" spans="1:3">
      <c r="A312" s="465">
        <v>45931</v>
      </c>
      <c r="B312" s="431">
        <f t="shared" si="5"/>
        <v>2025</v>
      </c>
      <c r="C312" s="1055">
        <v>1.1705746789834599</v>
      </c>
    </row>
    <row r="313" spans="1:3">
      <c r="A313" s="465">
        <v>45962</v>
      </c>
      <c r="B313" s="431">
        <f t="shared" si="5"/>
        <v>2025</v>
      </c>
      <c r="C313" s="1055">
        <v>1.1693790399472299</v>
      </c>
    </row>
    <row r="314" spans="1:3">
      <c r="A314" s="465">
        <v>45992</v>
      </c>
      <c r="B314" s="431">
        <f t="shared" si="5"/>
        <v>2025</v>
      </c>
      <c r="C314" s="1055">
        <v>1.16822089246325</v>
      </c>
    </row>
    <row r="315" spans="1:3">
      <c r="A315" s="465">
        <v>46023</v>
      </c>
      <c r="B315" s="431">
        <f t="shared" si="5"/>
        <v>2026</v>
      </c>
      <c r="C315" s="1055">
        <v>1.1670230324992099</v>
      </c>
    </row>
    <row r="316" spans="1:3">
      <c r="A316" s="465">
        <v>46054</v>
      </c>
      <c r="B316" s="431">
        <f t="shared" si="5"/>
        <v>2026</v>
      </c>
      <c r="C316" s="1055">
        <v>1.1658240527102399</v>
      </c>
    </row>
    <row r="317" spans="1:3">
      <c r="A317" s="465">
        <v>46082</v>
      </c>
      <c r="B317" s="431">
        <f t="shared" si="5"/>
        <v>2026</v>
      </c>
      <c r="C317" s="1055">
        <v>1.16474014566794</v>
      </c>
    </row>
    <row r="318" spans="1:3">
      <c r="A318" s="465">
        <v>46113</v>
      </c>
      <c r="B318" s="431">
        <f t="shared" si="5"/>
        <v>2026</v>
      </c>
      <c r="C318" s="1055">
        <v>1.1635390510672901</v>
      </c>
    </row>
    <row r="319" spans="1:3">
      <c r="A319" s="465">
        <v>46143</v>
      </c>
      <c r="B319" s="431">
        <f t="shared" si="5"/>
        <v>2026</v>
      </c>
      <c r="C319" s="1055">
        <v>1.1623756516483801</v>
      </c>
    </row>
    <row r="320" spans="1:3">
      <c r="A320" s="465">
        <v>46174</v>
      </c>
      <c r="B320" s="431">
        <f t="shared" si="5"/>
        <v>2026</v>
      </c>
      <c r="C320" s="1055">
        <v>1.161172393253</v>
      </c>
    </row>
    <row r="321" spans="1:3">
      <c r="A321" s="465">
        <v>46204</v>
      </c>
      <c r="B321" s="431">
        <f t="shared" si="5"/>
        <v>2026</v>
      </c>
      <c r="C321" s="1055">
        <v>1.1600069110103399</v>
      </c>
    </row>
    <row r="322" spans="1:3">
      <c r="A322" s="465">
        <v>46235</v>
      </c>
      <c r="B322" s="431">
        <f t="shared" si="5"/>
        <v>2026</v>
      </c>
      <c r="C322" s="1055">
        <v>1.15880151190821</v>
      </c>
    </row>
    <row r="323" spans="1:3">
      <c r="A323" s="465">
        <v>46266</v>
      </c>
      <c r="B323" s="431">
        <f t="shared" si="5"/>
        <v>2026</v>
      </c>
      <c r="C323" s="1055">
        <v>1.1575950337550001</v>
      </c>
    </row>
    <row r="324" spans="1:3">
      <c r="A324" s="465">
        <v>46296</v>
      </c>
      <c r="B324" s="431">
        <f t="shared" ref="B324:B362" si="6">YEAR(A324)</f>
        <v>2026</v>
      </c>
      <c r="C324" s="1055">
        <v>1.15642645246906</v>
      </c>
    </row>
    <row r="325" spans="1:3">
      <c r="A325" s="465">
        <v>46327</v>
      </c>
      <c r="B325" s="431">
        <f t="shared" si="6"/>
        <v>2026</v>
      </c>
      <c r="C325" s="1055">
        <v>1.1552178684363501</v>
      </c>
    </row>
    <row r="326" spans="1:3">
      <c r="A326" s="465">
        <v>46357</v>
      </c>
      <c r="B326" s="431">
        <f t="shared" si="6"/>
        <v>2026</v>
      </c>
      <c r="C326" s="1055">
        <v>1.15404726037725</v>
      </c>
    </row>
    <row r="327" spans="1:3">
      <c r="A327" s="465">
        <v>46388</v>
      </c>
      <c r="B327" s="431">
        <f t="shared" si="6"/>
        <v>2027</v>
      </c>
      <c r="C327" s="1055">
        <v>1.15283659355999</v>
      </c>
    </row>
    <row r="328" spans="1:3">
      <c r="A328" s="465">
        <v>46419</v>
      </c>
      <c r="B328" s="431">
        <f t="shared" si="6"/>
        <v>2027</v>
      </c>
      <c r="C328" s="1055">
        <v>1.15162487712966</v>
      </c>
    </row>
    <row r="329" spans="1:3">
      <c r="A329" s="465">
        <v>46447</v>
      </c>
      <c r="B329" s="431">
        <f t="shared" si="6"/>
        <v>2027</v>
      </c>
      <c r="C329" s="1055">
        <v>1.15052952637661</v>
      </c>
    </row>
    <row r="330" spans="1:3">
      <c r="A330" s="465">
        <v>46478</v>
      </c>
      <c r="B330" s="431">
        <f t="shared" si="6"/>
        <v>2027</v>
      </c>
      <c r="C330" s="1055">
        <v>1.1493158287758101</v>
      </c>
    </row>
    <row r="331" spans="1:3">
      <c r="A331" s="465">
        <v>46508</v>
      </c>
      <c r="B331" s="431">
        <f t="shared" si="6"/>
        <v>2027</v>
      </c>
      <c r="C331" s="1055">
        <v>1.14814029976731</v>
      </c>
    </row>
    <row r="332" spans="1:3">
      <c r="A332" s="465">
        <v>46539</v>
      </c>
      <c r="B332" s="431">
        <f t="shared" si="6"/>
        <v>2027</v>
      </c>
      <c r="C332" s="1055">
        <v>1.1469245765564799</v>
      </c>
    </row>
    <row r="333" spans="1:3">
      <c r="A333" s="465">
        <v>46569</v>
      </c>
      <c r="B333" s="431">
        <f t="shared" si="6"/>
        <v>2027</v>
      </c>
      <c r="C333" s="1055">
        <v>1.14574709845633</v>
      </c>
    </row>
    <row r="334" spans="1:3">
      <c r="A334" s="465">
        <v>46600</v>
      </c>
      <c r="B334" s="431">
        <f t="shared" si="6"/>
        <v>2027</v>
      </c>
      <c r="C334" s="1055">
        <v>1.14452937273265</v>
      </c>
    </row>
    <row r="335" spans="1:3">
      <c r="A335" s="465">
        <v>46631</v>
      </c>
      <c r="B335" s="431">
        <f t="shared" si="6"/>
        <v>2027</v>
      </c>
      <c r="C335" s="1055">
        <v>1.14331063818972</v>
      </c>
    </row>
    <row r="336" spans="1:3">
      <c r="A336" s="465">
        <v>46661</v>
      </c>
      <c r="B336" s="431">
        <f t="shared" si="6"/>
        <v>2027</v>
      </c>
      <c r="C336" s="1055">
        <v>1.1421302627522101</v>
      </c>
    </row>
    <row r="337" spans="1:3">
      <c r="A337" s="465">
        <v>46692</v>
      </c>
      <c r="B337" s="431">
        <f t="shared" si="6"/>
        <v>2027</v>
      </c>
      <c r="C337" s="1055">
        <v>1.1409095605294099</v>
      </c>
    </row>
    <row r="338" spans="1:3">
      <c r="A338" s="465">
        <v>46722</v>
      </c>
      <c r="B338" s="431">
        <f t="shared" si="6"/>
        <v>2027</v>
      </c>
      <c r="C338" s="1055">
        <v>1.1397272920600801</v>
      </c>
    </row>
    <row r="339" spans="1:3">
      <c r="A339" s="465">
        <v>46753</v>
      </c>
      <c r="B339" s="431">
        <f t="shared" si="6"/>
        <v>2028</v>
      </c>
      <c r="C339" s="1055">
        <v>1.1385046452507701</v>
      </c>
    </row>
    <row r="340" spans="1:3">
      <c r="A340" s="465">
        <v>46784</v>
      </c>
      <c r="B340" s="431">
        <f t="shared" si="6"/>
        <v>2028</v>
      </c>
      <c r="C340" s="1055">
        <v>1.1372810190582101</v>
      </c>
    </row>
    <row r="341" spans="1:3">
      <c r="A341" s="465">
        <v>46813</v>
      </c>
      <c r="B341" s="431">
        <f t="shared" si="6"/>
        <v>2028</v>
      </c>
      <c r="C341" s="1055">
        <v>1.1361354551307701</v>
      </c>
    </row>
    <row r="342" spans="1:3">
      <c r="A342" s="465">
        <v>46844</v>
      </c>
      <c r="B342" s="431">
        <f t="shared" si="6"/>
        <v>2028</v>
      </c>
      <c r="C342" s="1055">
        <v>1.1349099502970199</v>
      </c>
    </row>
    <row r="343" spans="1:3">
      <c r="A343" s="465">
        <v>46874</v>
      </c>
      <c r="B343" s="431">
        <f t="shared" si="6"/>
        <v>2028</v>
      </c>
      <c r="C343" s="1055">
        <v>1.13372306197811</v>
      </c>
    </row>
    <row r="344" spans="1:3">
      <c r="A344" s="465">
        <v>46905</v>
      </c>
      <c r="B344" s="431">
        <f t="shared" si="6"/>
        <v>2028</v>
      </c>
      <c r="C344" s="1055">
        <v>1.1324956700883699</v>
      </c>
    </row>
    <row r="345" spans="1:3">
      <c r="A345" s="465">
        <v>46935</v>
      </c>
      <c r="B345" s="431">
        <f t="shared" si="6"/>
        <v>2028</v>
      </c>
      <c r="C345" s="1055">
        <v>1.1313069667549001</v>
      </c>
    </row>
    <row r="346" spans="1:3">
      <c r="A346" s="465">
        <v>46966</v>
      </c>
      <c r="B346" s="431">
        <f t="shared" si="6"/>
        <v>2028</v>
      </c>
      <c r="C346" s="1055">
        <v>1.1300777108897699</v>
      </c>
    </row>
    <row r="347" spans="1:3">
      <c r="A347" s="465">
        <v>46997</v>
      </c>
      <c r="B347" s="431">
        <f t="shared" si="6"/>
        <v>2028</v>
      </c>
      <c r="C347" s="1055">
        <v>1.12884751660201</v>
      </c>
    </row>
    <row r="348" spans="1:3">
      <c r="A348" s="465">
        <v>47027</v>
      </c>
      <c r="B348" s="431">
        <f t="shared" si="6"/>
        <v>2028</v>
      </c>
      <c r="C348" s="1055">
        <v>1.1276561181101501</v>
      </c>
    </row>
    <row r="349" spans="1:3">
      <c r="A349" s="465">
        <v>47058</v>
      </c>
      <c r="B349" s="431">
        <f t="shared" si="6"/>
        <v>2028</v>
      </c>
      <c r="C349" s="1055">
        <v>1.1264240946469499</v>
      </c>
    </row>
    <row r="350" spans="1:3">
      <c r="A350" s="465">
        <v>47088</v>
      </c>
      <c r="B350" s="431">
        <f t="shared" si="6"/>
        <v>2028</v>
      </c>
      <c r="C350" s="1055">
        <v>1.1252309371471101</v>
      </c>
    </row>
    <row r="351" spans="1:3">
      <c r="A351" s="465">
        <v>47119</v>
      </c>
      <c r="B351" s="431">
        <f t="shared" si="6"/>
        <v>2029</v>
      </c>
      <c r="C351" s="1055">
        <v>1.1239971075745301</v>
      </c>
    </row>
    <row r="352" spans="1:3">
      <c r="A352" s="465">
        <v>47150</v>
      </c>
      <c r="B352" s="431">
        <f t="shared" si="6"/>
        <v>2029</v>
      </c>
      <c r="C352" s="1055">
        <v>1.1227623689805</v>
      </c>
    </row>
    <row r="353" spans="1:3">
      <c r="A353" s="465">
        <v>47178</v>
      </c>
      <c r="B353" s="431">
        <f t="shared" si="6"/>
        <v>2029</v>
      </c>
      <c r="C353" s="1055">
        <v>1.1216463448476299</v>
      </c>
    </row>
    <row r="354" spans="1:3">
      <c r="A354" s="465">
        <v>47209</v>
      </c>
      <c r="B354" s="431">
        <f t="shared" si="6"/>
        <v>2029</v>
      </c>
      <c r="C354" s="1055">
        <v>1.1204098926299899</v>
      </c>
    </row>
    <row r="355" spans="1:3">
      <c r="A355" s="465">
        <v>47239</v>
      </c>
      <c r="B355" s="431">
        <f t="shared" si="6"/>
        <v>2029</v>
      </c>
      <c r="C355" s="1055">
        <v>1.11921247685392</v>
      </c>
    </row>
    <row r="356" spans="1:3">
      <c r="A356" s="465">
        <v>47270</v>
      </c>
      <c r="B356" s="431">
        <f t="shared" si="6"/>
        <v>2029</v>
      </c>
      <c r="C356" s="1055">
        <v>1.11797427559327</v>
      </c>
    </row>
    <row r="357" spans="1:3">
      <c r="A357" s="465">
        <v>47300</v>
      </c>
      <c r="B357" s="431">
        <f t="shared" si="6"/>
        <v>2029</v>
      </c>
      <c r="C357" s="1055">
        <v>1.1167751783438</v>
      </c>
    </row>
    <row r="358" spans="1:3">
      <c r="A358" s="465">
        <v>47331</v>
      </c>
      <c r="B358" s="431">
        <f t="shared" si="6"/>
        <v>2029</v>
      </c>
      <c r="C358" s="1055">
        <v>1.1155352510788199</v>
      </c>
    </row>
    <row r="359" spans="1:3">
      <c r="A359" s="465">
        <v>47362</v>
      </c>
      <c r="B359" s="431">
        <f t="shared" si="6"/>
        <v>2029</v>
      </c>
      <c r="C359" s="1055">
        <v>1.1142944554902201</v>
      </c>
    </row>
    <row r="360" spans="1:3">
      <c r="A360" s="465">
        <v>47392</v>
      </c>
      <c r="B360" s="431">
        <f t="shared" si="6"/>
        <v>2029</v>
      </c>
      <c r="C360" s="1055">
        <v>1.1130928644068401</v>
      </c>
    </row>
    <row r="361" spans="1:3">
      <c r="A361" s="465">
        <v>47423</v>
      </c>
      <c r="B361" s="431">
        <f t="shared" si="6"/>
        <v>2029</v>
      </c>
      <c r="C361" s="1055">
        <v>1.11185037754269</v>
      </c>
    </row>
    <row r="362" spans="1:3">
      <c r="A362" s="465">
        <v>47453</v>
      </c>
      <c r="B362" s="431">
        <f t="shared" si="6"/>
        <v>2029</v>
      </c>
      <c r="C362" s="1055">
        <v>1.11064716087798</v>
      </c>
    </row>
    <row r="363" spans="1:3">
      <c r="C363" s="1055">
        <v>1.1094030057519</v>
      </c>
    </row>
    <row r="364" spans="1:3">
      <c r="C364" s="1055">
        <v>1.1081580116365599</v>
      </c>
    </row>
    <row r="365" spans="1:3">
      <c r="C365" s="587">
        <v>1.10703278463375</v>
      </c>
    </row>
    <row r="366" spans="1:3">
      <c r="C366">
        <v>1.1057862101395199</v>
      </c>
    </row>
  </sheetData>
  <sheetCalcPr fullCalcOnLoad="1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AX368"/>
  <sheetViews>
    <sheetView workbookViewId="0">
      <selection activeCell="F2" sqref="F2"/>
    </sheetView>
  </sheetViews>
  <sheetFormatPr defaultRowHeight="12.75"/>
  <cols>
    <col min="7" max="7" width="5.140625" customWidth="1"/>
    <col min="8" max="8" width="4.85546875" customWidth="1"/>
    <col min="9" max="9" width="13.5703125" customWidth="1"/>
    <col min="13" max="13" width="11.140625" customWidth="1"/>
    <col min="14" max="14" width="13" customWidth="1"/>
    <col min="15" max="15" width="12.5703125" customWidth="1"/>
  </cols>
  <sheetData>
    <row r="1" spans="1:50">
      <c r="A1" t="s">
        <v>791</v>
      </c>
    </row>
    <row r="2" spans="1:50">
      <c r="A2" s="587"/>
      <c r="B2" t="s">
        <v>583</v>
      </c>
      <c r="I2" s="1081" t="s">
        <v>431</v>
      </c>
      <c r="J2" s="1081"/>
      <c r="K2" s="1081"/>
      <c r="L2" s="1081"/>
      <c r="M2" s="1081"/>
    </row>
    <row r="3" spans="1:50" ht="51">
      <c r="F3" s="217" t="s">
        <v>162</v>
      </c>
      <c r="G3" s="63"/>
      <c r="H3" s="217"/>
      <c r="M3" s="217" t="s">
        <v>163</v>
      </c>
      <c r="O3" s="1082" t="s">
        <v>157</v>
      </c>
      <c r="P3" s="1082"/>
      <c r="Q3" s="1082"/>
    </row>
    <row r="4" spans="1:50">
      <c r="A4" s="190">
        <v>36617</v>
      </c>
      <c r="B4" s="431">
        <f t="shared" ref="B4:B32" si="0">YEAR(A4)</f>
        <v>2000</v>
      </c>
      <c r="C4" s="430">
        <f t="shared" ref="C4:C32" si="1">MONTH(A4)</f>
        <v>4</v>
      </c>
      <c r="D4" s="430" t="str">
        <f t="shared" ref="D4:D32" si="2">IF(C4&lt;=6,"Q2","Q4")</f>
        <v>Q2</v>
      </c>
      <c r="E4" t="str">
        <f t="shared" ref="E4:E32" si="3">B4&amp;D4</f>
        <v>2000Q2</v>
      </c>
      <c r="F4" s="1031">
        <v>5.3623565548302402E-2</v>
      </c>
      <c r="O4" s="227" t="s">
        <v>212</v>
      </c>
      <c r="P4" s="219"/>
      <c r="Q4" s="223">
        <f>AVERAGE(F4:F7)</f>
        <v>5.3822187428301353E-2</v>
      </c>
      <c r="T4" s="431">
        <f>'Debt Amort'!C13</f>
        <v>2000</v>
      </c>
      <c r="U4" s="431">
        <f>'Debt Amort'!D13</f>
        <v>2001</v>
      </c>
      <c r="V4" s="431">
        <f>'Debt Amort'!E13</f>
        <v>2002</v>
      </c>
      <c r="W4" s="431">
        <f>'Debt Amort'!F13</f>
        <v>2003</v>
      </c>
      <c r="X4" s="431">
        <f>'Debt Amort'!G13</f>
        <v>2004</v>
      </c>
      <c r="Y4" s="431">
        <f>'Debt Amort'!H13</f>
        <v>2005</v>
      </c>
      <c r="Z4" s="431">
        <f>'Debt Amort'!I13</f>
        <v>2006</v>
      </c>
      <c r="AA4" s="431">
        <f>'Debt Amort'!J13</f>
        <v>2007</v>
      </c>
      <c r="AB4" s="431">
        <f>'Debt Amort'!K13</f>
        <v>2008</v>
      </c>
      <c r="AC4" s="431">
        <f>'Debt Amort'!L13</f>
        <v>2009</v>
      </c>
      <c r="AD4" s="431">
        <f>'Debt Amort'!M13</f>
        <v>2010</v>
      </c>
      <c r="AE4" s="431">
        <f>'Debt Amort'!N13</f>
        <v>2011</v>
      </c>
      <c r="AF4" s="431">
        <f>'Debt Amort'!O13</f>
        <v>2012</v>
      </c>
      <c r="AG4" s="431">
        <f>'Debt Amort'!P13</f>
        <v>2013</v>
      </c>
      <c r="AH4" s="431">
        <f>'Debt Amort'!Q13</f>
        <v>2014</v>
      </c>
      <c r="AI4" s="431">
        <f>'Debt Amort'!R13</f>
        <v>2015</v>
      </c>
      <c r="AJ4" s="431">
        <f>'Debt Amort'!S13</f>
        <v>2016</v>
      </c>
      <c r="AK4" s="431">
        <f>'Debt Amort'!T13</f>
        <v>2017</v>
      </c>
      <c r="AL4" s="431">
        <f>'Debt Amort'!U13</f>
        <v>2018</v>
      </c>
      <c r="AM4" s="431">
        <f>'Debt Amort'!V13</f>
        <v>2019</v>
      </c>
      <c r="AN4" s="431">
        <f>'Debt Amort'!W13</f>
        <v>2020</v>
      </c>
      <c r="AO4" s="431">
        <f>'Debt Amort'!X13</f>
        <v>2021</v>
      </c>
      <c r="AP4" s="431">
        <f>'Debt Amort'!Y13</f>
        <v>2022</v>
      </c>
      <c r="AQ4" s="431">
        <f>'Debt Amort'!Z13</f>
        <v>2023</v>
      </c>
      <c r="AR4" s="431">
        <f>'Debt Amort'!AA13</f>
        <v>2024</v>
      </c>
      <c r="AS4" s="431">
        <f>'Debt Amort'!AB13</f>
        <v>2025</v>
      </c>
    </row>
    <row r="5" spans="1:50">
      <c r="A5" s="190">
        <v>36647</v>
      </c>
      <c r="B5" s="431">
        <f t="shared" si="0"/>
        <v>2000</v>
      </c>
      <c r="C5" s="430">
        <f t="shared" si="1"/>
        <v>5</v>
      </c>
      <c r="D5" s="430" t="str">
        <f t="shared" si="2"/>
        <v>Q2</v>
      </c>
      <c r="E5" t="str">
        <f t="shared" si="3"/>
        <v>2000Q2</v>
      </c>
      <c r="F5" s="1031">
        <v>5.3506092875525102E-2</v>
      </c>
      <c r="I5" s="191">
        <v>36707</v>
      </c>
      <c r="J5">
        <f t="shared" ref="J5:J15" si="4">YEAR(I5)</f>
        <v>2000</v>
      </c>
      <c r="K5" t="s">
        <v>398</v>
      </c>
      <c r="L5" t="str">
        <f t="shared" ref="L5:L15" si="5">J5&amp;K5</f>
        <v>2000Q2</v>
      </c>
      <c r="M5" s="506">
        <f t="shared" ref="M5:M36" si="6">SUMIF(E:E,L5,F:F)/COUNTIF(E:E,L5)</f>
        <v>5.33661601707364E-2</v>
      </c>
      <c r="O5" s="220"/>
      <c r="P5" s="17"/>
      <c r="Q5" s="224">
        <v>1.4999999999999999E-2</v>
      </c>
      <c r="S5" s="448" t="s">
        <v>398</v>
      </c>
      <c r="T5" t="str">
        <f t="shared" ref="T5:AC6" si="7">T$4&amp;$S5</f>
        <v>2000Q2</v>
      </c>
      <c r="U5" t="str">
        <f t="shared" si="7"/>
        <v>2001Q2</v>
      </c>
      <c r="V5" t="str">
        <f t="shared" si="7"/>
        <v>2002Q2</v>
      </c>
      <c r="W5" t="str">
        <f t="shared" si="7"/>
        <v>2003Q2</v>
      </c>
      <c r="X5" t="str">
        <f t="shared" si="7"/>
        <v>2004Q2</v>
      </c>
      <c r="Y5" t="str">
        <f t="shared" si="7"/>
        <v>2005Q2</v>
      </c>
      <c r="Z5" t="str">
        <f t="shared" si="7"/>
        <v>2006Q2</v>
      </c>
      <c r="AA5" t="str">
        <f t="shared" si="7"/>
        <v>2007Q2</v>
      </c>
      <c r="AB5" t="str">
        <f t="shared" si="7"/>
        <v>2008Q2</v>
      </c>
      <c r="AC5" t="str">
        <f t="shared" si="7"/>
        <v>2009Q2</v>
      </c>
      <c r="AD5" t="str">
        <f t="shared" ref="AD5:AM6" si="8">AD$4&amp;$S5</f>
        <v>2010Q2</v>
      </c>
      <c r="AE5" t="str">
        <f t="shared" si="8"/>
        <v>2011Q2</v>
      </c>
      <c r="AF5" t="str">
        <f t="shared" si="8"/>
        <v>2012Q2</v>
      </c>
      <c r="AG5" t="str">
        <f t="shared" si="8"/>
        <v>2013Q2</v>
      </c>
      <c r="AH5" t="str">
        <f t="shared" si="8"/>
        <v>2014Q2</v>
      </c>
      <c r="AI5" t="str">
        <f t="shared" si="8"/>
        <v>2015Q2</v>
      </c>
      <c r="AJ5" t="str">
        <f t="shared" si="8"/>
        <v>2016Q2</v>
      </c>
      <c r="AK5" t="str">
        <f t="shared" si="8"/>
        <v>2017Q2</v>
      </c>
      <c r="AL5" t="str">
        <f t="shared" si="8"/>
        <v>2018Q2</v>
      </c>
      <c r="AM5" t="str">
        <f t="shared" si="8"/>
        <v>2019Q2</v>
      </c>
      <c r="AN5" t="str">
        <f t="shared" ref="AN5:AS6" si="9">AN$4&amp;$S5</f>
        <v>2020Q2</v>
      </c>
      <c r="AO5" t="str">
        <f t="shared" si="9"/>
        <v>2021Q2</v>
      </c>
      <c r="AP5" t="str">
        <f t="shared" si="9"/>
        <v>2022Q2</v>
      </c>
      <c r="AQ5" t="str">
        <f t="shared" si="9"/>
        <v>2023Q2</v>
      </c>
      <c r="AR5" t="str">
        <f t="shared" si="9"/>
        <v>2024Q2</v>
      </c>
      <c r="AS5" t="str">
        <f t="shared" si="9"/>
        <v>2025Q2</v>
      </c>
    </row>
    <row r="6" spans="1:50" ht="13.5" thickBot="1">
      <c r="A6" s="190">
        <v>36678</v>
      </c>
      <c r="B6" s="431">
        <f t="shared" si="0"/>
        <v>2000</v>
      </c>
      <c r="C6" s="430">
        <f t="shared" si="1"/>
        <v>6</v>
      </c>
      <c r="D6" s="430" t="str">
        <f t="shared" si="2"/>
        <v>Q2</v>
      </c>
      <c r="E6" t="str">
        <f t="shared" si="3"/>
        <v>2000Q2</v>
      </c>
      <c r="F6" s="1031">
        <v>5.2968822088381697E-2</v>
      </c>
      <c r="I6" s="191">
        <v>36891</v>
      </c>
      <c r="J6">
        <f t="shared" si="4"/>
        <v>2000</v>
      </c>
      <c r="K6" t="s">
        <v>399</v>
      </c>
      <c r="L6" t="str">
        <f t="shared" si="5"/>
        <v>2000Q4</v>
      </c>
      <c r="M6" s="506">
        <f t="shared" si="6"/>
        <v>5.6726068588342532E-2</v>
      </c>
      <c r="O6" s="220"/>
      <c r="P6" s="17"/>
      <c r="Q6" s="225">
        <f>SUM(Q4:Q5)</f>
        <v>6.8822187428301346E-2</v>
      </c>
      <c r="S6" s="448" t="s">
        <v>399</v>
      </c>
      <c r="T6" t="str">
        <f t="shared" si="7"/>
        <v>2000Q4</v>
      </c>
      <c r="U6" t="str">
        <f t="shared" si="7"/>
        <v>2001Q4</v>
      </c>
      <c r="V6" t="str">
        <f t="shared" si="7"/>
        <v>2002Q4</v>
      </c>
      <c r="W6" t="str">
        <f t="shared" si="7"/>
        <v>2003Q4</v>
      </c>
      <c r="X6" t="str">
        <f t="shared" si="7"/>
        <v>2004Q4</v>
      </c>
      <c r="Y6" t="str">
        <f t="shared" si="7"/>
        <v>2005Q4</v>
      </c>
      <c r="Z6" t="str">
        <f t="shared" si="7"/>
        <v>2006Q4</v>
      </c>
      <c r="AA6" t="str">
        <f t="shared" si="7"/>
        <v>2007Q4</v>
      </c>
      <c r="AB6" t="str">
        <f t="shared" si="7"/>
        <v>2008Q4</v>
      </c>
      <c r="AC6" t="str">
        <f t="shared" si="7"/>
        <v>2009Q4</v>
      </c>
      <c r="AD6" t="str">
        <f t="shared" si="8"/>
        <v>2010Q4</v>
      </c>
      <c r="AE6" t="str">
        <f t="shared" si="8"/>
        <v>2011Q4</v>
      </c>
      <c r="AF6" t="str">
        <f t="shared" si="8"/>
        <v>2012Q4</v>
      </c>
      <c r="AG6" t="str">
        <f t="shared" si="8"/>
        <v>2013Q4</v>
      </c>
      <c r="AH6" t="str">
        <f t="shared" si="8"/>
        <v>2014Q4</v>
      </c>
      <c r="AI6" t="str">
        <f t="shared" si="8"/>
        <v>2015Q4</v>
      </c>
      <c r="AJ6" t="str">
        <f t="shared" si="8"/>
        <v>2016Q4</v>
      </c>
      <c r="AK6" t="str">
        <f t="shared" si="8"/>
        <v>2017Q4</v>
      </c>
      <c r="AL6" t="str">
        <f t="shared" si="8"/>
        <v>2018Q4</v>
      </c>
      <c r="AM6" t="str">
        <f t="shared" si="8"/>
        <v>2019Q4</v>
      </c>
      <c r="AN6" t="str">
        <f t="shared" si="9"/>
        <v>2020Q4</v>
      </c>
      <c r="AO6" t="str">
        <f t="shared" si="9"/>
        <v>2021Q4</v>
      </c>
      <c r="AP6" t="str">
        <f t="shared" si="9"/>
        <v>2022Q4</v>
      </c>
      <c r="AQ6" t="str">
        <f t="shared" si="9"/>
        <v>2023Q4</v>
      </c>
      <c r="AR6" t="str">
        <f t="shared" si="9"/>
        <v>2024Q4</v>
      </c>
      <c r="AS6" t="str">
        <f t="shared" si="9"/>
        <v>2025Q4</v>
      </c>
    </row>
    <row r="7" spans="1:50" ht="13.5" thickTop="1">
      <c r="A7" s="190">
        <v>36708</v>
      </c>
      <c r="B7" s="431">
        <f t="shared" si="0"/>
        <v>2000</v>
      </c>
      <c r="C7" s="430">
        <f t="shared" si="1"/>
        <v>7</v>
      </c>
      <c r="D7" s="430" t="str">
        <f t="shared" si="2"/>
        <v>Q4</v>
      </c>
      <c r="E7" t="str">
        <f t="shared" si="3"/>
        <v>2000Q4</v>
      </c>
      <c r="F7" s="1031">
        <v>5.5190269200996199E-2</v>
      </c>
      <c r="I7" s="191">
        <v>37072</v>
      </c>
      <c r="J7">
        <f t="shared" si="4"/>
        <v>2001</v>
      </c>
      <c r="K7" t="s">
        <v>398</v>
      </c>
      <c r="L7" t="str">
        <f t="shared" si="5"/>
        <v>2001Q2</v>
      </c>
      <c r="M7" s="506">
        <f t="shared" si="6"/>
        <v>5.9734105576137057E-2</v>
      </c>
      <c r="O7" s="221"/>
      <c r="P7" s="222"/>
      <c r="Q7" s="226"/>
    </row>
    <row r="8" spans="1:50">
      <c r="A8" s="190">
        <v>36739</v>
      </c>
      <c r="B8" s="431">
        <f t="shared" si="0"/>
        <v>2000</v>
      </c>
      <c r="C8" s="430">
        <f t="shared" si="1"/>
        <v>8</v>
      </c>
      <c r="D8" s="430" t="str">
        <f t="shared" si="2"/>
        <v>Q4</v>
      </c>
      <c r="E8" t="str">
        <f t="shared" si="3"/>
        <v>2000Q4</v>
      </c>
      <c r="F8" s="1031">
        <v>5.5818987587128902E-2</v>
      </c>
      <c r="I8" s="191">
        <v>37256</v>
      </c>
      <c r="J8">
        <f t="shared" si="4"/>
        <v>2001</v>
      </c>
      <c r="K8" t="s">
        <v>399</v>
      </c>
      <c r="L8" t="str">
        <f t="shared" si="5"/>
        <v>2001Q4</v>
      </c>
      <c r="M8" s="445">
        <f t="shared" si="6"/>
        <v>6.1227252367461078E-2</v>
      </c>
    </row>
    <row r="9" spans="1:50">
      <c r="A9" s="190">
        <v>36770</v>
      </c>
      <c r="B9" s="431">
        <f t="shared" si="0"/>
        <v>2000</v>
      </c>
      <c r="C9" s="430">
        <f t="shared" si="1"/>
        <v>9</v>
      </c>
      <c r="D9" s="430" t="str">
        <f t="shared" si="2"/>
        <v>Q4</v>
      </c>
      <c r="E9" t="str">
        <f t="shared" si="3"/>
        <v>2000Q4</v>
      </c>
      <c r="F9" s="1031">
        <v>5.6447706104868697E-2</v>
      </c>
      <c r="I9" s="191">
        <v>37437</v>
      </c>
      <c r="J9">
        <f t="shared" si="4"/>
        <v>2002</v>
      </c>
      <c r="K9" t="s">
        <v>398</v>
      </c>
      <c r="L9" t="str">
        <f t="shared" si="5"/>
        <v>2002Q2</v>
      </c>
      <c r="M9" s="445">
        <f t="shared" si="6"/>
        <v>6.206392342736574E-2</v>
      </c>
    </row>
    <row r="10" spans="1:50">
      <c r="A10" s="190">
        <v>36800</v>
      </c>
      <c r="B10" s="431">
        <f t="shared" si="0"/>
        <v>2000</v>
      </c>
      <c r="C10" s="430">
        <f t="shared" si="1"/>
        <v>10</v>
      </c>
      <c r="D10" s="430" t="str">
        <f t="shared" si="2"/>
        <v>Q4</v>
      </c>
      <c r="E10" t="str">
        <f t="shared" si="3"/>
        <v>2000Q4</v>
      </c>
      <c r="F10" s="1031">
        <v>5.7043222522756003E-2</v>
      </c>
      <c r="I10" s="191">
        <v>37621</v>
      </c>
      <c r="J10">
        <f t="shared" si="4"/>
        <v>2002</v>
      </c>
      <c r="K10" t="s">
        <v>399</v>
      </c>
      <c r="L10" t="str">
        <f t="shared" si="5"/>
        <v>2002Q4</v>
      </c>
      <c r="M10" s="445">
        <f t="shared" si="6"/>
        <v>6.2694902819991682E-2</v>
      </c>
      <c r="AO10" s="431"/>
      <c r="AP10" s="431"/>
      <c r="AQ10" s="431"/>
      <c r="AR10" s="431"/>
      <c r="AS10" s="431"/>
      <c r="AT10" s="431"/>
      <c r="AU10" s="431"/>
      <c r="AV10" s="431"/>
      <c r="AW10" s="431"/>
      <c r="AX10" s="431"/>
    </row>
    <row r="11" spans="1:50">
      <c r="A11" s="190">
        <v>36831</v>
      </c>
      <c r="B11" s="431">
        <f t="shared" si="0"/>
        <v>2000</v>
      </c>
      <c r="C11" s="430">
        <f t="shared" si="1"/>
        <v>11</v>
      </c>
      <c r="D11" s="430" t="str">
        <f t="shared" si="2"/>
        <v>Q4</v>
      </c>
      <c r="E11" t="str">
        <f t="shared" si="3"/>
        <v>2000Q4</v>
      </c>
      <c r="F11" s="1031">
        <v>5.7639561757984098E-2</v>
      </c>
      <c r="I11" s="191">
        <v>37802</v>
      </c>
      <c r="J11">
        <f t="shared" si="4"/>
        <v>2003</v>
      </c>
      <c r="K11" t="s">
        <v>398</v>
      </c>
      <c r="L11" t="str">
        <f t="shared" si="5"/>
        <v>2003Q2</v>
      </c>
      <c r="M11" s="506">
        <f t="shared" si="6"/>
        <v>6.3237529319749436E-2</v>
      </c>
    </row>
    <row r="12" spans="1:50">
      <c r="A12" s="190">
        <v>36861</v>
      </c>
      <c r="B12" s="431">
        <f t="shared" si="0"/>
        <v>2000</v>
      </c>
      <c r="C12" s="430">
        <f t="shared" si="1"/>
        <v>12</v>
      </c>
      <c r="D12" s="430" t="str">
        <f t="shared" si="2"/>
        <v>Q4</v>
      </c>
      <c r="E12" t="str">
        <f t="shared" si="3"/>
        <v>2000Q4</v>
      </c>
      <c r="F12" s="1031">
        <v>5.82166643563213E-2</v>
      </c>
      <c r="I12" s="191">
        <v>37986</v>
      </c>
      <c r="J12">
        <f t="shared" si="4"/>
        <v>2003</v>
      </c>
      <c r="K12" t="s">
        <v>399</v>
      </c>
      <c r="L12" s="214" t="str">
        <f t="shared" si="5"/>
        <v>2003Q4</v>
      </c>
      <c r="M12" s="506">
        <f t="shared" si="6"/>
        <v>6.3424588731875842E-2</v>
      </c>
    </row>
    <row r="13" spans="1:50">
      <c r="A13" s="190">
        <v>36892</v>
      </c>
      <c r="B13" s="431">
        <f t="shared" si="0"/>
        <v>2001</v>
      </c>
      <c r="C13" s="430">
        <f t="shared" si="1"/>
        <v>1</v>
      </c>
      <c r="D13" s="430" t="str">
        <f t="shared" si="2"/>
        <v>Q2</v>
      </c>
      <c r="E13" t="str">
        <f t="shared" si="3"/>
        <v>2001Q2</v>
      </c>
      <c r="F13" s="1031">
        <v>5.8743490626795403E-2</v>
      </c>
      <c r="I13" s="191">
        <v>38168</v>
      </c>
      <c r="J13">
        <f t="shared" si="4"/>
        <v>2004</v>
      </c>
      <c r="K13" t="s">
        <v>398</v>
      </c>
      <c r="L13" t="str">
        <f t="shared" si="5"/>
        <v>2004Q2</v>
      </c>
      <c r="M13" s="445">
        <f t="shared" si="6"/>
        <v>6.3540530753381563E-2</v>
      </c>
    </row>
    <row r="14" spans="1:50">
      <c r="A14" s="190">
        <v>36923</v>
      </c>
      <c r="B14" s="431">
        <f t="shared" si="0"/>
        <v>2001</v>
      </c>
      <c r="C14" s="430">
        <f t="shared" si="1"/>
        <v>2</v>
      </c>
      <c r="D14" s="430" t="str">
        <f t="shared" si="2"/>
        <v>Q2</v>
      </c>
      <c r="E14" t="str">
        <f t="shared" si="3"/>
        <v>2001Q2</v>
      </c>
      <c r="F14" s="1031">
        <v>5.9185908094245801E-2</v>
      </c>
      <c r="I14" s="191">
        <v>38352</v>
      </c>
      <c r="J14">
        <f t="shared" si="4"/>
        <v>2004</v>
      </c>
      <c r="K14" t="s">
        <v>399</v>
      </c>
      <c r="L14" t="str">
        <f t="shared" si="5"/>
        <v>2004Q4</v>
      </c>
      <c r="M14" s="445">
        <f t="shared" si="6"/>
        <v>6.3656472779352935E-2</v>
      </c>
    </row>
    <row r="15" spans="1:50">
      <c r="A15" s="190">
        <v>36951</v>
      </c>
      <c r="B15" s="431">
        <f t="shared" si="0"/>
        <v>2001</v>
      </c>
      <c r="C15" s="430">
        <f t="shared" si="1"/>
        <v>3</v>
      </c>
      <c r="D15" s="430" t="str">
        <f t="shared" si="2"/>
        <v>Q2</v>
      </c>
      <c r="E15" t="str">
        <f t="shared" si="3"/>
        <v>2001Q2</v>
      </c>
      <c r="F15" s="1031">
        <v>5.9585511023993599E-2</v>
      </c>
      <c r="I15" s="191">
        <v>38533</v>
      </c>
      <c r="J15">
        <f t="shared" si="4"/>
        <v>2005</v>
      </c>
      <c r="K15" t="s">
        <v>398</v>
      </c>
      <c r="L15" t="str">
        <f t="shared" si="5"/>
        <v>2005Q2</v>
      </c>
      <c r="M15" s="445">
        <f t="shared" si="6"/>
        <v>6.3765249917457273E-2</v>
      </c>
    </row>
    <row r="16" spans="1:50">
      <c r="A16" s="190">
        <v>36982</v>
      </c>
      <c r="B16" s="431">
        <f t="shared" si="0"/>
        <v>2001</v>
      </c>
      <c r="C16" s="430">
        <f t="shared" si="1"/>
        <v>4</v>
      </c>
      <c r="D16" s="430" t="str">
        <f t="shared" si="2"/>
        <v>Q2</v>
      </c>
      <c r="E16" t="str">
        <f t="shared" si="3"/>
        <v>2001Q2</v>
      </c>
      <c r="F16" s="1031">
        <v>5.9978651415385699E-2</v>
      </c>
      <c r="I16" s="191">
        <v>38717</v>
      </c>
      <c r="J16">
        <f t="shared" ref="J16:J56" si="10">YEAR(I16)</f>
        <v>2005</v>
      </c>
      <c r="K16" t="s">
        <v>399</v>
      </c>
      <c r="L16" t="str">
        <f t="shared" ref="L16:L47" si="11">J16&amp;K16</f>
        <v>2005Q4</v>
      </c>
      <c r="M16" s="445">
        <f t="shared" si="6"/>
        <v>6.3818612481350609E-2</v>
      </c>
    </row>
    <row r="17" spans="1:13">
      <c r="A17" s="190">
        <v>37012</v>
      </c>
      <c r="B17" s="431">
        <f t="shared" si="0"/>
        <v>2001</v>
      </c>
      <c r="C17" s="430">
        <f t="shared" si="1"/>
        <v>5</v>
      </c>
      <c r="D17" s="430" t="str">
        <f t="shared" si="2"/>
        <v>Q2</v>
      </c>
      <c r="E17" t="str">
        <f t="shared" si="3"/>
        <v>2001Q2</v>
      </c>
      <c r="F17" s="1031">
        <v>6.0293080898174103E-2</v>
      </c>
      <c r="I17" s="191">
        <v>38898</v>
      </c>
      <c r="J17">
        <f t="shared" si="10"/>
        <v>2006</v>
      </c>
      <c r="K17" t="s">
        <v>398</v>
      </c>
      <c r="L17" t="str">
        <f t="shared" si="11"/>
        <v>2006Q2</v>
      </c>
      <c r="M17" s="445">
        <f t="shared" si="6"/>
        <v>6.3860369004664186E-2</v>
      </c>
    </row>
    <row r="18" spans="1:13">
      <c r="A18" s="190">
        <v>37043</v>
      </c>
      <c r="B18" s="431">
        <f t="shared" si="0"/>
        <v>2001</v>
      </c>
      <c r="C18" s="430">
        <f t="shared" si="1"/>
        <v>6</v>
      </c>
      <c r="D18" s="430" t="str">
        <f t="shared" si="2"/>
        <v>Q2</v>
      </c>
      <c r="E18" t="str">
        <f t="shared" si="3"/>
        <v>2001Q2</v>
      </c>
      <c r="F18" s="1031">
        <v>6.0617991398227697E-2</v>
      </c>
      <c r="I18" s="191">
        <v>39082</v>
      </c>
      <c r="J18">
        <f t="shared" si="10"/>
        <v>2006</v>
      </c>
      <c r="K18" t="s">
        <v>399</v>
      </c>
      <c r="L18" t="str">
        <f t="shared" si="11"/>
        <v>2006Q4</v>
      </c>
      <c r="M18" s="445">
        <f t="shared" si="6"/>
        <v>6.3902201865896277E-2</v>
      </c>
    </row>
    <row r="19" spans="1:13">
      <c r="A19" s="190">
        <v>37073</v>
      </c>
      <c r="B19" s="431">
        <f t="shared" si="0"/>
        <v>2001</v>
      </c>
      <c r="C19" s="430">
        <f t="shared" si="1"/>
        <v>7</v>
      </c>
      <c r="D19" s="430" t="str">
        <f t="shared" si="2"/>
        <v>Q4</v>
      </c>
      <c r="E19" t="str">
        <f t="shared" si="3"/>
        <v>2001Q4</v>
      </c>
      <c r="F19" s="1031">
        <v>6.0863466067678999E-2</v>
      </c>
      <c r="I19" s="191">
        <v>39263</v>
      </c>
      <c r="J19">
        <f t="shared" si="10"/>
        <v>2007</v>
      </c>
      <c r="K19" t="s">
        <v>398</v>
      </c>
      <c r="L19" t="str">
        <f t="shared" si="11"/>
        <v>2007Q2</v>
      </c>
      <c r="M19" s="445">
        <f t="shared" si="6"/>
        <v>6.3943958390367275E-2</v>
      </c>
    </row>
    <row r="20" spans="1:13">
      <c r="A20" s="190">
        <v>37104</v>
      </c>
      <c r="B20" s="431">
        <f t="shared" si="0"/>
        <v>2001</v>
      </c>
      <c r="C20" s="430">
        <f t="shared" si="1"/>
        <v>8</v>
      </c>
      <c r="D20" s="430" t="str">
        <f t="shared" si="2"/>
        <v>Q4</v>
      </c>
      <c r="E20" t="str">
        <f t="shared" si="3"/>
        <v>2001Q4</v>
      </c>
      <c r="F20" s="1031">
        <v>6.10102431770723E-2</v>
      </c>
      <c r="I20" s="191">
        <v>39447</v>
      </c>
      <c r="J20">
        <f t="shared" si="10"/>
        <v>2007</v>
      </c>
      <c r="K20" t="s">
        <v>399</v>
      </c>
      <c r="L20" t="str">
        <f t="shared" si="11"/>
        <v>2007Q4</v>
      </c>
      <c r="M20" s="445">
        <f t="shared" si="6"/>
        <v>6.3985791252759064E-2</v>
      </c>
    </row>
    <row r="21" spans="1:13">
      <c r="A21" s="190">
        <v>37135</v>
      </c>
      <c r="B21" s="431">
        <f t="shared" si="0"/>
        <v>2001</v>
      </c>
      <c r="C21" s="430">
        <f t="shared" si="1"/>
        <v>9</v>
      </c>
      <c r="D21" s="430" t="str">
        <f t="shared" si="2"/>
        <v>Q4</v>
      </c>
      <c r="E21" t="str">
        <f t="shared" si="3"/>
        <v>2001Q4</v>
      </c>
      <c r="F21" s="1031">
        <v>6.1157020293620697E-2</v>
      </c>
      <c r="I21" s="191">
        <v>39629</v>
      </c>
      <c r="J21">
        <f t="shared" si="10"/>
        <v>2008</v>
      </c>
      <c r="K21" t="s">
        <v>398</v>
      </c>
      <c r="L21" t="str">
        <f t="shared" si="11"/>
        <v>2008Q2</v>
      </c>
      <c r="M21" s="445">
        <f t="shared" si="6"/>
        <v>6.4027700453071532E-2</v>
      </c>
    </row>
    <row r="22" spans="1:13">
      <c r="A22" s="190">
        <v>37165</v>
      </c>
      <c r="B22" s="431">
        <f t="shared" si="0"/>
        <v>2001</v>
      </c>
      <c r="C22" s="430">
        <f t="shared" si="1"/>
        <v>10</v>
      </c>
      <c r="D22" s="430" t="str">
        <f t="shared" si="2"/>
        <v>Q4</v>
      </c>
      <c r="E22" t="str">
        <f t="shared" si="3"/>
        <v>2001Q4</v>
      </c>
      <c r="F22" s="1031">
        <v>6.1299062671285903E-2</v>
      </c>
      <c r="I22" s="191">
        <v>39813</v>
      </c>
      <c r="J22">
        <f t="shared" si="10"/>
        <v>2008</v>
      </c>
      <c r="K22" t="s">
        <v>399</v>
      </c>
      <c r="L22" t="str">
        <f t="shared" si="11"/>
        <v>2008Q4</v>
      </c>
      <c r="M22" s="445">
        <f t="shared" si="6"/>
        <v>6.4069609653967394E-2</v>
      </c>
    </row>
    <row r="23" spans="1:13">
      <c r="A23" s="190">
        <v>37196</v>
      </c>
      <c r="B23" s="431">
        <f t="shared" si="0"/>
        <v>2001</v>
      </c>
      <c r="C23" s="430">
        <f t="shared" si="1"/>
        <v>11</v>
      </c>
      <c r="D23" s="430" t="str">
        <f t="shared" si="2"/>
        <v>Q4</v>
      </c>
      <c r="E23" t="str">
        <f t="shared" si="3"/>
        <v>2001Q4</v>
      </c>
      <c r="F23" s="1031">
        <v>6.14458398019107E-2</v>
      </c>
      <c r="I23" s="191">
        <v>39994</v>
      </c>
      <c r="J23">
        <f t="shared" si="10"/>
        <v>2009</v>
      </c>
      <c r="K23" t="s">
        <v>398</v>
      </c>
      <c r="L23" t="str">
        <f t="shared" si="11"/>
        <v>2009Q2</v>
      </c>
      <c r="M23" s="445">
        <f t="shared" si="6"/>
        <v>6.4111366180756649E-2</v>
      </c>
    </row>
    <row r="24" spans="1:13">
      <c r="A24" s="190">
        <v>37226</v>
      </c>
      <c r="B24" s="431">
        <f t="shared" si="0"/>
        <v>2001</v>
      </c>
      <c r="C24" s="430">
        <f t="shared" si="1"/>
        <v>12</v>
      </c>
      <c r="D24" s="430" t="str">
        <f t="shared" si="2"/>
        <v>Q4</v>
      </c>
      <c r="E24" t="str">
        <f t="shared" si="3"/>
        <v>2001Q4</v>
      </c>
      <c r="F24" s="1031">
        <v>6.1587882193197899E-2</v>
      </c>
      <c r="I24" s="191">
        <v>40178</v>
      </c>
      <c r="J24">
        <f t="shared" si="10"/>
        <v>2009</v>
      </c>
      <c r="K24" t="s">
        <v>399</v>
      </c>
      <c r="L24" t="str">
        <f t="shared" si="11"/>
        <v>2009Q4</v>
      </c>
      <c r="M24" s="445">
        <f t="shared" si="6"/>
        <v>6.4153199045470455E-2</v>
      </c>
    </row>
    <row r="25" spans="1:13">
      <c r="A25" s="190">
        <v>37257</v>
      </c>
      <c r="B25" s="431">
        <f t="shared" si="0"/>
        <v>2002</v>
      </c>
      <c r="C25" s="430">
        <f t="shared" si="1"/>
        <v>1</v>
      </c>
      <c r="D25" s="430" t="str">
        <f t="shared" si="2"/>
        <v>Q2</v>
      </c>
      <c r="E25" t="str">
        <f t="shared" si="3"/>
        <v>2002Q2</v>
      </c>
      <c r="F25" s="1031">
        <v>6.1734659337897999E-2</v>
      </c>
      <c r="I25" s="191">
        <v>40359</v>
      </c>
      <c r="J25">
        <f t="shared" si="10"/>
        <v>2010</v>
      </c>
      <c r="K25" t="s">
        <v>398</v>
      </c>
      <c r="L25" t="str">
        <f t="shared" si="11"/>
        <v>2010Q2</v>
      </c>
      <c r="M25" s="445">
        <f t="shared" si="6"/>
        <v>6.4197300399020094E-2</v>
      </c>
    </row>
    <row r="26" spans="1:13">
      <c r="A26" s="190">
        <v>37288</v>
      </c>
      <c r="B26" s="431">
        <f t="shared" si="0"/>
        <v>2002</v>
      </c>
      <c r="C26" s="430">
        <f t="shared" si="1"/>
        <v>2</v>
      </c>
      <c r="D26" s="430" t="str">
        <f t="shared" si="2"/>
        <v>Q2</v>
      </c>
      <c r="E26" t="str">
        <f t="shared" si="3"/>
        <v>2002Q2</v>
      </c>
      <c r="F26" s="1031">
        <v>6.1881436489749801E-2</v>
      </c>
      <c r="I26" s="191">
        <v>40543</v>
      </c>
      <c r="J26">
        <f t="shared" si="10"/>
        <v>2010</v>
      </c>
      <c r="K26" t="s">
        <v>399</v>
      </c>
      <c r="L26" t="str">
        <f t="shared" si="11"/>
        <v>2010Q4</v>
      </c>
      <c r="M26" s="445">
        <f t="shared" si="6"/>
        <v>6.4260822902042047E-2</v>
      </c>
    </row>
    <row r="27" spans="1:13">
      <c r="A27" s="190">
        <v>37316</v>
      </c>
      <c r="B27" s="431">
        <f t="shared" si="0"/>
        <v>2002</v>
      </c>
      <c r="C27" s="430">
        <f t="shared" si="1"/>
        <v>3</v>
      </c>
      <c r="D27" s="430" t="str">
        <f t="shared" si="2"/>
        <v>Q2</v>
      </c>
      <c r="E27" t="str">
        <f t="shared" si="3"/>
        <v>2002Q2</v>
      </c>
      <c r="F27" s="1031">
        <v>6.2014009407247397E-2</v>
      </c>
      <c r="I27" s="191">
        <v>40724</v>
      </c>
      <c r="J27">
        <f t="shared" si="10"/>
        <v>2011</v>
      </c>
      <c r="K27" t="s">
        <v>398</v>
      </c>
      <c r="L27" t="str">
        <f t="shared" si="11"/>
        <v>2011Q2</v>
      </c>
      <c r="M27" s="445">
        <f t="shared" si="6"/>
        <v>6.4328231824442347E-2</v>
      </c>
    </row>
    <row r="28" spans="1:13">
      <c r="A28" s="190">
        <v>37347</v>
      </c>
      <c r="B28" s="431">
        <f t="shared" si="0"/>
        <v>2002</v>
      </c>
      <c r="C28" s="430">
        <f t="shared" si="1"/>
        <v>4</v>
      </c>
      <c r="D28" s="430" t="str">
        <f t="shared" si="2"/>
        <v>Q2</v>
      </c>
      <c r="E28" t="str">
        <f t="shared" si="3"/>
        <v>2002Q2</v>
      </c>
      <c r="F28" s="1031">
        <v>6.2153249477981697E-2</v>
      </c>
      <c r="I28" s="191">
        <v>40908</v>
      </c>
      <c r="J28">
        <f t="shared" si="10"/>
        <v>2011</v>
      </c>
      <c r="K28" t="s">
        <v>399</v>
      </c>
      <c r="L28" t="str">
        <f t="shared" si="11"/>
        <v>2011Q4</v>
      </c>
      <c r="M28" s="445">
        <f t="shared" si="6"/>
        <v>6.4395763982219328E-2</v>
      </c>
    </row>
    <row r="29" spans="1:13">
      <c r="A29" s="190">
        <v>37377</v>
      </c>
      <c r="B29" s="431">
        <f t="shared" si="0"/>
        <v>2002</v>
      </c>
      <c r="C29" s="430">
        <f t="shared" si="1"/>
        <v>5</v>
      </c>
      <c r="D29" s="430" t="str">
        <f t="shared" si="2"/>
        <v>Q2</v>
      </c>
      <c r="E29" t="str">
        <f t="shared" si="3"/>
        <v>2002Q2</v>
      </c>
      <c r="F29" s="1031">
        <v>6.2250069332515402E-2</v>
      </c>
      <c r="I29" s="191">
        <v>41090</v>
      </c>
      <c r="J29">
        <f t="shared" si="10"/>
        <v>2012</v>
      </c>
      <c r="K29" t="s">
        <v>398</v>
      </c>
      <c r="L29" t="str">
        <f t="shared" si="11"/>
        <v>2012Q2</v>
      </c>
      <c r="M29" s="445">
        <f t="shared" si="6"/>
        <v>6.4463419375373934E-2</v>
      </c>
    </row>
    <row r="30" spans="1:13">
      <c r="A30" s="190">
        <v>37408</v>
      </c>
      <c r="B30" s="431">
        <f t="shared" si="0"/>
        <v>2002</v>
      </c>
      <c r="C30" s="430">
        <f t="shared" si="1"/>
        <v>6</v>
      </c>
      <c r="D30" s="430" t="str">
        <f t="shared" si="2"/>
        <v>Q2</v>
      </c>
      <c r="E30" t="str">
        <f t="shared" si="3"/>
        <v>2002Q2</v>
      </c>
      <c r="F30" s="1031">
        <v>6.2350116518802103E-2</v>
      </c>
      <c r="I30" s="191">
        <v>41274</v>
      </c>
      <c r="J30">
        <f t="shared" si="10"/>
        <v>2012</v>
      </c>
      <c r="K30" t="s">
        <v>399</v>
      </c>
      <c r="L30" t="str">
        <f t="shared" si="11"/>
        <v>2012Q4</v>
      </c>
      <c r="M30" s="445">
        <f t="shared" si="6"/>
        <v>6.4531074770048324E-2</v>
      </c>
    </row>
    <row r="31" spans="1:13">
      <c r="A31" s="190">
        <v>37438</v>
      </c>
      <c r="B31" s="431">
        <f t="shared" si="0"/>
        <v>2002</v>
      </c>
      <c r="C31" s="430">
        <f t="shared" si="1"/>
        <v>7</v>
      </c>
      <c r="D31" s="430" t="str">
        <f t="shared" si="2"/>
        <v>Q4</v>
      </c>
      <c r="E31" t="str">
        <f t="shared" si="3"/>
        <v>2002Q4</v>
      </c>
      <c r="F31" s="1031">
        <v>6.2446936379661797E-2</v>
      </c>
      <c r="I31" s="191">
        <v>41455</v>
      </c>
      <c r="J31">
        <f t="shared" si="10"/>
        <v>2013</v>
      </c>
      <c r="K31" t="s">
        <v>398</v>
      </c>
      <c r="L31" t="str">
        <f t="shared" si="11"/>
        <v>2013Q2</v>
      </c>
      <c r="M31" s="445">
        <f t="shared" si="6"/>
        <v>6.4598483698488765E-2</v>
      </c>
    </row>
    <row r="32" spans="1:13">
      <c r="A32" s="190">
        <v>37469</v>
      </c>
      <c r="B32" s="431">
        <f t="shared" si="0"/>
        <v>2002</v>
      </c>
      <c r="C32" s="430">
        <f t="shared" si="1"/>
        <v>8</v>
      </c>
      <c r="D32" s="430" t="str">
        <f t="shared" si="2"/>
        <v>Q4</v>
      </c>
      <c r="E32" t="str">
        <f t="shared" si="3"/>
        <v>2002Q4</v>
      </c>
      <c r="F32" s="1031">
        <v>6.2546983572485004E-2</v>
      </c>
      <c r="I32" s="191">
        <v>41639</v>
      </c>
      <c r="J32">
        <f t="shared" si="10"/>
        <v>2013</v>
      </c>
      <c r="K32" t="s">
        <v>399</v>
      </c>
      <c r="L32" t="str">
        <f t="shared" si="11"/>
        <v>2013Q4</v>
      </c>
      <c r="M32" s="445">
        <f t="shared" si="6"/>
        <v>6.4666015862316531E-2</v>
      </c>
    </row>
    <row r="33" spans="1:13">
      <c r="A33" s="190">
        <v>37500</v>
      </c>
      <c r="B33" s="431">
        <f t="shared" ref="B33:B61" si="12">YEAR(A33)</f>
        <v>2002</v>
      </c>
      <c r="C33" s="430">
        <f t="shared" ref="C33:C61" si="13">MONTH(A33)</f>
        <v>9</v>
      </c>
      <c r="D33" s="430" t="str">
        <f t="shared" ref="D33:D61" si="14">IF(C33&lt;=6,"Q2","Q4")</f>
        <v>Q4</v>
      </c>
      <c r="E33" t="str">
        <f t="shared" ref="E33:E61" si="15">B33&amp;D33</f>
        <v>2002Q4</v>
      </c>
      <c r="F33" s="1031">
        <v>6.2647030768629999E-2</v>
      </c>
      <c r="I33" s="191">
        <v>41820</v>
      </c>
      <c r="J33">
        <f t="shared" si="10"/>
        <v>2014</v>
      </c>
      <c r="K33" t="s">
        <v>398</v>
      </c>
      <c r="L33" t="str">
        <f t="shared" si="11"/>
        <v>2014Q2</v>
      </c>
      <c r="M33" s="445">
        <f t="shared" si="6"/>
        <v>6.4733424793772254E-2</v>
      </c>
    </row>
    <row r="34" spans="1:13">
      <c r="A34" s="190">
        <v>37530</v>
      </c>
      <c r="B34" s="431">
        <f t="shared" si="12"/>
        <v>2002</v>
      </c>
      <c r="C34" s="430">
        <f t="shared" si="13"/>
        <v>10</v>
      </c>
      <c r="D34" s="430" t="str">
        <f t="shared" si="14"/>
        <v>Q4</v>
      </c>
      <c r="E34" t="str">
        <f t="shared" si="15"/>
        <v>2002Q4</v>
      </c>
      <c r="F34" s="1031">
        <v>6.2743850639029194E-2</v>
      </c>
      <c r="I34" s="191">
        <v>42004</v>
      </c>
      <c r="J34">
        <f t="shared" si="10"/>
        <v>2014</v>
      </c>
      <c r="K34" t="s">
        <v>399</v>
      </c>
      <c r="L34" t="str">
        <f t="shared" si="11"/>
        <v>2014Q4</v>
      </c>
      <c r="M34" s="445">
        <f t="shared" si="6"/>
        <v>6.4800956960621173E-2</v>
      </c>
    </row>
    <row r="35" spans="1:13">
      <c r="A35" s="190">
        <v>37561</v>
      </c>
      <c r="B35" s="431">
        <f t="shared" si="12"/>
        <v>2002</v>
      </c>
      <c r="C35" s="430">
        <f t="shared" si="13"/>
        <v>11</v>
      </c>
      <c r="D35" s="430" t="str">
        <f t="shared" si="14"/>
        <v>Q4</v>
      </c>
      <c r="E35" t="str">
        <f t="shared" si="15"/>
        <v>2002Q4</v>
      </c>
      <c r="F35" s="1031">
        <v>6.2843897841709906E-2</v>
      </c>
      <c r="I35" s="191">
        <v>42185</v>
      </c>
      <c r="J35">
        <f t="shared" si="10"/>
        <v>2015</v>
      </c>
      <c r="K35" t="s">
        <v>398</v>
      </c>
      <c r="L35" t="str">
        <f t="shared" si="11"/>
        <v>2015Q2</v>
      </c>
      <c r="M35" s="445">
        <f t="shared" si="6"/>
        <v>6.4857656285088591E-2</v>
      </c>
    </row>
    <row r="36" spans="1:13">
      <c r="A36" s="190">
        <v>37591</v>
      </c>
      <c r="B36" s="431">
        <f t="shared" si="12"/>
        <v>2002</v>
      </c>
      <c r="C36" s="430">
        <f t="shared" si="13"/>
        <v>12</v>
      </c>
      <c r="D36" s="430" t="str">
        <f t="shared" si="14"/>
        <v>Q4</v>
      </c>
      <c r="E36" t="str">
        <f t="shared" si="15"/>
        <v>2002Q4</v>
      </c>
      <c r="F36" s="1031">
        <v>6.2940717718434194E-2</v>
      </c>
      <c r="I36" s="191">
        <v>42369</v>
      </c>
      <c r="J36">
        <f t="shared" si="10"/>
        <v>2015</v>
      </c>
      <c r="K36" t="s">
        <v>399</v>
      </c>
      <c r="L36" t="str">
        <f t="shared" si="11"/>
        <v>2015Q4</v>
      </c>
      <c r="M36" s="445">
        <f t="shared" si="6"/>
        <v>6.4831125747911583E-2</v>
      </c>
    </row>
    <row r="37" spans="1:13">
      <c r="A37" s="190">
        <v>37622</v>
      </c>
      <c r="B37" s="431">
        <f t="shared" si="12"/>
        <v>2003</v>
      </c>
      <c r="C37" s="430">
        <f t="shared" si="13"/>
        <v>1</v>
      </c>
      <c r="D37" s="430" t="str">
        <f t="shared" si="14"/>
        <v>Q2</v>
      </c>
      <c r="E37" t="str">
        <f t="shared" si="15"/>
        <v>2003Q2</v>
      </c>
      <c r="F37" s="1031">
        <v>6.3040764927650095E-2</v>
      </c>
      <c r="I37" s="191">
        <v>42551</v>
      </c>
      <c r="J37">
        <f t="shared" si="10"/>
        <v>2016</v>
      </c>
      <c r="K37" t="s">
        <v>398</v>
      </c>
      <c r="L37" t="str">
        <f t="shared" si="11"/>
        <v>2016Q2</v>
      </c>
      <c r="M37" s="445">
        <f t="shared" ref="M37:M56" si="16">SUMIF(E:E,L37,F:F)/COUNTIF(E:E,L37)</f>
        <v>6.4787845757824328E-2</v>
      </c>
    </row>
    <row r="38" spans="1:13">
      <c r="A38" s="190">
        <v>37653</v>
      </c>
      <c r="B38" s="431">
        <f t="shared" si="12"/>
        <v>2003</v>
      </c>
      <c r="C38" s="430">
        <f t="shared" si="13"/>
        <v>2</v>
      </c>
      <c r="D38" s="430" t="str">
        <f t="shared" si="14"/>
        <v>Q2</v>
      </c>
      <c r="E38" t="str">
        <f t="shared" si="15"/>
        <v>2003Q2</v>
      </c>
      <c r="F38" s="1031">
        <v>6.3140812140186395E-2</v>
      </c>
      <c r="I38" s="191">
        <v>42735</v>
      </c>
      <c r="J38">
        <f t="shared" si="10"/>
        <v>2016</v>
      </c>
      <c r="K38" t="s">
        <v>399</v>
      </c>
      <c r="L38" t="str">
        <f t="shared" si="11"/>
        <v>2016Q4</v>
      </c>
      <c r="M38" s="445">
        <f t="shared" si="16"/>
        <v>6.4744565768359116E-2</v>
      </c>
    </row>
    <row r="39" spans="1:13">
      <c r="A39" s="190">
        <v>37681</v>
      </c>
      <c r="B39" s="431">
        <f t="shared" si="12"/>
        <v>2003</v>
      </c>
      <c r="C39" s="430">
        <f t="shared" si="13"/>
        <v>3</v>
      </c>
      <c r="D39" s="430" t="str">
        <f t="shared" si="14"/>
        <v>Q2</v>
      </c>
      <c r="E39" t="str">
        <f t="shared" si="15"/>
        <v>2003Q2</v>
      </c>
      <c r="F39" s="1031">
        <v>6.3231177367267105E-2</v>
      </c>
      <c r="I39" s="191">
        <v>42916</v>
      </c>
      <c r="J39">
        <f t="shared" si="10"/>
        <v>2017</v>
      </c>
      <c r="K39" t="s">
        <v>398</v>
      </c>
      <c r="L39" t="str">
        <f t="shared" si="11"/>
        <v>2017Q2</v>
      </c>
      <c r="M39" s="445">
        <f t="shared" si="16"/>
        <v>6.4701443447959736E-2</v>
      </c>
    </row>
    <row r="40" spans="1:13">
      <c r="A40" s="190">
        <v>37712</v>
      </c>
      <c r="B40" s="431">
        <f t="shared" si="12"/>
        <v>2003</v>
      </c>
      <c r="C40" s="430">
        <f t="shared" si="13"/>
        <v>4</v>
      </c>
      <c r="D40" s="430" t="str">
        <f t="shared" si="14"/>
        <v>Q2</v>
      </c>
      <c r="E40" t="str">
        <f t="shared" si="15"/>
        <v>2003Q2</v>
      </c>
      <c r="F40" s="1031">
        <v>6.3318255752317795E-2</v>
      </c>
      <c r="I40" s="191">
        <v>43100</v>
      </c>
      <c r="J40">
        <f t="shared" si="10"/>
        <v>2017</v>
      </c>
      <c r="K40" t="s">
        <v>399</v>
      </c>
      <c r="L40" t="str">
        <f t="shared" si="11"/>
        <v>2017Q4</v>
      </c>
      <c r="M40" s="445">
        <f t="shared" si="16"/>
        <v>6.4658242293956572E-2</v>
      </c>
    </row>
    <row r="41" spans="1:13">
      <c r="A41" s="190">
        <v>37742</v>
      </c>
      <c r="B41" s="431">
        <f t="shared" si="12"/>
        <v>2003</v>
      </c>
      <c r="C41" s="430">
        <f t="shared" si="13"/>
        <v>5</v>
      </c>
      <c r="D41" s="430" t="str">
        <f t="shared" si="14"/>
        <v>Q2</v>
      </c>
      <c r="E41" t="str">
        <f t="shared" si="15"/>
        <v>2003Q2</v>
      </c>
      <c r="F41" s="1031">
        <v>6.3337262640113398E-2</v>
      </c>
      <c r="I41" s="191">
        <v>43281</v>
      </c>
      <c r="J41">
        <f t="shared" si="10"/>
        <v>2018</v>
      </c>
      <c r="K41" t="s">
        <v>398</v>
      </c>
      <c r="L41" t="str">
        <f t="shared" si="11"/>
        <v>2018Q2</v>
      </c>
      <c r="M41" s="445">
        <f t="shared" si="16"/>
        <v>6.4615119974791316E-2</v>
      </c>
    </row>
    <row r="42" spans="1:13">
      <c r="A42" s="190">
        <v>37773</v>
      </c>
      <c r="B42" s="431">
        <f t="shared" si="12"/>
        <v>2003</v>
      </c>
      <c r="C42" s="430">
        <f t="shared" si="13"/>
        <v>6</v>
      </c>
      <c r="D42" s="430" t="str">
        <f t="shared" si="14"/>
        <v>Q2</v>
      </c>
      <c r="E42" t="str">
        <f t="shared" si="15"/>
        <v>2003Q2</v>
      </c>
      <c r="F42" s="1031">
        <v>6.33569030909618E-2</v>
      </c>
      <c r="I42" s="191">
        <v>43465</v>
      </c>
      <c r="J42">
        <f t="shared" si="10"/>
        <v>2018</v>
      </c>
      <c r="K42" t="s">
        <v>399</v>
      </c>
      <c r="L42" t="str">
        <f t="shared" si="11"/>
        <v>2018Q4</v>
      </c>
      <c r="M42" s="445">
        <f t="shared" si="16"/>
        <v>6.4571918822024385E-2</v>
      </c>
    </row>
    <row r="43" spans="1:13">
      <c r="A43" s="190">
        <v>37803</v>
      </c>
      <c r="B43" s="431">
        <f t="shared" si="12"/>
        <v>2003</v>
      </c>
      <c r="C43" s="430">
        <f t="shared" si="13"/>
        <v>7</v>
      </c>
      <c r="D43" s="430" t="str">
        <f t="shared" si="14"/>
        <v>Q4</v>
      </c>
      <c r="E43" t="str">
        <f t="shared" si="15"/>
        <v>2003Q4</v>
      </c>
      <c r="F43" s="1031">
        <v>6.3375909979001693E-2</v>
      </c>
      <c r="I43" s="191">
        <v>43646</v>
      </c>
      <c r="J43">
        <f t="shared" si="10"/>
        <v>2019</v>
      </c>
      <c r="K43" t="s">
        <v>398</v>
      </c>
      <c r="L43" t="str">
        <f t="shared" si="11"/>
        <v>2019Q2</v>
      </c>
      <c r="M43" s="445">
        <f t="shared" si="16"/>
        <v>6.4528796504093322E-2</v>
      </c>
    </row>
    <row r="44" spans="1:13">
      <c r="A44" s="190">
        <v>37834</v>
      </c>
      <c r="B44" s="431">
        <f t="shared" si="12"/>
        <v>2003</v>
      </c>
      <c r="C44" s="430">
        <f t="shared" si="13"/>
        <v>8</v>
      </c>
      <c r="D44" s="430" t="str">
        <f t="shared" si="14"/>
        <v>Q4</v>
      </c>
      <c r="E44" t="str">
        <f t="shared" si="15"/>
        <v>2003Q4</v>
      </c>
      <c r="F44" s="1031">
        <v>6.3395550430101796E-2</v>
      </c>
      <c r="I44" s="191">
        <v>43830</v>
      </c>
      <c r="J44">
        <f t="shared" si="10"/>
        <v>2019</v>
      </c>
      <c r="K44" t="s">
        <v>399</v>
      </c>
      <c r="L44" t="str">
        <f t="shared" si="11"/>
        <v>2019Q4</v>
      </c>
      <c r="M44" s="445">
        <f t="shared" si="16"/>
        <v>6.4485595352562666E-2</v>
      </c>
    </row>
    <row r="45" spans="1:13">
      <c r="A45" s="190">
        <v>37865</v>
      </c>
      <c r="B45" s="431">
        <f t="shared" si="12"/>
        <v>2003</v>
      </c>
      <c r="C45" s="430">
        <f t="shared" si="13"/>
        <v>9</v>
      </c>
      <c r="D45" s="430" t="str">
        <f t="shared" si="14"/>
        <v>Q4</v>
      </c>
      <c r="E45" t="str">
        <f t="shared" si="15"/>
        <v>2003Q4</v>
      </c>
      <c r="F45" s="1031">
        <v>6.3415190881329894E-2</v>
      </c>
      <c r="I45" s="191">
        <v>44012</v>
      </c>
      <c r="J45">
        <f t="shared" si="10"/>
        <v>2020</v>
      </c>
      <c r="K45" t="s">
        <v>398</v>
      </c>
      <c r="L45" t="str">
        <f t="shared" si="11"/>
        <v>2020Q2</v>
      </c>
      <c r="M45" s="445">
        <f t="shared" si="16"/>
        <v>6.4434795787134874E-2</v>
      </c>
    </row>
    <row r="46" spans="1:13">
      <c r="A46" s="190">
        <v>37895</v>
      </c>
      <c r="B46" s="431">
        <f t="shared" si="12"/>
        <v>2003</v>
      </c>
      <c r="C46" s="430">
        <f t="shared" si="13"/>
        <v>10</v>
      </c>
      <c r="D46" s="430" t="str">
        <f t="shared" si="14"/>
        <v>Q4</v>
      </c>
      <c r="E46" t="str">
        <f t="shared" si="15"/>
        <v>2003Q4</v>
      </c>
      <c r="F46" s="1031">
        <v>6.3434197769736994E-2</v>
      </c>
      <c r="I46" s="191">
        <v>44196</v>
      </c>
      <c r="J46">
        <f t="shared" si="10"/>
        <v>2020</v>
      </c>
      <c r="K46" t="s">
        <v>399</v>
      </c>
      <c r="L46" t="str">
        <f t="shared" si="11"/>
        <v>2020Q4</v>
      </c>
      <c r="M46" s="445">
        <f t="shared" si="16"/>
        <v>6.4325471188475328E-2</v>
      </c>
    </row>
    <row r="47" spans="1:13">
      <c r="A47" s="190">
        <v>37926</v>
      </c>
      <c r="B47" s="431">
        <f t="shared" si="12"/>
        <v>2003</v>
      </c>
      <c r="C47" s="430">
        <f t="shared" si="13"/>
        <v>11</v>
      </c>
      <c r="D47" s="430" t="str">
        <f t="shared" si="14"/>
        <v>Q4</v>
      </c>
      <c r="E47" t="str">
        <f t="shared" si="15"/>
        <v>2003Q4</v>
      </c>
      <c r="F47" s="1031">
        <v>6.3453838221216904E-2</v>
      </c>
      <c r="I47" s="191">
        <v>44377</v>
      </c>
      <c r="J47">
        <f t="shared" si="10"/>
        <v>2021</v>
      </c>
      <c r="K47" t="s">
        <v>398</v>
      </c>
      <c r="L47" t="str">
        <f t="shared" si="11"/>
        <v>2021Q2</v>
      </c>
      <c r="M47" s="445">
        <f t="shared" si="16"/>
        <v>6.4204741134669188E-2</v>
      </c>
    </row>
    <row r="48" spans="1:13">
      <c r="A48" s="190">
        <v>37956</v>
      </c>
      <c r="B48" s="431">
        <f t="shared" si="12"/>
        <v>2003</v>
      </c>
      <c r="C48" s="430">
        <f t="shared" si="13"/>
        <v>12</v>
      </c>
      <c r="D48" s="430" t="str">
        <f t="shared" si="14"/>
        <v>Q4</v>
      </c>
      <c r="E48" t="str">
        <f t="shared" si="15"/>
        <v>2003Q4</v>
      </c>
      <c r="F48" s="1031">
        <v>6.3472845109867795E-2</v>
      </c>
      <c r="I48" s="191">
        <v>44561</v>
      </c>
      <c r="J48">
        <f t="shared" si="10"/>
        <v>2021</v>
      </c>
      <c r="K48" t="s">
        <v>399</v>
      </c>
      <c r="L48" t="str">
        <f t="shared" ref="L48:L54" si="17">J48&amp;K48</f>
        <v>2021Q4</v>
      </c>
      <c r="M48" s="445">
        <f t="shared" si="16"/>
        <v>6.4083790372644459E-2</v>
      </c>
    </row>
    <row r="49" spans="1:13">
      <c r="A49" s="190">
        <v>37987</v>
      </c>
      <c r="B49" s="431">
        <f t="shared" si="12"/>
        <v>2004</v>
      </c>
      <c r="C49" s="430">
        <f t="shared" si="13"/>
        <v>1</v>
      </c>
      <c r="D49" s="430" t="str">
        <f t="shared" si="14"/>
        <v>Q2</v>
      </c>
      <c r="E49" t="str">
        <f t="shared" si="15"/>
        <v>2004Q2</v>
      </c>
      <c r="F49" s="1031">
        <v>6.3492485561599504E-2</v>
      </c>
      <c r="I49" s="191">
        <v>44742</v>
      </c>
      <c r="J49">
        <f t="shared" si="10"/>
        <v>2022</v>
      </c>
      <c r="K49" t="s">
        <v>398</v>
      </c>
      <c r="L49" t="str">
        <f t="shared" si="17"/>
        <v>2022Q2</v>
      </c>
      <c r="M49" s="445">
        <f t="shared" si="16"/>
        <v>6.3963060328513677E-2</v>
      </c>
    </row>
    <row r="50" spans="1:13">
      <c r="A50" s="190">
        <v>38018</v>
      </c>
      <c r="B50" s="431">
        <f t="shared" si="12"/>
        <v>2004</v>
      </c>
      <c r="C50" s="430">
        <f t="shared" si="13"/>
        <v>2</v>
      </c>
      <c r="D50" s="430" t="str">
        <f t="shared" si="14"/>
        <v>Q2</v>
      </c>
      <c r="E50" t="str">
        <f t="shared" si="15"/>
        <v>2004Q2</v>
      </c>
      <c r="F50" s="1031">
        <v>6.3512126013459499E-2</v>
      </c>
      <c r="I50" s="191">
        <v>44926</v>
      </c>
      <c r="J50">
        <f t="shared" si="10"/>
        <v>2022</v>
      </c>
      <c r="K50" t="s">
        <v>399</v>
      </c>
      <c r="L50" t="str">
        <f t="shared" si="17"/>
        <v>2022Q4</v>
      </c>
      <c r="M50" s="445">
        <f t="shared" si="16"/>
        <v>6.3842109576182249E-2</v>
      </c>
    </row>
    <row r="51" spans="1:13">
      <c r="A51" s="190">
        <v>38047</v>
      </c>
      <c r="B51" s="431">
        <f t="shared" si="12"/>
        <v>2004</v>
      </c>
      <c r="C51" s="430">
        <f t="shared" si="13"/>
        <v>3</v>
      </c>
      <c r="D51" s="430" t="str">
        <f t="shared" si="14"/>
        <v>Q2</v>
      </c>
      <c r="E51" t="str">
        <f t="shared" si="15"/>
        <v>2004Q2</v>
      </c>
      <c r="F51" s="1031">
        <v>6.3530499339508495E-2</v>
      </c>
      <c r="I51" s="191">
        <v>45107</v>
      </c>
      <c r="J51">
        <f t="shared" si="10"/>
        <v>2023</v>
      </c>
      <c r="K51" t="s">
        <v>398</v>
      </c>
      <c r="L51" t="str">
        <f t="shared" si="17"/>
        <v>2023Q2</v>
      </c>
      <c r="M51" s="445">
        <f t="shared" si="16"/>
        <v>6.3721379541727907E-2</v>
      </c>
    </row>
    <row r="52" spans="1:13">
      <c r="A52" s="190">
        <v>38078</v>
      </c>
      <c r="B52" s="431">
        <f t="shared" si="12"/>
        <v>2004</v>
      </c>
      <c r="C52" s="430">
        <f t="shared" si="13"/>
        <v>4</v>
      </c>
      <c r="D52" s="430" t="str">
        <f t="shared" si="14"/>
        <v>Q2</v>
      </c>
      <c r="E52" t="str">
        <f t="shared" si="15"/>
        <v>2004Q2</v>
      </c>
      <c r="F52" s="1031">
        <v>6.3550139791615404E-2</v>
      </c>
      <c r="I52" s="191">
        <v>45291</v>
      </c>
      <c r="J52">
        <f t="shared" si="10"/>
        <v>2023</v>
      </c>
      <c r="K52" t="s">
        <v>399</v>
      </c>
      <c r="L52" t="str">
        <f t="shared" si="17"/>
        <v>2023Q4</v>
      </c>
      <c r="M52" s="445">
        <f t="shared" si="16"/>
        <v>6.3600428799091321E-2</v>
      </c>
    </row>
    <row r="53" spans="1:13">
      <c r="A53" s="190">
        <v>38108</v>
      </c>
      <c r="B53" s="431">
        <f t="shared" si="12"/>
        <v>2004</v>
      </c>
      <c r="C53" s="430">
        <f t="shared" si="13"/>
        <v>5</v>
      </c>
      <c r="D53" s="430" t="str">
        <f t="shared" si="14"/>
        <v>Q2</v>
      </c>
      <c r="E53" t="str">
        <f t="shared" si="15"/>
        <v>2004Q2</v>
      </c>
      <c r="F53" s="1031">
        <v>6.3569146680873906E-2</v>
      </c>
      <c r="I53" s="191">
        <v>45473</v>
      </c>
      <c r="J53">
        <f t="shared" si="10"/>
        <v>2024</v>
      </c>
      <c r="K53" t="s">
        <v>398</v>
      </c>
      <c r="L53" t="str">
        <f t="shared" si="17"/>
        <v>2024Q2</v>
      </c>
      <c r="M53" s="445">
        <f t="shared" si="16"/>
        <v>6.3479257348276155E-2</v>
      </c>
    </row>
    <row r="54" spans="1:13">
      <c r="A54" s="190">
        <v>38139</v>
      </c>
      <c r="B54" s="431">
        <f t="shared" si="12"/>
        <v>2004</v>
      </c>
      <c r="C54" s="430">
        <f t="shared" si="13"/>
        <v>6</v>
      </c>
      <c r="D54" s="430" t="str">
        <f t="shared" si="14"/>
        <v>Q2</v>
      </c>
      <c r="E54" t="str">
        <f t="shared" si="15"/>
        <v>2004Q2</v>
      </c>
      <c r="F54" s="1031">
        <v>6.3588787133232599E-2</v>
      </c>
      <c r="I54" s="191">
        <v>45657</v>
      </c>
      <c r="J54">
        <f t="shared" si="10"/>
        <v>2024</v>
      </c>
      <c r="K54" t="s">
        <v>399</v>
      </c>
      <c r="L54" t="str">
        <f t="shared" si="17"/>
        <v>2024Q4</v>
      </c>
      <c r="M54" s="445">
        <f t="shared" si="16"/>
        <v>6.3358085902338393E-2</v>
      </c>
    </row>
    <row r="55" spans="1:13">
      <c r="A55" s="190">
        <v>38169</v>
      </c>
      <c r="B55" s="431">
        <f t="shared" si="12"/>
        <v>2004</v>
      </c>
      <c r="C55" s="430">
        <f t="shared" si="13"/>
        <v>7</v>
      </c>
      <c r="D55" s="430" t="str">
        <f t="shared" si="14"/>
        <v>Q4</v>
      </c>
      <c r="E55" t="str">
        <f t="shared" si="15"/>
        <v>2004Q4</v>
      </c>
      <c r="F55" s="1031">
        <v>6.3607794022734407E-2</v>
      </c>
      <c r="I55" s="191">
        <v>45838</v>
      </c>
      <c r="J55">
        <f t="shared" si="10"/>
        <v>2025</v>
      </c>
      <c r="K55" t="s">
        <v>398</v>
      </c>
      <c r="L55" t="str">
        <f>J55&amp;K55</f>
        <v>2025Q2</v>
      </c>
      <c r="M55" s="445">
        <f t="shared" si="16"/>
        <v>6.3237355887266852E-2</v>
      </c>
    </row>
    <row r="56" spans="1:13">
      <c r="A56" s="190">
        <v>38200</v>
      </c>
      <c r="B56" s="431">
        <f t="shared" si="12"/>
        <v>2004</v>
      </c>
      <c r="C56" s="430">
        <f t="shared" si="13"/>
        <v>8</v>
      </c>
      <c r="D56" s="430" t="str">
        <f t="shared" si="14"/>
        <v>Q4</v>
      </c>
      <c r="E56" t="str">
        <f t="shared" si="15"/>
        <v>2004Q4</v>
      </c>
      <c r="F56" s="1031">
        <v>6.3627434475345399E-2</v>
      </c>
      <c r="I56" s="191">
        <v>46022</v>
      </c>
      <c r="J56">
        <f t="shared" si="10"/>
        <v>2025</v>
      </c>
      <c r="K56" t="s">
        <v>399</v>
      </c>
      <c r="L56" t="str">
        <f>J56&amp;K56</f>
        <v>2025Q4</v>
      </c>
      <c r="M56" s="445">
        <f t="shared" si="16"/>
        <v>6.3116405164049746E-2</v>
      </c>
    </row>
    <row r="57" spans="1:13">
      <c r="A57" s="190">
        <v>38231</v>
      </c>
      <c r="B57" s="431">
        <f t="shared" si="12"/>
        <v>2004</v>
      </c>
      <c r="C57" s="430">
        <f t="shared" si="13"/>
        <v>9</v>
      </c>
      <c r="D57" s="430" t="str">
        <f t="shared" si="14"/>
        <v>Q4</v>
      </c>
      <c r="E57" t="str">
        <f t="shared" si="15"/>
        <v>2004Q4</v>
      </c>
      <c r="F57" s="1031">
        <v>6.3647074928084205E-2</v>
      </c>
    </row>
    <row r="58" spans="1:13">
      <c r="A58" s="190">
        <v>38261</v>
      </c>
      <c r="B58" s="431">
        <f t="shared" si="12"/>
        <v>2004</v>
      </c>
      <c r="C58" s="430">
        <f t="shared" si="13"/>
        <v>10</v>
      </c>
      <c r="D58" s="430" t="str">
        <f t="shared" si="14"/>
        <v>Q4</v>
      </c>
      <c r="E58" t="str">
        <f t="shared" si="15"/>
        <v>2004Q4</v>
      </c>
      <c r="F58" s="1031">
        <v>6.3666081817953302E-2</v>
      </c>
    </row>
    <row r="59" spans="1:13">
      <c r="A59" s="190">
        <v>38292</v>
      </c>
      <c r="B59" s="431">
        <f t="shared" si="12"/>
        <v>2004</v>
      </c>
      <c r="C59" s="430">
        <f t="shared" si="13"/>
        <v>11</v>
      </c>
      <c r="D59" s="430" t="str">
        <f t="shared" si="14"/>
        <v>Q4</v>
      </c>
      <c r="E59" t="str">
        <f t="shared" si="15"/>
        <v>2004Q4</v>
      </c>
      <c r="F59" s="1031">
        <v>6.3685722270943906E-2</v>
      </c>
    </row>
    <row r="60" spans="1:13">
      <c r="A60" s="190">
        <v>38322</v>
      </c>
      <c r="B60" s="431">
        <f t="shared" si="12"/>
        <v>2004</v>
      </c>
      <c r="C60" s="430">
        <f t="shared" si="13"/>
        <v>12</v>
      </c>
      <c r="D60" s="430" t="str">
        <f t="shared" si="14"/>
        <v>Q4</v>
      </c>
      <c r="E60" t="str">
        <f t="shared" si="15"/>
        <v>2004Q4</v>
      </c>
      <c r="F60" s="1031">
        <v>6.3704729161056406E-2</v>
      </c>
    </row>
    <row r="61" spans="1:13">
      <c r="A61" s="190">
        <v>38353</v>
      </c>
      <c r="B61" s="431">
        <f t="shared" si="12"/>
        <v>2005</v>
      </c>
      <c r="C61" s="430">
        <f t="shared" si="13"/>
        <v>1</v>
      </c>
      <c r="D61" s="430" t="str">
        <f t="shared" si="14"/>
        <v>Q2</v>
      </c>
      <c r="E61" t="str">
        <f t="shared" si="15"/>
        <v>2005Q2</v>
      </c>
      <c r="F61" s="1031">
        <v>6.3724369614298795E-2</v>
      </c>
    </row>
    <row r="62" spans="1:13">
      <c r="A62" s="190">
        <v>38384</v>
      </c>
      <c r="B62" s="431">
        <f t="shared" ref="B62:B125" si="18">YEAR(A62)</f>
        <v>2005</v>
      </c>
      <c r="C62" s="430">
        <f t="shared" ref="C62:C125" si="19">MONTH(A62)</f>
        <v>2</v>
      </c>
      <c r="D62" s="430" t="str">
        <f t="shared" ref="D62:D125" si="20">IF(C62&lt;=6,"Q2","Q4")</f>
        <v>Q2</v>
      </c>
      <c r="E62" t="str">
        <f t="shared" ref="E62:E125" si="21">B62&amp;D62</f>
        <v>2005Q2</v>
      </c>
      <c r="F62" s="1031">
        <v>6.3744010067669193E-2</v>
      </c>
    </row>
    <row r="63" spans="1:13">
      <c r="A63" s="190">
        <v>38412</v>
      </c>
      <c r="B63" s="431">
        <f t="shared" si="18"/>
        <v>2005</v>
      </c>
      <c r="C63" s="430">
        <f t="shared" si="19"/>
        <v>3</v>
      </c>
      <c r="D63" s="430" t="str">
        <f t="shared" si="20"/>
        <v>Q2</v>
      </c>
      <c r="E63" t="str">
        <f t="shared" si="21"/>
        <v>2005Q2</v>
      </c>
      <c r="F63" s="1031">
        <v>6.3761749832113301E-2</v>
      </c>
    </row>
    <row r="64" spans="1:13">
      <c r="A64" s="190">
        <v>38443</v>
      </c>
      <c r="B64" s="431">
        <f t="shared" si="18"/>
        <v>2005</v>
      </c>
      <c r="C64" s="430">
        <f t="shared" si="19"/>
        <v>4</v>
      </c>
      <c r="D64" s="430" t="str">
        <f t="shared" si="20"/>
        <v>Q2</v>
      </c>
      <c r="E64" t="str">
        <f t="shared" si="21"/>
        <v>2005Q2</v>
      </c>
      <c r="F64" s="1031">
        <v>6.3780176632680902E-2</v>
      </c>
    </row>
    <row r="65" spans="1:6">
      <c r="A65" s="190">
        <v>38473</v>
      </c>
      <c r="B65" s="431">
        <f t="shared" si="18"/>
        <v>2005</v>
      </c>
      <c r="C65" s="430">
        <f t="shared" si="19"/>
        <v>5</v>
      </c>
      <c r="D65" s="430" t="str">
        <f t="shared" si="20"/>
        <v>Q2</v>
      </c>
      <c r="E65" t="str">
        <f t="shared" si="21"/>
        <v>2005Q2</v>
      </c>
      <c r="F65" s="1031">
        <v>6.3787046992879903E-2</v>
      </c>
    </row>
    <row r="66" spans="1:6">
      <c r="A66" s="190">
        <v>38504</v>
      </c>
      <c r="B66" s="431">
        <f t="shared" si="18"/>
        <v>2005</v>
      </c>
      <c r="C66" s="430">
        <f t="shared" si="19"/>
        <v>6</v>
      </c>
      <c r="D66" s="430" t="str">
        <f t="shared" si="20"/>
        <v>Q2</v>
      </c>
      <c r="E66" t="str">
        <f t="shared" si="21"/>
        <v>2005Q2</v>
      </c>
      <c r="F66" s="1031">
        <v>6.3794146365101501E-2</v>
      </c>
    </row>
    <row r="67" spans="1:6">
      <c r="A67" s="190">
        <v>38534</v>
      </c>
      <c r="B67" s="431">
        <f t="shared" si="18"/>
        <v>2005</v>
      </c>
      <c r="C67" s="430">
        <f t="shared" si="19"/>
        <v>7</v>
      </c>
      <c r="D67" s="430" t="str">
        <f t="shared" si="20"/>
        <v>Q4</v>
      </c>
      <c r="E67" t="str">
        <f t="shared" si="21"/>
        <v>2005Q4</v>
      </c>
      <c r="F67" s="1031">
        <v>6.3801016725331602E-2</v>
      </c>
    </row>
    <row r="68" spans="1:6">
      <c r="A68" s="190">
        <v>38565</v>
      </c>
      <c r="B68" s="431">
        <f t="shared" si="18"/>
        <v>2005</v>
      </c>
      <c r="C68" s="430">
        <f t="shared" si="19"/>
        <v>8</v>
      </c>
      <c r="D68" s="430" t="str">
        <f t="shared" si="20"/>
        <v>Q4</v>
      </c>
      <c r="E68" t="str">
        <f t="shared" si="21"/>
        <v>2005Q4</v>
      </c>
      <c r="F68" s="1031">
        <v>6.3808116097586506E-2</v>
      </c>
    </row>
    <row r="69" spans="1:6">
      <c r="A69" s="190">
        <v>38596</v>
      </c>
      <c r="B69" s="431">
        <f t="shared" si="18"/>
        <v>2005</v>
      </c>
      <c r="C69" s="430">
        <f t="shared" si="19"/>
        <v>9</v>
      </c>
      <c r="D69" s="430" t="str">
        <f t="shared" si="20"/>
        <v>Q4</v>
      </c>
      <c r="E69" t="str">
        <f t="shared" si="21"/>
        <v>2005Q4</v>
      </c>
      <c r="F69" s="1031">
        <v>6.3815215469857897E-2</v>
      </c>
    </row>
    <row r="70" spans="1:6">
      <c r="A70" s="190">
        <v>38626</v>
      </c>
      <c r="B70" s="431">
        <f t="shared" si="18"/>
        <v>2005</v>
      </c>
      <c r="C70" s="430">
        <f t="shared" si="19"/>
        <v>10</v>
      </c>
      <c r="D70" s="430" t="str">
        <f t="shared" si="20"/>
        <v>Q4</v>
      </c>
      <c r="E70" t="str">
        <f t="shared" si="21"/>
        <v>2005Q4</v>
      </c>
      <c r="F70" s="1031">
        <v>6.3822085830136405E-2</v>
      </c>
    </row>
    <row r="71" spans="1:6">
      <c r="A71" s="190">
        <v>38657</v>
      </c>
      <c r="B71" s="431">
        <f t="shared" si="18"/>
        <v>2005</v>
      </c>
      <c r="C71" s="430">
        <f t="shared" si="19"/>
        <v>11</v>
      </c>
      <c r="D71" s="430" t="str">
        <f t="shared" si="20"/>
        <v>Q4</v>
      </c>
      <c r="E71" t="str">
        <f t="shared" si="21"/>
        <v>2005Q4</v>
      </c>
      <c r="F71" s="1031">
        <v>6.3829185202440603E-2</v>
      </c>
    </row>
    <row r="72" spans="1:6">
      <c r="A72" s="190">
        <v>38687</v>
      </c>
      <c r="B72" s="431">
        <f t="shared" si="18"/>
        <v>2005</v>
      </c>
      <c r="C72" s="430">
        <f t="shared" si="19"/>
        <v>12</v>
      </c>
      <c r="D72" s="430" t="str">
        <f t="shared" si="20"/>
        <v>Q4</v>
      </c>
      <c r="E72" t="str">
        <f t="shared" si="21"/>
        <v>2005Q4</v>
      </c>
      <c r="F72" s="1031">
        <v>6.3836055562750599E-2</v>
      </c>
    </row>
    <row r="73" spans="1:6">
      <c r="A73" s="190">
        <v>38718</v>
      </c>
      <c r="B73" s="431">
        <f t="shared" si="18"/>
        <v>2006</v>
      </c>
      <c r="C73" s="430">
        <f t="shared" si="19"/>
        <v>1</v>
      </c>
      <c r="D73" s="430" t="str">
        <f t="shared" si="20"/>
        <v>Q2</v>
      </c>
      <c r="E73" t="str">
        <f t="shared" si="21"/>
        <v>2006Q2</v>
      </c>
      <c r="F73" s="1031">
        <v>6.3843154935087701E-2</v>
      </c>
    </row>
    <row r="74" spans="1:6">
      <c r="A74" s="190">
        <v>38749</v>
      </c>
      <c r="B74" s="431">
        <f t="shared" si="18"/>
        <v>2006</v>
      </c>
      <c r="C74" s="430">
        <f t="shared" si="19"/>
        <v>2</v>
      </c>
      <c r="D74" s="430" t="str">
        <f t="shared" si="20"/>
        <v>Q2</v>
      </c>
      <c r="E74" t="str">
        <f t="shared" si="21"/>
        <v>2006Q2</v>
      </c>
      <c r="F74" s="1031">
        <v>6.3850254307441706E-2</v>
      </c>
    </row>
    <row r="75" spans="1:6">
      <c r="A75" s="190">
        <v>38777</v>
      </c>
      <c r="B75" s="431">
        <f t="shared" si="18"/>
        <v>2006</v>
      </c>
      <c r="C75" s="430">
        <f t="shared" si="19"/>
        <v>3</v>
      </c>
      <c r="D75" s="430" t="str">
        <f t="shared" si="20"/>
        <v>Q2</v>
      </c>
      <c r="E75" t="str">
        <f t="shared" si="21"/>
        <v>2006Q2</v>
      </c>
      <c r="F75" s="1031">
        <v>6.3856666643775706E-2</v>
      </c>
    </row>
    <row r="76" spans="1:6">
      <c r="A76" s="190">
        <v>38808</v>
      </c>
      <c r="B76" s="431">
        <f t="shared" si="18"/>
        <v>2006</v>
      </c>
      <c r="C76" s="430">
        <f t="shared" si="19"/>
        <v>4</v>
      </c>
      <c r="D76" s="430" t="str">
        <f t="shared" si="20"/>
        <v>Q2</v>
      </c>
      <c r="E76" t="str">
        <f t="shared" si="21"/>
        <v>2006Q2</v>
      </c>
      <c r="F76" s="1031">
        <v>6.38637660161612E-2</v>
      </c>
    </row>
    <row r="77" spans="1:6">
      <c r="A77" s="190">
        <v>38838</v>
      </c>
      <c r="B77" s="431">
        <f t="shared" si="18"/>
        <v>2006</v>
      </c>
      <c r="C77" s="430">
        <f t="shared" si="19"/>
        <v>5</v>
      </c>
      <c r="D77" s="430" t="str">
        <f t="shared" si="20"/>
        <v>Q2</v>
      </c>
      <c r="E77" t="str">
        <f t="shared" si="21"/>
        <v>2006Q2</v>
      </c>
      <c r="F77" s="1031">
        <v>6.3870636376550202E-2</v>
      </c>
    </row>
    <row r="78" spans="1:6">
      <c r="A78" s="190">
        <v>38869</v>
      </c>
      <c r="B78" s="431">
        <f t="shared" si="18"/>
        <v>2006</v>
      </c>
      <c r="C78" s="430">
        <f t="shared" si="19"/>
        <v>6</v>
      </c>
      <c r="D78" s="430" t="str">
        <f t="shared" si="20"/>
        <v>Q2</v>
      </c>
      <c r="E78" t="str">
        <f t="shared" si="21"/>
        <v>2006Q2</v>
      </c>
      <c r="F78" s="1031">
        <v>6.38777357489686E-2</v>
      </c>
    </row>
    <row r="79" spans="1:6">
      <c r="A79" s="190">
        <v>38899</v>
      </c>
      <c r="B79" s="431">
        <f t="shared" si="18"/>
        <v>2006</v>
      </c>
      <c r="C79" s="430">
        <f t="shared" si="19"/>
        <v>7</v>
      </c>
      <c r="D79" s="430" t="str">
        <f t="shared" si="20"/>
        <v>Q4</v>
      </c>
      <c r="E79" t="str">
        <f t="shared" si="21"/>
        <v>2006Q4</v>
      </c>
      <c r="F79" s="1031">
        <v>6.3884606109390105E-2</v>
      </c>
    </row>
    <row r="80" spans="1:6">
      <c r="A80" s="190">
        <v>38930</v>
      </c>
      <c r="B80" s="431">
        <f t="shared" si="18"/>
        <v>2006</v>
      </c>
      <c r="C80" s="430">
        <f t="shared" si="19"/>
        <v>8</v>
      </c>
      <c r="D80" s="430" t="str">
        <f t="shared" si="20"/>
        <v>Q4</v>
      </c>
      <c r="E80" t="str">
        <f t="shared" si="21"/>
        <v>2006Q4</v>
      </c>
      <c r="F80" s="1031">
        <v>6.3891705481841296E-2</v>
      </c>
    </row>
    <row r="81" spans="1:6">
      <c r="A81" s="190">
        <v>38961</v>
      </c>
      <c r="B81" s="431">
        <f t="shared" si="18"/>
        <v>2006</v>
      </c>
      <c r="C81" s="430">
        <f t="shared" si="19"/>
        <v>9</v>
      </c>
      <c r="D81" s="430" t="str">
        <f t="shared" si="20"/>
        <v>Q4</v>
      </c>
      <c r="E81" t="str">
        <f t="shared" si="21"/>
        <v>2006Q4</v>
      </c>
      <c r="F81" s="1031">
        <v>6.3898804854309404E-2</v>
      </c>
    </row>
    <row r="82" spans="1:6">
      <c r="A82" s="190">
        <v>38991</v>
      </c>
      <c r="B82" s="431">
        <f t="shared" si="18"/>
        <v>2006</v>
      </c>
      <c r="C82" s="430">
        <f t="shared" si="19"/>
        <v>10</v>
      </c>
      <c r="D82" s="430" t="str">
        <f t="shared" si="20"/>
        <v>Q4</v>
      </c>
      <c r="E82" t="str">
        <f t="shared" si="21"/>
        <v>2006Q4</v>
      </c>
      <c r="F82" s="1031">
        <v>6.3905675214777996E-2</v>
      </c>
    </row>
    <row r="83" spans="1:6">
      <c r="A83" s="190">
        <v>39022</v>
      </c>
      <c r="B83" s="431">
        <f t="shared" si="18"/>
        <v>2006</v>
      </c>
      <c r="C83" s="430">
        <f t="shared" si="19"/>
        <v>11</v>
      </c>
      <c r="D83" s="430" t="str">
        <f t="shared" si="20"/>
        <v>Q4</v>
      </c>
      <c r="E83" t="str">
        <f t="shared" si="21"/>
        <v>2006Q4</v>
      </c>
      <c r="F83" s="1031">
        <v>6.3912774587278995E-2</v>
      </c>
    </row>
    <row r="84" spans="1:6">
      <c r="A84" s="190">
        <v>39052</v>
      </c>
      <c r="B84" s="431">
        <f t="shared" si="18"/>
        <v>2006</v>
      </c>
      <c r="C84" s="430">
        <f t="shared" si="19"/>
        <v>12</v>
      </c>
      <c r="D84" s="430" t="str">
        <f t="shared" si="20"/>
        <v>Q4</v>
      </c>
      <c r="E84" t="str">
        <f t="shared" si="21"/>
        <v>2006Q4</v>
      </c>
      <c r="F84" s="1031">
        <v>6.3919644947779894E-2</v>
      </c>
    </row>
    <row r="85" spans="1:6">
      <c r="A85" s="190">
        <v>39083</v>
      </c>
      <c r="B85" s="431">
        <f t="shared" si="18"/>
        <v>2007</v>
      </c>
      <c r="C85" s="430">
        <f t="shared" si="19"/>
        <v>1</v>
      </c>
      <c r="D85" s="430" t="str">
        <f t="shared" si="20"/>
        <v>Q2</v>
      </c>
      <c r="E85" t="str">
        <f t="shared" si="21"/>
        <v>2007Q2</v>
      </c>
      <c r="F85" s="1031">
        <v>6.3926744320313797E-2</v>
      </c>
    </row>
    <row r="86" spans="1:6">
      <c r="A86" s="190">
        <v>39114</v>
      </c>
      <c r="B86" s="431">
        <f t="shared" si="18"/>
        <v>2007</v>
      </c>
      <c r="C86" s="430">
        <f t="shared" si="19"/>
        <v>2</v>
      </c>
      <c r="D86" s="430" t="str">
        <f t="shared" si="20"/>
        <v>Q2</v>
      </c>
      <c r="E86" t="str">
        <f t="shared" si="21"/>
        <v>2007Q2</v>
      </c>
      <c r="F86" s="1031">
        <v>6.3933843692864006E-2</v>
      </c>
    </row>
    <row r="87" spans="1:6">
      <c r="A87" s="190">
        <v>39142</v>
      </c>
      <c r="B87" s="431">
        <f t="shared" si="18"/>
        <v>2007</v>
      </c>
      <c r="C87" s="430">
        <f t="shared" si="19"/>
        <v>3</v>
      </c>
      <c r="D87" s="430" t="str">
        <f t="shared" si="20"/>
        <v>Q2</v>
      </c>
      <c r="E87" t="str">
        <f t="shared" si="21"/>
        <v>2007Q2</v>
      </c>
      <c r="F87" s="1031">
        <v>6.3940256029376003E-2</v>
      </c>
    </row>
    <row r="88" spans="1:6">
      <c r="A88" s="190">
        <v>39173</v>
      </c>
      <c r="B88" s="431">
        <f t="shared" si="18"/>
        <v>2007</v>
      </c>
      <c r="C88" s="430">
        <f t="shared" si="19"/>
        <v>4</v>
      </c>
      <c r="D88" s="430" t="str">
        <f t="shared" si="20"/>
        <v>Q2</v>
      </c>
      <c r="E88" t="str">
        <f t="shared" si="21"/>
        <v>2007Q2</v>
      </c>
      <c r="F88" s="1031">
        <v>6.39473554019587E-2</v>
      </c>
    </row>
    <row r="89" spans="1:6">
      <c r="A89" s="190">
        <v>39203</v>
      </c>
      <c r="B89" s="431">
        <f t="shared" si="18"/>
        <v>2007</v>
      </c>
      <c r="C89" s="430">
        <f t="shared" si="19"/>
        <v>5</v>
      </c>
      <c r="D89" s="430" t="str">
        <f t="shared" si="20"/>
        <v>Q2</v>
      </c>
      <c r="E89" t="str">
        <f t="shared" si="21"/>
        <v>2007Q2</v>
      </c>
      <c r="F89" s="1031">
        <v>6.39542257625378E-2</v>
      </c>
    </row>
    <row r="90" spans="1:6">
      <c r="A90" s="190">
        <v>39234</v>
      </c>
      <c r="B90" s="431">
        <f t="shared" si="18"/>
        <v>2007</v>
      </c>
      <c r="C90" s="430">
        <f t="shared" si="19"/>
        <v>6</v>
      </c>
      <c r="D90" s="430" t="str">
        <f t="shared" si="20"/>
        <v>Q2</v>
      </c>
      <c r="E90" t="str">
        <f t="shared" si="21"/>
        <v>2007Q2</v>
      </c>
      <c r="F90" s="1031">
        <v>6.3961325135153402E-2</v>
      </c>
    </row>
    <row r="91" spans="1:6">
      <c r="A91" s="190">
        <v>39264</v>
      </c>
      <c r="B91" s="431">
        <f t="shared" si="18"/>
        <v>2007</v>
      </c>
      <c r="C91" s="430">
        <f t="shared" si="19"/>
        <v>7</v>
      </c>
      <c r="D91" s="430" t="str">
        <f t="shared" si="20"/>
        <v>Q4</v>
      </c>
      <c r="E91" t="str">
        <f t="shared" si="21"/>
        <v>2007Q4</v>
      </c>
      <c r="F91" s="1031">
        <v>6.3968195495764907E-2</v>
      </c>
    </row>
    <row r="92" spans="1:6">
      <c r="A92" s="190">
        <v>39295</v>
      </c>
      <c r="B92" s="431">
        <f t="shared" si="18"/>
        <v>2007</v>
      </c>
      <c r="C92" s="430">
        <f t="shared" si="19"/>
        <v>8</v>
      </c>
      <c r="D92" s="430" t="str">
        <f t="shared" si="20"/>
        <v>Q4</v>
      </c>
      <c r="E92" t="str">
        <f t="shared" si="21"/>
        <v>2007Q4</v>
      </c>
      <c r="F92" s="1031">
        <v>6.3975294868412899E-2</v>
      </c>
    </row>
    <row r="93" spans="1:6">
      <c r="A93" s="190">
        <v>39326</v>
      </c>
      <c r="B93" s="431">
        <f t="shared" si="18"/>
        <v>2007</v>
      </c>
      <c r="C93" s="430">
        <f t="shared" si="19"/>
        <v>9</v>
      </c>
      <c r="D93" s="430" t="str">
        <f t="shared" si="20"/>
        <v>Q4</v>
      </c>
      <c r="E93" t="str">
        <f t="shared" si="21"/>
        <v>2007Q4</v>
      </c>
      <c r="F93" s="1031">
        <v>6.3982394241077795E-2</v>
      </c>
    </row>
    <row r="94" spans="1:6">
      <c r="A94" s="190">
        <v>39356</v>
      </c>
      <c r="B94" s="431">
        <f t="shared" si="18"/>
        <v>2007</v>
      </c>
      <c r="C94" s="430">
        <f t="shared" si="19"/>
        <v>10</v>
      </c>
      <c r="D94" s="430" t="str">
        <f t="shared" si="20"/>
        <v>Q4</v>
      </c>
      <c r="E94" t="str">
        <f t="shared" si="21"/>
        <v>2007Q4</v>
      </c>
      <c r="F94" s="1031">
        <v>6.3989264601737303E-2</v>
      </c>
    </row>
    <row r="95" spans="1:6">
      <c r="A95" s="190">
        <v>39387</v>
      </c>
      <c r="B95" s="431">
        <f t="shared" si="18"/>
        <v>2007</v>
      </c>
      <c r="C95" s="430">
        <f t="shared" si="19"/>
        <v>11</v>
      </c>
      <c r="D95" s="430" t="str">
        <f t="shared" si="20"/>
        <v>Q4</v>
      </c>
      <c r="E95" t="str">
        <f t="shared" si="21"/>
        <v>2007Q4</v>
      </c>
      <c r="F95" s="1031">
        <v>6.3996363974435005E-2</v>
      </c>
    </row>
    <row r="96" spans="1:6">
      <c r="A96" s="190">
        <v>39417</v>
      </c>
      <c r="B96" s="431">
        <f t="shared" si="18"/>
        <v>2007</v>
      </c>
      <c r="C96" s="430">
        <f t="shared" si="19"/>
        <v>12</v>
      </c>
      <c r="D96" s="430" t="str">
        <f t="shared" si="20"/>
        <v>Q4</v>
      </c>
      <c r="E96" t="str">
        <f t="shared" si="21"/>
        <v>2007Q4</v>
      </c>
      <c r="F96" s="1031">
        <v>6.4003234335126502E-2</v>
      </c>
    </row>
    <row r="97" spans="1:6">
      <c r="A97" s="190">
        <v>39448</v>
      </c>
      <c r="B97" s="431">
        <f t="shared" si="18"/>
        <v>2008</v>
      </c>
      <c r="C97" s="430">
        <f t="shared" si="19"/>
        <v>1</v>
      </c>
      <c r="D97" s="430" t="str">
        <f t="shared" si="20"/>
        <v>Q2</v>
      </c>
      <c r="E97" t="str">
        <f t="shared" si="21"/>
        <v>2008Q2</v>
      </c>
      <c r="F97" s="1031">
        <v>6.4010333707856998E-2</v>
      </c>
    </row>
    <row r="98" spans="1:6">
      <c r="A98" s="190">
        <v>39479</v>
      </c>
      <c r="B98" s="431">
        <f t="shared" si="18"/>
        <v>2008</v>
      </c>
      <c r="C98" s="430">
        <f t="shared" si="19"/>
        <v>2</v>
      </c>
      <c r="D98" s="430" t="str">
        <f t="shared" si="20"/>
        <v>Q2</v>
      </c>
      <c r="E98" t="str">
        <f t="shared" si="21"/>
        <v>2008Q2</v>
      </c>
      <c r="F98" s="1031">
        <v>6.4017433080604494E-2</v>
      </c>
    </row>
    <row r="99" spans="1:6">
      <c r="A99" s="190">
        <v>39508</v>
      </c>
      <c r="B99" s="431">
        <f t="shared" si="18"/>
        <v>2008</v>
      </c>
      <c r="C99" s="430">
        <f t="shared" si="19"/>
        <v>3</v>
      </c>
      <c r="D99" s="430" t="str">
        <f t="shared" si="20"/>
        <v>Q2</v>
      </c>
      <c r="E99" t="str">
        <f t="shared" si="21"/>
        <v>2008Q2</v>
      </c>
      <c r="F99" s="1031">
        <v>6.4024074429318595E-2</v>
      </c>
    </row>
    <row r="100" spans="1:6">
      <c r="A100" s="190">
        <v>39539</v>
      </c>
      <c r="B100" s="431">
        <f t="shared" si="18"/>
        <v>2008</v>
      </c>
      <c r="C100" s="430">
        <f t="shared" si="19"/>
        <v>4</v>
      </c>
      <c r="D100" s="430" t="str">
        <f t="shared" si="20"/>
        <v>Q2</v>
      </c>
      <c r="E100" t="str">
        <f t="shared" si="21"/>
        <v>2008Q2</v>
      </c>
      <c r="F100" s="1031">
        <v>6.4031173802098398E-2</v>
      </c>
    </row>
    <row r="101" spans="1:6">
      <c r="A101" s="190">
        <v>39569</v>
      </c>
      <c r="B101" s="431">
        <f t="shared" si="18"/>
        <v>2008</v>
      </c>
      <c r="C101" s="430">
        <f t="shared" si="19"/>
        <v>5</v>
      </c>
      <c r="D101" s="430" t="str">
        <f t="shared" si="20"/>
        <v>Q2</v>
      </c>
      <c r="E101" t="str">
        <f t="shared" si="21"/>
        <v>2008Q2</v>
      </c>
      <c r="F101" s="1031">
        <v>6.4038044162868998E-2</v>
      </c>
    </row>
    <row r="102" spans="1:6">
      <c r="A102" s="190">
        <v>39600</v>
      </c>
      <c r="B102" s="431">
        <f t="shared" si="18"/>
        <v>2008</v>
      </c>
      <c r="C102" s="430">
        <f t="shared" si="19"/>
        <v>6</v>
      </c>
      <c r="D102" s="430" t="str">
        <f t="shared" si="20"/>
        <v>Q2</v>
      </c>
      <c r="E102" t="str">
        <f t="shared" si="21"/>
        <v>2008Q2</v>
      </c>
      <c r="F102" s="1031">
        <v>6.4045143535681706E-2</v>
      </c>
    </row>
    <row r="103" spans="1:6">
      <c r="A103" s="190">
        <v>39630</v>
      </c>
      <c r="B103" s="431">
        <f t="shared" si="18"/>
        <v>2008</v>
      </c>
      <c r="C103" s="430">
        <f t="shared" si="19"/>
        <v>7</v>
      </c>
      <c r="D103" s="430" t="str">
        <f t="shared" si="20"/>
        <v>Q4</v>
      </c>
      <c r="E103" t="str">
        <f t="shared" si="21"/>
        <v>2008Q4</v>
      </c>
      <c r="F103" s="1031">
        <v>6.4052013896484197E-2</v>
      </c>
    </row>
    <row r="104" spans="1:6">
      <c r="A104" s="190">
        <v>39661</v>
      </c>
      <c r="B104" s="431">
        <f t="shared" si="18"/>
        <v>2008</v>
      </c>
      <c r="C104" s="430">
        <f t="shared" si="19"/>
        <v>8</v>
      </c>
      <c r="D104" s="430" t="str">
        <f t="shared" si="20"/>
        <v>Q4</v>
      </c>
      <c r="E104" t="str">
        <f t="shared" si="21"/>
        <v>2008Q4</v>
      </c>
      <c r="F104" s="1031">
        <v>6.4059113269329795E-2</v>
      </c>
    </row>
    <row r="105" spans="1:6">
      <c r="A105" s="190">
        <v>39692</v>
      </c>
      <c r="B105" s="431">
        <f t="shared" si="18"/>
        <v>2008</v>
      </c>
      <c r="C105" s="430">
        <f t="shared" si="19"/>
        <v>9</v>
      </c>
      <c r="D105" s="430" t="str">
        <f t="shared" si="20"/>
        <v>Q4</v>
      </c>
      <c r="E105" t="str">
        <f t="shared" si="21"/>
        <v>2008Q4</v>
      </c>
      <c r="F105" s="1031">
        <v>6.4066212642191797E-2</v>
      </c>
    </row>
    <row r="106" spans="1:6">
      <c r="A106" s="190">
        <v>39722</v>
      </c>
      <c r="B106" s="431">
        <f t="shared" si="18"/>
        <v>2008</v>
      </c>
      <c r="C106" s="430">
        <f t="shared" si="19"/>
        <v>10</v>
      </c>
      <c r="D106" s="430" t="str">
        <f t="shared" si="20"/>
        <v>Q4</v>
      </c>
      <c r="E106" t="str">
        <f t="shared" si="21"/>
        <v>2008Q4</v>
      </c>
      <c r="F106" s="1031">
        <v>6.4073083003041806E-2</v>
      </c>
    </row>
    <row r="107" spans="1:6">
      <c r="A107" s="190">
        <v>39753</v>
      </c>
      <c r="B107" s="431">
        <f t="shared" si="18"/>
        <v>2008</v>
      </c>
      <c r="C107" s="430">
        <f t="shared" si="19"/>
        <v>11</v>
      </c>
      <c r="D107" s="430" t="str">
        <f t="shared" si="20"/>
        <v>Q4</v>
      </c>
      <c r="E107" t="str">
        <f t="shared" si="21"/>
        <v>2008Q4</v>
      </c>
      <c r="F107" s="1031">
        <v>6.4080182375937197E-2</v>
      </c>
    </row>
    <row r="108" spans="1:6">
      <c r="A108" s="190">
        <v>39783</v>
      </c>
      <c r="B108" s="431">
        <f t="shared" si="18"/>
        <v>2008</v>
      </c>
      <c r="C108" s="430">
        <f t="shared" si="19"/>
        <v>12</v>
      </c>
      <c r="D108" s="430" t="str">
        <f t="shared" si="20"/>
        <v>Q4</v>
      </c>
      <c r="E108" t="str">
        <f t="shared" si="21"/>
        <v>2008Q4</v>
      </c>
      <c r="F108" s="1031">
        <v>6.4087052736819597E-2</v>
      </c>
    </row>
    <row r="109" spans="1:6">
      <c r="A109" s="190">
        <v>39814</v>
      </c>
      <c r="B109" s="431">
        <f t="shared" si="18"/>
        <v>2009</v>
      </c>
      <c r="C109" s="430">
        <f t="shared" si="19"/>
        <v>1</v>
      </c>
      <c r="D109" s="430" t="str">
        <f t="shared" si="20"/>
        <v>Q2</v>
      </c>
      <c r="E109" t="str">
        <f t="shared" si="21"/>
        <v>2009Q2</v>
      </c>
      <c r="F109" s="1031">
        <v>6.4094152109747796E-2</v>
      </c>
    </row>
    <row r="110" spans="1:6">
      <c r="A110" s="190">
        <v>39845</v>
      </c>
      <c r="B110" s="431">
        <f t="shared" si="18"/>
        <v>2009</v>
      </c>
      <c r="C110" s="430">
        <f t="shared" si="19"/>
        <v>2</v>
      </c>
      <c r="D110" s="430" t="str">
        <f t="shared" si="20"/>
        <v>Q2</v>
      </c>
      <c r="E110" t="str">
        <f t="shared" si="21"/>
        <v>2009Q2</v>
      </c>
      <c r="F110" s="1031">
        <v>6.4101251482691995E-2</v>
      </c>
    </row>
    <row r="111" spans="1:6">
      <c r="A111" s="190">
        <v>39873</v>
      </c>
      <c r="B111" s="431">
        <f t="shared" si="18"/>
        <v>2009</v>
      </c>
      <c r="C111" s="430">
        <f t="shared" si="19"/>
        <v>3</v>
      </c>
      <c r="D111" s="430" t="str">
        <f t="shared" si="20"/>
        <v>Q2</v>
      </c>
      <c r="E111" t="str">
        <f t="shared" si="21"/>
        <v>2009Q2</v>
      </c>
      <c r="F111" s="1031">
        <v>6.4107663819559693E-2</v>
      </c>
    </row>
    <row r="112" spans="1:6">
      <c r="A112" s="190">
        <v>39904</v>
      </c>
      <c r="B112" s="431">
        <f t="shared" si="18"/>
        <v>2009</v>
      </c>
      <c r="C112" s="430">
        <f t="shared" si="19"/>
        <v>4</v>
      </c>
      <c r="D112" s="430" t="str">
        <f t="shared" si="20"/>
        <v>Q2</v>
      </c>
      <c r="E112" t="str">
        <f t="shared" si="21"/>
        <v>2009Q2</v>
      </c>
      <c r="F112" s="1031">
        <v>6.4114763192536298E-2</v>
      </c>
    </row>
    <row r="113" spans="1:6">
      <c r="A113" s="190">
        <v>39934</v>
      </c>
      <c r="B113" s="431">
        <f t="shared" si="18"/>
        <v>2009</v>
      </c>
      <c r="C113" s="430">
        <f t="shared" si="19"/>
        <v>5</v>
      </c>
      <c r="D113" s="430" t="str">
        <f t="shared" si="20"/>
        <v>Q2</v>
      </c>
      <c r="E113" t="str">
        <f t="shared" si="21"/>
        <v>2009Q2</v>
      </c>
      <c r="F113" s="1031">
        <v>6.4121633553497301E-2</v>
      </c>
    </row>
    <row r="114" spans="1:6">
      <c r="A114" s="190">
        <v>39965</v>
      </c>
      <c r="B114" s="431">
        <f t="shared" si="18"/>
        <v>2009</v>
      </c>
      <c r="C114" s="430">
        <f t="shared" si="19"/>
        <v>6</v>
      </c>
      <c r="D114" s="430" t="str">
        <f t="shared" si="20"/>
        <v>Q2</v>
      </c>
      <c r="E114" t="str">
        <f t="shared" si="21"/>
        <v>2009Q2</v>
      </c>
      <c r="F114" s="1031">
        <v>6.4128732926506796E-2</v>
      </c>
    </row>
    <row r="115" spans="1:6">
      <c r="A115" s="190">
        <v>39995</v>
      </c>
      <c r="B115" s="431">
        <f t="shared" si="18"/>
        <v>2009</v>
      </c>
      <c r="C115" s="430">
        <f t="shared" si="19"/>
        <v>7</v>
      </c>
      <c r="D115" s="430" t="str">
        <f t="shared" si="20"/>
        <v>Q4</v>
      </c>
      <c r="E115" t="str">
        <f t="shared" si="21"/>
        <v>2009Q4</v>
      </c>
      <c r="F115" s="1031">
        <v>6.4135603287499302E-2</v>
      </c>
    </row>
    <row r="116" spans="1:6">
      <c r="A116" s="190">
        <v>40026</v>
      </c>
      <c r="B116" s="431">
        <f t="shared" si="18"/>
        <v>2009</v>
      </c>
      <c r="C116" s="430">
        <f t="shared" si="19"/>
        <v>8</v>
      </c>
      <c r="D116" s="430" t="str">
        <f t="shared" si="20"/>
        <v>Q4</v>
      </c>
      <c r="E116" t="str">
        <f t="shared" si="21"/>
        <v>2009Q4</v>
      </c>
      <c r="F116" s="1031">
        <v>6.4142702660541701E-2</v>
      </c>
    </row>
    <row r="117" spans="1:6">
      <c r="A117" s="190">
        <v>40057</v>
      </c>
      <c r="B117" s="431">
        <f t="shared" si="18"/>
        <v>2009</v>
      </c>
      <c r="C117" s="430">
        <f t="shared" si="19"/>
        <v>9</v>
      </c>
      <c r="D117" s="430" t="str">
        <f t="shared" si="20"/>
        <v>Q4</v>
      </c>
      <c r="E117" t="str">
        <f t="shared" si="21"/>
        <v>2009Q4</v>
      </c>
      <c r="F117" s="1031">
        <v>6.4149802033600906E-2</v>
      </c>
    </row>
    <row r="118" spans="1:6">
      <c r="A118" s="190">
        <v>40087</v>
      </c>
      <c r="B118" s="431">
        <f t="shared" si="18"/>
        <v>2009</v>
      </c>
      <c r="C118" s="430">
        <f t="shared" si="19"/>
        <v>10</v>
      </c>
      <c r="D118" s="430" t="str">
        <f t="shared" si="20"/>
        <v>Q4</v>
      </c>
      <c r="E118" t="str">
        <f t="shared" si="21"/>
        <v>2009Q4</v>
      </c>
      <c r="F118" s="1031">
        <v>6.4156672394641401E-2</v>
      </c>
    </row>
    <row r="119" spans="1:6">
      <c r="A119" s="190">
        <v>40118</v>
      </c>
      <c r="B119" s="431">
        <f t="shared" si="18"/>
        <v>2009</v>
      </c>
      <c r="C119" s="430">
        <f t="shared" si="19"/>
        <v>11</v>
      </c>
      <c r="D119" s="430" t="str">
        <f t="shared" si="20"/>
        <v>Q4</v>
      </c>
      <c r="E119" t="str">
        <f t="shared" si="21"/>
        <v>2009Q4</v>
      </c>
      <c r="F119" s="1031">
        <v>6.4163771767733496E-2</v>
      </c>
    </row>
    <row r="120" spans="1:6">
      <c r="A120" s="190">
        <v>40148</v>
      </c>
      <c r="B120" s="431">
        <f t="shared" si="18"/>
        <v>2009</v>
      </c>
      <c r="C120" s="430">
        <f t="shared" si="19"/>
        <v>12</v>
      </c>
      <c r="D120" s="430" t="str">
        <f t="shared" si="20"/>
        <v>Q4</v>
      </c>
      <c r="E120" t="str">
        <f t="shared" si="21"/>
        <v>2009Q4</v>
      </c>
      <c r="F120" s="1031">
        <v>6.4170642128805994E-2</v>
      </c>
    </row>
    <row r="121" spans="1:6">
      <c r="A121" s="190">
        <v>40179</v>
      </c>
      <c r="B121" s="431">
        <f t="shared" si="18"/>
        <v>2010</v>
      </c>
      <c r="C121" s="430">
        <f t="shared" si="19"/>
        <v>1</v>
      </c>
      <c r="D121" s="430" t="str">
        <f t="shared" si="20"/>
        <v>Q2</v>
      </c>
      <c r="E121" t="str">
        <f t="shared" si="21"/>
        <v>2010Q2</v>
      </c>
      <c r="F121" s="1031">
        <v>6.4177741501930896E-2</v>
      </c>
    </row>
    <row r="122" spans="1:6">
      <c r="A122" s="190">
        <v>40210</v>
      </c>
      <c r="B122" s="431">
        <f t="shared" si="18"/>
        <v>2010</v>
      </c>
      <c r="C122" s="430">
        <f t="shared" si="19"/>
        <v>2</v>
      </c>
      <c r="D122" s="430" t="str">
        <f t="shared" si="20"/>
        <v>Q2</v>
      </c>
      <c r="E122" t="str">
        <f t="shared" si="21"/>
        <v>2010Q2</v>
      </c>
      <c r="F122" s="1031">
        <v>6.4184840875072702E-2</v>
      </c>
    </row>
    <row r="123" spans="1:6">
      <c r="A123" s="190">
        <v>40238</v>
      </c>
      <c r="B123" s="431">
        <f t="shared" si="18"/>
        <v>2010</v>
      </c>
      <c r="C123" s="430">
        <f t="shared" si="19"/>
        <v>3</v>
      </c>
      <c r="D123" s="430" t="str">
        <f t="shared" si="20"/>
        <v>Q2</v>
      </c>
      <c r="E123" t="str">
        <f t="shared" si="21"/>
        <v>2010Q2</v>
      </c>
      <c r="F123" s="1031">
        <v>6.4191253212117605E-2</v>
      </c>
    </row>
    <row r="124" spans="1:6">
      <c r="A124" s="190">
        <v>40269</v>
      </c>
      <c r="B124" s="431">
        <f t="shared" si="18"/>
        <v>2010</v>
      </c>
      <c r="C124" s="430">
        <f t="shared" si="19"/>
        <v>4</v>
      </c>
      <c r="D124" s="430" t="str">
        <f t="shared" si="20"/>
        <v>Q2</v>
      </c>
      <c r="E124" t="str">
        <f t="shared" si="21"/>
        <v>2010Q2</v>
      </c>
      <c r="F124" s="1031">
        <v>6.41987746538977E-2</v>
      </c>
    </row>
    <row r="125" spans="1:6">
      <c r="A125" s="190">
        <v>40299</v>
      </c>
      <c r="B125" s="431">
        <f t="shared" si="18"/>
        <v>2010</v>
      </c>
      <c r="C125" s="430">
        <f t="shared" si="19"/>
        <v>5</v>
      </c>
      <c r="D125" s="430" t="str">
        <f t="shared" si="20"/>
        <v>Q2</v>
      </c>
      <c r="E125" t="str">
        <f t="shared" si="21"/>
        <v>2010Q2</v>
      </c>
      <c r="F125" s="1031">
        <v>6.4209865701127203E-2</v>
      </c>
    </row>
    <row r="126" spans="1:6">
      <c r="A126" s="190">
        <v>40330</v>
      </c>
      <c r="B126" s="431">
        <f t="shared" ref="B126:B189" si="22">YEAR(A126)</f>
        <v>2010</v>
      </c>
      <c r="C126" s="430">
        <f t="shared" ref="C126:C189" si="23">MONTH(A126)</f>
        <v>6</v>
      </c>
      <c r="D126" s="430" t="str">
        <f t="shared" ref="D126:D189" si="24">IF(C126&lt;=6,"Q2","Q4")</f>
        <v>Q2</v>
      </c>
      <c r="E126" t="str">
        <f t="shared" ref="E126:E189" si="25">B126&amp;D126</f>
        <v>2010Q2</v>
      </c>
      <c r="F126" s="1031">
        <v>6.4221326449974497E-2</v>
      </c>
    </row>
    <row r="127" spans="1:6">
      <c r="A127" s="190">
        <v>40360</v>
      </c>
      <c r="B127" s="431">
        <f t="shared" si="22"/>
        <v>2010</v>
      </c>
      <c r="C127" s="430">
        <f t="shared" si="23"/>
        <v>7</v>
      </c>
      <c r="D127" s="430" t="str">
        <f t="shared" si="24"/>
        <v>Q4</v>
      </c>
      <c r="E127" t="str">
        <f t="shared" si="25"/>
        <v>2010Q4</v>
      </c>
      <c r="F127" s="1031">
        <v>6.4232417497287503E-2</v>
      </c>
    </row>
    <row r="128" spans="1:6">
      <c r="A128" s="190">
        <v>40391</v>
      </c>
      <c r="B128" s="431">
        <f t="shared" si="22"/>
        <v>2010</v>
      </c>
      <c r="C128" s="430">
        <f t="shared" si="23"/>
        <v>8</v>
      </c>
      <c r="D128" s="430" t="str">
        <f t="shared" si="24"/>
        <v>Q4</v>
      </c>
      <c r="E128" t="str">
        <f t="shared" si="25"/>
        <v>2010Q4</v>
      </c>
      <c r="F128" s="1031">
        <v>6.4243878246219993E-2</v>
      </c>
    </row>
    <row r="129" spans="1:6">
      <c r="A129" s="190">
        <v>40422</v>
      </c>
      <c r="B129" s="431">
        <f t="shared" si="22"/>
        <v>2010</v>
      </c>
      <c r="C129" s="430">
        <f t="shared" si="23"/>
        <v>9</v>
      </c>
      <c r="D129" s="430" t="str">
        <f t="shared" si="24"/>
        <v>Q4</v>
      </c>
      <c r="E129" t="str">
        <f t="shared" si="25"/>
        <v>2010Q4</v>
      </c>
      <c r="F129" s="1031">
        <v>6.4255338995196504E-2</v>
      </c>
    </row>
    <row r="130" spans="1:6">
      <c r="A130" s="190">
        <v>40452</v>
      </c>
      <c r="B130" s="431">
        <f t="shared" si="22"/>
        <v>2010</v>
      </c>
      <c r="C130" s="430">
        <f t="shared" si="23"/>
        <v>10</v>
      </c>
      <c r="D130" s="430" t="str">
        <f t="shared" si="24"/>
        <v>Q4</v>
      </c>
      <c r="E130" t="str">
        <f t="shared" si="25"/>
        <v>2010Q4</v>
      </c>
      <c r="F130" s="1031">
        <v>6.4266430042634298E-2</v>
      </c>
    </row>
    <row r="131" spans="1:6">
      <c r="A131" s="190">
        <v>40483</v>
      </c>
      <c r="B131" s="431">
        <f t="shared" si="22"/>
        <v>2010</v>
      </c>
      <c r="C131" s="430">
        <f t="shared" si="23"/>
        <v>11</v>
      </c>
      <c r="D131" s="430" t="str">
        <f t="shared" si="24"/>
        <v>Q4</v>
      </c>
      <c r="E131" t="str">
        <f t="shared" si="25"/>
        <v>2010Q4</v>
      </c>
      <c r="F131" s="1031">
        <v>6.4277890791696601E-2</v>
      </c>
    </row>
    <row r="132" spans="1:6">
      <c r="A132" s="190">
        <v>40513</v>
      </c>
      <c r="B132" s="431">
        <f t="shared" si="22"/>
        <v>2010</v>
      </c>
      <c r="C132" s="430">
        <f t="shared" si="23"/>
        <v>12</v>
      </c>
      <c r="D132" s="430" t="str">
        <f t="shared" si="24"/>
        <v>Q4</v>
      </c>
      <c r="E132" t="str">
        <f t="shared" si="25"/>
        <v>2010Q4</v>
      </c>
      <c r="F132" s="1031">
        <v>6.4288981839217399E-2</v>
      </c>
    </row>
    <row r="133" spans="1:6">
      <c r="A133" s="190">
        <v>40544</v>
      </c>
      <c r="B133" s="431">
        <f t="shared" si="22"/>
        <v>2011</v>
      </c>
      <c r="C133" s="430">
        <f t="shared" si="23"/>
        <v>1</v>
      </c>
      <c r="D133" s="430" t="str">
        <f t="shared" si="24"/>
        <v>Q2</v>
      </c>
      <c r="E133" t="str">
        <f t="shared" si="25"/>
        <v>2011Q2</v>
      </c>
      <c r="F133" s="1031">
        <v>6.4300442588364898E-2</v>
      </c>
    </row>
    <row r="134" spans="1:6">
      <c r="A134" s="190">
        <v>40575</v>
      </c>
      <c r="B134" s="431">
        <f t="shared" si="22"/>
        <v>2011</v>
      </c>
      <c r="C134" s="430">
        <f t="shared" si="23"/>
        <v>2</v>
      </c>
      <c r="D134" s="430" t="str">
        <f t="shared" si="24"/>
        <v>Q2</v>
      </c>
      <c r="E134" t="str">
        <f t="shared" si="25"/>
        <v>2011Q2</v>
      </c>
      <c r="F134" s="1031">
        <v>6.4311903337556306E-2</v>
      </c>
    </row>
    <row r="135" spans="1:6">
      <c r="A135" s="190">
        <v>40603</v>
      </c>
      <c r="B135" s="431">
        <f t="shared" si="22"/>
        <v>2011</v>
      </c>
      <c r="C135" s="430">
        <f t="shared" si="23"/>
        <v>3</v>
      </c>
      <c r="D135" s="430" t="str">
        <f t="shared" si="24"/>
        <v>Q2</v>
      </c>
      <c r="E135" t="str">
        <f t="shared" si="25"/>
        <v>2011Q2</v>
      </c>
      <c r="F135" s="1031">
        <v>6.4322254982024596E-2</v>
      </c>
    </row>
    <row r="136" spans="1:6">
      <c r="A136" s="190">
        <v>40634</v>
      </c>
      <c r="B136" s="431">
        <f t="shared" si="22"/>
        <v>2011</v>
      </c>
      <c r="C136" s="430">
        <f t="shared" si="23"/>
        <v>4</v>
      </c>
      <c r="D136" s="430" t="str">
        <f t="shared" si="24"/>
        <v>Q2</v>
      </c>
      <c r="E136" t="str">
        <f t="shared" si="25"/>
        <v>2011Q2</v>
      </c>
      <c r="F136" s="1031">
        <v>6.4333715731298702E-2</v>
      </c>
    </row>
    <row r="137" spans="1:6">
      <c r="A137" s="190">
        <v>40664</v>
      </c>
      <c r="B137" s="431">
        <f t="shared" si="22"/>
        <v>2011</v>
      </c>
      <c r="C137" s="430">
        <f t="shared" si="23"/>
        <v>5</v>
      </c>
      <c r="D137" s="430" t="str">
        <f t="shared" si="24"/>
        <v>Q2</v>
      </c>
      <c r="E137" t="str">
        <f t="shared" si="25"/>
        <v>2011Q2</v>
      </c>
      <c r="F137" s="1031">
        <v>6.4344806779024696E-2</v>
      </c>
    </row>
    <row r="138" spans="1:6">
      <c r="A138" s="190">
        <v>40695</v>
      </c>
      <c r="B138" s="431">
        <f t="shared" si="22"/>
        <v>2011</v>
      </c>
      <c r="C138" s="430">
        <f t="shared" si="23"/>
        <v>6</v>
      </c>
      <c r="D138" s="430" t="str">
        <f t="shared" si="24"/>
        <v>Q2</v>
      </c>
      <c r="E138" t="str">
        <f t="shared" si="25"/>
        <v>2011Q2</v>
      </c>
      <c r="F138" s="1031">
        <v>6.43562675283849E-2</v>
      </c>
    </row>
    <row r="139" spans="1:6">
      <c r="A139" s="190">
        <v>40725</v>
      </c>
      <c r="B139" s="431">
        <f t="shared" si="22"/>
        <v>2011</v>
      </c>
      <c r="C139" s="430">
        <f t="shared" si="23"/>
        <v>7</v>
      </c>
      <c r="D139" s="430" t="str">
        <f t="shared" si="24"/>
        <v>Q4</v>
      </c>
      <c r="E139" t="str">
        <f t="shared" si="25"/>
        <v>2011Q4</v>
      </c>
      <c r="F139" s="1031">
        <v>6.4367358576193898E-2</v>
      </c>
    </row>
    <row r="140" spans="1:6">
      <c r="A140" s="190">
        <v>40756</v>
      </c>
      <c r="B140" s="431">
        <f t="shared" si="22"/>
        <v>2011</v>
      </c>
      <c r="C140" s="430">
        <f t="shared" si="23"/>
        <v>8</v>
      </c>
      <c r="D140" s="430" t="str">
        <f t="shared" si="24"/>
        <v>Q4</v>
      </c>
      <c r="E140" t="str">
        <f t="shared" si="25"/>
        <v>2011Q4</v>
      </c>
      <c r="F140" s="1031">
        <v>6.4378819325639394E-2</v>
      </c>
    </row>
    <row r="141" spans="1:6">
      <c r="A141" s="190">
        <v>40787</v>
      </c>
      <c r="B141" s="431">
        <f t="shared" si="22"/>
        <v>2011</v>
      </c>
      <c r="C141" s="430">
        <f t="shared" si="23"/>
        <v>9</v>
      </c>
      <c r="D141" s="430" t="str">
        <f t="shared" si="24"/>
        <v>Q4</v>
      </c>
      <c r="E141" t="str">
        <f t="shared" si="25"/>
        <v>2011Q4</v>
      </c>
      <c r="F141" s="1031">
        <v>6.4390280075128398E-2</v>
      </c>
    </row>
    <row r="142" spans="1:6">
      <c r="A142" s="190">
        <v>40817</v>
      </c>
      <c r="B142" s="431">
        <f t="shared" si="22"/>
        <v>2011</v>
      </c>
      <c r="C142" s="430">
        <f t="shared" si="23"/>
        <v>10</v>
      </c>
      <c r="D142" s="430" t="str">
        <f t="shared" si="24"/>
        <v>Q4</v>
      </c>
      <c r="E142" t="str">
        <f t="shared" si="25"/>
        <v>2011Q4</v>
      </c>
      <c r="F142" s="1031">
        <v>6.4401371123062698E-2</v>
      </c>
    </row>
    <row r="143" spans="1:6">
      <c r="A143" s="190">
        <v>40848</v>
      </c>
      <c r="B143" s="431">
        <f t="shared" si="22"/>
        <v>2011</v>
      </c>
      <c r="C143" s="430">
        <f t="shared" si="23"/>
        <v>11</v>
      </c>
      <c r="D143" s="430" t="str">
        <f t="shared" si="24"/>
        <v>Q4</v>
      </c>
      <c r="E143" t="str">
        <f t="shared" si="25"/>
        <v>2011Q4</v>
      </c>
      <c r="F143" s="1031">
        <v>6.4412831872637397E-2</v>
      </c>
    </row>
    <row r="144" spans="1:6">
      <c r="A144" s="190">
        <v>40878</v>
      </c>
      <c r="B144" s="431">
        <f t="shared" si="22"/>
        <v>2011</v>
      </c>
      <c r="C144" s="430">
        <f t="shared" si="23"/>
        <v>12</v>
      </c>
      <c r="D144" s="430" t="str">
        <f t="shared" si="24"/>
        <v>Q4</v>
      </c>
      <c r="E144" t="str">
        <f t="shared" si="25"/>
        <v>2011Q4</v>
      </c>
      <c r="F144" s="1031">
        <v>6.44239229206542E-2</v>
      </c>
    </row>
    <row r="145" spans="1:6">
      <c r="A145" s="190">
        <v>40909</v>
      </c>
      <c r="B145" s="431">
        <f t="shared" si="22"/>
        <v>2012</v>
      </c>
      <c r="C145" s="430">
        <f t="shared" si="23"/>
        <v>1</v>
      </c>
      <c r="D145" s="430" t="str">
        <f t="shared" si="24"/>
        <v>Q2</v>
      </c>
      <c r="E145" t="str">
        <f t="shared" si="25"/>
        <v>2012Q2</v>
      </c>
      <c r="F145" s="1031">
        <v>6.4435383670314705E-2</v>
      </c>
    </row>
    <row r="146" spans="1:6">
      <c r="A146" s="190">
        <v>40940</v>
      </c>
      <c r="B146" s="431">
        <f t="shared" si="22"/>
        <v>2012</v>
      </c>
      <c r="C146" s="430">
        <f t="shared" si="23"/>
        <v>2</v>
      </c>
      <c r="D146" s="430" t="str">
        <f t="shared" si="24"/>
        <v>Q2</v>
      </c>
      <c r="E146" t="str">
        <f t="shared" si="25"/>
        <v>2012Q2</v>
      </c>
      <c r="F146" s="1031">
        <v>6.4446844420018995E-2</v>
      </c>
    </row>
    <row r="147" spans="1:6">
      <c r="A147" s="190">
        <v>40969</v>
      </c>
      <c r="B147" s="431">
        <f t="shared" si="22"/>
        <v>2012</v>
      </c>
      <c r="C147" s="430">
        <f t="shared" si="23"/>
        <v>3</v>
      </c>
      <c r="D147" s="430" t="str">
        <f t="shared" si="24"/>
        <v>Q2</v>
      </c>
      <c r="E147" t="str">
        <f t="shared" si="25"/>
        <v>2012Q2</v>
      </c>
      <c r="F147" s="1031">
        <v>6.4457565766555799E-2</v>
      </c>
    </row>
    <row r="148" spans="1:6">
      <c r="A148" s="190">
        <v>41000</v>
      </c>
      <c r="B148" s="431">
        <f t="shared" si="22"/>
        <v>2012</v>
      </c>
      <c r="C148" s="430">
        <f t="shared" si="23"/>
        <v>4</v>
      </c>
      <c r="D148" s="430" t="str">
        <f t="shared" si="24"/>
        <v>Q2</v>
      </c>
      <c r="E148" t="str">
        <f t="shared" si="25"/>
        <v>2012Q2</v>
      </c>
      <c r="F148" s="1031">
        <v>6.4469026516344105E-2</v>
      </c>
    </row>
    <row r="149" spans="1:6">
      <c r="A149" s="190">
        <v>41030</v>
      </c>
      <c r="B149" s="431">
        <f t="shared" si="22"/>
        <v>2012</v>
      </c>
      <c r="C149" s="430">
        <f t="shared" si="23"/>
        <v>5</v>
      </c>
      <c r="D149" s="430" t="str">
        <f t="shared" si="24"/>
        <v>Q2</v>
      </c>
      <c r="E149" t="str">
        <f t="shared" si="25"/>
        <v>2012Q2</v>
      </c>
      <c r="F149" s="1031">
        <v>6.4480117564568007E-2</v>
      </c>
    </row>
    <row r="150" spans="1:6">
      <c r="A150" s="190">
        <v>41061</v>
      </c>
      <c r="B150" s="431">
        <f t="shared" si="22"/>
        <v>2012</v>
      </c>
      <c r="C150" s="430">
        <f t="shared" si="23"/>
        <v>6</v>
      </c>
      <c r="D150" s="430" t="str">
        <f t="shared" si="24"/>
        <v>Q2</v>
      </c>
      <c r="E150" t="str">
        <f t="shared" si="25"/>
        <v>2012Q2</v>
      </c>
      <c r="F150" s="1031">
        <v>6.4491578314441994E-2</v>
      </c>
    </row>
    <row r="151" spans="1:6">
      <c r="A151" s="190">
        <v>41091</v>
      </c>
      <c r="B151" s="431">
        <f t="shared" si="22"/>
        <v>2012</v>
      </c>
      <c r="C151" s="430">
        <f t="shared" si="23"/>
        <v>7</v>
      </c>
      <c r="D151" s="430" t="str">
        <f t="shared" si="24"/>
        <v>Q4</v>
      </c>
      <c r="E151" t="str">
        <f t="shared" si="25"/>
        <v>2012Q4</v>
      </c>
      <c r="F151" s="1031">
        <v>6.4502669362748399E-2</v>
      </c>
    </row>
    <row r="152" spans="1:6">
      <c r="A152" s="190">
        <v>41122</v>
      </c>
      <c r="B152" s="431">
        <f t="shared" si="22"/>
        <v>2012</v>
      </c>
      <c r="C152" s="430">
        <f t="shared" si="23"/>
        <v>8</v>
      </c>
      <c r="D152" s="430" t="str">
        <f t="shared" si="24"/>
        <v>Q4</v>
      </c>
      <c r="E152" t="str">
        <f t="shared" si="25"/>
        <v>2012Q4</v>
      </c>
      <c r="F152" s="1031">
        <v>6.4514130112708096E-2</v>
      </c>
    </row>
    <row r="153" spans="1:6">
      <c r="A153" s="190">
        <v>41153</v>
      </c>
      <c r="B153" s="431">
        <f t="shared" si="22"/>
        <v>2012</v>
      </c>
      <c r="C153" s="430">
        <f t="shared" si="23"/>
        <v>9</v>
      </c>
      <c r="D153" s="430" t="str">
        <f t="shared" si="24"/>
        <v>Q4</v>
      </c>
      <c r="E153" t="str">
        <f t="shared" si="25"/>
        <v>2012Q4</v>
      </c>
      <c r="F153" s="1031">
        <v>6.4525590862711799E-2</v>
      </c>
    </row>
    <row r="154" spans="1:6">
      <c r="A154" s="190">
        <v>41183</v>
      </c>
      <c r="B154" s="431">
        <f t="shared" si="22"/>
        <v>2012</v>
      </c>
      <c r="C154" s="430">
        <f t="shared" si="23"/>
        <v>10</v>
      </c>
      <c r="D154" s="430" t="str">
        <f t="shared" si="24"/>
        <v>Q4</v>
      </c>
      <c r="E154" t="str">
        <f t="shared" si="25"/>
        <v>2012Q4</v>
      </c>
      <c r="F154" s="1031">
        <v>6.4536681911143007E-2</v>
      </c>
    </row>
    <row r="155" spans="1:6">
      <c r="A155" s="190">
        <v>41214</v>
      </c>
      <c r="B155" s="431">
        <f t="shared" si="22"/>
        <v>2012</v>
      </c>
      <c r="C155" s="430">
        <f t="shared" si="23"/>
        <v>11</v>
      </c>
      <c r="D155" s="430" t="str">
        <f t="shared" si="24"/>
        <v>Q4</v>
      </c>
      <c r="E155" t="str">
        <f t="shared" si="25"/>
        <v>2012Q4</v>
      </c>
      <c r="F155" s="1031">
        <v>6.4548142661232003E-2</v>
      </c>
    </row>
    <row r="156" spans="1:6">
      <c r="A156" s="190">
        <v>41244</v>
      </c>
      <c r="B156" s="431">
        <f t="shared" si="22"/>
        <v>2012</v>
      </c>
      <c r="C156" s="430">
        <f t="shared" si="23"/>
        <v>12</v>
      </c>
      <c r="D156" s="430" t="str">
        <f t="shared" si="24"/>
        <v>Q4</v>
      </c>
      <c r="E156" t="str">
        <f t="shared" si="25"/>
        <v>2012Q4</v>
      </c>
      <c r="F156" s="1031">
        <v>6.45592337097467E-2</v>
      </c>
    </row>
    <row r="157" spans="1:6">
      <c r="A157" s="190">
        <v>41275</v>
      </c>
      <c r="B157" s="431">
        <f t="shared" si="22"/>
        <v>2013</v>
      </c>
      <c r="C157" s="430">
        <f t="shared" si="23"/>
        <v>1</v>
      </c>
      <c r="D157" s="430" t="str">
        <f t="shared" si="24"/>
        <v>Q2</v>
      </c>
      <c r="E157" t="str">
        <f t="shared" si="25"/>
        <v>2013Q2</v>
      </c>
      <c r="F157" s="1031">
        <v>6.4570694459921404E-2</v>
      </c>
    </row>
    <row r="158" spans="1:6">
      <c r="A158" s="190">
        <v>41306</v>
      </c>
      <c r="B158" s="431">
        <f t="shared" si="22"/>
        <v>2013</v>
      </c>
      <c r="C158" s="430">
        <f t="shared" si="23"/>
        <v>2</v>
      </c>
      <c r="D158" s="430" t="str">
        <f t="shared" si="24"/>
        <v>Q2</v>
      </c>
      <c r="E158" t="str">
        <f t="shared" si="25"/>
        <v>2013Q2</v>
      </c>
      <c r="F158" s="1031">
        <v>6.4582155210139602E-2</v>
      </c>
    </row>
    <row r="159" spans="1:6">
      <c r="A159" s="190">
        <v>41334</v>
      </c>
      <c r="B159" s="431">
        <f t="shared" si="22"/>
        <v>2013</v>
      </c>
      <c r="C159" s="430">
        <f t="shared" si="23"/>
        <v>3</v>
      </c>
      <c r="D159" s="430" t="str">
        <f t="shared" si="24"/>
        <v>Q2</v>
      </c>
      <c r="E159" t="str">
        <f t="shared" si="25"/>
        <v>2013Q2</v>
      </c>
      <c r="F159" s="1031">
        <v>6.4592506855535095E-2</v>
      </c>
    </row>
    <row r="160" spans="1:6">
      <c r="A160" s="190">
        <v>41365</v>
      </c>
      <c r="B160" s="431">
        <f t="shared" si="22"/>
        <v>2013</v>
      </c>
      <c r="C160" s="430">
        <f t="shared" si="23"/>
        <v>4</v>
      </c>
      <c r="D160" s="430" t="str">
        <f t="shared" si="24"/>
        <v>Q2</v>
      </c>
      <c r="E160" t="str">
        <f t="shared" si="25"/>
        <v>2013Q2</v>
      </c>
      <c r="F160" s="1031">
        <v>6.4603967605836796E-2</v>
      </c>
    </row>
    <row r="161" spans="1:6">
      <c r="A161" s="190">
        <v>41395</v>
      </c>
      <c r="B161" s="431">
        <f t="shared" si="22"/>
        <v>2013</v>
      </c>
      <c r="C161" s="430">
        <f t="shared" si="23"/>
        <v>5</v>
      </c>
      <c r="D161" s="430" t="str">
        <f t="shared" si="24"/>
        <v>Q2</v>
      </c>
      <c r="E161" t="str">
        <f t="shared" si="25"/>
        <v>2013Q2</v>
      </c>
      <c r="F161" s="1031">
        <v>6.4615058654556606E-2</v>
      </c>
    </row>
    <row r="162" spans="1:6">
      <c r="A162" s="190">
        <v>41426</v>
      </c>
      <c r="B162" s="431">
        <f t="shared" si="22"/>
        <v>2013</v>
      </c>
      <c r="C162" s="430">
        <f t="shared" si="23"/>
        <v>6</v>
      </c>
      <c r="D162" s="430" t="str">
        <f t="shared" si="24"/>
        <v>Q2</v>
      </c>
      <c r="E162" t="str">
        <f t="shared" si="25"/>
        <v>2013Q2</v>
      </c>
      <c r="F162" s="1031">
        <v>6.46265194049431E-2</v>
      </c>
    </row>
    <row r="163" spans="1:6">
      <c r="A163" s="190">
        <v>41456</v>
      </c>
      <c r="B163" s="431">
        <f t="shared" si="22"/>
        <v>2013</v>
      </c>
      <c r="C163" s="430">
        <f t="shared" si="23"/>
        <v>7</v>
      </c>
      <c r="D163" s="430" t="str">
        <f t="shared" si="24"/>
        <v>Q4</v>
      </c>
      <c r="E163" t="str">
        <f t="shared" si="25"/>
        <v>2013Q4</v>
      </c>
      <c r="F163" s="1031">
        <v>6.4637610453745595E-2</v>
      </c>
    </row>
    <row r="164" spans="1:6">
      <c r="A164" s="190">
        <v>41487</v>
      </c>
      <c r="B164" s="431">
        <f t="shared" si="22"/>
        <v>2013</v>
      </c>
      <c r="C164" s="430">
        <f t="shared" si="23"/>
        <v>8</v>
      </c>
      <c r="D164" s="430" t="str">
        <f t="shared" si="24"/>
        <v>Q4</v>
      </c>
      <c r="E164" t="str">
        <f t="shared" si="25"/>
        <v>2013Q4</v>
      </c>
      <c r="F164" s="1031">
        <v>6.46490712042187E-2</v>
      </c>
    </row>
    <row r="165" spans="1:6">
      <c r="A165" s="190">
        <v>41518</v>
      </c>
      <c r="B165" s="431">
        <f t="shared" si="22"/>
        <v>2013</v>
      </c>
      <c r="C165" s="430">
        <f t="shared" si="23"/>
        <v>9</v>
      </c>
      <c r="D165" s="430" t="str">
        <f t="shared" si="24"/>
        <v>Q4</v>
      </c>
      <c r="E165" t="str">
        <f t="shared" si="25"/>
        <v>2013Q4</v>
      </c>
      <c r="F165" s="1031">
        <v>6.4660531954734396E-2</v>
      </c>
    </row>
    <row r="166" spans="1:6">
      <c r="A166" s="190">
        <v>41548</v>
      </c>
      <c r="B166" s="431">
        <f t="shared" si="22"/>
        <v>2013</v>
      </c>
      <c r="C166" s="430">
        <f t="shared" si="23"/>
        <v>10</v>
      </c>
      <c r="D166" s="430" t="str">
        <f t="shared" si="24"/>
        <v>Q4</v>
      </c>
      <c r="E166" t="str">
        <f t="shared" si="25"/>
        <v>2013Q4</v>
      </c>
      <c r="F166" s="1031">
        <v>6.4671623003662096E-2</v>
      </c>
    </row>
    <row r="167" spans="1:6">
      <c r="A167" s="190">
        <v>41579</v>
      </c>
      <c r="B167" s="431">
        <f t="shared" si="22"/>
        <v>2013</v>
      </c>
      <c r="C167" s="430">
        <f t="shared" si="23"/>
        <v>11</v>
      </c>
      <c r="D167" s="430" t="str">
        <f t="shared" si="24"/>
        <v>Q4</v>
      </c>
      <c r="E167" t="str">
        <f t="shared" si="25"/>
        <v>2013Q4</v>
      </c>
      <c r="F167" s="1031">
        <v>6.4683083754263598E-2</v>
      </c>
    </row>
    <row r="168" spans="1:6">
      <c r="A168" s="190">
        <v>41609</v>
      </c>
      <c r="B168" s="431">
        <f t="shared" si="22"/>
        <v>2013</v>
      </c>
      <c r="C168" s="430">
        <f t="shared" si="23"/>
        <v>12</v>
      </c>
      <c r="D168" s="430" t="str">
        <f t="shared" si="24"/>
        <v>Q4</v>
      </c>
      <c r="E168" t="str">
        <f t="shared" si="25"/>
        <v>2013Q4</v>
      </c>
      <c r="F168" s="1031">
        <v>6.4694174803274801E-2</v>
      </c>
    </row>
    <row r="169" spans="1:6">
      <c r="A169" s="190">
        <v>41640</v>
      </c>
      <c r="B169" s="431">
        <f t="shared" si="22"/>
        <v>2014</v>
      </c>
      <c r="C169" s="430">
        <f t="shared" si="23"/>
        <v>1</v>
      </c>
      <c r="D169" s="430" t="str">
        <f t="shared" si="24"/>
        <v>Q2</v>
      </c>
      <c r="E169" t="str">
        <f t="shared" si="25"/>
        <v>2014Q2</v>
      </c>
      <c r="F169" s="1031">
        <v>6.4705635553961902E-2</v>
      </c>
    </row>
    <row r="170" spans="1:6">
      <c r="A170" s="190">
        <v>41671</v>
      </c>
      <c r="B170" s="431">
        <f t="shared" si="22"/>
        <v>2014</v>
      </c>
      <c r="C170" s="430">
        <f t="shared" si="23"/>
        <v>2</v>
      </c>
      <c r="D170" s="430" t="str">
        <f t="shared" si="24"/>
        <v>Q2</v>
      </c>
      <c r="E170" t="str">
        <f t="shared" si="25"/>
        <v>2014Q2</v>
      </c>
      <c r="F170" s="1031">
        <v>6.4717096304692606E-2</v>
      </c>
    </row>
    <row r="171" spans="1:6">
      <c r="A171" s="190">
        <v>41699</v>
      </c>
      <c r="B171" s="431">
        <f t="shared" si="22"/>
        <v>2014</v>
      </c>
      <c r="C171" s="430">
        <f t="shared" si="23"/>
        <v>3</v>
      </c>
      <c r="D171" s="430" t="str">
        <f t="shared" si="24"/>
        <v>Q2</v>
      </c>
      <c r="E171" t="str">
        <f t="shared" si="25"/>
        <v>2014Q2</v>
      </c>
      <c r="F171" s="1031">
        <v>6.4727447950551298E-2</v>
      </c>
    </row>
    <row r="172" spans="1:6">
      <c r="A172" s="190">
        <v>41730</v>
      </c>
      <c r="B172" s="431">
        <f t="shared" si="22"/>
        <v>2014</v>
      </c>
      <c r="C172" s="430">
        <f t="shared" si="23"/>
        <v>4</v>
      </c>
      <c r="D172" s="430" t="str">
        <f t="shared" si="24"/>
        <v>Q2</v>
      </c>
      <c r="E172" t="str">
        <f t="shared" si="25"/>
        <v>2014Q2</v>
      </c>
      <c r="F172" s="1031">
        <v>6.4738908701365505E-2</v>
      </c>
    </row>
    <row r="173" spans="1:6">
      <c r="A173" s="190">
        <v>41760</v>
      </c>
      <c r="B173" s="431">
        <f t="shared" si="22"/>
        <v>2014</v>
      </c>
      <c r="C173" s="430">
        <f t="shared" si="23"/>
        <v>5</v>
      </c>
      <c r="D173" s="430" t="str">
        <f t="shared" si="24"/>
        <v>Q2</v>
      </c>
      <c r="E173" t="str">
        <f t="shared" si="25"/>
        <v>2014Q2</v>
      </c>
      <c r="F173" s="1031">
        <v>6.4749999750581405E-2</v>
      </c>
    </row>
    <row r="174" spans="1:6">
      <c r="A174" s="190">
        <v>41791</v>
      </c>
      <c r="B174" s="431">
        <f t="shared" si="22"/>
        <v>2014</v>
      </c>
      <c r="C174" s="430">
        <f t="shared" si="23"/>
        <v>6</v>
      </c>
      <c r="D174" s="430" t="str">
        <f t="shared" si="24"/>
        <v>Q2</v>
      </c>
      <c r="E174" t="str">
        <f t="shared" si="25"/>
        <v>2014Q2</v>
      </c>
      <c r="F174" s="1031">
        <v>6.4761460501480794E-2</v>
      </c>
    </row>
    <row r="175" spans="1:6">
      <c r="A175" s="190">
        <v>41821</v>
      </c>
      <c r="B175" s="431">
        <f t="shared" si="22"/>
        <v>2014</v>
      </c>
      <c r="C175" s="430">
        <f t="shared" si="23"/>
        <v>7</v>
      </c>
      <c r="D175" s="430" t="str">
        <f t="shared" si="24"/>
        <v>Q4</v>
      </c>
      <c r="E175" t="str">
        <f t="shared" si="25"/>
        <v>2014Q4</v>
      </c>
      <c r="F175" s="1031">
        <v>6.4772551550779794E-2</v>
      </c>
    </row>
    <row r="176" spans="1:6">
      <c r="A176" s="190">
        <v>41852</v>
      </c>
      <c r="B176" s="431">
        <f t="shared" si="22"/>
        <v>2014</v>
      </c>
      <c r="C176" s="430">
        <f t="shared" si="23"/>
        <v>8</v>
      </c>
      <c r="D176" s="430" t="str">
        <f t="shared" si="24"/>
        <v>Q4</v>
      </c>
      <c r="E176" t="str">
        <f t="shared" si="25"/>
        <v>2014Q4</v>
      </c>
      <c r="F176" s="1031">
        <v>6.4784012301764907E-2</v>
      </c>
    </row>
    <row r="177" spans="1:6">
      <c r="A177" s="190">
        <v>41883</v>
      </c>
      <c r="B177" s="431">
        <f t="shared" si="22"/>
        <v>2014</v>
      </c>
      <c r="C177" s="430">
        <f t="shared" si="23"/>
        <v>9</v>
      </c>
      <c r="D177" s="430" t="str">
        <f t="shared" si="24"/>
        <v>Q4</v>
      </c>
      <c r="E177" t="str">
        <f t="shared" si="25"/>
        <v>2014Q4</v>
      </c>
      <c r="F177" s="1031">
        <v>6.4795473052793498E-2</v>
      </c>
    </row>
    <row r="178" spans="1:6">
      <c r="A178" s="190">
        <v>41913</v>
      </c>
      <c r="B178" s="431">
        <f t="shared" si="22"/>
        <v>2014</v>
      </c>
      <c r="C178" s="430">
        <f t="shared" si="23"/>
        <v>10</v>
      </c>
      <c r="D178" s="430" t="str">
        <f t="shared" si="24"/>
        <v>Q4</v>
      </c>
      <c r="E178" t="str">
        <f t="shared" si="25"/>
        <v>2014Q4</v>
      </c>
      <c r="F178" s="1031">
        <v>6.4806564102217801E-2</v>
      </c>
    </row>
    <row r="179" spans="1:6">
      <c r="A179" s="190">
        <v>41944</v>
      </c>
      <c r="B179" s="431">
        <f t="shared" si="22"/>
        <v>2014</v>
      </c>
      <c r="C179" s="430">
        <f t="shared" si="23"/>
        <v>11</v>
      </c>
      <c r="D179" s="430" t="str">
        <f t="shared" si="24"/>
        <v>Q4</v>
      </c>
      <c r="E179" t="str">
        <f t="shared" si="25"/>
        <v>2014Q4</v>
      </c>
      <c r="F179" s="1031">
        <v>6.4818024853332101E-2</v>
      </c>
    </row>
    <row r="180" spans="1:6">
      <c r="A180" s="190">
        <v>41974</v>
      </c>
      <c r="B180" s="431">
        <f t="shared" si="22"/>
        <v>2014</v>
      </c>
      <c r="C180" s="430">
        <f t="shared" si="23"/>
        <v>12</v>
      </c>
      <c r="D180" s="430" t="str">
        <f t="shared" si="24"/>
        <v>Q4</v>
      </c>
      <c r="E180" t="str">
        <f t="shared" si="25"/>
        <v>2014Q4</v>
      </c>
      <c r="F180" s="1031">
        <v>6.4829115902838894E-2</v>
      </c>
    </row>
    <row r="181" spans="1:6">
      <c r="A181" s="190">
        <v>42005</v>
      </c>
      <c r="B181" s="431">
        <f t="shared" si="22"/>
        <v>2015</v>
      </c>
      <c r="C181" s="430">
        <f t="shared" si="23"/>
        <v>1</v>
      </c>
      <c r="D181" s="430" t="str">
        <f t="shared" si="24"/>
        <v>Q2</v>
      </c>
      <c r="E181" t="str">
        <f t="shared" si="25"/>
        <v>2015Q2</v>
      </c>
      <c r="F181" s="1031">
        <v>6.4840576654039001E-2</v>
      </c>
    </row>
    <row r="182" spans="1:6">
      <c r="A182" s="190">
        <v>42036</v>
      </c>
      <c r="B182" s="431">
        <f t="shared" si="22"/>
        <v>2015</v>
      </c>
      <c r="C182" s="430">
        <f t="shared" si="23"/>
        <v>2</v>
      </c>
      <c r="D182" s="430" t="str">
        <f t="shared" si="24"/>
        <v>Q2</v>
      </c>
      <c r="E182" t="str">
        <f t="shared" si="25"/>
        <v>2015Q2</v>
      </c>
      <c r="F182" s="1031">
        <v>6.48520374052826E-2</v>
      </c>
    </row>
    <row r="183" spans="1:6">
      <c r="A183" s="190">
        <v>42064</v>
      </c>
      <c r="B183" s="431">
        <f t="shared" si="22"/>
        <v>2015</v>
      </c>
      <c r="C183" s="430">
        <f t="shared" si="23"/>
        <v>3</v>
      </c>
      <c r="D183" s="430" t="str">
        <f t="shared" si="24"/>
        <v>Q2</v>
      </c>
      <c r="E183" t="str">
        <f t="shared" si="25"/>
        <v>2015Q2</v>
      </c>
      <c r="F183" s="1031">
        <v>6.4862389051604505E-2</v>
      </c>
    </row>
    <row r="184" spans="1:6">
      <c r="A184" s="190">
        <v>42095</v>
      </c>
      <c r="B184" s="431">
        <f t="shared" si="22"/>
        <v>2015</v>
      </c>
      <c r="C184" s="430">
        <f t="shared" si="23"/>
        <v>4</v>
      </c>
      <c r="D184" s="430" t="str">
        <f t="shared" si="24"/>
        <v>Q2</v>
      </c>
      <c r="E184" t="str">
        <f t="shared" si="25"/>
        <v>2015Q2</v>
      </c>
      <c r="F184" s="1031">
        <v>6.4870818781234796E-2</v>
      </c>
    </row>
    <row r="185" spans="1:6">
      <c r="A185" s="190">
        <v>42125</v>
      </c>
      <c r="B185" s="431">
        <f t="shared" si="22"/>
        <v>2015</v>
      </c>
      <c r="C185" s="430">
        <f t="shared" si="23"/>
        <v>5</v>
      </c>
      <c r="D185" s="430" t="str">
        <f t="shared" si="24"/>
        <v>Q2</v>
      </c>
      <c r="E185" t="str">
        <f t="shared" si="25"/>
        <v>2015Q2</v>
      </c>
      <c r="F185" s="1031">
        <v>6.4863723700757006E-2</v>
      </c>
    </row>
    <row r="186" spans="1:6">
      <c r="A186" s="190">
        <v>42156</v>
      </c>
      <c r="B186" s="431">
        <f t="shared" si="22"/>
        <v>2015</v>
      </c>
      <c r="C186" s="430">
        <f t="shared" si="23"/>
        <v>6</v>
      </c>
      <c r="D186" s="430" t="str">
        <f t="shared" si="24"/>
        <v>Q2</v>
      </c>
      <c r="E186" t="str">
        <f t="shared" si="25"/>
        <v>2015Q2</v>
      </c>
      <c r="F186" s="1031">
        <v>6.4856392117613695E-2</v>
      </c>
    </row>
    <row r="187" spans="1:6">
      <c r="A187" s="190">
        <v>42186</v>
      </c>
      <c r="B187" s="431">
        <f t="shared" si="22"/>
        <v>2015</v>
      </c>
      <c r="C187" s="430">
        <f t="shared" si="23"/>
        <v>7</v>
      </c>
      <c r="D187" s="430" t="str">
        <f t="shared" si="24"/>
        <v>Q4</v>
      </c>
      <c r="E187" t="str">
        <f t="shared" si="25"/>
        <v>2015Q4</v>
      </c>
      <c r="F187" s="1031">
        <v>6.4849297037169698E-2</v>
      </c>
    </row>
    <row r="188" spans="1:6">
      <c r="A188" s="190">
        <v>42217</v>
      </c>
      <c r="B188" s="431">
        <f t="shared" si="22"/>
        <v>2015</v>
      </c>
      <c r="C188" s="430">
        <f t="shared" si="23"/>
        <v>8</v>
      </c>
      <c r="D188" s="430" t="str">
        <f t="shared" si="24"/>
        <v>Q4</v>
      </c>
      <c r="E188" t="str">
        <f t="shared" si="25"/>
        <v>2015Q4</v>
      </c>
      <c r="F188" s="1031">
        <v>6.4841965454061498E-2</v>
      </c>
    </row>
    <row r="189" spans="1:6">
      <c r="A189" s="190">
        <v>42248</v>
      </c>
      <c r="B189" s="431">
        <f t="shared" si="22"/>
        <v>2015</v>
      </c>
      <c r="C189" s="430">
        <f t="shared" si="23"/>
        <v>9</v>
      </c>
      <c r="D189" s="430" t="str">
        <f t="shared" si="24"/>
        <v>Q4</v>
      </c>
      <c r="E189" t="str">
        <f t="shared" si="25"/>
        <v>2015Q4</v>
      </c>
      <c r="F189" s="1031">
        <v>6.4834633870971103E-2</v>
      </c>
    </row>
    <row r="190" spans="1:6">
      <c r="A190" s="190">
        <v>42278</v>
      </c>
      <c r="B190" s="431">
        <f t="shared" ref="B190:B253" si="26">YEAR(A190)</f>
        <v>2015</v>
      </c>
      <c r="C190" s="430">
        <f t="shared" ref="C190:C253" si="27">MONTH(A190)</f>
        <v>10</v>
      </c>
      <c r="D190" s="430" t="str">
        <f t="shared" ref="D190:D253" si="28">IF(C190&lt;=6,"Q2","Q4")</f>
        <v>Q4</v>
      </c>
      <c r="E190" t="str">
        <f t="shared" ref="E190:E253" si="29">B190&amp;D190</f>
        <v>2015Q4</v>
      </c>
      <c r="F190" s="1031">
        <v>6.4827538790578607E-2</v>
      </c>
    </row>
    <row r="191" spans="1:6">
      <c r="A191" s="190">
        <v>42309</v>
      </c>
      <c r="B191" s="431">
        <f t="shared" si="26"/>
        <v>2015</v>
      </c>
      <c r="C191" s="430">
        <f t="shared" si="27"/>
        <v>11</v>
      </c>
      <c r="D191" s="430" t="str">
        <f t="shared" si="28"/>
        <v>Q4</v>
      </c>
      <c r="E191" t="str">
        <f t="shared" si="29"/>
        <v>2015Q4</v>
      </c>
      <c r="F191" s="1031">
        <v>6.4820207207523697E-2</v>
      </c>
    </row>
    <row r="192" spans="1:6">
      <c r="A192" s="190">
        <v>42339</v>
      </c>
      <c r="B192" s="431">
        <f t="shared" si="26"/>
        <v>2015</v>
      </c>
      <c r="C192" s="430">
        <f t="shared" si="27"/>
        <v>12</v>
      </c>
      <c r="D192" s="430" t="str">
        <f t="shared" si="28"/>
        <v>Q4</v>
      </c>
      <c r="E192" t="str">
        <f t="shared" si="29"/>
        <v>2015Q4</v>
      </c>
      <c r="F192" s="1031">
        <v>6.4813112127164896E-2</v>
      </c>
    </row>
    <row r="193" spans="1:6">
      <c r="A193" s="190">
        <v>42370</v>
      </c>
      <c r="B193" s="431">
        <f t="shared" si="26"/>
        <v>2016</v>
      </c>
      <c r="C193" s="430">
        <f t="shared" si="27"/>
        <v>1</v>
      </c>
      <c r="D193" s="430" t="str">
        <f t="shared" si="28"/>
        <v>Q2</v>
      </c>
      <c r="E193" t="str">
        <f t="shared" si="29"/>
        <v>2016Q2</v>
      </c>
      <c r="F193" s="1031">
        <v>6.4805780544144695E-2</v>
      </c>
    </row>
    <row r="194" spans="1:6">
      <c r="A194" s="190">
        <v>42401</v>
      </c>
      <c r="B194" s="431">
        <f t="shared" si="26"/>
        <v>2016</v>
      </c>
      <c r="C194" s="430">
        <f t="shared" si="27"/>
        <v>2</v>
      </c>
      <c r="D194" s="430" t="str">
        <f t="shared" si="28"/>
        <v>Q2</v>
      </c>
      <c r="E194" t="str">
        <f t="shared" si="29"/>
        <v>2016Q2</v>
      </c>
      <c r="F194" s="1031">
        <v>6.4798448961142202E-2</v>
      </c>
    </row>
    <row r="195" spans="1:6">
      <c r="A195" s="190">
        <v>42430</v>
      </c>
      <c r="B195" s="431">
        <f t="shared" si="26"/>
        <v>2016</v>
      </c>
      <c r="C195" s="430">
        <f t="shared" si="27"/>
        <v>3</v>
      </c>
      <c r="D195" s="430" t="str">
        <f t="shared" si="28"/>
        <v>Q2</v>
      </c>
      <c r="E195" t="str">
        <f t="shared" si="29"/>
        <v>2016Q2</v>
      </c>
      <c r="F195" s="1031">
        <v>6.4791590383510997E-2</v>
      </c>
    </row>
    <row r="196" spans="1:6">
      <c r="A196" s="190">
        <v>42461</v>
      </c>
      <c r="B196" s="431">
        <f t="shared" si="26"/>
        <v>2016</v>
      </c>
      <c r="C196" s="430">
        <f t="shared" si="27"/>
        <v>4</v>
      </c>
      <c r="D196" s="430" t="str">
        <f t="shared" si="28"/>
        <v>Q2</v>
      </c>
      <c r="E196" t="str">
        <f t="shared" si="29"/>
        <v>2016Q2</v>
      </c>
      <c r="F196" s="1031">
        <v>6.4784258800543199E-2</v>
      </c>
    </row>
    <row r="197" spans="1:6">
      <c r="A197" s="190">
        <v>42491</v>
      </c>
      <c r="B197" s="431">
        <f t="shared" si="26"/>
        <v>2016</v>
      </c>
      <c r="C197" s="430">
        <f t="shared" si="27"/>
        <v>5</v>
      </c>
      <c r="D197" s="430" t="str">
        <f t="shared" si="28"/>
        <v>Q2</v>
      </c>
      <c r="E197" t="str">
        <f t="shared" si="29"/>
        <v>2016Q2</v>
      </c>
      <c r="F197" s="1031">
        <v>6.4777163720268802E-2</v>
      </c>
    </row>
    <row r="198" spans="1:6">
      <c r="A198" s="190">
        <v>42522</v>
      </c>
      <c r="B198" s="431">
        <f t="shared" si="26"/>
        <v>2016</v>
      </c>
      <c r="C198" s="430">
        <f t="shared" si="27"/>
        <v>6</v>
      </c>
      <c r="D198" s="430" t="str">
        <f t="shared" si="28"/>
        <v>Q2</v>
      </c>
      <c r="E198" t="str">
        <f t="shared" si="29"/>
        <v>2016Q2</v>
      </c>
      <c r="F198" s="1031">
        <v>6.4769832137336003E-2</v>
      </c>
    </row>
    <row r="199" spans="1:6">
      <c r="A199" s="190">
        <v>42552</v>
      </c>
      <c r="B199" s="431">
        <f t="shared" si="26"/>
        <v>2016</v>
      </c>
      <c r="C199" s="430">
        <f t="shared" si="27"/>
        <v>7</v>
      </c>
      <c r="D199" s="430" t="str">
        <f t="shared" si="28"/>
        <v>Q4</v>
      </c>
      <c r="E199" t="str">
        <f t="shared" si="29"/>
        <v>2016Q4</v>
      </c>
      <c r="F199" s="1031">
        <v>6.4762737057095801E-2</v>
      </c>
    </row>
    <row r="200" spans="1:6">
      <c r="A200" s="190">
        <v>42583</v>
      </c>
      <c r="B200" s="431">
        <f t="shared" si="26"/>
        <v>2016</v>
      </c>
      <c r="C200" s="430">
        <f t="shared" si="27"/>
        <v>8</v>
      </c>
      <c r="D200" s="430" t="str">
        <f t="shared" si="28"/>
        <v>Q4</v>
      </c>
      <c r="E200" t="str">
        <f t="shared" si="29"/>
        <v>2016Q4</v>
      </c>
      <c r="F200" s="1031">
        <v>6.4755405474198099E-2</v>
      </c>
    </row>
    <row r="201" spans="1:6">
      <c r="A201" s="190">
        <v>42614</v>
      </c>
      <c r="B201" s="431">
        <f t="shared" si="26"/>
        <v>2016</v>
      </c>
      <c r="C201" s="430">
        <f t="shared" si="27"/>
        <v>9</v>
      </c>
      <c r="D201" s="430" t="str">
        <f t="shared" si="28"/>
        <v>Q4</v>
      </c>
      <c r="E201" t="str">
        <f t="shared" si="29"/>
        <v>2016Q4</v>
      </c>
      <c r="F201" s="1031">
        <v>6.4748073891318703E-2</v>
      </c>
    </row>
    <row r="202" spans="1:6">
      <c r="A202" s="190">
        <v>42644</v>
      </c>
      <c r="B202" s="431">
        <f t="shared" si="26"/>
        <v>2016</v>
      </c>
      <c r="C202" s="430">
        <f t="shared" si="27"/>
        <v>10</v>
      </c>
      <c r="D202" s="430" t="str">
        <f t="shared" si="28"/>
        <v>Q4</v>
      </c>
      <c r="E202" t="str">
        <f t="shared" si="29"/>
        <v>2016Q4</v>
      </c>
      <c r="F202" s="1031">
        <v>6.4740978811129099E-2</v>
      </c>
    </row>
    <row r="203" spans="1:6">
      <c r="A203" s="190">
        <v>42675</v>
      </c>
      <c r="B203" s="431">
        <f t="shared" si="26"/>
        <v>2016</v>
      </c>
      <c r="C203" s="430">
        <f t="shared" si="27"/>
        <v>11</v>
      </c>
      <c r="D203" s="430" t="str">
        <f t="shared" si="28"/>
        <v>Q4</v>
      </c>
      <c r="E203" t="str">
        <f t="shared" si="29"/>
        <v>2016Q4</v>
      </c>
      <c r="F203" s="1031">
        <v>6.4733647228284202E-2</v>
      </c>
    </row>
    <row r="204" spans="1:6">
      <c r="A204" s="190">
        <v>42705</v>
      </c>
      <c r="B204" s="431">
        <f t="shared" si="26"/>
        <v>2016</v>
      </c>
      <c r="C204" s="430">
        <f t="shared" si="27"/>
        <v>12</v>
      </c>
      <c r="D204" s="430" t="str">
        <f t="shared" si="28"/>
        <v>Q4</v>
      </c>
      <c r="E204" t="str">
        <f t="shared" si="29"/>
        <v>2016Q4</v>
      </c>
      <c r="F204" s="1031">
        <v>6.4726552148128794E-2</v>
      </c>
    </row>
    <row r="205" spans="1:6">
      <c r="A205" s="190">
        <v>42736</v>
      </c>
      <c r="B205" s="431">
        <f t="shared" si="26"/>
        <v>2017</v>
      </c>
      <c r="C205" s="430">
        <f t="shared" si="27"/>
        <v>1</v>
      </c>
      <c r="D205" s="430" t="str">
        <f t="shared" si="28"/>
        <v>Q2</v>
      </c>
      <c r="E205" t="str">
        <f t="shared" si="29"/>
        <v>2017Q2</v>
      </c>
      <c r="F205" s="1031">
        <v>6.4719220565319105E-2</v>
      </c>
    </row>
    <row r="206" spans="1:6">
      <c r="A206" s="190">
        <v>42767</v>
      </c>
      <c r="B206" s="431">
        <f t="shared" si="26"/>
        <v>2017</v>
      </c>
      <c r="C206" s="430">
        <f t="shared" si="27"/>
        <v>2</v>
      </c>
      <c r="D206" s="430" t="str">
        <f t="shared" si="28"/>
        <v>Q2</v>
      </c>
      <c r="E206" t="str">
        <f t="shared" si="29"/>
        <v>2017Q2</v>
      </c>
      <c r="F206" s="1031">
        <v>6.4711888982527097E-2</v>
      </c>
    </row>
    <row r="207" spans="1:6">
      <c r="A207" s="190">
        <v>42795</v>
      </c>
      <c r="B207" s="431">
        <f t="shared" si="26"/>
        <v>2017</v>
      </c>
      <c r="C207" s="430">
        <f t="shared" si="27"/>
        <v>3</v>
      </c>
      <c r="D207" s="430" t="str">
        <f t="shared" si="28"/>
        <v>Q2</v>
      </c>
      <c r="E207" t="str">
        <f t="shared" si="29"/>
        <v>2017Q2</v>
      </c>
      <c r="F207" s="1031">
        <v>6.4705266907763001E-2</v>
      </c>
    </row>
    <row r="208" spans="1:6">
      <c r="A208" s="190">
        <v>42826</v>
      </c>
      <c r="B208" s="431">
        <f t="shared" si="26"/>
        <v>2017</v>
      </c>
      <c r="C208" s="430">
        <f t="shared" si="27"/>
        <v>4</v>
      </c>
      <c r="D208" s="430" t="str">
        <f t="shared" si="28"/>
        <v>Q2</v>
      </c>
      <c r="E208" t="str">
        <f t="shared" si="29"/>
        <v>2017Q2</v>
      </c>
      <c r="F208" s="1031">
        <v>6.4697935325004799E-2</v>
      </c>
    </row>
    <row r="209" spans="1:6">
      <c r="A209" s="190">
        <v>42856</v>
      </c>
      <c r="B209" s="431">
        <f t="shared" si="26"/>
        <v>2017</v>
      </c>
      <c r="C209" s="430">
        <f t="shared" si="27"/>
        <v>5</v>
      </c>
      <c r="D209" s="430" t="str">
        <f t="shared" si="28"/>
        <v>Q2</v>
      </c>
      <c r="E209" t="str">
        <f t="shared" si="29"/>
        <v>2017Q2</v>
      </c>
      <c r="F209" s="1031">
        <v>6.4690840244933795E-2</v>
      </c>
    </row>
    <row r="210" spans="1:6">
      <c r="A210" s="190">
        <v>42887</v>
      </c>
      <c r="B210" s="431">
        <f t="shared" si="26"/>
        <v>2017</v>
      </c>
      <c r="C210" s="430">
        <f t="shared" si="27"/>
        <v>6</v>
      </c>
      <c r="D210" s="430" t="str">
        <f t="shared" si="28"/>
        <v>Q2</v>
      </c>
      <c r="E210" t="str">
        <f t="shared" si="29"/>
        <v>2017Q2</v>
      </c>
      <c r="F210" s="1031">
        <v>6.4683508662210606E-2</v>
      </c>
    </row>
    <row r="211" spans="1:6">
      <c r="A211" s="190">
        <v>42917</v>
      </c>
      <c r="B211" s="431">
        <f t="shared" si="26"/>
        <v>2017</v>
      </c>
      <c r="C211" s="430">
        <f t="shared" si="27"/>
        <v>7</v>
      </c>
      <c r="D211" s="430" t="str">
        <f t="shared" si="28"/>
        <v>Q4</v>
      </c>
      <c r="E211" t="str">
        <f t="shared" si="29"/>
        <v>2017Q4</v>
      </c>
      <c r="F211" s="1031">
        <v>6.4676413582173395E-2</v>
      </c>
    </row>
    <row r="212" spans="1:6">
      <c r="A212" s="190">
        <v>42948</v>
      </c>
      <c r="B212" s="431">
        <f t="shared" si="26"/>
        <v>2017</v>
      </c>
      <c r="C212" s="430">
        <f t="shared" si="27"/>
        <v>8</v>
      </c>
      <c r="D212" s="430" t="str">
        <f t="shared" si="28"/>
        <v>Q4</v>
      </c>
      <c r="E212" t="str">
        <f t="shared" si="29"/>
        <v>2017Q4</v>
      </c>
      <c r="F212" s="1031">
        <v>6.4669081999485303E-2</v>
      </c>
    </row>
    <row r="213" spans="1:6">
      <c r="A213" s="190">
        <v>42979</v>
      </c>
      <c r="B213" s="431">
        <f t="shared" si="26"/>
        <v>2017</v>
      </c>
      <c r="C213" s="430">
        <f t="shared" si="27"/>
        <v>9</v>
      </c>
      <c r="D213" s="430" t="str">
        <f t="shared" si="28"/>
        <v>Q4</v>
      </c>
      <c r="E213" t="str">
        <f t="shared" si="29"/>
        <v>2017Q4</v>
      </c>
      <c r="F213" s="1031">
        <v>6.4661750416815406E-2</v>
      </c>
    </row>
    <row r="214" spans="1:6">
      <c r="A214" s="190">
        <v>43009</v>
      </c>
      <c r="B214" s="431">
        <f t="shared" si="26"/>
        <v>2017</v>
      </c>
      <c r="C214" s="430">
        <f t="shared" si="27"/>
        <v>10</v>
      </c>
      <c r="D214" s="430" t="str">
        <f t="shared" si="28"/>
        <v>Q4</v>
      </c>
      <c r="E214" t="str">
        <f t="shared" si="29"/>
        <v>2017Q4</v>
      </c>
      <c r="F214" s="1031">
        <v>6.4654655336828806E-2</v>
      </c>
    </row>
    <row r="215" spans="1:6">
      <c r="A215" s="190">
        <v>43040</v>
      </c>
      <c r="B215" s="431">
        <f t="shared" si="26"/>
        <v>2017</v>
      </c>
      <c r="C215" s="430">
        <f t="shared" si="27"/>
        <v>11</v>
      </c>
      <c r="D215" s="430" t="str">
        <f t="shared" si="28"/>
        <v>Q4</v>
      </c>
      <c r="E215" t="str">
        <f t="shared" si="29"/>
        <v>2017Q4</v>
      </c>
      <c r="F215" s="1031">
        <v>6.4647323754194505E-2</v>
      </c>
    </row>
    <row r="216" spans="1:6">
      <c r="A216" s="190">
        <v>43070</v>
      </c>
      <c r="B216" s="431">
        <f t="shared" si="26"/>
        <v>2017</v>
      </c>
      <c r="C216" s="430">
        <f t="shared" si="27"/>
        <v>12</v>
      </c>
      <c r="D216" s="430" t="str">
        <f t="shared" si="28"/>
        <v>Q4</v>
      </c>
      <c r="E216" t="str">
        <f t="shared" si="29"/>
        <v>2017Q4</v>
      </c>
      <c r="F216" s="1031">
        <v>6.4640228674242003E-2</v>
      </c>
    </row>
    <row r="217" spans="1:6">
      <c r="A217" s="190">
        <v>43101</v>
      </c>
      <c r="B217" s="431">
        <f t="shared" si="26"/>
        <v>2018</v>
      </c>
      <c r="C217" s="430">
        <f t="shared" si="27"/>
        <v>1</v>
      </c>
      <c r="D217" s="430" t="str">
        <f t="shared" si="28"/>
        <v>Q2</v>
      </c>
      <c r="E217" t="str">
        <f t="shared" si="29"/>
        <v>2018Q2</v>
      </c>
      <c r="F217" s="1031">
        <v>6.4632897091641897E-2</v>
      </c>
    </row>
    <row r="218" spans="1:6">
      <c r="A218" s="190">
        <v>43132</v>
      </c>
      <c r="B218" s="431">
        <f t="shared" si="26"/>
        <v>2018</v>
      </c>
      <c r="C218" s="430">
        <f t="shared" si="27"/>
        <v>2</v>
      </c>
      <c r="D218" s="430" t="str">
        <f t="shared" si="28"/>
        <v>Q2</v>
      </c>
      <c r="E218" t="str">
        <f t="shared" si="29"/>
        <v>2018Q2</v>
      </c>
      <c r="F218" s="1031">
        <v>6.4625565509059998E-2</v>
      </c>
    </row>
    <row r="219" spans="1:6">
      <c r="A219" s="190">
        <v>43160</v>
      </c>
      <c r="B219" s="431">
        <f t="shared" si="26"/>
        <v>2018</v>
      </c>
      <c r="C219" s="430">
        <f t="shared" si="27"/>
        <v>3</v>
      </c>
      <c r="D219" s="430" t="str">
        <f t="shared" si="28"/>
        <v>Q2</v>
      </c>
      <c r="E219" t="str">
        <f t="shared" si="29"/>
        <v>2018Q2</v>
      </c>
      <c r="F219" s="1031">
        <v>6.4618943434484599E-2</v>
      </c>
    </row>
    <row r="220" spans="1:6">
      <c r="A220" s="190">
        <v>43191</v>
      </c>
      <c r="B220" s="431">
        <f t="shared" si="26"/>
        <v>2018</v>
      </c>
      <c r="C220" s="430">
        <f t="shared" si="27"/>
        <v>4</v>
      </c>
      <c r="D220" s="430" t="str">
        <f t="shared" si="28"/>
        <v>Q2</v>
      </c>
      <c r="E220" t="str">
        <f t="shared" si="29"/>
        <v>2018Q2</v>
      </c>
      <c r="F220" s="1031">
        <v>6.4611611851936895E-2</v>
      </c>
    </row>
    <row r="221" spans="1:6">
      <c r="A221" s="190">
        <v>43221</v>
      </c>
      <c r="B221" s="431">
        <f t="shared" si="26"/>
        <v>2018</v>
      </c>
      <c r="C221" s="430">
        <f t="shared" si="27"/>
        <v>5</v>
      </c>
      <c r="D221" s="430" t="str">
        <f t="shared" si="28"/>
        <v>Q2</v>
      </c>
      <c r="E221" t="str">
        <f t="shared" si="29"/>
        <v>2018Q2</v>
      </c>
      <c r="F221" s="1031">
        <v>6.4604516772068799E-2</v>
      </c>
    </row>
    <row r="222" spans="1:6">
      <c r="A222" s="190">
        <v>43252</v>
      </c>
      <c r="B222" s="431">
        <f t="shared" si="26"/>
        <v>2018</v>
      </c>
      <c r="C222" s="430">
        <f t="shared" si="27"/>
        <v>6</v>
      </c>
      <c r="D222" s="430" t="str">
        <f t="shared" si="28"/>
        <v>Q2</v>
      </c>
      <c r="E222" t="str">
        <f t="shared" si="29"/>
        <v>2018Q2</v>
      </c>
      <c r="F222" s="1031">
        <v>6.4597185189555706E-2</v>
      </c>
    </row>
    <row r="223" spans="1:6">
      <c r="A223" s="190">
        <v>43282</v>
      </c>
      <c r="B223" s="431">
        <f t="shared" si="26"/>
        <v>2018</v>
      </c>
      <c r="C223" s="430">
        <f t="shared" si="27"/>
        <v>7</v>
      </c>
      <c r="D223" s="430" t="str">
        <f t="shared" si="28"/>
        <v>Q4</v>
      </c>
      <c r="E223" t="str">
        <f t="shared" si="29"/>
        <v>2018Q4</v>
      </c>
      <c r="F223" s="1031">
        <v>6.4590090109720902E-2</v>
      </c>
    </row>
    <row r="224" spans="1:6">
      <c r="A224" s="190">
        <v>43313</v>
      </c>
      <c r="B224" s="431">
        <f t="shared" si="26"/>
        <v>2018</v>
      </c>
      <c r="C224" s="430">
        <f t="shared" si="27"/>
        <v>8</v>
      </c>
      <c r="D224" s="430" t="str">
        <f t="shared" si="28"/>
        <v>Q4</v>
      </c>
      <c r="E224" t="str">
        <f t="shared" si="29"/>
        <v>2018Q4</v>
      </c>
      <c r="F224" s="1031">
        <v>6.4582758527242906E-2</v>
      </c>
    </row>
    <row r="225" spans="1:6">
      <c r="A225" s="190">
        <v>43344</v>
      </c>
      <c r="B225" s="431">
        <f t="shared" si="26"/>
        <v>2018</v>
      </c>
      <c r="C225" s="430">
        <f t="shared" si="27"/>
        <v>9</v>
      </c>
      <c r="D225" s="430" t="str">
        <f t="shared" si="28"/>
        <v>Q4</v>
      </c>
      <c r="E225" t="str">
        <f t="shared" si="29"/>
        <v>2018Q4</v>
      </c>
      <c r="F225" s="1031">
        <v>6.4575426944782702E-2</v>
      </c>
    </row>
    <row r="226" spans="1:6">
      <c r="A226" s="190">
        <v>43374</v>
      </c>
      <c r="B226" s="431">
        <f t="shared" si="26"/>
        <v>2018</v>
      </c>
      <c r="C226" s="430">
        <f t="shared" si="27"/>
        <v>10</v>
      </c>
      <c r="D226" s="430" t="str">
        <f t="shared" si="28"/>
        <v>Q4</v>
      </c>
      <c r="E226" t="str">
        <f t="shared" si="29"/>
        <v>2018Q4</v>
      </c>
      <c r="F226" s="1031">
        <v>6.4568331864999398E-2</v>
      </c>
    </row>
    <row r="227" spans="1:6">
      <c r="A227" s="190">
        <v>43405</v>
      </c>
      <c r="B227" s="431">
        <f t="shared" si="26"/>
        <v>2018</v>
      </c>
      <c r="C227" s="430">
        <f t="shared" si="27"/>
        <v>11</v>
      </c>
      <c r="D227" s="430" t="str">
        <f t="shared" si="28"/>
        <v>Q4</v>
      </c>
      <c r="E227" t="str">
        <f t="shared" si="29"/>
        <v>2018Q4</v>
      </c>
      <c r="F227" s="1031">
        <v>6.4561000282574693E-2</v>
      </c>
    </row>
    <row r="228" spans="1:6">
      <c r="A228" s="190">
        <v>43435</v>
      </c>
      <c r="B228" s="431">
        <f t="shared" si="26"/>
        <v>2018</v>
      </c>
      <c r="C228" s="430">
        <f t="shared" si="27"/>
        <v>12</v>
      </c>
      <c r="D228" s="430" t="str">
        <f t="shared" si="28"/>
        <v>Q4</v>
      </c>
      <c r="E228" t="str">
        <f t="shared" si="29"/>
        <v>2018Q4</v>
      </c>
      <c r="F228" s="1031">
        <v>6.4553905202825695E-2</v>
      </c>
    </row>
    <row r="229" spans="1:6">
      <c r="A229" s="190">
        <v>43466</v>
      </c>
      <c r="B229" s="431">
        <f t="shared" si="26"/>
        <v>2019</v>
      </c>
      <c r="C229" s="430">
        <f t="shared" si="27"/>
        <v>1</v>
      </c>
      <c r="D229" s="430" t="str">
        <f t="shared" si="28"/>
        <v>Q2</v>
      </c>
      <c r="E229" t="str">
        <f t="shared" si="29"/>
        <v>2019Q2</v>
      </c>
      <c r="F229" s="1031">
        <v>6.4546573620435102E-2</v>
      </c>
    </row>
    <row r="230" spans="1:6">
      <c r="A230" s="190">
        <v>43497</v>
      </c>
      <c r="B230" s="431">
        <f t="shared" si="26"/>
        <v>2019</v>
      </c>
      <c r="C230" s="430">
        <f t="shared" si="27"/>
        <v>2</v>
      </c>
      <c r="D230" s="430" t="str">
        <f t="shared" si="28"/>
        <v>Q2</v>
      </c>
      <c r="E230" t="str">
        <f t="shared" si="29"/>
        <v>2019Q2</v>
      </c>
      <c r="F230" s="1031">
        <v>6.45392420380628E-2</v>
      </c>
    </row>
    <row r="231" spans="1:6">
      <c r="A231" s="190">
        <v>43525</v>
      </c>
      <c r="B231" s="431">
        <f t="shared" si="26"/>
        <v>2019</v>
      </c>
      <c r="C231" s="430">
        <f t="shared" si="27"/>
        <v>3</v>
      </c>
      <c r="D231" s="430" t="str">
        <f t="shared" si="28"/>
        <v>Q2</v>
      </c>
      <c r="E231" t="str">
        <f t="shared" si="29"/>
        <v>2019Q2</v>
      </c>
      <c r="F231" s="1031">
        <v>6.4532619963677498E-2</v>
      </c>
    </row>
    <row r="232" spans="1:6">
      <c r="A232" s="190">
        <v>43556</v>
      </c>
      <c r="B232" s="431">
        <f t="shared" si="26"/>
        <v>2019</v>
      </c>
      <c r="C232" s="430">
        <f t="shared" si="27"/>
        <v>4</v>
      </c>
      <c r="D232" s="430" t="str">
        <f t="shared" si="28"/>
        <v>Q2</v>
      </c>
      <c r="E232" t="str">
        <f t="shared" si="29"/>
        <v>2019Q2</v>
      </c>
      <c r="F232" s="1031">
        <v>6.4525288381339405E-2</v>
      </c>
    </row>
    <row r="233" spans="1:6">
      <c r="A233" s="190">
        <v>43586</v>
      </c>
      <c r="B233" s="431">
        <f t="shared" si="26"/>
        <v>2019</v>
      </c>
      <c r="C233" s="430">
        <f t="shared" si="27"/>
        <v>5</v>
      </c>
      <c r="D233" s="430" t="str">
        <f t="shared" si="28"/>
        <v>Q2</v>
      </c>
      <c r="E233" t="str">
        <f t="shared" si="29"/>
        <v>2019Q2</v>
      </c>
      <c r="F233" s="1031">
        <v>6.4518193301674298E-2</v>
      </c>
    </row>
    <row r="234" spans="1:6">
      <c r="A234" s="190">
        <v>43617</v>
      </c>
      <c r="B234" s="431">
        <f t="shared" si="26"/>
        <v>2019</v>
      </c>
      <c r="C234" s="430">
        <f t="shared" si="27"/>
        <v>6</v>
      </c>
      <c r="D234" s="430" t="str">
        <f t="shared" si="28"/>
        <v>Q2</v>
      </c>
      <c r="E234" t="str">
        <f t="shared" si="29"/>
        <v>2019Q2</v>
      </c>
      <c r="F234" s="1031">
        <v>6.4510861719370802E-2</v>
      </c>
    </row>
    <row r="235" spans="1:6">
      <c r="A235" s="190">
        <v>43647</v>
      </c>
      <c r="B235" s="431">
        <f t="shared" si="26"/>
        <v>2019</v>
      </c>
      <c r="C235" s="430">
        <f t="shared" si="27"/>
        <v>7</v>
      </c>
      <c r="D235" s="430" t="str">
        <f t="shared" si="28"/>
        <v>Q4</v>
      </c>
      <c r="E235" t="str">
        <f t="shared" si="29"/>
        <v>2019Q4</v>
      </c>
      <c r="F235" s="1031">
        <v>6.4503766639739502E-2</v>
      </c>
    </row>
    <row r="236" spans="1:6">
      <c r="A236" s="190">
        <v>43678</v>
      </c>
      <c r="B236" s="431">
        <f t="shared" si="26"/>
        <v>2019</v>
      </c>
      <c r="C236" s="430">
        <f t="shared" si="27"/>
        <v>8</v>
      </c>
      <c r="D236" s="430" t="str">
        <f t="shared" si="28"/>
        <v>Q4</v>
      </c>
      <c r="E236" t="str">
        <f t="shared" si="29"/>
        <v>2019Q4</v>
      </c>
      <c r="F236" s="1031">
        <v>6.4496435057471102E-2</v>
      </c>
    </row>
    <row r="237" spans="1:6">
      <c r="A237" s="190">
        <v>43709</v>
      </c>
      <c r="B237" s="431">
        <f t="shared" si="26"/>
        <v>2019</v>
      </c>
      <c r="C237" s="430">
        <f t="shared" si="27"/>
        <v>9</v>
      </c>
      <c r="D237" s="430" t="str">
        <f t="shared" si="28"/>
        <v>Q4</v>
      </c>
      <c r="E237" t="str">
        <f t="shared" si="29"/>
        <v>2019Q4</v>
      </c>
      <c r="F237" s="1031">
        <v>6.4489103475220896E-2</v>
      </c>
    </row>
    <row r="238" spans="1:6">
      <c r="A238" s="190">
        <v>43739</v>
      </c>
      <c r="B238" s="431">
        <f t="shared" si="26"/>
        <v>2019</v>
      </c>
      <c r="C238" s="430">
        <f t="shared" si="27"/>
        <v>10</v>
      </c>
      <c r="D238" s="430" t="str">
        <f t="shared" si="28"/>
        <v>Q4</v>
      </c>
      <c r="E238" t="str">
        <f t="shared" si="29"/>
        <v>2019Q4</v>
      </c>
      <c r="F238" s="1031">
        <v>6.4482008395640597E-2</v>
      </c>
    </row>
    <row r="239" spans="1:6">
      <c r="A239" s="190">
        <v>43770</v>
      </c>
      <c r="B239" s="431">
        <f t="shared" si="26"/>
        <v>2019</v>
      </c>
      <c r="C239" s="430">
        <f t="shared" si="27"/>
        <v>11</v>
      </c>
      <c r="D239" s="430" t="str">
        <f t="shared" si="28"/>
        <v>Q4</v>
      </c>
      <c r="E239" t="str">
        <f t="shared" si="29"/>
        <v>2019Q4</v>
      </c>
      <c r="F239" s="1031">
        <v>6.4474676813425003E-2</v>
      </c>
    </row>
    <row r="240" spans="1:6">
      <c r="A240" s="190">
        <v>43800</v>
      </c>
      <c r="B240" s="431">
        <f t="shared" si="26"/>
        <v>2019</v>
      </c>
      <c r="C240" s="430">
        <f t="shared" si="27"/>
        <v>12</v>
      </c>
      <c r="D240" s="430" t="str">
        <f t="shared" si="28"/>
        <v>Q4</v>
      </c>
      <c r="E240" t="str">
        <f t="shared" si="29"/>
        <v>2019Q4</v>
      </c>
      <c r="F240" s="1031">
        <v>6.4467581733878898E-2</v>
      </c>
    </row>
    <row r="241" spans="1:6">
      <c r="A241" s="190">
        <v>43831</v>
      </c>
      <c r="B241" s="431">
        <f t="shared" si="26"/>
        <v>2020</v>
      </c>
      <c r="C241" s="430">
        <f t="shared" si="27"/>
        <v>1</v>
      </c>
      <c r="D241" s="430" t="str">
        <f t="shared" si="28"/>
        <v>Q2</v>
      </c>
      <c r="E241" t="str">
        <f t="shared" si="29"/>
        <v>2020Q2</v>
      </c>
      <c r="F241" s="1031">
        <v>6.44602501516989E-2</v>
      </c>
    </row>
    <row r="242" spans="1:6">
      <c r="A242" s="190">
        <v>43862</v>
      </c>
      <c r="B242" s="431">
        <f t="shared" si="26"/>
        <v>2020</v>
      </c>
      <c r="C242" s="430">
        <f t="shared" si="27"/>
        <v>2</v>
      </c>
      <c r="D242" s="430" t="str">
        <f t="shared" si="28"/>
        <v>Q2</v>
      </c>
      <c r="E242" t="str">
        <f t="shared" si="29"/>
        <v>2020Q2</v>
      </c>
      <c r="F242" s="1031">
        <v>6.4452918569536596E-2</v>
      </c>
    </row>
    <row r="243" spans="1:6">
      <c r="A243" s="190">
        <v>43891</v>
      </c>
      <c r="B243" s="431">
        <f t="shared" si="26"/>
        <v>2020</v>
      </c>
      <c r="C243" s="430">
        <f t="shared" si="27"/>
        <v>3</v>
      </c>
      <c r="D243" s="430" t="str">
        <f t="shared" si="28"/>
        <v>Q2</v>
      </c>
      <c r="E243" t="str">
        <f t="shared" si="29"/>
        <v>2020Q2</v>
      </c>
      <c r="F243" s="1031">
        <v>6.4446059992690999E-2</v>
      </c>
    </row>
    <row r="244" spans="1:6">
      <c r="A244" s="190">
        <v>43922</v>
      </c>
      <c r="B244" s="431">
        <f t="shared" si="26"/>
        <v>2020</v>
      </c>
      <c r="C244" s="430">
        <f t="shared" si="27"/>
        <v>4</v>
      </c>
      <c r="D244" s="430" t="str">
        <f t="shared" si="28"/>
        <v>Q2</v>
      </c>
      <c r="E244" t="str">
        <f t="shared" si="29"/>
        <v>2020Q2</v>
      </c>
      <c r="F244" s="1031">
        <v>6.4436600227444796E-2</v>
      </c>
    </row>
    <row r="245" spans="1:6">
      <c r="A245" s="190">
        <v>43952</v>
      </c>
      <c r="B245" s="431">
        <f t="shared" si="26"/>
        <v>2020</v>
      </c>
      <c r="C245" s="430">
        <f t="shared" si="27"/>
        <v>5</v>
      </c>
      <c r="D245" s="430" t="str">
        <f t="shared" si="28"/>
        <v>Q2</v>
      </c>
      <c r="E245" t="str">
        <f t="shared" si="29"/>
        <v>2020Q2</v>
      </c>
      <c r="F245" s="1031">
        <v>6.4416736049338397E-2</v>
      </c>
    </row>
    <row r="246" spans="1:6">
      <c r="A246" s="190">
        <v>43983</v>
      </c>
      <c r="B246" s="431">
        <f t="shared" si="26"/>
        <v>2020</v>
      </c>
      <c r="C246" s="430">
        <f t="shared" si="27"/>
        <v>6</v>
      </c>
      <c r="D246" s="430" t="str">
        <f t="shared" si="28"/>
        <v>Q2</v>
      </c>
      <c r="E246" t="str">
        <f t="shared" si="29"/>
        <v>2020Q2</v>
      </c>
      <c r="F246" s="1031">
        <v>6.4396209732099599E-2</v>
      </c>
    </row>
    <row r="247" spans="1:6">
      <c r="A247" s="190">
        <v>44013</v>
      </c>
      <c r="B247" s="431">
        <f t="shared" si="26"/>
        <v>2020</v>
      </c>
      <c r="C247" s="430">
        <f t="shared" si="27"/>
        <v>7</v>
      </c>
      <c r="D247" s="430" t="str">
        <f t="shared" si="28"/>
        <v>Q4</v>
      </c>
      <c r="E247" t="str">
        <f t="shared" si="29"/>
        <v>2020Q4</v>
      </c>
      <c r="F247" s="1031">
        <v>6.4376345554259598E-2</v>
      </c>
    </row>
    <row r="248" spans="1:6">
      <c r="A248" s="190">
        <v>44044</v>
      </c>
      <c r="B248" s="431">
        <f t="shared" si="26"/>
        <v>2020</v>
      </c>
      <c r="C248" s="430">
        <f t="shared" si="27"/>
        <v>8</v>
      </c>
      <c r="D248" s="430" t="str">
        <f t="shared" si="28"/>
        <v>Q4</v>
      </c>
      <c r="E248" t="str">
        <f t="shared" si="29"/>
        <v>2020Q4</v>
      </c>
      <c r="F248" s="1031">
        <v>6.4355819237295303E-2</v>
      </c>
    </row>
    <row r="249" spans="1:6">
      <c r="A249" s="190">
        <v>44075</v>
      </c>
      <c r="B249" s="431">
        <f t="shared" si="26"/>
        <v>2020</v>
      </c>
      <c r="C249" s="430">
        <f t="shared" si="27"/>
        <v>9</v>
      </c>
      <c r="D249" s="430" t="str">
        <f t="shared" si="28"/>
        <v>Q4</v>
      </c>
      <c r="E249" t="str">
        <f t="shared" si="29"/>
        <v>2020Q4</v>
      </c>
      <c r="F249" s="1031">
        <v>6.4335292920471202E-2</v>
      </c>
    </row>
    <row r="250" spans="1:6">
      <c r="A250" s="190">
        <v>44105</v>
      </c>
      <c r="B250" s="431">
        <f t="shared" si="26"/>
        <v>2020</v>
      </c>
      <c r="C250" s="430">
        <f t="shared" si="27"/>
        <v>10</v>
      </c>
      <c r="D250" s="430" t="str">
        <f t="shared" si="28"/>
        <v>Q4</v>
      </c>
      <c r="E250" t="str">
        <f t="shared" si="29"/>
        <v>2020Q4</v>
      </c>
      <c r="F250" s="1031">
        <v>6.4315428743032296E-2</v>
      </c>
    </row>
    <row r="251" spans="1:6">
      <c r="A251" s="190">
        <v>44136</v>
      </c>
      <c r="B251" s="431">
        <f t="shared" si="26"/>
        <v>2020</v>
      </c>
      <c r="C251" s="430">
        <f t="shared" si="27"/>
        <v>11</v>
      </c>
      <c r="D251" s="430" t="str">
        <f t="shared" si="28"/>
        <v>Q4</v>
      </c>
      <c r="E251" t="str">
        <f t="shared" si="29"/>
        <v>2020Q4</v>
      </c>
      <c r="F251" s="1031">
        <v>6.4294902426483197E-2</v>
      </c>
    </row>
    <row r="252" spans="1:6">
      <c r="A252" s="190">
        <v>44166</v>
      </c>
      <c r="B252" s="431">
        <f t="shared" si="26"/>
        <v>2020</v>
      </c>
      <c r="C252" s="430">
        <f t="shared" si="27"/>
        <v>12</v>
      </c>
      <c r="D252" s="430" t="str">
        <f t="shared" si="28"/>
        <v>Q4</v>
      </c>
      <c r="E252" t="str">
        <f t="shared" si="29"/>
        <v>2020Q4</v>
      </c>
      <c r="F252" s="1031">
        <v>6.4275038249310301E-2</v>
      </c>
    </row>
    <row r="253" spans="1:6">
      <c r="A253" s="190">
        <v>44197</v>
      </c>
      <c r="B253" s="431">
        <f t="shared" si="26"/>
        <v>2021</v>
      </c>
      <c r="C253" s="430">
        <f t="shared" si="27"/>
        <v>1</v>
      </c>
      <c r="D253" s="430" t="str">
        <f t="shared" si="28"/>
        <v>Q2</v>
      </c>
      <c r="E253" t="str">
        <f t="shared" si="29"/>
        <v>2021Q2</v>
      </c>
      <c r="F253" s="1031">
        <v>6.4254511933035593E-2</v>
      </c>
    </row>
    <row r="254" spans="1:6">
      <c r="A254" s="190">
        <v>44228</v>
      </c>
      <c r="B254" s="431">
        <f t="shared" ref="B254:B317" si="30">YEAR(A254)</f>
        <v>2021</v>
      </c>
      <c r="C254" s="430">
        <f t="shared" ref="C254:C317" si="31">MONTH(A254)</f>
        <v>2</v>
      </c>
      <c r="D254" s="430" t="str">
        <f t="shared" ref="D254:D317" si="32">IF(C254&lt;=6,"Q2","Q4")</f>
        <v>Q2</v>
      </c>
      <c r="E254" t="str">
        <f t="shared" ref="E254:E317" si="33">B254&amp;D254</f>
        <v>2021Q2</v>
      </c>
      <c r="F254" s="1031">
        <v>6.4233985616901204E-2</v>
      </c>
    </row>
    <row r="255" spans="1:6">
      <c r="A255" s="190">
        <v>44256</v>
      </c>
      <c r="B255" s="431">
        <f t="shared" si="30"/>
        <v>2021</v>
      </c>
      <c r="C255" s="430">
        <f t="shared" si="31"/>
        <v>3</v>
      </c>
      <c r="D255" s="430" t="str">
        <f t="shared" si="32"/>
        <v>Q2</v>
      </c>
      <c r="E255" t="str">
        <f t="shared" si="33"/>
        <v>2021Q2</v>
      </c>
      <c r="F255" s="1031">
        <v>6.4215445718577097E-2</v>
      </c>
    </row>
    <row r="256" spans="1:6">
      <c r="A256" s="190">
        <v>44287</v>
      </c>
      <c r="B256" s="431">
        <f t="shared" si="30"/>
        <v>2021</v>
      </c>
      <c r="C256" s="430">
        <f t="shared" si="31"/>
        <v>4</v>
      </c>
      <c r="D256" s="430" t="str">
        <f t="shared" si="32"/>
        <v>Q2</v>
      </c>
      <c r="E256" t="str">
        <f t="shared" si="33"/>
        <v>2021Q2</v>
      </c>
      <c r="F256" s="1031">
        <v>6.4194919402707801E-2</v>
      </c>
    </row>
    <row r="257" spans="1:6">
      <c r="A257" s="190">
        <v>44317</v>
      </c>
      <c r="B257" s="431">
        <f t="shared" si="30"/>
        <v>2021</v>
      </c>
      <c r="C257" s="430">
        <f t="shared" si="31"/>
        <v>5</v>
      </c>
      <c r="D257" s="430" t="str">
        <f t="shared" si="32"/>
        <v>Q2</v>
      </c>
      <c r="E257" t="str">
        <f t="shared" si="33"/>
        <v>2021Q2</v>
      </c>
      <c r="F257" s="1031">
        <v>6.4175055226193906E-2</v>
      </c>
    </row>
    <row r="258" spans="1:6">
      <c r="A258" s="190">
        <v>44348</v>
      </c>
      <c r="B258" s="431">
        <f t="shared" si="30"/>
        <v>2021</v>
      </c>
      <c r="C258" s="430">
        <f t="shared" si="31"/>
        <v>6</v>
      </c>
      <c r="D258" s="430" t="str">
        <f t="shared" si="32"/>
        <v>Q2</v>
      </c>
      <c r="E258" t="str">
        <f t="shared" si="33"/>
        <v>2021Q2</v>
      </c>
      <c r="F258" s="1031">
        <v>6.4154528910599598E-2</v>
      </c>
    </row>
    <row r="259" spans="1:6">
      <c r="A259" s="190">
        <v>44378</v>
      </c>
      <c r="B259" s="431">
        <f t="shared" si="30"/>
        <v>2021</v>
      </c>
      <c r="C259" s="430">
        <f t="shared" si="31"/>
        <v>7</v>
      </c>
      <c r="D259" s="430" t="str">
        <f t="shared" si="32"/>
        <v>Q4</v>
      </c>
      <c r="E259" t="str">
        <f t="shared" si="33"/>
        <v>2021Q4</v>
      </c>
      <c r="F259" s="1031">
        <v>6.4134664734351698E-2</v>
      </c>
    </row>
    <row r="260" spans="1:6">
      <c r="A260" s="190">
        <v>44409</v>
      </c>
      <c r="B260" s="431">
        <f t="shared" si="30"/>
        <v>2021</v>
      </c>
      <c r="C260" s="430">
        <f t="shared" si="31"/>
        <v>8</v>
      </c>
      <c r="D260" s="430" t="str">
        <f t="shared" si="32"/>
        <v>Q4</v>
      </c>
      <c r="E260" t="str">
        <f t="shared" si="33"/>
        <v>2021Q4</v>
      </c>
      <c r="F260" s="1031">
        <v>6.4114138419032699E-2</v>
      </c>
    </row>
    <row r="261" spans="1:6">
      <c r="A261" s="190">
        <v>44440</v>
      </c>
      <c r="B261" s="431">
        <f t="shared" si="30"/>
        <v>2021</v>
      </c>
      <c r="C261" s="430">
        <f t="shared" si="31"/>
        <v>9</v>
      </c>
      <c r="D261" s="430" t="str">
        <f t="shared" si="32"/>
        <v>Q4</v>
      </c>
      <c r="E261" t="str">
        <f t="shared" si="33"/>
        <v>2021Q4</v>
      </c>
      <c r="F261" s="1031">
        <v>6.4093612103853101E-2</v>
      </c>
    </row>
    <row r="262" spans="1:6">
      <c r="A262" s="190">
        <v>44470</v>
      </c>
      <c r="B262" s="431">
        <f t="shared" si="30"/>
        <v>2021</v>
      </c>
      <c r="C262" s="430">
        <f t="shared" si="31"/>
        <v>10</v>
      </c>
      <c r="D262" s="430" t="str">
        <f t="shared" si="32"/>
        <v>Q4</v>
      </c>
      <c r="E262" t="str">
        <f t="shared" si="33"/>
        <v>2021Q4</v>
      </c>
      <c r="F262" s="1031">
        <v>6.40737479280062E-2</v>
      </c>
    </row>
    <row r="263" spans="1:6">
      <c r="A263" s="190">
        <v>44501</v>
      </c>
      <c r="B263" s="431">
        <f t="shared" si="30"/>
        <v>2021</v>
      </c>
      <c r="C263" s="430">
        <f t="shared" si="31"/>
        <v>11</v>
      </c>
      <c r="D263" s="430" t="str">
        <f t="shared" si="32"/>
        <v>Q4</v>
      </c>
      <c r="E263" t="str">
        <f t="shared" si="33"/>
        <v>2021Q4</v>
      </c>
      <c r="F263" s="1031">
        <v>6.4053221613101993E-2</v>
      </c>
    </row>
    <row r="264" spans="1:6">
      <c r="A264" s="190">
        <v>44531</v>
      </c>
      <c r="B264" s="431">
        <f t="shared" si="30"/>
        <v>2021</v>
      </c>
      <c r="C264" s="430">
        <f t="shared" si="31"/>
        <v>12</v>
      </c>
      <c r="D264" s="430" t="str">
        <f t="shared" si="32"/>
        <v>Q4</v>
      </c>
      <c r="E264" t="str">
        <f t="shared" si="33"/>
        <v>2021Q4</v>
      </c>
      <c r="F264" s="1031">
        <v>6.4033357437521102E-2</v>
      </c>
    </row>
    <row r="265" spans="1:6">
      <c r="A265" s="190">
        <v>44562</v>
      </c>
      <c r="B265" s="431">
        <f t="shared" si="30"/>
        <v>2022</v>
      </c>
      <c r="C265" s="430">
        <f t="shared" si="31"/>
        <v>1</v>
      </c>
      <c r="D265" s="430" t="str">
        <f t="shared" si="32"/>
        <v>Q2</v>
      </c>
      <c r="E265" t="str">
        <f t="shared" si="33"/>
        <v>2022Q2</v>
      </c>
      <c r="F265" s="1031">
        <v>6.4012831122891398E-2</v>
      </c>
    </row>
    <row r="266" spans="1:6">
      <c r="A266" s="190">
        <v>44593</v>
      </c>
      <c r="B266" s="431">
        <f t="shared" si="30"/>
        <v>2022</v>
      </c>
      <c r="C266" s="430">
        <f t="shared" si="31"/>
        <v>2</v>
      </c>
      <c r="D266" s="430" t="str">
        <f t="shared" si="32"/>
        <v>Q2</v>
      </c>
      <c r="E266" t="str">
        <f t="shared" si="33"/>
        <v>2022Q2</v>
      </c>
      <c r="F266" s="1031">
        <v>6.3992304808401901E-2</v>
      </c>
    </row>
    <row r="267" spans="1:6">
      <c r="A267" s="190">
        <v>44621</v>
      </c>
      <c r="B267" s="431">
        <f t="shared" si="30"/>
        <v>2022</v>
      </c>
      <c r="C267" s="430">
        <f t="shared" si="31"/>
        <v>3</v>
      </c>
      <c r="D267" s="430" t="str">
        <f t="shared" si="32"/>
        <v>Q2</v>
      </c>
      <c r="E267" t="str">
        <f t="shared" si="33"/>
        <v>2022Q2</v>
      </c>
      <c r="F267" s="1031">
        <v>6.3973764911563299E-2</v>
      </c>
    </row>
    <row r="268" spans="1:6">
      <c r="A268" s="190">
        <v>44652</v>
      </c>
      <c r="B268" s="431">
        <f t="shared" si="30"/>
        <v>2022</v>
      </c>
      <c r="C268" s="430">
        <f t="shared" si="31"/>
        <v>4</v>
      </c>
      <c r="D268" s="430" t="str">
        <f t="shared" si="32"/>
        <v>Q2</v>
      </c>
      <c r="E268" t="str">
        <f t="shared" si="33"/>
        <v>2022Q2</v>
      </c>
      <c r="F268" s="1031">
        <v>6.3953238597339396E-2</v>
      </c>
    </row>
    <row r="269" spans="1:6">
      <c r="A269" s="190">
        <v>44682</v>
      </c>
      <c r="B269" s="431">
        <f t="shared" si="30"/>
        <v>2022</v>
      </c>
      <c r="C269" s="430">
        <f t="shared" si="31"/>
        <v>5</v>
      </c>
      <c r="D269" s="430" t="str">
        <f t="shared" si="32"/>
        <v>Q2</v>
      </c>
      <c r="E269" t="str">
        <f t="shared" si="33"/>
        <v>2022Q2</v>
      </c>
      <c r="F269" s="1031">
        <v>6.3933374422417505E-2</v>
      </c>
    </row>
    <row r="270" spans="1:6">
      <c r="A270" s="190">
        <v>44713</v>
      </c>
      <c r="B270" s="431">
        <f t="shared" si="30"/>
        <v>2022</v>
      </c>
      <c r="C270" s="430">
        <f t="shared" si="31"/>
        <v>6</v>
      </c>
      <c r="D270" s="430" t="str">
        <f t="shared" si="32"/>
        <v>Q2</v>
      </c>
      <c r="E270" t="str">
        <f t="shared" si="33"/>
        <v>2022Q2</v>
      </c>
      <c r="F270" s="1031">
        <v>6.3912848108468506E-2</v>
      </c>
    </row>
    <row r="271" spans="1:6">
      <c r="A271" s="190">
        <v>44743</v>
      </c>
      <c r="B271" s="431">
        <f t="shared" si="30"/>
        <v>2022</v>
      </c>
      <c r="C271" s="430">
        <f t="shared" si="31"/>
        <v>7</v>
      </c>
      <c r="D271" s="430" t="str">
        <f t="shared" si="32"/>
        <v>Q4</v>
      </c>
      <c r="E271" t="str">
        <f t="shared" si="33"/>
        <v>2022Q4</v>
      </c>
      <c r="F271" s="1031">
        <v>6.3892983933812306E-2</v>
      </c>
    </row>
    <row r="272" spans="1:6">
      <c r="A272" s="190">
        <v>44774</v>
      </c>
      <c r="B272" s="431">
        <f t="shared" si="30"/>
        <v>2022</v>
      </c>
      <c r="C272" s="430">
        <f t="shared" si="31"/>
        <v>8</v>
      </c>
      <c r="D272" s="430" t="str">
        <f t="shared" si="32"/>
        <v>Q4</v>
      </c>
      <c r="E272" t="str">
        <f t="shared" si="33"/>
        <v>2022Q4</v>
      </c>
      <c r="F272" s="1031">
        <v>6.3872457620138198E-2</v>
      </c>
    </row>
    <row r="273" spans="1:6">
      <c r="A273" s="190">
        <v>44805</v>
      </c>
      <c r="B273" s="431">
        <f t="shared" si="30"/>
        <v>2022</v>
      </c>
      <c r="C273" s="430">
        <f t="shared" si="31"/>
        <v>9</v>
      </c>
      <c r="D273" s="430" t="str">
        <f t="shared" si="32"/>
        <v>Q4</v>
      </c>
      <c r="E273" t="str">
        <f t="shared" si="33"/>
        <v>2022Q4</v>
      </c>
      <c r="F273" s="1031">
        <v>6.3851931306603896E-2</v>
      </c>
    </row>
    <row r="274" spans="1:6">
      <c r="A274" s="190">
        <v>44835</v>
      </c>
      <c r="B274" s="431">
        <f t="shared" si="30"/>
        <v>2022</v>
      </c>
      <c r="C274" s="430">
        <f t="shared" si="31"/>
        <v>10</v>
      </c>
      <c r="D274" s="430" t="str">
        <f t="shared" si="32"/>
        <v>Q4</v>
      </c>
      <c r="E274" t="str">
        <f t="shared" si="33"/>
        <v>2022Q4</v>
      </c>
      <c r="F274" s="1031">
        <v>6.3832067132348694E-2</v>
      </c>
    </row>
    <row r="275" spans="1:6">
      <c r="A275" s="190">
        <v>44866</v>
      </c>
      <c r="B275" s="431">
        <f t="shared" si="30"/>
        <v>2022</v>
      </c>
      <c r="C275" s="430">
        <f t="shared" si="31"/>
        <v>11</v>
      </c>
      <c r="D275" s="430" t="str">
        <f t="shared" si="32"/>
        <v>Q4</v>
      </c>
      <c r="E275" t="str">
        <f t="shared" si="33"/>
        <v>2022Q4</v>
      </c>
      <c r="F275" s="1031">
        <v>6.3811540819089796E-2</v>
      </c>
    </row>
    <row r="276" spans="1:6">
      <c r="A276" s="190">
        <v>44896</v>
      </c>
      <c r="B276" s="431">
        <f t="shared" si="30"/>
        <v>2022</v>
      </c>
      <c r="C276" s="430">
        <f t="shared" si="31"/>
        <v>12</v>
      </c>
      <c r="D276" s="430" t="str">
        <f t="shared" si="32"/>
        <v>Q4</v>
      </c>
      <c r="E276" t="str">
        <f t="shared" si="33"/>
        <v>2022Q4</v>
      </c>
      <c r="F276" s="1031">
        <v>6.3791676645100603E-2</v>
      </c>
    </row>
    <row r="277" spans="1:6">
      <c r="A277" s="190">
        <v>44927</v>
      </c>
      <c r="B277" s="431">
        <f t="shared" si="30"/>
        <v>2023</v>
      </c>
      <c r="C277" s="430">
        <f t="shared" si="31"/>
        <v>1</v>
      </c>
      <c r="D277" s="430" t="str">
        <f t="shared" si="32"/>
        <v>Q2</v>
      </c>
      <c r="E277" t="str">
        <f t="shared" si="33"/>
        <v>2023Q2</v>
      </c>
      <c r="F277" s="1031">
        <v>6.3771150332116597E-2</v>
      </c>
    </row>
    <row r="278" spans="1:6">
      <c r="A278" s="190">
        <v>44958</v>
      </c>
      <c r="B278" s="431">
        <f t="shared" si="30"/>
        <v>2023</v>
      </c>
      <c r="C278" s="430">
        <f t="shared" si="31"/>
        <v>2</v>
      </c>
      <c r="D278" s="430" t="str">
        <f t="shared" si="32"/>
        <v>Q2</v>
      </c>
      <c r="E278" t="str">
        <f t="shared" si="33"/>
        <v>2023Q2</v>
      </c>
      <c r="F278" s="1031">
        <v>6.3750624019272006E-2</v>
      </c>
    </row>
    <row r="279" spans="1:6">
      <c r="A279" s="190">
        <v>44986</v>
      </c>
      <c r="B279" s="431">
        <f t="shared" si="30"/>
        <v>2023</v>
      </c>
      <c r="C279" s="430">
        <f t="shared" si="31"/>
        <v>3</v>
      </c>
      <c r="D279" s="430" t="str">
        <f t="shared" si="32"/>
        <v>Q2</v>
      </c>
      <c r="E279" t="str">
        <f t="shared" si="33"/>
        <v>2023Q2</v>
      </c>
      <c r="F279" s="1031">
        <v>6.3732084123919702E-2</v>
      </c>
    </row>
    <row r="280" spans="1:6">
      <c r="A280" s="190">
        <v>45017</v>
      </c>
      <c r="B280" s="431">
        <f t="shared" si="30"/>
        <v>2023</v>
      </c>
      <c r="C280" s="430">
        <f t="shared" si="31"/>
        <v>4</v>
      </c>
      <c r="D280" s="430" t="str">
        <f t="shared" si="32"/>
        <v>Q2</v>
      </c>
      <c r="E280" t="str">
        <f t="shared" si="33"/>
        <v>2023Q2</v>
      </c>
      <c r="F280" s="1031">
        <v>6.3711557811340802E-2</v>
      </c>
    </row>
    <row r="281" spans="1:6">
      <c r="A281" s="190">
        <v>45047</v>
      </c>
      <c r="B281" s="431">
        <f t="shared" si="30"/>
        <v>2023</v>
      </c>
      <c r="C281" s="430">
        <f t="shared" si="31"/>
        <v>5</v>
      </c>
      <c r="D281" s="430" t="str">
        <f t="shared" si="32"/>
        <v>Q2</v>
      </c>
      <c r="E281" t="str">
        <f t="shared" si="33"/>
        <v>2023Q2</v>
      </c>
      <c r="F281" s="1031">
        <v>6.3691693638010999E-2</v>
      </c>
    </row>
    <row r="282" spans="1:6">
      <c r="A282" s="190">
        <v>45078</v>
      </c>
      <c r="B282" s="431">
        <f t="shared" si="30"/>
        <v>2023</v>
      </c>
      <c r="C282" s="430">
        <f t="shared" si="31"/>
        <v>6</v>
      </c>
      <c r="D282" s="430" t="str">
        <f t="shared" si="32"/>
        <v>Q2</v>
      </c>
      <c r="E282" t="str">
        <f t="shared" si="33"/>
        <v>2023Q2</v>
      </c>
      <c r="F282" s="1031">
        <v>6.3671167325707295E-2</v>
      </c>
    </row>
    <row r="283" spans="1:6">
      <c r="A283" s="190">
        <v>45108</v>
      </c>
      <c r="B283" s="431">
        <f t="shared" si="30"/>
        <v>2023</v>
      </c>
      <c r="C283" s="430">
        <f t="shared" si="31"/>
        <v>7</v>
      </c>
      <c r="D283" s="430" t="str">
        <f t="shared" si="32"/>
        <v>Q4</v>
      </c>
      <c r="E283" t="str">
        <f t="shared" si="33"/>
        <v>2023Q4</v>
      </c>
      <c r="F283" s="1031">
        <v>6.3651303152643099E-2</v>
      </c>
    </row>
    <row r="284" spans="1:6">
      <c r="A284" s="190">
        <v>45139</v>
      </c>
      <c r="B284" s="431">
        <f t="shared" si="30"/>
        <v>2023</v>
      </c>
      <c r="C284" s="430">
        <f t="shared" si="31"/>
        <v>8</v>
      </c>
      <c r="D284" s="430" t="str">
        <f t="shared" si="32"/>
        <v>Q4</v>
      </c>
      <c r="E284" t="str">
        <f t="shared" si="33"/>
        <v>2023Q4</v>
      </c>
      <c r="F284" s="1031">
        <v>6.3630776840614398E-2</v>
      </c>
    </row>
    <row r="285" spans="1:6">
      <c r="A285" s="190">
        <v>45170</v>
      </c>
      <c r="B285" s="431">
        <f t="shared" si="30"/>
        <v>2023</v>
      </c>
      <c r="C285" s="430">
        <f t="shared" si="31"/>
        <v>9</v>
      </c>
      <c r="D285" s="430" t="str">
        <f t="shared" si="32"/>
        <v>Q4</v>
      </c>
      <c r="E285" t="str">
        <f t="shared" si="33"/>
        <v>2023Q4</v>
      </c>
      <c r="F285" s="1031">
        <v>6.3610250528725501E-2</v>
      </c>
    </row>
    <row r="286" spans="1:6">
      <c r="A286" s="190">
        <v>45200</v>
      </c>
      <c r="B286" s="431">
        <f t="shared" si="30"/>
        <v>2023</v>
      </c>
      <c r="C286" s="430">
        <f t="shared" si="31"/>
        <v>10</v>
      </c>
      <c r="D286" s="430" t="str">
        <f t="shared" si="32"/>
        <v>Q4</v>
      </c>
      <c r="E286" t="str">
        <f t="shared" si="33"/>
        <v>2023Q4</v>
      </c>
      <c r="F286" s="1031">
        <v>6.3590386356063205E-2</v>
      </c>
    </row>
    <row r="287" spans="1:6">
      <c r="A287" s="190">
        <v>45231</v>
      </c>
      <c r="B287" s="431">
        <f t="shared" si="30"/>
        <v>2023</v>
      </c>
      <c r="C287" s="430">
        <f t="shared" si="31"/>
        <v>11</v>
      </c>
      <c r="D287" s="430" t="str">
        <f t="shared" si="32"/>
        <v>Q4</v>
      </c>
      <c r="E287" t="str">
        <f t="shared" si="33"/>
        <v>2023Q4</v>
      </c>
      <c r="F287" s="1031">
        <v>6.35698600444492E-2</v>
      </c>
    </row>
    <row r="288" spans="1:6">
      <c r="A288" s="190">
        <v>45261</v>
      </c>
      <c r="B288" s="431">
        <f t="shared" si="30"/>
        <v>2023</v>
      </c>
      <c r="C288" s="430">
        <f t="shared" si="31"/>
        <v>12</v>
      </c>
      <c r="D288" s="430" t="str">
        <f t="shared" si="32"/>
        <v>Q4</v>
      </c>
      <c r="E288" t="str">
        <f t="shared" si="33"/>
        <v>2023Q4</v>
      </c>
      <c r="F288" s="1031">
        <v>6.3549995872052498E-2</v>
      </c>
    </row>
    <row r="289" spans="1:6">
      <c r="A289" s="190">
        <v>45292</v>
      </c>
      <c r="B289" s="431">
        <f t="shared" si="30"/>
        <v>2024</v>
      </c>
      <c r="C289" s="430">
        <f t="shared" si="31"/>
        <v>1</v>
      </c>
      <c r="D289" s="430" t="str">
        <f t="shared" si="32"/>
        <v>Q2</v>
      </c>
      <c r="E289" t="str">
        <f t="shared" si="33"/>
        <v>2024Q2</v>
      </c>
      <c r="F289" s="1031">
        <v>6.35294695607138E-2</v>
      </c>
    </row>
    <row r="290" spans="1:6">
      <c r="A290" s="190">
        <v>45323</v>
      </c>
      <c r="B290" s="431">
        <f t="shared" si="30"/>
        <v>2024</v>
      </c>
      <c r="C290" s="430">
        <f t="shared" si="31"/>
        <v>2</v>
      </c>
      <c r="D290" s="430" t="str">
        <f t="shared" si="32"/>
        <v>Q2</v>
      </c>
      <c r="E290" t="str">
        <f t="shared" si="33"/>
        <v>2024Q2</v>
      </c>
      <c r="F290" s="1031">
        <v>6.3508943249514602E-2</v>
      </c>
    </row>
    <row r="291" spans="1:6">
      <c r="A291" s="190">
        <v>45352</v>
      </c>
      <c r="B291" s="431">
        <f t="shared" si="30"/>
        <v>2024</v>
      </c>
      <c r="C291" s="430">
        <f t="shared" si="31"/>
        <v>3</v>
      </c>
      <c r="D291" s="430" t="str">
        <f t="shared" si="32"/>
        <v>Q2</v>
      </c>
      <c r="E291" t="str">
        <f t="shared" si="33"/>
        <v>2024Q2</v>
      </c>
      <c r="F291" s="1031">
        <v>6.3489741216583795E-2</v>
      </c>
    </row>
    <row r="292" spans="1:6">
      <c r="A292" s="190">
        <v>45383</v>
      </c>
      <c r="B292" s="431">
        <f t="shared" si="30"/>
        <v>2024</v>
      </c>
      <c r="C292" s="430">
        <f t="shared" si="31"/>
        <v>4</v>
      </c>
      <c r="D292" s="430" t="str">
        <f t="shared" si="32"/>
        <v>Q2</v>
      </c>
      <c r="E292" t="str">
        <f t="shared" si="33"/>
        <v>2024Q2</v>
      </c>
      <c r="F292" s="1031">
        <v>6.3469214905655102E-2</v>
      </c>
    </row>
    <row r="293" spans="1:6">
      <c r="A293" s="190">
        <v>45413</v>
      </c>
      <c r="B293" s="431">
        <f t="shared" si="30"/>
        <v>2024</v>
      </c>
      <c r="C293" s="430">
        <f t="shared" si="31"/>
        <v>5</v>
      </c>
      <c r="D293" s="430" t="str">
        <f t="shared" si="32"/>
        <v>Q2</v>
      </c>
      <c r="E293" t="str">
        <f t="shared" si="33"/>
        <v>2024Q2</v>
      </c>
      <c r="F293" s="1031">
        <v>6.34493507339218E-2</v>
      </c>
    </row>
    <row r="294" spans="1:6">
      <c r="A294" s="190">
        <v>45444</v>
      </c>
      <c r="B294" s="431">
        <f t="shared" si="30"/>
        <v>2024</v>
      </c>
      <c r="C294" s="430">
        <f t="shared" si="31"/>
        <v>6</v>
      </c>
      <c r="D294" s="430" t="str">
        <f t="shared" si="32"/>
        <v>Q2</v>
      </c>
      <c r="E294" t="str">
        <f t="shared" si="33"/>
        <v>2024Q2</v>
      </c>
      <c r="F294" s="1031">
        <v>6.3428824423267902E-2</v>
      </c>
    </row>
    <row r="295" spans="1:6">
      <c r="A295" s="190">
        <v>45474</v>
      </c>
      <c r="B295" s="431">
        <f t="shared" si="30"/>
        <v>2024</v>
      </c>
      <c r="C295" s="430">
        <f t="shared" si="31"/>
        <v>7</v>
      </c>
      <c r="D295" s="430" t="str">
        <f t="shared" si="32"/>
        <v>Q4</v>
      </c>
      <c r="E295" t="str">
        <f t="shared" si="33"/>
        <v>2024Q4</v>
      </c>
      <c r="F295" s="1031">
        <v>6.3408960251800706E-2</v>
      </c>
    </row>
    <row r="296" spans="1:6">
      <c r="A296" s="190">
        <v>45505</v>
      </c>
      <c r="B296" s="431">
        <f t="shared" si="30"/>
        <v>2024</v>
      </c>
      <c r="C296" s="430">
        <f t="shared" si="31"/>
        <v>8</v>
      </c>
      <c r="D296" s="430" t="str">
        <f t="shared" si="32"/>
        <v>Q4</v>
      </c>
      <c r="E296" t="str">
        <f t="shared" si="33"/>
        <v>2024Q4</v>
      </c>
      <c r="F296" s="1031">
        <v>6.3388433941422101E-2</v>
      </c>
    </row>
    <row r="297" spans="1:6">
      <c r="A297" s="190">
        <v>45536</v>
      </c>
      <c r="B297" s="431">
        <f t="shared" si="30"/>
        <v>2024</v>
      </c>
      <c r="C297" s="430">
        <f t="shared" si="31"/>
        <v>9</v>
      </c>
      <c r="D297" s="430" t="str">
        <f t="shared" si="32"/>
        <v>Q4</v>
      </c>
      <c r="E297" t="str">
        <f t="shared" si="33"/>
        <v>2024Q4</v>
      </c>
      <c r="F297" s="1031">
        <v>6.3367907631183107E-2</v>
      </c>
    </row>
    <row r="298" spans="1:6">
      <c r="A298" s="190">
        <v>45566</v>
      </c>
      <c r="B298" s="431">
        <f t="shared" si="30"/>
        <v>2024</v>
      </c>
      <c r="C298" s="430">
        <f t="shared" si="31"/>
        <v>10</v>
      </c>
      <c r="D298" s="430" t="str">
        <f t="shared" si="32"/>
        <v>Q4</v>
      </c>
      <c r="E298" t="str">
        <f t="shared" si="33"/>
        <v>2024Q4</v>
      </c>
      <c r="F298" s="1031">
        <v>6.3348043460117201E-2</v>
      </c>
    </row>
    <row r="299" spans="1:6">
      <c r="A299" s="190">
        <v>45597</v>
      </c>
      <c r="B299" s="431">
        <f t="shared" si="30"/>
        <v>2024</v>
      </c>
      <c r="C299" s="430">
        <f t="shared" si="31"/>
        <v>11</v>
      </c>
      <c r="D299" s="430" t="str">
        <f t="shared" si="32"/>
        <v>Q4</v>
      </c>
      <c r="E299" t="str">
        <f t="shared" si="33"/>
        <v>2024Q4</v>
      </c>
      <c r="F299" s="1031">
        <v>6.3327517150153501E-2</v>
      </c>
    </row>
    <row r="300" spans="1:6">
      <c r="A300" s="190">
        <v>45627</v>
      </c>
      <c r="B300" s="431">
        <f t="shared" si="30"/>
        <v>2024</v>
      </c>
      <c r="C300" s="430">
        <f t="shared" si="31"/>
        <v>12</v>
      </c>
      <c r="D300" s="430" t="str">
        <f t="shared" si="32"/>
        <v>Q4</v>
      </c>
      <c r="E300" t="str">
        <f t="shared" si="33"/>
        <v>2024Q4</v>
      </c>
      <c r="F300" s="1031">
        <v>6.3307652979353701E-2</v>
      </c>
    </row>
    <row r="301" spans="1:6">
      <c r="A301" s="190">
        <v>45658</v>
      </c>
      <c r="B301" s="431">
        <f t="shared" si="30"/>
        <v>2025</v>
      </c>
      <c r="C301" s="430">
        <f t="shared" si="31"/>
        <v>1</v>
      </c>
      <c r="D301" s="430" t="str">
        <f t="shared" si="32"/>
        <v>Q2</v>
      </c>
      <c r="E301" t="str">
        <f t="shared" si="33"/>
        <v>2025Q2</v>
      </c>
      <c r="F301" s="1031">
        <v>6.3287126669664906E-2</v>
      </c>
    </row>
    <row r="302" spans="1:6">
      <c r="A302" s="190">
        <v>45689</v>
      </c>
      <c r="B302" s="431">
        <f t="shared" si="30"/>
        <v>2025</v>
      </c>
      <c r="C302" s="430">
        <f t="shared" si="31"/>
        <v>2</v>
      </c>
      <c r="D302" s="430" t="str">
        <f t="shared" si="32"/>
        <v>Q2</v>
      </c>
      <c r="E302" t="str">
        <f t="shared" si="33"/>
        <v>2025Q2</v>
      </c>
      <c r="F302" s="1031">
        <v>6.3266600360115902E-2</v>
      </c>
    </row>
    <row r="303" spans="1:6">
      <c r="A303" s="190">
        <v>45717</v>
      </c>
      <c r="B303" s="431">
        <f t="shared" si="30"/>
        <v>2025</v>
      </c>
      <c r="C303" s="430">
        <f t="shared" si="31"/>
        <v>3</v>
      </c>
      <c r="D303" s="430" t="str">
        <f t="shared" si="32"/>
        <v>Q2</v>
      </c>
      <c r="E303" t="str">
        <f t="shared" si="33"/>
        <v>2025Q2</v>
      </c>
      <c r="F303" s="1031">
        <v>6.3248060467739897E-2</v>
      </c>
    </row>
    <row r="304" spans="1:6">
      <c r="A304" s="190">
        <v>45748</v>
      </c>
      <c r="B304" s="431">
        <f t="shared" si="30"/>
        <v>2025</v>
      </c>
      <c r="C304" s="430">
        <f t="shared" si="31"/>
        <v>4</v>
      </c>
      <c r="D304" s="430" t="str">
        <f t="shared" si="32"/>
        <v>Q2</v>
      </c>
      <c r="E304" t="str">
        <f t="shared" si="33"/>
        <v>2025Q2</v>
      </c>
      <c r="F304" s="1031">
        <v>6.3227534158456999E-2</v>
      </c>
    </row>
    <row r="305" spans="1:6">
      <c r="A305" s="190">
        <v>45778</v>
      </c>
      <c r="B305" s="431">
        <f t="shared" si="30"/>
        <v>2025</v>
      </c>
      <c r="C305" s="430">
        <f t="shared" si="31"/>
        <v>5</v>
      </c>
      <c r="D305" s="430" t="str">
        <f t="shared" si="32"/>
        <v>Q2</v>
      </c>
      <c r="E305" t="str">
        <f t="shared" si="33"/>
        <v>2025Q2</v>
      </c>
      <c r="F305" s="1031">
        <v>6.3207669988315701E-2</v>
      </c>
    </row>
    <row r="306" spans="1:6">
      <c r="A306" s="190">
        <v>45809</v>
      </c>
      <c r="B306" s="431">
        <f t="shared" si="30"/>
        <v>2025</v>
      </c>
      <c r="C306" s="430">
        <f t="shared" si="31"/>
        <v>6</v>
      </c>
      <c r="D306" s="430" t="str">
        <f t="shared" si="32"/>
        <v>Q2</v>
      </c>
      <c r="E306" t="str">
        <f t="shared" si="33"/>
        <v>2025Q2</v>
      </c>
      <c r="F306" s="1031">
        <v>6.3187143679307695E-2</v>
      </c>
    </row>
    <row r="307" spans="1:6">
      <c r="A307" s="190">
        <v>45839</v>
      </c>
      <c r="B307" s="431">
        <f t="shared" si="30"/>
        <v>2025</v>
      </c>
      <c r="C307" s="430">
        <f t="shared" si="31"/>
        <v>7</v>
      </c>
      <c r="D307" s="430" t="str">
        <f t="shared" si="32"/>
        <v>Q4</v>
      </c>
      <c r="E307" t="str">
        <f t="shared" si="33"/>
        <v>2025Q4</v>
      </c>
      <c r="F307" s="1031">
        <v>6.3167279509433405E-2</v>
      </c>
    </row>
    <row r="308" spans="1:6">
      <c r="A308" s="190">
        <v>45870</v>
      </c>
      <c r="B308" s="431">
        <f t="shared" si="30"/>
        <v>2025</v>
      </c>
      <c r="C308" s="430">
        <f t="shared" si="31"/>
        <v>8</v>
      </c>
      <c r="D308" s="430" t="str">
        <f t="shared" si="32"/>
        <v>Q4</v>
      </c>
      <c r="E308" t="str">
        <f t="shared" si="33"/>
        <v>2025Q4</v>
      </c>
      <c r="F308" s="1031">
        <v>6.3146753200700206E-2</v>
      </c>
    </row>
    <row r="309" spans="1:6">
      <c r="A309" s="190">
        <v>45901</v>
      </c>
      <c r="B309" s="431">
        <f t="shared" si="30"/>
        <v>2025</v>
      </c>
      <c r="C309" s="430">
        <f t="shared" si="31"/>
        <v>9</v>
      </c>
      <c r="D309" s="430" t="str">
        <f t="shared" si="32"/>
        <v>Q4</v>
      </c>
      <c r="E309" t="str">
        <f t="shared" si="33"/>
        <v>2025Q4</v>
      </c>
      <c r="F309" s="1031">
        <v>6.3126226892106896E-2</v>
      </c>
    </row>
    <row r="310" spans="1:6">
      <c r="A310" s="190">
        <v>45931</v>
      </c>
      <c r="B310" s="431">
        <f t="shared" si="30"/>
        <v>2025</v>
      </c>
      <c r="C310" s="430">
        <f t="shared" si="31"/>
        <v>10</v>
      </c>
      <c r="D310" s="430" t="str">
        <f t="shared" si="32"/>
        <v>Q4</v>
      </c>
      <c r="E310" t="str">
        <f t="shared" si="33"/>
        <v>2025Q4</v>
      </c>
      <c r="F310" s="1031">
        <v>6.3106362722633605E-2</v>
      </c>
    </row>
    <row r="311" spans="1:6">
      <c r="A311" s="190">
        <v>45962</v>
      </c>
      <c r="B311" s="431">
        <f t="shared" si="30"/>
        <v>2025</v>
      </c>
      <c r="C311" s="430">
        <f t="shared" si="31"/>
        <v>11</v>
      </c>
      <c r="D311" s="430" t="str">
        <f t="shared" si="32"/>
        <v>Q4</v>
      </c>
      <c r="E311" t="str">
        <f t="shared" si="33"/>
        <v>2025Q4</v>
      </c>
      <c r="F311" s="1031">
        <v>6.3085836414315602E-2</v>
      </c>
    </row>
    <row r="312" spans="1:6">
      <c r="A312" s="190">
        <v>45992</v>
      </c>
      <c r="B312" s="431">
        <f t="shared" si="30"/>
        <v>2025</v>
      </c>
      <c r="C312" s="430">
        <f t="shared" si="31"/>
        <v>12</v>
      </c>
      <c r="D312" s="430" t="str">
        <f t="shared" si="32"/>
        <v>Q4</v>
      </c>
      <c r="E312" t="str">
        <f t="shared" si="33"/>
        <v>2025Q4</v>
      </c>
      <c r="F312" s="1031">
        <v>6.3065972245108806E-2</v>
      </c>
    </row>
    <row r="313" spans="1:6">
      <c r="A313" s="190">
        <v>46023</v>
      </c>
      <c r="B313" s="431">
        <f t="shared" si="30"/>
        <v>2026</v>
      </c>
      <c r="C313" s="430">
        <f t="shared" si="31"/>
        <v>1</v>
      </c>
      <c r="D313" s="430" t="str">
        <f t="shared" si="32"/>
        <v>Q2</v>
      </c>
      <c r="E313" t="str">
        <f t="shared" si="33"/>
        <v>2026Q2</v>
      </c>
      <c r="F313" s="1031">
        <v>6.3045445937065306E-2</v>
      </c>
    </row>
    <row r="314" spans="1:6">
      <c r="A314" s="190">
        <v>46054</v>
      </c>
      <c r="B314" s="431">
        <f t="shared" si="30"/>
        <v>2026</v>
      </c>
      <c r="C314" s="430">
        <f t="shared" si="31"/>
        <v>2</v>
      </c>
      <c r="D314" s="430" t="str">
        <f t="shared" si="32"/>
        <v>Q2</v>
      </c>
      <c r="E314" t="str">
        <f t="shared" si="33"/>
        <v>2026Q2</v>
      </c>
      <c r="F314" s="1031">
        <v>6.3024919629162096E-2</v>
      </c>
    </row>
    <row r="315" spans="1:6">
      <c r="A315" s="190">
        <v>46082</v>
      </c>
      <c r="B315" s="431">
        <f t="shared" si="30"/>
        <v>2026</v>
      </c>
      <c r="C315" s="430">
        <f t="shared" si="31"/>
        <v>3</v>
      </c>
      <c r="D315" s="430" t="str">
        <f t="shared" si="32"/>
        <v>Q2</v>
      </c>
      <c r="E315" t="str">
        <f t="shared" si="33"/>
        <v>2026Q2</v>
      </c>
      <c r="F315" s="1031">
        <v>6.3006379738273E-2</v>
      </c>
    </row>
    <row r="316" spans="1:6">
      <c r="A316" s="190">
        <v>46113</v>
      </c>
      <c r="B316" s="431">
        <f t="shared" si="30"/>
        <v>2026</v>
      </c>
      <c r="C316" s="430">
        <f t="shared" si="31"/>
        <v>4</v>
      </c>
      <c r="D316" s="430" t="str">
        <f t="shared" si="32"/>
        <v>Q2</v>
      </c>
      <c r="E316" t="str">
        <f t="shared" si="33"/>
        <v>2026Q2</v>
      </c>
      <c r="F316" s="1031">
        <v>6.2985853430635799E-2</v>
      </c>
    </row>
    <row r="317" spans="1:6">
      <c r="A317" s="190">
        <v>46143</v>
      </c>
      <c r="B317" s="431">
        <f t="shared" si="30"/>
        <v>2026</v>
      </c>
      <c r="C317" s="430">
        <f t="shared" si="31"/>
        <v>5</v>
      </c>
      <c r="D317" s="430" t="str">
        <f t="shared" si="32"/>
        <v>Q2</v>
      </c>
      <c r="E317" t="str">
        <f t="shared" si="33"/>
        <v>2026Q2</v>
      </c>
      <c r="F317" s="1031">
        <v>6.2965989262087504E-2</v>
      </c>
    </row>
    <row r="318" spans="1:6">
      <c r="A318" s="190">
        <v>46174</v>
      </c>
      <c r="B318" s="431">
        <f t="shared" ref="B318:B324" si="34">YEAR(A318)</f>
        <v>2026</v>
      </c>
      <c r="C318" s="430">
        <f t="shared" ref="C318:C324" si="35">MONTH(A318)</f>
        <v>6</v>
      </c>
      <c r="D318" s="430" t="str">
        <f t="shared" ref="D318:D324" si="36">IF(C318&lt;=6,"Q2","Q4")</f>
        <v>Q2</v>
      </c>
      <c r="E318" t="str">
        <f t="shared" ref="E318:E324" si="37">B318&amp;D318</f>
        <v>2026Q2</v>
      </c>
      <c r="F318" s="1031">
        <v>6.2945462954725695E-2</v>
      </c>
    </row>
    <row r="319" spans="1:6">
      <c r="A319" s="190">
        <v>46204</v>
      </c>
      <c r="B319" s="431">
        <f t="shared" si="34"/>
        <v>2026</v>
      </c>
      <c r="C319" s="430">
        <f t="shared" si="35"/>
        <v>7</v>
      </c>
      <c r="D319" s="430" t="str">
        <f t="shared" si="36"/>
        <v>Q4</v>
      </c>
      <c r="E319" t="str">
        <f t="shared" si="37"/>
        <v>2026Q4</v>
      </c>
      <c r="F319" s="1031">
        <v>6.2925598786443396E-2</v>
      </c>
    </row>
    <row r="320" spans="1:6">
      <c r="A320" s="190">
        <v>46235</v>
      </c>
      <c r="B320" s="431">
        <f t="shared" si="34"/>
        <v>2026</v>
      </c>
      <c r="C320" s="430">
        <f t="shared" si="35"/>
        <v>8</v>
      </c>
      <c r="D320" s="430" t="str">
        <f t="shared" si="36"/>
        <v>Q4</v>
      </c>
      <c r="E320" t="str">
        <f t="shared" si="37"/>
        <v>2026Q4</v>
      </c>
      <c r="F320" s="1031">
        <v>6.2905072479356505E-2</v>
      </c>
    </row>
    <row r="321" spans="1:6">
      <c r="A321" s="190">
        <v>46266</v>
      </c>
      <c r="B321" s="431">
        <f t="shared" si="34"/>
        <v>2026</v>
      </c>
      <c r="C321" s="430">
        <f t="shared" si="35"/>
        <v>9</v>
      </c>
      <c r="D321" s="430" t="str">
        <f t="shared" si="36"/>
        <v>Q4</v>
      </c>
      <c r="E321" t="str">
        <f t="shared" si="37"/>
        <v>2026Q4</v>
      </c>
      <c r="F321" s="1031">
        <v>6.2884546172409003E-2</v>
      </c>
    </row>
    <row r="322" spans="1:6">
      <c r="A322" s="190">
        <v>46296</v>
      </c>
      <c r="B322" s="431">
        <f t="shared" si="34"/>
        <v>2026</v>
      </c>
      <c r="C322" s="430">
        <f t="shared" si="35"/>
        <v>10</v>
      </c>
      <c r="D322" s="430" t="str">
        <f t="shared" si="36"/>
        <v>Q4</v>
      </c>
      <c r="E322" t="str">
        <f t="shared" si="37"/>
        <v>2026Q4</v>
      </c>
      <c r="F322" s="1031">
        <v>6.2864682004528702E-2</v>
      </c>
    </row>
    <row r="323" spans="1:6">
      <c r="A323" s="190">
        <v>46327</v>
      </c>
      <c r="B323" s="431">
        <f t="shared" si="34"/>
        <v>2026</v>
      </c>
      <c r="C323" s="430">
        <f t="shared" si="35"/>
        <v>11</v>
      </c>
      <c r="D323" s="430" t="str">
        <f t="shared" si="36"/>
        <v>Q4</v>
      </c>
      <c r="E323" t="str">
        <f t="shared" si="37"/>
        <v>2026Q4</v>
      </c>
      <c r="F323" s="1031">
        <v>6.2844155697856494E-2</v>
      </c>
    </row>
    <row r="324" spans="1:6">
      <c r="A324" s="190">
        <v>46357</v>
      </c>
      <c r="B324" s="431">
        <f t="shared" si="34"/>
        <v>2026</v>
      </c>
      <c r="C324" s="430">
        <f t="shared" si="35"/>
        <v>12</v>
      </c>
      <c r="D324" s="430" t="str">
        <f t="shared" si="36"/>
        <v>Q4</v>
      </c>
      <c r="E324" t="str">
        <f t="shared" si="37"/>
        <v>2026Q4</v>
      </c>
      <c r="F324" s="1031">
        <v>6.2824291530242202E-2</v>
      </c>
    </row>
    <row r="329" spans="1:6">
      <c r="F329" s="1031">
        <v>6.2803765223845301E-2</v>
      </c>
    </row>
    <row r="330" spans="1:6">
      <c r="F330" s="1031">
        <v>6.2783238917587997E-2</v>
      </c>
    </row>
    <row r="331" spans="1:6">
      <c r="F331" s="1031">
        <v>6.27646990281856E-2</v>
      </c>
    </row>
    <row r="332" spans="1:6">
      <c r="F332" s="1031">
        <v>6.2744172722194194E-2</v>
      </c>
    </row>
    <row r="333" spans="1:6">
      <c r="F333" s="1031">
        <v>6.2724308555238903E-2</v>
      </c>
    </row>
    <row r="334" spans="1:6">
      <c r="F334" s="1031">
        <v>6.2703782249522902E-2</v>
      </c>
    </row>
    <row r="335" spans="1:6">
      <c r="F335" s="1031">
        <v>6.2683918082833995E-2</v>
      </c>
    </row>
    <row r="336" spans="1:6">
      <c r="F336" s="1031">
        <v>6.2663391777392899E-2</v>
      </c>
    </row>
    <row r="337" spans="6:6">
      <c r="F337" s="1031">
        <v>6.2642865472091594E-2</v>
      </c>
    </row>
    <row r="338" spans="6:6">
      <c r="F338" s="1031">
        <v>6.2623001305803797E-2</v>
      </c>
    </row>
    <row r="339" spans="6:6">
      <c r="F339" s="1031">
        <v>6.2602475000777896E-2</v>
      </c>
    </row>
    <row r="340" spans="6:6">
      <c r="F340" s="1031">
        <v>6.2582610834756497E-2</v>
      </c>
    </row>
    <row r="341" spans="6:6">
      <c r="F341" s="1031">
        <v>6.2562084530005502E-2</v>
      </c>
    </row>
    <row r="342" spans="6:6">
      <c r="F342" s="1031">
        <v>6.2541558225394298E-2</v>
      </c>
    </row>
    <row r="343" spans="6:6">
      <c r="F343" s="1031">
        <v>6.2522356198626602E-2</v>
      </c>
    </row>
    <row r="344" spans="6:6">
      <c r="F344" s="1031">
        <v>6.2501829894285904E-2</v>
      </c>
    </row>
    <row r="345" spans="6:6">
      <c r="F345" s="1031">
        <v>6.2481965728928397E-2</v>
      </c>
    </row>
    <row r="346" spans="6:6">
      <c r="F346" s="1031">
        <v>6.2461439424862999E-2</v>
      </c>
    </row>
    <row r="347" spans="6:6">
      <c r="F347" s="1031">
        <v>6.2441575259771599E-2</v>
      </c>
    </row>
    <row r="348" spans="6:6">
      <c r="F348" s="1031">
        <v>6.24210489559811E-2</v>
      </c>
    </row>
    <row r="349" spans="6:6">
      <c r="F349" s="1031">
        <v>6.2400522652330502E-2</v>
      </c>
    </row>
    <row r="350" spans="6:6">
      <c r="F350" s="1031">
        <v>6.2380658487641003E-2</v>
      </c>
    </row>
    <row r="351" spans="6:6">
      <c r="F351" s="1031">
        <v>6.2360132184265699E-2</v>
      </c>
    </row>
    <row r="352" spans="6:6">
      <c r="F352" s="1031">
        <v>6.2340268019842202E-2</v>
      </c>
    </row>
    <row r="353" spans="6:6">
      <c r="F353" s="1031">
        <v>6.2319741716741803E-2</v>
      </c>
    </row>
    <row r="354" spans="6:6">
      <c r="F354" s="1031">
        <v>6.2299215413781403E-2</v>
      </c>
    </row>
    <row r="355" spans="6:6">
      <c r="F355" s="1031">
        <v>6.2280675527357103E-2</v>
      </c>
    </row>
    <row r="356" spans="6:6">
      <c r="F356" s="1031">
        <v>6.2260149224662602E-2</v>
      </c>
    </row>
    <row r="357" spans="6:6">
      <c r="F357" s="1031">
        <v>6.2240285060898501E-2</v>
      </c>
    </row>
    <row r="358" spans="6:6">
      <c r="F358" s="1031">
        <v>6.2219758758479397E-2</v>
      </c>
    </row>
    <row r="359" spans="6:6">
      <c r="F359" s="1031">
        <v>6.2199894594981299E-2</v>
      </c>
    </row>
    <row r="360" spans="6:6">
      <c r="F360" s="1031">
        <v>6.21793682928376E-2</v>
      </c>
    </row>
    <row r="361" spans="6:6">
      <c r="F361" s="1031">
        <v>6.2158841990833699E-2</v>
      </c>
    </row>
    <row r="362" spans="6:6">
      <c r="F362" s="1031">
        <v>6.2138977827737002E-2</v>
      </c>
    </row>
    <row r="363" spans="6:6">
      <c r="F363" s="1031">
        <v>6.2118451526007999E-2</v>
      </c>
    </row>
    <row r="364" spans="6:6">
      <c r="F364" s="1031">
        <v>6.2098587363177901E-2</v>
      </c>
    </row>
    <row r="365" spans="6:6">
      <c r="F365" s="1031">
        <v>6.2078061061724199E-2</v>
      </c>
    </row>
    <row r="366" spans="6:6">
      <c r="F366" s="1031">
        <v>6.2057534760410399E-2</v>
      </c>
    </row>
    <row r="367" spans="6:6">
      <c r="F367" s="1031">
        <v>6.2038994875472903E-2</v>
      </c>
    </row>
    <row r="368" spans="6:6">
      <c r="F368" s="1031">
        <v>6.2021779268133202E-2</v>
      </c>
    </row>
  </sheetData>
  <sheetCalcPr fullCalcOnLoad="1"/>
  <mergeCells count="2">
    <mergeCell ref="I2:M2"/>
    <mergeCell ref="O3:Q3"/>
  </mergeCells>
  <pageMargins left="0.75" right="0.75" top="1" bottom="1" header="0.5" footer="0.5"/>
  <pageSetup orientation="portrait" horizontalDpi="120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autoPageBreaks="0" fitToPage="1"/>
  </sheetPr>
  <dimension ref="A2:AO26"/>
  <sheetViews>
    <sheetView workbookViewId="0">
      <selection activeCell="B4" sqref="B2:B4"/>
    </sheetView>
  </sheetViews>
  <sheetFormatPr defaultRowHeight="11.25"/>
  <cols>
    <col min="1" max="1" width="20" style="1" customWidth="1"/>
    <col min="2" max="2" width="4.85546875" style="1" customWidth="1"/>
    <col min="3" max="6" width="11.7109375" style="1" customWidth="1"/>
    <col min="7" max="8" width="8.42578125" style="1" bestFit="1" customWidth="1"/>
    <col min="9" max="14" width="11.7109375" style="1" customWidth="1"/>
    <col min="15" max="15" width="12.5703125" style="1" customWidth="1"/>
    <col min="16" max="24" width="11.7109375" style="1" customWidth="1"/>
    <col min="25" max="29" width="11.7109375" style="25" customWidth="1"/>
    <col min="30" max="41" width="9.140625" style="25"/>
    <col min="42" max="16384" width="9.140625" style="1"/>
  </cols>
  <sheetData>
    <row r="2" spans="1:41" s="103" customFormat="1" ht="13.5" customHeight="1">
      <c r="A2" s="101" t="s">
        <v>93</v>
      </c>
      <c r="B2" s="102"/>
      <c r="C2" s="102">
        <v>1</v>
      </c>
      <c r="D2" s="102">
        <f>C2+1</f>
        <v>2</v>
      </c>
      <c r="E2" s="102">
        <f t="shared" ref="E2:X2" si="0">D2+1</f>
        <v>3</v>
      </c>
      <c r="F2" s="102">
        <f t="shared" si="0"/>
        <v>4</v>
      </c>
      <c r="G2" s="102">
        <f t="shared" si="0"/>
        <v>5</v>
      </c>
      <c r="H2" s="102">
        <f t="shared" si="0"/>
        <v>6</v>
      </c>
      <c r="I2" s="102">
        <f t="shared" si="0"/>
        <v>7</v>
      </c>
      <c r="J2" s="102">
        <f t="shared" si="0"/>
        <v>8</v>
      </c>
      <c r="K2" s="102">
        <f t="shared" si="0"/>
        <v>9</v>
      </c>
      <c r="L2" s="102">
        <f t="shared" si="0"/>
        <v>10</v>
      </c>
      <c r="M2" s="102">
        <f t="shared" si="0"/>
        <v>11</v>
      </c>
      <c r="N2" s="102">
        <f t="shared" si="0"/>
        <v>12</v>
      </c>
      <c r="O2" s="102">
        <f>N2+1</f>
        <v>13</v>
      </c>
      <c r="P2" s="102">
        <f>O2+1</f>
        <v>14</v>
      </c>
      <c r="Q2" s="102">
        <f>P2+1</f>
        <v>15</v>
      </c>
      <c r="R2" s="102">
        <f>Q2+1</f>
        <v>16</v>
      </c>
      <c r="S2" s="102">
        <f t="shared" si="0"/>
        <v>17</v>
      </c>
      <c r="T2" s="102">
        <f t="shared" si="0"/>
        <v>18</v>
      </c>
      <c r="U2" s="102">
        <f t="shared" si="0"/>
        <v>19</v>
      </c>
      <c r="V2" s="102">
        <f t="shared" si="0"/>
        <v>20</v>
      </c>
      <c r="W2" s="102">
        <f t="shared" si="0"/>
        <v>21</v>
      </c>
      <c r="X2" s="102">
        <f t="shared" si="0"/>
        <v>22</v>
      </c>
      <c r="Y2" s="193"/>
      <c r="Z2" s="193"/>
      <c r="AA2" s="193"/>
      <c r="AB2" s="193"/>
      <c r="AC2" s="193"/>
      <c r="AD2" s="193"/>
      <c r="AE2" s="193"/>
      <c r="AF2" s="193"/>
      <c r="AG2" s="193"/>
      <c r="AH2" s="193"/>
      <c r="AI2" s="193"/>
      <c r="AJ2" s="193"/>
      <c r="AK2" s="193"/>
      <c r="AL2" s="193"/>
      <c r="AM2" s="193"/>
      <c r="AN2" s="193"/>
      <c r="AO2" s="193"/>
    </row>
    <row r="4" spans="1:41" s="216" customFormat="1">
      <c r="A4" s="441"/>
      <c r="B4" s="441"/>
      <c r="C4" s="424">
        <f>Cashflow!C3</f>
        <v>36891</v>
      </c>
      <c r="D4" s="426">
        <f t="shared" ref="D4:X4" si="1">EOMONTH(C4,12)</f>
        <v>37256</v>
      </c>
      <c r="E4" s="426">
        <f t="shared" si="1"/>
        <v>37621</v>
      </c>
      <c r="F4" s="426">
        <f t="shared" si="1"/>
        <v>37986</v>
      </c>
      <c r="G4" s="426">
        <f t="shared" si="1"/>
        <v>38352</v>
      </c>
      <c r="H4" s="426">
        <f t="shared" si="1"/>
        <v>38717</v>
      </c>
      <c r="I4" s="426">
        <f t="shared" si="1"/>
        <v>39082</v>
      </c>
      <c r="J4" s="426">
        <f t="shared" si="1"/>
        <v>39447</v>
      </c>
      <c r="K4" s="426">
        <f t="shared" si="1"/>
        <v>39813</v>
      </c>
      <c r="L4" s="426">
        <f t="shared" si="1"/>
        <v>40178</v>
      </c>
      <c r="M4" s="426">
        <f t="shared" si="1"/>
        <v>40543</v>
      </c>
      <c r="N4" s="426">
        <f t="shared" si="1"/>
        <v>40908</v>
      </c>
      <c r="O4" s="426">
        <f t="shared" si="1"/>
        <v>41274</v>
      </c>
      <c r="P4" s="426">
        <f t="shared" si="1"/>
        <v>41639</v>
      </c>
      <c r="Q4" s="426">
        <f t="shared" si="1"/>
        <v>42004</v>
      </c>
      <c r="R4" s="426">
        <f t="shared" si="1"/>
        <v>42369</v>
      </c>
      <c r="S4" s="426">
        <f t="shared" si="1"/>
        <v>42735</v>
      </c>
      <c r="T4" s="426">
        <f t="shared" si="1"/>
        <v>43100</v>
      </c>
      <c r="U4" s="426">
        <f t="shared" si="1"/>
        <v>43465</v>
      </c>
      <c r="V4" s="426">
        <f t="shared" si="1"/>
        <v>43830</v>
      </c>
      <c r="W4" s="426">
        <f t="shared" si="1"/>
        <v>44196</v>
      </c>
      <c r="X4" s="426">
        <f t="shared" si="1"/>
        <v>44561</v>
      </c>
      <c r="Y4" s="426"/>
      <c r="Z4" s="426"/>
      <c r="AA4" s="426"/>
      <c r="AB4" s="215"/>
      <c r="AC4" s="215"/>
      <c r="AD4" s="616"/>
      <c r="AE4" s="616"/>
      <c r="AF4" s="616"/>
      <c r="AG4" s="616"/>
      <c r="AH4" s="616"/>
      <c r="AI4" s="616"/>
      <c r="AJ4" s="616"/>
      <c r="AK4" s="616"/>
      <c r="AL4" s="616"/>
      <c r="AM4" s="616"/>
      <c r="AN4" s="616"/>
      <c r="AO4" s="616"/>
    </row>
    <row r="5" spans="1:41" ht="23.25" customHeight="1">
      <c r="B5" s="77" t="s">
        <v>94</v>
      </c>
      <c r="C5" s="100">
        <f>C4-Assumptions!$E$49</f>
        <v>60</v>
      </c>
      <c r="D5" s="100">
        <f>D4-C4</f>
        <v>365</v>
      </c>
      <c r="E5" s="100">
        <f>IF(Tables!$B$21=2,181,E4-D4)</f>
        <v>365</v>
      </c>
      <c r="F5" s="100">
        <f>F4-E4</f>
        <v>365</v>
      </c>
      <c r="G5" s="100">
        <f>G4-F4</f>
        <v>366</v>
      </c>
      <c r="H5" s="100">
        <f>IF(Tables!$B$21=5,181,H4-G4)</f>
        <v>365</v>
      </c>
      <c r="I5" s="100">
        <f t="shared" ref="I5:Q5" si="2">I4-H4</f>
        <v>365</v>
      </c>
      <c r="J5" s="100">
        <f t="shared" si="2"/>
        <v>365</v>
      </c>
      <c r="K5" s="100">
        <f t="shared" si="2"/>
        <v>366</v>
      </c>
      <c r="L5" s="100">
        <f t="shared" si="2"/>
        <v>365</v>
      </c>
      <c r="M5" s="100">
        <f>IF(Tables!$B$21=10,181,M4-L4)</f>
        <v>365</v>
      </c>
      <c r="N5" s="100">
        <f t="shared" si="2"/>
        <v>365</v>
      </c>
      <c r="O5" s="100">
        <f t="shared" si="2"/>
        <v>366</v>
      </c>
      <c r="P5" s="100">
        <f t="shared" si="2"/>
        <v>365</v>
      </c>
      <c r="Q5" s="100">
        <f t="shared" si="2"/>
        <v>365</v>
      </c>
      <c r="R5" s="100">
        <f>IF(Tables!$B$21=15,181,R4-Q4)</f>
        <v>181</v>
      </c>
      <c r="S5" s="100">
        <f>S4-R4</f>
        <v>366</v>
      </c>
      <c r="T5" s="100">
        <f>T4-S4</f>
        <v>365</v>
      </c>
      <c r="U5" s="100">
        <f>U4-T4</f>
        <v>365</v>
      </c>
      <c r="V5" s="100">
        <f>V4-U4</f>
        <v>365</v>
      </c>
      <c r="W5" s="100">
        <f>IF(Tables!$B$21=20,181,W4-V4)</f>
        <v>366</v>
      </c>
      <c r="X5" s="100">
        <f>X4-W4</f>
        <v>365</v>
      </c>
      <c r="Y5" s="99"/>
      <c r="Z5" s="99"/>
      <c r="AA5" s="99"/>
      <c r="AB5" s="99"/>
      <c r="AC5" s="99"/>
    </row>
    <row r="6" spans="1:41">
      <c r="A6" s="66" t="s">
        <v>129</v>
      </c>
      <c r="C6" s="558">
        <f>Cashflow!D29</f>
        <v>0</v>
      </c>
      <c r="D6" s="558">
        <f>INDEX(CashflowTable,MATCH("Total Operating Revenues",CashflowColumn,0),MATCH(YEAR('WC '!D4),CashflowRow,0))</f>
        <v>51087.958634372997</v>
      </c>
      <c r="E6" s="558">
        <f>INDEX(CashflowTable,MATCH("Total Operating Revenues",CashflowColumn,0),MATCH(YEAR('WC '!E4),CashflowRow,0))</f>
        <v>44947.796871007478</v>
      </c>
      <c r="F6" s="558">
        <f>INDEX(CashflowTable,MATCH("Total Operating Revenues",CashflowColumn,0),MATCH(YEAR('WC '!F4),CashflowRow,0))</f>
        <v>40539.887729362548</v>
      </c>
      <c r="G6" s="558">
        <f>INDEX(CashflowTable,MATCH("Total Operating Revenues",CashflowColumn,0),MATCH(YEAR('WC '!G4),CashflowRow,0))</f>
        <v>32646.079046892206</v>
      </c>
      <c r="H6" s="558">
        <f>INDEX(CashflowTable,MATCH("Total Operating Revenues",CashflowColumn,0),MATCH(YEAR('WC '!H4),CashflowRow,0))</f>
        <v>30392.673288045931</v>
      </c>
      <c r="I6" s="558">
        <f>INDEX(CashflowTable,MATCH("Total Operating Revenues",CashflowColumn,0),MATCH(YEAR('WC '!I4),CashflowRow,0))</f>
        <v>31470.279028600558</v>
      </c>
      <c r="J6" s="558">
        <f>INDEX(CashflowTable,MATCH("Total Operating Revenues",CashflowColumn,0),MATCH(YEAR('WC '!J4),CashflowRow,0))</f>
        <v>32034.697747107959</v>
      </c>
      <c r="K6" s="558">
        <f>INDEX(CashflowTable,MATCH("Total Operating Revenues",CashflowColumn,0),MATCH(YEAR('WC '!K4),CashflowRow,0))</f>
        <v>31453.713507292807</v>
      </c>
      <c r="L6" s="558">
        <f>INDEX(CashflowTable,MATCH("Total Operating Revenues",CashflowColumn,0),MATCH(YEAR('WC '!L4),CashflowRow,0))</f>
        <v>32502.183244956839</v>
      </c>
      <c r="M6" s="558">
        <f>INDEX(CashflowTable,MATCH("Total Operating Revenues",CashflowColumn,0),MATCH(YEAR('WC '!M4),CashflowRow,0))</f>
        <v>32927.263115910042</v>
      </c>
      <c r="N6" s="558">
        <f>INDEX(CashflowTable,MATCH("Total Operating Revenues",CashflowColumn,0),MATCH(YEAR('WC '!N4),CashflowRow,0))</f>
        <v>33556.316708097482</v>
      </c>
      <c r="O6" s="558">
        <f>INDEX(CashflowTable,MATCH("Total Operating Revenues",CashflowColumn,0),MATCH(YEAR('WC '!O4),CashflowRow,0))</f>
        <v>32287.900427485372</v>
      </c>
      <c r="P6" s="558">
        <f>INDEX(CashflowTable,MATCH("Total Operating Revenues",CashflowColumn,0),MATCH(YEAR('WC '!P4),CashflowRow,0))</f>
        <v>33469.968792351145</v>
      </c>
      <c r="Q6" s="558">
        <f>INDEX(CashflowTable,MATCH("Total Operating Revenues",CashflowColumn,0),MATCH(YEAR('WC '!Q4),CashflowRow,0))</f>
        <v>33928.850755138163</v>
      </c>
      <c r="R6" s="558">
        <f>INDEX(CashflowTable,MATCH("Total Operating Revenues",CashflowColumn,0),MATCH(YEAR('WC '!R4),CashflowRow,0))</f>
        <v>35148.448776749254</v>
      </c>
      <c r="S6" s="558">
        <f>INDEX(CashflowTable,MATCH("Total Operating Revenues",CashflowColumn,0),MATCH(YEAR('WC '!S4),CashflowRow,0))</f>
        <v>5379.6218034406056</v>
      </c>
      <c r="T6" s="558">
        <f>INDEX(CashflowTable,MATCH("Total Operating Revenues",CashflowColumn,0),MATCH(YEAR('WC '!T4),CashflowRow,0))</f>
        <v>5411.2121855488167</v>
      </c>
      <c r="U6" s="558">
        <f>INDEX(CashflowTable,MATCH("Total Operating Revenues",CashflowColumn,0),MATCH(YEAR('WC '!U4),CashflowRow,0))</f>
        <v>4404.7032420598316</v>
      </c>
      <c r="V6" s="558" t="e">
        <f>INDEX(CashflowTable,MATCH("Total Operating Revenues",CashflowColumn,0),MATCH(YEAR('WC '!V4),CashflowRow,0))</f>
        <v>#DIV/0!</v>
      </c>
      <c r="W6" s="558" t="e">
        <f>INDEX(CashflowTable,MATCH("Total Operating Revenues",CashflowColumn,0),MATCH(YEAR('WC '!W4),CashflowRow,0))</f>
        <v>#DIV/0!</v>
      </c>
      <c r="X6" s="558"/>
      <c r="Y6" s="99"/>
      <c r="Z6" s="99"/>
      <c r="AA6" s="99"/>
      <c r="AB6" s="99"/>
      <c r="AC6" s="99"/>
    </row>
    <row r="7" spans="1:41">
      <c r="A7" s="66" t="s">
        <v>130</v>
      </c>
      <c r="C7" s="558">
        <f>Cashflow!D41</f>
        <v>446.45422999522941</v>
      </c>
      <c r="D7" s="558">
        <f>Cashflow!E41</f>
        <v>16055.117191965404</v>
      </c>
      <c r="E7" s="558">
        <f>Cashflow!F41</f>
        <v>18581.260575154727</v>
      </c>
      <c r="F7" s="558">
        <f>Cashflow!G41</f>
        <v>18992.842468783336</v>
      </c>
      <c r="G7" s="558">
        <f>Cashflow!H41</f>
        <v>16199.674994256302</v>
      </c>
      <c r="H7" s="558">
        <f>Cashflow!I41</f>
        <v>16336.008880051462</v>
      </c>
      <c r="I7" s="558">
        <f>Cashflow!J41</f>
        <v>16561.192072798789</v>
      </c>
      <c r="J7" s="558">
        <f>Cashflow!K41</f>
        <v>16631.339445854705</v>
      </c>
      <c r="K7" s="558">
        <f>Cashflow!L41</f>
        <v>16886.439750432106</v>
      </c>
      <c r="L7" s="558">
        <f>Cashflow!M41</f>
        <v>17305.522846035929</v>
      </c>
      <c r="M7" s="558">
        <f>Cashflow!N41</f>
        <v>17755.525865921176</v>
      </c>
      <c r="N7" s="558">
        <f>Cashflow!O41</f>
        <v>18041.736117717232</v>
      </c>
      <c r="O7" s="558">
        <f>Cashflow!P41</f>
        <v>16435.191891482904</v>
      </c>
      <c r="P7" s="558">
        <f>Cashflow!Q41</f>
        <v>16754.443462960578</v>
      </c>
      <c r="Q7" s="558">
        <f>Cashflow!R41</f>
        <v>17053.353959597338</v>
      </c>
      <c r="R7" s="558">
        <f>Cashflow!S41</f>
        <v>17324.020982136914</v>
      </c>
      <c r="S7" s="558">
        <f>Cashflow!T41</f>
        <v>0</v>
      </c>
      <c r="T7" s="558">
        <f>Cashflow!U41</f>
        <v>0</v>
      </c>
      <c r="U7" s="558">
        <f>Cashflow!V41</f>
        <v>0</v>
      </c>
      <c r="V7" s="558">
        <f>Cashflow!W41</f>
        <v>0</v>
      </c>
      <c r="W7" s="558">
        <f>Cashflow!X41</f>
        <v>0</v>
      </c>
      <c r="X7" s="558"/>
      <c r="Y7" s="99"/>
      <c r="Z7" s="99"/>
      <c r="AA7" s="99"/>
      <c r="AB7" s="99"/>
      <c r="AC7" s="99"/>
    </row>
    <row r="8" spans="1:41">
      <c r="A8" s="66"/>
      <c r="C8" s="100"/>
      <c r="D8" s="100"/>
      <c r="E8" s="100"/>
      <c r="F8" s="100"/>
      <c r="G8" s="100"/>
      <c r="H8" s="100"/>
      <c r="I8" s="100"/>
      <c r="J8" s="100"/>
      <c r="K8" s="100"/>
      <c r="L8" s="100"/>
      <c r="M8" s="100"/>
      <c r="N8" s="100"/>
      <c r="R8" s="100"/>
      <c r="S8" s="100"/>
      <c r="T8" s="100"/>
      <c r="U8" s="100"/>
      <c r="V8" s="100"/>
      <c r="W8" s="100"/>
      <c r="X8" s="100"/>
      <c r="Y8" s="99"/>
      <c r="Z8" s="99"/>
      <c r="AA8" s="99"/>
      <c r="AB8" s="99"/>
      <c r="AC8" s="99"/>
    </row>
    <row r="9" spans="1:41" s="103" customFormat="1">
      <c r="A9" s="105" t="s">
        <v>131</v>
      </c>
      <c r="B9" s="104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94"/>
      <c r="Z9" s="194"/>
      <c r="AA9" s="194"/>
      <c r="AB9" s="194"/>
      <c r="AC9" s="194"/>
      <c r="AD9" s="193"/>
      <c r="AE9" s="193"/>
      <c r="AF9" s="193"/>
      <c r="AG9" s="193"/>
      <c r="AH9" s="193"/>
      <c r="AI9" s="193"/>
      <c r="AJ9" s="193"/>
      <c r="AK9" s="193"/>
      <c r="AL9" s="193"/>
      <c r="AM9" s="193"/>
      <c r="AN9" s="193"/>
      <c r="AO9" s="193"/>
    </row>
    <row r="10" spans="1:41">
      <c r="A10" s="1" t="s">
        <v>96</v>
      </c>
      <c r="B10" s="1">
        <f>Assumptions!H25</f>
        <v>15</v>
      </c>
      <c r="C10" s="100">
        <v>0</v>
      </c>
      <c r="D10" s="100">
        <v>0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00">
        <v>0</v>
      </c>
      <c r="K10" s="100">
        <v>0</v>
      </c>
      <c r="L10" s="100">
        <v>0</v>
      </c>
      <c r="M10" s="100">
        <v>0</v>
      </c>
      <c r="N10" s="100">
        <v>0</v>
      </c>
      <c r="O10" s="100">
        <v>0</v>
      </c>
      <c r="P10" s="100">
        <v>0</v>
      </c>
      <c r="Q10" s="100">
        <v>0</v>
      </c>
      <c r="R10" s="100">
        <v>0</v>
      </c>
      <c r="S10" s="100">
        <v>0</v>
      </c>
      <c r="T10" s="100">
        <v>0</v>
      </c>
      <c r="U10" s="100">
        <v>0</v>
      </c>
      <c r="V10" s="100">
        <v>0</v>
      </c>
      <c r="W10" s="100">
        <v>0</v>
      </c>
      <c r="X10" s="100">
        <v>0</v>
      </c>
      <c r="Y10" s="99"/>
      <c r="Z10" s="99"/>
      <c r="AA10" s="99"/>
      <c r="AB10" s="99"/>
      <c r="AC10" s="99"/>
    </row>
    <row r="11" spans="1:41">
      <c r="A11" s="1" t="s">
        <v>98</v>
      </c>
      <c r="B11" s="1">
        <f>Assumptions!H26</f>
        <v>0</v>
      </c>
      <c r="C11" s="100">
        <f t="shared" ref="C11:H12" si="3">IF(C$4,($B11/C$5)*C$6)</f>
        <v>0</v>
      </c>
      <c r="D11" s="100">
        <f t="shared" si="3"/>
        <v>0</v>
      </c>
      <c r="E11" s="100">
        <f t="shared" si="3"/>
        <v>0</v>
      </c>
      <c r="F11" s="100">
        <f t="shared" si="3"/>
        <v>0</v>
      </c>
      <c r="G11" s="100">
        <f t="shared" si="3"/>
        <v>0</v>
      </c>
      <c r="H11" s="100">
        <f t="shared" si="3"/>
        <v>0</v>
      </c>
      <c r="I11" s="100">
        <f t="shared" ref="I11:M12" si="4">IF(I$4,($B11/I$5)*I$6)</f>
        <v>0</v>
      </c>
      <c r="J11" s="100">
        <f t="shared" si="4"/>
        <v>0</v>
      </c>
      <c r="K11" s="100">
        <f t="shared" si="4"/>
        <v>0</v>
      </c>
      <c r="L11" s="218">
        <f t="shared" si="4"/>
        <v>0</v>
      </c>
      <c r="M11" s="100">
        <f t="shared" si="4"/>
        <v>0</v>
      </c>
      <c r="N11" s="100">
        <f t="shared" ref="N11:X12" si="5">IF(N$4,($B11/N$5)*N$6)</f>
        <v>0</v>
      </c>
      <c r="O11" s="100">
        <f t="shared" si="5"/>
        <v>0</v>
      </c>
      <c r="P11" s="100">
        <f t="shared" si="5"/>
        <v>0</v>
      </c>
      <c r="Q11" s="100">
        <f t="shared" si="5"/>
        <v>0</v>
      </c>
      <c r="R11" s="100">
        <f t="shared" si="5"/>
        <v>0</v>
      </c>
      <c r="S11" s="100">
        <f t="shared" si="5"/>
        <v>0</v>
      </c>
      <c r="T11" s="100">
        <f t="shared" si="5"/>
        <v>0</v>
      </c>
      <c r="U11" s="100">
        <f t="shared" si="5"/>
        <v>0</v>
      </c>
      <c r="V11" s="100" t="e">
        <f t="shared" si="5"/>
        <v>#DIV/0!</v>
      </c>
      <c r="W11" s="100" t="e">
        <f t="shared" si="5"/>
        <v>#DIV/0!</v>
      </c>
      <c r="X11" s="100">
        <f t="shared" si="5"/>
        <v>0</v>
      </c>
      <c r="Y11" s="99"/>
      <c r="Z11" s="99"/>
      <c r="AA11" s="99"/>
      <c r="AB11" s="99"/>
      <c r="AC11" s="99"/>
    </row>
    <row r="12" spans="1:41">
      <c r="A12" s="1" t="s">
        <v>99</v>
      </c>
      <c r="B12" s="1">
        <f>Assumptions!H27</f>
        <v>5</v>
      </c>
      <c r="C12" s="100">
        <f t="shared" si="3"/>
        <v>0</v>
      </c>
      <c r="D12" s="100">
        <f t="shared" si="3"/>
        <v>699.83504978593146</v>
      </c>
      <c r="E12" s="100">
        <f t="shared" si="3"/>
        <v>615.72324480832162</v>
      </c>
      <c r="F12" s="100">
        <f t="shared" si="3"/>
        <v>555.34092779948696</v>
      </c>
      <c r="G12" s="100">
        <f t="shared" si="3"/>
        <v>445.98468643295359</v>
      </c>
      <c r="H12" s="100">
        <f t="shared" si="3"/>
        <v>416.33799024720452</v>
      </c>
      <c r="I12" s="100">
        <f t="shared" si="4"/>
        <v>431.09971272055554</v>
      </c>
      <c r="J12" s="100">
        <f t="shared" si="4"/>
        <v>438.83147598778021</v>
      </c>
      <c r="K12" s="100">
        <f t="shared" si="4"/>
        <v>429.69553971711485</v>
      </c>
      <c r="L12" s="100">
        <f t="shared" si="4"/>
        <v>445.23538691721694</v>
      </c>
      <c r="M12" s="100">
        <f t="shared" si="4"/>
        <v>451.05839884808273</v>
      </c>
      <c r="N12" s="100">
        <f t="shared" si="5"/>
        <v>459.6755713438011</v>
      </c>
      <c r="O12" s="100">
        <f t="shared" si="5"/>
        <v>441.09153589460891</v>
      </c>
      <c r="P12" s="100">
        <f t="shared" si="5"/>
        <v>458.49272318289235</v>
      </c>
      <c r="Q12" s="100">
        <f t="shared" si="5"/>
        <v>464.77877746764602</v>
      </c>
      <c r="R12" s="100">
        <f t="shared" si="5"/>
        <v>970.95162366710645</v>
      </c>
      <c r="S12" s="100">
        <f t="shared" si="5"/>
        <v>73.492101139898978</v>
      </c>
      <c r="T12" s="100">
        <f t="shared" si="5"/>
        <v>74.126194322586528</v>
      </c>
      <c r="U12" s="100">
        <f t="shared" si="5"/>
        <v>60.338400576162073</v>
      </c>
      <c r="V12" s="100" t="e">
        <f t="shared" si="5"/>
        <v>#DIV/0!</v>
      </c>
      <c r="W12" s="100" t="e">
        <f t="shared" si="5"/>
        <v>#DIV/0!</v>
      </c>
      <c r="X12" s="100">
        <f t="shared" si="5"/>
        <v>0</v>
      </c>
      <c r="Y12" s="99"/>
      <c r="Z12" s="99"/>
      <c r="AA12" s="99"/>
      <c r="AB12" s="99"/>
      <c r="AC12" s="99"/>
    </row>
    <row r="13" spans="1:41"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99"/>
      <c r="Z13" s="99"/>
      <c r="AA13" s="99"/>
      <c r="AB13" s="99"/>
      <c r="AC13" s="99"/>
    </row>
    <row r="14" spans="1:41">
      <c r="A14" s="107" t="s">
        <v>132</v>
      </c>
      <c r="B14" s="108"/>
      <c r="C14" s="109"/>
      <c r="D14" s="109"/>
      <c r="E14" s="109"/>
      <c r="F14" s="109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54"/>
      <c r="Z14" s="54"/>
      <c r="AA14" s="54"/>
      <c r="AB14" s="54"/>
      <c r="AC14" s="54"/>
    </row>
    <row r="15" spans="1:41">
      <c r="A15" s="1" t="s">
        <v>100</v>
      </c>
      <c r="B15" s="1">
        <f>Assumptions!H28</f>
        <v>30</v>
      </c>
      <c r="C15" s="100">
        <f t="shared" ref="C15:H17" si="6">IF(C$4,($B15/C$5)*C$7)</f>
        <v>223.22711499761471</v>
      </c>
      <c r="D15" s="100">
        <f t="shared" si="6"/>
        <v>1319.5986733122249</v>
      </c>
      <c r="E15" s="100">
        <f t="shared" si="6"/>
        <v>1527.2268965880596</v>
      </c>
      <c r="F15" s="100">
        <f t="shared" si="6"/>
        <v>1561.0555453794523</v>
      </c>
      <c r="G15" s="100">
        <f t="shared" si="6"/>
        <v>1327.8422126439591</v>
      </c>
      <c r="H15" s="100">
        <f t="shared" si="6"/>
        <v>1342.6856613740927</v>
      </c>
      <c r="I15" s="100">
        <f t="shared" ref="I15:M17" si="7">IF(I$4,($B15/I$5)*I$7)</f>
        <v>1361.1938689971607</v>
      </c>
      <c r="J15" s="100">
        <f t="shared" si="7"/>
        <v>1366.9594065086058</v>
      </c>
      <c r="K15" s="100">
        <f t="shared" si="7"/>
        <v>1384.1344057731233</v>
      </c>
      <c r="L15" s="100">
        <f t="shared" si="7"/>
        <v>1422.3717407700763</v>
      </c>
      <c r="M15" s="100">
        <f t="shared" si="7"/>
        <v>1459.3582903496856</v>
      </c>
      <c r="N15" s="100">
        <f t="shared" ref="N15:X17" si="8">IF(N$4,($B15/N$5)*N$7)</f>
        <v>1482.8824206342929</v>
      </c>
      <c r="O15" s="100">
        <f t="shared" si="8"/>
        <v>1347.1468763510577</v>
      </c>
      <c r="P15" s="100">
        <f t="shared" si="8"/>
        <v>1377.0775449008695</v>
      </c>
      <c r="Q15" s="100">
        <f t="shared" si="8"/>
        <v>1401.6455309258085</v>
      </c>
      <c r="R15" s="100">
        <f t="shared" si="8"/>
        <v>2871.384693171864</v>
      </c>
      <c r="S15" s="100">
        <f t="shared" si="8"/>
        <v>0</v>
      </c>
      <c r="T15" s="100">
        <f t="shared" si="8"/>
        <v>0</v>
      </c>
      <c r="U15" s="100">
        <f t="shared" si="8"/>
        <v>0</v>
      </c>
      <c r="V15" s="100">
        <f t="shared" si="8"/>
        <v>0</v>
      </c>
      <c r="W15" s="100">
        <f t="shared" si="8"/>
        <v>0</v>
      </c>
      <c r="X15" s="100">
        <f t="shared" si="8"/>
        <v>0</v>
      </c>
      <c r="Y15" s="99"/>
      <c r="Z15" s="99"/>
      <c r="AA15" s="99"/>
      <c r="AB15" s="99"/>
      <c r="AC15" s="99"/>
    </row>
    <row r="16" spans="1:41">
      <c r="A16" s="1" t="s">
        <v>101</v>
      </c>
      <c r="B16" s="1">
        <f>Assumptions!H29</f>
        <v>10</v>
      </c>
      <c r="C16" s="100">
        <f t="shared" si="6"/>
        <v>74.409038332538231</v>
      </c>
      <c r="D16" s="100">
        <f t="shared" si="6"/>
        <v>439.86622443740833</v>
      </c>
      <c r="E16" s="100">
        <f t="shared" si="6"/>
        <v>509.07563219601991</v>
      </c>
      <c r="F16" s="100">
        <f t="shared" si="6"/>
        <v>520.35184845981735</v>
      </c>
      <c r="G16" s="100">
        <f t="shared" si="6"/>
        <v>442.61407088131972</v>
      </c>
      <c r="H16" s="100">
        <f t="shared" si="6"/>
        <v>447.56188712469759</v>
      </c>
      <c r="I16" s="100">
        <f t="shared" si="7"/>
        <v>453.73128966572023</v>
      </c>
      <c r="J16" s="100">
        <f t="shared" si="7"/>
        <v>455.65313550286857</v>
      </c>
      <c r="K16" s="100">
        <f t="shared" si="7"/>
        <v>461.37813525770781</v>
      </c>
      <c r="L16" s="100">
        <f t="shared" si="7"/>
        <v>474.12391359002544</v>
      </c>
      <c r="M16" s="100">
        <f t="shared" si="7"/>
        <v>486.4527634498952</v>
      </c>
      <c r="N16" s="100">
        <f t="shared" si="8"/>
        <v>494.294140211431</v>
      </c>
      <c r="O16" s="100">
        <f t="shared" si="8"/>
        <v>449.04895878368586</v>
      </c>
      <c r="P16" s="100">
        <f t="shared" si="8"/>
        <v>459.02584830028979</v>
      </c>
      <c r="Q16" s="100">
        <f t="shared" si="8"/>
        <v>467.21517697526951</v>
      </c>
      <c r="R16" s="100">
        <f t="shared" si="8"/>
        <v>957.12823105728796</v>
      </c>
      <c r="S16" s="100">
        <f t="shared" si="8"/>
        <v>0</v>
      </c>
      <c r="T16" s="100">
        <f t="shared" si="8"/>
        <v>0</v>
      </c>
      <c r="U16" s="100">
        <f t="shared" si="8"/>
        <v>0</v>
      </c>
      <c r="V16" s="100">
        <f t="shared" si="8"/>
        <v>0</v>
      </c>
      <c r="W16" s="100">
        <f t="shared" si="8"/>
        <v>0</v>
      </c>
      <c r="X16" s="100">
        <f t="shared" si="8"/>
        <v>0</v>
      </c>
      <c r="Y16" s="99"/>
      <c r="Z16" s="99"/>
      <c r="AA16" s="99"/>
      <c r="AB16" s="99"/>
      <c r="AC16" s="99"/>
    </row>
    <row r="17" spans="1:29">
      <c r="A17" s="1" t="s">
        <v>102</v>
      </c>
      <c r="B17" s="1">
        <f>Assumptions!H30</f>
        <v>5</v>
      </c>
      <c r="C17" s="100">
        <f t="shared" si="6"/>
        <v>37.204519166269115</v>
      </c>
      <c r="D17" s="100">
        <f t="shared" si="6"/>
        <v>219.93311221870417</v>
      </c>
      <c r="E17" s="100">
        <f t="shared" si="6"/>
        <v>254.53781609800996</v>
      </c>
      <c r="F17" s="100">
        <f t="shared" si="6"/>
        <v>260.17592422990867</v>
      </c>
      <c r="G17" s="100">
        <f t="shared" si="6"/>
        <v>221.30703544065986</v>
      </c>
      <c r="H17" s="100">
        <f t="shared" si="6"/>
        <v>223.7809435623488</v>
      </c>
      <c r="I17" s="100">
        <f t="shared" si="7"/>
        <v>226.86564483286011</v>
      </c>
      <c r="J17" s="100">
        <f t="shared" si="7"/>
        <v>227.82656775143428</v>
      </c>
      <c r="K17" s="100">
        <f t="shared" si="7"/>
        <v>230.68906762885391</v>
      </c>
      <c r="L17" s="100">
        <f t="shared" si="7"/>
        <v>237.06195679501272</v>
      </c>
      <c r="M17" s="100">
        <f t="shared" si="7"/>
        <v>243.2263817249476</v>
      </c>
      <c r="N17" s="100">
        <f t="shared" si="8"/>
        <v>247.1470701057155</v>
      </c>
      <c r="O17" s="100">
        <f t="shared" si="8"/>
        <v>224.52447939184293</v>
      </c>
      <c r="P17" s="100">
        <f t="shared" si="8"/>
        <v>229.5129241501449</v>
      </c>
      <c r="Q17" s="100">
        <f t="shared" si="8"/>
        <v>233.60758848763476</v>
      </c>
      <c r="R17" s="100">
        <f t="shared" si="8"/>
        <v>478.56411552864398</v>
      </c>
      <c r="S17" s="100">
        <f t="shared" si="8"/>
        <v>0</v>
      </c>
      <c r="T17" s="100">
        <f t="shared" si="8"/>
        <v>0</v>
      </c>
      <c r="U17" s="100">
        <f t="shared" si="8"/>
        <v>0</v>
      </c>
      <c r="V17" s="100">
        <f t="shared" si="8"/>
        <v>0</v>
      </c>
      <c r="W17" s="100">
        <f t="shared" si="8"/>
        <v>0</v>
      </c>
      <c r="X17" s="100">
        <f t="shared" si="8"/>
        <v>0</v>
      </c>
      <c r="Y17" s="99"/>
      <c r="Z17" s="99"/>
      <c r="AA17" s="99"/>
      <c r="AB17" s="99"/>
      <c r="AC17" s="99"/>
    </row>
    <row r="18" spans="1:29" ht="12" thickBot="1"/>
    <row r="19" spans="1:29">
      <c r="A19" s="110" t="s">
        <v>133</v>
      </c>
      <c r="B19" s="110"/>
      <c r="C19" s="111">
        <f t="shared" ref="C19:X19" si="9">MAX(SUM(C10:C12)-SUM(C15:C17),0)</f>
        <v>0</v>
      </c>
      <c r="D19" s="111">
        <f t="shared" si="9"/>
        <v>0</v>
      </c>
      <c r="E19" s="111">
        <f t="shared" si="9"/>
        <v>0</v>
      </c>
      <c r="F19" s="111">
        <f>MAX(SUM(F10:F12)-SUM(F15:F17),0)</f>
        <v>0</v>
      </c>
      <c r="G19" s="111">
        <f t="shared" si="9"/>
        <v>0</v>
      </c>
      <c r="H19" s="111">
        <f t="shared" si="9"/>
        <v>0</v>
      </c>
      <c r="I19" s="111">
        <f>MAX(SUM(I10:I12)-SUM(I15:I17),0)</f>
        <v>0</v>
      </c>
      <c r="J19" s="111">
        <f>MAX(SUM(J10:J12)-SUM(J15:J17),0)</f>
        <v>0</v>
      </c>
      <c r="K19" s="111">
        <f>MAX(SUM(K10:K12)-SUM(K15:K17),0)</f>
        <v>0</v>
      </c>
      <c r="L19" s="111">
        <f>MAX(SUM(L10:L12)-SUM(L15:L17),0)</f>
        <v>0</v>
      </c>
      <c r="M19" s="111">
        <f>MAX(SUM(M10:M12)-SUM(M15:M17),0)</f>
        <v>0</v>
      </c>
      <c r="N19" s="111">
        <f t="shared" si="9"/>
        <v>0</v>
      </c>
      <c r="O19" s="111">
        <f>MAX(SUM(O10:O12)-SUM(O15:O17),0)</f>
        <v>0</v>
      </c>
      <c r="P19" s="111">
        <f>MAX(SUM(P10:P12)-SUM(P15:P17),0)</f>
        <v>0</v>
      </c>
      <c r="Q19" s="111">
        <f>MAX(SUM(Q10:Q12)-SUM(Q15:Q17),0)</f>
        <v>0</v>
      </c>
      <c r="R19" s="111">
        <f t="shared" si="9"/>
        <v>0</v>
      </c>
      <c r="S19" s="111">
        <f t="shared" si="9"/>
        <v>73.492101139898978</v>
      </c>
      <c r="T19" s="111">
        <f t="shared" si="9"/>
        <v>74.126194322586528</v>
      </c>
      <c r="U19" s="111">
        <f t="shared" si="9"/>
        <v>60.338400576162073</v>
      </c>
      <c r="V19" s="111" t="e">
        <f t="shared" si="9"/>
        <v>#DIV/0!</v>
      </c>
      <c r="W19" s="111" t="e">
        <f t="shared" si="9"/>
        <v>#DIV/0!</v>
      </c>
      <c r="X19" s="111">
        <f t="shared" si="9"/>
        <v>0</v>
      </c>
      <c r="Y19" s="54"/>
      <c r="Z19" s="54"/>
      <c r="AA19" s="54"/>
      <c r="AB19" s="54"/>
      <c r="AC19" s="54"/>
    </row>
    <row r="20" spans="1:29" ht="12" thickBot="1"/>
    <row r="21" spans="1:29">
      <c r="A21" s="110" t="s">
        <v>104</v>
      </c>
      <c r="B21" s="110"/>
      <c r="C21" s="112">
        <v>0</v>
      </c>
      <c r="D21" s="111">
        <f>IF(D4,MAX(C21,C19))</f>
        <v>0</v>
      </c>
      <c r="E21" s="111">
        <f>IF(E4,MAX(D21,D19))</f>
        <v>0</v>
      </c>
      <c r="F21" s="111">
        <f>IF(F4,MAX(E21,E19))</f>
        <v>0</v>
      </c>
      <c r="G21" s="111">
        <f>IF(G4,MAX(F21,F19))</f>
        <v>0</v>
      </c>
      <c r="H21" s="111">
        <f>IF(H4,MAX(G21,G19))</f>
        <v>0</v>
      </c>
      <c r="I21" s="111">
        <f t="shared" ref="I21:R21" si="10">IF(I4,MAX(H21,H19))</f>
        <v>0</v>
      </c>
      <c r="J21" s="111">
        <f t="shared" si="10"/>
        <v>0</v>
      </c>
      <c r="K21" s="111">
        <f t="shared" si="10"/>
        <v>0</v>
      </c>
      <c r="L21" s="111">
        <f t="shared" si="10"/>
        <v>0</v>
      </c>
      <c r="M21" s="111">
        <f t="shared" si="10"/>
        <v>0</v>
      </c>
      <c r="N21" s="111">
        <f t="shared" si="10"/>
        <v>0</v>
      </c>
      <c r="O21" s="111">
        <f t="shared" si="10"/>
        <v>0</v>
      </c>
      <c r="P21" s="111">
        <f t="shared" si="10"/>
        <v>0</v>
      </c>
      <c r="Q21" s="111">
        <f t="shared" si="10"/>
        <v>0</v>
      </c>
      <c r="R21" s="111">
        <f t="shared" si="10"/>
        <v>0</v>
      </c>
      <c r="S21" s="111">
        <f t="shared" ref="S21:X21" si="11">IF(S4,MAX(R21,R19))</f>
        <v>0</v>
      </c>
      <c r="T21" s="111">
        <f t="shared" si="11"/>
        <v>73.492101139898978</v>
      </c>
      <c r="U21" s="111">
        <f t="shared" si="11"/>
        <v>74.126194322586528</v>
      </c>
      <c r="V21" s="111">
        <f t="shared" si="11"/>
        <v>74.126194322586528</v>
      </c>
      <c r="W21" s="111" t="e">
        <f t="shared" si="11"/>
        <v>#DIV/0!</v>
      </c>
      <c r="X21" s="111" t="e">
        <f t="shared" si="11"/>
        <v>#DIV/0!</v>
      </c>
      <c r="Y21" s="54"/>
      <c r="Z21" s="54"/>
      <c r="AA21" s="54"/>
      <c r="AB21" s="54"/>
      <c r="AC21" s="54"/>
    </row>
    <row r="22" spans="1:29" ht="12" thickBot="1"/>
    <row r="23" spans="1:29">
      <c r="A23" s="110" t="s">
        <v>134</v>
      </c>
      <c r="B23" s="110"/>
      <c r="C23" s="111">
        <f t="shared" ref="C23:X23" si="12">IF(D$4,D21-C21)</f>
        <v>0</v>
      </c>
      <c r="D23" s="111">
        <f t="shared" si="12"/>
        <v>0</v>
      </c>
      <c r="E23" s="111">
        <f t="shared" si="12"/>
        <v>0</v>
      </c>
      <c r="F23" s="111">
        <f t="shared" si="12"/>
        <v>0</v>
      </c>
      <c r="G23" s="111">
        <f t="shared" si="12"/>
        <v>0</v>
      </c>
      <c r="H23" s="111">
        <f t="shared" ref="H23:Q23" si="13">IF(I$4,I21-H21)</f>
        <v>0</v>
      </c>
      <c r="I23" s="111">
        <f t="shared" si="13"/>
        <v>0</v>
      </c>
      <c r="J23" s="111">
        <f t="shared" si="13"/>
        <v>0</v>
      </c>
      <c r="K23" s="111">
        <f t="shared" si="13"/>
        <v>0</v>
      </c>
      <c r="L23" s="111">
        <f t="shared" si="13"/>
        <v>0</v>
      </c>
      <c r="M23" s="111">
        <f t="shared" si="13"/>
        <v>0</v>
      </c>
      <c r="N23" s="111">
        <f t="shared" si="13"/>
        <v>0</v>
      </c>
      <c r="O23" s="111">
        <f t="shared" si="13"/>
        <v>0</v>
      </c>
      <c r="P23" s="111">
        <f t="shared" si="13"/>
        <v>0</v>
      </c>
      <c r="Q23" s="111">
        <f t="shared" si="13"/>
        <v>0</v>
      </c>
      <c r="R23" s="111">
        <f t="shared" si="12"/>
        <v>0</v>
      </c>
      <c r="S23" s="111">
        <f t="shared" si="12"/>
        <v>73.492101139898978</v>
      </c>
      <c r="T23" s="111">
        <f t="shared" si="12"/>
        <v>0.63409318268755044</v>
      </c>
      <c r="U23" s="111">
        <f t="shared" si="12"/>
        <v>0</v>
      </c>
      <c r="V23" s="111" t="e">
        <f t="shared" si="12"/>
        <v>#DIV/0!</v>
      </c>
      <c r="W23" s="111" t="e">
        <f t="shared" si="12"/>
        <v>#DIV/0!</v>
      </c>
      <c r="X23" s="111" t="b">
        <f t="shared" si="12"/>
        <v>0</v>
      </c>
      <c r="Y23" s="54"/>
      <c r="Z23" s="54"/>
      <c r="AA23" s="54"/>
      <c r="AB23" s="54"/>
      <c r="AC23" s="54"/>
    </row>
    <row r="25" spans="1:29">
      <c r="C25" s="396"/>
      <c r="D25" s="396"/>
      <c r="E25" s="396"/>
      <c r="F25" s="396"/>
      <c r="G25" s="396"/>
      <c r="H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7"/>
      <c r="Z25" s="397"/>
      <c r="AA25" s="397"/>
    </row>
    <row r="26" spans="1:29">
      <c r="I26" s="396"/>
      <c r="J26" s="396"/>
      <c r="K26" s="396"/>
      <c r="L26" s="396"/>
      <c r="M26" s="396"/>
    </row>
  </sheetData>
  <printOptions horizontalCentered="1"/>
  <pageMargins left="0.75" right="0.75" top="1" bottom="0.81" header="0.5" footer="0.19"/>
  <pageSetup scale="66" firstPageNumber="5" fitToWidth="2" orientation="landscape" r:id="rId1"/>
  <headerFooter alignWithMargins="0">
    <oddFooter>&amp;LI:CES\IS\KChaney\Power\Omers\New Models\&amp;F
&amp;D
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BS">
    <pageSetUpPr autoPageBreaks="0" fitToPage="1"/>
  </sheetPr>
  <dimension ref="A1:AA20002"/>
  <sheetViews>
    <sheetView zoomScale="75" zoomScaleNormal="100" workbookViewId="0">
      <pane xSplit="1" ySplit="3" topLeftCell="B33" activePane="bottomRight" state="frozenSplit"/>
      <selection activeCell="D63" sqref="D63"/>
      <selection pane="topRight" activeCell="D63" sqref="D63"/>
      <selection pane="bottomLeft" activeCell="D63" sqref="D63"/>
      <selection pane="bottomRight" activeCell="A56" sqref="A56"/>
    </sheetView>
  </sheetViews>
  <sheetFormatPr defaultRowHeight="11.25"/>
  <cols>
    <col min="1" max="1" width="41" style="7" customWidth="1"/>
    <col min="2" max="8" width="11.7109375" style="7" customWidth="1"/>
    <col min="9" max="9" width="11.140625" style="7" customWidth="1"/>
    <col min="10" max="14" width="11.7109375" style="7" customWidth="1"/>
    <col min="15" max="15" width="11.5703125" style="7" customWidth="1"/>
    <col min="16" max="16" width="11.7109375" style="7" customWidth="1"/>
    <col min="17" max="17" width="11.85546875" style="7" customWidth="1"/>
    <col min="18" max="21" width="11.7109375" style="7" customWidth="1"/>
    <col min="22" max="16384" width="9.140625" style="7"/>
  </cols>
  <sheetData>
    <row r="1" spans="1:21" s="212" customFormat="1" ht="20.25">
      <c r="A1" s="212" t="s">
        <v>210</v>
      </c>
    </row>
    <row r="2" spans="1:21" s="212" customFormat="1" ht="20.25">
      <c r="A2" s="99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/>
      <c r="Q2" s="300"/>
      <c r="R2" s="300"/>
      <c r="S2" s="300"/>
      <c r="T2" s="300"/>
      <c r="U2" s="300"/>
    </row>
    <row r="3" spans="1:21" s="358" customFormat="1">
      <c r="A3" s="275"/>
      <c r="B3" s="284">
        <f>Cashflow!D15</f>
        <v>36891</v>
      </c>
      <c r="C3" s="285">
        <f t="shared" ref="C3:U3" si="0">EOMONTH(B3,12)</f>
        <v>37256</v>
      </c>
      <c r="D3" s="285">
        <f t="shared" si="0"/>
        <v>37621</v>
      </c>
      <c r="E3" s="285">
        <f t="shared" si="0"/>
        <v>37986</v>
      </c>
      <c r="F3" s="285">
        <f t="shared" si="0"/>
        <v>38352</v>
      </c>
      <c r="G3" s="285">
        <f t="shared" si="0"/>
        <v>38717</v>
      </c>
      <c r="H3" s="285">
        <f t="shared" si="0"/>
        <v>39082</v>
      </c>
      <c r="I3" s="285">
        <f t="shared" si="0"/>
        <v>39447</v>
      </c>
      <c r="J3" s="285">
        <f t="shared" si="0"/>
        <v>39813</v>
      </c>
      <c r="K3" s="285">
        <f t="shared" si="0"/>
        <v>40178</v>
      </c>
      <c r="L3" s="285">
        <f t="shared" si="0"/>
        <v>40543</v>
      </c>
      <c r="M3" s="285">
        <f t="shared" si="0"/>
        <v>40908</v>
      </c>
      <c r="N3" s="285">
        <f t="shared" si="0"/>
        <v>41274</v>
      </c>
      <c r="O3" s="285">
        <f t="shared" si="0"/>
        <v>41639</v>
      </c>
      <c r="P3" s="285">
        <f t="shared" si="0"/>
        <v>42004</v>
      </c>
      <c r="Q3" s="285">
        <f t="shared" si="0"/>
        <v>42369</v>
      </c>
      <c r="R3" s="285">
        <f t="shared" si="0"/>
        <v>42735</v>
      </c>
      <c r="S3" s="285">
        <f t="shared" si="0"/>
        <v>43100</v>
      </c>
      <c r="T3" s="285">
        <f t="shared" si="0"/>
        <v>43465</v>
      </c>
      <c r="U3" s="285">
        <f t="shared" si="0"/>
        <v>43830</v>
      </c>
    </row>
    <row r="4" spans="1:21" s="25" customFormat="1" ht="12.75">
      <c r="A4" s="196" t="s">
        <v>95</v>
      </c>
      <c r="B4" s="196"/>
      <c r="C4" s="196"/>
      <c r="D4" s="197"/>
      <c r="E4" s="197"/>
      <c r="F4" s="197"/>
      <c r="G4" s="197"/>
      <c r="H4" s="197"/>
      <c r="I4" s="197"/>
      <c r="J4" s="197"/>
      <c r="K4" s="197"/>
      <c r="L4" s="197"/>
      <c r="M4" s="197"/>
      <c r="N4" s="197"/>
      <c r="O4" s="197"/>
      <c r="P4" s="197"/>
      <c r="Q4" s="197"/>
      <c r="R4" s="197"/>
      <c r="S4" s="197"/>
      <c r="T4" s="197"/>
      <c r="U4" s="197"/>
    </row>
    <row r="5" spans="1:21" s="25" customFormat="1">
      <c r="A5" s="96" t="s">
        <v>97</v>
      </c>
      <c r="B5" s="99">
        <f>-B18-B17-SUM(B6:B8)+SUM(B25:B28)+BS!B32-Cashflow!D48-INDEX(CashflowTable,MATCH("   Interest on Operating Line",CashflowColumn,0),MATCH(YEAR(B3),CashflowRow,0))-Cashflow!D50+B39+Cashflow!D43</f>
        <v>-111.61355749879965</v>
      </c>
      <c r="C5" s="99">
        <f>B5-C61+C62+Cashflow!E43-SUM(Cashflow!E48:E50)+BS!C64-BS!B29-C65</f>
        <v>26494.7838219396</v>
      </c>
      <c r="D5" s="99">
        <f>C5-D61+D62+Cashflow!F43-SUM(Cashflow!F48:F50)+BS!D64-BS!C29-D65</f>
        <v>40422.415058380495</v>
      </c>
      <c r="E5" s="99">
        <f>D5-E61+E62+Cashflow!G43-SUM(Cashflow!G48:G50)+BS!E64-BS!D29-E65</f>
        <v>49991.786346520035</v>
      </c>
      <c r="F5" s="99">
        <f>E5-F61+F62+Cashflow!H43-SUM(Cashflow!H48:H50)+BS!F64-BS!E29-F65</f>
        <v>55309.901997202804</v>
      </c>
      <c r="G5" s="99">
        <f>F5-G61+G62+Cashflow!I43-SUM(Cashflow!I48:I50)+BS!G64-BS!F29-G65</f>
        <v>59995.477668016647</v>
      </c>
      <c r="H5" s="99">
        <f>G5-H61+H62+Cashflow!J43-SUM(Cashflow!J48:J50)+BS!H64-BS!G29-H65</f>
        <v>66426.422498355532</v>
      </c>
      <c r="I5" s="99">
        <f>H5-I61+I62+Cashflow!K43-SUM(Cashflow!K48:K50)+BS!I64-BS!H29-I65</f>
        <v>72886.458267988652</v>
      </c>
      <c r="J5" s="99">
        <f>I5-J61+J62+Cashflow!L43-SUM(Cashflow!L48:L50)+BS!J64-BS!I29-J65</f>
        <v>78379.519655671204</v>
      </c>
      <c r="K5" s="99">
        <f>J5-K61+K62+Cashflow!M43-SUM(Cashflow!M48:M50)+BS!K64-BS!J29-K65</f>
        <v>84726.393002250494</v>
      </c>
      <c r="L5" s="99">
        <f>K5-L61+L62+Cashflow!N43-SUM(Cashflow!N48:N50)+BS!L64-BS!K29-L65</f>
        <v>90863.450736118975</v>
      </c>
      <c r="M5" s="99">
        <f>L5-M61+M62+Cashflow!O43-SUM(Cashflow!O48:O50)+BS!M64-BS!L29-M65</f>
        <v>97362.147700365138</v>
      </c>
      <c r="N5" s="99">
        <f>M5-N61+N62+Cashflow!P43-SUM(Cashflow!P48:P50)+BS!N64-BS!M29-N65</f>
        <v>103900.58620241645</v>
      </c>
      <c r="O5" s="99">
        <f>N5-O61+O62+Cashflow!Q43-SUM(Cashflow!Q48:Q50)+BS!O64-BS!N29-O65</f>
        <v>111573.8072674274</v>
      </c>
      <c r="P5" s="99">
        <f>O5-P61+P62+Cashflow!R43-SUM(Cashflow!R48:R50)+BS!P64-BS!O29-P65</f>
        <v>123568.00690926568</v>
      </c>
      <c r="Q5" s="99">
        <f>P5-Q61+Q62+Cashflow!S43-SUM(Cashflow!S48:S50)+BS!Q64-BS!P29-Q65</f>
        <v>137857.84429532761</v>
      </c>
      <c r="R5" s="99">
        <f>IF(Tables!$B$21=15,0,Q5-R61+R62+Cashflow!T43-SUM(Cashflow!T48:T50)+BS!R64-BS!Q29-R65)</f>
        <v>0</v>
      </c>
      <c r="S5" s="99">
        <f>IF(Tables!$B$21=15,0,R5-S61+S62+Cashflow!U43-SUM(Cashflow!U48:U50)+BS!S64-BS!R29-S65)</f>
        <v>0</v>
      </c>
      <c r="T5" s="99">
        <f>IF(Tables!$B$21=15,0,S5-T61+T62+Cashflow!V43-SUM(Cashflow!V48:V50)+BS!T64-BS!S29-T65)</f>
        <v>0</v>
      </c>
      <c r="U5" s="99">
        <f>IF(Tables!$B$21=15,0,T5-U61+U62+Cashflow!W43-SUM(Cashflow!W48:W50)+BS!U64-BS!T29-U65)</f>
        <v>0</v>
      </c>
    </row>
    <row r="6" spans="1:21" s="25" customFormat="1">
      <c r="A6" s="96" t="s">
        <v>178</v>
      </c>
      <c r="B6" s="27">
        <f>INDEX(DebtReserveTable,MATCH("Ending Balance 4th Quarter",DebtReserveColumn,0),MATCH(B3,DebtReserveRow,0))</f>
        <v>0</v>
      </c>
      <c r="C6" s="27">
        <f>INDEX(DebtReserveTable,MATCH("Ending Balance 4th Quarter",DebtReserveColumn,0),MATCH(C$3,DebtReserveRow,0))</f>
        <v>0</v>
      </c>
      <c r="D6" s="27">
        <f t="shared" ref="D6:U6" si="1">INDEX(DebtReserveTable,MATCH("Ending Balance 4th Quarter",DebtReserveColumn,0),MATCH(D3,DebtReserveRow,0))</f>
        <v>0</v>
      </c>
      <c r="E6" s="27">
        <f t="shared" si="1"/>
        <v>0</v>
      </c>
      <c r="F6" s="27">
        <f t="shared" si="1"/>
        <v>0</v>
      </c>
      <c r="G6" s="27">
        <f t="shared" si="1"/>
        <v>0</v>
      </c>
      <c r="H6" s="27">
        <f t="shared" si="1"/>
        <v>0</v>
      </c>
      <c r="I6" s="27">
        <f t="shared" si="1"/>
        <v>0</v>
      </c>
      <c r="J6" s="27">
        <f t="shared" si="1"/>
        <v>0</v>
      </c>
      <c r="K6" s="27">
        <f t="shared" si="1"/>
        <v>0</v>
      </c>
      <c r="L6" s="27">
        <f t="shared" si="1"/>
        <v>0</v>
      </c>
      <c r="M6" s="27">
        <f t="shared" si="1"/>
        <v>0</v>
      </c>
      <c r="N6" s="27">
        <f t="shared" si="1"/>
        <v>0</v>
      </c>
      <c r="O6" s="27">
        <f t="shared" si="1"/>
        <v>0</v>
      </c>
      <c r="P6" s="27">
        <f t="shared" si="1"/>
        <v>0</v>
      </c>
      <c r="Q6" s="27">
        <f t="shared" si="1"/>
        <v>0</v>
      </c>
      <c r="R6" s="27">
        <f t="shared" si="1"/>
        <v>0</v>
      </c>
      <c r="S6" s="27">
        <f t="shared" si="1"/>
        <v>0</v>
      </c>
      <c r="T6" s="27">
        <f t="shared" si="1"/>
        <v>0</v>
      </c>
      <c r="U6" s="27">
        <f t="shared" si="1"/>
        <v>0</v>
      </c>
    </row>
    <row r="7" spans="1:21" s="25" customFormat="1">
      <c r="A7" s="98" t="s">
        <v>98</v>
      </c>
      <c r="B7" s="54">
        <f>INDEX(WC,MATCH("Accounts Receivable",Column,0),MATCH(B$3,Row,0))</f>
        <v>0</v>
      </c>
      <c r="C7" s="54">
        <f t="shared" ref="C7:Q7" si="2">INDEX(WC,MATCH("Accounts Receivable",Column,0),MATCH(C$3,Row,0))</f>
        <v>0</v>
      </c>
      <c r="D7" s="54">
        <f t="shared" si="2"/>
        <v>0</v>
      </c>
      <c r="E7" s="54">
        <f t="shared" si="2"/>
        <v>0</v>
      </c>
      <c r="F7" s="54">
        <f t="shared" si="2"/>
        <v>0</v>
      </c>
      <c r="G7" s="54">
        <f t="shared" si="2"/>
        <v>0</v>
      </c>
      <c r="H7" s="54">
        <f t="shared" si="2"/>
        <v>0</v>
      </c>
      <c r="I7" s="54">
        <f t="shared" si="2"/>
        <v>0</v>
      </c>
      <c r="J7" s="54">
        <f t="shared" si="2"/>
        <v>0</v>
      </c>
      <c r="K7" s="54">
        <f t="shared" si="2"/>
        <v>0</v>
      </c>
      <c r="L7" s="54">
        <f t="shared" si="2"/>
        <v>0</v>
      </c>
      <c r="M7" s="54">
        <f t="shared" si="2"/>
        <v>0</v>
      </c>
      <c r="N7" s="54">
        <f t="shared" si="2"/>
        <v>0</v>
      </c>
      <c r="O7" s="54">
        <f t="shared" si="2"/>
        <v>0</v>
      </c>
      <c r="P7" s="54">
        <f t="shared" si="2"/>
        <v>0</v>
      </c>
      <c r="Q7" s="54">
        <f t="shared" si="2"/>
        <v>0</v>
      </c>
      <c r="R7" s="54">
        <f>IF(Tables!$B$21=15,0,INDEX(WC,MATCH("Accounts Receivable",Column,0),MATCH(R$3,Row,0)))</f>
        <v>0</v>
      </c>
      <c r="S7" s="54">
        <f>IF(Tables!$B$21=15,0,INDEX(WC,MATCH("Accounts Receivable",Column,0),MATCH(S$3,Row,0)))</f>
        <v>0</v>
      </c>
      <c r="T7" s="54">
        <f>IF(Tables!$B$21=15,0,INDEX(WC,MATCH("Accounts Receivable",Column,0),MATCH(T$3,Row,0)))</f>
        <v>0</v>
      </c>
      <c r="U7" s="54">
        <f>IF(Tables!$B$21=15,0,INDEX(WC,MATCH("Accounts Receivable",Column,0),MATCH(U$3,Row,0)))</f>
        <v>0</v>
      </c>
    </row>
    <row r="8" spans="1:21" s="25" customFormat="1">
      <c r="A8" s="98" t="s">
        <v>99</v>
      </c>
      <c r="B8" s="54">
        <f>INDEX(WC,MATCH("Other Current Assets",Column,0),MATCH(B$3,Row,0))</f>
        <v>0</v>
      </c>
      <c r="C8" s="54">
        <f t="shared" ref="C8:Q8" si="3">INDEX(WC,MATCH("Other Current Assets",Column,0),MATCH(C$3,Row,0))</f>
        <v>699.83504978593146</v>
      </c>
      <c r="D8" s="54">
        <f t="shared" si="3"/>
        <v>615.72324480832162</v>
      </c>
      <c r="E8" s="54">
        <f t="shared" si="3"/>
        <v>555.34092779948696</v>
      </c>
      <c r="F8" s="54">
        <f t="shared" si="3"/>
        <v>445.98468643295359</v>
      </c>
      <c r="G8" s="54">
        <f t="shared" si="3"/>
        <v>416.33799024720452</v>
      </c>
      <c r="H8" s="54">
        <f t="shared" si="3"/>
        <v>431.09971272055554</v>
      </c>
      <c r="I8" s="54">
        <f t="shared" si="3"/>
        <v>438.83147598778021</v>
      </c>
      <c r="J8" s="54">
        <f t="shared" si="3"/>
        <v>429.69553971711485</v>
      </c>
      <c r="K8" s="54">
        <f t="shared" si="3"/>
        <v>445.23538691721694</v>
      </c>
      <c r="L8" s="54">
        <f t="shared" si="3"/>
        <v>451.05839884808273</v>
      </c>
      <c r="M8" s="54">
        <f t="shared" si="3"/>
        <v>459.6755713438011</v>
      </c>
      <c r="N8" s="54">
        <f t="shared" si="3"/>
        <v>441.09153589460891</v>
      </c>
      <c r="O8" s="54">
        <f t="shared" si="3"/>
        <v>458.49272318289235</v>
      </c>
      <c r="P8" s="54">
        <f t="shared" si="3"/>
        <v>464.77877746764602</v>
      </c>
      <c r="Q8" s="54">
        <f t="shared" si="3"/>
        <v>970.95162366710645</v>
      </c>
      <c r="R8" s="54">
        <f>IF(Tables!$B$21=15,0,INDEX(WC,MATCH("Other Current Assets",Column,0),MATCH(R$3,Row,0)))</f>
        <v>0</v>
      </c>
      <c r="S8" s="54">
        <f>IF(Tables!$B$21=15,0,INDEX(WC,MATCH("Other Current Assets",Column,0),MATCH(S$3,Row,0)))</f>
        <v>0</v>
      </c>
      <c r="T8" s="54">
        <f>IF(Tables!$B$21=15,0,INDEX(WC,MATCH("Other Current Assets",Column,0),MATCH(T$3,Row,0)))</f>
        <v>0</v>
      </c>
      <c r="U8" s="54">
        <f>IF(Tables!$B$21=15,0,INDEX(WC,MATCH("Other Current Assets",Column,0),MATCH(U$3,Row,0)))</f>
        <v>0</v>
      </c>
    </row>
    <row r="9" spans="1:21" s="25" customFormat="1">
      <c r="A9" s="98"/>
      <c r="B9" s="27"/>
      <c r="C9" s="99"/>
      <c r="D9" s="99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</row>
    <row r="10" spans="1:21" s="25" customFormat="1">
      <c r="A10" s="96"/>
      <c r="B10" s="27"/>
      <c r="C10" s="99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</row>
    <row r="11" spans="1:21" s="25" customFormat="1">
      <c r="A11" s="269" t="s">
        <v>103</v>
      </c>
      <c r="B11" s="270">
        <f t="shared" ref="B11:U11" si="4">SUM(B5:B10)</f>
        <v>-111.61355749879965</v>
      </c>
      <c r="C11" s="271">
        <f t="shared" si="4"/>
        <v>27194.618871725532</v>
      </c>
      <c r="D11" s="271">
        <f t="shared" si="4"/>
        <v>41038.138303188818</v>
      </c>
      <c r="E11" s="271">
        <f t="shared" si="4"/>
        <v>50547.127274319522</v>
      </c>
      <c r="F11" s="271">
        <f t="shared" si="4"/>
        <v>55755.886683635756</v>
      </c>
      <c r="G11" s="271">
        <f t="shared" si="4"/>
        <v>60411.815658263855</v>
      </c>
      <c r="H11" s="271">
        <f t="shared" si="4"/>
        <v>66857.522211076081</v>
      </c>
      <c r="I11" s="271">
        <f t="shared" si="4"/>
        <v>73325.289743976435</v>
      </c>
      <c r="J11" s="271">
        <f t="shared" si="4"/>
        <v>78809.215195388315</v>
      </c>
      <c r="K11" s="271">
        <f t="shared" si="4"/>
        <v>85171.628389167716</v>
      </c>
      <c r="L11" s="271">
        <f t="shared" si="4"/>
        <v>91314.509134967055</v>
      </c>
      <c r="M11" s="271">
        <f t="shared" si="4"/>
        <v>97821.823271708941</v>
      </c>
      <c r="N11" s="271">
        <f t="shared" si="4"/>
        <v>104341.67773831106</v>
      </c>
      <c r="O11" s="271">
        <f t="shared" si="4"/>
        <v>112032.29999061029</v>
      </c>
      <c r="P11" s="271">
        <f t="shared" si="4"/>
        <v>124032.78568673332</v>
      </c>
      <c r="Q11" s="271">
        <f t="shared" si="4"/>
        <v>138828.79591899473</v>
      </c>
      <c r="R11" s="271">
        <f t="shared" si="4"/>
        <v>0</v>
      </c>
      <c r="S11" s="271">
        <f t="shared" si="4"/>
        <v>0</v>
      </c>
      <c r="T11" s="271">
        <f t="shared" si="4"/>
        <v>0</v>
      </c>
      <c r="U11" s="271">
        <f t="shared" si="4"/>
        <v>0</v>
      </c>
    </row>
    <row r="12" spans="1:21" s="25" customFormat="1">
      <c r="A12" s="96" t="s">
        <v>122</v>
      </c>
      <c r="B12" s="97"/>
      <c r="C12" s="99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</row>
    <row r="13" spans="1:21" s="25" customFormat="1">
      <c r="A13" s="98" t="s">
        <v>123</v>
      </c>
      <c r="C13" s="99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</row>
    <row r="14" spans="1:21" s="25" customFormat="1">
      <c r="A14" s="96" t="s">
        <v>124</v>
      </c>
      <c r="B14" s="97"/>
      <c r="C14" s="99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</row>
    <row r="15" spans="1:21" s="25" customFormat="1">
      <c r="A15" s="269" t="s">
        <v>125</v>
      </c>
      <c r="B15" s="271">
        <f t="shared" ref="B15:U15" si="5">SUM(B12:B14)</f>
        <v>0</v>
      </c>
      <c r="C15" s="271">
        <f t="shared" si="5"/>
        <v>0</v>
      </c>
      <c r="D15" s="271">
        <f t="shared" si="5"/>
        <v>0</v>
      </c>
      <c r="E15" s="271">
        <f t="shared" si="5"/>
        <v>0</v>
      </c>
      <c r="F15" s="271">
        <f t="shared" si="5"/>
        <v>0</v>
      </c>
      <c r="G15" s="271">
        <f t="shared" si="5"/>
        <v>0</v>
      </c>
      <c r="H15" s="271">
        <f t="shared" si="5"/>
        <v>0</v>
      </c>
      <c r="I15" s="271">
        <f t="shared" si="5"/>
        <v>0</v>
      </c>
      <c r="J15" s="271">
        <f t="shared" si="5"/>
        <v>0</v>
      </c>
      <c r="K15" s="271">
        <f t="shared" si="5"/>
        <v>0</v>
      </c>
      <c r="L15" s="271">
        <f t="shared" si="5"/>
        <v>0</v>
      </c>
      <c r="M15" s="271">
        <f t="shared" si="5"/>
        <v>0</v>
      </c>
      <c r="N15" s="271">
        <f t="shared" si="5"/>
        <v>0</v>
      </c>
      <c r="O15" s="271">
        <f t="shared" si="5"/>
        <v>0</v>
      </c>
      <c r="P15" s="271">
        <f t="shared" si="5"/>
        <v>0</v>
      </c>
      <c r="Q15" s="271">
        <f t="shared" si="5"/>
        <v>0</v>
      </c>
      <c r="R15" s="271">
        <f t="shared" si="5"/>
        <v>0</v>
      </c>
      <c r="S15" s="271">
        <f t="shared" si="5"/>
        <v>0</v>
      </c>
      <c r="T15" s="271">
        <f t="shared" si="5"/>
        <v>0</v>
      </c>
      <c r="U15" s="271">
        <f t="shared" si="5"/>
        <v>0</v>
      </c>
    </row>
    <row r="16" spans="1:21" s="25" customFormat="1">
      <c r="B16" s="99"/>
      <c r="C16" s="99"/>
      <c r="D16" s="99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</row>
    <row r="17" spans="1:21" s="25" customFormat="1">
      <c r="A17" s="98" t="s">
        <v>106</v>
      </c>
      <c r="B17" s="99">
        <f>Assumptions!$E$5</f>
        <v>466</v>
      </c>
      <c r="C17" s="99">
        <f>Assumptions!$E$5</f>
        <v>466</v>
      </c>
      <c r="D17" s="99">
        <f>Assumptions!$E$5</f>
        <v>466</v>
      </c>
      <c r="E17" s="99">
        <f>Assumptions!$E$5</f>
        <v>466</v>
      </c>
      <c r="F17" s="99">
        <f>Assumptions!$E$5</f>
        <v>466</v>
      </c>
      <c r="G17" s="99">
        <f>Assumptions!$E$5</f>
        <v>466</v>
      </c>
      <c r="H17" s="99">
        <f>Assumptions!$E$5</f>
        <v>466</v>
      </c>
      <c r="I17" s="99">
        <f>Assumptions!$E$5</f>
        <v>466</v>
      </c>
      <c r="J17" s="99">
        <f>Assumptions!$E$5</f>
        <v>466</v>
      </c>
      <c r="K17" s="99">
        <f>Assumptions!$E$5</f>
        <v>466</v>
      </c>
      <c r="L17" s="99">
        <f>Assumptions!$E$5</f>
        <v>466</v>
      </c>
      <c r="M17" s="99">
        <f>Assumptions!$E$5</f>
        <v>466</v>
      </c>
      <c r="N17" s="99">
        <f>Assumptions!$E$5</f>
        <v>466</v>
      </c>
      <c r="O17" s="99">
        <f>Assumptions!$E$5</f>
        <v>466</v>
      </c>
      <c r="P17" s="99">
        <f>Assumptions!$E$5</f>
        <v>466</v>
      </c>
      <c r="Q17" s="99">
        <f>Assumptions!$E$5</f>
        <v>466</v>
      </c>
      <c r="R17" s="99">
        <f>IF(Tables!$B$21=15,0,Assumptions!$E$5)</f>
        <v>0</v>
      </c>
      <c r="S17" s="99">
        <f>IF(Tables!$B$21=15,0,Assumptions!$E$5)</f>
        <v>0</v>
      </c>
      <c r="T17" s="99">
        <f>IF(Tables!$B$21=15,0,Assumptions!$E$5)</f>
        <v>0</v>
      </c>
      <c r="U17" s="99">
        <f>IF(Tables!$B$21=15,0,Assumptions!$E$5)</f>
        <v>0</v>
      </c>
    </row>
    <row r="18" spans="1:21" s="25" customFormat="1">
      <c r="A18" s="96" t="s">
        <v>126</v>
      </c>
      <c r="B18" s="97">
        <f>$B$91</f>
        <v>180064.05066285018</v>
      </c>
      <c r="C18" s="97">
        <f>$B$91</f>
        <v>180064.05066285018</v>
      </c>
      <c r="D18" s="97">
        <f>$B$91</f>
        <v>180064.05066285018</v>
      </c>
      <c r="E18" s="97">
        <f>$B$91+Assumptions!E17</f>
        <v>180064.05066285018</v>
      </c>
      <c r="F18" s="97">
        <f>$E$18</f>
        <v>180064.05066285018</v>
      </c>
      <c r="G18" s="97">
        <f t="shared" ref="G18:Q18" si="6">$E$18</f>
        <v>180064.05066285018</v>
      </c>
      <c r="H18" s="97">
        <f t="shared" si="6"/>
        <v>180064.05066285018</v>
      </c>
      <c r="I18" s="97">
        <f t="shared" si="6"/>
        <v>180064.05066285018</v>
      </c>
      <c r="J18" s="97">
        <f t="shared" si="6"/>
        <v>180064.05066285018</v>
      </c>
      <c r="K18" s="97">
        <f t="shared" si="6"/>
        <v>180064.05066285018</v>
      </c>
      <c r="L18" s="97">
        <f t="shared" si="6"/>
        <v>180064.05066285018</v>
      </c>
      <c r="M18" s="97">
        <f t="shared" si="6"/>
        <v>180064.05066285018</v>
      </c>
      <c r="N18" s="97">
        <f t="shared" si="6"/>
        <v>180064.05066285018</v>
      </c>
      <c r="O18" s="97">
        <f t="shared" si="6"/>
        <v>180064.05066285018</v>
      </c>
      <c r="P18" s="97">
        <f t="shared" si="6"/>
        <v>180064.05066285018</v>
      </c>
      <c r="Q18" s="97">
        <f t="shared" si="6"/>
        <v>180064.05066285018</v>
      </c>
      <c r="R18" s="97">
        <f>IF(Tables!$B$21=15,0,$E$18)</f>
        <v>0</v>
      </c>
      <c r="S18" s="97">
        <f>IF(Tables!$B$21=15,0,$E$18)</f>
        <v>0</v>
      </c>
      <c r="T18" s="97">
        <f>IF(Tables!$B$21=15,0,$E$18)</f>
        <v>0</v>
      </c>
      <c r="U18" s="97">
        <f>IF(Tables!$B$21=15,0,$E$18)</f>
        <v>0</v>
      </c>
    </row>
    <row r="19" spans="1:21" s="25" customFormat="1">
      <c r="A19" s="98" t="s">
        <v>127</v>
      </c>
      <c r="B19" s="99">
        <f>-INDEX(Income_Statement,MATCH("Depreciation",ISColumn,0),MATCH(YEAR(B3),ISRow,0))</f>
        <v>-1200.4270044190012</v>
      </c>
      <c r="C19" s="99">
        <f>-INDEX(Income_Statement,MATCH("Depreciation",ISColumn,0),MATCH(YEAR(C3),ISRow,0))+B19</f>
        <v>-8402.9890309330076</v>
      </c>
      <c r="D19" s="99">
        <f t="shared" ref="D19:U19" si="7">-INDEX(Income_Statement,MATCH("Depreciation",ISColumn,0),MATCH(YEAR(D3),ISRow,0))+C19</f>
        <v>-15605.551057447014</v>
      </c>
      <c r="E19" s="99">
        <f t="shared" si="7"/>
        <v>-22808.11308396102</v>
      </c>
      <c r="F19" s="99">
        <f t="shared" si="7"/>
        <v>-30010.675110475026</v>
      </c>
      <c r="G19" s="99">
        <f t="shared" si="7"/>
        <v>-37213.237136989032</v>
      </c>
      <c r="H19" s="99">
        <f t="shared" si="7"/>
        <v>-44415.799163503041</v>
      </c>
      <c r="I19" s="99">
        <f t="shared" si="7"/>
        <v>-51618.361190017051</v>
      </c>
      <c r="J19" s="99">
        <f t="shared" si="7"/>
        <v>-58820.92321653106</v>
      </c>
      <c r="K19" s="99">
        <f t="shared" si="7"/>
        <v>-66023.48524304507</v>
      </c>
      <c r="L19" s="99">
        <f t="shared" si="7"/>
        <v>-73226.047269559072</v>
      </c>
      <c r="M19" s="99">
        <f t="shared" si="7"/>
        <v>-80428.609296073075</v>
      </c>
      <c r="N19" s="99">
        <f t="shared" si="7"/>
        <v>-87631.171322587077</v>
      </c>
      <c r="O19" s="99">
        <f t="shared" si="7"/>
        <v>-94833.73334910108</v>
      </c>
      <c r="P19" s="99">
        <f t="shared" si="7"/>
        <v>-102036.29537561508</v>
      </c>
      <c r="Q19" s="99">
        <f t="shared" si="7"/>
        <v>-109238.85740212908</v>
      </c>
      <c r="R19" s="99">
        <f>IF(Tables!$B$21=15,0,-INDEX(Income_Statement,MATCH("Depreciation",ISColumn,0),MATCH(YEAR(R3),ISRow,0))+Q19)</f>
        <v>0</v>
      </c>
      <c r="S19" s="99">
        <f t="shared" si="7"/>
        <v>0</v>
      </c>
      <c r="T19" s="99">
        <f t="shared" si="7"/>
        <v>0</v>
      </c>
      <c r="U19" s="99">
        <f t="shared" si="7"/>
        <v>0</v>
      </c>
    </row>
    <row r="20" spans="1:21" s="25" customFormat="1">
      <c r="A20" s="96" t="s">
        <v>105</v>
      </c>
      <c r="B20" s="99">
        <f>B18+B19</f>
        <v>178863.62365843117</v>
      </c>
      <c r="C20" s="99">
        <f>C18+C19</f>
        <v>171661.06163191717</v>
      </c>
      <c r="D20" s="97">
        <f t="shared" ref="D20:U20" si="8">D18+D19</f>
        <v>164458.49960540317</v>
      </c>
      <c r="E20" s="97">
        <f t="shared" si="8"/>
        <v>157255.93757888916</v>
      </c>
      <c r="F20" s="97">
        <f t="shared" si="8"/>
        <v>150053.37555237516</v>
      </c>
      <c r="G20" s="97">
        <f t="shared" si="8"/>
        <v>142850.81352586113</v>
      </c>
      <c r="H20" s="97">
        <f t="shared" si="8"/>
        <v>135648.25149934713</v>
      </c>
      <c r="I20" s="97">
        <f t="shared" si="8"/>
        <v>128445.68947283312</v>
      </c>
      <c r="J20" s="97">
        <f t="shared" si="8"/>
        <v>121243.12744631912</v>
      </c>
      <c r="K20" s="97">
        <f t="shared" si="8"/>
        <v>114040.56541980511</v>
      </c>
      <c r="L20" s="97">
        <f t="shared" si="8"/>
        <v>106838.0033932911</v>
      </c>
      <c r="M20" s="97">
        <f t="shared" si="8"/>
        <v>99635.4413667771</v>
      </c>
      <c r="N20" s="97">
        <f t="shared" si="8"/>
        <v>92432.879340263098</v>
      </c>
      <c r="O20" s="97">
        <f t="shared" si="8"/>
        <v>85230.317313749096</v>
      </c>
      <c r="P20" s="97">
        <f t="shared" si="8"/>
        <v>78027.755287235093</v>
      </c>
      <c r="Q20" s="97">
        <f t="shared" si="8"/>
        <v>70825.193260721091</v>
      </c>
      <c r="R20" s="97">
        <f t="shared" si="8"/>
        <v>0</v>
      </c>
      <c r="S20" s="97">
        <f t="shared" si="8"/>
        <v>0</v>
      </c>
      <c r="T20" s="97">
        <f t="shared" si="8"/>
        <v>0</v>
      </c>
      <c r="U20" s="97">
        <f t="shared" si="8"/>
        <v>0</v>
      </c>
    </row>
    <row r="21" spans="1:21" s="25" customFormat="1">
      <c r="A21" s="96" t="s">
        <v>107</v>
      </c>
      <c r="B21" s="97"/>
      <c r="C21" s="99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</row>
    <row r="22" spans="1:21" s="358" customFormat="1" ht="12">
      <c r="A22" s="272" t="s">
        <v>108</v>
      </c>
      <c r="B22" s="273">
        <f>SUM(B11,B15,B17,B20,B21)</f>
        <v>179218.01010093238</v>
      </c>
      <c r="C22" s="273">
        <f t="shared" ref="C22:U22" si="9">SUM(C11,C15,C17,C20,C21)</f>
        <v>199321.68050364271</v>
      </c>
      <c r="D22" s="273">
        <f t="shared" si="9"/>
        <v>205962.63790859198</v>
      </c>
      <c r="E22" s="273">
        <f t="shared" si="9"/>
        <v>208269.06485320869</v>
      </c>
      <c r="F22" s="273">
        <f t="shared" si="9"/>
        <v>206275.26223601092</v>
      </c>
      <c r="G22" s="273">
        <f t="shared" si="9"/>
        <v>203728.62918412499</v>
      </c>
      <c r="H22" s="273">
        <f t="shared" si="9"/>
        <v>202971.77371042321</v>
      </c>
      <c r="I22" s="273">
        <f t="shared" si="9"/>
        <v>202236.97921680956</v>
      </c>
      <c r="J22" s="273">
        <f t="shared" si="9"/>
        <v>200518.34264170745</v>
      </c>
      <c r="K22" s="273">
        <f t="shared" si="9"/>
        <v>199678.19380897284</v>
      </c>
      <c r="L22" s="273">
        <f t="shared" si="9"/>
        <v>198618.51252825814</v>
      </c>
      <c r="M22" s="273">
        <f t="shared" si="9"/>
        <v>197923.26463848603</v>
      </c>
      <c r="N22" s="273">
        <f t="shared" si="9"/>
        <v>197240.55707857414</v>
      </c>
      <c r="O22" s="273">
        <f t="shared" si="9"/>
        <v>197728.61730435939</v>
      </c>
      <c r="P22" s="273">
        <f t="shared" si="9"/>
        <v>202526.5409739684</v>
      </c>
      <c r="Q22" s="273">
        <f t="shared" si="9"/>
        <v>210119.98917971581</v>
      </c>
      <c r="R22" s="273">
        <f t="shared" si="9"/>
        <v>0</v>
      </c>
      <c r="S22" s="273">
        <f t="shared" si="9"/>
        <v>0</v>
      </c>
      <c r="T22" s="273">
        <f t="shared" si="9"/>
        <v>0</v>
      </c>
      <c r="U22" s="273">
        <f t="shared" si="9"/>
        <v>0</v>
      </c>
    </row>
    <row r="23" spans="1:21" s="25" customFormat="1" ht="12" customHeight="1">
      <c r="A23" s="276"/>
      <c r="B23" s="276"/>
      <c r="C23" s="277"/>
      <c r="D23" s="276"/>
      <c r="E23" s="276"/>
      <c r="F23" s="276"/>
      <c r="G23" s="276"/>
      <c r="H23" s="276"/>
      <c r="I23" s="276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</row>
    <row r="24" spans="1:21" s="25" customFormat="1" ht="12.75">
      <c r="A24" s="196" t="s">
        <v>109</v>
      </c>
      <c r="B24" s="197"/>
      <c r="C24" s="197"/>
      <c r="D24" s="197"/>
      <c r="E24" s="197"/>
      <c r="F24" s="197"/>
      <c r="G24" s="197"/>
      <c r="H24" s="197"/>
      <c r="I24" s="197"/>
      <c r="J24" s="197"/>
      <c r="K24" s="197"/>
      <c r="L24" s="197"/>
      <c r="M24" s="197"/>
      <c r="N24" s="197"/>
      <c r="O24" s="197"/>
      <c r="P24" s="197"/>
      <c r="Q24" s="197"/>
      <c r="R24" s="197"/>
      <c r="S24" s="197"/>
      <c r="T24" s="197"/>
      <c r="U24" s="197"/>
    </row>
    <row r="25" spans="1:21" s="25" customFormat="1">
      <c r="A25" s="96" t="s">
        <v>100</v>
      </c>
      <c r="B25" s="54">
        <f>INDEX(WC,MATCH("Accounts Payable",Column,0),MATCH(B$3,Row,0))</f>
        <v>223.22711499761471</v>
      </c>
      <c r="C25" s="54">
        <f t="shared" ref="C25:Q25" si="10">INDEX(WC,MATCH("Accounts Payable",Column,0),MATCH(C$3,Row,0))</f>
        <v>1319.5986733122249</v>
      </c>
      <c r="D25" s="54">
        <f t="shared" si="10"/>
        <v>1527.2268965880596</v>
      </c>
      <c r="E25" s="54">
        <f t="shared" si="10"/>
        <v>1561.0555453794523</v>
      </c>
      <c r="F25" s="54">
        <f t="shared" si="10"/>
        <v>1327.8422126439591</v>
      </c>
      <c r="G25" s="54">
        <f t="shared" si="10"/>
        <v>1342.6856613740927</v>
      </c>
      <c r="H25" s="54">
        <f t="shared" si="10"/>
        <v>1361.1938689971607</v>
      </c>
      <c r="I25" s="54">
        <f t="shared" si="10"/>
        <v>1366.9594065086058</v>
      </c>
      <c r="J25" s="54">
        <f t="shared" si="10"/>
        <v>1384.1344057731233</v>
      </c>
      <c r="K25" s="54">
        <f t="shared" si="10"/>
        <v>1422.3717407700763</v>
      </c>
      <c r="L25" s="54">
        <f t="shared" si="10"/>
        <v>1459.3582903496856</v>
      </c>
      <c r="M25" s="54">
        <f t="shared" si="10"/>
        <v>1482.8824206342929</v>
      </c>
      <c r="N25" s="54">
        <f t="shared" si="10"/>
        <v>1347.1468763510577</v>
      </c>
      <c r="O25" s="54">
        <f t="shared" si="10"/>
        <v>1377.0775449008695</v>
      </c>
      <c r="P25" s="54">
        <f t="shared" si="10"/>
        <v>1401.6455309258085</v>
      </c>
      <c r="Q25" s="54">
        <f t="shared" si="10"/>
        <v>2871.384693171864</v>
      </c>
      <c r="R25" s="54">
        <f>IF(Tables!$B$21=15,0,INDEX(WC,MATCH("Accounts Payable",Column,0),MATCH(R$3,Row,0)))</f>
        <v>0</v>
      </c>
      <c r="S25" s="54">
        <f>IF(Tables!$B$21=15,0,INDEX(WC,MATCH("Accounts Payable",Column,0),MATCH(S$3,Row,0)))</f>
        <v>0</v>
      </c>
      <c r="T25" s="54">
        <f>IF(Tables!$B$21=15,0,INDEX(WC,MATCH("Accounts Payable",Column,0),MATCH(T$3,Row,0)))</f>
        <v>0</v>
      </c>
      <c r="U25" s="54">
        <f>IF(Tables!$B$21=15,0,INDEX(WC,MATCH("Accounts Payable",Column,0),MATCH(U$3,Row,0)))</f>
        <v>0</v>
      </c>
    </row>
    <row r="26" spans="1:21" s="25" customFormat="1">
      <c r="A26" s="98" t="s">
        <v>101</v>
      </c>
      <c r="B26" s="54">
        <f>INDEX(WC,MATCH("Accrued Expenses",Column,0),MATCH(B$3,Row,0))</f>
        <v>74.409038332538231</v>
      </c>
      <c r="C26" s="54">
        <f t="shared" ref="C26:Q26" si="11">INDEX(WC,MATCH("Accrued Expenses",Column,0),MATCH(C$3,Row,0))</f>
        <v>439.86622443740833</v>
      </c>
      <c r="D26" s="54">
        <f t="shared" si="11"/>
        <v>509.07563219601991</v>
      </c>
      <c r="E26" s="54">
        <f t="shared" si="11"/>
        <v>520.35184845981735</v>
      </c>
      <c r="F26" s="54">
        <f t="shared" si="11"/>
        <v>442.61407088131972</v>
      </c>
      <c r="G26" s="54">
        <f t="shared" si="11"/>
        <v>447.56188712469759</v>
      </c>
      <c r="H26" s="54">
        <f t="shared" si="11"/>
        <v>453.73128966572023</v>
      </c>
      <c r="I26" s="54">
        <f t="shared" si="11"/>
        <v>455.65313550286857</v>
      </c>
      <c r="J26" s="54">
        <f t="shared" si="11"/>
        <v>461.37813525770781</v>
      </c>
      <c r="K26" s="54">
        <f t="shared" si="11"/>
        <v>474.12391359002544</v>
      </c>
      <c r="L26" s="54">
        <f t="shared" si="11"/>
        <v>486.4527634498952</v>
      </c>
      <c r="M26" s="54">
        <f t="shared" si="11"/>
        <v>494.294140211431</v>
      </c>
      <c r="N26" s="54">
        <f t="shared" si="11"/>
        <v>449.04895878368586</v>
      </c>
      <c r="O26" s="54">
        <f t="shared" si="11"/>
        <v>459.02584830028979</v>
      </c>
      <c r="P26" s="54">
        <f t="shared" si="11"/>
        <v>467.21517697526951</v>
      </c>
      <c r="Q26" s="54">
        <f t="shared" si="11"/>
        <v>957.12823105728796</v>
      </c>
      <c r="R26" s="54">
        <f>IF(Tables!$B$21=15,0,INDEX(WC,MATCH("Accrued Expenses",Column,0),MATCH(R$3,Row,0)))</f>
        <v>0</v>
      </c>
      <c r="S26" s="54">
        <f>IF(Tables!$B$21=15,0,INDEX(WC,MATCH("Accrued Expenses",Column,0),MATCH(S$3,Row,0)))</f>
        <v>0</v>
      </c>
      <c r="T26" s="54">
        <f>IF(Tables!$B$21=15,0,INDEX(WC,MATCH("Accrued Expenses",Column,0),MATCH(T$3,Row,0)))</f>
        <v>0</v>
      </c>
      <c r="U26" s="54">
        <f>IF(Tables!$B$21=15,0,INDEX(WC,MATCH("Accrued Expenses",Column,0),MATCH(U$3,Row,0)))</f>
        <v>0</v>
      </c>
    </row>
    <row r="27" spans="1:21" s="25" customFormat="1">
      <c r="A27" s="98" t="s">
        <v>185</v>
      </c>
      <c r="B27" s="54">
        <f>'Debt Amort'!C42+'Debt Amort'!C93</f>
        <v>4510.1695487835841</v>
      </c>
      <c r="C27" s="54">
        <f>'Debt Amort'!D42+'Debt Amort'!D93</f>
        <v>4510.1695487835841</v>
      </c>
      <c r="D27" s="54">
        <f>'Debt Amort'!E42+'Debt Amort'!E93</f>
        <v>4510.1695487835841</v>
      </c>
      <c r="E27" s="54">
        <f>'Debt Amort'!F42+'Debt Amort'!F93</f>
        <v>4510.1695487835841</v>
      </c>
      <c r="F27" s="54">
        <f>'Debt Amort'!G42+'Debt Amort'!G93</f>
        <v>4510.1695487835841</v>
      </c>
      <c r="G27" s="54">
        <f>'Debt Amort'!H42+'Debt Amort'!H93</f>
        <v>4510.1695487835841</v>
      </c>
      <c r="H27" s="54">
        <f>'Debt Amort'!I42+'Debt Amort'!I93</f>
        <v>4510.1695487835841</v>
      </c>
      <c r="I27" s="54">
        <f>'Debt Amort'!J42+'Debt Amort'!J93</f>
        <v>4510.1695487835841</v>
      </c>
      <c r="J27" s="54">
        <f>'Debt Amort'!K42+'Debt Amort'!K93</f>
        <v>4510.1695487835841</v>
      </c>
      <c r="K27" s="54">
        <f>'Debt Amort'!L42+'Debt Amort'!L93</f>
        <v>4510.1695487835841</v>
      </c>
      <c r="L27" s="54">
        <f>'Debt Amort'!M42+'Debt Amort'!M93</f>
        <v>4510.1695487835841</v>
      </c>
      <c r="M27" s="54">
        <f>'Debt Amort'!N42+'Debt Amort'!N93</f>
        <v>4510.1695487835841</v>
      </c>
      <c r="N27" s="54">
        <f>'Debt Amort'!O42+'Debt Amort'!O93</f>
        <v>4510.1695487835841</v>
      </c>
      <c r="O27" s="54">
        <f>'Debt Amort'!P42+'Debt Amort'!P93</f>
        <v>1.8189894035458565E-11</v>
      </c>
      <c r="P27" s="54">
        <f>'Debt Amort'!Q42+'Debt Amort'!Q93</f>
        <v>0</v>
      </c>
      <c r="Q27" s="54">
        <f>'Debt Amort'!R42+'Debt Amort'!R93</f>
        <v>0</v>
      </c>
      <c r="R27" s="54">
        <f>'Debt Amort'!S42+'Debt Amort'!S93</f>
        <v>0</v>
      </c>
      <c r="S27" s="54">
        <f>'Debt Amort'!T42+'Debt Amort'!T93</f>
        <v>0</v>
      </c>
      <c r="T27" s="54">
        <f>'Debt Amort'!U42+'Debt Amort'!U93</f>
        <v>0</v>
      </c>
      <c r="U27" s="54">
        <f>'Debt Amort'!V42+'Debt Amort'!V93</f>
        <v>0</v>
      </c>
    </row>
    <row r="28" spans="1:21" s="25" customFormat="1">
      <c r="A28" s="98" t="s">
        <v>102</v>
      </c>
      <c r="B28" s="54">
        <f>INDEX(WC,MATCH("Other Payables",Column,0),MATCH(B$3,Row,0))</f>
        <v>37.204519166269115</v>
      </c>
      <c r="C28" s="54">
        <f t="shared" ref="C28:Q28" si="12">INDEX(WC,MATCH("Other Payables",Column,0),MATCH(C$3,Row,0))</f>
        <v>219.93311221870417</v>
      </c>
      <c r="D28" s="54">
        <f t="shared" si="12"/>
        <v>254.53781609800996</v>
      </c>
      <c r="E28" s="54">
        <f t="shared" si="12"/>
        <v>260.17592422990867</v>
      </c>
      <c r="F28" s="54">
        <f t="shared" si="12"/>
        <v>221.30703544065986</v>
      </c>
      <c r="G28" s="54">
        <f t="shared" si="12"/>
        <v>223.7809435623488</v>
      </c>
      <c r="H28" s="54">
        <f t="shared" si="12"/>
        <v>226.86564483286011</v>
      </c>
      <c r="I28" s="54">
        <f t="shared" si="12"/>
        <v>227.82656775143428</v>
      </c>
      <c r="J28" s="54">
        <f t="shared" si="12"/>
        <v>230.68906762885391</v>
      </c>
      <c r="K28" s="54">
        <f t="shared" si="12"/>
        <v>237.06195679501272</v>
      </c>
      <c r="L28" s="54">
        <f t="shared" si="12"/>
        <v>243.2263817249476</v>
      </c>
      <c r="M28" s="54">
        <f t="shared" si="12"/>
        <v>247.1470701057155</v>
      </c>
      <c r="N28" s="54">
        <f t="shared" si="12"/>
        <v>224.52447939184293</v>
      </c>
      <c r="O28" s="54">
        <f t="shared" si="12"/>
        <v>229.5129241501449</v>
      </c>
      <c r="P28" s="54">
        <f t="shared" si="12"/>
        <v>233.60758848763476</v>
      </c>
      <c r="Q28" s="54">
        <f t="shared" si="12"/>
        <v>478.56411552864398</v>
      </c>
      <c r="R28" s="54">
        <f>IF(Tables!$B$21=15,0,INDEX(WC,MATCH("Other Payables",Column,0),MATCH(R$3,Row,0)))</f>
        <v>0</v>
      </c>
      <c r="S28" s="54">
        <f>IF(Tables!$B$21=15,0,INDEX(WC,MATCH("Other Payables",Column,0),MATCH(S$3,Row,0)))</f>
        <v>0</v>
      </c>
      <c r="T28" s="54">
        <f>IF(Tables!$B$21=15,0,INDEX(WC,MATCH("Other Payables",Column,0),MATCH(T$3,Row,0)))</f>
        <v>0</v>
      </c>
      <c r="U28" s="54">
        <f>IF(Tables!$B$21=15,0,INDEX(WC,MATCH("Other Payables",Column,0),MATCH(U$3,Row,0)))</f>
        <v>0</v>
      </c>
    </row>
    <row r="29" spans="1:21" s="25" customFormat="1">
      <c r="A29" s="98" t="s">
        <v>194</v>
      </c>
      <c r="B29" s="27">
        <f>INDEX(TaxTable,MATCH("Total Cash Taxes",TaxColumn,0),MATCH(YEAR(B3),TaxRow,0))</f>
        <v>349.13775179659314</v>
      </c>
      <c r="C29" s="27">
        <f t="shared" ref="C29:Q29" si="13">INDEX(TaxTable,MATCH("Total Cash Taxes",TaxColumn,0),MATCH(YEAR(C3),TaxRow,0))</f>
        <v>4055.3806087207631</v>
      </c>
      <c r="D29" s="27">
        <f t="shared" si="13"/>
        <v>3498.169184319645</v>
      </c>
      <c r="E29" s="27">
        <f t="shared" si="13"/>
        <v>2657.117669295274</v>
      </c>
      <c r="F29" s="27">
        <f t="shared" si="13"/>
        <v>1555.9153699211242</v>
      </c>
      <c r="G29" s="27">
        <f t="shared" si="13"/>
        <v>907.69904515247333</v>
      </c>
      <c r="H29" s="27">
        <f t="shared" si="13"/>
        <v>1744.099922117583</v>
      </c>
      <c r="I29" s="27">
        <f t="shared" si="13"/>
        <v>2291.9692799144714</v>
      </c>
      <c r="J29" s="27">
        <f t="shared" si="13"/>
        <v>2405.9675161505475</v>
      </c>
      <c r="K29" s="27">
        <f t="shared" si="13"/>
        <v>2995.592635636257</v>
      </c>
      <c r="L29" s="27">
        <f t="shared" si="13"/>
        <v>3350.7444440910331</v>
      </c>
      <c r="M29" s="27">
        <f t="shared" si="13"/>
        <v>3816.4692898966241</v>
      </c>
      <c r="N29" s="27">
        <f t="shared" si="13"/>
        <v>4256.4751211596831</v>
      </c>
      <c r="O29" s="27">
        <f t="shared" si="13"/>
        <v>4911.863078455176</v>
      </c>
      <c r="P29" s="27">
        <f t="shared" si="13"/>
        <v>5233.0263057200436</v>
      </c>
      <c r="Q29" s="27">
        <f t="shared" si="13"/>
        <v>12518.27600150871</v>
      </c>
      <c r="R29" s="27">
        <f>IF(Tables!$B$21=15,0,INDEX(TaxTable,MATCH("Total Cash Taxes",TaxColumn,0),MATCH(YEAR(R3),TaxRow,0)))</f>
        <v>0</v>
      </c>
      <c r="S29" s="27">
        <f>IF(Tables!$B$21=15,0,INDEX(TaxTable,MATCH("Total Cash Taxes",TaxColumn,0),MATCH(YEAR(S3),TaxRow,0)))</f>
        <v>0</v>
      </c>
      <c r="T29" s="27">
        <f>IF(Tables!$B$21=15,0,INDEX(TaxTable,MATCH("Total Cash Taxes",TaxColumn,0),MATCH(YEAR(T3),TaxRow,0)))</f>
        <v>0</v>
      </c>
      <c r="U29" s="27">
        <f>IF(Tables!$B$21=15,0,INDEX(TaxTable,MATCH("Total Cash Taxes",TaxColumn,0),MATCH(YEAR(U3),TaxRow,0)))</f>
        <v>0</v>
      </c>
    </row>
    <row r="30" spans="1:21" s="25" customFormat="1">
      <c r="A30" s="96"/>
      <c r="B30" s="27"/>
      <c r="C30" s="99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</row>
    <row r="31" spans="1:21" s="25" customFormat="1">
      <c r="A31" s="269" t="s">
        <v>110</v>
      </c>
      <c r="B31" s="271">
        <f t="shared" ref="B31:U31" si="14">SUM(B25:B30)</f>
        <v>5194.1479730765996</v>
      </c>
      <c r="C31" s="271">
        <f t="shared" si="14"/>
        <v>10544.948167472685</v>
      </c>
      <c r="D31" s="271">
        <f t="shared" si="14"/>
        <v>10299.179077985318</v>
      </c>
      <c r="E31" s="271">
        <f t="shared" si="14"/>
        <v>9508.8705361480352</v>
      </c>
      <c r="F31" s="271">
        <f t="shared" si="14"/>
        <v>8057.848237670647</v>
      </c>
      <c r="G31" s="271">
        <f t="shared" si="14"/>
        <v>7431.897085997196</v>
      </c>
      <c r="H31" s="271">
        <f t="shared" si="14"/>
        <v>8296.0602743969084</v>
      </c>
      <c r="I31" s="271">
        <f t="shared" si="14"/>
        <v>8852.5779384609632</v>
      </c>
      <c r="J31" s="271">
        <f t="shared" si="14"/>
        <v>8992.3386735938166</v>
      </c>
      <c r="K31" s="271">
        <f t="shared" si="14"/>
        <v>9639.3197955749565</v>
      </c>
      <c r="L31" s="271">
        <f t="shared" si="14"/>
        <v>10049.951428399145</v>
      </c>
      <c r="M31" s="271">
        <f t="shared" si="14"/>
        <v>10550.962469631648</v>
      </c>
      <c r="N31" s="271">
        <f t="shared" si="14"/>
        <v>10787.364984469854</v>
      </c>
      <c r="O31" s="271">
        <f t="shared" si="14"/>
        <v>6977.4793958064984</v>
      </c>
      <c r="P31" s="271">
        <f t="shared" si="14"/>
        <v>7335.4946021087562</v>
      </c>
      <c r="Q31" s="271">
        <f t="shared" si="14"/>
        <v>16825.353041266506</v>
      </c>
      <c r="R31" s="271">
        <f t="shared" si="14"/>
        <v>0</v>
      </c>
      <c r="S31" s="271">
        <f t="shared" si="14"/>
        <v>0</v>
      </c>
      <c r="T31" s="271">
        <f t="shared" si="14"/>
        <v>0</v>
      </c>
      <c r="U31" s="271">
        <f t="shared" si="14"/>
        <v>0</v>
      </c>
    </row>
    <row r="32" spans="1:21" s="25" customFormat="1">
      <c r="A32" s="98" t="s">
        <v>111</v>
      </c>
      <c r="B32" s="54">
        <f>'Debt Amort'!C41+'Debt Amort'!C92</f>
        <v>54122.034585403009</v>
      </c>
      <c r="C32" s="54">
        <f>'Debt Amort'!D41+'Debt Amort'!D92</f>
        <v>49611.865036619427</v>
      </c>
      <c r="D32" s="54">
        <f>'Debt Amort'!E41+'Debt Amort'!E92</f>
        <v>45101.695487835845</v>
      </c>
      <c r="E32" s="54">
        <f>'Debt Amort'!F41+'Debt Amort'!F92</f>
        <v>40591.525939052262</v>
      </c>
      <c r="F32" s="54">
        <f>'Debt Amort'!G41+'Debt Amort'!G92</f>
        <v>36081.35639026868</v>
      </c>
      <c r="G32" s="54">
        <f>'Debt Amort'!H41+'Debt Amort'!H92</f>
        <v>31571.186841485098</v>
      </c>
      <c r="H32" s="54">
        <f>'Debt Amort'!I41+'Debt Amort'!I92</f>
        <v>27061.017292701516</v>
      </c>
      <c r="I32" s="54">
        <f>'Debt Amort'!J41+'Debt Amort'!J92</f>
        <v>22550.847743917933</v>
      </c>
      <c r="J32" s="54">
        <f>'Debt Amort'!K41+'Debt Amort'!K92</f>
        <v>18040.678195134351</v>
      </c>
      <c r="K32" s="54">
        <f>'Debt Amort'!L41+'Debt Amort'!L92</f>
        <v>13530.508646350767</v>
      </c>
      <c r="L32" s="54">
        <f>'Debt Amort'!M41+'Debt Amort'!M92</f>
        <v>9020.3390975671846</v>
      </c>
      <c r="M32" s="54">
        <f>'Debt Amort'!N41+'Debt Amort'!N92</f>
        <v>4510.1695487836023</v>
      </c>
      <c r="N32" s="54">
        <f>'Debt Amort'!O41+'Debt Amort'!O92</f>
        <v>1.8189894035458565E-11</v>
      </c>
      <c r="O32" s="54">
        <f>'Debt Amort'!P41+'Debt Amort'!P92</f>
        <v>0</v>
      </c>
      <c r="P32" s="54">
        <f>'Debt Amort'!Q41+'Debt Amort'!Q92</f>
        <v>0</v>
      </c>
      <c r="Q32" s="54">
        <f>'Debt Amort'!R41+'Debt Amort'!R92</f>
        <v>0</v>
      </c>
      <c r="R32" s="54">
        <f>'Debt Amort'!S41+'Debt Amort'!S92</f>
        <v>0</v>
      </c>
      <c r="S32" s="54">
        <f>'Debt Amort'!T41+'Debt Amort'!T92</f>
        <v>0</v>
      </c>
      <c r="T32" s="54">
        <f>'Debt Amort'!U41+'Debt Amort'!U92</f>
        <v>0</v>
      </c>
      <c r="U32" s="54">
        <f>'Debt Amort'!V41+'Debt Amort'!V92</f>
        <v>0</v>
      </c>
    </row>
    <row r="33" spans="1:21" s="25" customFormat="1">
      <c r="A33" s="98" t="s">
        <v>306</v>
      </c>
      <c r="B33" s="54">
        <f>INDEX(TaxTable,MATCH("Future Tax Liability",TaxColumn,0),MATCH(YEAR(B3),TaxRow,0))</f>
        <v>0</v>
      </c>
      <c r="C33" s="54">
        <f>INDEX(TaxTable,MATCH("Future Tax Liability",TaxColumn,0),MATCH(YEAR(C3),TaxRow,0))+B33</f>
        <v>5784.3173881121402</v>
      </c>
      <c r="D33" s="54">
        <f t="shared" ref="D33:Q33" si="15">INDEX(TaxTable,MATCH("Future Tax Liability",TaxColumn,0),MATCH(YEAR(D3),TaxRow,0))+C33</f>
        <v>8235.1897810115915</v>
      </c>
      <c r="E33" s="54">
        <f t="shared" si="15"/>
        <v>10136.587512677035</v>
      </c>
      <c r="F33" s="54">
        <f t="shared" si="15"/>
        <v>11576.916754695543</v>
      </c>
      <c r="G33" s="54">
        <f t="shared" si="15"/>
        <v>12624.17672532072</v>
      </c>
      <c r="H33" s="54">
        <f t="shared" si="15"/>
        <v>13331.592583621323</v>
      </c>
      <c r="I33" s="54">
        <f t="shared" si="15"/>
        <v>13741.597590733423</v>
      </c>
      <c r="J33" s="54">
        <f t="shared" si="15"/>
        <v>13888.656627257174</v>
      </c>
      <c r="K33" s="54">
        <f t="shared" si="15"/>
        <v>13888.656627257174</v>
      </c>
      <c r="L33" s="54">
        <f t="shared" si="15"/>
        <v>13888.656627257174</v>
      </c>
      <c r="M33" s="54">
        <f t="shared" si="15"/>
        <v>13888.656627257174</v>
      </c>
      <c r="N33" s="54">
        <f t="shared" si="15"/>
        <v>13888.656627257174</v>
      </c>
      <c r="O33" s="54">
        <f t="shared" si="15"/>
        <v>13888.656627257174</v>
      </c>
      <c r="P33" s="54">
        <f t="shared" si="15"/>
        <v>13888.656627257174</v>
      </c>
      <c r="Q33" s="54">
        <f t="shared" si="15"/>
        <v>13888.656627257174</v>
      </c>
      <c r="R33" s="54">
        <f>IF(Tables!$B$21=15,0,INDEX(TaxTable,MATCH("Future Tax Liability",TaxColumn,0),MATCH(YEAR(R3),TaxRow,0))+Q33)</f>
        <v>0</v>
      </c>
      <c r="S33" s="54">
        <f>IF(Tables!$B$21=15,0,INDEX(TaxTable,MATCH("Future Tax Liability",TaxColumn,0),MATCH(YEAR(S3),TaxRow,0))+R33)</f>
        <v>0</v>
      </c>
      <c r="T33" s="54">
        <f>IF(Tables!$B$21=15,0,INDEX(TaxTable,MATCH("Future Tax Liability",TaxColumn,0),MATCH(YEAR(T3),TaxRow,0))+S33)</f>
        <v>0</v>
      </c>
      <c r="U33" s="54">
        <f>IF(Tables!$B$21=15,0,INDEX(TaxTable,MATCH("Future Tax Liability",TaxColumn,0),MATCH(YEAR(U3),TaxRow,0))+T33)</f>
        <v>0</v>
      </c>
    </row>
    <row r="34" spans="1:21" s="25" customFormat="1">
      <c r="A34" s="98" t="s">
        <v>128</v>
      </c>
      <c r="C34" s="99"/>
      <c r="D34" s="99"/>
      <c r="E34" s="99"/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</row>
    <row r="35" spans="1:21" s="25" customFormat="1">
      <c r="A35" s="269" t="s">
        <v>112</v>
      </c>
      <c r="B35" s="271">
        <f t="shared" ref="B35:U35" si="16">SUM(B32:B34)</f>
        <v>54122.034585403009</v>
      </c>
      <c r="C35" s="271">
        <f t="shared" si="16"/>
        <v>55396.182424731567</v>
      </c>
      <c r="D35" s="271">
        <f t="shared" si="16"/>
        <v>53336.885268847436</v>
      </c>
      <c r="E35" s="271">
        <f t="shared" si="16"/>
        <v>50728.113451729296</v>
      </c>
      <c r="F35" s="271">
        <f t="shared" si="16"/>
        <v>47658.273144964223</v>
      </c>
      <c r="G35" s="271">
        <f t="shared" si="16"/>
        <v>44195.36356680582</v>
      </c>
      <c r="H35" s="271">
        <f t="shared" si="16"/>
        <v>40392.609876322836</v>
      </c>
      <c r="I35" s="271">
        <f t="shared" si="16"/>
        <v>36292.445334651355</v>
      </c>
      <c r="J35" s="271">
        <f t="shared" si="16"/>
        <v>31929.334822391524</v>
      </c>
      <c r="K35" s="271">
        <f t="shared" si="16"/>
        <v>27419.165273607941</v>
      </c>
      <c r="L35" s="271">
        <f t="shared" si="16"/>
        <v>22908.995724824359</v>
      </c>
      <c r="M35" s="271">
        <f t="shared" si="16"/>
        <v>18398.826176040777</v>
      </c>
      <c r="N35" s="271">
        <f t="shared" si="16"/>
        <v>13888.656627257193</v>
      </c>
      <c r="O35" s="271">
        <f t="shared" si="16"/>
        <v>13888.656627257174</v>
      </c>
      <c r="P35" s="271">
        <f t="shared" si="16"/>
        <v>13888.656627257174</v>
      </c>
      <c r="Q35" s="271">
        <f t="shared" si="16"/>
        <v>13888.656627257174</v>
      </c>
      <c r="R35" s="271">
        <f t="shared" si="16"/>
        <v>0</v>
      </c>
      <c r="S35" s="271">
        <f t="shared" si="16"/>
        <v>0</v>
      </c>
      <c r="T35" s="271">
        <f t="shared" si="16"/>
        <v>0</v>
      </c>
      <c r="U35" s="271">
        <f t="shared" si="16"/>
        <v>0</v>
      </c>
    </row>
    <row r="36" spans="1:21" s="25" customFormat="1" ht="8.25" customHeight="1">
      <c r="A36" s="277"/>
      <c r="B36" s="278"/>
      <c r="C36" s="278"/>
      <c r="D36" s="278"/>
      <c r="E36" s="278"/>
      <c r="F36" s="278"/>
      <c r="G36" s="278"/>
      <c r="H36" s="278"/>
      <c r="I36" s="278"/>
      <c r="J36" s="278"/>
      <c r="K36" s="278"/>
      <c r="L36" s="278"/>
      <c r="M36" s="278"/>
      <c r="N36" s="278"/>
      <c r="O36" s="278"/>
      <c r="P36" s="278"/>
      <c r="Q36" s="278"/>
      <c r="R36" s="278"/>
      <c r="S36" s="278"/>
      <c r="T36" s="278"/>
      <c r="U36" s="278"/>
    </row>
    <row r="37" spans="1:21" s="25" customFormat="1" ht="12.75">
      <c r="A37" s="196" t="s">
        <v>113</v>
      </c>
      <c r="B37" s="197"/>
      <c r="C37" s="197"/>
      <c r="D37" s="197"/>
      <c r="E37" s="197"/>
      <c r="F37" s="197"/>
      <c r="G37" s="197"/>
      <c r="H37" s="197"/>
      <c r="I37" s="197"/>
      <c r="J37" s="197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197"/>
    </row>
    <row r="38" spans="1:21" s="25" customFormat="1">
      <c r="A38" s="96" t="s">
        <v>114</v>
      </c>
      <c r="B38" s="27"/>
      <c r="C38" s="99"/>
      <c r="D38" s="99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</row>
    <row r="39" spans="1:21" s="25" customFormat="1">
      <c r="A39" s="98" t="s">
        <v>115</v>
      </c>
      <c r="B39" s="27">
        <f>Assumptions!$E$10*Assumptions!$E$33</f>
        <v>121897.84652866358</v>
      </c>
      <c r="C39" s="27">
        <f>Assumptions!$E$10*Assumptions!$E$33</f>
        <v>121897.84652866358</v>
      </c>
      <c r="D39" s="27">
        <f>Assumptions!$E$10*Assumptions!$E$33</f>
        <v>121897.84652866358</v>
      </c>
      <c r="E39" s="54">
        <f>Assumptions!$E$10*Assumptions!$E$33-Cashflow!G57</f>
        <v>121897.84652866358</v>
      </c>
      <c r="F39" s="27">
        <f>Assumptions!$E$10*Assumptions!$E$33+(Assumptions!$E$14*Assumptions!$E$33)</f>
        <v>121897.84652866358</v>
      </c>
      <c r="G39" s="27">
        <f>Assumptions!$E$10*Assumptions!$E$33+(Assumptions!$E$14*Assumptions!$E$33)</f>
        <v>121897.84652866358</v>
      </c>
      <c r="H39" s="27">
        <f>Assumptions!$E$10*Assumptions!$E$33+(Assumptions!$E$14*Assumptions!$E$33)</f>
        <v>121897.84652866358</v>
      </c>
      <c r="I39" s="27">
        <f>Assumptions!$E$10*Assumptions!$E$33+(Assumptions!$E$14*Assumptions!$E$33)</f>
        <v>121897.84652866358</v>
      </c>
      <c r="J39" s="27">
        <f>Assumptions!$E$10*Assumptions!$E$33+(Assumptions!$E$14*Assumptions!$E$33)</f>
        <v>121897.84652866358</v>
      </c>
      <c r="K39" s="27">
        <f>Assumptions!$E$10*Assumptions!$E$33+(Assumptions!$E$14*Assumptions!$E$33)</f>
        <v>121897.84652866358</v>
      </c>
      <c r="L39" s="27">
        <f>Assumptions!$E$10*Assumptions!$E$33+(Assumptions!$E$14*Assumptions!$E$33)</f>
        <v>121897.84652866358</v>
      </c>
      <c r="M39" s="27">
        <f>Assumptions!$E$10*Assumptions!$E$33+(Assumptions!$E$14*Assumptions!$E$33)</f>
        <v>121897.84652866358</v>
      </c>
      <c r="N39" s="27">
        <f>Assumptions!$E$10*Assumptions!$E$33+(Assumptions!$E$14*Assumptions!$E$33)</f>
        <v>121897.84652866358</v>
      </c>
      <c r="O39" s="27">
        <f>Assumptions!$E$10*Assumptions!$E$33+(Assumptions!$E$14*Assumptions!$E$33)</f>
        <v>121897.84652866358</v>
      </c>
      <c r="P39" s="27">
        <f>Assumptions!$E$10*Assumptions!$E$33+(Assumptions!$E$14*Assumptions!$E$33)</f>
        <v>121897.84652866358</v>
      </c>
      <c r="Q39" s="27">
        <f>Assumptions!$E$10*Assumptions!$E$33+(Assumptions!$E$14*Assumptions!$E$33)</f>
        <v>121897.84652866358</v>
      </c>
      <c r="R39" s="27">
        <f>IF(Tables!$B$21=15,0,Assumptions!$E$10*Assumptions!$E$33+(Assumptions!$E$14*Assumptions!$E$33))</f>
        <v>0</v>
      </c>
      <c r="S39" s="27">
        <f>IF(Tables!$B$21=15,0,Assumptions!$E$10*Assumptions!$E$33+(Assumptions!$E$14*Assumptions!$E$33))</f>
        <v>0</v>
      </c>
      <c r="T39" s="27">
        <f>IF(Tables!$B$21=15,0,Assumptions!$E$10*Assumptions!$E$33+(Assumptions!$E$14*Assumptions!$E$33))</f>
        <v>0</v>
      </c>
      <c r="U39" s="27">
        <f>IF(Tables!$B$21=15,0,Assumptions!$E$10*Assumptions!$E$33+(Assumptions!$E$14*Assumptions!$E$33))</f>
        <v>0</v>
      </c>
    </row>
    <row r="40" spans="1:21" s="25" customFormat="1">
      <c r="A40" s="98" t="s">
        <v>116</v>
      </c>
      <c r="B40" s="27">
        <f>INDEX(Income_Statement,MATCH("Net Income After Tax",ISColumn,0),MATCH(YEAR(B3),ISRow,0))</f>
        <v>-1996.0189862108236</v>
      </c>
      <c r="C40" s="27">
        <f>INDEX(Income_Statement,MATCH("Net Income After Tax",ISColumn,0),MATCH(YEAR(C3),ISRow,0))+B40</f>
        <v>11482.703382774864</v>
      </c>
      <c r="D40" s="27">
        <f t="shared" ref="D40:U40" si="17">INDEX(Income_Statement,MATCH("Net Income After Tax",ISColumn,0),MATCH(YEAR(D3),ISRow,0))+C40</f>
        <v>20428.727033095638</v>
      </c>
      <c r="E40" s="27">
        <f t="shared" si="17"/>
        <v>26134.234336667752</v>
      </c>
      <c r="F40" s="27">
        <f t="shared" si="17"/>
        <v>28661.294324712449</v>
      </c>
      <c r="G40" s="27">
        <f t="shared" si="17"/>
        <v>30203.522002658385</v>
      </c>
      <c r="H40" s="27">
        <f t="shared" si="17"/>
        <v>32385.257031039877</v>
      </c>
      <c r="I40" s="27">
        <f t="shared" si="17"/>
        <v>35194.109415033643</v>
      </c>
      <c r="J40" s="27">
        <f t="shared" si="17"/>
        <v>37698.822617058504</v>
      </c>
      <c r="K40" s="27">
        <f t="shared" si="17"/>
        <v>40721.862211126318</v>
      </c>
      <c r="L40" s="27">
        <f t="shared" si="17"/>
        <v>43761.718846371077</v>
      </c>
      <c r="M40" s="27">
        <f t="shared" si="17"/>
        <v>47075.629464150028</v>
      </c>
      <c r="N40" s="27">
        <f t="shared" si="17"/>
        <v>50666.688938183506</v>
      </c>
      <c r="O40" s="27">
        <f t="shared" si="17"/>
        <v>54964.63475263209</v>
      </c>
      <c r="P40" s="27">
        <f t="shared" si="17"/>
        <v>59404.543215938866</v>
      </c>
      <c r="Q40" s="27">
        <f t="shared" si="17"/>
        <v>57508.132982528485</v>
      </c>
      <c r="R40" s="27">
        <f>IF(Tables!$B$21=15,0,INDEX(Income_Statement,MATCH("Net Income After Tax",ISColumn,0),MATCH(YEAR(R3),ISRow,0))+Q40)</f>
        <v>0</v>
      </c>
      <c r="S40" s="27">
        <f t="shared" si="17"/>
        <v>0</v>
      </c>
      <c r="T40" s="27">
        <f t="shared" si="17"/>
        <v>0</v>
      </c>
      <c r="U40" s="27">
        <f t="shared" si="17"/>
        <v>0</v>
      </c>
    </row>
    <row r="41" spans="1:21" s="25" customFormat="1">
      <c r="A41" s="269" t="s">
        <v>117</v>
      </c>
      <c r="B41" s="271">
        <f t="shared" ref="B41:U41" si="18">SUM(B38:B40)</f>
        <v>119901.82754245275</v>
      </c>
      <c r="C41" s="271">
        <f t="shared" si="18"/>
        <v>133380.54991143843</v>
      </c>
      <c r="D41" s="271">
        <f t="shared" si="18"/>
        <v>142326.5735617592</v>
      </c>
      <c r="E41" s="271">
        <f t="shared" si="18"/>
        <v>148032.08086533134</v>
      </c>
      <c r="F41" s="271">
        <f t="shared" si="18"/>
        <v>150559.14085337601</v>
      </c>
      <c r="G41" s="271">
        <f t="shared" si="18"/>
        <v>152101.36853132196</v>
      </c>
      <c r="H41" s="271">
        <f t="shared" si="18"/>
        <v>154283.10355970345</v>
      </c>
      <c r="I41" s="271">
        <f t="shared" si="18"/>
        <v>157091.95594369722</v>
      </c>
      <c r="J41" s="271">
        <f t="shared" si="18"/>
        <v>159596.66914572209</v>
      </c>
      <c r="K41" s="271">
        <f t="shared" si="18"/>
        <v>162619.7087397899</v>
      </c>
      <c r="L41" s="271">
        <f t="shared" si="18"/>
        <v>165659.56537503464</v>
      </c>
      <c r="M41" s="271">
        <f t="shared" si="18"/>
        <v>168973.47599281359</v>
      </c>
      <c r="N41" s="271">
        <f t="shared" si="18"/>
        <v>172564.53546684707</v>
      </c>
      <c r="O41" s="271">
        <f t="shared" si="18"/>
        <v>176862.48128129565</v>
      </c>
      <c r="P41" s="271">
        <f t="shared" si="18"/>
        <v>181302.38974460243</v>
      </c>
      <c r="Q41" s="271">
        <f t="shared" si="18"/>
        <v>179405.97951119207</v>
      </c>
      <c r="R41" s="271">
        <f t="shared" si="18"/>
        <v>0</v>
      </c>
      <c r="S41" s="271">
        <f t="shared" si="18"/>
        <v>0</v>
      </c>
      <c r="T41" s="271">
        <f t="shared" si="18"/>
        <v>0</v>
      </c>
      <c r="U41" s="271">
        <f t="shared" si="18"/>
        <v>0</v>
      </c>
    </row>
    <row r="42" spans="1:21" s="358" customFormat="1" ht="12">
      <c r="A42" s="279" t="s">
        <v>118</v>
      </c>
      <c r="B42" s="282">
        <f t="shared" ref="B42:U42" si="19">B41+B35+B31</f>
        <v>179218.01010093236</v>
      </c>
      <c r="C42" s="282">
        <f t="shared" si="19"/>
        <v>199321.68050364265</v>
      </c>
      <c r="D42" s="282">
        <f t="shared" si="19"/>
        <v>205962.63790859195</v>
      </c>
      <c r="E42" s="282">
        <f t="shared" si="19"/>
        <v>208269.06485320866</v>
      </c>
      <c r="F42" s="282">
        <f t="shared" si="19"/>
        <v>206275.26223601087</v>
      </c>
      <c r="G42" s="282">
        <f t="shared" si="19"/>
        <v>203728.62918412496</v>
      </c>
      <c r="H42" s="282">
        <f t="shared" si="19"/>
        <v>202971.77371042321</v>
      </c>
      <c r="I42" s="282">
        <f t="shared" si="19"/>
        <v>202236.97921680956</v>
      </c>
      <c r="J42" s="282">
        <f t="shared" si="19"/>
        <v>200518.34264170745</v>
      </c>
      <c r="K42" s="282">
        <f t="shared" si="19"/>
        <v>199678.19380897281</v>
      </c>
      <c r="L42" s="282">
        <f t="shared" si="19"/>
        <v>198618.51252825814</v>
      </c>
      <c r="M42" s="282">
        <f t="shared" si="19"/>
        <v>197923.26463848603</v>
      </c>
      <c r="N42" s="282">
        <f t="shared" si="19"/>
        <v>197240.55707857411</v>
      </c>
      <c r="O42" s="282">
        <f t="shared" si="19"/>
        <v>197728.61730435933</v>
      </c>
      <c r="P42" s="282">
        <f t="shared" si="19"/>
        <v>202526.54097396837</v>
      </c>
      <c r="Q42" s="282">
        <f t="shared" si="19"/>
        <v>210119.98917971575</v>
      </c>
      <c r="R42" s="282">
        <f t="shared" si="19"/>
        <v>0</v>
      </c>
      <c r="S42" s="282">
        <f t="shared" si="19"/>
        <v>0</v>
      </c>
      <c r="T42" s="282">
        <f t="shared" si="19"/>
        <v>0</v>
      </c>
      <c r="U42" s="282">
        <f t="shared" si="19"/>
        <v>0</v>
      </c>
    </row>
    <row r="43" spans="1:21" s="25" customFormat="1" ht="6" customHeight="1">
      <c r="A43" s="276"/>
      <c r="B43" s="276"/>
      <c r="C43" s="276"/>
      <c r="D43" s="276"/>
      <c r="E43" s="276"/>
      <c r="F43" s="276"/>
      <c r="G43" s="276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</row>
    <row r="44" spans="1:21" s="25" customFormat="1">
      <c r="A44" s="281" t="s">
        <v>119</v>
      </c>
      <c r="B44" s="211">
        <f t="shared" ref="B44:U44" si="20">IF(B$3,B22-B42)</f>
        <v>2.9103830456733704E-11</v>
      </c>
      <c r="C44" s="211">
        <f t="shared" si="20"/>
        <v>5.8207660913467407E-11</v>
      </c>
      <c r="D44" s="280">
        <f t="shared" si="20"/>
        <v>2.9103830456733704E-11</v>
      </c>
      <c r="E44" s="211">
        <f t="shared" si="20"/>
        <v>2.9103830456733704E-11</v>
      </c>
      <c r="F44" s="211">
        <f t="shared" si="20"/>
        <v>5.8207660913467407E-11</v>
      </c>
      <c r="G44" s="211">
        <f t="shared" si="20"/>
        <v>2.9103830456733704E-11</v>
      </c>
      <c r="H44" s="211">
        <f t="shared" si="20"/>
        <v>0</v>
      </c>
      <c r="I44" s="211">
        <f t="shared" si="20"/>
        <v>0</v>
      </c>
      <c r="J44" s="211">
        <f t="shared" si="20"/>
        <v>0</v>
      </c>
      <c r="K44" s="211">
        <f t="shared" si="20"/>
        <v>2.9103830456733704E-11</v>
      </c>
      <c r="L44" s="211">
        <f t="shared" si="20"/>
        <v>0</v>
      </c>
      <c r="M44" s="211">
        <f t="shared" si="20"/>
        <v>0</v>
      </c>
      <c r="N44" s="211">
        <f t="shared" si="20"/>
        <v>2.9103830456733704E-11</v>
      </c>
      <c r="O44" s="211">
        <f t="shared" si="20"/>
        <v>5.8207660913467407E-11</v>
      </c>
      <c r="P44" s="211">
        <f t="shared" si="20"/>
        <v>2.9103830456733704E-11</v>
      </c>
      <c r="Q44" s="211">
        <f t="shared" si="20"/>
        <v>5.8207660913467407E-11</v>
      </c>
      <c r="R44" s="211">
        <f t="shared" si="20"/>
        <v>0</v>
      </c>
      <c r="S44" s="211">
        <f t="shared" si="20"/>
        <v>0</v>
      </c>
      <c r="T44" s="211">
        <f t="shared" si="20"/>
        <v>0</v>
      </c>
      <c r="U44" s="211">
        <f t="shared" si="20"/>
        <v>0</v>
      </c>
    </row>
    <row r="45" spans="1:21" s="25" customForma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</row>
    <row r="46" spans="1:21" s="25" customFormat="1">
      <c r="A46" s="7"/>
      <c r="B46" s="7"/>
      <c r="C46" s="27"/>
      <c r="D46" s="97"/>
      <c r="E46" s="27"/>
      <c r="F46" s="7"/>
      <c r="G46" s="9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27"/>
      <c r="T46" s="7"/>
      <c r="U46" s="7"/>
    </row>
    <row r="47" spans="1:21" s="25" customFormat="1">
      <c r="A47" s="7"/>
      <c r="B47" s="7"/>
      <c r="C47" s="27"/>
      <c r="D47" s="97"/>
      <c r="E47" s="27"/>
      <c r="F47" s="7"/>
      <c r="G47" s="9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27"/>
      <c r="T47" s="7"/>
      <c r="U47" s="7"/>
    </row>
    <row r="48" spans="1:21" s="25" customFormat="1">
      <c r="A48" s="7"/>
      <c r="B48" s="7"/>
      <c r="C48" s="27"/>
      <c r="D48" s="97"/>
      <c r="E48" s="27"/>
      <c r="F48" s="7"/>
      <c r="G48" s="9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27"/>
      <c r="T48" s="7"/>
      <c r="U48" s="7"/>
    </row>
    <row r="49" spans="1:21" s="25" customFormat="1">
      <c r="A49" s="209" t="s">
        <v>203</v>
      </c>
      <c r="B49" s="7"/>
      <c r="C49" s="7"/>
      <c r="D49" s="7"/>
      <c r="E49" s="27"/>
      <c r="F49" s="2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</row>
    <row r="50" spans="1:21" s="25" customFormat="1">
      <c r="A50" s="236" t="s">
        <v>185</v>
      </c>
      <c r="B50" s="235">
        <f>B27</f>
        <v>4510.1695487835841</v>
      </c>
      <c r="C50" s="235">
        <f>C27</f>
        <v>4510.1695487835841</v>
      </c>
      <c r="D50" s="235">
        <f t="shared" ref="D50:U50" si="21">D27</f>
        <v>4510.1695487835841</v>
      </c>
      <c r="E50" s="235">
        <f t="shared" si="21"/>
        <v>4510.1695487835841</v>
      </c>
      <c r="F50" s="235">
        <f t="shared" si="21"/>
        <v>4510.1695487835841</v>
      </c>
      <c r="G50" s="235">
        <f t="shared" si="21"/>
        <v>4510.1695487835841</v>
      </c>
      <c r="H50" s="235">
        <f t="shared" si="21"/>
        <v>4510.1695487835841</v>
      </c>
      <c r="I50" s="235">
        <f t="shared" si="21"/>
        <v>4510.1695487835841</v>
      </c>
      <c r="J50" s="235">
        <f t="shared" si="21"/>
        <v>4510.1695487835841</v>
      </c>
      <c r="K50" s="235">
        <f t="shared" si="21"/>
        <v>4510.1695487835841</v>
      </c>
      <c r="L50" s="235">
        <f t="shared" si="21"/>
        <v>4510.1695487835841</v>
      </c>
      <c r="M50" s="235">
        <f t="shared" si="21"/>
        <v>4510.1695487835841</v>
      </c>
      <c r="N50" s="235">
        <f t="shared" si="21"/>
        <v>4510.1695487835841</v>
      </c>
      <c r="O50" s="235">
        <f t="shared" si="21"/>
        <v>1.8189894035458565E-11</v>
      </c>
      <c r="P50" s="235">
        <f t="shared" si="21"/>
        <v>0</v>
      </c>
      <c r="Q50" s="235">
        <f t="shared" si="21"/>
        <v>0</v>
      </c>
      <c r="R50" s="235">
        <f t="shared" si="21"/>
        <v>0</v>
      </c>
      <c r="S50" s="235">
        <f t="shared" si="21"/>
        <v>0</v>
      </c>
      <c r="T50" s="235">
        <f t="shared" si="21"/>
        <v>0</v>
      </c>
      <c r="U50" s="235">
        <f t="shared" si="21"/>
        <v>0</v>
      </c>
    </row>
    <row r="51" spans="1:21" s="25" customFormat="1">
      <c r="A51" s="236" t="s">
        <v>111</v>
      </c>
      <c r="B51" s="235">
        <f>B32</f>
        <v>54122.034585403009</v>
      </c>
      <c r="C51" s="235">
        <f>C32</f>
        <v>49611.865036619427</v>
      </c>
      <c r="D51" s="235">
        <f t="shared" ref="D51:U51" si="22">D32</f>
        <v>45101.695487835845</v>
      </c>
      <c r="E51" s="235">
        <f t="shared" si="22"/>
        <v>40591.525939052262</v>
      </c>
      <c r="F51" s="235">
        <f t="shared" si="22"/>
        <v>36081.35639026868</v>
      </c>
      <c r="G51" s="235">
        <f t="shared" si="22"/>
        <v>31571.186841485098</v>
      </c>
      <c r="H51" s="235">
        <f t="shared" si="22"/>
        <v>27061.017292701516</v>
      </c>
      <c r="I51" s="235">
        <f t="shared" si="22"/>
        <v>22550.847743917933</v>
      </c>
      <c r="J51" s="235">
        <f t="shared" si="22"/>
        <v>18040.678195134351</v>
      </c>
      <c r="K51" s="235">
        <f t="shared" si="22"/>
        <v>13530.508646350767</v>
      </c>
      <c r="L51" s="235">
        <f t="shared" si="22"/>
        <v>9020.3390975671846</v>
      </c>
      <c r="M51" s="235">
        <f t="shared" si="22"/>
        <v>4510.1695487836023</v>
      </c>
      <c r="N51" s="235">
        <f t="shared" si="22"/>
        <v>1.8189894035458565E-11</v>
      </c>
      <c r="O51" s="235">
        <f t="shared" si="22"/>
        <v>0</v>
      </c>
      <c r="P51" s="235">
        <f t="shared" si="22"/>
        <v>0</v>
      </c>
      <c r="Q51" s="235">
        <f t="shared" si="22"/>
        <v>0</v>
      </c>
      <c r="R51" s="235">
        <f t="shared" si="22"/>
        <v>0</v>
      </c>
      <c r="S51" s="235">
        <f t="shared" si="22"/>
        <v>0</v>
      </c>
      <c r="T51" s="235">
        <f t="shared" si="22"/>
        <v>0</v>
      </c>
      <c r="U51" s="235">
        <f t="shared" si="22"/>
        <v>0</v>
      </c>
    </row>
    <row r="52" spans="1:21" s="25" customFormat="1">
      <c r="A52" s="236" t="s">
        <v>47</v>
      </c>
      <c r="B52" s="235">
        <f>B33</f>
        <v>0</v>
      </c>
      <c r="C52" s="235">
        <f>C33</f>
        <v>5784.3173881121402</v>
      </c>
      <c r="D52" s="235">
        <f t="shared" ref="D52:U52" si="23">D33</f>
        <v>8235.1897810115915</v>
      </c>
      <c r="E52" s="235">
        <f t="shared" si="23"/>
        <v>10136.587512677035</v>
      </c>
      <c r="F52" s="235">
        <f t="shared" si="23"/>
        <v>11576.916754695543</v>
      </c>
      <c r="G52" s="235">
        <f t="shared" si="23"/>
        <v>12624.17672532072</v>
      </c>
      <c r="H52" s="235">
        <f t="shared" si="23"/>
        <v>13331.592583621323</v>
      </c>
      <c r="I52" s="235">
        <f t="shared" si="23"/>
        <v>13741.597590733423</v>
      </c>
      <c r="J52" s="235">
        <f t="shared" si="23"/>
        <v>13888.656627257174</v>
      </c>
      <c r="K52" s="235">
        <f t="shared" si="23"/>
        <v>13888.656627257174</v>
      </c>
      <c r="L52" s="235">
        <f t="shared" si="23"/>
        <v>13888.656627257174</v>
      </c>
      <c r="M52" s="235">
        <f t="shared" si="23"/>
        <v>13888.656627257174</v>
      </c>
      <c r="N52" s="235">
        <f t="shared" si="23"/>
        <v>13888.656627257174</v>
      </c>
      <c r="O52" s="235">
        <f t="shared" si="23"/>
        <v>13888.656627257174</v>
      </c>
      <c r="P52" s="235">
        <f t="shared" si="23"/>
        <v>13888.656627257174</v>
      </c>
      <c r="Q52" s="235">
        <f t="shared" si="23"/>
        <v>13888.656627257174</v>
      </c>
      <c r="R52" s="235">
        <f t="shared" si="23"/>
        <v>0</v>
      </c>
      <c r="S52" s="235">
        <f t="shared" si="23"/>
        <v>0</v>
      </c>
      <c r="T52" s="235">
        <f t="shared" si="23"/>
        <v>0</v>
      </c>
      <c r="U52" s="235">
        <f t="shared" si="23"/>
        <v>0</v>
      </c>
    </row>
    <row r="53" spans="1:21" s="25" customFormat="1">
      <c r="A53" s="236" t="s">
        <v>115</v>
      </c>
      <c r="B53" s="235">
        <f>B39</f>
        <v>121897.84652866358</v>
      </c>
      <c r="C53" s="235">
        <f>C39</f>
        <v>121897.84652866358</v>
      </c>
      <c r="D53" s="235">
        <f t="shared" ref="D53:U53" si="24">D39</f>
        <v>121897.84652866358</v>
      </c>
      <c r="E53" s="235">
        <f t="shared" si="24"/>
        <v>121897.84652866358</v>
      </c>
      <c r="F53" s="235">
        <f t="shared" si="24"/>
        <v>121897.84652866358</v>
      </c>
      <c r="G53" s="235">
        <f t="shared" si="24"/>
        <v>121897.84652866358</v>
      </c>
      <c r="H53" s="235">
        <f t="shared" si="24"/>
        <v>121897.84652866358</v>
      </c>
      <c r="I53" s="235">
        <f t="shared" si="24"/>
        <v>121897.84652866358</v>
      </c>
      <c r="J53" s="235">
        <f t="shared" si="24"/>
        <v>121897.84652866358</v>
      </c>
      <c r="K53" s="235">
        <f t="shared" si="24"/>
        <v>121897.84652866358</v>
      </c>
      <c r="L53" s="235">
        <f t="shared" si="24"/>
        <v>121897.84652866358</v>
      </c>
      <c r="M53" s="235">
        <f t="shared" si="24"/>
        <v>121897.84652866358</v>
      </c>
      <c r="N53" s="235">
        <f t="shared" si="24"/>
        <v>121897.84652866358</v>
      </c>
      <c r="O53" s="235">
        <f t="shared" si="24"/>
        <v>121897.84652866358</v>
      </c>
      <c r="P53" s="235">
        <f t="shared" si="24"/>
        <v>121897.84652866358</v>
      </c>
      <c r="Q53" s="235">
        <f t="shared" si="24"/>
        <v>121897.84652866358</v>
      </c>
      <c r="R53" s="235">
        <f t="shared" si="24"/>
        <v>0</v>
      </c>
      <c r="S53" s="235">
        <f t="shared" si="24"/>
        <v>0</v>
      </c>
      <c r="T53" s="235">
        <f t="shared" si="24"/>
        <v>0</v>
      </c>
      <c r="U53" s="235">
        <f t="shared" si="24"/>
        <v>0</v>
      </c>
    </row>
    <row r="54" spans="1:21" s="25" customFormat="1">
      <c r="A54" s="236" t="s">
        <v>116</v>
      </c>
      <c r="B54" s="235">
        <f>B40</f>
        <v>-1996.0189862108236</v>
      </c>
      <c r="C54" s="235">
        <f t="shared" ref="C54:U54" si="25">C40</f>
        <v>11482.703382774864</v>
      </c>
      <c r="D54" s="235">
        <f t="shared" si="25"/>
        <v>20428.727033095638</v>
      </c>
      <c r="E54" s="235">
        <f t="shared" si="25"/>
        <v>26134.234336667752</v>
      </c>
      <c r="F54" s="235">
        <f t="shared" si="25"/>
        <v>28661.294324712449</v>
      </c>
      <c r="G54" s="235">
        <f t="shared" si="25"/>
        <v>30203.522002658385</v>
      </c>
      <c r="H54" s="235">
        <f t="shared" si="25"/>
        <v>32385.257031039877</v>
      </c>
      <c r="I54" s="235">
        <f t="shared" si="25"/>
        <v>35194.109415033643</v>
      </c>
      <c r="J54" s="235">
        <f t="shared" si="25"/>
        <v>37698.822617058504</v>
      </c>
      <c r="K54" s="235">
        <f t="shared" si="25"/>
        <v>40721.862211126318</v>
      </c>
      <c r="L54" s="235">
        <f t="shared" si="25"/>
        <v>43761.718846371077</v>
      </c>
      <c r="M54" s="235">
        <f t="shared" si="25"/>
        <v>47075.629464150028</v>
      </c>
      <c r="N54" s="235">
        <f t="shared" si="25"/>
        <v>50666.688938183506</v>
      </c>
      <c r="O54" s="235">
        <f t="shared" si="25"/>
        <v>54964.63475263209</v>
      </c>
      <c r="P54" s="235">
        <f t="shared" si="25"/>
        <v>59404.543215938866</v>
      </c>
      <c r="Q54" s="235">
        <f t="shared" si="25"/>
        <v>57508.132982528485</v>
      </c>
      <c r="R54" s="235">
        <f t="shared" si="25"/>
        <v>0</v>
      </c>
      <c r="S54" s="235">
        <f t="shared" si="25"/>
        <v>0</v>
      </c>
      <c r="T54" s="235">
        <f t="shared" si="25"/>
        <v>0</v>
      </c>
      <c r="U54" s="235">
        <f t="shared" si="25"/>
        <v>0</v>
      </c>
    </row>
    <row r="55" spans="1:21" s="25" customFormat="1">
      <c r="A55" s="237"/>
      <c r="B55" s="237"/>
      <c r="C55" s="237"/>
      <c r="D55" s="237"/>
      <c r="E55" s="237"/>
      <c r="F55" s="237"/>
      <c r="G55" s="237"/>
      <c r="H55" s="237"/>
      <c r="I55" s="237"/>
      <c r="J55" s="237"/>
      <c r="K55" s="237"/>
      <c r="L55" s="237"/>
      <c r="M55" s="237"/>
      <c r="N55" s="237"/>
      <c r="O55" s="237"/>
      <c r="P55" s="237"/>
      <c r="Q55" s="237"/>
      <c r="R55" s="237"/>
      <c r="S55" s="237"/>
      <c r="T55" s="237"/>
      <c r="U55" s="237"/>
    </row>
    <row r="56" spans="1:21" s="25" customFormat="1">
      <c r="A56" s="237" t="s">
        <v>236</v>
      </c>
      <c r="B56" s="251">
        <f>SUM(B50:B55)</f>
        <v>178534.03167663934</v>
      </c>
      <c r="C56" s="248">
        <f t="shared" ref="C56:U56" si="26">SUM(C49:C55)</f>
        <v>193286.90188495358</v>
      </c>
      <c r="D56" s="248">
        <f t="shared" si="26"/>
        <v>200173.62837939023</v>
      </c>
      <c r="E56" s="248">
        <f t="shared" si="26"/>
        <v>203270.36386584421</v>
      </c>
      <c r="F56" s="248">
        <f t="shared" si="26"/>
        <v>202727.58354712382</v>
      </c>
      <c r="G56" s="248">
        <f t="shared" si="26"/>
        <v>200806.90164691134</v>
      </c>
      <c r="H56" s="248">
        <f t="shared" si="26"/>
        <v>199185.8829848099</v>
      </c>
      <c r="I56" s="248">
        <f t="shared" si="26"/>
        <v>197894.57082713215</v>
      </c>
      <c r="J56" s="248">
        <f t="shared" si="26"/>
        <v>196036.17351689716</v>
      </c>
      <c r="K56" s="248">
        <f t="shared" si="26"/>
        <v>194549.04356218141</v>
      </c>
      <c r="L56" s="248">
        <f t="shared" si="26"/>
        <v>193078.73064864261</v>
      </c>
      <c r="M56" s="248">
        <f t="shared" si="26"/>
        <v>191882.47171763796</v>
      </c>
      <c r="N56" s="248">
        <f t="shared" si="26"/>
        <v>190963.36164288784</v>
      </c>
      <c r="O56" s="248">
        <f t="shared" si="26"/>
        <v>190751.13790855286</v>
      </c>
      <c r="P56" s="248">
        <f t="shared" si="26"/>
        <v>195191.04637185961</v>
      </c>
      <c r="Q56" s="248">
        <f t="shared" si="26"/>
        <v>193294.63613844922</v>
      </c>
      <c r="R56" s="248">
        <f t="shared" si="26"/>
        <v>0</v>
      </c>
      <c r="S56" s="248">
        <f t="shared" si="26"/>
        <v>0</v>
      </c>
      <c r="T56" s="248">
        <f t="shared" si="26"/>
        <v>0</v>
      </c>
      <c r="U56" s="248">
        <f t="shared" si="26"/>
        <v>0</v>
      </c>
    </row>
    <row r="57" spans="1:21" s="25" customForma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</row>
    <row r="58" spans="1:21" s="25" customForma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</row>
    <row r="59" spans="1:21" s="25" customFormat="1">
      <c r="A59" s="94" t="s">
        <v>327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</row>
    <row r="60" spans="1:21" s="25" customForma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</row>
    <row r="61" spans="1:21" s="25" customFormat="1">
      <c r="A61" s="7" t="s">
        <v>328</v>
      </c>
      <c r="B61" s="97">
        <f>SUM(B6:B8)</f>
        <v>0</v>
      </c>
      <c r="C61" s="97">
        <f t="shared" ref="C61:U61" si="27">SUM(C6:C8)-SUM(B6:B8)</f>
        <v>699.83504978593146</v>
      </c>
      <c r="D61" s="97">
        <f t="shared" si="27"/>
        <v>-84.111804977609836</v>
      </c>
      <c r="E61" s="97">
        <f t="shared" si="27"/>
        <v>-60.382317008834661</v>
      </c>
      <c r="F61" s="97">
        <f t="shared" si="27"/>
        <v>-109.35624136653337</v>
      </c>
      <c r="G61" s="97">
        <f t="shared" si="27"/>
        <v>-29.646696185749079</v>
      </c>
      <c r="H61" s="97">
        <f t="shared" si="27"/>
        <v>14.761722473351028</v>
      </c>
      <c r="I61" s="97">
        <f t="shared" si="27"/>
        <v>7.7317632672246646</v>
      </c>
      <c r="J61" s="97">
        <f t="shared" si="27"/>
        <v>-9.1359362706653542</v>
      </c>
      <c r="K61" s="97">
        <f t="shared" si="27"/>
        <v>15.539847200102088</v>
      </c>
      <c r="L61" s="97">
        <f t="shared" si="27"/>
        <v>5.8230119308657891</v>
      </c>
      <c r="M61" s="97">
        <f t="shared" si="27"/>
        <v>8.6171724957183642</v>
      </c>
      <c r="N61" s="97">
        <f t="shared" si="27"/>
        <v>-18.584035449192186</v>
      </c>
      <c r="O61" s="97">
        <f t="shared" si="27"/>
        <v>17.401187288283438</v>
      </c>
      <c r="P61" s="97">
        <f t="shared" si="27"/>
        <v>6.2860542847536749</v>
      </c>
      <c r="Q61" s="97">
        <f t="shared" si="27"/>
        <v>506.17284619946042</v>
      </c>
      <c r="R61" s="97">
        <f t="shared" si="27"/>
        <v>-970.95162366710645</v>
      </c>
      <c r="S61" s="97">
        <f t="shared" si="27"/>
        <v>0</v>
      </c>
      <c r="T61" s="97">
        <f t="shared" si="27"/>
        <v>0</v>
      </c>
      <c r="U61" s="97">
        <f t="shared" si="27"/>
        <v>0</v>
      </c>
    </row>
    <row r="62" spans="1:21" s="25" customFormat="1">
      <c r="A62" s="7" t="s">
        <v>329</v>
      </c>
      <c r="B62" s="97">
        <f>SUM(B25:B28)</f>
        <v>4845.0102212800066</v>
      </c>
      <c r="C62" s="97">
        <f t="shared" ref="C62:U62" si="28">SUM(C25:C28)-SUM(B25:B28)</f>
        <v>1644.5573374719152</v>
      </c>
      <c r="D62" s="97">
        <f t="shared" si="28"/>
        <v>311.44233491375144</v>
      </c>
      <c r="E62" s="97">
        <f t="shared" si="28"/>
        <v>50.742973187088865</v>
      </c>
      <c r="F62" s="97">
        <f t="shared" si="28"/>
        <v>-349.81999910323884</v>
      </c>
      <c r="G62" s="97">
        <f t="shared" si="28"/>
        <v>22.265173095199316</v>
      </c>
      <c r="H62" s="97">
        <f t="shared" si="28"/>
        <v>27.762311434602452</v>
      </c>
      <c r="I62" s="97">
        <f t="shared" si="28"/>
        <v>8.6483062671677544</v>
      </c>
      <c r="J62" s="97">
        <f t="shared" si="28"/>
        <v>25.762498896776378</v>
      </c>
      <c r="K62" s="97">
        <f t="shared" si="28"/>
        <v>57.356002495429493</v>
      </c>
      <c r="L62" s="97">
        <f t="shared" si="28"/>
        <v>55.479824369414018</v>
      </c>
      <c r="M62" s="97">
        <f t="shared" si="28"/>
        <v>35.286195426911036</v>
      </c>
      <c r="N62" s="97">
        <f t="shared" si="28"/>
        <v>-203.60331642485289</v>
      </c>
      <c r="O62" s="97">
        <f t="shared" si="28"/>
        <v>-4465.2735459588484</v>
      </c>
      <c r="P62" s="97">
        <f t="shared" si="28"/>
        <v>36.851979037390265</v>
      </c>
      <c r="Q62" s="97">
        <f t="shared" si="28"/>
        <v>2204.6087433690836</v>
      </c>
      <c r="R62" s="97">
        <f t="shared" si="28"/>
        <v>-4307.0770397577962</v>
      </c>
      <c r="S62" s="97">
        <f t="shared" si="28"/>
        <v>0</v>
      </c>
      <c r="T62" s="97">
        <f t="shared" si="28"/>
        <v>0</v>
      </c>
      <c r="U62" s="97">
        <f t="shared" si="28"/>
        <v>0</v>
      </c>
    </row>
    <row r="63" spans="1:21" s="25" customFormat="1">
      <c r="A63" s="7" t="s">
        <v>330</v>
      </c>
      <c r="B63" s="200">
        <f>B18+B17</f>
        <v>180530.05066285018</v>
      </c>
      <c r="C63" s="200">
        <f>(C18-B18)+(C17-B17)</f>
        <v>0</v>
      </c>
      <c r="D63" s="200">
        <f t="shared" ref="D63:U63" si="29">(D18-C18)+(D17-C17)</f>
        <v>0</v>
      </c>
      <c r="E63" s="200">
        <f t="shared" si="29"/>
        <v>0</v>
      </c>
      <c r="F63" s="200">
        <f t="shared" si="29"/>
        <v>0</v>
      </c>
      <c r="G63" s="200">
        <f t="shared" si="29"/>
        <v>0</v>
      </c>
      <c r="H63" s="200">
        <f t="shared" si="29"/>
        <v>0</v>
      </c>
      <c r="I63" s="200">
        <f t="shared" si="29"/>
        <v>0</v>
      </c>
      <c r="J63" s="200">
        <f t="shared" si="29"/>
        <v>0</v>
      </c>
      <c r="K63" s="200">
        <f t="shared" si="29"/>
        <v>0</v>
      </c>
      <c r="L63" s="200">
        <f t="shared" si="29"/>
        <v>0</v>
      </c>
      <c r="M63" s="200">
        <f t="shared" si="29"/>
        <v>0</v>
      </c>
      <c r="N63" s="200">
        <f t="shared" si="29"/>
        <v>0</v>
      </c>
      <c r="O63" s="200">
        <f t="shared" si="29"/>
        <v>0</v>
      </c>
      <c r="P63" s="200">
        <f t="shared" si="29"/>
        <v>0</v>
      </c>
      <c r="Q63" s="200">
        <f t="shared" si="29"/>
        <v>0</v>
      </c>
      <c r="R63" s="200">
        <f t="shared" si="29"/>
        <v>-180530.05066285018</v>
      </c>
      <c r="S63" s="200">
        <f t="shared" si="29"/>
        <v>0</v>
      </c>
      <c r="T63" s="200">
        <f t="shared" si="29"/>
        <v>0</v>
      </c>
      <c r="U63" s="200">
        <f t="shared" si="29"/>
        <v>0</v>
      </c>
    </row>
    <row r="64" spans="1:21" s="25" customFormat="1">
      <c r="A64" s="7" t="s">
        <v>331</v>
      </c>
      <c r="B64" s="97">
        <f>B32</f>
        <v>54122.034585403009</v>
      </c>
      <c r="C64" s="97">
        <f t="shared" ref="C64:U64" si="30">C32-B32</f>
        <v>-4510.1695487835823</v>
      </c>
      <c r="D64" s="97">
        <f t="shared" si="30"/>
        <v>-4510.1695487835823</v>
      </c>
      <c r="E64" s="97">
        <f t="shared" si="30"/>
        <v>-4510.1695487835823</v>
      </c>
      <c r="F64" s="97">
        <f t="shared" si="30"/>
        <v>-4510.1695487835823</v>
      </c>
      <c r="G64" s="97">
        <f t="shared" si="30"/>
        <v>-4510.1695487835823</v>
      </c>
      <c r="H64" s="97">
        <f t="shared" si="30"/>
        <v>-4510.1695487835823</v>
      </c>
      <c r="I64" s="97">
        <f t="shared" si="30"/>
        <v>-4510.1695487835823</v>
      </c>
      <c r="J64" s="97">
        <f t="shared" si="30"/>
        <v>-4510.1695487835823</v>
      </c>
      <c r="K64" s="97">
        <f t="shared" si="30"/>
        <v>-4510.1695487835841</v>
      </c>
      <c r="L64" s="97">
        <f t="shared" si="30"/>
        <v>-4510.1695487835823</v>
      </c>
      <c r="M64" s="97">
        <f t="shared" si="30"/>
        <v>-4510.1695487835823</v>
      </c>
      <c r="N64" s="97">
        <f t="shared" si="30"/>
        <v>-4510.1695487835841</v>
      </c>
      <c r="O64" s="97">
        <f t="shared" si="30"/>
        <v>-1.8189894035458565E-11</v>
      </c>
      <c r="P64" s="97">
        <f t="shared" si="30"/>
        <v>0</v>
      </c>
      <c r="Q64" s="97">
        <f t="shared" si="30"/>
        <v>0</v>
      </c>
      <c r="R64" s="97">
        <f t="shared" si="30"/>
        <v>0</v>
      </c>
      <c r="S64" s="97">
        <f t="shared" si="30"/>
        <v>0</v>
      </c>
      <c r="T64" s="97">
        <f t="shared" si="30"/>
        <v>0</v>
      </c>
      <c r="U64" s="97">
        <f t="shared" si="30"/>
        <v>0</v>
      </c>
    </row>
    <row r="65" spans="1:21" s="25" customFormat="1">
      <c r="A65" s="7" t="s">
        <v>151</v>
      </c>
      <c r="B65" s="97">
        <f>B39</f>
        <v>121897.84652866358</v>
      </c>
      <c r="C65" s="97">
        <f t="shared" ref="C65:U65" si="31">C39-B39</f>
        <v>0</v>
      </c>
      <c r="D65" s="97">
        <f t="shared" si="31"/>
        <v>0</v>
      </c>
      <c r="E65" s="97">
        <f t="shared" si="31"/>
        <v>0</v>
      </c>
      <c r="F65" s="97">
        <f t="shared" si="31"/>
        <v>0</v>
      </c>
      <c r="G65" s="97">
        <f t="shared" si="31"/>
        <v>0</v>
      </c>
      <c r="H65" s="97">
        <f t="shared" si="31"/>
        <v>0</v>
      </c>
      <c r="I65" s="97">
        <f t="shared" si="31"/>
        <v>0</v>
      </c>
      <c r="J65" s="97">
        <f t="shared" si="31"/>
        <v>0</v>
      </c>
      <c r="K65" s="97">
        <f t="shared" si="31"/>
        <v>0</v>
      </c>
      <c r="L65" s="97">
        <f t="shared" si="31"/>
        <v>0</v>
      </c>
      <c r="M65" s="97">
        <f t="shared" si="31"/>
        <v>0</v>
      </c>
      <c r="N65" s="97">
        <f t="shared" si="31"/>
        <v>0</v>
      </c>
      <c r="O65" s="97">
        <f t="shared" si="31"/>
        <v>0</v>
      </c>
      <c r="P65" s="97">
        <f t="shared" si="31"/>
        <v>0</v>
      </c>
      <c r="Q65" s="97">
        <f t="shared" si="31"/>
        <v>0</v>
      </c>
      <c r="R65" s="97">
        <f t="shared" si="31"/>
        <v>-121897.84652866358</v>
      </c>
      <c r="S65" s="97">
        <f t="shared" si="31"/>
        <v>0</v>
      </c>
      <c r="T65" s="97">
        <f t="shared" si="31"/>
        <v>0</v>
      </c>
      <c r="U65" s="97">
        <f t="shared" si="31"/>
        <v>0</v>
      </c>
    </row>
    <row r="66" spans="1:21" s="25" customForma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</row>
    <row r="67" spans="1:21" s="25" customForma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</row>
    <row r="68" spans="1:21" s="25" customFormat="1">
      <c r="A68" s="7"/>
      <c r="B68" s="41"/>
      <c r="C68" s="41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</row>
    <row r="69" spans="1:21" s="25" customFormat="1">
      <c r="A69" s="7"/>
      <c r="B69" s="41"/>
      <c r="C69" s="41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</row>
    <row r="70" spans="1:21" s="25" customFormat="1">
      <c r="A70" s="7"/>
      <c r="B70" s="41"/>
      <c r="C70" s="395"/>
      <c r="D70" s="395"/>
      <c r="E70" s="395"/>
      <c r="F70" s="395"/>
      <c r="G70" s="395"/>
      <c r="H70" s="395"/>
      <c r="I70" s="395"/>
      <c r="J70" s="395"/>
      <c r="K70" s="395"/>
      <c r="L70" s="395"/>
      <c r="M70" s="395"/>
      <c r="N70" s="395"/>
      <c r="O70" s="395"/>
      <c r="P70" s="395"/>
      <c r="Q70" s="395"/>
      <c r="R70" s="395"/>
      <c r="S70" s="395"/>
      <c r="T70" s="395"/>
      <c r="U70" s="395"/>
    </row>
    <row r="71" spans="1:21" s="25" customFormat="1">
      <c r="A71" s="7"/>
      <c r="B71" s="41"/>
      <c r="C71" s="393"/>
      <c r="D71" s="393"/>
      <c r="E71" s="393"/>
      <c r="F71" s="393"/>
      <c r="G71" s="393"/>
      <c r="H71" s="393"/>
      <c r="I71" s="393"/>
      <c r="J71" s="393"/>
      <c r="K71" s="393"/>
      <c r="L71" s="393"/>
      <c r="M71" s="393"/>
      <c r="N71" s="393"/>
      <c r="O71" s="393"/>
      <c r="P71" s="393"/>
      <c r="Q71" s="393"/>
      <c r="R71" s="393"/>
      <c r="S71" s="393"/>
      <c r="T71" s="393"/>
      <c r="U71" s="393"/>
    </row>
    <row r="72" spans="1:21">
      <c r="B72" s="41"/>
      <c r="C72" s="393"/>
      <c r="D72" s="393"/>
      <c r="E72" s="393"/>
      <c r="F72" s="393"/>
      <c r="G72" s="393"/>
      <c r="H72" s="393"/>
      <c r="I72" s="393"/>
      <c r="J72" s="393"/>
      <c r="K72" s="393"/>
      <c r="L72" s="393"/>
      <c r="M72" s="393"/>
      <c r="N72" s="393"/>
      <c r="O72" s="393"/>
      <c r="P72" s="393"/>
      <c r="Q72" s="393"/>
      <c r="R72" s="393"/>
      <c r="S72" s="393"/>
      <c r="T72" s="393"/>
      <c r="U72" s="393"/>
    </row>
    <row r="73" spans="1:21">
      <c r="B73" s="41"/>
      <c r="C73" s="393"/>
      <c r="D73" s="393"/>
      <c r="E73" s="393"/>
      <c r="F73" s="393"/>
      <c r="G73" s="393"/>
      <c r="H73" s="393"/>
      <c r="I73" s="393"/>
      <c r="J73" s="393"/>
      <c r="K73" s="393"/>
      <c r="L73" s="393"/>
      <c r="M73" s="393"/>
      <c r="N73" s="393"/>
      <c r="O73" s="393"/>
      <c r="P73" s="393"/>
      <c r="Q73" s="393"/>
      <c r="R73" s="393"/>
      <c r="S73" s="393"/>
      <c r="T73" s="393"/>
      <c r="U73" s="393"/>
    </row>
    <row r="74" spans="1:21">
      <c r="B74" s="41"/>
      <c r="C74" s="393"/>
      <c r="D74" s="393"/>
      <c r="E74" s="393"/>
      <c r="F74" s="393"/>
      <c r="G74" s="393"/>
      <c r="H74" s="393"/>
      <c r="I74" s="393"/>
      <c r="J74" s="393"/>
      <c r="K74" s="393"/>
      <c r="L74" s="393"/>
      <c r="M74" s="393"/>
      <c r="N74" s="393"/>
      <c r="O74" s="393"/>
      <c r="P74" s="393"/>
      <c r="Q74" s="393"/>
      <c r="R74" s="393"/>
      <c r="S74" s="393"/>
      <c r="T74" s="393"/>
      <c r="U74" s="393"/>
    </row>
    <row r="75" spans="1:21">
      <c r="B75" s="41"/>
      <c r="C75" s="393"/>
      <c r="D75" s="393"/>
      <c r="E75" s="393"/>
      <c r="F75" s="393"/>
      <c r="G75" s="393"/>
      <c r="H75" s="393"/>
      <c r="I75" s="393"/>
      <c r="J75" s="393"/>
      <c r="K75" s="393"/>
      <c r="L75" s="393"/>
      <c r="M75" s="393"/>
      <c r="N75" s="393"/>
      <c r="O75" s="393"/>
      <c r="P75" s="393"/>
      <c r="Q75" s="393"/>
      <c r="R75" s="393"/>
      <c r="S75" s="393"/>
      <c r="T75" s="393"/>
      <c r="U75" s="393"/>
    </row>
    <row r="76" spans="1:21">
      <c r="B76" s="41"/>
      <c r="C76" s="393"/>
      <c r="D76" s="393"/>
      <c r="E76" s="393"/>
      <c r="F76" s="393"/>
      <c r="G76" s="393"/>
      <c r="H76" s="393"/>
      <c r="I76" s="393"/>
      <c r="J76" s="393"/>
      <c r="K76" s="393"/>
      <c r="L76" s="393"/>
      <c r="M76" s="393"/>
      <c r="N76" s="393"/>
      <c r="O76" s="393"/>
      <c r="P76" s="393"/>
      <c r="Q76" s="393"/>
      <c r="R76" s="393"/>
      <c r="S76" s="393"/>
      <c r="T76" s="393"/>
      <c r="U76" s="393"/>
    </row>
    <row r="77" spans="1:21">
      <c r="B77" s="41"/>
      <c r="C77" s="393"/>
      <c r="D77" s="393"/>
      <c r="E77" s="393"/>
      <c r="F77" s="393"/>
      <c r="G77" s="393"/>
      <c r="H77" s="393"/>
      <c r="I77" s="393"/>
      <c r="J77" s="393"/>
      <c r="K77" s="393"/>
      <c r="L77" s="393"/>
      <c r="M77" s="393"/>
      <c r="N77" s="393"/>
      <c r="O77" s="393"/>
      <c r="P77" s="393"/>
      <c r="Q77" s="393"/>
      <c r="R77" s="393"/>
      <c r="S77" s="393"/>
      <c r="T77" s="393"/>
      <c r="U77" s="393"/>
    </row>
    <row r="78" spans="1:21">
      <c r="B78" s="41"/>
      <c r="C78" s="394"/>
      <c r="D78" s="394"/>
      <c r="E78" s="394"/>
      <c r="F78" s="394"/>
      <c r="G78" s="394"/>
      <c r="H78" s="394"/>
      <c r="I78" s="394"/>
      <c r="J78" s="394"/>
      <c r="K78" s="394"/>
      <c r="L78" s="394"/>
      <c r="M78" s="394"/>
      <c r="N78" s="394"/>
      <c r="O78" s="394"/>
      <c r="P78" s="394"/>
      <c r="Q78" s="394"/>
      <c r="R78" s="394"/>
      <c r="S78" s="394"/>
      <c r="T78" s="394"/>
      <c r="U78" s="394"/>
    </row>
    <row r="79" spans="1:21"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</row>
    <row r="80" spans="1:21">
      <c r="C80" s="400"/>
      <c r="D80" s="400"/>
      <c r="E80" s="400"/>
      <c r="F80" s="400"/>
      <c r="G80" s="400"/>
      <c r="H80" s="400"/>
      <c r="I80" s="400"/>
      <c r="J80" s="400"/>
      <c r="K80" s="400"/>
      <c r="L80" s="400"/>
      <c r="M80" s="400"/>
      <c r="N80" s="400"/>
      <c r="O80" s="400"/>
      <c r="P80" s="400"/>
      <c r="Q80" s="400"/>
      <c r="R80" s="400"/>
      <c r="S80" s="400"/>
      <c r="T80" s="400"/>
      <c r="U80" s="400"/>
    </row>
    <row r="81" spans="1:27"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</row>
    <row r="84" spans="1:27" ht="12.75">
      <c r="A84" t="s">
        <v>246</v>
      </c>
      <c r="B84"/>
      <c r="C84" s="298">
        <f>Assumptions!E10-Assumptions!E5</f>
        <v>180064.05066285018</v>
      </c>
      <c r="D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</row>
    <row r="85" spans="1:27" ht="12.75">
      <c r="A85" t="s">
        <v>247</v>
      </c>
      <c r="B85"/>
      <c r="C85">
        <f>Assumptions!H15</f>
        <v>25</v>
      </c>
      <c r="D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</row>
    <row r="86" spans="1:27" ht="12.75">
      <c r="A86" s="681" t="s">
        <v>705</v>
      </c>
      <c r="B86" s="681"/>
      <c r="C86" s="683">
        <f>Assumptions!E17</f>
        <v>0</v>
      </c>
      <c r="D86" s="683">
        <f>C86/C85</f>
        <v>0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</row>
    <row r="87" spans="1:27" ht="12.75">
      <c r="A87"/>
      <c r="C87"/>
      <c r="D87"/>
      <c r="E87"/>
      <c r="F87"/>
      <c r="G87"/>
      <c r="H87" s="298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</row>
    <row r="88" spans="1:27" ht="12.75">
      <c r="A88"/>
      <c r="B88" s="63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</row>
    <row r="89" spans="1:27" ht="12.75">
      <c r="A89" s="63" t="s">
        <v>121</v>
      </c>
      <c r="B89" s="450">
        <v>1</v>
      </c>
      <c r="C89" s="450">
        <f>B89+1</f>
        <v>2</v>
      </c>
      <c r="D89" s="450">
        <f t="shared" ref="D89:U89" si="32">C89+1</f>
        <v>3</v>
      </c>
      <c r="E89" s="450">
        <f t="shared" si="32"/>
        <v>4</v>
      </c>
      <c r="F89" s="450">
        <f t="shared" si="32"/>
        <v>5</v>
      </c>
      <c r="G89" s="450">
        <f t="shared" si="32"/>
        <v>6</v>
      </c>
      <c r="H89" s="450">
        <f t="shared" si="32"/>
        <v>7</v>
      </c>
      <c r="I89" s="450">
        <f t="shared" si="32"/>
        <v>8</v>
      </c>
      <c r="J89" s="450">
        <f t="shared" si="32"/>
        <v>9</v>
      </c>
      <c r="K89" s="450">
        <f t="shared" si="32"/>
        <v>10</v>
      </c>
      <c r="L89" s="450">
        <f t="shared" si="32"/>
        <v>11</v>
      </c>
      <c r="M89" s="450">
        <f t="shared" si="32"/>
        <v>12</v>
      </c>
      <c r="N89" s="450">
        <f t="shared" si="32"/>
        <v>13</v>
      </c>
      <c r="O89" s="450">
        <f t="shared" si="32"/>
        <v>14</v>
      </c>
      <c r="P89" s="450">
        <f t="shared" si="32"/>
        <v>15</v>
      </c>
      <c r="Q89" s="450">
        <f t="shared" si="32"/>
        <v>16</v>
      </c>
      <c r="R89" s="450">
        <f t="shared" si="32"/>
        <v>17</v>
      </c>
      <c r="S89" s="450">
        <f t="shared" si="32"/>
        <v>18</v>
      </c>
      <c r="T89" s="450">
        <f t="shared" si="32"/>
        <v>19</v>
      </c>
      <c r="U89" s="450">
        <f t="shared" si="32"/>
        <v>20</v>
      </c>
      <c r="V89"/>
      <c r="W89"/>
      <c r="X89"/>
      <c r="Y89"/>
      <c r="Z89"/>
      <c r="AA89"/>
    </row>
    <row r="90" spans="1:27" ht="12.75">
      <c r="A90"/>
      <c r="B90" s="479">
        <f>B3</f>
        <v>36891</v>
      </c>
      <c r="C90" s="479">
        <f>C3</f>
        <v>37256</v>
      </c>
      <c r="D90" s="480">
        <f>D3</f>
        <v>37621</v>
      </c>
      <c r="E90" s="480">
        <f t="shared" ref="E90:U90" si="33">E3</f>
        <v>37986</v>
      </c>
      <c r="F90" s="480">
        <f t="shared" si="33"/>
        <v>38352</v>
      </c>
      <c r="G90" s="480">
        <f t="shared" si="33"/>
        <v>38717</v>
      </c>
      <c r="H90" s="480">
        <f t="shared" si="33"/>
        <v>39082</v>
      </c>
      <c r="I90" s="480">
        <f t="shared" si="33"/>
        <v>39447</v>
      </c>
      <c r="J90" s="480">
        <f t="shared" si="33"/>
        <v>39813</v>
      </c>
      <c r="K90" s="480">
        <f t="shared" si="33"/>
        <v>40178</v>
      </c>
      <c r="L90" s="480">
        <f t="shared" si="33"/>
        <v>40543</v>
      </c>
      <c r="M90" s="480">
        <f t="shared" si="33"/>
        <v>40908</v>
      </c>
      <c r="N90" s="480">
        <f t="shared" si="33"/>
        <v>41274</v>
      </c>
      <c r="O90" s="480">
        <f t="shared" si="33"/>
        <v>41639</v>
      </c>
      <c r="P90" s="480">
        <f t="shared" si="33"/>
        <v>42004</v>
      </c>
      <c r="Q90" s="480">
        <f t="shared" si="33"/>
        <v>42369</v>
      </c>
      <c r="R90" s="480">
        <f t="shared" si="33"/>
        <v>42735</v>
      </c>
      <c r="S90" s="480">
        <f t="shared" si="33"/>
        <v>43100</v>
      </c>
      <c r="T90" s="480">
        <f t="shared" si="33"/>
        <v>43465</v>
      </c>
      <c r="U90" s="480">
        <f t="shared" si="33"/>
        <v>43830</v>
      </c>
      <c r="V90"/>
      <c r="W90"/>
      <c r="X90"/>
      <c r="Y90"/>
      <c r="Z90"/>
      <c r="AA90"/>
    </row>
    <row r="91" spans="1:27" ht="12.75">
      <c r="A91" t="s">
        <v>244</v>
      </c>
      <c r="B91" s="297">
        <f>C84</f>
        <v>180064.05066285018</v>
      </c>
      <c r="C91" s="298">
        <f t="shared" ref="C91:U91" si="34">B93</f>
        <v>178863.62365843117</v>
      </c>
      <c r="D91" s="298">
        <f t="shared" si="34"/>
        <v>171661.06163191717</v>
      </c>
      <c r="E91" s="507">
        <f>D93</f>
        <v>164458.49960540317</v>
      </c>
      <c r="F91" s="298">
        <f>E93+C86</f>
        <v>157255.93757888916</v>
      </c>
      <c r="G91" s="298">
        <f t="shared" si="34"/>
        <v>150053.37555237516</v>
      </c>
      <c r="H91" s="298">
        <f t="shared" si="34"/>
        <v>142850.81352586116</v>
      </c>
      <c r="I91" s="298">
        <f t="shared" si="34"/>
        <v>135648.25149934716</v>
      </c>
      <c r="J91" s="298">
        <f t="shared" si="34"/>
        <v>128445.68947283315</v>
      </c>
      <c r="K91" s="298">
        <f t="shared" si="34"/>
        <v>121243.12744631915</v>
      </c>
      <c r="L91" s="298">
        <f t="shared" si="34"/>
        <v>114040.56541980515</v>
      </c>
      <c r="M91" s="298">
        <f t="shared" si="34"/>
        <v>106838.00339329115</v>
      </c>
      <c r="N91" s="298">
        <f t="shared" si="34"/>
        <v>99635.441366777144</v>
      </c>
      <c r="O91" s="298">
        <f t="shared" si="34"/>
        <v>92432.879340263142</v>
      </c>
      <c r="P91" s="298">
        <f t="shared" si="34"/>
        <v>85230.317313749139</v>
      </c>
      <c r="Q91" s="298">
        <f t="shared" si="34"/>
        <v>78027.755287235137</v>
      </c>
      <c r="R91" s="298">
        <f t="shared" si="34"/>
        <v>70825.193260721135</v>
      </c>
      <c r="S91" s="298">
        <f t="shared" si="34"/>
        <v>63622.631234207125</v>
      </c>
      <c r="T91" s="298">
        <f t="shared" si="34"/>
        <v>56420.069207693115</v>
      </c>
      <c r="U91" s="298">
        <f t="shared" si="34"/>
        <v>49217.507181179106</v>
      </c>
      <c r="V91"/>
      <c r="W91"/>
      <c r="X91"/>
      <c r="Y91"/>
      <c r="Z91"/>
      <c r="AA91"/>
    </row>
    <row r="92" spans="1:27" ht="12.75">
      <c r="A92" t="s">
        <v>43</v>
      </c>
      <c r="B92" s="297">
        <f>(C84/C85)/12*Assumptions!E51</f>
        <v>1200.4270044190012</v>
      </c>
      <c r="C92" s="297">
        <f>MIN(C91,$C$84/$C$85)</f>
        <v>7202.5620265140069</v>
      </c>
      <c r="D92" s="297">
        <f>IF(Tables!$B$21=2,(($C$84/$C$85)/2),MIN(D91,$C$84/$C$85))</f>
        <v>7202.5620265140069</v>
      </c>
      <c r="E92" s="297">
        <f>IF(Tables!$B$21=2,(($C$84/$C$85)/2),MIN(E91,$C$84/$C$85))</f>
        <v>7202.5620265140069</v>
      </c>
      <c r="F92" s="462">
        <f>IF(Tables!$B$21=2,(($C$84/$C$85)/2),MIN(F91,$C$84/$C$85))+$D$86</f>
        <v>7202.5620265140069</v>
      </c>
      <c r="G92" s="462">
        <f>IF(Tables!$B$21=2,(($C$84/$C$85)/2),MIN(G91,$C$84/$C$85))+$D$86</f>
        <v>7202.5620265140069</v>
      </c>
      <c r="H92" s="462">
        <f>IF(Tables!$B$21=2,(($C$84/$C$85)/2),MIN(H91,$C$84/$C$85))+$D$86</f>
        <v>7202.5620265140069</v>
      </c>
      <c r="I92" s="462">
        <f>IF(Tables!$B$21=2,(($C$84/$C$85)/2),MIN(I91,$C$84/$C$85))+$D$86</f>
        <v>7202.5620265140069</v>
      </c>
      <c r="J92" s="462">
        <f>IF(Tables!$B$21=2,(($C$84/$C$85)/2),MIN(J91,$C$84/$C$85))+$D$86</f>
        <v>7202.5620265140069</v>
      </c>
      <c r="K92" s="462">
        <f>IF(Tables!$B$21=2,(($C$84/$C$85)/2),MIN(K91,$C$84/$C$85))+$D$86</f>
        <v>7202.5620265140069</v>
      </c>
      <c r="L92" s="462">
        <f>IF(Tables!$B$21=2,(($C$84/$C$85)/2),MIN(L91,$C$84/$C$85))+$D$86</f>
        <v>7202.5620265140069</v>
      </c>
      <c r="M92" s="462">
        <f>IF(Tables!$B$21=2,(($C$84/$C$85)/2),MIN(M91,$C$84/$C$85))+$D$86</f>
        <v>7202.5620265140069</v>
      </c>
      <c r="N92" s="462">
        <f>IF(Tables!$B$21=2,(($C$84/$C$85)/2),MIN(N91,$C$84/$C$85))+$D$86</f>
        <v>7202.5620265140069</v>
      </c>
      <c r="O92" s="462">
        <f>IF(Tables!$B$21=2,(($C$84/$C$85)/2),MIN(O91,$C$84/$C$85))+$D$86</f>
        <v>7202.5620265140069</v>
      </c>
      <c r="P92" s="462">
        <f>IF(Tables!$B$21=2,(($C$84/$C$85)/2),MIN(P91,$C$84/$C$85))+$D$86</f>
        <v>7202.5620265140069</v>
      </c>
      <c r="Q92" s="462">
        <f>IF(Tables!$B$21=2,(($C$84/$C$85)/2),MIN(Q91,$C$84/$C$85))+$D$86</f>
        <v>7202.5620265140069</v>
      </c>
      <c r="R92" s="462">
        <f>IF(Tables!$B$21=2,(($C$84/$C$85)/2),MIN(R91,$C$84/$C$85))+$D$86</f>
        <v>7202.5620265140069</v>
      </c>
      <c r="S92" s="462">
        <f>IF(Tables!$B$21=2,(($C$84/$C$85)/2),MIN(S91,$C$84/$C$85))+$D$86</f>
        <v>7202.5620265140069</v>
      </c>
      <c r="T92" s="462">
        <f>IF(Tables!$B$21=2,(($C$84/$C$85)/2),MIN(T91,$C$84/$C$85))+$D$86</f>
        <v>7202.5620265140069</v>
      </c>
      <c r="U92" s="462">
        <f>IF(Tables!$B$21=2,(($C$84/$C$85)/2),MIN(U91,$C$84/$C$85))+$D$86</f>
        <v>7202.5620265140069</v>
      </c>
      <c r="V92"/>
      <c r="W92"/>
      <c r="X92"/>
      <c r="Y92"/>
      <c r="Z92"/>
      <c r="AA92"/>
    </row>
    <row r="93" spans="1:27" ht="13.5" thickBot="1">
      <c r="A93" t="s">
        <v>245</v>
      </c>
      <c r="B93" s="299">
        <f t="shared" ref="B93:U93" si="35">B91-B92</f>
        <v>178863.62365843117</v>
      </c>
      <c r="C93" s="299">
        <f t="shared" si="35"/>
        <v>171661.06163191717</v>
      </c>
      <c r="D93" s="299">
        <f t="shared" si="35"/>
        <v>164458.49960540317</v>
      </c>
      <c r="E93" s="299">
        <f t="shared" si="35"/>
        <v>157255.93757888916</v>
      </c>
      <c r="F93" s="299">
        <f t="shared" si="35"/>
        <v>150053.37555237516</v>
      </c>
      <c r="G93" s="299">
        <f t="shared" si="35"/>
        <v>142850.81352586116</v>
      </c>
      <c r="H93" s="299">
        <f t="shared" si="35"/>
        <v>135648.25149934716</v>
      </c>
      <c r="I93" s="299">
        <f t="shared" si="35"/>
        <v>128445.68947283315</v>
      </c>
      <c r="J93" s="299">
        <f t="shared" si="35"/>
        <v>121243.12744631915</v>
      </c>
      <c r="K93" s="299">
        <f t="shared" si="35"/>
        <v>114040.56541980515</v>
      </c>
      <c r="L93" s="299">
        <f t="shared" si="35"/>
        <v>106838.00339329115</v>
      </c>
      <c r="M93" s="299">
        <f t="shared" si="35"/>
        <v>99635.441366777144</v>
      </c>
      <c r="N93" s="299">
        <f t="shared" si="35"/>
        <v>92432.879340263142</v>
      </c>
      <c r="O93" s="299">
        <f t="shared" si="35"/>
        <v>85230.317313749139</v>
      </c>
      <c r="P93" s="299">
        <f t="shared" si="35"/>
        <v>78027.755287235137</v>
      </c>
      <c r="Q93" s="299">
        <f t="shared" si="35"/>
        <v>70825.193260721135</v>
      </c>
      <c r="R93" s="299">
        <f t="shared" si="35"/>
        <v>63622.631234207125</v>
      </c>
      <c r="S93" s="299">
        <f t="shared" si="35"/>
        <v>56420.069207693115</v>
      </c>
      <c r="T93" s="299">
        <f t="shared" si="35"/>
        <v>49217.507181179106</v>
      </c>
      <c r="U93" s="299">
        <f t="shared" si="35"/>
        <v>42014.945154665096</v>
      </c>
      <c r="V93"/>
      <c r="W93"/>
      <c r="X93"/>
      <c r="Y93"/>
      <c r="Z93"/>
      <c r="AA93"/>
    </row>
    <row r="94" spans="1:27" ht="13.5" thickTop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</row>
    <row r="95" spans="1:27" ht="12.7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</row>
    <row r="19999" spans="1:1" ht="12.75">
      <c r="A19999"/>
    </row>
    <row r="20000" spans="1:1" ht="12.75">
      <c r="A20000"/>
    </row>
    <row r="20001" spans="1:1" ht="12.75">
      <c r="A20001"/>
    </row>
    <row r="20002" spans="1:1" ht="12.75">
      <c r="A20002"/>
    </row>
  </sheetData>
  <printOptions horizontalCentered="1"/>
  <pageMargins left="0.75" right="0.75" top="1" bottom="0.73" header="0.5" footer="0.25"/>
  <pageSetup scale="89" fitToWidth="2" orientation="landscape" r:id="rId1"/>
  <headerFooter alignWithMargins="0">
    <oddFooter>&amp;LI:CES\IS\KChaney\Power\Omers\New Models\&amp;F
&amp;D
&amp;T</odd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AA51"/>
  <sheetViews>
    <sheetView zoomScale="75" zoomScaleNormal="100" workbookViewId="0">
      <selection activeCell="B16" sqref="B16"/>
    </sheetView>
  </sheetViews>
  <sheetFormatPr defaultRowHeight="12.75"/>
  <cols>
    <col min="1" max="1" width="36.42578125" style="7" customWidth="1"/>
    <col min="2" max="2" width="9.28515625" bestFit="1" customWidth="1"/>
    <col min="3" max="3" width="11.7109375" style="7" customWidth="1"/>
    <col min="4" max="4" width="12.5703125" style="7" customWidth="1"/>
    <col min="5" max="16" width="11.7109375" style="7" customWidth="1"/>
    <col min="17" max="17" width="12.5703125" style="7" customWidth="1"/>
    <col min="18" max="18" width="11.28515625" style="7" customWidth="1"/>
    <col min="19" max="20" width="12.5703125" style="7" customWidth="1"/>
    <col min="21" max="27" width="11.7109375" style="7" customWidth="1"/>
    <col min="28" max="16384" width="9.140625" style="7"/>
  </cols>
  <sheetData>
    <row r="1" spans="1:27" s="25" customFormat="1" ht="20.25">
      <c r="A1" s="212" t="s">
        <v>208</v>
      </c>
    </row>
    <row r="2" spans="1:27" s="25" customFormat="1" ht="11.25"/>
    <row r="3" spans="1:27" s="25" customFormat="1" ht="12" thickBot="1">
      <c r="B3" s="359">
        <f>BS!B3</f>
        <v>36891</v>
      </c>
      <c r="C3" s="360">
        <f>BS!C3</f>
        <v>37256</v>
      </c>
      <c r="D3" s="360">
        <f>BS!D3</f>
        <v>37621</v>
      </c>
      <c r="E3" s="360">
        <f>BS!E3</f>
        <v>37986</v>
      </c>
      <c r="F3" s="360">
        <f>BS!F3</f>
        <v>38352</v>
      </c>
      <c r="G3" s="360">
        <f>BS!G3</f>
        <v>38717</v>
      </c>
      <c r="H3" s="360">
        <f>BS!H3</f>
        <v>39082</v>
      </c>
      <c r="I3" s="360">
        <f>BS!I3</f>
        <v>39447</v>
      </c>
      <c r="J3" s="360">
        <f>BS!J3</f>
        <v>39813</v>
      </c>
      <c r="K3" s="360">
        <f>BS!K3</f>
        <v>40178</v>
      </c>
      <c r="L3" s="360">
        <f>BS!L3</f>
        <v>40543</v>
      </c>
      <c r="M3" s="360">
        <f>BS!M3</f>
        <v>40908</v>
      </c>
      <c r="N3" s="360">
        <f>BS!N3</f>
        <v>41274</v>
      </c>
      <c r="O3" s="360">
        <f>BS!O3</f>
        <v>41639</v>
      </c>
      <c r="P3" s="360">
        <f>BS!P3</f>
        <v>42004</v>
      </c>
      <c r="Q3" s="360">
        <f>BS!Q3</f>
        <v>42369</v>
      </c>
      <c r="R3" s="360">
        <f>BS!R3</f>
        <v>42735</v>
      </c>
      <c r="S3" s="360">
        <f>BS!S3</f>
        <v>43100</v>
      </c>
      <c r="T3" s="360">
        <f>BS!T3</f>
        <v>43465</v>
      </c>
      <c r="U3" s="360">
        <f>BS!U3</f>
        <v>43830</v>
      </c>
      <c r="V3" s="360" t="e">
        <f>BS!#REF!</f>
        <v>#REF!</v>
      </c>
      <c r="W3" s="360" t="e">
        <f>BS!#REF!</f>
        <v>#REF!</v>
      </c>
      <c r="X3" s="360" t="e">
        <f>BS!#REF!</f>
        <v>#REF!</v>
      </c>
      <c r="Y3" s="360" t="e">
        <f>BS!#REF!</f>
        <v>#REF!</v>
      </c>
      <c r="Z3" s="360" t="e">
        <f>BS!#REF!</f>
        <v>#REF!</v>
      </c>
      <c r="AA3" s="360" t="e">
        <f>BS!#REF!</f>
        <v>#REF!</v>
      </c>
    </row>
    <row r="4" spans="1:27" ht="13.5" thickTop="1">
      <c r="A4" s="114" t="s">
        <v>135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</row>
    <row r="5" spans="1:27" ht="11.25">
      <c r="A5" s="96" t="s">
        <v>136</v>
      </c>
      <c r="B5" s="97">
        <f>IS!C23</f>
        <v>-1996.0189862108236</v>
      </c>
      <c r="C5" s="97">
        <f>IS!D23</f>
        <v>13478.722368985687</v>
      </c>
      <c r="D5" s="97">
        <f>IS!E23</f>
        <v>8946.0236503207725</v>
      </c>
      <c r="E5" s="97">
        <f>IS!F23</f>
        <v>5705.5073035721152</v>
      </c>
      <c r="F5" s="97">
        <f>IS!G23</f>
        <v>2527.059988044698</v>
      </c>
      <c r="G5" s="97">
        <f>IS!H23</f>
        <v>1542.2276779459362</v>
      </c>
      <c r="H5" s="97">
        <f>IS!I23</f>
        <v>2181.7350283814931</v>
      </c>
      <c r="I5" s="97">
        <f>IS!J23</f>
        <v>2808.8523839937629</v>
      </c>
      <c r="J5" s="97">
        <f>IS!K23</f>
        <v>2504.71320202486</v>
      </c>
      <c r="K5" s="97">
        <f>IS!L23</f>
        <v>3023.0395940678145</v>
      </c>
      <c r="L5" s="97">
        <f>IS!M23</f>
        <v>3039.856635244756</v>
      </c>
      <c r="M5" s="97">
        <f>IS!N23</f>
        <v>3313.9106177789508</v>
      </c>
      <c r="N5" s="97">
        <f>IS!O23</f>
        <v>3591.05947403348</v>
      </c>
      <c r="O5" s="97">
        <f>IS!P23</f>
        <v>4297.9458144485861</v>
      </c>
      <c r="P5" s="97">
        <f>IS!Q23</f>
        <v>4439.908463306775</v>
      </c>
      <c r="Q5" s="97">
        <f>IS!R23</f>
        <v>-1896.4102334103791</v>
      </c>
      <c r="R5" s="97">
        <f>IS!S23</f>
        <v>0</v>
      </c>
      <c r="S5" s="97">
        <f>IS!T23</f>
        <v>0</v>
      </c>
      <c r="T5" s="97">
        <f>IS!U23</f>
        <v>0</v>
      </c>
      <c r="U5" s="97">
        <f>IS!V23</f>
        <v>0</v>
      </c>
      <c r="V5" s="97">
        <f>IS!W23</f>
        <v>0</v>
      </c>
      <c r="W5" s="97">
        <f>IS!X23</f>
        <v>0</v>
      </c>
      <c r="X5" s="97">
        <f>IS!Y23</f>
        <v>0</v>
      </c>
      <c r="Y5" s="97">
        <f>IS!Z23</f>
        <v>0</v>
      </c>
      <c r="Z5" s="97">
        <f>IS!AA23</f>
        <v>0</v>
      </c>
      <c r="AA5" s="97">
        <f>IS!AB23</f>
        <v>0</v>
      </c>
    </row>
    <row r="6" spans="1:27" ht="11.25">
      <c r="A6" s="96" t="s">
        <v>205</v>
      </c>
      <c r="B6" s="97">
        <f>B40</f>
        <v>1200.4270044190012</v>
      </c>
      <c r="C6" s="97">
        <f>C40+BS!C29-BS!B29</f>
        <v>16693.122271550317</v>
      </c>
      <c r="D6" s="97">
        <f>D40+BS!D29-BS!C29</f>
        <v>9096.2229950123401</v>
      </c>
      <c r="E6" s="97">
        <f>E40+BS!E29-BS!D29</f>
        <v>8262.9082431550778</v>
      </c>
      <c r="F6" s="97">
        <f>F40+BS!F29-BS!E29</f>
        <v>7541.6889691583656</v>
      </c>
      <c r="G6" s="97">
        <f>G40+BS!G29-BS!F29</f>
        <v>7601.6056723705333</v>
      </c>
      <c r="H6" s="97">
        <f>H40+BS!H29-BS!G29</f>
        <v>8746.3787617797207</v>
      </c>
      <c r="I6" s="97">
        <f>I40+BS!I29-BS!H29</f>
        <v>8160.4363914229962</v>
      </c>
      <c r="J6" s="97">
        <f>J40+BS!J29-BS!I29</f>
        <v>7463.6192992738352</v>
      </c>
      <c r="K6" s="97">
        <f>K40+BS!K29-BS!J29</f>
        <v>7792.1871459997164</v>
      </c>
      <c r="L6" s="97">
        <f>L40+BS!L29-BS!K29</f>
        <v>7557.7138349687821</v>
      </c>
      <c r="M6" s="97">
        <f>M40+BS!M29-BS!L29</f>
        <v>7668.286872319597</v>
      </c>
      <c r="N6" s="97">
        <f>N40+BS!N29-BS!M29</f>
        <v>7642.5678577770668</v>
      </c>
      <c r="O6" s="97">
        <f>O40+BS!O29-BS!N29</f>
        <v>7857.9499838094998</v>
      </c>
      <c r="P6" s="97">
        <f>P40+BS!P29-BS!O29</f>
        <v>7523.7252537788745</v>
      </c>
      <c r="Q6" s="97">
        <f>Q40+BS!Q29-BS!P29</f>
        <v>14487.811722302675</v>
      </c>
      <c r="R6" s="97">
        <f>R40+BS!R29-BS!Q29</f>
        <v>-12518.27600150871</v>
      </c>
      <c r="S6" s="97">
        <f>S40+BS!S29-BS!R29</f>
        <v>0</v>
      </c>
      <c r="T6" s="97">
        <f>T40+BS!T29-BS!S29</f>
        <v>0</v>
      </c>
      <c r="U6" s="97">
        <f>U40+BS!U29-BS!T29</f>
        <v>0</v>
      </c>
      <c r="V6" s="97">
        <f>V40+BS!V29-BS!U29</f>
        <v>0</v>
      </c>
      <c r="W6" s="97">
        <f>W40+BS!W29-BS!V29</f>
        <v>0</v>
      </c>
      <c r="X6" s="97">
        <f>X40+BS!X29-BS!W29</f>
        <v>0</v>
      </c>
      <c r="Y6" s="97">
        <f>Y40+BS!Y29-BS!X29</f>
        <v>0</v>
      </c>
      <c r="Z6" s="97">
        <f>Z40+BS!Z29-BS!Y29</f>
        <v>0</v>
      </c>
      <c r="AA6" s="97">
        <f>AA40+BS!AA29-BS!Z29</f>
        <v>0</v>
      </c>
    </row>
    <row r="7" spans="1:27" ht="11.25">
      <c r="A7" s="96" t="s">
        <v>209</v>
      </c>
      <c r="B7" s="97">
        <f>B51</f>
        <v>5194.1479730765996</v>
      </c>
      <c r="C7" s="97">
        <f>C51</f>
        <v>944.7222876859837</v>
      </c>
      <c r="D7" s="97">
        <f t="shared" ref="D7:AA7" si="0">D51</f>
        <v>395.55413989136184</v>
      </c>
      <c r="E7" s="97">
        <f t="shared" si="0"/>
        <v>111.12529019592353</v>
      </c>
      <c r="F7" s="97">
        <f t="shared" si="0"/>
        <v>-240.46375773670616</v>
      </c>
      <c r="G7" s="97">
        <f t="shared" si="0"/>
        <v>51.911869280949418</v>
      </c>
      <c r="H7" s="97">
        <f t="shared" si="0"/>
        <v>13.000588961250969</v>
      </c>
      <c r="I7" s="97">
        <f t="shared" si="0"/>
        <v>0.91654299994286248</v>
      </c>
      <c r="J7" s="97">
        <f t="shared" si="0"/>
        <v>34.898435167441733</v>
      </c>
      <c r="K7" s="97">
        <f t="shared" si="0"/>
        <v>41.816155295327235</v>
      </c>
      <c r="L7" s="97">
        <f t="shared" si="0"/>
        <v>49.656812438548172</v>
      </c>
      <c r="M7" s="97">
        <f t="shared" si="0"/>
        <v>26.669022931192615</v>
      </c>
      <c r="N7" s="97">
        <f t="shared" si="0"/>
        <v>-185.01928097566071</v>
      </c>
      <c r="O7" s="97">
        <f t="shared" si="0"/>
        <v>-4482.6747332471323</v>
      </c>
      <c r="P7" s="97">
        <f t="shared" si="0"/>
        <v>30.565924752636761</v>
      </c>
      <c r="Q7" s="97">
        <f t="shared" si="0"/>
        <v>1698.4358971696229</v>
      </c>
      <c r="R7" s="97">
        <f t="shared" si="0"/>
        <v>-3336.1254160906901</v>
      </c>
      <c r="S7" s="97">
        <f t="shared" si="0"/>
        <v>0</v>
      </c>
      <c r="T7" s="97">
        <f t="shared" si="0"/>
        <v>0</v>
      </c>
      <c r="U7" s="97">
        <f t="shared" si="0"/>
        <v>0</v>
      </c>
      <c r="V7" s="97" t="e">
        <f t="shared" si="0"/>
        <v>#REF!</v>
      </c>
      <c r="W7" s="97" t="e">
        <f t="shared" si="0"/>
        <v>#REF!</v>
      </c>
      <c r="X7" s="97" t="e">
        <f t="shared" si="0"/>
        <v>#REF!</v>
      </c>
      <c r="Y7" s="97" t="e">
        <f t="shared" si="0"/>
        <v>#REF!</v>
      </c>
      <c r="Z7" s="97" t="e">
        <f t="shared" si="0"/>
        <v>#REF!</v>
      </c>
      <c r="AA7" s="97" t="e">
        <f t="shared" si="0"/>
        <v>#REF!</v>
      </c>
    </row>
    <row r="9" spans="1:27" s="170" customFormat="1" ht="11.25">
      <c r="A9" s="286" t="s">
        <v>143</v>
      </c>
      <c r="B9" s="274">
        <f>SUM(B5:B8)</f>
        <v>4398.5559912847766</v>
      </c>
      <c r="C9" s="274">
        <f>SUM(C5:C8)</f>
        <v>31116.56692822199</v>
      </c>
      <c r="D9" s="274">
        <f t="shared" ref="D9:AA9" si="1">SUM(D5:D8)</f>
        <v>18437.800785224477</v>
      </c>
      <c r="E9" s="274">
        <f t="shared" si="1"/>
        <v>14079.540836923115</v>
      </c>
      <c r="F9" s="274">
        <f t="shared" si="1"/>
        <v>9828.2851994663579</v>
      </c>
      <c r="G9" s="274">
        <f t="shared" si="1"/>
        <v>9195.7452195974183</v>
      </c>
      <c r="H9" s="274">
        <f t="shared" si="1"/>
        <v>10941.114379122464</v>
      </c>
      <c r="I9" s="274">
        <f t="shared" si="1"/>
        <v>10970.205318416702</v>
      </c>
      <c r="J9" s="274">
        <f t="shared" si="1"/>
        <v>10003.230936466138</v>
      </c>
      <c r="K9" s="274">
        <f t="shared" si="1"/>
        <v>10857.042895362858</v>
      </c>
      <c r="L9" s="274">
        <f t="shared" si="1"/>
        <v>10647.227282652086</v>
      </c>
      <c r="M9" s="274">
        <f t="shared" si="1"/>
        <v>11008.866513029741</v>
      </c>
      <c r="N9" s="274">
        <f t="shared" si="1"/>
        <v>11048.608050834886</v>
      </c>
      <c r="O9" s="274">
        <f t="shared" si="1"/>
        <v>7673.2210650109546</v>
      </c>
      <c r="P9" s="274">
        <f t="shared" si="1"/>
        <v>11994.199641838286</v>
      </c>
      <c r="Q9" s="274">
        <f t="shared" si="1"/>
        <v>14289.837386061918</v>
      </c>
      <c r="R9" s="274">
        <f t="shared" si="1"/>
        <v>-15854.4014175994</v>
      </c>
      <c r="S9" s="274">
        <f t="shared" si="1"/>
        <v>0</v>
      </c>
      <c r="T9" s="274">
        <f t="shared" si="1"/>
        <v>0</v>
      </c>
      <c r="U9" s="274">
        <f t="shared" si="1"/>
        <v>0</v>
      </c>
      <c r="V9" s="274" t="e">
        <f t="shared" si="1"/>
        <v>#REF!</v>
      </c>
      <c r="W9" s="274" t="e">
        <f t="shared" si="1"/>
        <v>#REF!</v>
      </c>
      <c r="X9" s="274" t="e">
        <f t="shared" si="1"/>
        <v>#REF!</v>
      </c>
      <c r="Y9" s="274" t="e">
        <f t="shared" si="1"/>
        <v>#REF!</v>
      </c>
      <c r="Z9" s="274" t="e">
        <f t="shared" si="1"/>
        <v>#REF!</v>
      </c>
      <c r="AA9" s="274" t="e">
        <f t="shared" si="1"/>
        <v>#REF!</v>
      </c>
    </row>
    <row r="10" spans="1:27" ht="11.25" customHeight="1">
      <c r="A10" s="114" t="s">
        <v>144</v>
      </c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</row>
    <row r="11" spans="1:27" ht="11.25" customHeight="1">
      <c r="A11" s="96" t="s">
        <v>145</v>
      </c>
      <c r="B11" s="99">
        <f>-BS!B18-BS!B17</f>
        <v>-180530.05066285018</v>
      </c>
      <c r="C11" s="682">
        <f>SUM(BS!B17:B18)-SUM(BS!C17:C18)</f>
        <v>0</v>
      </c>
      <c r="D11" s="682">
        <f>SUM(BS!C17:C18)-SUM(BS!D17:D18)</f>
        <v>0</v>
      </c>
      <c r="E11" s="682">
        <f>SUM(BS!D17:D18)-SUM(BS!E17:E18)</f>
        <v>0</v>
      </c>
      <c r="F11" s="682">
        <f>SUM(BS!E17:E18)-SUM(BS!F17:F18)</f>
        <v>0</v>
      </c>
      <c r="G11" s="682">
        <f>SUM(BS!F17:F18)-SUM(BS!G17:G18)</f>
        <v>0</v>
      </c>
      <c r="H11" s="682">
        <f>SUM(BS!G17:G18)-SUM(BS!H17:H18)</f>
        <v>0</v>
      </c>
      <c r="I11" s="682">
        <f>SUM(BS!H17:H18)-SUM(BS!I17:I18)</f>
        <v>0</v>
      </c>
      <c r="J11" s="682">
        <f>SUM(BS!I17:I18)-SUM(BS!J17:J18)</f>
        <v>0</v>
      </c>
      <c r="K11" s="682">
        <f>SUM(BS!J17:J18)-SUM(BS!K17:K18)</f>
        <v>0</v>
      </c>
      <c r="L11" s="682">
        <f>SUM(BS!K17:K18)-SUM(BS!L17:L18)</f>
        <v>0</v>
      </c>
      <c r="M11" s="682">
        <f>SUM(BS!L17:L18)-SUM(BS!M17:M18)</f>
        <v>0</v>
      </c>
      <c r="N11" s="682">
        <f>SUM(BS!M17:M18)-SUM(BS!N17:N18)</f>
        <v>0</v>
      </c>
      <c r="O11" s="682">
        <f>SUM(BS!N17:N18)-SUM(BS!O17:O18)</f>
        <v>0</v>
      </c>
      <c r="P11" s="682">
        <f>SUM(BS!O17:O18)-SUM(BS!P17:P18)</f>
        <v>0</v>
      </c>
      <c r="Q11" s="682">
        <f>SUM(BS!P17:P18)-SUM(BS!Q17:Q18)</f>
        <v>0</v>
      </c>
      <c r="R11" s="682">
        <f>SUM(BS!Q17:Q18)-SUM(BS!R17:R18)</f>
        <v>180530.05066285018</v>
      </c>
      <c r="S11" s="682">
        <f>SUM(BS!R17:R18)-SUM(BS!S17:S18)</f>
        <v>0</v>
      </c>
      <c r="T11" s="682">
        <f>SUM(BS!S17:S18)-SUM(BS!T17:T18)</f>
        <v>0</v>
      </c>
      <c r="U11" s="682">
        <f>SUM(BS!T17:T18)-SUM(BS!U17:U18)</f>
        <v>0</v>
      </c>
      <c r="V11" s="682">
        <f>SUM(BS!U17:U18)-SUM(BS!V17:V18)</f>
        <v>0</v>
      </c>
      <c r="W11" s="682">
        <f>SUM(BS!V17:V18)-SUM(BS!W17:W18)</f>
        <v>0</v>
      </c>
      <c r="X11" s="682">
        <f>SUM(BS!W17:W18)-SUM(BS!X17:X18)</f>
        <v>0</v>
      </c>
      <c r="Y11" s="682">
        <f>SUM(BS!X17:X18)-SUM(BS!Y17:Y18)</f>
        <v>0</v>
      </c>
      <c r="Z11" s="682">
        <f>SUM(BS!Y17:Y18)-SUM(BS!Z17:Z18)</f>
        <v>0</v>
      </c>
      <c r="AA11" s="682">
        <f>SUM(BS!Z17:Z18)-SUM(BS!AA17:AA18)</f>
        <v>0</v>
      </c>
    </row>
    <row r="12" spans="1:27" ht="11.25" customHeight="1">
      <c r="A12" s="96"/>
      <c r="B12" s="99"/>
      <c r="C12" s="97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 spans="1:27" s="269" customFormat="1" ht="11.25">
      <c r="A13" s="286" t="s">
        <v>146</v>
      </c>
      <c r="B13" s="271">
        <f t="shared" ref="B13:AA13" si="2">SUM(B11:B12)</f>
        <v>-180530.05066285018</v>
      </c>
      <c r="C13" s="271">
        <f t="shared" si="2"/>
        <v>0</v>
      </c>
      <c r="D13" s="271">
        <f t="shared" si="2"/>
        <v>0</v>
      </c>
      <c r="E13" s="271">
        <f t="shared" si="2"/>
        <v>0</v>
      </c>
      <c r="F13" s="271">
        <f t="shared" si="2"/>
        <v>0</v>
      </c>
      <c r="G13" s="271">
        <f t="shared" si="2"/>
        <v>0</v>
      </c>
      <c r="H13" s="271">
        <f t="shared" si="2"/>
        <v>0</v>
      </c>
      <c r="I13" s="271">
        <f t="shared" si="2"/>
        <v>0</v>
      </c>
      <c r="J13" s="271">
        <f t="shared" si="2"/>
        <v>0</v>
      </c>
      <c r="K13" s="271">
        <f t="shared" si="2"/>
        <v>0</v>
      </c>
      <c r="L13" s="271">
        <f t="shared" si="2"/>
        <v>0</v>
      </c>
      <c r="M13" s="271">
        <f t="shared" si="2"/>
        <v>0</v>
      </c>
      <c r="N13" s="271">
        <f t="shared" si="2"/>
        <v>0</v>
      </c>
      <c r="O13" s="271">
        <f t="shared" si="2"/>
        <v>0</v>
      </c>
      <c r="P13" s="271">
        <f t="shared" si="2"/>
        <v>0</v>
      </c>
      <c r="Q13" s="271">
        <f t="shared" si="2"/>
        <v>0</v>
      </c>
      <c r="R13" s="271">
        <f t="shared" si="2"/>
        <v>180530.05066285018</v>
      </c>
      <c r="S13" s="271">
        <f t="shared" si="2"/>
        <v>0</v>
      </c>
      <c r="T13" s="271">
        <f t="shared" si="2"/>
        <v>0</v>
      </c>
      <c r="U13" s="271">
        <f t="shared" si="2"/>
        <v>0</v>
      </c>
      <c r="V13" s="271">
        <f t="shared" si="2"/>
        <v>0</v>
      </c>
      <c r="W13" s="271">
        <f t="shared" si="2"/>
        <v>0</v>
      </c>
      <c r="X13" s="271">
        <f t="shared" si="2"/>
        <v>0</v>
      </c>
      <c r="Y13" s="271">
        <f t="shared" si="2"/>
        <v>0</v>
      </c>
      <c r="Z13" s="271">
        <f t="shared" si="2"/>
        <v>0</v>
      </c>
      <c r="AA13" s="271">
        <f t="shared" si="2"/>
        <v>0</v>
      </c>
    </row>
    <row r="14" spans="1:27" ht="12" customHeight="1">
      <c r="A14" s="114" t="s">
        <v>147</v>
      </c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 spans="1:27" ht="12" customHeight="1">
      <c r="A15" s="114"/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 spans="1:27" ht="11.25">
      <c r="A16" s="96" t="s">
        <v>148</v>
      </c>
      <c r="B16" s="97">
        <f>BS!B32</f>
        <v>54122.034585403009</v>
      </c>
      <c r="C16" s="97">
        <f>BS!C32-BS!B32</f>
        <v>-4510.1695487835823</v>
      </c>
      <c r="D16" s="99">
        <f>-BS!C32+BS!D32</f>
        <v>-4510.1695487835823</v>
      </c>
      <c r="E16" s="97">
        <f>-BS!D32+BS!E32</f>
        <v>-4510.1695487835823</v>
      </c>
      <c r="F16" s="97">
        <f>-BS!E32+BS!F32</f>
        <v>-4510.1695487835823</v>
      </c>
      <c r="G16" s="97">
        <f>-BS!F32+BS!G32</f>
        <v>-4510.1695487835823</v>
      </c>
      <c r="H16" s="97">
        <f>-BS!G32+BS!H32</f>
        <v>-4510.1695487835823</v>
      </c>
      <c r="I16" s="97">
        <f>-BS!H32+BS!I32</f>
        <v>-4510.1695487835823</v>
      </c>
      <c r="J16" s="97">
        <f>-BS!I32+BS!J32</f>
        <v>-4510.1695487835823</v>
      </c>
      <c r="K16" s="97">
        <f>-BS!J32+BS!K32</f>
        <v>-4510.1695487835841</v>
      </c>
      <c r="L16" s="97">
        <f>-BS!K32+BS!L32</f>
        <v>-4510.1695487835823</v>
      </c>
      <c r="M16" s="97">
        <f>-BS!L32+BS!M32</f>
        <v>-4510.1695487835823</v>
      </c>
      <c r="N16" s="97">
        <f>-BS!M32+BS!N32</f>
        <v>-4510.1695487835841</v>
      </c>
      <c r="O16" s="97">
        <f>-BS!N32+BS!O32</f>
        <v>-1.8189894035458565E-11</v>
      </c>
      <c r="P16" s="97">
        <f>-BS!O32+BS!P32</f>
        <v>0</v>
      </c>
      <c r="Q16" s="97">
        <f>-BS!P32+BS!Q32</f>
        <v>0</v>
      </c>
      <c r="R16" s="97">
        <f>-BS!Q32+BS!R32</f>
        <v>0</v>
      </c>
      <c r="S16" s="97">
        <f>-BS!R32+BS!S32</f>
        <v>0</v>
      </c>
      <c r="T16" s="97">
        <f>-BS!S32+BS!T32</f>
        <v>0</v>
      </c>
      <c r="U16" s="97">
        <f>-BS!T32+BS!U32</f>
        <v>0</v>
      </c>
      <c r="V16" s="97" t="e">
        <f>-BS!U32+BS!#REF!</f>
        <v>#REF!</v>
      </c>
      <c r="W16" s="97" t="e">
        <f>-BS!#REF!+BS!#REF!</f>
        <v>#REF!</v>
      </c>
      <c r="X16" s="97" t="e">
        <f>-BS!#REF!+BS!#REF!</f>
        <v>#REF!</v>
      </c>
      <c r="Y16" s="97" t="e">
        <f>-BS!#REF!+BS!#REF!</f>
        <v>#REF!</v>
      </c>
      <c r="Z16" s="97" t="e">
        <f>-BS!#REF!+BS!#REF!</f>
        <v>#REF!</v>
      </c>
      <c r="AA16" s="97" t="e">
        <f>-BS!#REF!+BS!#REF!</f>
        <v>#REF!</v>
      </c>
    </row>
    <row r="17" spans="1:27" ht="11.25" hidden="1">
      <c r="A17" s="96" t="s">
        <v>149</v>
      </c>
      <c r="B17" s="97"/>
      <c r="C17" s="97">
        <f>+BS!C34</f>
        <v>0</v>
      </c>
      <c r="D17" s="97">
        <f>-BS!C34+BS!D34</f>
        <v>0</v>
      </c>
      <c r="E17" s="97">
        <f>-BS!D34+BS!E34</f>
        <v>0</v>
      </c>
      <c r="F17" s="97">
        <f>-BS!E34+BS!F34</f>
        <v>0</v>
      </c>
      <c r="G17" s="97">
        <f>-BS!F34+BS!G34</f>
        <v>0</v>
      </c>
      <c r="H17" s="97">
        <f>-BS!G34+BS!H34</f>
        <v>0</v>
      </c>
      <c r="I17" s="97">
        <f>-BS!H34+BS!I34</f>
        <v>0</v>
      </c>
      <c r="J17" s="97">
        <f>-BS!I34+BS!J34</f>
        <v>0</v>
      </c>
      <c r="K17" s="97">
        <f>-BS!J34+BS!K34</f>
        <v>0</v>
      </c>
      <c r="L17" s="97">
        <f>-BS!K34+BS!L34</f>
        <v>0</v>
      </c>
      <c r="M17" s="97">
        <f>-BS!L34+BS!M34</f>
        <v>0</v>
      </c>
      <c r="N17" s="97">
        <f>-BS!M34+BS!N34</f>
        <v>0</v>
      </c>
      <c r="O17" s="97">
        <f>-BS!N34+BS!O34</f>
        <v>0</v>
      </c>
      <c r="P17" s="97">
        <f>-BS!O34+BS!P34</f>
        <v>0</v>
      </c>
      <c r="Q17" s="97">
        <f>-BS!P34+BS!Q34</f>
        <v>0</v>
      </c>
      <c r="R17" s="97">
        <f>-BS!Q34+BS!R34</f>
        <v>0</v>
      </c>
      <c r="S17" s="97">
        <f>-BS!R34+BS!S34</f>
        <v>0</v>
      </c>
      <c r="T17" s="97">
        <f>-BS!S34+BS!T34</f>
        <v>0</v>
      </c>
      <c r="U17" s="97">
        <f>-BS!T34+BS!U34</f>
        <v>0</v>
      </c>
      <c r="V17" s="97" t="e">
        <f>-BS!U34+BS!#REF!</f>
        <v>#REF!</v>
      </c>
      <c r="W17" s="97" t="e">
        <f>-BS!#REF!+BS!#REF!</f>
        <v>#REF!</v>
      </c>
      <c r="X17" s="97" t="e">
        <f>-BS!#REF!+BS!#REF!</f>
        <v>#REF!</v>
      </c>
      <c r="Y17" s="97" t="e">
        <f>-BS!#REF!+BS!#REF!</f>
        <v>#REF!</v>
      </c>
      <c r="Z17" s="97" t="e">
        <f>-BS!#REF!+BS!#REF!</f>
        <v>#REF!</v>
      </c>
      <c r="AA17" s="97" t="e">
        <f>-BS!#REF!+BS!#REF!</f>
        <v>#REF!</v>
      </c>
    </row>
    <row r="18" spans="1:27" ht="11.25" hidden="1">
      <c r="A18" s="96" t="s">
        <v>150</v>
      </c>
      <c r="B18" s="97"/>
      <c r="C18" s="97">
        <f>+BS!C38</f>
        <v>0</v>
      </c>
      <c r="D18" s="97">
        <f>-BS!C38+BS!D38</f>
        <v>0</v>
      </c>
      <c r="E18" s="97">
        <f>-BS!D38+BS!E38</f>
        <v>0</v>
      </c>
      <c r="F18" s="97">
        <f>-BS!E38+BS!F38</f>
        <v>0</v>
      </c>
      <c r="G18" s="97">
        <f>-BS!F38+BS!G38</f>
        <v>0</v>
      </c>
      <c r="H18" s="97">
        <f>-BS!G38+BS!H38</f>
        <v>0</v>
      </c>
      <c r="I18" s="97">
        <f>-BS!H38+BS!I38</f>
        <v>0</v>
      </c>
      <c r="J18" s="97">
        <f>-BS!I38+BS!J38</f>
        <v>0</v>
      </c>
      <c r="K18" s="97">
        <f>-BS!J38+BS!K38</f>
        <v>0</v>
      </c>
      <c r="L18" s="97">
        <f>-BS!K38+BS!L38</f>
        <v>0</v>
      </c>
      <c r="M18" s="97">
        <f>-BS!L38+BS!M38</f>
        <v>0</v>
      </c>
      <c r="N18" s="97">
        <f>-BS!M38+BS!N38</f>
        <v>0</v>
      </c>
      <c r="O18" s="97">
        <f>-BS!N38+BS!O38</f>
        <v>0</v>
      </c>
      <c r="P18" s="97">
        <f>-BS!O38+BS!P38</f>
        <v>0</v>
      </c>
      <c r="Q18" s="97">
        <f>-BS!P38+BS!Q38</f>
        <v>0</v>
      </c>
      <c r="R18" s="97">
        <f>-BS!Q38+BS!R38</f>
        <v>0</v>
      </c>
      <c r="S18" s="97">
        <f>-BS!R38+BS!S38</f>
        <v>0</v>
      </c>
      <c r="T18" s="97">
        <f>-BS!S38+BS!T38</f>
        <v>0</v>
      </c>
      <c r="U18" s="97">
        <f>-BS!T38+BS!U38</f>
        <v>0</v>
      </c>
      <c r="V18" s="97" t="e">
        <f>-BS!U38+BS!#REF!</f>
        <v>#REF!</v>
      </c>
      <c r="W18" s="97" t="e">
        <f>-BS!#REF!+BS!#REF!</f>
        <v>#REF!</v>
      </c>
      <c r="X18" s="97" t="e">
        <f>-BS!#REF!+BS!#REF!</f>
        <v>#REF!</v>
      </c>
      <c r="Y18" s="97" t="e">
        <f>-BS!#REF!+BS!#REF!</f>
        <v>#REF!</v>
      </c>
      <c r="Z18" s="97" t="e">
        <f>-BS!#REF!+BS!#REF!</f>
        <v>#REF!</v>
      </c>
      <c r="AA18" s="97" t="e">
        <f>-BS!#REF!+BS!#REF!</f>
        <v>#REF!</v>
      </c>
    </row>
    <row r="19" spans="1:27" ht="11.25">
      <c r="A19" s="96" t="s">
        <v>151</v>
      </c>
      <c r="B19" s="97">
        <f>BS!B39</f>
        <v>121897.84652866358</v>
      </c>
      <c r="C19" s="97">
        <f>BS!C39-BS!B39</f>
        <v>0</v>
      </c>
      <c r="D19" s="97">
        <f>-BS!C39+BS!D39</f>
        <v>0</v>
      </c>
      <c r="E19" s="682">
        <f>-BS!D39+BS!E39</f>
        <v>0</v>
      </c>
      <c r="F19" s="97">
        <f>-BS!E39+BS!F39</f>
        <v>0</v>
      </c>
      <c r="G19" s="97">
        <f>-BS!F39+BS!G39</f>
        <v>0</v>
      </c>
      <c r="H19" s="97">
        <f>-BS!G39+BS!H39</f>
        <v>0</v>
      </c>
      <c r="I19" s="97">
        <f>-BS!H39+BS!I39</f>
        <v>0</v>
      </c>
      <c r="J19" s="97">
        <f>-BS!I39+BS!J39</f>
        <v>0</v>
      </c>
      <c r="K19" s="97">
        <f>-BS!J39+BS!K39</f>
        <v>0</v>
      </c>
      <c r="L19" s="97">
        <f>-BS!K39+BS!L39</f>
        <v>0</v>
      </c>
      <c r="M19" s="97">
        <f>-BS!L39+BS!M39</f>
        <v>0</v>
      </c>
      <c r="N19" s="97">
        <f>-BS!M39+BS!N39</f>
        <v>0</v>
      </c>
      <c r="O19" s="97">
        <f>-BS!N39+BS!O39</f>
        <v>0</v>
      </c>
      <c r="P19" s="97">
        <f>-BS!O39+BS!P39</f>
        <v>0</v>
      </c>
      <c r="Q19" s="97">
        <f>-BS!P39+BS!Q39</f>
        <v>0</v>
      </c>
      <c r="R19" s="97">
        <f>-BS!Q39+BS!R39</f>
        <v>-121897.84652866358</v>
      </c>
      <c r="S19" s="97">
        <f>-BS!R39+BS!S39</f>
        <v>0</v>
      </c>
      <c r="T19" s="97">
        <f>-BS!S39+BS!T39</f>
        <v>0</v>
      </c>
      <c r="U19" s="97">
        <f>-BS!T39+BS!U39</f>
        <v>0</v>
      </c>
      <c r="V19" s="97" t="e">
        <f>-BS!U39+BS!#REF!</f>
        <v>#REF!</v>
      </c>
      <c r="W19" s="97" t="e">
        <f>-BS!#REF!+BS!#REF!</f>
        <v>#REF!</v>
      </c>
      <c r="X19" s="97" t="e">
        <f>-BS!#REF!+BS!#REF!</f>
        <v>#REF!</v>
      </c>
      <c r="Y19" s="97" t="e">
        <f>-BS!#REF!+BS!#REF!</f>
        <v>#REF!</v>
      </c>
      <c r="Z19" s="97" t="e">
        <f>-BS!#REF!+BS!#REF!</f>
        <v>#REF!</v>
      </c>
      <c r="AA19" s="97" t="e">
        <f>-BS!#REF!+BS!#REF!</f>
        <v>#REF!</v>
      </c>
    </row>
    <row r="20" spans="1:27" ht="11.25">
      <c r="A20" s="96"/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 spans="1:27" s="269" customFormat="1" ht="11.25">
      <c r="A21" s="286" t="s">
        <v>152</v>
      </c>
      <c r="B21" s="271">
        <f t="shared" ref="B21:AA21" si="3">SUM(B16:B19)</f>
        <v>176019.88111406658</v>
      </c>
      <c r="C21" s="271">
        <f t="shared" si="3"/>
        <v>-4510.1695487835823</v>
      </c>
      <c r="D21" s="271">
        <f t="shared" si="3"/>
        <v>-4510.1695487835823</v>
      </c>
      <c r="E21" s="271">
        <f t="shared" si="3"/>
        <v>-4510.1695487835823</v>
      </c>
      <c r="F21" s="271">
        <f t="shared" si="3"/>
        <v>-4510.1695487835823</v>
      </c>
      <c r="G21" s="271">
        <f t="shared" si="3"/>
        <v>-4510.1695487835823</v>
      </c>
      <c r="H21" s="271">
        <f t="shared" si="3"/>
        <v>-4510.1695487835823</v>
      </c>
      <c r="I21" s="271">
        <f t="shared" si="3"/>
        <v>-4510.1695487835823</v>
      </c>
      <c r="J21" s="271">
        <f t="shared" si="3"/>
        <v>-4510.1695487835823</v>
      </c>
      <c r="K21" s="271">
        <f t="shared" si="3"/>
        <v>-4510.1695487835841</v>
      </c>
      <c r="L21" s="271">
        <f t="shared" si="3"/>
        <v>-4510.1695487835823</v>
      </c>
      <c r="M21" s="271">
        <f t="shared" si="3"/>
        <v>-4510.1695487835823</v>
      </c>
      <c r="N21" s="271">
        <f t="shared" si="3"/>
        <v>-4510.1695487835841</v>
      </c>
      <c r="O21" s="271">
        <f t="shared" si="3"/>
        <v>-1.8189894035458565E-11</v>
      </c>
      <c r="P21" s="271">
        <f t="shared" si="3"/>
        <v>0</v>
      </c>
      <c r="Q21" s="271">
        <f t="shared" si="3"/>
        <v>0</v>
      </c>
      <c r="R21" s="271">
        <f t="shared" si="3"/>
        <v>-121897.84652866358</v>
      </c>
      <c r="S21" s="271">
        <f t="shared" si="3"/>
        <v>0</v>
      </c>
      <c r="T21" s="271">
        <f t="shared" si="3"/>
        <v>0</v>
      </c>
      <c r="U21" s="271">
        <f t="shared" si="3"/>
        <v>0</v>
      </c>
      <c r="V21" s="271" t="e">
        <f t="shared" si="3"/>
        <v>#REF!</v>
      </c>
      <c r="W21" s="271" t="e">
        <f t="shared" si="3"/>
        <v>#REF!</v>
      </c>
      <c r="X21" s="271" t="e">
        <f t="shared" si="3"/>
        <v>#REF!</v>
      </c>
      <c r="Y21" s="271" t="e">
        <f t="shared" si="3"/>
        <v>#REF!</v>
      </c>
      <c r="Z21" s="271" t="e">
        <f t="shared" si="3"/>
        <v>#REF!</v>
      </c>
      <c r="AA21" s="271" t="e">
        <f t="shared" si="3"/>
        <v>#REF!</v>
      </c>
    </row>
    <row r="23" spans="1:27" s="269" customFormat="1" ht="11.25">
      <c r="A23" s="286" t="s">
        <v>153</v>
      </c>
      <c r="B23" s="271">
        <f t="shared" ref="B23:AA23" si="4">B9+B13+B21</f>
        <v>-111.61355749881477</v>
      </c>
      <c r="C23" s="271">
        <f t="shared" si="4"/>
        <v>26606.397379438407</v>
      </c>
      <c r="D23" s="271">
        <f t="shared" si="4"/>
        <v>13927.631236440895</v>
      </c>
      <c r="E23" s="271">
        <f t="shared" si="4"/>
        <v>9569.3712881395331</v>
      </c>
      <c r="F23" s="271">
        <f t="shared" si="4"/>
        <v>5318.1156506827756</v>
      </c>
      <c r="G23" s="271">
        <f t="shared" si="4"/>
        <v>4685.575670813836</v>
      </c>
      <c r="H23" s="271">
        <f t="shared" si="4"/>
        <v>6430.9448303388817</v>
      </c>
      <c r="I23" s="271">
        <f t="shared" si="4"/>
        <v>6460.0357696331193</v>
      </c>
      <c r="J23" s="271">
        <f t="shared" si="4"/>
        <v>5493.0613876825555</v>
      </c>
      <c r="K23" s="271">
        <f t="shared" si="4"/>
        <v>6346.8733465792739</v>
      </c>
      <c r="L23" s="271">
        <f t="shared" si="4"/>
        <v>6137.0577338685034</v>
      </c>
      <c r="M23" s="271">
        <f t="shared" si="4"/>
        <v>6498.696964246159</v>
      </c>
      <c r="N23" s="271">
        <f t="shared" si="4"/>
        <v>6538.4385020513018</v>
      </c>
      <c r="O23" s="271">
        <f t="shared" si="4"/>
        <v>7673.2210650109364</v>
      </c>
      <c r="P23" s="271">
        <f t="shared" si="4"/>
        <v>11994.199641838286</v>
      </c>
      <c r="Q23" s="271">
        <f t="shared" si="4"/>
        <v>14289.837386061918</v>
      </c>
      <c r="R23" s="271">
        <f t="shared" si="4"/>
        <v>42777.80271658719</v>
      </c>
      <c r="S23" s="271">
        <f t="shared" si="4"/>
        <v>0</v>
      </c>
      <c r="T23" s="271">
        <f t="shared" si="4"/>
        <v>0</v>
      </c>
      <c r="U23" s="271">
        <f t="shared" si="4"/>
        <v>0</v>
      </c>
      <c r="V23" s="271" t="e">
        <f t="shared" si="4"/>
        <v>#REF!</v>
      </c>
      <c r="W23" s="271" t="e">
        <f t="shared" si="4"/>
        <v>#REF!</v>
      </c>
      <c r="X23" s="271" t="e">
        <f t="shared" si="4"/>
        <v>#REF!</v>
      </c>
      <c r="Y23" s="271" t="e">
        <f t="shared" si="4"/>
        <v>#REF!</v>
      </c>
      <c r="Z23" s="271" t="e">
        <f t="shared" si="4"/>
        <v>#REF!</v>
      </c>
      <c r="AA23" s="271" t="e">
        <f t="shared" si="4"/>
        <v>#REF!</v>
      </c>
    </row>
    <row r="25" spans="1:27" ht="11.25">
      <c r="A25" s="96" t="s">
        <v>154</v>
      </c>
      <c r="B25" s="97">
        <v>0</v>
      </c>
      <c r="C25" s="97">
        <f>B26</f>
        <v>-111.61355749881477</v>
      </c>
      <c r="D25" s="97">
        <f t="shared" ref="D25:AA25" si="5">C26</f>
        <v>26494.783821939593</v>
      </c>
      <c r="E25" s="97">
        <f t="shared" si="5"/>
        <v>40422.415058380488</v>
      </c>
      <c r="F25" s="97">
        <f t="shared" si="5"/>
        <v>49991.786346520021</v>
      </c>
      <c r="G25" s="97">
        <f t="shared" si="5"/>
        <v>55309.901997202796</v>
      </c>
      <c r="H25" s="97">
        <f t="shared" si="5"/>
        <v>59995.477668016632</v>
      </c>
      <c r="I25" s="97">
        <f t="shared" si="5"/>
        <v>66426.422498355518</v>
      </c>
      <c r="J25" s="97">
        <f t="shared" si="5"/>
        <v>72886.458267988637</v>
      </c>
      <c r="K25" s="97">
        <f t="shared" si="5"/>
        <v>78379.519655671189</v>
      </c>
      <c r="L25" s="97">
        <f t="shared" si="5"/>
        <v>84726.393002250465</v>
      </c>
      <c r="M25" s="97">
        <f t="shared" si="5"/>
        <v>90863.450736118975</v>
      </c>
      <c r="N25" s="97">
        <f t="shared" si="5"/>
        <v>97362.147700365138</v>
      </c>
      <c r="O25" s="97">
        <f t="shared" si="5"/>
        <v>103900.58620241644</v>
      </c>
      <c r="P25" s="97">
        <f t="shared" si="5"/>
        <v>111573.80726742737</v>
      </c>
      <c r="Q25" s="97">
        <f t="shared" si="5"/>
        <v>123568.00690926566</v>
      </c>
      <c r="R25" s="97">
        <f t="shared" si="5"/>
        <v>137857.84429532758</v>
      </c>
      <c r="S25" s="97">
        <f t="shared" si="5"/>
        <v>180635.64701191476</v>
      </c>
      <c r="T25" s="97">
        <f t="shared" si="5"/>
        <v>180635.64701191476</v>
      </c>
      <c r="U25" s="97">
        <f t="shared" si="5"/>
        <v>180635.64701191476</v>
      </c>
      <c r="V25" s="97">
        <f t="shared" si="5"/>
        <v>180635.64701191476</v>
      </c>
      <c r="W25" s="97" t="e">
        <f t="shared" si="5"/>
        <v>#REF!</v>
      </c>
      <c r="X25" s="97" t="e">
        <f t="shared" si="5"/>
        <v>#REF!</v>
      </c>
      <c r="Y25" s="97" t="e">
        <f t="shared" si="5"/>
        <v>#REF!</v>
      </c>
      <c r="Z25" s="97" t="e">
        <f t="shared" si="5"/>
        <v>#REF!</v>
      </c>
      <c r="AA25" s="97" t="e">
        <f t="shared" si="5"/>
        <v>#REF!</v>
      </c>
    </row>
    <row r="26" spans="1:27" ht="11.25" customHeight="1">
      <c r="A26" s="96" t="s">
        <v>155</v>
      </c>
      <c r="B26" s="97">
        <f>B23+B25</f>
        <v>-111.61355749881477</v>
      </c>
      <c r="C26" s="97">
        <f t="shared" ref="C26:AA26" si="6">C23+C25</f>
        <v>26494.783821939593</v>
      </c>
      <c r="D26" s="97">
        <f t="shared" si="6"/>
        <v>40422.415058380488</v>
      </c>
      <c r="E26" s="97">
        <f t="shared" si="6"/>
        <v>49991.786346520021</v>
      </c>
      <c r="F26" s="97">
        <f t="shared" si="6"/>
        <v>55309.901997202796</v>
      </c>
      <c r="G26" s="97">
        <f t="shared" si="6"/>
        <v>59995.477668016632</v>
      </c>
      <c r="H26" s="97">
        <f t="shared" si="6"/>
        <v>66426.422498355518</v>
      </c>
      <c r="I26" s="97">
        <f t="shared" si="6"/>
        <v>72886.458267988637</v>
      </c>
      <c r="J26" s="97">
        <f t="shared" si="6"/>
        <v>78379.519655671189</v>
      </c>
      <c r="K26" s="97">
        <f t="shared" si="6"/>
        <v>84726.393002250465</v>
      </c>
      <c r="L26" s="97">
        <f t="shared" si="6"/>
        <v>90863.450736118975</v>
      </c>
      <c r="M26" s="97">
        <f t="shared" si="6"/>
        <v>97362.147700365138</v>
      </c>
      <c r="N26" s="97">
        <f t="shared" si="6"/>
        <v>103900.58620241644</v>
      </c>
      <c r="O26" s="97">
        <f t="shared" si="6"/>
        <v>111573.80726742737</v>
      </c>
      <c r="P26" s="97">
        <f t="shared" si="6"/>
        <v>123568.00690926566</v>
      </c>
      <c r="Q26" s="97">
        <f t="shared" si="6"/>
        <v>137857.84429532758</v>
      </c>
      <c r="R26" s="97">
        <f t="shared" si="6"/>
        <v>180635.64701191476</v>
      </c>
      <c r="S26" s="97">
        <f t="shared" si="6"/>
        <v>180635.64701191476</v>
      </c>
      <c r="T26" s="97">
        <f t="shared" si="6"/>
        <v>180635.64701191476</v>
      </c>
      <c r="U26" s="97">
        <f t="shared" si="6"/>
        <v>180635.64701191476</v>
      </c>
      <c r="V26" s="97" t="e">
        <f t="shared" si="6"/>
        <v>#REF!</v>
      </c>
      <c r="W26" s="97" t="e">
        <f t="shared" si="6"/>
        <v>#REF!</v>
      </c>
      <c r="X26" s="97" t="e">
        <f t="shared" si="6"/>
        <v>#REF!</v>
      </c>
      <c r="Y26" s="97" t="e">
        <f t="shared" si="6"/>
        <v>#REF!</v>
      </c>
      <c r="Z26" s="97" t="e">
        <f t="shared" si="6"/>
        <v>#REF!</v>
      </c>
      <c r="AA26" s="97" t="e">
        <f t="shared" si="6"/>
        <v>#REF!</v>
      </c>
    </row>
    <row r="28" spans="1:27" s="170" customFormat="1">
      <c r="B28" s="222"/>
    </row>
    <row r="31" spans="1:27" ht="11.25" customHeight="1"/>
    <row r="32" spans="1:27" ht="11.25">
      <c r="A32" s="7" t="s">
        <v>119</v>
      </c>
      <c r="B32" s="115">
        <f>B26-BS!B5</f>
        <v>-1.5120349416974932E-11</v>
      </c>
      <c r="C32" s="115">
        <f>C26-BS!C5</f>
        <v>0</v>
      </c>
      <c r="D32" s="115">
        <f>D26-BS!D5</f>
        <v>0</v>
      </c>
      <c r="E32" s="115">
        <f>E26-BS!E5</f>
        <v>0</v>
      </c>
      <c r="F32" s="115">
        <f>F26-BS!F5</f>
        <v>0</v>
      </c>
      <c r="G32" s="115">
        <f>G26-BS!G5</f>
        <v>0</v>
      </c>
      <c r="H32" s="115">
        <f>H26-BS!H5</f>
        <v>0</v>
      </c>
      <c r="I32" s="115">
        <f>I26-BS!I5</f>
        <v>0</v>
      </c>
      <c r="J32" s="115">
        <f>J26-BS!J5</f>
        <v>0</v>
      </c>
      <c r="K32" s="115">
        <f>K26-BS!K5</f>
        <v>0</v>
      </c>
      <c r="L32" s="115">
        <f>L26-BS!L5</f>
        <v>0</v>
      </c>
      <c r="M32" s="115">
        <f>M26-BS!M5</f>
        <v>0</v>
      </c>
      <c r="N32" s="115">
        <f>N26-BS!N5</f>
        <v>0</v>
      </c>
      <c r="O32" s="115">
        <f>O26-BS!O5</f>
        <v>0</v>
      </c>
      <c r="P32" s="115">
        <f>P26-BS!P5</f>
        <v>0</v>
      </c>
      <c r="Q32" s="115">
        <f>Q26-BS!Q5</f>
        <v>0</v>
      </c>
      <c r="R32" s="115">
        <f>R26-BS!R5</f>
        <v>180635.64701191476</v>
      </c>
      <c r="S32" s="115">
        <f>S26-BS!S5</f>
        <v>180635.64701191476</v>
      </c>
      <c r="T32" s="115">
        <f>T26-BS!T5</f>
        <v>180635.64701191476</v>
      </c>
      <c r="U32" s="115">
        <f>U26-BS!U5</f>
        <v>180635.64701191476</v>
      </c>
      <c r="V32" s="115" t="e">
        <f>V26-BS!#REF!</f>
        <v>#REF!</v>
      </c>
      <c r="W32" s="115" t="e">
        <f>W26-BS!#REF!</f>
        <v>#REF!</v>
      </c>
      <c r="X32" s="115" t="e">
        <f>X26-BS!#REF!</f>
        <v>#REF!</v>
      </c>
      <c r="Y32" s="115" t="e">
        <f>Y26-BS!#REF!</f>
        <v>#REF!</v>
      </c>
      <c r="Z32" s="115" t="e">
        <f>Z26-BS!#REF!</f>
        <v>#REF!</v>
      </c>
      <c r="AA32" s="115" t="e">
        <f>AA26-BS!#REF!</f>
        <v>#REF!</v>
      </c>
    </row>
    <row r="33" spans="1:27" ht="11.25" customHeight="1">
      <c r="A33" s="96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 spans="1:27" ht="11.25" customHeight="1">
      <c r="A34" s="96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 spans="1:27" ht="11.25" customHeight="1">
      <c r="A35" s="96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 spans="1:27" ht="11.25" customHeight="1">
      <c r="A36" s="96"/>
      <c r="C36" s="97"/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 spans="1:27" ht="11.25" customHeight="1">
      <c r="A37" s="114" t="s">
        <v>206</v>
      </c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 spans="1:27" ht="11.25">
      <c r="A38" s="96" t="s">
        <v>166</v>
      </c>
      <c r="B38" s="682">
        <f>IS!C21</f>
        <v>0</v>
      </c>
      <c r="C38" s="682">
        <f>IS!D21</f>
        <v>5784.3173881121402</v>
      </c>
      <c r="D38" s="682">
        <f>IS!E21</f>
        <v>2450.8723928994505</v>
      </c>
      <c r="E38" s="682">
        <f>IS!F21</f>
        <v>1901.397731665443</v>
      </c>
      <c r="F38" s="682">
        <f>IS!G21</f>
        <v>1440.3292420185082</v>
      </c>
      <c r="G38" s="682">
        <f>IS!H21</f>
        <v>1047.2599706251767</v>
      </c>
      <c r="H38" s="682">
        <f>IS!I21</f>
        <v>707.4158583006033</v>
      </c>
      <c r="I38" s="682">
        <f>IS!J21</f>
        <v>410.00500711210077</v>
      </c>
      <c r="J38" s="682">
        <f>IS!K21</f>
        <v>147.05903652375196</v>
      </c>
      <c r="K38" s="682">
        <f>IS!L21</f>
        <v>0</v>
      </c>
      <c r="L38" s="682">
        <f>IS!M21</f>
        <v>0</v>
      </c>
      <c r="M38" s="682">
        <f>IS!N21</f>
        <v>0</v>
      </c>
      <c r="N38" s="682">
        <f>IS!O21</f>
        <v>0</v>
      </c>
      <c r="O38" s="682">
        <f>IS!P21</f>
        <v>0</v>
      </c>
      <c r="P38" s="682">
        <f>IS!Q21</f>
        <v>0</v>
      </c>
      <c r="Q38" s="682">
        <f>IS!R21</f>
        <v>0</v>
      </c>
      <c r="R38" s="682">
        <f>IS!S21</f>
        <v>0</v>
      </c>
      <c r="S38" s="682">
        <f>IS!T21</f>
        <v>0</v>
      </c>
      <c r="T38" s="682">
        <f>IS!U21</f>
        <v>0</v>
      </c>
      <c r="U38" s="682">
        <f>IS!V21</f>
        <v>0</v>
      </c>
      <c r="V38" s="682">
        <f>IS!W21</f>
        <v>0</v>
      </c>
      <c r="W38" s="682">
        <f>IS!X21</f>
        <v>0</v>
      </c>
      <c r="X38" s="682">
        <f>IS!Y21</f>
        <v>0</v>
      </c>
      <c r="Y38" s="682">
        <f>IS!Z21</f>
        <v>0</v>
      </c>
      <c r="Z38" s="682">
        <f>IS!AA21</f>
        <v>0</v>
      </c>
      <c r="AA38" s="682">
        <f>IS!AB21</f>
        <v>0</v>
      </c>
    </row>
    <row r="39" spans="1:27" ht="11.25">
      <c r="A39" s="96" t="s">
        <v>137</v>
      </c>
      <c r="B39" s="682">
        <f>IS!C13</f>
        <v>1200.4270044190012</v>
      </c>
      <c r="C39" s="682">
        <f>IS!D13</f>
        <v>7202.5620265140069</v>
      </c>
      <c r="D39" s="682">
        <f>IS!E13</f>
        <v>7202.5620265140069</v>
      </c>
      <c r="E39" s="682">
        <f>IS!F13</f>
        <v>7202.5620265140069</v>
      </c>
      <c r="F39" s="682">
        <f>IS!G13</f>
        <v>7202.5620265140069</v>
      </c>
      <c r="G39" s="682">
        <f>IS!H13</f>
        <v>7202.5620265140069</v>
      </c>
      <c r="H39" s="682">
        <f>IS!I13</f>
        <v>7202.5620265140069</v>
      </c>
      <c r="I39" s="682">
        <f>IS!J13</f>
        <v>7202.5620265140069</v>
      </c>
      <c r="J39" s="682">
        <f>IS!K13</f>
        <v>7202.5620265140069</v>
      </c>
      <c r="K39" s="682">
        <f>IS!L13</f>
        <v>7202.5620265140069</v>
      </c>
      <c r="L39" s="682">
        <f>IS!M13</f>
        <v>7202.5620265140069</v>
      </c>
      <c r="M39" s="682">
        <f>IS!N13</f>
        <v>7202.5620265140069</v>
      </c>
      <c r="N39" s="682">
        <f>IS!O13</f>
        <v>7202.5620265140069</v>
      </c>
      <c r="O39" s="682">
        <f>IS!P13</f>
        <v>7202.5620265140069</v>
      </c>
      <c r="P39" s="682">
        <f>IS!Q13</f>
        <v>7202.5620265140069</v>
      </c>
      <c r="Q39" s="682">
        <f>IS!R13</f>
        <v>7202.5620265140069</v>
      </c>
      <c r="R39" s="682">
        <f>IS!S13</f>
        <v>0</v>
      </c>
      <c r="S39" s="682">
        <f>IS!T13</f>
        <v>0</v>
      </c>
      <c r="T39" s="682">
        <f>IS!U13</f>
        <v>0</v>
      </c>
      <c r="U39" s="682">
        <f>IS!V13</f>
        <v>0</v>
      </c>
      <c r="V39" s="682">
        <f>IS!W13</f>
        <v>0</v>
      </c>
      <c r="W39" s="682">
        <f>IS!X13</f>
        <v>0</v>
      </c>
      <c r="X39" s="682">
        <f>IS!Y13</f>
        <v>0</v>
      </c>
      <c r="Y39" s="682">
        <f>IS!Z13</f>
        <v>0</v>
      </c>
      <c r="Z39" s="682">
        <f>IS!AA13</f>
        <v>0</v>
      </c>
      <c r="AA39" s="682">
        <f>IS!AB13</f>
        <v>0</v>
      </c>
    </row>
    <row r="40" spans="1:27" ht="11.25">
      <c r="A40" s="96"/>
      <c r="B40" s="211">
        <f>SUBTOTAL(9,B38:B39)</f>
        <v>1200.4270044190012</v>
      </c>
      <c r="C40" s="211">
        <f>SUBTOTAL(9,C38:C39)</f>
        <v>12986.879414626146</v>
      </c>
      <c r="D40" s="211">
        <f t="shared" ref="D40:AA40" si="7">SUBTOTAL(9,D38:D39)</f>
        <v>9653.4344194134574</v>
      </c>
      <c r="E40" s="211">
        <f t="shared" si="7"/>
        <v>9103.9597581794496</v>
      </c>
      <c r="F40" s="211">
        <f t="shared" si="7"/>
        <v>8642.8912685325158</v>
      </c>
      <c r="G40" s="211">
        <f t="shared" si="7"/>
        <v>8249.8219971391845</v>
      </c>
      <c r="H40" s="211">
        <f t="shared" si="7"/>
        <v>7909.9778848146107</v>
      </c>
      <c r="I40" s="211">
        <f t="shared" si="7"/>
        <v>7612.5670336261073</v>
      </c>
      <c r="J40" s="211">
        <f t="shared" si="7"/>
        <v>7349.6210630377591</v>
      </c>
      <c r="K40" s="211">
        <f t="shared" si="7"/>
        <v>7202.5620265140069</v>
      </c>
      <c r="L40" s="211">
        <f t="shared" si="7"/>
        <v>7202.5620265140069</v>
      </c>
      <c r="M40" s="211">
        <f t="shared" si="7"/>
        <v>7202.5620265140069</v>
      </c>
      <c r="N40" s="211">
        <f t="shared" si="7"/>
        <v>7202.5620265140069</v>
      </c>
      <c r="O40" s="211">
        <f t="shared" si="7"/>
        <v>7202.5620265140069</v>
      </c>
      <c r="P40" s="211">
        <f t="shared" si="7"/>
        <v>7202.5620265140069</v>
      </c>
      <c r="Q40" s="211">
        <f t="shared" si="7"/>
        <v>7202.5620265140069</v>
      </c>
      <c r="R40" s="211">
        <f t="shared" si="7"/>
        <v>0</v>
      </c>
      <c r="S40" s="211">
        <f t="shared" si="7"/>
        <v>0</v>
      </c>
      <c r="T40" s="211">
        <f t="shared" si="7"/>
        <v>0</v>
      </c>
      <c r="U40" s="211">
        <f t="shared" si="7"/>
        <v>0</v>
      </c>
      <c r="V40" s="211">
        <f t="shared" si="7"/>
        <v>0</v>
      </c>
      <c r="W40" s="211">
        <f t="shared" si="7"/>
        <v>0</v>
      </c>
      <c r="X40" s="211">
        <f t="shared" si="7"/>
        <v>0</v>
      </c>
      <c r="Y40" s="211">
        <f t="shared" si="7"/>
        <v>0</v>
      </c>
      <c r="Z40" s="211">
        <f t="shared" si="7"/>
        <v>0</v>
      </c>
      <c r="AA40" s="211">
        <f t="shared" si="7"/>
        <v>0</v>
      </c>
    </row>
    <row r="41" spans="1:27">
      <c r="A41" s="96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 spans="1:27" ht="12.75" customHeight="1">
      <c r="A42" s="114" t="s">
        <v>134</v>
      </c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 spans="1:27" ht="11.25">
      <c r="A43" s="96" t="s">
        <v>184</v>
      </c>
      <c r="B43" s="97">
        <f>-BS!B6</f>
        <v>0</v>
      </c>
      <c r="C43" s="97">
        <f>(BS!B6-BS!C6)</f>
        <v>0</v>
      </c>
      <c r="D43" s="97">
        <f>BS!C6-BS!D6</f>
        <v>0</v>
      </c>
      <c r="E43" s="97">
        <f>BS!D6-BS!E6</f>
        <v>0</v>
      </c>
      <c r="F43" s="97">
        <f>BS!E6-BS!F6</f>
        <v>0</v>
      </c>
      <c r="G43" s="97">
        <f>BS!F6-BS!G6</f>
        <v>0</v>
      </c>
      <c r="H43" s="97">
        <f>BS!G6-BS!H6</f>
        <v>0</v>
      </c>
      <c r="I43" s="97">
        <f>BS!H6-BS!I6</f>
        <v>0</v>
      </c>
      <c r="J43" s="97">
        <f>BS!I6-BS!J6</f>
        <v>0</v>
      </c>
      <c r="K43" s="97">
        <f>BS!J6-BS!K6</f>
        <v>0</v>
      </c>
      <c r="L43" s="97">
        <f>BS!K6-BS!L6</f>
        <v>0</v>
      </c>
      <c r="M43" s="97">
        <f>BS!L6-BS!M6</f>
        <v>0</v>
      </c>
      <c r="N43" s="97">
        <f>BS!M6-BS!N6</f>
        <v>0</v>
      </c>
      <c r="O43" s="97">
        <f>BS!N6-BS!O6</f>
        <v>0</v>
      </c>
      <c r="P43" s="97">
        <f>BS!O6-BS!P6</f>
        <v>0</v>
      </c>
      <c r="Q43" s="97">
        <f>BS!P6-BS!Q6</f>
        <v>0</v>
      </c>
      <c r="R43" s="97">
        <f>BS!Q6-BS!R6</f>
        <v>0</v>
      </c>
      <c r="S43" s="97">
        <f>BS!R6-BS!S6</f>
        <v>0</v>
      </c>
      <c r="T43" s="97">
        <f>BS!S6-BS!T6</f>
        <v>0</v>
      </c>
      <c r="U43" s="97">
        <f>BS!T6-BS!U6</f>
        <v>0</v>
      </c>
      <c r="V43" s="97" t="e">
        <f>BS!U6-BS!#REF!</f>
        <v>#REF!</v>
      </c>
      <c r="W43" s="97" t="e">
        <f>BS!#REF!-BS!#REF!</f>
        <v>#REF!</v>
      </c>
      <c r="X43" s="97" t="e">
        <f>BS!#REF!-BS!#REF!</f>
        <v>#REF!</v>
      </c>
      <c r="Y43" s="97" t="e">
        <f>BS!#REF!-BS!#REF!</f>
        <v>#REF!</v>
      </c>
      <c r="Z43" s="97" t="e">
        <f>BS!#REF!-BS!#REF!</f>
        <v>#REF!</v>
      </c>
      <c r="AA43" s="97" t="e">
        <f>BS!#REF!-BS!#REF!</f>
        <v>#REF!</v>
      </c>
    </row>
    <row r="44" spans="1:27" ht="11.25">
      <c r="A44" s="96" t="s">
        <v>138</v>
      </c>
      <c r="B44" s="97">
        <f>-BS!B7</f>
        <v>0</v>
      </c>
      <c r="C44" s="97">
        <f>BS!B7-BS!C7</f>
        <v>0</v>
      </c>
      <c r="D44" s="97">
        <f>BS!C7-BS!D7</f>
        <v>0</v>
      </c>
      <c r="E44" s="97">
        <f>BS!D7-BS!E7</f>
        <v>0</v>
      </c>
      <c r="F44" s="97">
        <f>BS!E7-BS!F7</f>
        <v>0</v>
      </c>
      <c r="G44" s="97">
        <f>BS!F7-BS!G7</f>
        <v>0</v>
      </c>
      <c r="H44" s="97">
        <f>BS!G7-BS!H7</f>
        <v>0</v>
      </c>
      <c r="I44" s="97">
        <f>BS!H7-BS!I7</f>
        <v>0</v>
      </c>
      <c r="J44" s="97">
        <f>BS!I7-BS!J7</f>
        <v>0</v>
      </c>
      <c r="K44" s="97">
        <f>BS!J7-BS!K7</f>
        <v>0</v>
      </c>
      <c r="L44" s="97">
        <f>BS!K7-BS!L7</f>
        <v>0</v>
      </c>
      <c r="M44" s="97">
        <f>BS!L7-BS!M7</f>
        <v>0</v>
      </c>
      <c r="N44" s="97">
        <f>BS!M7-BS!N7</f>
        <v>0</v>
      </c>
      <c r="O44" s="97">
        <f>BS!N7-BS!O7</f>
        <v>0</v>
      </c>
      <c r="P44" s="97">
        <f>BS!O7-BS!P7</f>
        <v>0</v>
      </c>
      <c r="Q44" s="97">
        <f>BS!P7-BS!Q7</f>
        <v>0</v>
      </c>
      <c r="R44" s="97">
        <f>BS!Q7-BS!R7</f>
        <v>0</v>
      </c>
      <c r="S44" s="97">
        <f>BS!R7-BS!S7</f>
        <v>0</v>
      </c>
      <c r="T44" s="97">
        <f>BS!S7-BS!T7</f>
        <v>0</v>
      </c>
      <c r="U44" s="97">
        <f>BS!T7-BS!U7</f>
        <v>0</v>
      </c>
      <c r="V44" s="97" t="e">
        <f>BS!U7-BS!#REF!</f>
        <v>#REF!</v>
      </c>
      <c r="W44" s="97" t="e">
        <f>BS!#REF!-BS!#REF!</f>
        <v>#REF!</v>
      </c>
      <c r="X44" s="97" t="e">
        <f>BS!#REF!-BS!#REF!</f>
        <v>#REF!</v>
      </c>
      <c r="Y44" s="97" t="e">
        <f>BS!#REF!-BS!#REF!</f>
        <v>#REF!</v>
      </c>
      <c r="Z44" s="97" t="e">
        <f>BS!#REF!-BS!#REF!</f>
        <v>#REF!</v>
      </c>
      <c r="AA44" s="97" t="e">
        <f>BS!#REF!-BS!#REF!</f>
        <v>#REF!</v>
      </c>
    </row>
    <row r="45" spans="1:27" ht="11.25">
      <c r="A45" s="98" t="s">
        <v>139</v>
      </c>
      <c r="B45" s="97">
        <f>-BS!B8</f>
        <v>0</v>
      </c>
      <c r="C45" s="97">
        <f>(BS!B8-BS!C8)</f>
        <v>-699.83504978593146</v>
      </c>
      <c r="D45" s="97">
        <f>BS!C8-BS!D8</f>
        <v>84.111804977609836</v>
      </c>
      <c r="E45" s="97">
        <f>BS!D8-BS!E8</f>
        <v>60.382317008834661</v>
      </c>
      <c r="F45" s="97">
        <f>BS!E8-BS!F8</f>
        <v>109.35624136653337</v>
      </c>
      <c r="G45" s="97">
        <f>BS!F8-BS!G8</f>
        <v>29.646696185749079</v>
      </c>
      <c r="H45" s="97">
        <f>BS!G8-BS!H8</f>
        <v>-14.761722473351028</v>
      </c>
      <c r="I45" s="97">
        <f>BS!H8-BS!I8</f>
        <v>-7.7317632672246646</v>
      </c>
      <c r="J45" s="97">
        <f>BS!I8-BS!J8</f>
        <v>9.1359362706653542</v>
      </c>
      <c r="K45" s="97">
        <f>BS!J8-BS!K8</f>
        <v>-15.539847200102088</v>
      </c>
      <c r="L45" s="97">
        <f>BS!K8-BS!L8</f>
        <v>-5.8230119308657891</v>
      </c>
      <c r="M45" s="97">
        <f>BS!L8-BS!M8</f>
        <v>-8.6171724957183642</v>
      </c>
      <c r="N45" s="97">
        <f>BS!M8-BS!N8</f>
        <v>18.584035449192186</v>
      </c>
      <c r="O45" s="97">
        <f>BS!N8-BS!O8</f>
        <v>-17.401187288283438</v>
      </c>
      <c r="P45" s="97">
        <f>BS!O8-BS!P8</f>
        <v>-6.2860542847536749</v>
      </c>
      <c r="Q45" s="97">
        <f>BS!P8-BS!Q8</f>
        <v>-506.17284619946042</v>
      </c>
      <c r="R45" s="97">
        <f>BS!Q8-BS!R8</f>
        <v>970.95162366710645</v>
      </c>
      <c r="S45" s="97">
        <f>BS!R8-BS!S8</f>
        <v>0</v>
      </c>
      <c r="T45" s="97">
        <f>BS!S8-BS!T8</f>
        <v>0</v>
      </c>
      <c r="U45" s="97">
        <f>BS!T8-BS!U8</f>
        <v>0</v>
      </c>
      <c r="V45" s="97" t="e">
        <f>BS!U8-BS!#REF!</f>
        <v>#REF!</v>
      </c>
      <c r="W45" s="97" t="e">
        <f>BS!#REF!-BS!#REF!</f>
        <v>#REF!</v>
      </c>
      <c r="X45" s="97" t="e">
        <f>BS!#REF!-BS!#REF!</f>
        <v>#REF!</v>
      </c>
      <c r="Y45" s="97" t="e">
        <f>BS!#REF!-BS!#REF!</f>
        <v>#REF!</v>
      </c>
      <c r="Z45" s="97" t="e">
        <f>BS!#REF!-BS!#REF!</f>
        <v>#REF!</v>
      </c>
      <c r="AA45" s="97" t="e">
        <f>BS!#REF!-BS!#REF!</f>
        <v>#REF!</v>
      </c>
    </row>
    <row r="46" spans="1:27" ht="11.25">
      <c r="A46" s="96" t="s">
        <v>140</v>
      </c>
      <c r="B46" s="97">
        <f>BS!B25</f>
        <v>223.22711499761471</v>
      </c>
      <c r="C46" s="97">
        <f>BS!C25-BS!B25</f>
        <v>1096.3715583146102</v>
      </c>
      <c r="D46" s="97">
        <f>BS!D25-BS!C25</f>
        <v>207.62822327583467</v>
      </c>
      <c r="E46" s="97">
        <f>BS!E25-BS!D25</f>
        <v>33.828648791392652</v>
      </c>
      <c r="F46" s="97">
        <f>BS!F25-BS!E25</f>
        <v>-233.21333273549317</v>
      </c>
      <c r="G46" s="97">
        <f>BS!G25-BS!F25</f>
        <v>14.843448730133559</v>
      </c>
      <c r="H46" s="97">
        <f>BS!H25-BS!G25</f>
        <v>18.508207623068074</v>
      </c>
      <c r="I46" s="97">
        <f>BS!I25-BS!H25</f>
        <v>5.765537511445018</v>
      </c>
      <c r="J46" s="97">
        <f>BS!J25-BS!I25</f>
        <v>17.17499926451751</v>
      </c>
      <c r="K46" s="97">
        <f>BS!K25-BS!J25</f>
        <v>38.237334996952995</v>
      </c>
      <c r="L46" s="97">
        <f>BS!L25-BS!K25</f>
        <v>36.986549579609346</v>
      </c>
      <c r="M46" s="97">
        <f>BS!M25-BS!L25</f>
        <v>23.524130284607281</v>
      </c>
      <c r="N46" s="97">
        <f>BS!N25-BS!M25</f>
        <v>-135.73554428323519</v>
      </c>
      <c r="O46" s="97">
        <f>BS!O25-BS!N25</f>
        <v>29.930668549811799</v>
      </c>
      <c r="P46" s="97">
        <f>BS!P25-BS!O25</f>
        <v>24.567986024939046</v>
      </c>
      <c r="Q46" s="97">
        <f>BS!Q25-BS!P25</f>
        <v>1469.7391622460555</v>
      </c>
      <c r="R46" s="97">
        <f>BS!R25-BS!Q25</f>
        <v>-2871.384693171864</v>
      </c>
      <c r="S46" s="97">
        <f>BS!S25-BS!R25</f>
        <v>0</v>
      </c>
      <c r="T46" s="97">
        <f>BS!T25-BS!S25</f>
        <v>0</v>
      </c>
      <c r="U46" s="97">
        <f>BS!U25-BS!T25</f>
        <v>0</v>
      </c>
      <c r="V46" s="97" t="e">
        <f>BS!#REF!-BS!U25</f>
        <v>#REF!</v>
      </c>
      <c r="W46" s="97" t="e">
        <f>BS!#REF!-BS!#REF!</f>
        <v>#REF!</v>
      </c>
      <c r="X46" s="97" t="e">
        <f>BS!#REF!-BS!#REF!</f>
        <v>#REF!</v>
      </c>
      <c r="Y46" s="97" t="e">
        <f>BS!#REF!-BS!#REF!</f>
        <v>#REF!</v>
      </c>
      <c r="Z46" s="97" t="e">
        <f>BS!#REF!-BS!#REF!</f>
        <v>#REF!</v>
      </c>
      <c r="AA46" s="97" t="e">
        <f>BS!#REF!-BS!#REF!</f>
        <v>#REF!</v>
      </c>
    </row>
    <row r="47" spans="1:27" ht="11.25">
      <c r="A47" s="96" t="s">
        <v>186</v>
      </c>
      <c r="B47" s="97">
        <f>BS!B27</f>
        <v>4510.1695487835841</v>
      </c>
      <c r="C47" s="97">
        <f>BS!C27-BS!B27</f>
        <v>0</v>
      </c>
      <c r="D47" s="97">
        <f>BS!D27-BS!C27</f>
        <v>0</v>
      </c>
      <c r="E47" s="97">
        <f>BS!E27-BS!D27</f>
        <v>0</v>
      </c>
      <c r="F47" s="97">
        <f>BS!F27-BS!E27</f>
        <v>0</v>
      </c>
      <c r="G47" s="97">
        <f>BS!G27-BS!F27</f>
        <v>0</v>
      </c>
      <c r="H47" s="97">
        <f>BS!H27-BS!G27</f>
        <v>0</v>
      </c>
      <c r="I47" s="97">
        <f>BS!I27-BS!H27</f>
        <v>0</v>
      </c>
      <c r="J47" s="97">
        <f>BS!J27-BS!I27</f>
        <v>0</v>
      </c>
      <c r="K47" s="97">
        <f>BS!K27-BS!J27</f>
        <v>0</v>
      </c>
      <c r="L47" s="97">
        <f>BS!L27-BS!K27</f>
        <v>0</v>
      </c>
      <c r="M47" s="97">
        <f>BS!M27-BS!L27</f>
        <v>0</v>
      </c>
      <c r="N47" s="97">
        <f>BS!N27-BS!M27</f>
        <v>0</v>
      </c>
      <c r="O47" s="97">
        <f>BS!O27-BS!N27</f>
        <v>-4510.1695487835659</v>
      </c>
      <c r="P47" s="97">
        <f>BS!P27-BS!O27</f>
        <v>-1.8189894035458565E-11</v>
      </c>
      <c r="Q47" s="97">
        <f>BS!Q27-BS!P27</f>
        <v>0</v>
      </c>
      <c r="R47" s="97">
        <f>BS!R27-BS!Q27</f>
        <v>0</v>
      </c>
      <c r="S47" s="97">
        <f>BS!S27-BS!R27</f>
        <v>0</v>
      </c>
      <c r="T47" s="97">
        <f>BS!T27-BS!S27</f>
        <v>0</v>
      </c>
      <c r="U47" s="97">
        <f>BS!U27-BS!T27</f>
        <v>0</v>
      </c>
      <c r="V47" s="97" t="e">
        <f>BS!#REF!-BS!U27</f>
        <v>#REF!</v>
      </c>
      <c r="W47" s="97" t="e">
        <f>BS!#REF!-BS!#REF!</f>
        <v>#REF!</v>
      </c>
      <c r="X47" s="97" t="e">
        <f>BS!#REF!-BS!#REF!</f>
        <v>#REF!</v>
      </c>
      <c r="Y47" s="97" t="e">
        <f>BS!#REF!-BS!#REF!</f>
        <v>#REF!</v>
      </c>
      <c r="Z47" s="97" t="e">
        <f>BS!#REF!-BS!#REF!</f>
        <v>#REF!</v>
      </c>
      <c r="AA47" s="97" t="e">
        <f>BS!#REF!-BS!#REF!</f>
        <v>#REF!</v>
      </c>
    </row>
    <row r="48" spans="1:27" ht="11.25">
      <c r="A48" s="98" t="s">
        <v>141</v>
      </c>
      <c r="B48" s="97">
        <f>BS!B26</f>
        <v>74.409038332538231</v>
      </c>
      <c r="C48" s="97">
        <f>BS!C26-BS!B26</f>
        <v>365.45718610487012</v>
      </c>
      <c r="D48" s="97">
        <f>BS!D26-BS!C26</f>
        <v>69.209407758611576</v>
      </c>
      <c r="E48" s="97">
        <f>BS!E26-BS!D26</f>
        <v>11.276216263797437</v>
      </c>
      <c r="F48" s="97">
        <f>BS!F26-BS!E26</f>
        <v>-77.737777578497628</v>
      </c>
      <c r="G48" s="97">
        <f>BS!G26-BS!F26</f>
        <v>4.9478162433778721</v>
      </c>
      <c r="H48" s="97">
        <f>BS!H26-BS!G26</f>
        <v>6.1694025410226345</v>
      </c>
      <c r="I48" s="97">
        <f>BS!I26-BS!H26</f>
        <v>1.9218458371483393</v>
      </c>
      <c r="J48" s="97">
        <f>BS!J26-BS!I26</f>
        <v>5.7249997548392457</v>
      </c>
      <c r="K48" s="97">
        <f>BS!K26-BS!J26</f>
        <v>12.745778332317627</v>
      </c>
      <c r="L48" s="97">
        <f>BS!L26-BS!K26</f>
        <v>12.328849859869763</v>
      </c>
      <c r="M48" s="97">
        <f>BS!M26-BS!L26</f>
        <v>7.8413767615357983</v>
      </c>
      <c r="N48" s="97">
        <f>BS!N26-BS!M26</f>
        <v>-45.245181427745138</v>
      </c>
      <c r="O48" s="97">
        <f>BS!O26-BS!N26</f>
        <v>9.9768895166039329</v>
      </c>
      <c r="P48" s="97">
        <f>BS!P26-BS!O26</f>
        <v>8.1893286749797198</v>
      </c>
      <c r="Q48" s="97">
        <f>BS!Q26-BS!P26</f>
        <v>489.91305408201845</v>
      </c>
      <c r="R48" s="97">
        <f>BS!R26-BS!Q26</f>
        <v>-957.12823105728796</v>
      </c>
      <c r="S48" s="97">
        <f>BS!S26-BS!R26</f>
        <v>0</v>
      </c>
      <c r="T48" s="97">
        <f>BS!T26-BS!S26</f>
        <v>0</v>
      </c>
      <c r="U48" s="97">
        <f>BS!U26-BS!T26</f>
        <v>0</v>
      </c>
      <c r="V48" s="97" t="e">
        <f>BS!#REF!-BS!U26</f>
        <v>#REF!</v>
      </c>
      <c r="W48" s="97" t="e">
        <f>BS!#REF!-BS!#REF!</f>
        <v>#REF!</v>
      </c>
      <c r="X48" s="97" t="e">
        <f>BS!#REF!-BS!#REF!</f>
        <v>#REF!</v>
      </c>
      <c r="Y48" s="97" t="e">
        <f>BS!#REF!-BS!#REF!</f>
        <v>#REF!</v>
      </c>
      <c r="Z48" s="97" t="e">
        <f>BS!#REF!-BS!#REF!</f>
        <v>#REF!</v>
      </c>
      <c r="AA48" s="97" t="e">
        <f>BS!#REF!-BS!#REF!</f>
        <v>#REF!</v>
      </c>
    </row>
    <row r="49" spans="1:27" ht="11.25">
      <c r="A49" s="98" t="s">
        <v>204</v>
      </c>
      <c r="B49" s="99">
        <f>BS!B29</f>
        <v>349.13775179659314</v>
      </c>
      <c r="C49" s="99">
        <f>-(BS!C29-BS!B29)</f>
        <v>-3706.2428569241702</v>
      </c>
      <c r="D49" s="99">
        <f>BS!D29-BS!C29</f>
        <v>-557.21142440111817</v>
      </c>
      <c r="E49" s="99">
        <f>BS!E29-BS!D29</f>
        <v>-841.05151502437093</v>
      </c>
      <c r="F49" s="99">
        <f>BS!F29-BS!E29</f>
        <v>-1101.2022993741498</v>
      </c>
      <c r="G49" s="99">
        <f>BS!G29-BS!F29</f>
        <v>-648.21632476865091</v>
      </c>
      <c r="H49" s="99">
        <f>BS!H29-BS!G29</f>
        <v>836.40087696510966</v>
      </c>
      <c r="I49" s="99">
        <f>BS!I29-BS!H29</f>
        <v>547.86935779688838</v>
      </c>
      <c r="J49" s="99">
        <f>BS!J29-BS!I29</f>
        <v>113.99823623607608</v>
      </c>
      <c r="K49" s="99">
        <f>BS!K29-BS!J29</f>
        <v>589.62511948570955</v>
      </c>
      <c r="L49" s="99">
        <f>BS!L29-BS!K29</f>
        <v>355.15180845477607</v>
      </c>
      <c r="M49" s="99">
        <f>BS!M29-BS!L29</f>
        <v>465.72484580559103</v>
      </c>
      <c r="N49" s="99">
        <f>BS!N29-BS!M29</f>
        <v>440.00583126305901</v>
      </c>
      <c r="O49" s="99">
        <f>BS!O29-BS!N29</f>
        <v>655.38795729549292</v>
      </c>
      <c r="P49" s="99">
        <f>BS!P29-BS!O29</f>
        <v>321.1632272648676</v>
      </c>
      <c r="Q49" s="99">
        <f>BS!Q29-BS!P29</f>
        <v>7285.249695788666</v>
      </c>
      <c r="R49" s="99">
        <f>BS!R29-BS!Q29</f>
        <v>-12518.27600150871</v>
      </c>
      <c r="S49" s="99">
        <f>BS!S29-BS!R29</f>
        <v>0</v>
      </c>
      <c r="T49" s="99">
        <f>BS!T29-BS!S29</f>
        <v>0</v>
      </c>
      <c r="U49" s="99">
        <f>BS!U29-BS!T29</f>
        <v>0</v>
      </c>
      <c r="V49" s="99" t="e">
        <f>BS!#REF!-BS!U29</f>
        <v>#REF!</v>
      </c>
      <c r="W49" s="99" t="e">
        <f>BS!#REF!-BS!#REF!</f>
        <v>#REF!</v>
      </c>
      <c r="X49" s="99" t="e">
        <f>BS!#REF!-BS!#REF!</f>
        <v>#REF!</v>
      </c>
      <c r="Y49" s="99" t="e">
        <f>BS!#REF!-BS!#REF!</f>
        <v>#REF!</v>
      </c>
      <c r="Z49" s="99" t="e">
        <f>BS!#REF!-BS!#REF!</f>
        <v>#REF!</v>
      </c>
      <c r="AA49" s="99" t="e">
        <f>BS!#REF!-BS!#REF!</f>
        <v>#REF!</v>
      </c>
    </row>
    <row r="50" spans="1:27" ht="11.25">
      <c r="A50" s="96" t="s">
        <v>142</v>
      </c>
      <c r="B50" s="97">
        <f>BS!B28</f>
        <v>37.204519166269115</v>
      </c>
      <c r="C50" s="97">
        <f>BS!C28-BS!B28</f>
        <v>182.72859305243506</v>
      </c>
      <c r="D50" s="97">
        <f>BS!D28-BS!C28</f>
        <v>34.604703879305788</v>
      </c>
      <c r="E50" s="97">
        <f>BS!E28-BS!D28</f>
        <v>5.6381081318987185</v>
      </c>
      <c r="F50" s="97">
        <f>BS!F28-BS!E28</f>
        <v>-38.868888789248814</v>
      </c>
      <c r="G50" s="97">
        <f>BS!G28-BS!F28</f>
        <v>2.473908121688936</v>
      </c>
      <c r="H50" s="97">
        <f>BS!H28-BS!G28</f>
        <v>3.0847012705113173</v>
      </c>
      <c r="I50" s="97">
        <f>BS!I28-BS!H28</f>
        <v>0.96092291857416967</v>
      </c>
      <c r="J50" s="97">
        <f>BS!J28-BS!I28</f>
        <v>2.8624998774196229</v>
      </c>
      <c r="K50" s="97">
        <f>BS!K28-BS!J28</f>
        <v>6.3728891661588136</v>
      </c>
      <c r="L50" s="97">
        <f>BS!L28-BS!K28</f>
        <v>6.1644249299348814</v>
      </c>
      <c r="M50" s="97">
        <f>BS!M28-BS!L28</f>
        <v>3.9206883807678992</v>
      </c>
      <c r="N50" s="97">
        <f>BS!N28-BS!M28</f>
        <v>-22.622590713872569</v>
      </c>
      <c r="O50" s="97">
        <f>BS!O28-BS!N28</f>
        <v>4.9884447583019664</v>
      </c>
      <c r="P50" s="97">
        <f>BS!P28-BS!O28</f>
        <v>4.0946643374898599</v>
      </c>
      <c r="Q50" s="97">
        <f>BS!Q28-BS!P28</f>
        <v>244.95652704100922</v>
      </c>
      <c r="R50" s="97">
        <f>BS!R28-BS!Q28</f>
        <v>-478.56411552864398</v>
      </c>
      <c r="S50" s="97">
        <f>BS!S28-BS!R28</f>
        <v>0</v>
      </c>
      <c r="T50" s="97">
        <f>BS!T28-BS!S28</f>
        <v>0</v>
      </c>
      <c r="U50" s="97">
        <f>BS!U28-BS!T28</f>
        <v>0</v>
      </c>
      <c r="V50" s="97" t="e">
        <f>BS!#REF!-BS!U28</f>
        <v>#REF!</v>
      </c>
      <c r="W50" s="97" t="e">
        <f>BS!#REF!-BS!#REF!</f>
        <v>#REF!</v>
      </c>
      <c r="X50" s="97" t="e">
        <f>BS!#REF!-BS!#REF!</f>
        <v>#REF!</v>
      </c>
      <c r="Y50" s="97" t="e">
        <f>BS!#REF!-BS!#REF!</f>
        <v>#REF!</v>
      </c>
      <c r="Z50" s="97" t="e">
        <f>BS!#REF!-BS!#REF!</f>
        <v>#REF!</v>
      </c>
      <c r="AA50" s="97" t="e">
        <f>BS!#REF!-BS!#REF!</f>
        <v>#REF!</v>
      </c>
    </row>
    <row r="51" spans="1:27" ht="11.25">
      <c r="A51" s="94" t="s">
        <v>207</v>
      </c>
      <c r="B51" s="211">
        <f>SUM(B43:B50)</f>
        <v>5194.1479730765996</v>
      </c>
      <c r="C51" s="211">
        <f>SUM(C43:C50)-C49</f>
        <v>944.7222876859837</v>
      </c>
      <c r="D51" s="211">
        <f t="shared" ref="D51:AA51" si="8">SUM(D43:D50)-D49</f>
        <v>395.55413989136184</v>
      </c>
      <c r="E51" s="211">
        <f t="shared" si="8"/>
        <v>111.12529019592353</v>
      </c>
      <c r="F51" s="211">
        <f t="shared" si="8"/>
        <v>-240.46375773670616</v>
      </c>
      <c r="G51" s="211">
        <f t="shared" si="8"/>
        <v>51.911869280949418</v>
      </c>
      <c r="H51" s="211">
        <f t="shared" si="8"/>
        <v>13.000588961250969</v>
      </c>
      <c r="I51" s="211">
        <f t="shared" si="8"/>
        <v>0.91654299994286248</v>
      </c>
      <c r="J51" s="211">
        <f t="shared" si="8"/>
        <v>34.898435167441733</v>
      </c>
      <c r="K51" s="211">
        <f t="shared" si="8"/>
        <v>41.816155295327235</v>
      </c>
      <c r="L51" s="211">
        <f t="shared" si="8"/>
        <v>49.656812438548172</v>
      </c>
      <c r="M51" s="211">
        <f t="shared" si="8"/>
        <v>26.669022931192615</v>
      </c>
      <c r="N51" s="211">
        <f t="shared" si="8"/>
        <v>-185.01928097566071</v>
      </c>
      <c r="O51" s="211">
        <f t="shared" si="8"/>
        <v>-4482.6747332471323</v>
      </c>
      <c r="P51" s="211">
        <f t="shared" si="8"/>
        <v>30.565924752636761</v>
      </c>
      <c r="Q51" s="211">
        <f t="shared" si="8"/>
        <v>1698.4358971696229</v>
      </c>
      <c r="R51" s="211">
        <f t="shared" si="8"/>
        <v>-3336.1254160906901</v>
      </c>
      <c r="S51" s="211">
        <f t="shared" si="8"/>
        <v>0</v>
      </c>
      <c r="T51" s="211">
        <f t="shared" si="8"/>
        <v>0</v>
      </c>
      <c r="U51" s="211">
        <f t="shared" si="8"/>
        <v>0</v>
      </c>
      <c r="V51" s="211" t="e">
        <f t="shared" si="8"/>
        <v>#REF!</v>
      </c>
      <c r="W51" s="211" t="e">
        <f t="shared" si="8"/>
        <v>#REF!</v>
      </c>
      <c r="X51" s="211" t="e">
        <f t="shared" si="8"/>
        <v>#REF!</v>
      </c>
      <c r="Y51" s="211" t="e">
        <f t="shared" si="8"/>
        <v>#REF!</v>
      </c>
      <c r="Z51" s="211" t="e">
        <f t="shared" si="8"/>
        <v>#REF!</v>
      </c>
      <c r="AA51" s="211" t="e">
        <f t="shared" si="8"/>
        <v>#REF!</v>
      </c>
    </row>
  </sheetData>
  <printOptions horizontalCentered="1"/>
  <pageMargins left="0.75" right="0.75" top="1" bottom="1" header="0.5" footer="0.5"/>
  <pageSetup paperSize="5" scale="47" orientation="landscape" r:id="rId1"/>
  <headerFooter alignWithMargins="0">
    <oddFooter>&amp;CEnron Financial Corp.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AD165"/>
  <sheetViews>
    <sheetView zoomScale="75" workbookViewId="0">
      <selection activeCell="D6" sqref="D6"/>
    </sheetView>
  </sheetViews>
  <sheetFormatPr defaultRowHeight="11.25"/>
  <cols>
    <col min="1" max="1" width="28.28515625" style="7" customWidth="1"/>
    <col min="2" max="2" width="2.42578125" style="7" customWidth="1"/>
    <col min="3" max="3" width="11.85546875" style="7" customWidth="1"/>
    <col min="4" max="4" width="11.28515625" style="7" customWidth="1"/>
    <col min="5" max="11" width="11.7109375" style="7" customWidth="1"/>
    <col min="12" max="12" width="11.140625" style="7" customWidth="1"/>
    <col min="13" max="30" width="11.7109375" style="7" customWidth="1"/>
    <col min="31" max="16384" width="9.140625" style="7"/>
  </cols>
  <sheetData>
    <row r="1" spans="1:30" s="25" customFormat="1" ht="12" customHeight="1">
      <c r="A1" s="196" t="s">
        <v>167</v>
      </c>
      <c r="B1" s="196"/>
      <c r="C1" s="196"/>
      <c r="D1" s="196"/>
    </row>
    <row r="2" spans="1:30" s="25" customFormat="1" ht="12" thickBot="1">
      <c r="A2" s="25" t="s">
        <v>173</v>
      </c>
      <c r="C2" s="161">
        <f>YEAR(Cashflow!C3)</f>
        <v>2000</v>
      </c>
      <c r="D2" s="161">
        <f>C2+1</f>
        <v>2001</v>
      </c>
      <c r="E2" s="161">
        <f t="shared" ref="E2:AD2" si="0">D2+1</f>
        <v>2002</v>
      </c>
      <c r="F2" s="161">
        <f t="shared" si="0"/>
        <v>2003</v>
      </c>
      <c r="G2" s="161">
        <f t="shared" si="0"/>
        <v>2004</v>
      </c>
      <c r="H2" s="161">
        <f t="shared" si="0"/>
        <v>2005</v>
      </c>
      <c r="I2" s="161">
        <f t="shared" si="0"/>
        <v>2006</v>
      </c>
      <c r="J2" s="161">
        <f t="shared" si="0"/>
        <v>2007</v>
      </c>
      <c r="K2" s="161">
        <f t="shared" si="0"/>
        <v>2008</v>
      </c>
      <c r="L2" s="161">
        <f t="shared" si="0"/>
        <v>2009</v>
      </c>
      <c r="M2" s="161">
        <f t="shared" si="0"/>
        <v>2010</v>
      </c>
      <c r="N2" s="161">
        <f t="shared" si="0"/>
        <v>2011</v>
      </c>
      <c r="O2" s="161">
        <f t="shared" si="0"/>
        <v>2012</v>
      </c>
      <c r="P2" s="161">
        <f t="shared" si="0"/>
        <v>2013</v>
      </c>
      <c r="Q2" s="161">
        <f t="shared" si="0"/>
        <v>2014</v>
      </c>
      <c r="R2" s="161">
        <f t="shared" si="0"/>
        <v>2015</v>
      </c>
      <c r="S2" s="161">
        <f t="shared" si="0"/>
        <v>2016</v>
      </c>
      <c r="T2" s="161">
        <f t="shared" si="0"/>
        <v>2017</v>
      </c>
      <c r="U2" s="161">
        <f t="shared" si="0"/>
        <v>2018</v>
      </c>
      <c r="V2" s="161">
        <f t="shared" si="0"/>
        <v>2019</v>
      </c>
      <c r="W2" s="161">
        <f t="shared" si="0"/>
        <v>2020</v>
      </c>
      <c r="X2" s="161">
        <f t="shared" si="0"/>
        <v>2021</v>
      </c>
      <c r="Y2" s="161">
        <f t="shared" si="0"/>
        <v>2022</v>
      </c>
      <c r="Z2" s="161">
        <f t="shared" si="0"/>
        <v>2023</v>
      </c>
      <c r="AA2" s="161">
        <f t="shared" si="0"/>
        <v>2024</v>
      </c>
      <c r="AB2" s="161">
        <f t="shared" si="0"/>
        <v>2025</v>
      </c>
      <c r="AC2" s="161">
        <f t="shared" si="0"/>
        <v>2026</v>
      </c>
      <c r="AD2" s="161">
        <f t="shared" si="0"/>
        <v>2027</v>
      </c>
    </row>
    <row r="3" spans="1:30" s="25" customFormat="1" ht="12.75">
      <c r="A3" s="206"/>
      <c r="B3" s="206"/>
      <c r="C3" s="206"/>
      <c r="D3" s="206"/>
      <c r="E3" s="206"/>
      <c r="F3" s="206"/>
      <c r="G3" s="207"/>
      <c r="H3" s="207"/>
      <c r="I3" s="207"/>
      <c r="J3" s="207"/>
      <c r="K3" s="207"/>
      <c r="L3" s="207"/>
      <c r="M3" s="207"/>
      <c r="N3" s="207"/>
      <c r="O3" s="207"/>
      <c r="P3" s="207"/>
      <c r="Q3" s="207"/>
      <c r="R3" s="207"/>
      <c r="S3" s="207"/>
      <c r="T3" s="207"/>
      <c r="U3" s="207"/>
      <c r="V3" s="207"/>
      <c r="W3" s="207"/>
      <c r="X3" s="207"/>
      <c r="Y3" s="207"/>
      <c r="Z3" s="207"/>
      <c r="AA3" s="207"/>
      <c r="AB3" s="207"/>
      <c r="AC3" s="207"/>
      <c r="AD3" s="207"/>
    </row>
    <row r="4" spans="1:30">
      <c r="A4" s="98"/>
      <c r="B4" s="98"/>
      <c r="C4" s="98"/>
      <c r="D4" s="98"/>
      <c r="E4" s="54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</row>
    <row r="5" spans="1:30">
      <c r="A5" s="199" t="s">
        <v>62</v>
      </c>
      <c r="B5" s="199"/>
      <c r="C5" s="199"/>
      <c r="D5" s="199"/>
      <c r="E5" s="54"/>
      <c r="F5" s="99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</row>
    <row r="6" spans="1:30">
      <c r="A6" s="98" t="s">
        <v>168</v>
      </c>
      <c r="B6" s="98"/>
      <c r="C6" s="39">
        <f>Cashflow!D29</f>
        <v>0</v>
      </c>
      <c r="D6" s="39">
        <f>Cashflow!E29</f>
        <v>51087.958634372997</v>
      </c>
      <c r="E6" s="39">
        <f>Cashflow!F29</f>
        <v>44947.796871007478</v>
      </c>
      <c r="F6" s="39">
        <f>Cashflow!G29</f>
        <v>40539.887729362548</v>
      </c>
      <c r="G6" s="39">
        <f>Cashflow!H29</f>
        <v>32646.079046892206</v>
      </c>
      <c r="H6" s="39">
        <f>Cashflow!I29</f>
        <v>30392.673288045931</v>
      </c>
      <c r="I6" s="39">
        <f>Cashflow!J29</f>
        <v>31470.279028600558</v>
      </c>
      <c r="J6" s="39">
        <f>Cashflow!K29</f>
        <v>32034.697747107959</v>
      </c>
      <c r="K6" s="39">
        <f>Cashflow!L29</f>
        <v>31453.713507292807</v>
      </c>
      <c r="L6" s="39">
        <f>Cashflow!M29</f>
        <v>32502.183244956839</v>
      </c>
      <c r="M6" s="39">
        <f>Cashflow!N29</f>
        <v>32927.263115910042</v>
      </c>
      <c r="N6" s="39">
        <f>Cashflow!O29</f>
        <v>33556.316708097482</v>
      </c>
      <c r="O6" s="39">
        <f>Cashflow!P29</f>
        <v>32287.900427485372</v>
      </c>
      <c r="P6" s="39">
        <f>Cashflow!Q29</f>
        <v>33469.968792351145</v>
      </c>
      <c r="Q6" s="39">
        <f>Cashflow!R29</f>
        <v>33928.850755138163</v>
      </c>
      <c r="R6" s="39">
        <f>Cashflow!S29</f>
        <v>35148.448776749254</v>
      </c>
      <c r="S6" s="39">
        <f>IF(Tables!$B$21=15,0,Cashflow!T29)</f>
        <v>0</v>
      </c>
      <c r="T6" s="39">
        <f>IF(Tables!$B$21=15,0,Cashflow!U29)</f>
        <v>0</v>
      </c>
      <c r="U6" s="39">
        <f>IF(Tables!$B$21=15,0,Cashflow!V29)</f>
        <v>0</v>
      </c>
      <c r="V6" s="39">
        <f>IF(Tables!$B$21=15,0,Cashflow!W29)</f>
        <v>0</v>
      </c>
      <c r="W6" s="39">
        <f>IF(Tables!$B$21=15,0,Cashflow!X29)</f>
        <v>0</v>
      </c>
      <c r="X6" s="39">
        <f>IF(Tables!$B$21=15,0,Cashflow!Y29)</f>
        <v>0</v>
      </c>
      <c r="Y6" s="39">
        <f>IF(Tables!$B$21=15,0,Cashflow!Z29)</f>
        <v>0</v>
      </c>
      <c r="Z6" s="39">
        <f>IF(Tables!$B$21=15,0,Cashflow!AA29)</f>
        <v>0</v>
      </c>
      <c r="AA6" s="39">
        <f>IF(Tables!$B$21=15,0,Cashflow!AB29)</f>
        <v>0</v>
      </c>
      <c r="AB6" s="39">
        <f>IF(Tables!$B$21=15,0,Cashflow!AC29)</f>
        <v>0</v>
      </c>
      <c r="AC6" s="39">
        <f>IF(Tables!$B$21=15,0,Cashflow!AD29)</f>
        <v>0</v>
      </c>
      <c r="AD6" s="39">
        <f>IF(Tables!$B$21=15,0,Cashflow!AE29)</f>
        <v>0</v>
      </c>
    </row>
    <row r="7" spans="1:30" s="276" customFormat="1">
      <c r="A7" s="287" t="s">
        <v>172</v>
      </c>
      <c r="B7" s="287"/>
      <c r="C7" s="280">
        <f t="shared" ref="C7:AD7" si="1">SUM(C6:C6)</f>
        <v>0</v>
      </c>
      <c r="D7" s="280">
        <f t="shared" si="1"/>
        <v>51087.958634372997</v>
      </c>
      <c r="E7" s="280">
        <f t="shared" si="1"/>
        <v>44947.796871007478</v>
      </c>
      <c r="F7" s="280">
        <f t="shared" si="1"/>
        <v>40539.887729362548</v>
      </c>
      <c r="G7" s="280">
        <f t="shared" si="1"/>
        <v>32646.079046892206</v>
      </c>
      <c r="H7" s="280">
        <f t="shared" si="1"/>
        <v>30392.673288045931</v>
      </c>
      <c r="I7" s="280">
        <f t="shared" si="1"/>
        <v>31470.279028600558</v>
      </c>
      <c r="J7" s="280">
        <f t="shared" si="1"/>
        <v>32034.697747107959</v>
      </c>
      <c r="K7" s="280">
        <f t="shared" si="1"/>
        <v>31453.713507292807</v>
      </c>
      <c r="L7" s="280">
        <f t="shared" si="1"/>
        <v>32502.183244956839</v>
      </c>
      <c r="M7" s="280">
        <f t="shared" si="1"/>
        <v>32927.263115910042</v>
      </c>
      <c r="N7" s="280">
        <f t="shared" si="1"/>
        <v>33556.316708097482</v>
      </c>
      <c r="O7" s="280">
        <f t="shared" si="1"/>
        <v>32287.900427485372</v>
      </c>
      <c r="P7" s="280">
        <f t="shared" si="1"/>
        <v>33469.968792351145</v>
      </c>
      <c r="Q7" s="280">
        <f t="shared" si="1"/>
        <v>33928.850755138163</v>
      </c>
      <c r="R7" s="280">
        <f t="shared" si="1"/>
        <v>35148.448776749254</v>
      </c>
      <c r="S7" s="280">
        <f t="shared" si="1"/>
        <v>0</v>
      </c>
      <c r="T7" s="280">
        <f t="shared" si="1"/>
        <v>0</v>
      </c>
      <c r="U7" s="280">
        <f t="shared" si="1"/>
        <v>0</v>
      </c>
      <c r="V7" s="280">
        <f t="shared" si="1"/>
        <v>0</v>
      </c>
      <c r="W7" s="280">
        <f t="shared" si="1"/>
        <v>0</v>
      </c>
      <c r="X7" s="280">
        <f t="shared" si="1"/>
        <v>0</v>
      </c>
      <c r="Y7" s="280">
        <f t="shared" si="1"/>
        <v>0</v>
      </c>
      <c r="Z7" s="280">
        <f t="shared" si="1"/>
        <v>0</v>
      </c>
      <c r="AA7" s="280">
        <f t="shared" si="1"/>
        <v>0</v>
      </c>
      <c r="AB7" s="280">
        <f t="shared" si="1"/>
        <v>0</v>
      </c>
      <c r="AC7" s="280">
        <f t="shared" si="1"/>
        <v>0</v>
      </c>
      <c r="AD7" s="280">
        <f t="shared" si="1"/>
        <v>0</v>
      </c>
    </row>
    <row r="8" spans="1:30">
      <c r="A8" s="98"/>
      <c r="B8" s="98"/>
      <c r="C8" s="98"/>
      <c r="D8" s="98"/>
      <c r="E8" s="54"/>
      <c r="F8" s="99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</row>
    <row r="9" spans="1:30">
      <c r="A9" s="25" t="s">
        <v>169</v>
      </c>
      <c r="B9" s="25"/>
      <c r="C9" s="25"/>
      <c r="D9" s="25"/>
      <c r="E9" s="54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</row>
    <row r="10" spans="1:30">
      <c r="A10" s="463" t="s">
        <v>450</v>
      </c>
      <c r="B10" s="98"/>
      <c r="C10" s="99">
        <f>Cashflow!D33</f>
        <v>0</v>
      </c>
      <c r="D10" s="99">
        <f>Cashflow!E33</f>
        <v>11393.362139142562</v>
      </c>
      <c r="E10" s="99">
        <f>Cashflow!F33</f>
        <v>13514.602066489686</v>
      </c>
      <c r="F10" s="99">
        <f>Cashflow!G33</f>
        <v>13817.648848511111</v>
      </c>
      <c r="G10" s="99">
        <f>Cashflow!H33</f>
        <v>11315.948210172775</v>
      </c>
      <c r="H10" s="99">
        <f>Cashflow!I33</f>
        <v>11379.296615935218</v>
      </c>
      <c r="I10" s="99">
        <f>Cashflow!J33</f>
        <v>11494.877166523313</v>
      </c>
      <c r="J10" s="99">
        <f>Cashflow!K33</f>
        <v>11506.132230409741</v>
      </c>
      <c r="K10" s="99">
        <f>Cashflow!L33</f>
        <v>11680.017469391545</v>
      </c>
      <c r="L10" s="99">
        <f>Cashflow!M33</f>
        <v>11998.466308079966</v>
      </c>
      <c r="M10" s="99">
        <f>Cashflow!N33</f>
        <v>12364.933042940418</v>
      </c>
      <c r="N10" s="99">
        <f>Cashflow!O33</f>
        <v>12567.845575343681</v>
      </c>
      <c r="O10" s="99">
        <f>Cashflow!P33</f>
        <v>11111.753784893946</v>
      </c>
      <c r="P10" s="99">
        <f>Cashflow!Q33</f>
        <v>11319.810777051425</v>
      </c>
      <c r="Q10" s="99">
        <f>Cashflow!R33</f>
        <v>11538.07100992264</v>
      </c>
      <c r="R10" s="99">
        <f>Cashflow!S33</f>
        <v>11933.242801044067</v>
      </c>
      <c r="S10" s="99">
        <f>IF(Tables!$B$21=15,0,Cashflow!T33)</f>
        <v>0</v>
      </c>
      <c r="T10" s="99">
        <f>IF(Tables!$B$21=15,0,Cashflow!U33)</f>
        <v>0</v>
      </c>
      <c r="U10" s="99">
        <f>IF(Tables!$B$21=15,0,Cashflow!V33)</f>
        <v>0</v>
      </c>
      <c r="V10" s="99">
        <f>IF(Tables!$B$21=15,0,Cashflow!W33)</f>
        <v>0</v>
      </c>
      <c r="W10" s="99">
        <f>IF(Tables!$B$21=15,0,Cashflow!X33)</f>
        <v>0</v>
      </c>
      <c r="X10" s="99">
        <f>IF(Tables!$B$21=15,0,Cashflow!Y33)</f>
        <v>0</v>
      </c>
      <c r="Y10" s="99">
        <f>IF(Tables!$B$21=15,0,Cashflow!Z33)</f>
        <v>0</v>
      </c>
      <c r="Z10" s="99">
        <f>IF(Tables!$B$21=15,0,Cashflow!AA33)</f>
        <v>0</v>
      </c>
      <c r="AA10" s="99">
        <f>IF(Tables!$B$21=15,0,Cashflow!AB33)</f>
        <v>0</v>
      </c>
      <c r="AB10" s="99">
        <f>IF(Tables!$B$21=15,0,Cashflow!AC33)</f>
        <v>0</v>
      </c>
      <c r="AC10" s="99">
        <f>IF(Tables!$B$21=15,0,Cashflow!AD33)</f>
        <v>0</v>
      </c>
      <c r="AD10" s="99">
        <f>IF(Tables!$B$21=15,0,Cashflow!AE33)</f>
        <v>0</v>
      </c>
    </row>
    <row r="11" spans="1:30" s="25" customFormat="1">
      <c r="A11" s="463" t="s">
        <v>451</v>
      </c>
      <c r="B11" s="98"/>
      <c r="C11" s="99">
        <f>Cashflow!D34+Cashflow!D35</f>
        <v>220.79166666666666</v>
      </c>
      <c r="D11" s="99">
        <f>Cashflow!E34+Cashflow!E35</f>
        <v>2816.2506857222279</v>
      </c>
      <c r="E11" s="99">
        <f>Cashflow!F34+Cashflow!F35</f>
        <v>3208.4354158040578</v>
      </c>
      <c r="F11" s="99">
        <f>Cashflow!G34+Cashflow!G35</f>
        <v>3301.668981344088</v>
      </c>
      <c r="G11" s="99">
        <f>Cashflow!H34+Cashflow!H35</f>
        <v>2988.4686335616298</v>
      </c>
      <c r="H11" s="99">
        <f>Cashflow!I34+Cashflow!I35</f>
        <v>3040.1404595778636</v>
      </c>
      <c r="I11" s="99">
        <f>Cashflow!J34+Cashflow!J35</f>
        <v>3124.6852810524178</v>
      </c>
      <c r="J11" s="99">
        <f>Cashflow!K34+Cashflow!K35</f>
        <v>3157.1017713827132</v>
      </c>
      <c r="K11" s="99">
        <f>Cashflow!L34+Cashflow!L35</f>
        <v>3209.0431852546958</v>
      </c>
      <c r="L11" s="99">
        <f>Cashflow!M34+Cashflow!M35</f>
        <v>3281.4136812118713</v>
      </c>
      <c r="M11" s="99">
        <f>Cashflow!N34+Cashflow!N35</f>
        <v>3333.6280231761102</v>
      </c>
      <c r="N11" s="99">
        <f>Cashflow!O34+Cashflow!O35</f>
        <v>3385.8366173213071</v>
      </c>
      <c r="O11" s="99">
        <f>Cashflow!P34+Cashflow!P35</f>
        <v>3203.1104933841543</v>
      </c>
      <c r="P11" s="99">
        <f>Cashflow!Q34+Cashflow!Q35</f>
        <v>3284.433917875821</v>
      </c>
      <c r="Q11" s="99">
        <f>Cashflow!R34+Cashflow!R35</f>
        <v>3333.9995241968845</v>
      </c>
      <c r="R11" s="99">
        <f>Cashflow!S34+Cashflow!S35</f>
        <v>3406.3176290188676</v>
      </c>
      <c r="S11" s="99">
        <f>IF(Tables!$B$21=15,0,Cashflow!T34+Cashflow!T35)</f>
        <v>0</v>
      </c>
      <c r="T11" s="99">
        <f>IF(Tables!$B$21=15,0,Cashflow!U34+Cashflow!U35)</f>
        <v>0</v>
      </c>
      <c r="U11" s="99">
        <f>IF(Tables!$B$21=15,0,Cashflow!V34+Cashflow!V35)</f>
        <v>0</v>
      </c>
      <c r="V11" s="99">
        <f>IF(Tables!$B$21=15,0,Cashflow!W34+Cashflow!W35)</f>
        <v>0</v>
      </c>
      <c r="W11" s="99">
        <f>IF(Tables!$B$21=15,0,Cashflow!X34+Cashflow!X35)</f>
        <v>0</v>
      </c>
      <c r="X11" s="99">
        <f>IF(Tables!$B$21=15,0,Cashflow!Y34+Cashflow!Y35)</f>
        <v>0</v>
      </c>
      <c r="Y11" s="99">
        <f>IF(Tables!$B$21=15,0,Cashflow!Z34+Cashflow!Z35)</f>
        <v>0</v>
      </c>
      <c r="Z11" s="99">
        <f>IF(Tables!$B$21=15,0,Cashflow!AA34+Cashflow!AA35)</f>
        <v>0</v>
      </c>
      <c r="AA11" s="99">
        <f>IF(Tables!$B$21=15,0,Cashflow!AB34+Cashflow!AB35)</f>
        <v>0</v>
      </c>
      <c r="AB11" s="99">
        <f>IF(Tables!$B$21=15,0,Cashflow!AC34+Cashflow!AC35)</f>
        <v>0</v>
      </c>
      <c r="AC11" s="99">
        <f>IF(Tables!$B$21=15,0,Cashflow!AD34+Cashflow!AD35)</f>
        <v>0</v>
      </c>
      <c r="AD11" s="99">
        <f>IF(Tables!$B$21=15,0,Cashflow!AE34+Cashflow!AE35)</f>
        <v>0</v>
      </c>
    </row>
    <row r="12" spans="1:30">
      <c r="A12" s="463" t="s">
        <v>452</v>
      </c>
      <c r="B12" s="98"/>
      <c r="C12" s="99">
        <f>SUM(Cashflow!D36:D38)</f>
        <v>225.6625633285627</v>
      </c>
      <c r="D12" s="99">
        <f>SUM(Cashflow!E36:E38)</f>
        <v>1845.5043671006122</v>
      </c>
      <c r="E12" s="99">
        <f>SUM(Cashflow!F36:F38)</f>
        <v>1858.2230928609845</v>
      </c>
      <c r="F12" s="99">
        <f>SUM(Cashflow!G36:G38)</f>
        <v>1873.5246389281397</v>
      </c>
      <c r="G12" s="99">
        <f>SUM(Cashflow!H36:H38)</f>
        <v>1895.258150521898</v>
      </c>
      <c r="H12" s="99">
        <f>SUM(Cashflow!I36:I38)</f>
        <v>1916.5718045383796</v>
      </c>
      <c r="I12" s="99">
        <f>SUM(Cashflow!J36:J38)</f>
        <v>1941.6296252230579</v>
      </c>
      <c r="J12" s="99">
        <f>SUM(Cashflow!K36:K38)</f>
        <v>1968.1054440622506</v>
      </c>
      <c r="K12" s="99">
        <f>SUM(Cashflow!L36:L38)</f>
        <v>1997.3790957858657</v>
      </c>
      <c r="L12" s="99">
        <f>SUM(Cashflow!M36:M38)</f>
        <v>2025.6428567440889</v>
      </c>
      <c r="M12" s="99">
        <f>SUM(Cashflow!N36:N38)</f>
        <v>2056.9647998046448</v>
      </c>
      <c r="N12" s="99">
        <f>SUM(Cashflow!O36:O38)</f>
        <v>2088.0539250522411</v>
      </c>
      <c r="O12" s="99">
        <f>SUM(Cashflow!P36:P38)</f>
        <v>2120.327613204804</v>
      </c>
      <c r="P12" s="99">
        <f>SUM(Cashflow!Q36:Q38)</f>
        <v>2150.1987680333323</v>
      </c>
      <c r="Q12" s="99">
        <f>SUM(Cashflow!R36:R38)</f>
        <v>2181.2834254778127</v>
      </c>
      <c r="R12" s="99">
        <f>SUM(Cashflow!S36:S38)</f>
        <v>1984.4605520739808</v>
      </c>
      <c r="S12" s="99">
        <f>SUM(Cashflow!T36:T38)</f>
        <v>0</v>
      </c>
      <c r="T12" s="99">
        <f>SUM(Cashflow!U36:U38)</f>
        <v>0</v>
      </c>
      <c r="U12" s="99">
        <f>SUM(Cashflow!V36:V38)</f>
        <v>0</v>
      </c>
      <c r="V12" s="99">
        <f>SUM(Cashflow!W36:W38)</f>
        <v>0</v>
      </c>
      <c r="W12" s="99">
        <f>SUM(Cashflow!X36:X38)</f>
        <v>0</v>
      </c>
      <c r="X12" s="99">
        <f>SUM(Cashflow!Y36:Y38)</f>
        <v>0</v>
      </c>
      <c r="Y12" s="99">
        <f>SUM(Cashflow!Z36:Z38)</f>
        <v>0</v>
      </c>
      <c r="Z12" s="99">
        <f>SUM(Cashflow!AA36:AA38)</f>
        <v>0</v>
      </c>
      <c r="AA12" s="99">
        <f>SUM(Cashflow!AB36:AB38)</f>
        <v>0</v>
      </c>
      <c r="AB12" s="99">
        <f>SUM(Cashflow!AC36:AC38)</f>
        <v>0</v>
      </c>
      <c r="AC12" s="99">
        <f>SUM(Cashflow!AD36:AD38)</f>
        <v>0</v>
      </c>
      <c r="AD12" s="99">
        <f>SUM(Cashflow!AE36:AE38)</f>
        <v>0</v>
      </c>
    </row>
    <row r="13" spans="1:30">
      <c r="A13" s="464" t="s">
        <v>43</v>
      </c>
      <c r="B13" s="98"/>
      <c r="C13" s="99">
        <f>BS!B92</f>
        <v>1200.4270044190012</v>
      </c>
      <c r="D13" s="99">
        <f>BS!C92</f>
        <v>7202.5620265140069</v>
      </c>
      <c r="E13" s="99">
        <f>BS!D92</f>
        <v>7202.5620265140069</v>
      </c>
      <c r="F13" s="99">
        <f>IF(F7=0,0,BS!E92)</f>
        <v>7202.5620265140069</v>
      </c>
      <c r="G13" s="99">
        <f>IF(G7=0,0,BS!F92)</f>
        <v>7202.5620265140069</v>
      </c>
      <c r="H13" s="99">
        <f>IF(H7=0,0,BS!G92)</f>
        <v>7202.5620265140069</v>
      </c>
      <c r="I13" s="99">
        <f>IF(I7=0,0,BS!H92)</f>
        <v>7202.5620265140069</v>
      </c>
      <c r="J13" s="99">
        <f>IF(J7=0,0,BS!I92)</f>
        <v>7202.5620265140069</v>
      </c>
      <c r="K13" s="99">
        <f>IF(K7=0,0,BS!J92)</f>
        <v>7202.5620265140069</v>
      </c>
      <c r="L13" s="99">
        <f>IF(L7=0,0,BS!K92)</f>
        <v>7202.5620265140069</v>
      </c>
      <c r="M13" s="99">
        <f>IF(M7=0,0,BS!L92)</f>
        <v>7202.5620265140069</v>
      </c>
      <c r="N13" s="99">
        <f>IF(N7=0,0,BS!M92)</f>
        <v>7202.5620265140069</v>
      </c>
      <c r="O13" s="99">
        <f>IF(O7=0,0,BS!N92)</f>
        <v>7202.5620265140069</v>
      </c>
      <c r="P13" s="99">
        <f>IF(P7=0,0,BS!O92)</f>
        <v>7202.5620265140069</v>
      </c>
      <c r="Q13" s="99">
        <f>IF(Q7=0,0,BS!P92)</f>
        <v>7202.5620265140069</v>
      </c>
      <c r="R13" s="99">
        <f>IF(R7=0,0,BS!Q92)</f>
        <v>7202.5620265140069</v>
      </c>
      <c r="S13" s="99">
        <f>IF(S7=0,0,BS!R92)</f>
        <v>0</v>
      </c>
      <c r="T13" s="99">
        <f>IF(T7=0,0,BS!S92)</f>
        <v>0</v>
      </c>
      <c r="U13" s="99">
        <f>IF(U7=0,0,BS!T92)</f>
        <v>0</v>
      </c>
      <c r="V13" s="99">
        <f>IF(V7=0,0,BS!U92)</f>
        <v>0</v>
      </c>
      <c r="W13" s="99">
        <f>IF(W7=0,0,BS!V92)</f>
        <v>0</v>
      </c>
      <c r="X13" s="99">
        <f>IF(X7=0,0,BS!W92)</f>
        <v>0</v>
      </c>
      <c r="Y13" s="99">
        <f>IF(Y7=0,0,BS!X92)</f>
        <v>0</v>
      </c>
      <c r="Z13" s="99">
        <f>IF(Z7=0,0,BS!Y92)</f>
        <v>0</v>
      </c>
      <c r="AA13" s="99">
        <f>IF(AA7=0,0,BS!Z92)</f>
        <v>0</v>
      </c>
      <c r="AB13" s="99">
        <f>IF(AB7=0,0,BS!AA92)</f>
        <v>0</v>
      </c>
      <c r="AC13" s="99">
        <f>IF(AC7=0,0,BS!AB92)</f>
        <v>0</v>
      </c>
      <c r="AD13" s="99">
        <f>IF(AD7=0,0,BS!AC92)</f>
        <v>0</v>
      </c>
    </row>
    <row r="14" spans="1:30" s="25" customFormat="1">
      <c r="A14" s="463" t="s">
        <v>238</v>
      </c>
      <c r="B14" s="98"/>
      <c r="C14" s="99">
        <f>SUM(Cashflow!D48:D51)</f>
        <v>0</v>
      </c>
      <c r="D14" s="99">
        <f>SUM(Cashflow!E48:E51)</f>
        <v>4511.8590500749951</v>
      </c>
      <c r="E14" s="99">
        <f>SUM(Cashflow!F48:F51)</f>
        <v>4268.9090417988718</v>
      </c>
      <c r="F14" s="99">
        <f>SUM(Cashflow!G48:G51)</f>
        <v>4080.4605295323695</v>
      </c>
      <c r="G14" s="99">
        <f>SUM(Cashflow!H48:H51)</f>
        <v>3720.5374261375659</v>
      </c>
      <c r="H14" s="99">
        <f>SUM(Cashflow!I48:I51)</f>
        <v>3356.9156877568753</v>
      </c>
      <c r="I14" s="99">
        <f>SUM(Cashflow!J48:J51)</f>
        <v>3073.2741204880826</v>
      </c>
      <c r="J14" s="99">
        <f>SUM(Cashflow!K48:K51)</f>
        <v>2689.9696037189128</v>
      </c>
      <c r="K14" s="99">
        <f>SUM(Cashflow!L48:L51)</f>
        <v>2306.9719756475351</v>
      </c>
      <c r="L14" s="99">
        <f>SUM(Cashflow!M48:M51)</f>
        <v>1975.4661427028364</v>
      </c>
      <c r="M14" s="99">
        <f>SUM(Cashflow!N48:N51)</f>
        <v>1578.5741441390735</v>
      </c>
      <c r="N14" s="99">
        <f>SUM(Cashflow!O48:O51)</f>
        <v>1181.6386561906727</v>
      </c>
      <c r="O14" s="99">
        <f>SUM(Cashflow!P48:P51)</f>
        <v>802.61191429529958</v>
      </c>
      <c r="P14" s="99">
        <f>SUM(Cashflow!Q48:Q51)</f>
        <v>303.15440997279666</v>
      </c>
      <c r="Q14" s="99">
        <f>SUM(Cashflow!R48:R51)</f>
        <v>8.1612074421875371E-13</v>
      </c>
      <c r="R14" s="99">
        <f>SUM(Cashflow!S48:S51)</f>
        <v>0</v>
      </c>
      <c r="S14" s="99">
        <f>IF(Tables!$B$21=15,0,SUM(Cashflow!T48:T51))</f>
        <v>0</v>
      </c>
      <c r="T14" s="99">
        <f>IF(Tables!$B$21=15,0,SUM(Cashflow!U48:U51))</f>
        <v>0</v>
      </c>
      <c r="U14" s="99">
        <f>IF(Tables!$B$21=15,0,SUM(Cashflow!V48:V51))</f>
        <v>0</v>
      </c>
      <c r="V14" s="99">
        <f>IF(Tables!$B$21=15,0,SUM(Cashflow!W48:W51))</f>
        <v>0</v>
      </c>
      <c r="W14" s="99">
        <f>IF(Tables!$B$21=15,0,SUM(Cashflow!X48:X51))</f>
        <v>0</v>
      </c>
      <c r="X14" s="99">
        <f>IF(Tables!$B$21=15,0,SUM(Cashflow!Y48:Y51))</f>
        <v>0</v>
      </c>
      <c r="Y14" s="99">
        <f>IF(Tables!$B$21=15,0,SUM(Cashflow!Z48:Z51))</f>
        <v>0</v>
      </c>
      <c r="Z14" s="99">
        <f>IF(Tables!$B$21=15,0,SUM(Cashflow!AA48:AA51))</f>
        <v>0</v>
      </c>
      <c r="AA14" s="99">
        <f>IF(Tables!$B$21=15,0,SUM(Cashflow!AB48:AB51))</f>
        <v>0</v>
      </c>
      <c r="AB14" s="99">
        <f>IF(Tables!$B$21=15,0,SUM(Cashflow!AC48:AC51))</f>
        <v>0</v>
      </c>
      <c r="AC14" s="99">
        <f>IF(Tables!$B$21=15,0,SUM(Cashflow!AD48:AD51))</f>
        <v>0</v>
      </c>
      <c r="AD14" s="99">
        <f>IF(Tables!$B$21=15,0,SUM(Cashflow!AE48:AE51))</f>
        <v>0</v>
      </c>
    </row>
    <row r="15" spans="1:30" s="276" customFormat="1">
      <c r="A15" s="287"/>
      <c r="B15" s="287"/>
      <c r="C15" s="280">
        <f>SUM(C10:C14)</f>
        <v>1646.8812344142304</v>
      </c>
      <c r="D15" s="280">
        <f t="shared" ref="D15:AD15" si="2">SUM(D10:D14)</f>
        <v>27769.538268554406</v>
      </c>
      <c r="E15" s="280">
        <f t="shared" si="2"/>
        <v>30052.73164346761</v>
      </c>
      <c r="F15" s="280">
        <f t="shared" si="2"/>
        <v>30275.865024829716</v>
      </c>
      <c r="G15" s="280">
        <f t="shared" si="2"/>
        <v>27122.774446907875</v>
      </c>
      <c r="H15" s="280">
        <f t="shared" si="2"/>
        <v>26895.486594322345</v>
      </c>
      <c r="I15" s="280">
        <f t="shared" si="2"/>
        <v>26837.028219800879</v>
      </c>
      <c r="J15" s="280">
        <f t="shared" si="2"/>
        <v>26523.871076087624</v>
      </c>
      <c r="K15" s="280">
        <f t="shared" si="2"/>
        <v>26395.973752593647</v>
      </c>
      <c r="L15" s="280">
        <f t="shared" si="2"/>
        <v>26483.551015252768</v>
      </c>
      <c r="M15" s="280">
        <f t="shared" si="2"/>
        <v>26536.662036574253</v>
      </c>
      <c r="N15" s="280">
        <f t="shared" si="2"/>
        <v>26425.936800421907</v>
      </c>
      <c r="O15" s="280">
        <f t="shared" si="2"/>
        <v>24440.365832292209</v>
      </c>
      <c r="P15" s="280">
        <f t="shared" si="2"/>
        <v>24260.159899447382</v>
      </c>
      <c r="Q15" s="280">
        <f t="shared" si="2"/>
        <v>24255.915986111344</v>
      </c>
      <c r="R15" s="280">
        <f t="shared" si="2"/>
        <v>24526.583008650923</v>
      </c>
      <c r="S15" s="280">
        <f t="shared" si="2"/>
        <v>0</v>
      </c>
      <c r="T15" s="280">
        <f t="shared" si="2"/>
        <v>0</v>
      </c>
      <c r="U15" s="280">
        <f t="shared" si="2"/>
        <v>0</v>
      </c>
      <c r="V15" s="280">
        <f t="shared" si="2"/>
        <v>0</v>
      </c>
      <c r="W15" s="280">
        <f t="shared" si="2"/>
        <v>0</v>
      </c>
      <c r="X15" s="280">
        <f t="shared" si="2"/>
        <v>0</v>
      </c>
      <c r="Y15" s="280">
        <f t="shared" si="2"/>
        <v>0</v>
      </c>
      <c r="Z15" s="280">
        <f t="shared" si="2"/>
        <v>0</v>
      </c>
      <c r="AA15" s="280">
        <f t="shared" si="2"/>
        <v>0</v>
      </c>
      <c r="AB15" s="280">
        <f t="shared" si="2"/>
        <v>0</v>
      </c>
      <c r="AC15" s="280">
        <f t="shared" si="2"/>
        <v>0</v>
      </c>
      <c r="AD15" s="280">
        <f t="shared" si="2"/>
        <v>0</v>
      </c>
    </row>
    <row r="16" spans="1:30">
      <c r="A16" s="98"/>
      <c r="B16" s="98"/>
      <c r="C16" s="98"/>
      <c r="D16" s="98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</row>
    <row r="17" spans="1:30">
      <c r="A17" s="199" t="s">
        <v>171</v>
      </c>
      <c r="B17" s="98"/>
      <c r="C17" s="99">
        <f>C7-C15</f>
        <v>-1646.8812344142304</v>
      </c>
      <c r="D17" s="99">
        <f>D7-D15</f>
        <v>23318.420365818591</v>
      </c>
      <c r="E17" s="99">
        <f>E7-E15</f>
        <v>14895.065227539868</v>
      </c>
      <c r="F17" s="99">
        <f t="shared" ref="F17:AD17" si="3">F7-F15</f>
        <v>10264.022704532832</v>
      </c>
      <c r="G17" s="99">
        <f t="shared" si="3"/>
        <v>5523.3045999843307</v>
      </c>
      <c r="H17" s="99">
        <f t="shared" si="3"/>
        <v>3497.1866937235864</v>
      </c>
      <c r="I17" s="99">
        <f t="shared" si="3"/>
        <v>4633.2508087996794</v>
      </c>
      <c r="J17" s="99">
        <f t="shared" si="3"/>
        <v>5510.8266710203352</v>
      </c>
      <c r="K17" s="99">
        <f t="shared" si="3"/>
        <v>5057.7397546991597</v>
      </c>
      <c r="L17" s="99">
        <f t="shared" si="3"/>
        <v>6018.6322297040715</v>
      </c>
      <c r="M17" s="99">
        <f t="shared" si="3"/>
        <v>6390.6010793357891</v>
      </c>
      <c r="N17" s="99">
        <f t="shared" si="3"/>
        <v>7130.3799076755749</v>
      </c>
      <c r="O17" s="99">
        <f t="shared" si="3"/>
        <v>7847.5345951931631</v>
      </c>
      <c r="P17" s="99">
        <f t="shared" si="3"/>
        <v>9209.8088929037622</v>
      </c>
      <c r="Q17" s="99">
        <f t="shared" si="3"/>
        <v>9672.9347690268187</v>
      </c>
      <c r="R17" s="99">
        <f t="shared" si="3"/>
        <v>10621.865768098331</v>
      </c>
      <c r="S17" s="99">
        <f t="shared" si="3"/>
        <v>0</v>
      </c>
      <c r="T17" s="99">
        <f t="shared" si="3"/>
        <v>0</v>
      </c>
      <c r="U17" s="99">
        <f t="shared" si="3"/>
        <v>0</v>
      </c>
      <c r="V17" s="99">
        <f t="shared" si="3"/>
        <v>0</v>
      </c>
      <c r="W17" s="99">
        <f t="shared" si="3"/>
        <v>0</v>
      </c>
      <c r="X17" s="99">
        <f t="shared" si="3"/>
        <v>0</v>
      </c>
      <c r="Y17" s="99">
        <f t="shared" si="3"/>
        <v>0</v>
      </c>
      <c r="Z17" s="99">
        <f t="shared" si="3"/>
        <v>0</v>
      </c>
      <c r="AA17" s="99">
        <f t="shared" si="3"/>
        <v>0</v>
      </c>
      <c r="AB17" s="99">
        <f t="shared" si="3"/>
        <v>0</v>
      </c>
      <c r="AC17" s="99">
        <f t="shared" si="3"/>
        <v>0</v>
      </c>
      <c r="AD17" s="99">
        <f t="shared" si="3"/>
        <v>0</v>
      </c>
    </row>
    <row r="18" spans="1:30">
      <c r="A18" s="199"/>
      <c r="B18" s="98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</row>
    <row r="19" spans="1:30">
      <c r="A19" s="98" t="s">
        <v>187</v>
      </c>
      <c r="B19" s="98"/>
      <c r="C19" s="98"/>
      <c r="D19" s="98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</row>
    <row r="20" spans="1:30" s="700" customFormat="1">
      <c r="A20" s="694" t="s">
        <v>89</v>
      </c>
      <c r="B20" s="694"/>
      <c r="C20" s="682">
        <f>IF(C15=0,0,Tax!C26+Tax!C28+Tax!C29+Tax!C31)</f>
        <v>349.13775179659314</v>
      </c>
      <c r="D20" s="682">
        <f>IF(D15=0,0,Tax!D26+Tax!D28+Tax!D29+Tax!D31)</f>
        <v>4055.3806087207631</v>
      </c>
      <c r="E20" s="682">
        <f>IF(E15=0,0,Tax!E26+Tax!E28+Tax!E29+Tax!E31)</f>
        <v>3498.169184319645</v>
      </c>
      <c r="F20" s="682">
        <f>IF(F15=0,0,Tax!F26+Tax!F28+Tax!F29+Tax!F31)</f>
        <v>2657.117669295274</v>
      </c>
      <c r="G20" s="682">
        <f>IF(G15=0,0,Tax!G26+Tax!G28+Tax!G29+Tax!G31)</f>
        <v>1555.9153699211242</v>
      </c>
      <c r="H20" s="682">
        <f>IF(H15=0,0,Tax!H26+Tax!H28+Tax!H29+Tax!H31)</f>
        <v>907.69904515247333</v>
      </c>
      <c r="I20" s="682">
        <f>IF(I15=0,0,Tax!I26+Tax!I28+Tax!I29+Tax!I31)</f>
        <v>1744.099922117583</v>
      </c>
      <c r="J20" s="682">
        <f>IF(J15=0,0,Tax!J26+Tax!J28+Tax!J29+Tax!J31)</f>
        <v>2291.9692799144714</v>
      </c>
      <c r="K20" s="682">
        <f>IF(K15=0,0,Tax!K26+Tax!K28+Tax!K29+Tax!K31)</f>
        <v>2405.9675161505475</v>
      </c>
      <c r="L20" s="682">
        <f>IF(L15=0,0,Tax!L26+Tax!L28+Tax!L29+Tax!L31)</f>
        <v>2995.592635636257</v>
      </c>
      <c r="M20" s="682">
        <f>IF(M15=0,0,Tax!M26+Tax!M28+Tax!M29+Tax!M31)</f>
        <v>3350.7444440910331</v>
      </c>
      <c r="N20" s="682">
        <f>IF(N15=0,0,Tax!N26+Tax!N28+Tax!N29+Tax!N31)</f>
        <v>3816.4692898966241</v>
      </c>
      <c r="O20" s="682">
        <f>IF(O15=0,0,Tax!O26+Tax!O28+Tax!O29+Tax!O31)</f>
        <v>4256.4751211596831</v>
      </c>
      <c r="P20" s="682">
        <f>IF(P15=0,0,Tax!P26+Tax!P28+Tax!P29+Tax!P31)</f>
        <v>4911.863078455176</v>
      </c>
      <c r="Q20" s="682">
        <f>IF(Q15=0,0,Tax!Q26+Tax!Q28+Tax!Q29+Tax!Q31)</f>
        <v>5233.0263057200436</v>
      </c>
      <c r="R20" s="682">
        <f>IF(R15=0,0,Tax!R26+Tax!R28+Tax!R29+Tax!R31)</f>
        <v>12518.27600150871</v>
      </c>
      <c r="S20" s="682">
        <f>IF(S15=0,0,Tax!S26+Tax!S28+Tax!S29+Tax!S31)</f>
        <v>0</v>
      </c>
      <c r="T20" s="682">
        <f>IF(T15=0,0,Tax!T26+Tax!T28+Tax!T29+Tax!T31)</f>
        <v>0</v>
      </c>
      <c r="U20" s="682">
        <f>IF(U15=0,0,Tax!U26+Tax!U28+Tax!U29+Tax!U31)</f>
        <v>0</v>
      </c>
      <c r="V20" s="682">
        <f>IF(V15=0,0,Tax!V26+Tax!V28+Tax!V29+Tax!V31)</f>
        <v>0</v>
      </c>
      <c r="W20" s="682">
        <f>IF(W15=0,0,Tax!W26+Tax!W28+Tax!W29+Tax!W31)</f>
        <v>0</v>
      </c>
      <c r="X20" s="682">
        <f>IF(X15=0,0,Tax!X26+Tax!X28+Tax!X29+Tax!X31)</f>
        <v>0</v>
      </c>
      <c r="Y20" s="682">
        <f>IF(Y15=0,0,Tax!Y26+Tax!Y28+Tax!Y29+Tax!Y31)</f>
        <v>0</v>
      </c>
      <c r="Z20" s="682">
        <f>IF(Z15=0,0,Tax!Z26+Tax!Z28+Tax!Z29+Tax!Z31)</f>
        <v>0</v>
      </c>
      <c r="AA20" s="682">
        <f>IF(AA15=0,0,Tax!AA26+Tax!AA28+Tax!AA29+Tax!AA31)</f>
        <v>0</v>
      </c>
      <c r="AB20" s="682">
        <f>IF(AB15=0,0,Tax!AB26+Tax!AB28+Tax!AB29+Tax!AB31)</f>
        <v>0</v>
      </c>
      <c r="AC20" s="682">
        <f>IF(AC15=0,0,Tax!AC26+Tax!AC28+Tax!AC29+Tax!AC31)</f>
        <v>0</v>
      </c>
      <c r="AD20" s="682">
        <f>IF(AD15=0,0,Tax!AD26+Tax!AD28+Tax!AD29+Tax!AD31)</f>
        <v>0</v>
      </c>
    </row>
    <row r="21" spans="1:30" s="705" customFormat="1">
      <c r="A21" s="703" t="s">
        <v>90</v>
      </c>
      <c r="B21" s="703"/>
      <c r="C21" s="704">
        <f>IF(C17=0,0,Tax!C36)</f>
        <v>0</v>
      </c>
      <c r="D21" s="704">
        <f>IF(D17=0,0,Tax!D36)</f>
        <v>5784.3173881121402</v>
      </c>
      <c r="E21" s="704">
        <f>IF(E17=0,0,Tax!E36)</f>
        <v>2450.8723928994505</v>
      </c>
      <c r="F21" s="704">
        <f>IF(F17=0,0,Tax!F36)</f>
        <v>1901.397731665443</v>
      </c>
      <c r="G21" s="704">
        <f>IF(G17=0,0,Tax!G36)</f>
        <v>1440.3292420185082</v>
      </c>
      <c r="H21" s="704">
        <f>IF(H17=0,0,Tax!H36)</f>
        <v>1047.2599706251767</v>
      </c>
      <c r="I21" s="704">
        <f>IF(I17=0,0,Tax!I36)</f>
        <v>707.4158583006033</v>
      </c>
      <c r="J21" s="704">
        <f>IF(J17=0,0,Tax!J36)</f>
        <v>410.00500711210077</v>
      </c>
      <c r="K21" s="704">
        <f>IF(K17=0,0,Tax!K36)</f>
        <v>147.05903652375196</v>
      </c>
      <c r="L21" s="704">
        <f>IF(L17=0,0,Tax!L36)</f>
        <v>0</v>
      </c>
      <c r="M21" s="704">
        <f>IF(M17=0,0,Tax!M36)</f>
        <v>0</v>
      </c>
      <c r="N21" s="704">
        <f>IF(N17=0,0,Tax!N36)</f>
        <v>0</v>
      </c>
      <c r="O21" s="704">
        <f>IF(O17=0,0,Tax!O36)</f>
        <v>0</v>
      </c>
      <c r="P21" s="704">
        <f>IF(P17=0,0,Tax!P36)</f>
        <v>0</v>
      </c>
      <c r="Q21" s="704">
        <f>IF(Q17=0,0,Tax!Q36)</f>
        <v>0</v>
      </c>
      <c r="R21" s="704">
        <f>IF(R17=0,0,Tax!R36)</f>
        <v>0</v>
      </c>
      <c r="S21" s="704">
        <f>IF(S17=0,0,Tax!S36)</f>
        <v>0</v>
      </c>
      <c r="T21" s="704">
        <f>IF(T17=0,0,Tax!T36)</f>
        <v>0</v>
      </c>
      <c r="U21" s="704">
        <f>IF(U17=0,0,Tax!U36)</f>
        <v>0</v>
      </c>
      <c r="V21" s="704">
        <f>IF(V17=0,0,Tax!V36)</f>
        <v>0</v>
      </c>
      <c r="W21" s="704">
        <f>IF(W17=0,0,Tax!W36)</f>
        <v>0</v>
      </c>
      <c r="X21" s="704">
        <f>IF(X17=0,0,Tax!X36)</f>
        <v>0</v>
      </c>
      <c r="Y21" s="704">
        <f>IF(Y17=0,0,Tax!Y36)</f>
        <v>0</v>
      </c>
      <c r="Z21" s="704">
        <f>IF(Z17=0,0,Tax!Z36)</f>
        <v>0</v>
      </c>
      <c r="AA21" s="704">
        <f>IF(AA17=0,0,Tax!AA36)</f>
        <v>0</v>
      </c>
      <c r="AB21" s="704">
        <f>IF(AB17=0,0,Tax!AB36)</f>
        <v>0</v>
      </c>
      <c r="AC21" s="704">
        <f>IF(AC17=0,0,Tax!AC36)</f>
        <v>0</v>
      </c>
      <c r="AD21" s="704">
        <f>IF(AD17=0,0,Tax!AD36)</f>
        <v>0</v>
      </c>
    </row>
    <row r="22" spans="1:30">
      <c r="A22" s="98"/>
      <c r="B22" s="98"/>
      <c r="C22" s="98"/>
      <c r="D22" s="98"/>
      <c r="E22" s="99"/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</row>
    <row r="23" spans="1:30" s="277" customFormat="1">
      <c r="A23" s="283" t="s">
        <v>488</v>
      </c>
      <c r="B23" s="283"/>
      <c r="C23" s="280">
        <f>C17+-SUM(C20:C21)</f>
        <v>-1996.0189862108236</v>
      </c>
      <c r="D23" s="280">
        <f>D17+-SUM(D20:D21)</f>
        <v>13478.722368985687</v>
      </c>
      <c r="E23" s="280">
        <f>E17+-SUM(E20:E21)</f>
        <v>8946.0236503207725</v>
      </c>
      <c r="F23" s="280">
        <f>F17+-SUM(F20:F21)</f>
        <v>5705.5073035721152</v>
      </c>
      <c r="G23" s="280">
        <f t="shared" ref="G23:AD23" si="4">G17+-SUM(G20:G21)</f>
        <v>2527.059988044698</v>
      </c>
      <c r="H23" s="280">
        <f t="shared" si="4"/>
        <v>1542.2276779459362</v>
      </c>
      <c r="I23" s="280">
        <f t="shared" si="4"/>
        <v>2181.7350283814931</v>
      </c>
      <c r="J23" s="280">
        <f t="shared" si="4"/>
        <v>2808.8523839937629</v>
      </c>
      <c r="K23" s="280">
        <f t="shared" si="4"/>
        <v>2504.71320202486</v>
      </c>
      <c r="L23" s="280">
        <f t="shared" si="4"/>
        <v>3023.0395940678145</v>
      </c>
      <c r="M23" s="280">
        <f t="shared" si="4"/>
        <v>3039.856635244756</v>
      </c>
      <c r="N23" s="280">
        <f t="shared" si="4"/>
        <v>3313.9106177789508</v>
      </c>
      <c r="O23" s="280">
        <f t="shared" si="4"/>
        <v>3591.05947403348</v>
      </c>
      <c r="P23" s="280">
        <f t="shared" si="4"/>
        <v>4297.9458144485861</v>
      </c>
      <c r="Q23" s="280">
        <f t="shared" si="4"/>
        <v>4439.908463306775</v>
      </c>
      <c r="R23" s="280">
        <f t="shared" si="4"/>
        <v>-1896.4102334103791</v>
      </c>
      <c r="S23" s="280">
        <f t="shared" si="4"/>
        <v>0</v>
      </c>
      <c r="T23" s="280">
        <f t="shared" si="4"/>
        <v>0</v>
      </c>
      <c r="U23" s="280">
        <f t="shared" si="4"/>
        <v>0</v>
      </c>
      <c r="V23" s="280">
        <f t="shared" si="4"/>
        <v>0</v>
      </c>
      <c r="W23" s="280">
        <f t="shared" si="4"/>
        <v>0</v>
      </c>
      <c r="X23" s="280">
        <f t="shared" si="4"/>
        <v>0</v>
      </c>
      <c r="Y23" s="280">
        <f t="shared" si="4"/>
        <v>0</v>
      </c>
      <c r="Z23" s="280">
        <f t="shared" si="4"/>
        <v>0</v>
      </c>
      <c r="AA23" s="280">
        <f t="shared" si="4"/>
        <v>0</v>
      </c>
      <c r="AB23" s="280">
        <f t="shared" si="4"/>
        <v>0</v>
      </c>
      <c r="AC23" s="280">
        <f t="shared" si="4"/>
        <v>0</v>
      </c>
      <c r="AD23" s="280">
        <f t="shared" si="4"/>
        <v>0</v>
      </c>
    </row>
    <row r="24" spans="1:30" ht="12" customHeight="1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</row>
    <row r="25" spans="1:30" ht="12.75">
      <c r="A25" s="196"/>
      <c r="B25" s="196"/>
      <c r="C25" s="196"/>
      <c r="D25" s="300"/>
      <c r="E25" s="300"/>
      <c r="F25" s="300"/>
      <c r="G25" s="300"/>
      <c r="H25" s="300"/>
      <c r="I25" s="300"/>
      <c r="J25" s="300"/>
      <c r="K25" s="300"/>
      <c r="L25" s="300"/>
      <c r="M25" s="300"/>
      <c r="N25" s="300"/>
      <c r="O25" s="300"/>
      <c r="P25" s="300"/>
      <c r="Q25" s="300"/>
      <c r="R25" s="300"/>
      <c r="S25" s="300"/>
      <c r="T25" s="300"/>
      <c r="U25" s="300"/>
      <c r="V25" s="300"/>
      <c r="W25" s="300"/>
      <c r="X25" s="300"/>
      <c r="Y25" s="300"/>
      <c r="Z25" s="300"/>
      <c r="AA25" s="300"/>
      <c r="AB25" s="300"/>
      <c r="AC25" s="300"/>
      <c r="AD25" s="300"/>
    </row>
    <row r="26" spans="1:30" ht="12.75">
      <c r="A26" s="196"/>
      <c r="B26" s="196"/>
      <c r="C26" s="196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</row>
    <row r="27" spans="1:30" ht="12.75">
      <c r="A27" s="196"/>
      <c r="B27" s="196"/>
      <c r="C27" s="196"/>
      <c r="D27" s="300"/>
      <c r="E27" s="300"/>
      <c r="F27" s="300"/>
      <c r="G27" s="300"/>
      <c r="H27" s="300"/>
      <c r="I27" s="300"/>
      <c r="J27" s="300"/>
      <c r="K27" s="300"/>
      <c r="L27" s="300"/>
      <c r="M27" s="300"/>
      <c r="N27" s="300"/>
      <c r="O27" s="300"/>
      <c r="P27" s="300"/>
      <c r="Q27" s="300"/>
      <c r="R27" s="300"/>
      <c r="S27" s="300"/>
      <c r="T27" s="300"/>
      <c r="U27" s="300"/>
      <c r="V27" s="300"/>
      <c r="W27" s="300"/>
      <c r="X27" s="300"/>
      <c r="Y27" s="300"/>
      <c r="Z27" s="300"/>
      <c r="AA27" s="300"/>
      <c r="AB27" s="300"/>
      <c r="AC27" s="300"/>
      <c r="AD27" s="300"/>
    </row>
    <row r="28" spans="1:30" ht="12.75">
      <c r="A28" s="196"/>
      <c r="B28" s="196"/>
      <c r="C28" s="196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</row>
    <row r="29" spans="1:30" ht="12.75">
      <c r="A29" s="196"/>
      <c r="B29" s="196"/>
      <c r="C29" s="196"/>
      <c r="D29" s="300"/>
      <c r="E29" s="300"/>
      <c r="F29" s="300"/>
      <c r="G29" s="300"/>
      <c r="H29" s="300"/>
      <c r="I29" s="300"/>
      <c r="J29" s="300"/>
      <c r="K29" s="300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</row>
    <row r="30" spans="1:30" ht="12.75">
      <c r="A30" s="196"/>
      <c r="B30" s="196"/>
      <c r="C30" s="196"/>
      <c r="D30" s="300"/>
      <c r="E30" s="300"/>
      <c r="F30" s="300"/>
      <c r="G30" s="300"/>
      <c r="H30" s="300"/>
      <c r="I30" s="300"/>
      <c r="J30" s="300"/>
      <c r="K30" s="300"/>
      <c r="L30" s="300"/>
      <c r="M30" s="300"/>
      <c r="N30" s="300"/>
      <c r="O30" s="300"/>
      <c r="P30" s="300"/>
      <c r="Q30" s="300"/>
      <c r="R30" s="300"/>
      <c r="S30" s="300"/>
      <c r="T30" s="300"/>
      <c r="U30" s="300"/>
      <c r="V30" s="300"/>
      <c r="W30" s="300"/>
      <c r="X30" s="300"/>
      <c r="Y30" s="300"/>
      <c r="Z30" s="300"/>
      <c r="AA30" s="300"/>
      <c r="AB30" s="300"/>
      <c r="AC30" s="300"/>
      <c r="AD30" s="300"/>
    </row>
    <row r="31" spans="1:30">
      <c r="A31" s="199" t="s">
        <v>318</v>
      </c>
      <c r="B31" s="98"/>
      <c r="C31" s="98"/>
      <c r="D31" s="98"/>
      <c r="E31" s="54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</row>
    <row r="32" spans="1:30">
      <c r="A32" s="98"/>
      <c r="B32" s="98"/>
      <c r="C32" s="98"/>
      <c r="D32" s="98"/>
      <c r="E32" s="54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</row>
    <row r="33" spans="1:30">
      <c r="A33" s="98" t="s">
        <v>319</v>
      </c>
      <c r="B33" s="98"/>
      <c r="C33" s="54">
        <f>Cashflow!D64</f>
        <v>-795.59198179182249</v>
      </c>
      <c r="D33" s="54">
        <f>Cashflow!E64</f>
        <v>21955.432234828248</v>
      </c>
      <c r="E33" s="54">
        <f>Cashflow!F64</f>
        <v>14089.288520950649</v>
      </c>
      <c r="F33" s="54">
        <f>Cashflow!G64</f>
        <v>10299.297512967985</v>
      </c>
      <c r="G33" s="54">
        <f>Cashflow!H64</f>
        <v>6659.7817077936288</v>
      </c>
      <c r="H33" s="54">
        <f>Cashflow!I64</f>
        <v>5281.8801263015366</v>
      </c>
      <c r="I33" s="54">
        <f>Cashflow!J64</f>
        <v>5581.5433644125205</v>
      </c>
      <c r="J33" s="54">
        <f>Cashflow!K64</f>
        <v>5911.2498688362857</v>
      </c>
      <c r="K33" s="54">
        <f>Cashflow!L64</f>
        <v>5344.1647162790341</v>
      </c>
      <c r="L33" s="54">
        <f>Cashflow!M64</f>
        <v>5715.4320717982328</v>
      </c>
      <c r="M33" s="54">
        <f>Cashflow!N64</f>
        <v>5732.2491129751761</v>
      </c>
      <c r="N33" s="54">
        <f>Cashflow!O64</f>
        <v>6006.3030955093691</v>
      </c>
      <c r="O33" s="54">
        <f>Cashflow!P64</f>
        <v>6283.4519517639019</v>
      </c>
      <c r="P33" s="54">
        <f>Cashflow!Q64</f>
        <v>6990.3382921790098</v>
      </c>
      <c r="Q33" s="54">
        <f>Cashflow!R64</f>
        <v>11642.470489820764</v>
      </c>
      <c r="R33" s="54">
        <f>Cashflow!S64</f>
        <v>5306.1517931036306</v>
      </c>
      <c r="S33" s="54">
        <f>Cashflow!T64</f>
        <v>5374.6782686433671</v>
      </c>
      <c r="T33" s="54">
        <f>Cashflow!U64</f>
        <v>5406.2323994616036</v>
      </c>
      <c r="U33" s="54">
        <f>Cashflow!V64</f>
        <v>4400.654926410306</v>
      </c>
      <c r="V33" s="54" t="e">
        <f>Cashflow!W64</f>
        <v>#DIV/0!</v>
      </c>
      <c r="W33" s="54" t="e">
        <f>Cashflow!X64</f>
        <v>#DIV/0!</v>
      </c>
      <c r="X33" s="54">
        <f>Cashflow!Y64</f>
        <v>0</v>
      </c>
      <c r="Y33" s="54">
        <f>Cashflow!Z64</f>
        <v>0</v>
      </c>
      <c r="Z33" s="54">
        <f>Cashflow!AA64</f>
        <v>0</v>
      </c>
      <c r="AA33" s="54">
        <f>Cashflow!AB64</f>
        <v>0</v>
      </c>
      <c r="AB33" s="54">
        <f>Cashflow!AC64</f>
        <v>0</v>
      </c>
      <c r="AC33" s="54">
        <f>Cashflow!AD64</f>
        <v>0</v>
      </c>
      <c r="AD33" s="54">
        <f>Cashflow!AE64</f>
        <v>0</v>
      </c>
    </row>
    <row r="34" spans="1:30">
      <c r="A34" s="98" t="s">
        <v>320</v>
      </c>
      <c r="B34" s="98"/>
      <c r="C34" s="98"/>
      <c r="D34" s="98"/>
      <c r="E34" s="54"/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</row>
    <row r="35" spans="1:30">
      <c r="A35" s="98" t="s">
        <v>362</v>
      </c>
      <c r="B35" s="98"/>
      <c r="C35" s="98"/>
      <c r="D35" s="98"/>
      <c r="E35" s="54"/>
      <c r="F35" s="682">
        <f>-Cashflow!G57</f>
        <v>0</v>
      </c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</row>
    <row r="36" spans="1:30">
      <c r="A36" s="98" t="s">
        <v>321</v>
      </c>
      <c r="B36" s="98"/>
      <c r="C36" s="54">
        <f>Cashflow!D52+Cashflow!D53</f>
        <v>0</v>
      </c>
      <c r="D36" s="54">
        <f>Cashflow!E52+Cashflow!E53</f>
        <v>4510.1695487835841</v>
      </c>
      <c r="E36" s="54">
        <f>Cashflow!F52+Cashflow!F53</f>
        <v>4510.1695487835841</v>
      </c>
      <c r="F36" s="54">
        <f>Cashflow!G52+Cashflow!G53</f>
        <v>4510.1695487835841</v>
      </c>
      <c r="G36" s="54">
        <f>Cashflow!H52+Cashflow!H53</f>
        <v>4510.1695487835841</v>
      </c>
      <c r="H36" s="54">
        <f>Cashflow!I52+Cashflow!I53</f>
        <v>4510.1695487835841</v>
      </c>
      <c r="I36" s="54">
        <f>Cashflow!J52+Cashflow!J53</f>
        <v>4510.1695487835841</v>
      </c>
      <c r="J36" s="54">
        <f>Cashflow!K52+Cashflow!K53</f>
        <v>4510.1695487835841</v>
      </c>
      <c r="K36" s="54">
        <f>Cashflow!L52+Cashflow!L53</f>
        <v>4510.1695487835841</v>
      </c>
      <c r="L36" s="54">
        <f>Cashflow!M52+Cashflow!M53</f>
        <v>4510.1695487835841</v>
      </c>
      <c r="M36" s="54">
        <f>Cashflow!N52+Cashflow!N53</f>
        <v>4510.1695487835841</v>
      </c>
      <c r="N36" s="54">
        <f>Cashflow!O52+Cashflow!O53</f>
        <v>4510.1695487835841</v>
      </c>
      <c r="O36" s="54">
        <f>Cashflow!P52+Cashflow!P53</f>
        <v>4510.1695487835841</v>
      </c>
      <c r="P36" s="54">
        <f>Cashflow!Q52+Cashflow!Q53</f>
        <v>4510.1695487835841</v>
      </c>
      <c r="Q36" s="54">
        <f>Cashflow!R52+Cashflow!R53</f>
        <v>1.8189894035458565E-11</v>
      </c>
      <c r="R36" s="54">
        <f>Cashflow!S52+Cashflow!S53</f>
        <v>0</v>
      </c>
      <c r="S36" s="54">
        <f>Cashflow!T52+Cashflow!T53</f>
        <v>0</v>
      </c>
      <c r="T36" s="54">
        <f>Cashflow!U52+Cashflow!U53</f>
        <v>0</v>
      </c>
      <c r="U36" s="54">
        <f>Cashflow!V52+Cashflow!V53</f>
        <v>0</v>
      </c>
      <c r="V36" s="54" t="e">
        <f>Cashflow!W52+Cashflow!W53</f>
        <v>#DIV/0!</v>
      </c>
      <c r="W36" s="54" t="e">
        <f>Cashflow!X52+Cashflow!X53</f>
        <v>#DIV/0!</v>
      </c>
      <c r="X36" s="54">
        <f>Cashflow!Y52+Cashflow!Y53</f>
        <v>0</v>
      </c>
      <c r="Y36" s="54">
        <f>Cashflow!Z52+Cashflow!Z53</f>
        <v>0</v>
      </c>
      <c r="Z36" s="54">
        <f>Cashflow!AA52+Cashflow!AA53</f>
        <v>0</v>
      </c>
      <c r="AA36" s="54">
        <f>Cashflow!AB52+Cashflow!AB53</f>
        <v>0</v>
      </c>
      <c r="AB36" s="54">
        <f>Cashflow!AC52+Cashflow!AC53</f>
        <v>0</v>
      </c>
      <c r="AC36" s="54">
        <f>Cashflow!AD52+Cashflow!AD53</f>
        <v>0</v>
      </c>
      <c r="AD36" s="54">
        <f>Cashflow!AE52+Cashflow!AE53</f>
        <v>0</v>
      </c>
    </row>
    <row r="37" spans="1:30">
      <c r="A37" s="98" t="s">
        <v>322</v>
      </c>
      <c r="B37" s="98"/>
      <c r="C37" s="54">
        <f>Cashflow!D54</f>
        <v>0</v>
      </c>
      <c r="D37" s="54">
        <f>Cashflow!E54</f>
        <v>0</v>
      </c>
      <c r="E37" s="54">
        <f>Cashflow!F54</f>
        <v>0</v>
      </c>
      <c r="F37" s="54">
        <f>Cashflow!G54</f>
        <v>0</v>
      </c>
      <c r="G37" s="54">
        <f>Cashflow!H54</f>
        <v>0</v>
      </c>
      <c r="H37" s="54">
        <f>Cashflow!I54</f>
        <v>0</v>
      </c>
      <c r="I37" s="54">
        <f>Cashflow!J54</f>
        <v>0</v>
      </c>
      <c r="J37" s="54">
        <f>Cashflow!K54</f>
        <v>0</v>
      </c>
      <c r="K37" s="54">
        <f>Cashflow!L54</f>
        <v>0</v>
      </c>
      <c r="L37" s="54">
        <f>Cashflow!M54</f>
        <v>0</v>
      </c>
      <c r="M37" s="54">
        <f>Cashflow!N54</f>
        <v>0</v>
      </c>
      <c r="N37" s="54">
        <f>Cashflow!O54</f>
        <v>0</v>
      </c>
      <c r="O37" s="54">
        <f>Cashflow!P54</f>
        <v>0</v>
      </c>
      <c r="P37" s="54">
        <f>Cashflow!Q54</f>
        <v>0</v>
      </c>
      <c r="Q37" s="54">
        <f>Cashflow!R54</f>
        <v>0</v>
      </c>
      <c r="R37" s="54">
        <f>Cashflow!S54</f>
        <v>0</v>
      </c>
      <c r="S37" s="54">
        <f>Cashflow!T54</f>
        <v>0</v>
      </c>
      <c r="T37" s="54">
        <f>Cashflow!U54</f>
        <v>0</v>
      </c>
      <c r="U37" s="54">
        <f>Cashflow!V54</f>
        <v>0</v>
      </c>
      <c r="V37" s="54">
        <f>Cashflow!W54</f>
        <v>0</v>
      </c>
      <c r="W37" s="54">
        <f>Cashflow!X54</f>
        <v>0</v>
      </c>
      <c r="X37" s="54">
        <f>Cashflow!Y54</f>
        <v>0</v>
      </c>
      <c r="Y37" s="54">
        <f>Cashflow!Z54</f>
        <v>0</v>
      </c>
      <c r="Z37" s="54">
        <f>Cashflow!AA54</f>
        <v>0</v>
      </c>
      <c r="AA37" s="54">
        <f>Cashflow!AB54</f>
        <v>0</v>
      </c>
      <c r="AB37" s="54">
        <f>Cashflow!AC54</f>
        <v>0</v>
      </c>
      <c r="AC37" s="54">
        <f>Cashflow!AD54</f>
        <v>0</v>
      </c>
      <c r="AD37" s="54">
        <f>Cashflow!AE54</f>
        <v>0</v>
      </c>
    </row>
    <row r="38" spans="1:30">
      <c r="A38" s="25" t="s">
        <v>323</v>
      </c>
      <c r="B38" s="25"/>
      <c r="C38" s="25"/>
      <c r="D38" s="25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</row>
    <row r="39" spans="1:30">
      <c r="A39" s="98" t="s">
        <v>170</v>
      </c>
      <c r="B39" s="98"/>
      <c r="C39" s="54">
        <f>C13</f>
        <v>1200.4270044190012</v>
      </c>
      <c r="D39" s="54">
        <f>D13</f>
        <v>7202.5620265140069</v>
      </c>
      <c r="E39" s="54">
        <f>E13</f>
        <v>7202.5620265140069</v>
      </c>
      <c r="F39" s="54">
        <f t="shared" ref="F39:AD39" si="5">F13</f>
        <v>7202.5620265140069</v>
      </c>
      <c r="G39" s="54">
        <f t="shared" si="5"/>
        <v>7202.5620265140069</v>
      </c>
      <c r="H39" s="54">
        <f t="shared" si="5"/>
        <v>7202.5620265140069</v>
      </c>
      <c r="I39" s="54">
        <f t="shared" si="5"/>
        <v>7202.5620265140069</v>
      </c>
      <c r="J39" s="54">
        <f t="shared" si="5"/>
        <v>7202.5620265140069</v>
      </c>
      <c r="K39" s="54">
        <f t="shared" si="5"/>
        <v>7202.5620265140069</v>
      </c>
      <c r="L39" s="54">
        <f t="shared" si="5"/>
        <v>7202.5620265140069</v>
      </c>
      <c r="M39" s="54">
        <f t="shared" si="5"/>
        <v>7202.5620265140069</v>
      </c>
      <c r="N39" s="54">
        <f t="shared" si="5"/>
        <v>7202.5620265140069</v>
      </c>
      <c r="O39" s="54">
        <f t="shared" si="5"/>
        <v>7202.5620265140069</v>
      </c>
      <c r="P39" s="54">
        <f t="shared" si="5"/>
        <v>7202.5620265140069</v>
      </c>
      <c r="Q39" s="54">
        <f t="shared" si="5"/>
        <v>7202.5620265140069</v>
      </c>
      <c r="R39" s="54">
        <f t="shared" si="5"/>
        <v>7202.5620265140069</v>
      </c>
      <c r="S39" s="54">
        <f t="shared" si="5"/>
        <v>0</v>
      </c>
      <c r="T39" s="54">
        <f t="shared" si="5"/>
        <v>0</v>
      </c>
      <c r="U39" s="54">
        <f t="shared" si="5"/>
        <v>0</v>
      </c>
      <c r="V39" s="54">
        <f t="shared" si="5"/>
        <v>0</v>
      </c>
      <c r="W39" s="54">
        <f t="shared" si="5"/>
        <v>0</v>
      </c>
      <c r="X39" s="54">
        <f t="shared" si="5"/>
        <v>0</v>
      </c>
      <c r="Y39" s="54">
        <f t="shared" si="5"/>
        <v>0</v>
      </c>
      <c r="Z39" s="54">
        <f t="shared" si="5"/>
        <v>0</v>
      </c>
      <c r="AA39" s="54">
        <f t="shared" si="5"/>
        <v>0</v>
      </c>
      <c r="AB39" s="54">
        <f t="shared" si="5"/>
        <v>0</v>
      </c>
      <c r="AC39" s="54">
        <f t="shared" si="5"/>
        <v>0</v>
      </c>
      <c r="AD39" s="54">
        <f t="shared" si="5"/>
        <v>0</v>
      </c>
    </row>
    <row r="40" spans="1:30" s="25" customFormat="1">
      <c r="A40" s="98" t="s">
        <v>324</v>
      </c>
      <c r="B40" s="98"/>
      <c r="C40" s="98"/>
      <c r="D40" s="98"/>
    </row>
    <row r="41" spans="1:30">
      <c r="A41" s="98" t="s">
        <v>325</v>
      </c>
      <c r="B41" s="25"/>
      <c r="C41" s="54">
        <f>C21</f>
        <v>0</v>
      </c>
      <c r="D41" s="54">
        <f>D21</f>
        <v>5784.3173881121402</v>
      </c>
      <c r="E41" s="54">
        <f>E21</f>
        <v>2450.8723928994505</v>
      </c>
      <c r="F41" s="54">
        <f t="shared" ref="F41:AD41" si="6">F21</f>
        <v>1901.397731665443</v>
      </c>
      <c r="G41" s="54">
        <f t="shared" si="6"/>
        <v>1440.3292420185082</v>
      </c>
      <c r="H41" s="54">
        <f t="shared" si="6"/>
        <v>1047.2599706251767</v>
      </c>
      <c r="I41" s="54">
        <f t="shared" si="6"/>
        <v>707.4158583006033</v>
      </c>
      <c r="J41" s="54">
        <f t="shared" si="6"/>
        <v>410.00500711210077</v>
      </c>
      <c r="K41" s="54">
        <f t="shared" si="6"/>
        <v>147.05903652375196</v>
      </c>
      <c r="L41" s="54">
        <f t="shared" si="6"/>
        <v>0</v>
      </c>
      <c r="M41" s="54">
        <f t="shared" si="6"/>
        <v>0</v>
      </c>
      <c r="N41" s="54">
        <f t="shared" si="6"/>
        <v>0</v>
      </c>
      <c r="O41" s="54">
        <f t="shared" si="6"/>
        <v>0</v>
      </c>
      <c r="P41" s="54">
        <f t="shared" si="6"/>
        <v>0</v>
      </c>
      <c r="Q41" s="54">
        <f t="shared" si="6"/>
        <v>0</v>
      </c>
      <c r="R41" s="54">
        <f t="shared" si="6"/>
        <v>0</v>
      </c>
      <c r="S41" s="54">
        <f t="shared" si="6"/>
        <v>0</v>
      </c>
      <c r="T41" s="54">
        <f t="shared" si="6"/>
        <v>0</v>
      </c>
      <c r="U41" s="54">
        <f t="shared" si="6"/>
        <v>0</v>
      </c>
      <c r="V41" s="54">
        <f t="shared" si="6"/>
        <v>0</v>
      </c>
      <c r="W41" s="54">
        <f t="shared" si="6"/>
        <v>0</v>
      </c>
      <c r="X41" s="54">
        <f t="shared" si="6"/>
        <v>0</v>
      </c>
      <c r="Y41" s="54">
        <f t="shared" si="6"/>
        <v>0</v>
      </c>
      <c r="Z41" s="54">
        <f t="shared" si="6"/>
        <v>0</v>
      </c>
      <c r="AA41" s="54">
        <f t="shared" si="6"/>
        <v>0</v>
      </c>
      <c r="AB41" s="54">
        <f t="shared" si="6"/>
        <v>0</v>
      </c>
      <c r="AC41" s="54">
        <f t="shared" si="6"/>
        <v>0</v>
      </c>
      <c r="AD41" s="54">
        <f t="shared" si="6"/>
        <v>0</v>
      </c>
    </row>
    <row r="42" spans="1:30" ht="12.75" customHeight="1">
      <c r="A42" s="25"/>
      <c r="B42" s="25"/>
      <c r="C42" s="99">
        <f>C33+SUM(C36:C37)-SUM(C39:C41)</f>
        <v>-1996.0189862108236</v>
      </c>
      <c r="D42" s="99">
        <f>D33+SUM(D36:D37)-SUM(D39:D41)</f>
        <v>13478.722368985687</v>
      </c>
      <c r="E42" s="99">
        <f>E33+SUM(E36:E37)-SUM(E39:E41)</f>
        <v>8946.0236503207743</v>
      </c>
      <c r="F42" s="99">
        <f>F33+SUM(F35:F37)-SUM(F39:F41)</f>
        <v>5705.5073035721198</v>
      </c>
      <c r="G42" s="99">
        <f t="shared" ref="G42:AD42" si="7">G33+SUM(G36:G37)-SUM(G39:G41)</f>
        <v>2527.0599880446971</v>
      </c>
      <c r="H42" s="99">
        <f t="shared" si="7"/>
        <v>1542.2276779459353</v>
      </c>
      <c r="I42" s="99">
        <f t="shared" si="7"/>
        <v>2181.735028381494</v>
      </c>
      <c r="J42" s="99">
        <f t="shared" si="7"/>
        <v>2808.8523839937616</v>
      </c>
      <c r="K42" s="99">
        <f t="shared" si="7"/>
        <v>2504.7132020248591</v>
      </c>
      <c r="L42" s="99">
        <f t="shared" si="7"/>
        <v>3023.039594067809</v>
      </c>
      <c r="M42" s="99">
        <f t="shared" si="7"/>
        <v>3039.8566352447533</v>
      </c>
      <c r="N42" s="99">
        <f t="shared" si="7"/>
        <v>3313.9106177789463</v>
      </c>
      <c r="O42" s="99">
        <f t="shared" si="7"/>
        <v>3591.0594740334791</v>
      </c>
      <c r="P42" s="99">
        <f t="shared" si="7"/>
        <v>4297.9458144485861</v>
      </c>
      <c r="Q42" s="99">
        <f t="shared" si="7"/>
        <v>4439.908463306775</v>
      </c>
      <c r="R42" s="99">
        <f t="shared" si="7"/>
        <v>-1896.4102334103763</v>
      </c>
      <c r="S42" s="99">
        <f t="shared" si="7"/>
        <v>5374.6782686433671</v>
      </c>
      <c r="T42" s="99">
        <f t="shared" si="7"/>
        <v>5406.2323994616036</v>
      </c>
      <c r="U42" s="99">
        <f t="shared" si="7"/>
        <v>4400.654926410306</v>
      </c>
      <c r="V42" s="99" t="e">
        <f t="shared" si="7"/>
        <v>#DIV/0!</v>
      </c>
      <c r="W42" s="99" t="e">
        <f t="shared" si="7"/>
        <v>#DIV/0!</v>
      </c>
      <c r="X42" s="99">
        <f t="shared" si="7"/>
        <v>0</v>
      </c>
      <c r="Y42" s="99">
        <f t="shared" si="7"/>
        <v>0</v>
      </c>
      <c r="Z42" s="99">
        <f t="shared" si="7"/>
        <v>0</v>
      </c>
      <c r="AA42" s="99">
        <f t="shared" si="7"/>
        <v>0</v>
      </c>
      <c r="AB42" s="99">
        <f t="shared" si="7"/>
        <v>0</v>
      </c>
      <c r="AC42" s="99">
        <f t="shared" si="7"/>
        <v>0</v>
      </c>
      <c r="AD42" s="99">
        <f t="shared" si="7"/>
        <v>0</v>
      </c>
    </row>
    <row r="43" spans="1:30" ht="12.75">
      <c r="B43" s="196"/>
      <c r="C43" s="196"/>
      <c r="D43" s="196"/>
      <c r="E43" s="357"/>
      <c r="F43" s="197"/>
      <c r="G43" s="197"/>
      <c r="H43" s="197"/>
      <c r="I43" s="197"/>
      <c r="J43" s="197"/>
      <c r="K43" s="197"/>
      <c r="L43" s="197"/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  <c r="AA43" s="197"/>
      <c r="AB43" s="197"/>
      <c r="AC43" s="197"/>
      <c r="AD43" s="197"/>
    </row>
    <row r="44" spans="1:30" ht="12.75">
      <c r="A44" s="196" t="s">
        <v>326</v>
      </c>
      <c r="B44" s="98"/>
      <c r="C44" s="54">
        <f>C23-C42</f>
        <v>0</v>
      </c>
      <c r="D44" s="54">
        <f>D23-D42</f>
        <v>0</v>
      </c>
      <c r="E44" s="54">
        <f>E23-E42</f>
        <v>0</v>
      </c>
      <c r="F44" s="54">
        <f t="shared" ref="F44:AD44" si="8">F23-F42</f>
        <v>0</v>
      </c>
      <c r="G44" s="54">
        <f t="shared" si="8"/>
        <v>0</v>
      </c>
      <c r="H44" s="54">
        <f t="shared" si="8"/>
        <v>0</v>
      </c>
      <c r="I44" s="54">
        <f t="shared" si="8"/>
        <v>0</v>
      </c>
      <c r="J44" s="54">
        <f t="shared" si="8"/>
        <v>0</v>
      </c>
      <c r="K44" s="54">
        <f t="shared" si="8"/>
        <v>0</v>
      </c>
      <c r="L44" s="54">
        <f t="shared" si="8"/>
        <v>5.4569682106375694E-12</v>
      </c>
      <c r="M44" s="54">
        <f t="shared" si="8"/>
        <v>0</v>
      </c>
      <c r="N44" s="54">
        <f t="shared" si="8"/>
        <v>4.5474735088646412E-12</v>
      </c>
      <c r="O44" s="54">
        <f t="shared" si="8"/>
        <v>0</v>
      </c>
      <c r="P44" s="54">
        <f t="shared" si="8"/>
        <v>0</v>
      </c>
      <c r="Q44" s="54">
        <f t="shared" si="8"/>
        <v>0</v>
      </c>
      <c r="R44" s="54">
        <f t="shared" si="8"/>
        <v>-2.7284841053187847E-12</v>
      </c>
      <c r="S44" s="54">
        <f t="shared" si="8"/>
        <v>-5374.6782686433671</v>
      </c>
      <c r="T44" s="54">
        <f t="shared" si="8"/>
        <v>-5406.2323994616036</v>
      </c>
      <c r="U44" s="54">
        <f t="shared" si="8"/>
        <v>-4400.654926410306</v>
      </c>
      <c r="V44" s="54" t="e">
        <f t="shared" si="8"/>
        <v>#DIV/0!</v>
      </c>
      <c r="W44" s="54" t="e">
        <f t="shared" si="8"/>
        <v>#DIV/0!</v>
      </c>
      <c r="X44" s="54">
        <f t="shared" si="8"/>
        <v>0</v>
      </c>
      <c r="Y44" s="54">
        <f t="shared" si="8"/>
        <v>0</v>
      </c>
      <c r="Z44" s="54">
        <f t="shared" si="8"/>
        <v>0</v>
      </c>
      <c r="AA44" s="54">
        <f t="shared" si="8"/>
        <v>0</v>
      </c>
      <c r="AB44" s="54">
        <f t="shared" si="8"/>
        <v>0</v>
      </c>
      <c r="AC44" s="54">
        <f t="shared" si="8"/>
        <v>0</v>
      </c>
      <c r="AD44" s="54">
        <f t="shared" si="8"/>
        <v>0</v>
      </c>
    </row>
    <row r="45" spans="1:30">
      <c r="A45" s="98"/>
      <c r="B45" s="98"/>
      <c r="C45" s="98"/>
      <c r="D45" s="98"/>
      <c r="E45" s="54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</row>
    <row r="46" spans="1:30">
      <c r="A46" s="98"/>
      <c r="B46" s="98"/>
      <c r="C46" s="98"/>
      <c r="D46" s="98"/>
      <c r="E46" s="54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</row>
    <row r="47" spans="1:30">
      <c r="A47" s="25"/>
      <c r="B47" s="25"/>
      <c r="C47" s="25"/>
      <c r="D47" s="25"/>
      <c r="E47" s="54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</row>
    <row r="48" spans="1:30" ht="12">
      <c r="A48" s="195"/>
      <c r="B48" s="195"/>
      <c r="C48" s="195"/>
      <c r="D48" s="195"/>
      <c r="E48" s="54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</row>
    <row r="49" spans="1:30" ht="6.75" customHeigh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</row>
    <row r="50" spans="1:30">
      <c r="A50" s="198"/>
      <c r="B50" s="198"/>
      <c r="C50" s="198"/>
      <c r="D50" s="198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</row>
    <row r="51" spans="1:30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</row>
    <row r="52" spans="1:30">
      <c r="A52" s="25"/>
      <c r="B52" s="25"/>
      <c r="C52" s="25"/>
      <c r="D52" s="25"/>
      <c r="E52" s="25"/>
      <c r="F52" s="54"/>
      <c r="G52" s="99"/>
      <c r="H52" s="54"/>
      <c r="I52" s="25"/>
      <c r="J52" s="99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54"/>
      <c r="W52" s="25"/>
      <c r="X52" s="25"/>
      <c r="Y52" s="25"/>
      <c r="Z52" s="25"/>
      <c r="AA52" s="25"/>
      <c r="AB52" s="25"/>
      <c r="AC52" s="25"/>
      <c r="AD52" s="25"/>
    </row>
    <row r="53" spans="1:30">
      <c r="A53" s="25"/>
      <c r="B53" s="25"/>
      <c r="C53" s="25"/>
      <c r="D53" s="25"/>
      <c r="E53" s="25"/>
      <c r="F53" s="25"/>
      <c r="G53" s="25"/>
      <c r="H53" s="54"/>
      <c r="I53" s="54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</row>
    <row r="54" spans="1:30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</row>
    <row r="55" spans="1:30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</row>
    <row r="56" spans="1:30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</row>
    <row r="57" spans="1:30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</row>
    <row r="58" spans="1:30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</row>
    <row r="59" spans="1:30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</row>
    <row r="60" spans="1:30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</row>
    <row r="61" spans="1:30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</row>
    <row r="62" spans="1:30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</row>
    <row r="63" spans="1:30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</row>
    <row r="64" spans="1:30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</row>
    <row r="65" spans="1:30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</row>
    <row r="66" spans="1:30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</row>
    <row r="67" spans="1:30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</row>
    <row r="68" spans="1:30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</row>
    <row r="69" spans="1:30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</row>
    <row r="70" spans="1:30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</row>
    <row r="71" spans="1:30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</row>
    <row r="72" spans="1:30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</row>
    <row r="73" spans="1:30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</row>
    <row r="74" spans="1:30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</row>
    <row r="75" spans="1:30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</row>
    <row r="76" spans="1:30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</row>
    <row r="77" spans="1:30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</row>
    <row r="78" spans="1:30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</row>
    <row r="79" spans="1:30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</row>
    <row r="80" spans="1:30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</row>
    <row r="81" spans="1:30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</row>
    <row r="82" spans="1:30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</row>
    <row r="83" spans="1:30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</row>
    <row r="84" spans="1:30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</row>
    <row r="85" spans="1:30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</row>
    <row r="86" spans="1:30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</row>
    <row r="87" spans="1:30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</row>
    <row r="88" spans="1:30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</row>
    <row r="89" spans="1:30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</row>
    <row r="90" spans="1:30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</row>
    <row r="91" spans="1:30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</row>
    <row r="92" spans="1:30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</row>
    <row r="93" spans="1:30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</row>
    <row r="94" spans="1:30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</row>
    <row r="95" spans="1:30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</row>
    <row r="96" spans="1:30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</row>
    <row r="97" spans="1:30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</row>
    <row r="98" spans="1:30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</row>
    <row r="99" spans="1:30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</row>
    <row r="100" spans="1:30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</row>
    <row r="101" spans="1:30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</row>
    <row r="102" spans="1:30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</row>
    <row r="103" spans="1:30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</row>
    <row r="104" spans="1:30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</row>
    <row r="105" spans="1:30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</row>
    <row r="106" spans="1:30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</row>
    <row r="107" spans="1:30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</row>
    <row r="108" spans="1:30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</row>
    <row r="109" spans="1:30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</row>
    <row r="110" spans="1:30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</row>
    <row r="111" spans="1:30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</row>
    <row r="112" spans="1:30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</row>
    <row r="113" spans="1:30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</row>
    <row r="114" spans="1:30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</row>
    <row r="115" spans="1:30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</row>
    <row r="116" spans="1:30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</row>
    <row r="117" spans="1:30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</row>
    <row r="118" spans="1:30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</row>
    <row r="119" spans="1:30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</row>
    <row r="120" spans="1:30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</row>
    <row r="121" spans="1:30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</row>
    <row r="122" spans="1:30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</row>
    <row r="123" spans="1:30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</row>
    <row r="124" spans="1:30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</row>
    <row r="125" spans="1:30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</row>
    <row r="126" spans="1:30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</row>
    <row r="127" spans="1:30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</row>
    <row r="128" spans="1:30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</row>
    <row r="129" spans="1:30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</row>
    <row r="130" spans="1:30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</row>
    <row r="131" spans="1:30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</row>
    <row r="132" spans="1:30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</row>
    <row r="133" spans="1:30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</row>
    <row r="134" spans="1:30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</row>
    <row r="135" spans="1:30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</row>
    <row r="136" spans="1:30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</row>
    <row r="137" spans="1:30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</row>
    <row r="138" spans="1:30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</row>
    <row r="139" spans="1:30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</row>
    <row r="140" spans="1:30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</row>
    <row r="141" spans="1:30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</row>
    <row r="142" spans="1:30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</row>
    <row r="143" spans="1:30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</row>
    <row r="144" spans="1:30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</row>
    <row r="145" spans="1:30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</row>
    <row r="146" spans="1:30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</row>
    <row r="147" spans="1:30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</row>
    <row r="148" spans="1:30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</row>
    <row r="149" spans="1:30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</row>
    <row r="150" spans="1:30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</row>
    <row r="151" spans="1:30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</row>
    <row r="152" spans="1:30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</row>
    <row r="153" spans="1:30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</row>
    <row r="154" spans="1:30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</row>
    <row r="155" spans="1:30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</row>
    <row r="156" spans="1:30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</row>
    <row r="157" spans="1:30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</row>
    <row r="158" spans="1:30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</row>
    <row r="159" spans="1:30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</row>
    <row r="160" spans="1:30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</row>
    <row r="161" spans="1:30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</row>
    <row r="162" spans="1:30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</row>
    <row r="163" spans="1:30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</row>
    <row r="164" spans="1:30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</row>
    <row r="165" spans="1:30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</row>
  </sheetData>
  <pageMargins left="0.75" right="0.75" top="1" bottom="1" header="0.5" footer="0.5"/>
  <pageSetup paperSize="5" scale="76" fitToWidth="2" orientation="landscape" horizont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transitionEvaluation="1" transitionEntry="1" codeName="Sheet2">
    <pageSetUpPr fitToPage="1"/>
  </sheetPr>
  <dimension ref="A1:AW148"/>
  <sheetViews>
    <sheetView zoomScale="75" workbookViewId="0">
      <selection activeCell="D31" sqref="D31"/>
    </sheetView>
  </sheetViews>
  <sheetFormatPr defaultColWidth="12.5703125" defaultRowHeight="15"/>
  <cols>
    <col min="1" max="1" width="7.28515625" style="11" customWidth="1"/>
    <col min="2" max="2" width="38.7109375" style="11" customWidth="1"/>
    <col min="3" max="3" width="17" style="11" customWidth="1"/>
    <col min="4" max="4" width="13.85546875" style="11" customWidth="1"/>
    <col min="5" max="13" width="14.5703125" style="11" customWidth="1"/>
    <col min="14" max="19" width="13.42578125" style="11" customWidth="1"/>
    <col min="20" max="20" width="14.5703125" style="11" customWidth="1"/>
    <col min="21" max="16384" width="12.5703125" style="11"/>
  </cols>
  <sheetData>
    <row r="1" spans="1:49" ht="15.75">
      <c r="A1" s="10"/>
      <c r="B1" s="149" t="s">
        <v>15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</row>
    <row r="2" spans="1:49" s="117" customFormat="1" ht="12" thickBot="1">
      <c r="F2" s="118" t="s">
        <v>63</v>
      </c>
    </row>
    <row r="3" spans="1:49" s="117" customFormat="1" ht="11.25">
      <c r="F3" s="132" t="s">
        <v>16</v>
      </c>
      <c r="G3" s="133"/>
      <c r="I3" s="132" t="s">
        <v>18</v>
      </c>
      <c r="J3" s="136">
        <f>Construction!D14+SUM(Construction!D56:AA56)</f>
        <v>58632.204134186592</v>
      </c>
    </row>
    <row r="4" spans="1:49" s="117" customFormat="1" ht="12" thickBot="1">
      <c r="F4" s="182" t="s">
        <v>17</v>
      </c>
      <c r="G4" s="183">
        <f>Assumptions!E21</f>
        <v>13</v>
      </c>
      <c r="I4" s="134" t="s">
        <v>19</v>
      </c>
      <c r="J4" s="137">
        <f>Assumptions!E10*Assumptions!E33</f>
        <v>121897.84652866358</v>
      </c>
    </row>
    <row r="5" spans="1:49" s="117" customFormat="1" ht="12" thickBot="1">
      <c r="B5" s="117" t="s">
        <v>529</v>
      </c>
      <c r="C5" s="749">
        <f>Assumptions!E39</f>
        <v>0</v>
      </c>
      <c r="F5" s="184" t="s">
        <v>161</v>
      </c>
      <c r="G5" s="135">
        <v>2</v>
      </c>
      <c r="I5" s="143"/>
      <c r="J5" s="185"/>
    </row>
    <row r="6" spans="1:49" s="117" customFormat="1" ht="11.25">
      <c r="B6" s="117" t="s">
        <v>530</v>
      </c>
      <c r="C6" s="749">
        <f>Assumptions!E40</f>
        <v>0</v>
      </c>
      <c r="D6" s="447"/>
    </row>
    <row r="7" spans="1:49" s="117" customFormat="1" ht="11.25">
      <c r="B7" s="117" t="s">
        <v>541</v>
      </c>
      <c r="C7" s="202">
        <f>Assumptions!E41</f>
        <v>0</v>
      </c>
      <c r="D7" s="618"/>
      <c r="E7" s="117" t="s">
        <v>531</v>
      </c>
      <c r="G7" s="117">
        <v>10</v>
      </c>
    </row>
    <row r="8" spans="1:49" s="117" customFormat="1" ht="11.25">
      <c r="B8" s="117" t="s">
        <v>542</v>
      </c>
      <c r="C8" s="202">
        <f>Assumptions!E42</f>
        <v>0</v>
      </c>
      <c r="D8" s="618"/>
    </row>
    <row r="9" spans="1:49" s="117" customFormat="1" ht="11.25">
      <c r="B9" s="143"/>
      <c r="C9" s="795"/>
      <c r="D9" s="641"/>
      <c r="E9" s="117" t="s">
        <v>572</v>
      </c>
    </row>
    <row r="10" spans="1:49" s="117" customFormat="1" ht="11.25">
      <c r="B10" s="143"/>
      <c r="C10" s="749"/>
      <c r="D10" s="618"/>
    </row>
    <row r="11" spans="1:49" s="117" customFormat="1" ht="11.25">
      <c r="E11" s="446"/>
    </row>
    <row r="12" spans="1:49" s="146" customFormat="1" ht="11.25">
      <c r="B12" s="138"/>
      <c r="C12" s="490">
        <f>Cashflow!C$3</f>
        <v>36891</v>
      </c>
      <c r="D12" s="490">
        <f t="shared" ref="D12:AB12" si="0">EOMONTH(C12,12)</f>
        <v>37256</v>
      </c>
      <c r="E12" s="490">
        <f t="shared" si="0"/>
        <v>37621</v>
      </c>
      <c r="F12" s="490">
        <f t="shared" si="0"/>
        <v>37986</v>
      </c>
      <c r="G12" s="490">
        <f t="shared" si="0"/>
        <v>38352</v>
      </c>
      <c r="H12" s="490">
        <f t="shared" si="0"/>
        <v>38717</v>
      </c>
      <c r="I12" s="490">
        <f t="shared" si="0"/>
        <v>39082</v>
      </c>
      <c r="J12" s="490">
        <f t="shared" si="0"/>
        <v>39447</v>
      </c>
      <c r="K12" s="490">
        <f t="shared" si="0"/>
        <v>39813</v>
      </c>
      <c r="L12" s="490">
        <f t="shared" si="0"/>
        <v>40178</v>
      </c>
      <c r="M12" s="490">
        <f t="shared" si="0"/>
        <v>40543</v>
      </c>
      <c r="N12" s="490">
        <f t="shared" si="0"/>
        <v>40908</v>
      </c>
      <c r="O12" s="490">
        <f t="shared" si="0"/>
        <v>41274</v>
      </c>
      <c r="P12" s="490">
        <f t="shared" si="0"/>
        <v>41639</v>
      </c>
      <c r="Q12" s="490">
        <f t="shared" si="0"/>
        <v>42004</v>
      </c>
      <c r="R12" s="490">
        <f t="shared" si="0"/>
        <v>42369</v>
      </c>
      <c r="S12" s="490">
        <f t="shared" si="0"/>
        <v>42735</v>
      </c>
      <c r="T12" s="490">
        <f t="shared" si="0"/>
        <v>43100</v>
      </c>
      <c r="U12" s="490">
        <f t="shared" si="0"/>
        <v>43465</v>
      </c>
      <c r="V12" s="490">
        <f t="shared" si="0"/>
        <v>43830</v>
      </c>
      <c r="W12" s="490">
        <f t="shared" si="0"/>
        <v>44196</v>
      </c>
      <c r="X12" s="490">
        <f t="shared" si="0"/>
        <v>44561</v>
      </c>
      <c r="Y12" s="490">
        <f t="shared" si="0"/>
        <v>44926</v>
      </c>
      <c r="Z12" s="490">
        <f t="shared" si="0"/>
        <v>45291</v>
      </c>
      <c r="AA12" s="490">
        <f t="shared" si="0"/>
        <v>45657</v>
      </c>
      <c r="AB12" s="490">
        <f t="shared" si="0"/>
        <v>46022</v>
      </c>
    </row>
    <row r="13" spans="1:49" s="138" customFormat="1" ht="11.25">
      <c r="A13" s="146"/>
      <c r="C13" s="451">
        <f>YEAR(C12)</f>
        <v>2000</v>
      </c>
      <c r="D13" s="451">
        <f t="shared" ref="D13:AB13" si="1">YEAR(D12)</f>
        <v>2001</v>
      </c>
      <c r="E13" s="451">
        <f t="shared" si="1"/>
        <v>2002</v>
      </c>
      <c r="F13" s="451">
        <f t="shared" si="1"/>
        <v>2003</v>
      </c>
      <c r="G13" s="451">
        <f t="shared" si="1"/>
        <v>2004</v>
      </c>
      <c r="H13" s="451">
        <f t="shared" si="1"/>
        <v>2005</v>
      </c>
      <c r="I13" s="451">
        <f t="shared" si="1"/>
        <v>2006</v>
      </c>
      <c r="J13" s="451">
        <f t="shared" si="1"/>
        <v>2007</v>
      </c>
      <c r="K13" s="451">
        <f t="shared" si="1"/>
        <v>2008</v>
      </c>
      <c r="L13" s="451">
        <f t="shared" si="1"/>
        <v>2009</v>
      </c>
      <c r="M13" s="451">
        <f t="shared" si="1"/>
        <v>2010</v>
      </c>
      <c r="N13" s="451">
        <f t="shared" si="1"/>
        <v>2011</v>
      </c>
      <c r="O13" s="451">
        <f t="shared" si="1"/>
        <v>2012</v>
      </c>
      <c r="P13" s="451">
        <f t="shared" si="1"/>
        <v>2013</v>
      </c>
      <c r="Q13" s="451">
        <f t="shared" si="1"/>
        <v>2014</v>
      </c>
      <c r="R13" s="451">
        <f t="shared" si="1"/>
        <v>2015</v>
      </c>
      <c r="S13" s="451">
        <f t="shared" si="1"/>
        <v>2016</v>
      </c>
      <c r="T13" s="451">
        <f t="shared" si="1"/>
        <v>2017</v>
      </c>
      <c r="U13" s="451">
        <f t="shared" si="1"/>
        <v>2018</v>
      </c>
      <c r="V13" s="451">
        <f t="shared" si="1"/>
        <v>2019</v>
      </c>
      <c r="W13" s="451">
        <f t="shared" si="1"/>
        <v>2020</v>
      </c>
      <c r="X13" s="451">
        <f t="shared" si="1"/>
        <v>2021</v>
      </c>
      <c r="Y13" s="451">
        <f t="shared" si="1"/>
        <v>2022</v>
      </c>
      <c r="Z13" s="451">
        <f t="shared" si="1"/>
        <v>2023</v>
      </c>
      <c r="AA13" s="451">
        <f t="shared" si="1"/>
        <v>2024</v>
      </c>
      <c r="AB13" s="451">
        <f t="shared" si="1"/>
        <v>2025</v>
      </c>
    </row>
    <row r="14" spans="1:49" s="146" customFormat="1" ht="12.75" hidden="1">
      <c r="B14" s="138"/>
      <c r="C14" s="449" t="str">
        <f>'Int Curves'!T5</f>
        <v>2000Q2</v>
      </c>
      <c r="D14" s="449" t="str">
        <f>'Int Curves'!U5</f>
        <v>2001Q2</v>
      </c>
      <c r="E14" s="449" t="str">
        <f>'Int Curves'!V5</f>
        <v>2002Q2</v>
      </c>
      <c r="F14" s="449" t="str">
        <f>'Int Curves'!W5</f>
        <v>2003Q2</v>
      </c>
      <c r="G14" s="449" t="str">
        <f>'Int Curves'!X5</f>
        <v>2004Q2</v>
      </c>
      <c r="H14" s="449" t="str">
        <f>'Int Curves'!Y5</f>
        <v>2005Q2</v>
      </c>
      <c r="I14" s="449" t="str">
        <f>'Int Curves'!Z5</f>
        <v>2006Q2</v>
      </c>
      <c r="J14" s="449" t="str">
        <f>'Int Curves'!AA5</f>
        <v>2007Q2</v>
      </c>
      <c r="K14" s="449" t="str">
        <f>'Int Curves'!AB5</f>
        <v>2008Q2</v>
      </c>
      <c r="L14" s="449" t="str">
        <f>'Int Curves'!AC5</f>
        <v>2009Q2</v>
      </c>
      <c r="M14" s="449" t="str">
        <f>'Int Curves'!AD5</f>
        <v>2010Q2</v>
      </c>
      <c r="N14" s="449" t="str">
        <f>'Int Curves'!AE5</f>
        <v>2011Q2</v>
      </c>
      <c r="O14" s="449" t="str">
        <f>'Int Curves'!AF5</f>
        <v>2012Q2</v>
      </c>
      <c r="P14" s="449" t="str">
        <f>'Int Curves'!AG5</f>
        <v>2013Q2</v>
      </c>
      <c r="Q14" s="449" t="str">
        <f>'Int Curves'!AH5</f>
        <v>2014Q2</v>
      </c>
      <c r="R14" s="449" t="str">
        <f>'Int Curves'!AI5</f>
        <v>2015Q2</v>
      </c>
      <c r="S14" s="449" t="str">
        <f>'Int Curves'!AJ5</f>
        <v>2016Q2</v>
      </c>
      <c r="T14" s="449" t="str">
        <f>'Int Curves'!AK5</f>
        <v>2017Q2</v>
      </c>
      <c r="U14" s="449" t="str">
        <f>'Int Curves'!AL5</f>
        <v>2018Q2</v>
      </c>
      <c r="V14" s="449" t="str">
        <f>'Int Curves'!AM5</f>
        <v>2019Q2</v>
      </c>
      <c r="W14" s="449" t="str">
        <f>'Int Curves'!AN5</f>
        <v>2020Q2</v>
      </c>
      <c r="X14" s="449" t="str">
        <f>'Int Curves'!AO5</f>
        <v>2021Q2</v>
      </c>
      <c r="Y14" s="449" t="str">
        <f>'Int Curves'!AP5</f>
        <v>2022Q2</v>
      </c>
      <c r="Z14" s="449" t="str">
        <f>'Int Curves'!AQ5</f>
        <v>2023Q2</v>
      </c>
      <c r="AA14" s="449" t="str">
        <f>'Int Curves'!AR5</f>
        <v>2024Q2</v>
      </c>
      <c r="AB14" s="449" t="str">
        <f>'Int Curves'!AS5</f>
        <v>2025Q2</v>
      </c>
    </row>
    <row r="15" spans="1:49" s="146" customFormat="1" ht="12.75" hidden="1">
      <c r="B15" s="138"/>
      <c r="C15" s="449" t="str">
        <f>'Int Curves'!T6</f>
        <v>2000Q4</v>
      </c>
      <c r="D15" s="449" t="str">
        <f>'Int Curves'!U6</f>
        <v>2001Q4</v>
      </c>
      <c r="E15" s="449" t="str">
        <f>'Int Curves'!V6</f>
        <v>2002Q4</v>
      </c>
      <c r="F15" s="449" t="str">
        <f>'Int Curves'!W6</f>
        <v>2003Q4</v>
      </c>
      <c r="G15" s="449" t="str">
        <f>'Int Curves'!X6</f>
        <v>2004Q4</v>
      </c>
      <c r="H15" s="449" t="str">
        <f>'Int Curves'!Y6</f>
        <v>2005Q4</v>
      </c>
      <c r="I15" s="449" t="str">
        <f>'Int Curves'!Z6</f>
        <v>2006Q4</v>
      </c>
      <c r="J15" s="449" t="str">
        <f>'Int Curves'!AA6</f>
        <v>2007Q4</v>
      </c>
      <c r="K15" s="449" t="str">
        <f>'Int Curves'!AB6</f>
        <v>2008Q4</v>
      </c>
      <c r="L15" s="449" t="str">
        <f>'Int Curves'!AC6</f>
        <v>2009Q4</v>
      </c>
      <c r="M15" s="449" t="str">
        <f>'Int Curves'!AD6</f>
        <v>2010Q4</v>
      </c>
      <c r="N15" s="449" t="str">
        <f>'Int Curves'!AE6</f>
        <v>2011Q4</v>
      </c>
      <c r="O15" s="449" t="str">
        <f>'Int Curves'!AF6</f>
        <v>2012Q4</v>
      </c>
      <c r="P15" s="449" t="str">
        <f>'Int Curves'!AG6</f>
        <v>2013Q4</v>
      </c>
      <c r="Q15" s="449" t="str">
        <f>'Int Curves'!AH6</f>
        <v>2014Q4</v>
      </c>
      <c r="R15" s="449" t="str">
        <f>'Int Curves'!AI6</f>
        <v>2015Q4</v>
      </c>
      <c r="S15" s="449" t="str">
        <f>'Int Curves'!AJ6</f>
        <v>2016Q4</v>
      </c>
      <c r="T15" s="449" t="str">
        <f>'Int Curves'!AK6</f>
        <v>2017Q4</v>
      </c>
      <c r="U15" s="449" t="str">
        <f>'Int Curves'!AL6</f>
        <v>2018Q4</v>
      </c>
      <c r="V15" s="449" t="str">
        <f>'Int Curves'!AM6</f>
        <v>2019Q4</v>
      </c>
      <c r="W15" s="449" t="str">
        <f>'Int Curves'!AN6</f>
        <v>2020Q4</v>
      </c>
      <c r="X15" s="449" t="str">
        <f>'Int Curves'!AO6</f>
        <v>2021Q4</v>
      </c>
      <c r="Y15" s="449" t="str">
        <f>'Int Curves'!AP6</f>
        <v>2022Q4</v>
      </c>
      <c r="Z15" s="449" t="str">
        <f>'Int Curves'!AQ6</f>
        <v>2023Q4</v>
      </c>
      <c r="AA15" s="449" t="str">
        <f>'Int Curves'!AR6</f>
        <v>2024Q4</v>
      </c>
      <c r="AB15" s="449" t="str">
        <f>'Int Curves'!AS6</f>
        <v>2025Q4</v>
      </c>
    </row>
    <row r="16" spans="1:49" s="146" customFormat="1" ht="11.25">
      <c r="B16" s="139" t="s">
        <v>20</v>
      </c>
      <c r="C16" s="140">
        <v>0</v>
      </c>
      <c r="D16" s="140">
        <v>1</v>
      </c>
      <c r="E16" s="140">
        <f t="shared" ref="E16:M16" si="2">D16+1</f>
        <v>2</v>
      </c>
      <c r="F16" s="140">
        <f t="shared" si="2"/>
        <v>3</v>
      </c>
      <c r="G16" s="140">
        <f t="shared" si="2"/>
        <v>4</v>
      </c>
      <c r="H16" s="140">
        <f t="shared" si="2"/>
        <v>5</v>
      </c>
      <c r="I16" s="140">
        <f t="shared" si="2"/>
        <v>6</v>
      </c>
      <c r="J16" s="140">
        <f t="shared" si="2"/>
        <v>7</v>
      </c>
      <c r="K16" s="140">
        <f t="shared" si="2"/>
        <v>8</v>
      </c>
      <c r="L16" s="140">
        <f t="shared" si="2"/>
        <v>9</v>
      </c>
      <c r="M16" s="140">
        <f t="shared" si="2"/>
        <v>10</v>
      </c>
      <c r="N16" s="140">
        <f t="shared" ref="N16:AA16" si="3">M16+1</f>
        <v>11</v>
      </c>
      <c r="O16" s="140">
        <f t="shared" si="3"/>
        <v>12</v>
      </c>
      <c r="P16" s="140">
        <f t="shared" si="3"/>
        <v>13</v>
      </c>
      <c r="Q16" s="140">
        <f t="shared" si="3"/>
        <v>14</v>
      </c>
      <c r="R16" s="140">
        <f t="shared" si="3"/>
        <v>15</v>
      </c>
      <c r="S16" s="140">
        <f t="shared" si="3"/>
        <v>16</v>
      </c>
      <c r="T16" s="140">
        <f t="shared" si="3"/>
        <v>17</v>
      </c>
      <c r="U16" s="140">
        <f t="shared" si="3"/>
        <v>18</v>
      </c>
      <c r="V16" s="140">
        <f t="shared" si="3"/>
        <v>19</v>
      </c>
      <c r="W16" s="140">
        <f t="shared" si="3"/>
        <v>20</v>
      </c>
      <c r="X16" s="140">
        <f t="shared" si="3"/>
        <v>21</v>
      </c>
      <c r="Y16" s="140">
        <f t="shared" si="3"/>
        <v>22</v>
      </c>
      <c r="Z16" s="140">
        <f t="shared" si="3"/>
        <v>23</v>
      </c>
      <c r="AA16" s="140">
        <f t="shared" si="3"/>
        <v>24</v>
      </c>
      <c r="AB16" s="140">
        <f>AA16+1</f>
        <v>25</v>
      </c>
    </row>
    <row r="17" spans="2:28" s="146" customFormat="1" ht="11.25">
      <c r="B17" s="141" t="s">
        <v>21</v>
      </c>
      <c r="C17" s="142">
        <f t="shared" ref="C17:AB17" si="4">IF(C16&lt;=$G$4,1,0)</f>
        <v>1</v>
      </c>
      <c r="D17" s="142">
        <f t="shared" si="4"/>
        <v>1</v>
      </c>
      <c r="E17" s="142">
        <f t="shared" si="4"/>
        <v>1</v>
      </c>
      <c r="F17" s="142">
        <f t="shared" si="4"/>
        <v>1</v>
      </c>
      <c r="G17" s="142">
        <f t="shared" si="4"/>
        <v>1</v>
      </c>
      <c r="H17" s="142">
        <f t="shared" si="4"/>
        <v>1</v>
      </c>
      <c r="I17" s="142">
        <f t="shared" si="4"/>
        <v>1</v>
      </c>
      <c r="J17" s="142">
        <f t="shared" si="4"/>
        <v>1</v>
      </c>
      <c r="K17" s="142">
        <f t="shared" si="4"/>
        <v>1</v>
      </c>
      <c r="L17" s="142">
        <f t="shared" si="4"/>
        <v>1</v>
      </c>
      <c r="M17" s="142">
        <f t="shared" si="4"/>
        <v>1</v>
      </c>
      <c r="N17" s="142">
        <f t="shared" si="4"/>
        <v>1</v>
      </c>
      <c r="O17" s="142">
        <f t="shared" si="4"/>
        <v>1</v>
      </c>
      <c r="P17" s="142">
        <f t="shared" si="4"/>
        <v>1</v>
      </c>
      <c r="Q17" s="142">
        <f t="shared" si="4"/>
        <v>0</v>
      </c>
      <c r="R17" s="142">
        <f t="shared" si="4"/>
        <v>0</v>
      </c>
      <c r="S17" s="142">
        <f t="shared" si="4"/>
        <v>0</v>
      </c>
      <c r="T17" s="142">
        <f t="shared" si="4"/>
        <v>0</v>
      </c>
      <c r="U17" s="142">
        <f t="shared" si="4"/>
        <v>0</v>
      </c>
      <c r="V17" s="142">
        <f t="shared" si="4"/>
        <v>0</v>
      </c>
      <c r="W17" s="142">
        <f t="shared" si="4"/>
        <v>0</v>
      </c>
      <c r="X17" s="142">
        <f t="shared" si="4"/>
        <v>0</v>
      </c>
      <c r="Y17" s="142">
        <f t="shared" si="4"/>
        <v>0</v>
      </c>
      <c r="Z17" s="142">
        <f t="shared" si="4"/>
        <v>0</v>
      </c>
      <c r="AA17" s="142">
        <f t="shared" si="4"/>
        <v>0</v>
      </c>
      <c r="AB17" s="142">
        <f t="shared" si="4"/>
        <v>0</v>
      </c>
    </row>
    <row r="18" spans="2:28" s="146" customFormat="1" ht="11.25">
      <c r="B18" s="186" t="s">
        <v>429</v>
      </c>
      <c r="C18" s="188">
        <f>INDEX(InterestRateCurve,MATCH(C$14,'Int Curves'!$L:$L,0),MATCH("Semi Annual Calculation",'Int Curves'!$L$3:$M$3,0))</f>
        <v>5.33661601707364E-2</v>
      </c>
      <c r="D18" s="188">
        <f>INDEX(InterestRateCurve,MATCH(D$14,'Int Curves'!$L:$L,0),MATCH("Semi Annual Calculation",'Int Curves'!$L$3:$M$3,0))</f>
        <v>5.9734105576137057E-2</v>
      </c>
      <c r="E18" s="188">
        <f>INDEX(InterestRateCurve,MATCH(E$14,'Int Curves'!$L:$L,0),MATCH("Semi Annual Calculation",'Int Curves'!$L$3:$M$3,0))</f>
        <v>6.206392342736574E-2</v>
      </c>
      <c r="F18" s="188">
        <f>INDEX(InterestRateCurve,MATCH(F$14,'Int Curves'!$L:$L,0),MATCH("Semi Annual Calculation",'Int Curves'!$L$3:$M$3,0))</f>
        <v>6.3237529319749436E-2</v>
      </c>
      <c r="G18" s="188">
        <f>INDEX(InterestRateCurve,MATCH(G$14,'Int Curves'!$L:$L,0),MATCH("Semi Annual Calculation",'Int Curves'!$L$3:$M$3,0))</f>
        <v>6.3540530753381563E-2</v>
      </c>
      <c r="H18" s="188">
        <f>INDEX(InterestRateCurve,MATCH(H$14,'Int Curves'!$L:$L,0),MATCH("Semi Annual Calculation",'Int Curves'!$L$3:$M$3,0))</f>
        <v>6.3765249917457273E-2</v>
      </c>
      <c r="I18" s="188">
        <f>INDEX(InterestRateCurve,MATCH(I$14,'Int Curves'!$L:$L,0),MATCH("Semi Annual Calculation",'Int Curves'!$L$3:$M$3,0))</f>
        <v>6.3860369004664186E-2</v>
      </c>
      <c r="J18" s="188">
        <f>INDEX(InterestRateCurve,MATCH(J$14,'Int Curves'!$L:$L,0),MATCH("Semi Annual Calculation",'Int Curves'!$L$3:$M$3,0))</f>
        <v>6.3943958390367275E-2</v>
      </c>
      <c r="K18" s="188">
        <f>INDEX(InterestRateCurve,MATCH(K$14,'Int Curves'!$L:$L,0),MATCH("Semi Annual Calculation",'Int Curves'!$L$3:$M$3,0))</f>
        <v>6.4027700453071532E-2</v>
      </c>
      <c r="L18" s="188">
        <f>INDEX(InterestRateCurve,MATCH(L$14,'Int Curves'!$L:$L,0),MATCH("Semi Annual Calculation",'Int Curves'!$L$3:$M$3,0))</f>
        <v>6.4111366180756649E-2</v>
      </c>
      <c r="M18" s="188">
        <f>INDEX(InterestRateCurve,MATCH(M$14,'Int Curves'!$L:$L,0),MATCH("Semi Annual Calculation",'Int Curves'!$L$3:$M$3,0))</f>
        <v>6.4197300399020094E-2</v>
      </c>
      <c r="N18" s="188">
        <f>INDEX(InterestRateCurve,MATCH(N$14,'Int Curves'!$L:$L,0),MATCH("Semi Annual Calculation",'Int Curves'!$L$3:$M$3,0))</f>
        <v>6.4328231824442347E-2</v>
      </c>
      <c r="O18" s="188">
        <f>INDEX(InterestRateCurve,MATCH(O$14,'Int Curves'!$L:$L,0),MATCH("Semi Annual Calculation",'Int Curves'!$L$3:$M$3,0))</f>
        <v>6.4463419375373934E-2</v>
      </c>
      <c r="P18" s="188">
        <f>INDEX(InterestRateCurve,MATCH(P$14,'Int Curves'!$L:$L,0),MATCH("Semi Annual Calculation",'Int Curves'!$L$3:$M$3,0))</f>
        <v>6.4598483698488765E-2</v>
      </c>
      <c r="Q18" s="188">
        <f>INDEX(InterestRateCurve,MATCH(Q$14,'Int Curves'!$L:$L,0),MATCH("Semi Annual Calculation",'Int Curves'!$L$3:$M$3,0))</f>
        <v>6.4733424793772254E-2</v>
      </c>
      <c r="R18" s="188">
        <f>INDEX(InterestRateCurve,MATCH(R$14,'Int Curves'!$L:$L,0),MATCH("Semi Annual Calculation",'Int Curves'!$L$3:$M$3,0))</f>
        <v>6.4857656285088591E-2</v>
      </c>
      <c r="S18" s="188">
        <f>INDEX(InterestRateCurve,MATCH(S$14,'Int Curves'!$L:$L,0),MATCH("Semi Annual Calculation",'Int Curves'!$L$3:$M$3,0))</f>
        <v>6.4787845757824328E-2</v>
      </c>
      <c r="T18" s="188">
        <f>INDEX(InterestRateCurve,MATCH(T$14,'Int Curves'!$L:$L,0),MATCH("Semi Annual Calculation",'Int Curves'!$L$3:$M$3,0))</f>
        <v>6.4701443447959736E-2</v>
      </c>
      <c r="U18" s="188">
        <f>INDEX(InterestRateCurve,MATCH(U$14,'Int Curves'!$L:$L,0),MATCH("Semi Annual Calculation",'Int Curves'!$L$3:$M$3,0))</f>
        <v>6.4615119974791316E-2</v>
      </c>
      <c r="V18" s="188">
        <f>INDEX(InterestRateCurve,MATCH(V$14,'Int Curves'!$L:$L,0),MATCH("Semi Annual Calculation",'Int Curves'!$L$3:$M$3,0))</f>
        <v>6.4528796504093322E-2</v>
      </c>
      <c r="W18" s="188">
        <f>INDEX(InterestRateCurve,MATCH(W$14,'Int Curves'!$L:$L,0),MATCH("Semi Annual Calculation",'Int Curves'!$L$3:$M$3,0))</f>
        <v>6.4434795787134874E-2</v>
      </c>
      <c r="X18" s="188">
        <f>INDEX(InterestRateCurve,MATCH(X$14,'Int Curves'!$L:$L,0),MATCH("Semi Annual Calculation",'Int Curves'!$L$3:$M$3,0))</f>
        <v>6.4204741134669188E-2</v>
      </c>
      <c r="Y18" s="188">
        <f>INDEX(InterestRateCurve,MATCH(Y$14,'Int Curves'!$L:$L,0),MATCH("Semi Annual Calculation",'Int Curves'!$L$3:$M$3,0))</f>
        <v>6.3963060328513677E-2</v>
      </c>
      <c r="Z18" s="188">
        <f>INDEX(InterestRateCurve,MATCH(Z$14,'Int Curves'!$L:$L,0),MATCH("Semi Annual Calculation",'Int Curves'!$L$3:$M$3,0))</f>
        <v>6.3721379541727907E-2</v>
      </c>
      <c r="AA18" s="188">
        <f>INDEX(InterestRateCurve,MATCH(AA$14,'Int Curves'!$L:$L,0),MATCH("Semi Annual Calculation",'Int Curves'!$L$3:$M$3,0))</f>
        <v>6.3479257348276155E-2</v>
      </c>
      <c r="AB18" s="188">
        <f>INDEX(InterestRateCurve,MATCH(AB$14,'Int Curves'!$L:$L,0),MATCH("Semi Annual Calculation",'Int Curves'!$L$3:$M$3,0))</f>
        <v>6.3237355887266852E-2</v>
      </c>
    </row>
    <row r="19" spans="2:28" s="146" customFormat="1" ht="11.25">
      <c r="B19" s="186" t="s">
        <v>430</v>
      </c>
      <c r="C19" s="188">
        <f>INDEX(InterestRateCurve,MATCH(C$15,'Int Curves'!$L:$L,0),MATCH("Semi Annual Calculation",'Int Curves'!$L$3:$M$3,0))</f>
        <v>5.6726068588342532E-2</v>
      </c>
      <c r="D19" s="188">
        <f>INDEX(InterestRateCurve,MATCH(D$15,'Int Curves'!$L:$L,0),MATCH("Semi Annual Calculation",'Int Curves'!$L$3:$M$3,0))</f>
        <v>6.1227252367461078E-2</v>
      </c>
      <c r="E19" s="188">
        <f>INDEX(InterestRateCurve,MATCH(E$15,'Int Curves'!$L:$L,0),MATCH("Semi Annual Calculation",'Int Curves'!$L$3:$M$3,0))</f>
        <v>6.2694902819991682E-2</v>
      </c>
      <c r="F19" s="188">
        <f>INDEX(InterestRateCurve,MATCH(F$15,'Int Curves'!$L:$L,0),MATCH("Semi Annual Calculation",'Int Curves'!$L$3:$M$3,0))</f>
        <v>6.3424588731875842E-2</v>
      </c>
      <c r="G19" s="188">
        <f>INDEX(InterestRateCurve,MATCH(G$15,'Int Curves'!$L:$L,0),MATCH("Semi Annual Calculation",'Int Curves'!$L$3:$M$3,0))</f>
        <v>6.3656472779352935E-2</v>
      </c>
      <c r="H19" s="188">
        <f>INDEX(InterestRateCurve,MATCH(H$15,'Int Curves'!$L:$L,0),MATCH("Semi Annual Calculation",'Int Curves'!$L$3:$M$3,0))</f>
        <v>6.3818612481350609E-2</v>
      </c>
      <c r="I19" s="188">
        <f>INDEX(InterestRateCurve,MATCH(I$15,'Int Curves'!$L:$L,0),MATCH("Semi Annual Calculation",'Int Curves'!$L$3:$M$3,0))</f>
        <v>6.3902201865896277E-2</v>
      </c>
      <c r="J19" s="188">
        <f>INDEX(InterestRateCurve,MATCH(J$15,'Int Curves'!$L:$L,0),MATCH("Semi Annual Calculation",'Int Curves'!$L$3:$M$3,0))</f>
        <v>6.3985791252759064E-2</v>
      </c>
      <c r="K19" s="188">
        <f>INDEX(InterestRateCurve,MATCH(K$15,'Int Curves'!$L:$L,0),MATCH("Semi Annual Calculation",'Int Curves'!$L$3:$M$3,0))</f>
        <v>6.4069609653967394E-2</v>
      </c>
      <c r="L19" s="188">
        <f>INDEX(InterestRateCurve,MATCH(L$15,'Int Curves'!$L:$L,0),MATCH("Semi Annual Calculation",'Int Curves'!$L$3:$M$3,0))</f>
        <v>6.4153199045470455E-2</v>
      </c>
      <c r="M19" s="188">
        <f>INDEX(InterestRateCurve,MATCH(M$15,'Int Curves'!$L:$L,0),MATCH("Semi Annual Calculation",'Int Curves'!$L$3:$M$3,0))</f>
        <v>6.4260822902042047E-2</v>
      </c>
      <c r="N19" s="188">
        <f>INDEX(InterestRateCurve,MATCH(N$15,'Int Curves'!$L:$L,0),MATCH("Semi Annual Calculation",'Int Curves'!$L$3:$M$3,0))</f>
        <v>6.4395763982219328E-2</v>
      </c>
      <c r="O19" s="188">
        <f>INDEX(InterestRateCurve,MATCH(O$15,'Int Curves'!$L:$L,0),MATCH("Semi Annual Calculation",'Int Curves'!$L$3:$M$3,0))</f>
        <v>6.4531074770048324E-2</v>
      </c>
      <c r="P19" s="188">
        <f>INDEX(InterestRateCurve,MATCH(P$15,'Int Curves'!$L:$L,0),MATCH("Semi Annual Calculation",'Int Curves'!$L$3:$M$3,0))</f>
        <v>6.4666015862316531E-2</v>
      </c>
      <c r="Q19" s="188">
        <f>INDEX(InterestRateCurve,MATCH(Q$15,'Int Curves'!$L:$L,0),MATCH("Semi Annual Calculation",'Int Curves'!$L$3:$M$3,0))</f>
        <v>6.4800956960621173E-2</v>
      </c>
      <c r="R19" s="188">
        <f>INDEX(InterestRateCurve,MATCH(R$15,'Int Curves'!$L:$L,0),MATCH("Semi Annual Calculation",'Int Curves'!$L$3:$M$3,0))</f>
        <v>6.4831125747911583E-2</v>
      </c>
      <c r="S19" s="188">
        <f>INDEX(InterestRateCurve,MATCH(S$15,'Int Curves'!$L:$L,0),MATCH("Semi Annual Calculation",'Int Curves'!$L$3:$M$3,0))</f>
        <v>6.4744565768359116E-2</v>
      </c>
      <c r="T19" s="188">
        <f>INDEX(InterestRateCurve,MATCH(T$15,'Int Curves'!$L:$L,0),MATCH("Semi Annual Calculation",'Int Curves'!$L$3:$M$3,0))</f>
        <v>6.4658242293956572E-2</v>
      </c>
      <c r="U19" s="188">
        <f>INDEX(InterestRateCurve,MATCH(U$15,'Int Curves'!$L:$L,0),MATCH("Semi Annual Calculation",'Int Curves'!$L$3:$M$3,0))</f>
        <v>6.4571918822024385E-2</v>
      </c>
      <c r="V19" s="188">
        <f>INDEX(InterestRateCurve,MATCH(V$15,'Int Curves'!$L:$L,0),MATCH("Semi Annual Calculation",'Int Curves'!$L$3:$M$3,0))</f>
        <v>6.4485595352562666E-2</v>
      </c>
      <c r="W19" s="188">
        <f>INDEX(InterestRateCurve,MATCH(W$15,'Int Curves'!$L:$L,0),MATCH("Semi Annual Calculation",'Int Curves'!$L$3:$M$3,0))</f>
        <v>6.4325471188475328E-2</v>
      </c>
      <c r="X19" s="188">
        <f>INDEX(InterestRateCurve,MATCH(X$15,'Int Curves'!$L:$L,0),MATCH("Semi Annual Calculation",'Int Curves'!$L$3:$M$3,0))</f>
        <v>6.4083790372644459E-2</v>
      </c>
      <c r="Y19" s="188">
        <f>INDEX(InterestRateCurve,MATCH(Y$15,'Int Curves'!$L:$L,0),MATCH("Semi Annual Calculation",'Int Curves'!$L$3:$M$3,0))</f>
        <v>6.3842109576182249E-2</v>
      </c>
      <c r="Z19" s="188">
        <f>INDEX(InterestRateCurve,MATCH(Z$15,'Int Curves'!$L:$L,0),MATCH("Semi Annual Calculation",'Int Curves'!$L$3:$M$3,0))</f>
        <v>6.3600428799091321E-2</v>
      </c>
      <c r="AA19" s="188">
        <f>INDEX(InterestRateCurve,MATCH(AA$15,'Int Curves'!$L:$L,0),MATCH("Semi Annual Calculation",'Int Curves'!$L$3:$M$3,0))</f>
        <v>6.3358085902338393E-2</v>
      </c>
      <c r="AB19" s="188">
        <f>INDEX(InterestRateCurve,MATCH(AB$15,'Int Curves'!$L:$L,0),MATCH("Semi Annual Calculation",'Int Curves'!$L$3:$M$3,0))</f>
        <v>6.3116405164049746E-2</v>
      </c>
    </row>
    <row r="20" spans="2:28" s="146" customFormat="1" ht="11.25">
      <c r="B20" s="186"/>
      <c r="C20" s="188">
        <v>1.4999999999999999E-2</v>
      </c>
      <c r="D20" s="188">
        <v>1.4999999999999999E-2</v>
      </c>
      <c r="E20" s="188">
        <v>1.4999999999999999E-2</v>
      </c>
      <c r="F20" s="188">
        <f>E20+0.0025</f>
        <v>1.7499999999999998E-2</v>
      </c>
      <c r="G20" s="188">
        <f>F20</f>
        <v>1.7499999999999998E-2</v>
      </c>
      <c r="H20" s="188">
        <f>F20</f>
        <v>1.7499999999999998E-2</v>
      </c>
      <c r="I20" s="188">
        <f>H20+0.0025</f>
        <v>1.9999999999999997E-2</v>
      </c>
      <c r="J20" s="188">
        <f>I20</f>
        <v>1.9999999999999997E-2</v>
      </c>
      <c r="K20" s="188">
        <f>J20</f>
        <v>1.9999999999999997E-2</v>
      </c>
      <c r="L20" s="188">
        <f>K20+0.0025</f>
        <v>2.2499999999999996E-2</v>
      </c>
      <c r="M20" s="188">
        <f>L20</f>
        <v>2.2499999999999996E-2</v>
      </c>
      <c r="N20" s="560">
        <f>M20</f>
        <v>2.2499999999999996E-2</v>
      </c>
      <c r="O20" s="188">
        <f>N20+0.0025</f>
        <v>2.4999999999999994E-2</v>
      </c>
      <c r="P20" s="189">
        <f>O20</f>
        <v>2.4999999999999994E-2</v>
      </c>
      <c r="Q20" s="189">
        <f>P20</f>
        <v>2.4999999999999994E-2</v>
      </c>
      <c r="R20" s="189">
        <f>Q20+0.0025</f>
        <v>2.7499999999999993E-2</v>
      </c>
      <c r="S20" s="187"/>
      <c r="T20" s="187"/>
      <c r="U20" s="187"/>
      <c r="V20" s="187"/>
      <c r="W20" s="187"/>
      <c r="X20" s="187"/>
      <c r="Y20" s="187"/>
      <c r="Z20" s="187"/>
      <c r="AA20" s="187"/>
      <c r="AB20" s="187"/>
    </row>
    <row r="21" spans="2:28" s="146" customFormat="1" ht="11.25">
      <c r="B21" s="186" t="s">
        <v>164</v>
      </c>
      <c r="C21" s="192">
        <f>C18+C20</f>
        <v>6.8366160170736406E-2</v>
      </c>
      <c r="D21" s="192">
        <f t="shared" ref="D21:W21" si="5">D18+D20</f>
        <v>7.473410557613705E-2</v>
      </c>
      <c r="E21" s="192">
        <f t="shared" si="5"/>
        <v>7.7063923427365733E-2</v>
      </c>
      <c r="F21" s="192">
        <f t="shared" si="5"/>
        <v>8.0737529319749438E-2</v>
      </c>
      <c r="G21" s="192">
        <f t="shared" si="5"/>
        <v>8.1040530753381565E-2</v>
      </c>
      <c r="H21" s="192">
        <f t="shared" si="5"/>
        <v>8.1265249917457275E-2</v>
      </c>
      <c r="I21" s="192">
        <f t="shared" si="5"/>
        <v>8.3860369004664176E-2</v>
      </c>
      <c r="J21" s="192">
        <f t="shared" si="5"/>
        <v>8.3943958390367279E-2</v>
      </c>
      <c r="K21" s="192">
        <f t="shared" si="5"/>
        <v>8.4027700453071535E-2</v>
      </c>
      <c r="L21" s="192">
        <f t="shared" si="5"/>
        <v>8.6611366180756641E-2</v>
      </c>
      <c r="M21" s="192">
        <f t="shared" si="5"/>
        <v>8.6697300399020086E-2</v>
      </c>
      <c r="N21" s="192">
        <f t="shared" si="5"/>
        <v>8.682823182444234E-2</v>
      </c>
      <c r="O21" s="192">
        <f t="shared" si="5"/>
        <v>8.9463419375373929E-2</v>
      </c>
      <c r="P21" s="192">
        <f t="shared" si="5"/>
        <v>8.9598483698488759E-2</v>
      </c>
      <c r="Q21" s="192">
        <f t="shared" si="5"/>
        <v>8.9733424793772248E-2</v>
      </c>
      <c r="R21" s="192">
        <f t="shared" si="5"/>
        <v>9.2357656285088588E-2</v>
      </c>
      <c r="S21" s="192">
        <f t="shared" si="5"/>
        <v>6.4787845757824328E-2</v>
      </c>
      <c r="T21" s="192">
        <f t="shared" si="5"/>
        <v>6.4701443447959736E-2</v>
      </c>
      <c r="U21" s="192">
        <f t="shared" si="5"/>
        <v>6.4615119974791316E-2</v>
      </c>
      <c r="V21" s="192">
        <f t="shared" si="5"/>
        <v>6.4528796504093322E-2</v>
      </c>
      <c r="W21" s="192">
        <f t="shared" si="5"/>
        <v>6.4434795787134874E-2</v>
      </c>
      <c r="X21" s="187"/>
      <c r="Y21" s="187"/>
      <c r="Z21" s="187"/>
      <c r="AA21" s="187"/>
      <c r="AB21" s="187"/>
    </row>
    <row r="22" spans="2:28" s="146" customFormat="1" ht="11.25">
      <c r="B22" s="186" t="s">
        <v>165</v>
      </c>
      <c r="C22" s="192">
        <f>C19+C20</f>
        <v>7.1726068588342531E-2</v>
      </c>
      <c r="D22" s="192">
        <f t="shared" ref="D22:W22" si="6">D19+D20</f>
        <v>7.6227252367461085E-2</v>
      </c>
      <c r="E22" s="192">
        <f t="shared" si="6"/>
        <v>7.7694902819991682E-2</v>
      </c>
      <c r="F22" s="192">
        <f t="shared" si="6"/>
        <v>8.0924588731875843E-2</v>
      </c>
      <c r="G22" s="192">
        <f t="shared" si="6"/>
        <v>8.1156472779352937E-2</v>
      </c>
      <c r="H22" s="192">
        <f t="shared" si="6"/>
        <v>8.1318612481350611E-2</v>
      </c>
      <c r="I22" s="192">
        <f t="shared" si="6"/>
        <v>8.3902201865896281E-2</v>
      </c>
      <c r="J22" s="192">
        <f t="shared" si="6"/>
        <v>8.3985791252759068E-2</v>
      </c>
      <c r="K22" s="192">
        <f t="shared" si="6"/>
        <v>8.4069609653967398E-2</v>
      </c>
      <c r="L22" s="192">
        <f t="shared" si="6"/>
        <v>8.6653199045470447E-2</v>
      </c>
      <c r="M22" s="192">
        <f t="shared" si="6"/>
        <v>8.676082290204204E-2</v>
      </c>
      <c r="N22" s="192">
        <f t="shared" si="6"/>
        <v>8.6895763982219321E-2</v>
      </c>
      <c r="O22" s="192">
        <f t="shared" si="6"/>
        <v>8.9531074770048319E-2</v>
      </c>
      <c r="P22" s="192">
        <f t="shared" si="6"/>
        <v>8.9666015862316525E-2</v>
      </c>
      <c r="Q22" s="192">
        <f t="shared" si="6"/>
        <v>8.9800956960621167E-2</v>
      </c>
      <c r="R22" s="192">
        <f t="shared" si="6"/>
        <v>9.233112574791158E-2</v>
      </c>
      <c r="S22" s="192">
        <f t="shared" si="6"/>
        <v>6.4744565768359116E-2</v>
      </c>
      <c r="T22" s="192">
        <f t="shared" si="6"/>
        <v>6.4658242293956572E-2</v>
      </c>
      <c r="U22" s="192">
        <f t="shared" si="6"/>
        <v>6.4571918822024385E-2</v>
      </c>
      <c r="V22" s="192">
        <f t="shared" si="6"/>
        <v>6.4485595352562666E-2</v>
      </c>
      <c r="W22" s="192">
        <f t="shared" si="6"/>
        <v>6.4325471188475328E-2</v>
      </c>
      <c r="X22" s="187"/>
      <c r="Y22" s="187"/>
      <c r="Z22" s="187"/>
      <c r="AA22" s="187"/>
      <c r="AB22" s="187"/>
    </row>
    <row r="23" spans="2:28" s="117" customFormat="1" ht="11.25">
      <c r="B23" s="119" t="s">
        <v>22</v>
      </c>
      <c r="C23" s="122">
        <v>0</v>
      </c>
      <c r="D23" s="763">
        <f>J3</f>
        <v>58632.204134186592</v>
      </c>
      <c r="E23" s="122">
        <f t="shared" ref="E23:AB23" si="7">D32</f>
        <v>54122.034585403009</v>
      </c>
      <c r="F23" s="817">
        <f>E32</f>
        <v>49611.865036619427</v>
      </c>
      <c r="G23" s="122">
        <f t="shared" si="7"/>
        <v>45101.695487835845</v>
      </c>
      <c r="H23" s="122">
        <f t="shared" si="7"/>
        <v>40591.525939052262</v>
      </c>
      <c r="I23" s="122">
        <f t="shared" si="7"/>
        <v>36081.35639026868</v>
      </c>
      <c r="J23" s="122">
        <f t="shared" si="7"/>
        <v>31571.186841485098</v>
      </c>
      <c r="K23" s="122">
        <f t="shared" si="7"/>
        <v>27061.017292701516</v>
      </c>
      <c r="L23" s="122">
        <f t="shared" si="7"/>
        <v>22550.847743917933</v>
      </c>
      <c r="M23" s="122">
        <f t="shared" si="7"/>
        <v>18040.678195134351</v>
      </c>
      <c r="N23" s="122">
        <f t="shared" si="7"/>
        <v>13530.508646350769</v>
      </c>
      <c r="O23" s="122">
        <f t="shared" si="7"/>
        <v>9020.3390975671864</v>
      </c>
      <c r="P23" s="122">
        <f t="shared" si="7"/>
        <v>4510.1695487836023</v>
      </c>
      <c r="Q23" s="122">
        <f t="shared" si="7"/>
        <v>1.8189894035458565E-11</v>
      </c>
      <c r="R23" s="122">
        <f t="shared" si="7"/>
        <v>0</v>
      </c>
      <c r="S23" s="122">
        <f t="shared" si="7"/>
        <v>0</v>
      </c>
      <c r="T23" s="122">
        <f t="shared" si="7"/>
        <v>0</v>
      </c>
      <c r="U23" s="122">
        <f t="shared" si="7"/>
        <v>0</v>
      </c>
      <c r="V23" s="122">
        <f t="shared" si="7"/>
        <v>0</v>
      </c>
      <c r="W23" s="122">
        <f t="shared" si="7"/>
        <v>0</v>
      </c>
      <c r="X23" s="122">
        <f t="shared" si="7"/>
        <v>0</v>
      </c>
      <c r="Y23" s="122">
        <f t="shared" si="7"/>
        <v>0</v>
      </c>
      <c r="Z23" s="122">
        <f t="shared" si="7"/>
        <v>0</v>
      </c>
      <c r="AA23" s="122">
        <f t="shared" si="7"/>
        <v>0</v>
      </c>
      <c r="AB23" s="122">
        <f t="shared" si="7"/>
        <v>0</v>
      </c>
    </row>
    <row r="24" spans="2:28" s="117" customFormat="1" ht="11.25">
      <c r="B24" s="124" t="s">
        <v>23</v>
      </c>
      <c r="C24" s="125">
        <f>C25+C26</f>
        <v>0</v>
      </c>
      <c r="D24" s="125">
        <f t="shared" ref="D24:X24" si="8">D25+D26</f>
        <v>4445.9974413547516</v>
      </c>
      <c r="E24" s="125">
        <f t="shared" si="8"/>
        <v>4340.5129389031608</v>
      </c>
      <c r="F24" s="125">
        <f t="shared" si="8"/>
        <v>4257.8544783925481</v>
      </c>
      <c r="G24" s="125">
        <f t="shared" si="8"/>
        <v>4082.6174444975977</v>
      </c>
      <c r="H24" s="125">
        <f t="shared" si="8"/>
        <v>3904.4250243758079</v>
      </c>
      <c r="I24" s="125">
        <f t="shared" si="8"/>
        <v>3767.9827049301566</v>
      </c>
      <c r="J24" s="125">
        <f t="shared" si="8"/>
        <v>3580.1899716698599</v>
      </c>
      <c r="K24" s="125">
        <f t="shared" si="8"/>
        <v>3392.0223019050482</v>
      </c>
      <c r="L24" s="125">
        <f t="shared" si="8"/>
        <v>3231.6646402092751</v>
      </c>
      <c r="M24" s="125">
        <f t="shared" si="8"/>
        <v>3037.1238228345992</v>
      </c>
      <c r="N24" s="125">
        <f t="shared" si="8"/>
        <v>2842.4998451157753</v>
      </c>
      <c r="O24" s="125">
        <f t="shared" si="8"/>
        <v>2658.5799641886597</v>
      </c>
      <c r="P24" s="125">
        <f t="shared" si="8"/>
        <v>2457.1369507888462</v>
      </c>
      <c r="Q24" s="125">
        <f t="shared" si="8"/>
        <v>1.9006014779677317E-11</v>
      </c>
      <c r="R24" s="125">
        <f t="shared" si="8"/>
        <v>0</v>
      </c>
      <c r="S24" s="125">
        <f t="shared" si="8"/>
        <v>0</v>
      </c>
      <c r="T24" s="125">
        <f t="shared" si="8"/>
        <v>0</v>
      </c>
      <c r="U24" s="125">
        <f t="shared" si="8"/>
        <v>0</v>
      </c>
      <c r="V24" s="125">
        <f t="shared" si="8"/>
        <v>0</v>
      </c>
      <c r="W24" s="125">
        <f t="shared" si="8"/>
        <v>0</v>
      </c>
      <c r="X24" s="125">
        <f t="shared" si="8"/>
        <v>0</v>
      </c>
      <c r="Y24" s="125">
        <f>PMT($G$3/2,$G$4*2,-$J$3)*Y17</f>
        <v>0</v>
      </c>
      <c r="Z24" s="125">
        <f>PMT($G$3/2,$G$4*2,-$J$3)*Z17</f>
        <v>0</v>
      </c>
      <c r="AA24" s="125">
        <f>PMT($G$3/2,$G$4*2,-$J$3)*AA17</f>
        <v>0</v>
      </c>
      <c r="AB24" s="125">
        <f>PMT($G$3/2,$G$4*2,-$J$3)*AB17</f>
        <v>0</v>
      </c>
    </row>
    <row r="25" spans="2:28" s="117" customFormat="1" ht="11.25">
      <c r="B25" s="124" t="s">
        <v>24</v>
      </c>
      <c r="C25" s="125">
        <v>0</v>
      </c>
      <c r="D25" s="125">
        <f>D23*D21/2</f>
        <v>2190.91266696296</v>
      </c>
      <c r="E25" s="125">
        <f t="shared" ref="E25:AB25" si="9">E23*E21/2</f>
        <v>2085.4281645113688</v>
      </c>
      <c r="F25" s="125">
        <f t="shared" si="9"/>
        <v>2002.7697040007565</v>
      </c>
      <c r="G25" s="125">
        <f t="shared" si="9"/>
        <v>1827.5326701058057</v>
      </c>
      <c r="H25" s="125">
        <f t="shared" si="9"/>
        <v>1649.3402499840158</v>
      </c>
      <c r="I25" s="125">
        <f t="shared" si="9"/>
        <v>1512.8979305383646</v>
      </c>
      <c r="J25" s="125">
        <f t="shared" si="9"/>
        <v>1325.1051972780681</v>
      </c>
      <c r="K25" s="125">
        <f t="shared" si="9"/>
        <v>1136.9375275132559</v>
      </c>
      <c r="L25" s="125">
        <f t="shared" si="9"/>
        <v>976.57986581748298</v>
      </c>
      <c r="M25" s="125">
        <f t="shared" si="9"/>
        <v>782.03904844280714</v>
      </c>
      <c r="N25" s="125">
        <f t="shared" si="9"/>
        <v>587.41507072398304</v>
      </c>
      <c r="O25" s="125">
        <f t="shared" si="9"/>
        <v>403.49518979686758</v>
      </c>
      <c r="P25" s="125">
        <f t="shared" si="9"/>
        <v>202.05217639705398</v>
      </c>
      <c r="Q25" s="125">
        <f t="shared" si="9"/>
        <v>8.1612074421875371E-13</v>
      </c>
      <c r="R25" s="125">
        <f t="shared" si="9"/>
        <v>0</v>
      </c>
      <c r="S25" s="125">
        <f t="shared" si="9"/>
        <v>0</v>
      </c>
      <c r="T25" s="125">
        <f t="shared" si="9"/>
        <v>0</v>
      </c>
      <c r="U25" s="125">
        <f t="shared" si="9"/>
        <v>0</v>
      </c>
      <c r="V25" s="125">
        <f t="shared" si="9"/>
        <v>0</v>
      </c>
      <c r="W25" s="125">
        <f t="shared" si="9"/>
        <v>0</v>
      </c>
      <c r="X25" s="125">
        <f t="shared" si="9"/>
        <v>0</v>
      </c>
      <c r="Y25" s="125">
        <f t="shared" si="9"/>
        <v>0</v>
      </c>
      <c r="Z25" s="125">
        <f t="shared" si="9"/>
        <v>0</v>
      </c>
      <c r="AA25" s="125">
        <f t="shared" si="9"/>
        <v>0</v>
      </c>
      <c r="AB25" s="125">
        <f t="shared" si="9"/>
        <v>0</v>
      </c>
    </row>
    <row r="26" spans="2:28" s="117" customFormat="1" ht="11.25">
      <c r="B26" s="124" t="s">
        <v>25</v>
      </c>
      <c r="C26" s="125">
        <v>0</v>
      </c>
      <c r="D26" s="125">
        <f>IF(D23&gt;0,MIN($J$3/($G$4*$G$5),D23),0)</f>
        <v>2255.0847743917921</v>
      </c>
      <c r="E26" s="125">
        <f>IF(D32&gt;0,MIN($J$3/($G$4*$G$5),D32),0)</f>
        <v>2255.0847743917921</v>
      </c>
      <c r="F26" s="125">
        <f>IF(E32&gt;0,MIN($J$3/($G$4*$G$5),E32),0)</f>
        <v>2255.0847743917921</v>
      </c>
      <c r="G26" s="125">
        <f>IF(F32&gt;0,MIN($J$3/($G$4*$G$5),F32),0)</f>
        <v>2255.0847743917921</v>
      </c>
      <c r="H26" s="125">
        <f>IF(H$23&gt;0,MIN(IF(SUM($D$31:$G$31)&gt;0,(($J$3-SUM($D$36:$G$36))/((($G$4-$G$16)*$G$5))),G30),H$23),0)</f>
        <v>2255.0847743917921</v>
      </c>
      <c r="I26" s="125">
        <f t="shared" ref="I26:AB26" si="10">IF(I$23&gt;0,MIN(IF(SUM($D$31:$G$31)&gt;0,(($J$3-SUM($D$36:$G$36))/((($G$4-$G$16)*$G$5))),H30),I$23),0)</f>
        <v>2255.0847743917921</v>
      </c>
      <c r="J26" s="125">
        <f t="shared" si="10"/>
        <v>2255.0847743917921</v>
      </c>
      <c r="K26" s="125">
        <f t="shared" si="10"/>
        <v>2255.0847743917921</v>
      </c>
      <c r="L26" s="125">
        <f t="shared" si="10"/>
        <v>2255.0847743917921</v>
      </c>
      <c r="M26" s="125">
        <f t="shared" si="10"/>
        <v>2255.0847743917921</v>
      </c>
      <c r="N26" s="125">
        <f t="shared" si="10"/>
        <v>2255.0847743917921</v>
      </c>
      <c r="O26" s="125">
        <f t="shared" si="10"/>
        <v>2255.0847743917921</v>
      </c>
      <c r="P26" s="125">
        <f t="shared" si="10"/>
        <v>2255.0847743917921</v>
      </c>
      <c r="Q26" s="125">
        <f t="shared" si="10"/>
        <v>1.8189894035458565E-11</v>
      </c>
      <c r="R26" s="125">
        <f t="shared" si="10"/>
        <v>0</v>
      </c>
      <c r="S26" s="125">
        <f t="shared" si="10"/>
        <v>0</v>
      </c>
      <c r="T26" s="125">
        <f t="shared" si="10"/>
        <v>0</v>
      </c>
      <c r="U26" s="125">
        <f t="shared" si="10"/>
        <v>0</v>
      </c>
      <c r="V26" s="125">
        <f t="shared" si="10"/>
        <v>0</v>
      </c>
      <c r="W26" s="125">
        <f t="shared" si="10"/>
        <v>0</v>
      </c>
      <c r="X26" s="125">
        <f t="shared" si="10"/>
        <v>0</v>
      </c>
      <c r="Y26" s="125">
        <f t="shared" si="10"/>
        <v>0</v>
      </c>
      <c r="Z26" s="125">
        <f t="shared" si="10"/>
        <v>0</v>
      </c>
      <c r="AA26" s="125">
        <f t="shared" si="10"/>
        <v>0</v>
      </c>
      <c r="AB26" s="125">
        <f t="shared" si="10"/>
        <v>0</v>
      </c>
    </row>
    <row r="27" spans="2:28" s="117" customFormat="1" ht="11.25">
      <c r="B27" s="120" t="s">
        <v>26</v>
      </c>
      <c r="C27" s="126">
        <f t="shared" ref="C27:L27" si="11">C23-C26</f>
        <v>0</v>
      </c>
      <c r="D27" s="126">
        <f t="shared" si="11"/>
        <v>56377.1193597948</v>
      </c>
      <c r="E27" s="126">
        <f t="shared" si="11"/>
        <v>51866.949811011218</v>
      </c>
      <c r="F27" s="126">
        <f t="shared" si="11"/>
        <v>47356.780262227636</v>
      </c>
      <c r="G27" s="126">
        <f t="shared" si="11"/>
        <v>42846.610713444054</v>
      </c>
      <c r="H27" s="126">
        <f t="shared" si="11"/>
        <v>38336.441164660471</v>
      </c>
      <c r="I27" s="126">
        <f t="shared" si="11"/>
        <v>33826.271615876889</v>
      </c>
      <c r="J27" s="126">
        <f t="shared" si="11"/>
        <v>29316.102067093307</v>
      </c>
      <c r="K27" s="126">
        <f t="shared" si="11"/>
        <v>24805.932518309724</v>
      </c>
      <c r="L27" s="126">
        <f t="shared" si="11"/>
        <v>20295.762969526142</v>
      </c>
      <c r="M27" s="126">
        <f t="shared" ref="M27:AB27" si="12">M23-M26</f>
        <v>15785.59342074256</v>
      </c>
      <c r="N27" s="126">
        <f t="shared" si="12"/>
        <v>11275.423871958978</v>
      </c>
      <c r="O27" s="126">
        <f t="shared" si="12"/>
        <v>6765.2543231753943</v>
      </c>
      <c r="P27" s="126">
        <f t="shared" si="12"/>
        <v>2255.0847743918102</v>
      </c>
      <c r="Q27" s="126">
        <f t="shared" si="12"/>
        <v>0</v>
      </c>
      <c r="R27" s="126">
        <f t="shared" si="12"/>
        <v>0</v>
      </c>
      <c r="S27" s="126">
        <f t="shared" si="12"/>
        <v>0</v>
      </c>
      <c r="T27" s="126">
        <f t="shared" si="12"/>
        <v>0</v>
      </c>
      <c r="U27" s="126">
        <f t="shared" si="12"/>
        <v>0</v>
      </c>
      <c r="V27" s="126">
        <f t="shared" si="12"/>
        <v>0</v>
      </c>
      <c r="W27" s="126">
        <f t="shared" si="12"/>
        <v>0</v>
      </c>
      <c r="X27" s="126">
        <f t="shared" si="12"/>
        <v>0</v>
      </c>
      <c r="Y27" s="126">
        <f t="shared" si="12"/>
        <v>0</v>
      </c>
      <c r="Z27" s="126">
        <f t="shared" si="12"/>
        <v>0</v>
      </c>
      <c r="AA27" s="126">
        <f t="shared" si="12"/>
        <v>0</v>
      </c>
      <c r="AB27" s="126">
        <f t="shared" si="12"/>
        <v>0</v>
      </c>
    </row>
    <row r="28" spans="2:28" s="117" customFormat="1" ht="11.25">
      <c r="B28" s="119" t="s">
        <v>27</v>
      </c>
      <c r="C28" s="122">
        <f>C29+C30</f>
        <v>0</v>
      </c>
      <c r="D28" s="122">
        <f t="shared" ref="D28:W28" si="13">D29+D30</f>
        <v>4403.8212269865689</v>
      </c>
      <c r="E28" s="122">
        <f t="shared" si="13"/>
        <v>4269.9835869597428</v>
      </c>
      <c r="F28" s="122">
        <f t="shared" si="13"/>
        <v>4171.2487575850855</v>
      </c>
      <c r="G28" s="122">
        <f t="shared" si="13"/>
        <v>3993.7246724183692</v>
      </c>
      <c r="H28" s="122">
        <f t="shared" si="13"/>
        <v>3813.8178758833533</v>
      </c>
      <c r="I28" s="122">
        <f t="shared" si="13"/>
        <v>3674.1341091347622</v>
      </c>
      <c r="J28" s="122">
        <f t="shared" si="13"/>
        <v>3486.1527886675303</v>
      </c>
      <c r="K28" s="122">
        <f t="shared" si="13"/>
        <v>3297.7973063502695</v>
      </c>
      <c r="L28" s="122">
        <f t="shared" si="13"/>
        <v>3134.4311685808107</v>
      </c>
      <c r="M28" s="122">
        <f t="shared" si="13"/>
        <v>2939.8703119821348</v>
      </c>
      <c r="N28" s="122">
        <f t="shared" si="13"/>
        <v>2744.9780601804064</v>
      </c>
      <c r="O28" s="122">
        <f t="shared" si="13"/>
        <v>2557.9350197150966</v>
      </c>
      <c r="P28" s="122">
        <f t="shared" si="13"/>
        <v>2356.1870079675346</v>
      </c>
      <c r="Q28" s="122">
        <f t="shared" si="13"/>
        <v>0</v>
      </c>
      <c r="R28" s="122">
        <f t="shared" si="13"/>
        <v>0</v>
      </c>
      <c r="S28" s="122">
        <f t="shared" si="13"/>
        <v>0</v>
      </c>
      <c r="T28" s="122">
        <f t="shared" si="13"/>
        <v>0</v>
      </c>
      <c r="U28" s="122">
        <f t="shared" si="13"/>
        <v>0</v>
      </c>
      <c r="V28" s="122">
        <f t="shared" si="13"/>
        <v>0</v>
      </c>
      <c r="W28" s="122">
        <f t="shared" si="13"/>
        <v>0</v>
      </c>
      <c r="X28" s="122">
        <f>PMT($G$3/2,$G$4*2,-$J$3)*X17</f>
        <v>0</v>
      </c>
      <c r="Y28" s="122">
        <f>PMT($G$3/2,$G$4*2,-$J$3)*Y17</f>
        <v>0</v>
      </c>
      <c r="Z28" s="122">
        <f>PMT($G$3/2,$G$4*2,-$J$3)*Z17</f>
        <v>0</v>
      </c>
      <c r="AA28" s="122">
        <f>PMT($G$3/2,$G$4*2,-$J$3)*AA17</f>
        <v>0</v>
      </c>
      <c r="AB28" s="122">
        <f>PMT($G$3/2,$G$4*2,-$J$3)*AB17</f>
        <v>0</v>
      </c>
    </row>
    <row r="29" spans="2:28" s="117" customFormat="1" ht="11.25">
      <c r="B29" s="124" t="s">
        <v>28</v>
      </c>
      <c r="C29" s="125">
        <f>C27*C22/2</f>
        <v>0</v>
      </c>
      <c r="D29" s="125">
        <f t="shared" ref="D29:AB29" si="14">D27*D22/2</f>
        <v>2148.7364525947773</v>
      </c>
      <c r="E29" s="125">
        <f t="shared" si="14"/>
        <v>2014.8988125679512</v>
      </c>
      <c r="F29" s="125">
        <f t="shared" si="14"/>
        <v>1916.1639831932935</v>
      </c>
      <c r="G29" s="125">
        <f t="shared" si="14"/>
        <v>1738.6398980265772</v>
      </c>
      <c r="H29" s="125">
        <f t="shared" si="14"/>
        <v>1558.7331014915612</v>
      </c>
      <c r="I29" s="125">
        <f t="shared" si="14"/>
        <v>1419.0493347429701</v>
      </c>
      <c r="J29" s="125">
        <f t="shared" si="14"/>
        <v>1231.0680142757385</v>
      </c>
      <c r="K29" s="125">
        <f t="shared" si="14"/>
        <v>1042.7125319584775</v>
      </c>
      <c r="L29" s="125">
        <f t="shared" si="14"/>
        <v>879.34639418901861</v>
      </c>
      <c r="M29" s="125">
        <f t="shared" si="14"/>
        <v>684.78553759034264</v>
      </c>
      <c r="N29" s="125">
        <f t="shared" si="14"/>
        <v>489.89328578861443</v>
      </c>
      <c r="O29" s="125">
        <f t="shared" si="14"/>
        <v>302.85024532330442</v>
      </c>
      <c r="P29" s="125">
        <f t="shared" si="14"/>
        <v>101.10223357574228</v>
      </c>
      <c r="Q29" s="125">
        <f t="shared" si="14"/>
        <v>0</v>
      </c>
      <c r="R29" s="125">
        <f t="shared" si="14"/>
        <v>0</v>
      </c>
      <c r="S29" s="125">
        <f t="shared" si="14"/>
        <v>0</v>
      </c>
      <c r="T29" s="125">
        <f t="shared" si="14"/>
        <v>0</v>
      </c>
      <c r="U29" s="125">
        <f t="shared" si="14"/>
        <v>0</v>
      </c>
      <c r="V29" s="125">
        <f t="shared" si="14"/>
        <v>0</v>
      </c>
      <c r="W29" s="125">
        <f t="shared" si="14"/>
        <v>0</v>
      </c>
      <c r="X29" s="125">
        <f t="shared" si="14"/>
        <v>0</v>
      </c>
      <c r="Y29" s="125">
        <f t="shared" si="14"/>
        <v>0</v>
      </c>
      <c r="Z29" s="125">
        <f t="shared" si="14"/>
        <v>0</v>
      </c>
      <c r="AA29" s="125">
        <f t="shared" si="14"/>
        <v>0</v>
      </c>
      <c r="AB29" s="125">
        <f t="shared" si="14"/>
        <v>0</v>
      </c>
    </row>
    <row r="30" spans="2:28" s="117" customFormat="1" ht="11.25">
      <c r="B30" s="124" t="s">
        <v>29</v>
      </c>
      <c r="C30" s="125">
        <f>IF(C27&gt;0,MIN($J$3/($G$4*$G$5),C27),0)</f>
        <v>0</v>
      </c>
      <c r="D30" s="125">
        <f>IF(D27&gt;0,MIN($J$3/($G$4*$G$5),D27),0)</f>
        <v>2255.0847743917921</v>
      </c>
      <c r="E30" s="125">
        <f>IF(E27&gt;0,MIN($J$3/($G$4*$G$5),E27),0)</f>
        <v>2255.0847743917921</v>
      </c>
      <c r="F30" s="125">
        <f>IF(F27&gt;0,MIN($J$3/($G$4*$G$5),F27),0)</f>
        <v>2255.0847743917921</v>
      </c>
      <c r="G30" s="125">
        <f>IF(G27&gt;0,MIN($J$3/($G$4*$G$5),G27),0)</f>
        <v>2255.0847743917921</v>
      </c>
      <c r="H30" s="125">
        <f>IF(H$27&gt;0,MIN(IF(SUM($D$31:$G$31)&gt;0,(($J$3-SUM($D$36:$G$36))/((($G$4-$G$16)*$G$5))),H26),H$27),0)</f>
        <v>2255.0847743917921</v>
      </c>
      <c r="I30" s="125">
        <f t="shared" ref="I30:AB30" si="15">IF(I$27&gt;0,MIN(IF(SUM($D$31:$G$31)&gt;0,(($J$3-SUM($D$36:$G$36))/((($G$4-$G$16)*$G$5))),I26),I$27),0)</f>
        <v>2255.0847743917921</v>
      </c>
      <c r="J30" s="125">
        <f t="shared" si="15"/>
        <v>2255.0847743917921</v>
      </c>
      <c r="K30" s="125">
        <f t="shared" si="15"/>
        <v>2255.0847743917921</v>
      </c>
      <c r="L30" s="125">
        <f t="shared" si="15"/>
        <v>2255.0847743917921</v>
      </c>
      <c r="M30" s="125">
        <f t="shared" si="15"/>
        <v>2255.0847743917921</v>
      </c>
      <c r="N30" s="125">
        <f t="shared" si="15"/>
        <v>2255.0847743917921</v>
      </c>
      <c r="O30" s="125">
        <f t="shared" si="15"/>
        <v>2255.0847743917921</v>
      </c>
      <c r="P30" s="125">
        <f t="shared" si="15"/>
        <v>2255.0847743917921</v>
      </c>
      <c r="Q30" s="125">
        <f t="shared" si="15"/>
        <v>0</v>
      </c>
      <c r="R30" s="125">
        <f t="shared" si="15"/>
        <v>0</v>
      </c>
      <c r="S30" s="125">
        <f t="shared" si="15"/>
        <v>0</v>
      </c>
      <c r="T30" s="125">
        <f t="shared" si="15"/>
        <v>0</v>
      </c>
      <c r="U30" s="125">
        <f t="shared" si="15"/>
        <v>0</v>
      </c>
      <c r="V30" s="125">
        <f t="shared" si="15"/>
        <v>0</v>
      </c>
      <c r="W30" s="125">
        <f t="shared" si="15"/>
        <v>0</v>
      </c>
      <c r="X30" s="125">
        <f t="shared" si="15"/>
        <v>0</v>
      </c>
      <c r="Y30" s="125">
        <f t="shared" si="15"/>
        <v>0</v>
      </c>
      <c r="Z30" s="125">
        <f t="shared" si="15"/>
        <v>0</v>
      </c>
      <c r="AA30" s="125">
        <f t="shared" si="15"/>
        <v>0</v>
      </c>
      <c r="AB30" s="125">
        <f t="shared" si="15"/>
        <v>0</v>
      </c>
    </row>
    <row r="31" spans="2:28" s="117" customFormat="1" ht="11.25">
      <c r="B31" s="124" t="s">
        <v>648</v>
      </c>
      <c r="C31" s="125"/>
      <c r="D31" s="125" t="str">
        <f>IF($C5&gt;0,$C5,"")</f>
        <v/>
      </c>
      <c r="E31" s="125" t="str">
        <f>IF($C6&gt;0,$C6,"")</f>
        <v/>
      </c>
      <c r="F31" s="125" t="str">
        <f>IF($C7&gt;0,$C7,"")</f>
        <v/>
      </c>
      <c r="G31" s="125" t="str">
        <f>IF($C8&gt;0,$C8,"")</f>
        <v/>
      </c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</row>
    <row r="32" spans="2:28" s="117" customFormat="1" ht="12" thickBot="1">
      <c r="B32" s="144" t="s">
        <v>487</v>
      </c>
      <c r="C32" s="145">
        <f>C27-C30-C31</f>
        <v>0</v>
      </c>
      <c r="D32" s="145">
        <f t="shared" ref="D32:AB32" si="16">D27-D30-D31</f>
        <v>54122.034585403009</v>
      </c>
      <c r="E32" s="145">
        <f t="shared" si="16"/>
        <v>49611.865036619427</v>
      </c>
      <c r="F32" s="145">
        <f t="shared" si="16"/>
        <v>45101.695487835845</v>
      </c>
      <c r="G32" s="145">
        <f t="shared" si="16"/>
        <v>40591.525939052262</v>
      </c>
      <c r="H32" s="145">
        <f t="shared" si="16"/>
        <v>36081.35639026868</v>
      </c>
      <c r="I32" s="145">
        <f t="shared" si="16"/>
        <v>31571.186841485098</v>
      </c>
      <c r="J32" s="145">
        <f t="shared" si="16"/>
        <v>27061.017292701516</v>
      </c>
      <c r="K32" s="145">
        <f t="shared" si="16"/>
        <v>22550.847743917933</v>
      </c>
      <c r="L32" s="145">
        <f t="shared" si="16"/>
        <v>18040.678195134351</v>
      </c>
      <c r="M32" s="145">
        <f t="shared" si="16"/>
        <v>13530.508646350769</v>
      </c>
      <c r="N32" s="145">
        <f t="shared" si="16"/>
        <v>9020.3390975671864</v>
      </c>
      <c r="O32" s="145">
        <f t="shared" si="16"/>
        <v>4510.1695487836023</v>
      </c>
      <c r="P32" s="145">
        <f t="shared" si="16"/>
        <v>1.8189894035458565E-11</v>
      </c>
      <c r="Q32" s="145">
        <f t="shared" si="16"/>
        <v>0</v>
      </c>
      <c r="R32" s="145">
        <f t="shared" si="16"/>
        <v>0</v>
      </c>
      <c r="S32" s="145">
        <f t="shared" si="16"/>
        <v>0</v>
      </c>
      <c r="T32" s="145">
        <f t="shared" si="16"/>
        <v>0</v>
      </c>
      <c r="U32" s="145">
        <f t="shared" si="16"/>
        <v>0</v>
      </c>
      <c r="V32" s="145">
        <f t="shared" si="16"/>
        <v>0</v>
      </c>
      <c r="W32" s="145">
        <f t="shared" si="16"/>
        <v>0</v>
      </c>
      <c r="X32" s="145">
        <f t="shared" si="16"/>
        <v>0</v>
      </c>
      <c r="Y32" s="145">
        <f t="shared" si="16"/>
        <v>0</v>
      </c>
      <c r="Z32" s="145">
        <f t="shared" si="16"/>
        <v>0</v>
      </c>
      <c r="AA32" s="145">
        <f t="shared" si="16"/>
        <v>0</v>
      </c>
      <c r="AB32" s="145">
        <f t="shared" si="16"/>
        <v>0</v>
      </c>
    </row>
    <row r="33" spans="2:31" s="117" customFormat="1" ht="11.25">
      <c r="B33" s="124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</row>
    <row r="34" spans="2:31" s="117" customFormat="1" ht="11.25">
      <c r="B34" s="124" t="s">
        <v>30</v>
      </c>
      <c r="C34" s="125">
        <f t="shared" ref="C34:L36" si="17">C24+C28</f>
        <v>0</v>
      </c>
      <c r="D34" s="125">
        <f t="shared" si="17"/>
        <v>8849.8186683413205</v>
      </c>
      <c r="E34" s="125">
        <f t="shared" si="17"/>
        <v>8610.4965258629036</v>
      </c>
      <c r="F34" s="125">
        <f t="shared" si="17"/>
        <v>8429.1032359776327</v>
      </c>
      <c r="G34" s="125">
        <f t="shared" si="17"/>
        <v>8076.3421169159665</v>
      </c>
      <c r="H34" s="125">
        <f t="shared" si="17"/>
        <v>7718.2429002591616</v>
      </c>
      <c r="I34" s="125">
        <f t="shared" si="17"/>
        <v>7442.1168140649188</v>
      </c>
      <c r="J34" s="125">
        <f t="shared" si="17"/>
        <v>7066.3427603373902</v>
      </c>
      <c r="K34" s="125">
        <f t="shared" si="17"/>
        <v>6689.8196082553177</v>
      </c>
      <c r="L34" s="125">
        <f t="shared" si="17"/>
        <v>6366.0958087900854</v>
      </c>
      <c r="M34" s="125">
        <f t="shared" ref="M34:AA35" si="18">M24+M28</f>
        <v>5976.994134816734</v>
      </c>
      <c r="N34" s="125">
        <f t="shared" si="18"/>
        <v>5587.4779052961821</v>
      </c>
      <c r="O34" s="125">
        <f t="shared" si="18"/>
        <v>5216.5149839037567</v>
      </c>
      <c r="P34" s="125">
        <f t="shared" si="18"/>
        <v>4813.3239587563803</v>
      </c>
      <c r="Q34" s="125">
        <f t="shared" si="18"/>
        <v>1.9006014779677317E-11</v>
      </c>
      <c r="R34" s="125">
        <f t="shared" si="18"/>
        <v>0</v>
      </c>
      <c r="S34" s="125">
        <f t="shared" si="18"/>
        <v>0</v>
      </c>
      <c r="T34" s="125">
        <f t="shared" si="18"/>
        <v>0</v>
      </c>
      <c r="U34" s="125">
        <f t="shared" si="18"/>
        <v>0</v>
      </c>
      <c r="V34" s="125">
        <f t="shared" si="18"/>
        <v>0</v>
      </c>
      <c r="W34" s="125">
        <f t="shared" si="18"/>
        <v>0</v>
      </c>
      <c r="X34" s="125">
        <f t="shared" si="18"/>
        <v>0</v>
      </c>
      <c r="Y34" s="125">
        <f t="shared" si="18"/>
        <v>0</v>
      </c>
      <c r="Z34" s="125">
        <f t="shared" si="18"/>
        <v>0</v>
      </c>
      <c r="AA34" s="125">
        <f t="shared" si="18"/>
        <v>0</v>
      </c>
      <c r="AB34" s="125">
        <f>AB24+AB28</f>
        <v>0</v>
      </c>
    </row>
    <row r="35" spans="2:31" s="117" customFormat="1" ht="11.25">
      <c r="B35" s="66" t="s">
        <v>481</v>
      </c>
      <c r="C35" s="125">
        <f t="shared" si="17"/>
        <v>0</v>
      </c>
      <c r="D35" s="125">
        <f t="shared" si="17"/>
        <v>4339.6491195577373</v>
      </c>
      <c r="E35" s="125">
        <f t="shared" si="17"/>
        <v>4100.3269770793195</v>
      </c>
      <c r="F35" s="125">
        <f t="shared" si="17"/>
        <v>3918.93368719405</v>
      </c>
      <c r="G35" s="125">
        <f t="shared" si="17"/>
        <v>3566.1725681323828</v>
      </c>
      <c r="H35" s="125">
        <f t="shared" si="17"/>
        <v>3208.0733514755771</v>
      </c>
      <c r="I35" s="125">
        <f t="shared" si="17"/>
        <v>2931.9472652813347</v>
      </c>
      <c r="J35" s="125">
        <f t="shared" si="17"/>
        <v>2556.1732115538066</v>
      </c>
      <c r="K35" s="125">
        <f t="shared" si="17"/>
        <v>2179.6500594717336</v>
      </c>
      <c r="L35" s="125">
        <f t="shared" si="17"/>
        <v>1855.9262600065017</v>
      </c>
      <c r="M35" s="125">
        <f t="shared" si="18"/>
        <v>1466.8245860331499</v>
      </c>
      <c r="N35" s="125">
        <f t="shared" si="18"/>
        <v>1077.3083565125976</v>
      </c>
      <c r="O35" s="125">
        <f t="shared" si="18"/>
        <v>706.34543512017194</v>
      </c>
      <c r="P35" s="125">
        <f t="shared" si="18"/>
        <v>303.15440997279626</v>
      </c>
      <c r="Q35" s="125">
        <f t="shared" si="18"/>
        <v>8.1612074421875371E-13</v>
      </c>
      <c r="R35" s="125">
        <f t="shared" si="18"/>
        <v>0</v>
      </c>
      <c r="S35" s="125">
        <f t="shared" si="18"/>
        <v>0</v>
      </c>
      <c r="T35" s="125">
        <f t="shared" si="18"/>
        <v>0</v>
      </c>
      <c r="U35" s="125">
        <f t="shared" si="18"/>
        <v>0</v>
      </c>
      <c r="V35" s="125">
        <f t="shared" si="18"/>
        <v>0</v>
      </c>
      <c r="W35" s="125">
        <f t="shared" si="18"/>
        <v>0</v>
      </c>
      <c r="X35" s="125">
        <f t="shared" si="18"/>
        <v>0</v>
      </c>
      <c r="Y35" s="125">
        <f t="shared" si="18"/>
        <v>0</v>
      </c>
      <c r="Z35" s="125">
        <f t="shared" si="18"/>
        <v>0</v>
      </c>
      <c r="AA35" s="125">
        <f t="shared" si="18"/>
        <v>0</v>
      </c>
      <c r="AB35" s="125">
        <f>AB25+AB29</f>
        <v>0</v>
      </c>
    </row>
    <row r="36" spans="2:31" s="117" customFormat="1" ht="11.25">
      <c r="B36" s="120" t="s">
        <v>31</v>
      </c>
      <c r="C36" s="126">
        <f t="shared" si="17"/>
        <v>0</v>
      </c>
      <c r="D36" s="126">
        <f>D26+D30+D31</f>
        <v>4510.1695487835841</v>
      </c>
      <c r="E36" s="126">
        <f t="shared" ref="E36:AB36" si="19">E26+E30+E31</f>
        <v>4510.1695487835841</v>
      </c>
      <c r="F36" s="126">
        <f t="shared" si="19"/>
        <v>4510.1695487835841</v>
      </c>
      <c r="G36" s="126">
        <f t="shared" si="19"/>
        <v>4510.1695487835841</v>
      </c>
      <c r="H36" s="126">
        <f t="shared" si="19"/>
        <v>4510.1695487835841</v>
      </c>
      <c r="I36" s="126">
        <f t="shared" si="19"/>
        <v>4510.1695487835841</v>
      </c>
      <c r="J36" s="126">
        <f t="shared" si="19"/>
        <v>4510.1695487835841</v>
      </c>
      <c r="K36" s="126">
        <f t="shared" si="19"/>
        <v>4510.1695487835841</v>
      </c>
      <c r="L36" s="126">
        <f t="shared" si="19"/>
        <v>4510.1695487835841</v>
      </c>
      <c r="M36" s="126">
        <f t="shared" si="19"/>
        <v>4510.1695487835841</v>
      </c>
      <c r="N36" s="126">
        <f t="shared" si="19"/>
        <v>4510.1695487835841</v>
      </c>
      <c r="O36" s="126">
        <f t="shared" si="19"/>
        <v>4510.1695487835841</v>
      </c>
      <c r="P36" s="126">
        <f t="shared" si="19"/>
        <v>4510.1695487835841</v>
      </c>
      <c r="Q36" s="126">
        <f t="shared" si="19"/>
        <v>1.8189894035458565E-11</v>
      </c>
      <c r="R36" s="126">
        <f t="shared" si="19"/>
        <v>0</v>
      </c>
      <c r="S36" s="126">
        <f t="shared" si="19"/>
        <v>0</v>
      </c>
      <c r="T36" s="126">
        <f t="shared" si="19"/>
        <v>0</v>
      </c>
      <c r="U36" s="126">
        <f t="shared" si="19"/>
        <v>0</v>
      </c>
      <c r="V36" s="126">
        <f t="shared" si="19"/>
        <v>0</v>
      </c>
      <c r="W36" s="126">
        <f t="shared" si="19"/>
        <v>0</v>
      </c>
      <c r="X36" s="126">
        <f t="shared" si="19"/>
        <v>0</v>
      </c>
      <c r="Y36" s="126">
        <f t="shared" si="19"/>
        <v>0</v>
      </c>
      <c r="Z36" s="126">
        <f t="shared" si="19"/>
        <v>0</v>
      </c>
      <c r="AA36" s="126">
        <f t="shared" si="19"/>
        <v>0</v>
      </c>
      <c r="AB36" s="126">
        <f t="shared" si="19"/>
        <v>0</v>
      </c>
    </row>
    <row r="37" spans="2:31" s="117" customFormat="1" ht="11.25">
      <c r="B37" s="124" t="s">
        <v>32</v>
      </c>
      <c r="C37" s="128">
        <f t="shared" ref="C37:AB37" si="20">C36/$J$3</f>
        <v>0</v>
      </c>
      <c r="D37" s="128">
        <f t="shared" si="20"/>
        <v>7.6923076923076927E-2</v>
      </c>
      <c r="E37" s="128">
        <f t="shared" si="20"/>
        <v>7.6923076923076927E-2</v>
      </c>
      <c r="F37" s="128">
        <f t="shared" si="20"/>
        <v>7.6923076923076927E-2</v>
      </c>
      <c r="G37" s="128">
        <f t="shared" si="20"/>
        <v>7.6923076923076927E-2</v>
      </c>
      <c r="H37" s="128">
        <f t="shared" si="20"/>
        <v>7.6923076923076927E-2</v>
      </c>
      <c r="I37" s="128">
        <f t="shared" si="20"/>
        <v>7.6923076923076927E-2</v>
      </c>
      <c r="J37" s="128">
        <f t="shared" si="20"/>
        <v>7.6923076923076927E-2</v>
      </c>
      <c r="K37" s="128">
        <f t="shared" si="20"/>
        <v>7.6923076923076927E-2</v>
      </c>
      <c r="L37" s="128">
        <f t="shared" si="20"/>
        <v>7.6923076923076927E-2</v>
      </c>
      <c r="M37" s="128">
        <f t="shared" si="20"/>
        <v>7.6923076923076927E-2</v>
      </c>
      <c r="N37" s="128">
        <f t="shared" si="20"/>
        <v>7.6923076923076927E-2</v>
      </c>
      <c r="O37" s="128">
        <f t="shared" si="20"/>
        <v>7.6923076923076927E-2</v>
      </c>
      <c r="P37" s="128">
        <f t="shared" si="20"/>
        <v>7.6923076923076927E-2</v>
      </c>
      <c r="Q37" s="128">
        <f t="shared" si="20"/>
        <v>3.1023725449292143E-16</v>
      </c>
      <c r="R37" s="128">
        <f t="shared" si="20"/>
        <v>0</v>
      </c>
      <c r="S37" s="128">
        <f t="shared" si="20"/>
        <v>0</v>
      </c>
      <c r="T37" s="128">
        <f t="shared" si="20"/>
        <v>0</v>
      </c>
      <c r="U37" s="128">
        <f t="shared" si="20"/>
        <v>0</v>
      </c>
      <c r="V37" s="128">
        <f t="shared" si="20"/>
        <v>0</v>
      </c>
      <c r="W37" s="128">
        <f t="shared" si="20"/>
        <v>0</v>
      </c>
      <c r="X37" s="128">
        <f t="shared" si="20"/>
        <v>0</v>
      </c>
      <c r="Y37" s="128">
        <f t="shared" si="20"/>
        <v>0</v>
      </c>
      <c r="Z37" s="128">
        <f t="shared" si="20"/>
        <v>0</v>
      </c>
      <c r="AA37" s="128">
        <f t="shared" si="20"/>
        <v>0</v>
      </c>
      <c r="AB37" s="128">
        <f t="shared" si="20"/>
        <v>0</v>
      </c>
      <c r="AE37" s="127">
        <f>SUM($C$37:$AA$37)</f>
        <v>1</v>
      </c>
    </row>
    <row r="38" spans="2:31" s="117" customFormat="1" ht="11.25">
      <c r="B38" s="124" t="s">
        <v>33</v>
      </c>
      <c r="C38" s="130">
        <f>SUM($C36:C36)/$J$3</f>
        <v>0</v>
      </c>
      <c r="D38" s="130">
        <f>SUM($C36:D36)/$J$3</f>
        <v>7.6923076923076927E-2</v>
      </c>
      <c r="E38" s="130">
        <f>SUM($C36:E36)/$J$3</f>
        <v>0.15384615384615385</v>
      </c>
      <c r="F38" s="130">
        <f>SUM($C36:F36)/$J$3</f>
        <v>0.23076923076923078</v>
      </c>
      <c r="G38" s="130">
        <f>SUM($C36:G36)/$J$3</f>
        <v>0.30769230769230771</v>
      </c>
      <c r="H38" s="130">
        <f>SUM($C36:H36)/$J$3</f>
        <v>0.38461538461538458</v>
      </c>
      <c r="I38" s="130">
        <f>SUM($C36:I36)/$J$3</f>
        <v>0.46153846153846151</v>
      </c>
      <c r="J38" s="130">
        <f>SUM($C36:J36)/$J$3</f>
        <v>0.53846153846153844</v>
      </c>
      <c r="K38" s="130">
        <f>SUM($C36:K36)/$J$3</f>
        <v>0.61538461538461531</v>
      </c>
      <c r="L38" s="130">
        <f>SUM($C36:L36)/$J$3</f>
        <v>0.69230769230769218</v>
      </c>
      <c r="M38" s="130">
        <f>SUM($C36:M36)/$J$3</f>
        <v>0.76923076923076905</v>
      </c>
      <c r="N38" s="130">
        <f>SUM($C36:N36)/$J$3</f>
        <v>0.84615384615384592</v>
      </c>
      <c r="O38" s="130">
        <f>SUM($C36:O36)/$J$3</f>
        <v>0.92307692307692291</v>
      </c>
      <c r="P38" s="130">
        <f>SUM($C36:P36)/$J$3</f>
        <v>0.99999999999999978</v>
      </c>
      <c r="Q38" s="130">
        <f>SUM($C36:Q36)/$J$3</f>
        <v>1.0000000000000002</v>
      </c>
      <c r="R38" s="130">
        <f>SUM($C36:R36)/$J$3</f>
        <v>1.0000000000000002</v>
      </c>
      <c r="S38" s="130">
        <f>SUM($C36:S36)/$J$3</f>
        <v>1.0000000000000002</v>
      </c>
      <c r="T38" s="130">
        <f>SUM($C36:T36)/$J$3</f>
        <v>1.0000000000000002</v>
      </c>
      <c r="U38" s="130">
        <f>SUM($C36:U36)/$J$3</f>
        <v>1.0000000000000002</v>
      </c>
      <c r="V38" s="130">
        <f>SUM($C36:V36)/$J$3</f>
        <v>1.0000000000000002</v>
      </c>
      <c r="W38" s="130">
        <f>SUM($C36:W36)/$J$3</f>
        <v>1.0000000000000002</v>
      </c>
      <c r="X38" s="130">
        <f>SUM($C36:X36)/$J$3</f>
        <v>1.0000000000000002</v>
      </c>
      <c r="Y38" s="130">
        <f>SUM($C36:Y36)/$J$3</f>
        <v>1.0000000000000002</v>
      </c>
      <c r="Z38" s="130">
        <f>SUM($C36:Z36)/$J$3</f>
        <v>1.0000000000000002</v>
      </c>
      <c r="AA38" s="130">
        <f>SUM($C36:AA36)/$J$3</f>
        <v>1.0000000000000002</v>
      </c>
      <c r="AB38" s="130">
        <f>SUM($C36:AB36)/$J$3</f>
        <v>1.0000000000000002</v>
      </c>
    </row>
    <row r="39" spans="2:31" s="117" customFormat="1" ht="11.25">
      <c r="B39" s="120" t="s">
        <v>34</v>
      </c>
      <c r="C39" s="121">
        <f t="shared" ref="C39:AA39" si="21">C16</f>
        <v>0</v>
      </c>
      <c r="D39" s="121">
        <f t="shared" si="21"/>
        <v>1</v>
      </c>
      <c r="E39" s="121">
        <f t="shared" si="21"/>
        <v>2</v>
      </c>
      <c r="F39" s="121">
        <f t="shared" si="21"/>
        <v>3</v>
      </c>
      <c r="G39" s="121">
        <f t="shared" si="21"/>
        <v>4</v>
      </c>
      <c r="H39" s="121">
        <f t="shared" si="21"/>
        <v>5</v>
      </c>
      <c r="I39" s="121">
        <f t="shared" si="21"/>
        <v>6</v>
      </c>
      <c r="J39" s="121">
        <f t="shared" si="21"/>
        <v>7</v>
      </c>
      <c r="K39" s="121">
        <f t="shared" si="21"/>
        <v>8</v>
      </c>
      <c r="L39" s="121">
        <f t="shared" si="21"/>
        <v>9</v>
      </c>
      <c r="M39" s="121">
        <f t="shared" si="21"/>
        <v>10</v>
      </c>
      <c r="N39" s="121">
        <f t="shared" si="21"/>
        <v>11</v>
      </c>
      <c r="O39" s="121">
        <f t="shared" si="21"/>
        <v>12</v>
      </c>
      <c r="P39" s="121">
        <f t="shared" si="21"/>
        <v>13</v>
      </c>
      <c r="Q39" s="121">
        <f t="shared" si="21"/>
        <v>14</v>
      </c>
      <c r="R39" s="121">
        <f t="shared" si="21"/>
        <v>15</v>
      </c>
      <c r="S39" s="121">
        <f t="shared" si="21"/>
        <v>16</v>
      </c>
      <c r="T39" s="121">
        <f t="shared" si="21"/>
        <v>17</v>
      </c>
      <c r="U39" s="121">
        <f t="shared" si="21"/>
        <v>18</v>
      </c>
      <c r="V39" s="121">
        <f t="shared" si="21"/>
        <v>19</v>
      </c>
      <c r="W39" s="121">
        <f t="shared" si="21"/>
        <v>20</v>
      </c>
      <c r="X39" s="121">
        <f t="shared" si="21"/>
        <v>21</v>
      </c>
      <c r="Y39" s="121">
        <f t="shared" si="21"/>
        <v>22</v>
      </c>
      <c r="Z39" s="121">
        <f t="shared" si="21"/>
        <v>23</v>
      </c>
      <c r="AA39" s="121">
        <f t="shared" si="21"/>
        <v>24</v>
      </c>
      <c r="AB39" s="121">
        <f>AB16</f>
        <v>25</v>
      </c>
      <c r="AE39" s="131">
        <f>HLOOKUP(0.5,$C$38:$AB$39,1+1)+1</f>
        <v>7</v>
      </c>
    </row>
    <row r="40" spans="2:31" s="117" customFormat="1" ht="11.25">
      <c r="B40" s="143"/>
      <c r="C40" s="143"/>
      <c r="D40" s="143"/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143"/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  <c r="AA40" s="143"/>
      <c r="AB40" s="143"/>
      <c r="AE40" s="699"/>
    </row>
    <row r="41" spans="2:31" s="117" customFormat="1" ht="11.25">
      <c r="B41" s="143" t="s">
        <v>617</v>
      </c>
      <c r="C41" s="789">
        <f>J3-C42</f>
        <v>54122.034585403009</v>
      </c>
      <c r="D41" s="202">
        <f t="shared" ref="D41:AB41" si="22">D32-D42</f>
        <v>49611.865036619427</v>
      </c>
      <c r="E41" s="202">
        <f t="shared" si="22"/>
        <v>45101.695487835845</v>
      </c>
      <c r="F41" s="202">
        <f t="shared" si="22"/>
        <v>40591.525939052262</v>
      </c>
      <c r="G41" s="202">
        <f t="shared" si="22"/>
        <v>36081.35639026868</v>
      </c>
      <c r="H41" s="202">
        <f t="shared" si="22"/>
        <v>31571.186841485098</v>
      </c>
      <c r="I41" s="202">
        <f t="shared" si="22"/>
        <v>27061.017292701516</v>
      </c>
      <c r="J41" s="202">
        <f t="shared" si="22"/>
        <v>22550.847743917933</v>
      </c>
      <c r="K41" s="202">
        <f t="shared" si="22"/>
        <v>18040.678195134351</v>
      </c>
      <c r="L41" s="202">
        <f t="shared" si="22"/>
        <v>13530.508646350767</v>
      </c>
      <c r="M41" s="202">
        <f t="shared" si="22"/>
        <v>9020.3390975671846</v>
      </c>
      <c r="N41" s="202">
        <f t="shared" si="22"/>
        <v>4510.1695487836023</v>
      </c>
      <c r="O41" s="202">
        <f t="shared" si="22"/>
        <v>1.8189894035458565E-11</v>
      </c>
      <c r="P41" s="202">
        <f t="shared" si="22"/>
        <v>0</v>
      </c>
      <c r="Q41" s="202">
        <f t="shared" si="22"/>
        <v>0</v>
      </c>
      <c r="R41" s="202">
        <f t="shared" si="22"/>
        <v>0</v>
      </c>
      <c r="S41" s="202">
        <f t="shared" si="22"/>
        <v>0</v>
      </c>
      <c r="T41" s="202">
        <f t="shared" si="22"/>
        <v>0</v>
      </c>
      <c r="U41" s="202">
        <f t="shared" si="22"/>
        <v>0</v>
      </c>
      <c r="V41" s="202">
        <f t="shared" si="22"/>
        <v>0</v>
      </c>
      <c r="W41" s="202">
        <f t="shared" si="22"/>
        <v>0</v>
      </c>
      <c r="X41" s="202">
        <f t="shared" si="22"/>
        <v>0</v>
      </c>
      <c r="Y41" s="202">
        <f t="shared" si="22"/>
        <v>0</v>
      </c>
      <c r="Z41" s="202">
        <f t="shared" si="22"/>
        <v>0</v>
      </c>
      <c r="AA41" s="202">
        <f t="shared" si="22"/>
        <v>0</v>
      </c>
      <c r="AB41" s="202">
        <f t="shared" si="22"/>
        <v>0</v>
      </c>
      <c r="AE41" s="699"/>
    </row>
    <row r="42" spans="2:31" s="117" customFormat="1" ht="11.25">
      <c r="B42" s="117" t="s">
        <v>185</v>
      </c>
      <c r="C42" s="123">
        <f>D26+D30-$C6</f>
        <v>4510.1695487835841</v>
      </c>
      <c r="D42" s="123">
        <f>E26+E30</f>
        <v>4510.1695487835841</v>
      </c>
      <c r="E42" s="123">
        <f t="shared" ref="E42:AB42" si="23">F26+F30</f>
        <v>4510.1695487835841</v>
      </c>
      <c r="F42" s="123">
        <f t="shared" si="23"/>
        <v>4510.1695487835841</v>
      </c>
      <c r="G42" s="123">
        <f t="shared" si="23"/>
        <v>4510.1695487835841</v>
      </c>
      <c r="H42" s="123">
        <f t="shared" si="23"/>
        <v>4510.1695487835841</v>
      </c>
      <c r="I42" s="123">
        <f t="shared" si="23"/>
        <v>4510.1695487835841</v>
      </c>
      <c r="J42" s="123">
        <f t="shared" si="23"/>
        <v>4510.1695487835841</v>
      </c>
      <c r="K42" s="123">
        <f t="shared" si="23"/>
        <v>4510.1695487835841</v>
      </c>
      <c r="L42" s="123">
        <f t="shared" si="23"/>
        <v>4510.1695487835841</v>
      </c>
      <c r="M42" s="123">
        <f t="shared" si="23"/>
        <v>4510.1695487835841</v>
      </c>
      <c r="N42" s="123">
        <f t="shared" si="23"/>
        <v>4510.1695487835841</v>
      </c>
      <c r="O42" s="123">
        <f t="shared" si="23"/>
        <v>4510.1695487835841</v>
      </c>
      <c r="P42" s="123">
        <f t="shared" si="23"/>
        <v>1.8189894035458565E-11</v>
      </c>
      <c r="Q42" s="123">
        <f t="shared" si="23"/>
        <v>0</v>
      </c>
      <c r="R42" s="123">
        <f t="shared" si="23"/>
        <v>0</v>
      </c>
      <c r="S42" s="123">
        <f t="shared" si="23"/>
        <v>0</v>
      </c>
      <c r="T42" s="123">
        <f t="shared" si="23"/>
        <v>0</v>
      </c>
      <c r="U42" s="123">
        <f t="shared" si="23"/>
        <v>0</v>
      </c>
      <c r="V42" s="123">
        <f t="shared" si="23"/>
        <v>0</v>
      </c>
      <c r="W42" s="123">
        <f t="shared" si="23"/>
        <v>0</v>
      </c>
      <c r="X42" s="123">
        <f t="shared" si="23"/>
        <v>0</v>
      </c>
      <c r="Y42" s="123">
        <f t="shared" si="23"/>
        <v>0</v>
      </c>
      <c r="Z42" s="123">
        <f t="shared" si="23"/>
        <v>0</v>
      </c>
      <c r="AA42" s="123">
        <f t="shared" si="23"/>
        <v>0</v>
      </c>
      <c r="AB42" s="123">
        <f t="shared" si="23"/>
        <v>0</v>
      </c>
    </row>
    <row r="43" spans="2:31" s="117" customFormat="1" ht="11.25">
      <c r="C43" s="123"/>
    </row>
    <row r="44" spans="2:31" s="117" customFormat="1" ht="11.25"/>
    <row r="45" spans="2:31" s="117" customFormat="1" ht="11.25">
      <c r="C45" s="117" t="s">
        <v>31</v>
      </c>
      <c r="E45" s="123">
        <f>SUM(C36:V36)</f>
        <v>58632.204134186599</v>
      </c>
      <c r="H45" s="202"/>
    </row>
    <row r="46" spans="2:31" s="117" customFormat="1" ht="11.25">
      <c r="C46" s="129" t="s">
        <v>35</v>
      </c>
      <c r="E46" s="123">
        <f>E45-(J3+(Assumptions!E14*Assumptions!E34))</f>
        <v>0</v>
      </c>
      <c r="F46" s="123"/>
      <c r="G46" s="809"/>
    </row>
    <row r="47" spans="2:31">
      <c r="D47" s="13"/>
      <c r="F47" s="12"/>
    </row>
    <row r="48" spans="2:31">
      <c r="C48" s="301" t="s">
        <v>516</v>
      </c>
      <c r="F48" s="12"/>
    </row>
    <row r="49" spans="1:49">
      <c r="C49" s="563" t="s">
        <v>517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</row>
    <row r="50" spans="1:49">
      <c r="A50" s="201"/>
      <c r="B50" s="201"/>
      <c r="C50" s="301" t="s">
        <v>790</v>
      </c>
      <c r="D50" s="301"/>
    </row>
    <row r="51" spans="1:49">
      <c r="A51" s="201"/>
      <c r="B51" s="201"/>
      <c r="C51" s="301"/>
      <c r="D51" s="301"/>
    </row>
    <row r="52" spans="1:49">
      <c r="A52" s="201"/>
      <c r="B52" s="201"/>
      <c r="C52" s="301"/>
      <c r="D52" s="301"/>
    </row>
    <row r="53" spans="1:49" ht="15.75">
      <c r="A53" s="10"/>
      <c r="B53" s="149" t="s">
        <v>668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1:49" s="117" customFormat="1" ht="12" thickBot="1">
      <c r="F54" s="118" t="s">
        <v>63</v>
      </c>
    </row>
    <row r="55" spans="1:49" s="117" customFormat="1" ht="11.25">
      <c r="F55" s="132" t="s">
        <v>16</v>
      </c>
      <c r="G55" s="133"/>
      <c r="I55" s="132" t="s">
        <v>18</v>
      </c>
      <c r="J55" s="136">
        <f>Assumptions!E17*Assumptions!E37</f>
        <v>0</v>
      </c>
    </row>
    <row r="56" spans="1:49" s="117" customFormat="1" ht="12" thickBot="1">
      <c r="F56" s="182" t="s">
        <v>17</v>
      </c>
      <c r="G56" s="183">
        <f>Assumptions!E23</f>
        <v>13</v>
      </c>
      <c r="I56" s="134" t="s">
        <v>19</v>
      </c>
      <c r="J56" s="137">
        <f>Assumptions!E17*Assumptions!E36</f>
        <v>0</v>
      </c>
    </row>
    <row r="57" spans="1:49" s="117" customFormat="1" ht="12" thickBot="1">
      <c r="C57" s="749"/>
      <c r="F57" s="184" t="s">
        <v>161</v>
      </c>
      <c r="G57" s="135">
        <v>2</v>
      </c>
      <c r="I57" s="143"/>
      <c r="J57" s="185"/>
    </row>
    <row r="58" spans="1:49" s="117" customFormat="1" ht="11.25">
      <c r="C58" s="749"/>
      <c r="D58" s="447"/>
      <c r="J58" s="809"/>
    </row>
    <row r="59" spans="1:49" s="117" customFormat="1" ht="11.25">
      <c r="C59" s="202"/>
      <c r="D59" s="618"/>
    </row>
    <row r="60" spans="1:49" s="117" customFormat="1" ht="11.25">
      <c r="C60" s="202"/>
      <c r="D60" s="618"/>
    </row>
    <row r="61" spans="1:49" s="117" customFormat="1" ht="11.25">
      <c r="B61" s="143"/>
      <c r="C61" s="641"/>
      <c r="D61" s="641"/>
    </row>
    <row r="62" spans="1:49" s="117" customFormat="1" ht="11.25">
      <c r="B62" s="143"/>
      <c r="C62" s="749"/>
      <c r="D62" s="618"/>
    </row>
    <row r="63" spans="1:49" s="117" customFormat="1" ht="11.25">
      <c r="C63" s="146"/>
      <c r="D63" s="446"/>
      <c r="E63" s="446"/>
    </row>
    <row r="64" spans="1:49" s="146" customFormat="1" ht="11.25">
      <c r="B64" s="138"/>
      <c r="C64" s="490">
        <f>Cashflow!C$3</f>
        <v>36891</v>
      </c>
      <c r="D64" s="490">
        <f t="shared" ref="D64:AB64" si="24">EOMONTH(C64,12)</f>
        <v>37256</v>
      </c>
      <c r="E64" s="490">
        <f t="shared" si="24"/>
        <v>37621</v>
      </c>
      <c r="F64" s="490">
        <f t="shared" si="24"/>
        <v>37986</v>
      </c>
      <c r="G64" s="490">
        <f t="shared" si="24"/>
        <v>38352</v>
      </c>
      <c r="H64" s="490">
        <f t="shared" si="24"/>
        <v>38717</v>
      </c>
      <c r="I64" s="490">
        <f t="shared" si="24"/>
        <v>39082</v>
      </c>
      <c r="J64" s="490">
        <f t="shared" si="24"/>
        <v>39447</v>
      </c>
      <c r="K64" s="490">
        <f t="shared" si="24"/>
        <v>39813</v>
      </c>
      <c r="L64" s="490">
        <f t="shared" si="24"/>
        <v>40178</v>
      </c>
      <c r="M64" s="490">
        <f t="shared" si="24"/>
        <v>40543</v>
      </c>
      <c r="N64" s="490">
        <f t="shared" si="24"/>
        <v>40908</v>
      </c>
      <c r="O64" s="490">
        <f t="shared" si="24"/>
        <v>41274</v>
      </c>
      <c r="P64" s="490">
        <f t="shared" si="24"/>
        <v>41639</v>
      </c>
      <c r="Q64" s="490">
        <f t="shared" si="24"/>
        <v>42004</v>
      </c>
      <c r="R64" s="490">
        <f t="shared" si="24"/>
        <v>42369</v>
      </c>
      <c r="S64" s="490">
        <f t="shared" si="24"/>
        <v>42735</v>
      </c>
      <c r="T64" s="490">
        <f t="shared" si="24"/>
        <v>43100</v>
      </c>
      <c r="U64" s="490">
        <f t="shared" si="24"/>
        <v>43465</v>
      </c>
      <c r="V64" s="490">
        <f t="shared" si="24"/>
        <v>43830</v>
      </c>
      <c r="W64" s="490">
        <f t="shared" si="24"/>
        <v>44196</v>
      </c>
      <c r="X64" s="490">
        <f t="shared" si="24"/>
        <v>44561</v>
      </c>
      <c r="Y64" s="490">
        <f t="shared" si="24"/>
        <v>44926</v>
      </c>
      <c r="Z64" s="490">
        <f t="shared" si="24"/>
        <v>45291</v>
      </c>
      <c r="AA64" s="490">
        <f t="shared" si="24"/>
        <v>45657</v>
      </c>
      <c r="AB64" s="490">
        <f t="shared" si="24"/>
        <v>46022</v>
      </c>
    </row>
    <row r="65" spans="1:28" s="138" customFormat="1" ht="11.25">
      <c r="A65" s="146"/>
      <c r="C65" s="451">
        <f t="shared" ref="C65:AB65" si="25">YEAR(C64)</f>
        <v>2000</v>
      </c>
      <c r="D65" s="451">
        <f t="shared" si="25"/>
        <v>2001</v>
      </c>
      <c r="E65" s="451">
        <f t="shared" si="25"/>
        <v>2002</v>
      </c>
      <c r="F65" s="451">
        <f t="shared" si="25"/>
        <v>2003</v>
      </c>
      <c r="G65" s="451">
        <f t="shared" si="25"/>
        <v>2004</v>
      </c>
      <c r="H65" s="451">
        <f t="shared" si="25"/>
        <v>2005</v>
      </c>
      <c r="I65" s="451">
        <f t="shared" si="25"/>
        <v>2006</v>
      </c>
      <c r="J65" s="451">
        <f t="shared" si="25"/>
        <v>2007</v>
      </c>
      <c r="K65" s="451">
        <f t="shared" si="25"/>
        <v>2008</v>
      </c>
      <c r="L65" s="451">
        <f t="shared" si="25"/>
        <v>2009</v>
      </c>
      <c r="M65" s="451">
        <f t="shared" si="25"/>
        <v>2010</v>
      </c>
      <c r="N65" s="451">
        <f t="shared" si="25"/>
        <v>2011</v>
      </c>
      <c r="O65" s="451">
        <f t="shared" si="25"/>
        <v>2012</v>
      </c>
      <c r="P65" s="451">
        <f t="shared" si="25"/>
        <v>2013</v>
      </c>
      <c r="Q65" s="451">
        <f t="shared" si="25"/>
        <v>2014</v>
      </c>
      <c r="R65" s="451">
        <f t="shared" si="25"/>
        <v>2015</v>
      </c>
      <c r="S65" s="451">
        <f t="shared" si="25"/>
        <v>2016</v>
      </c>
      <c r="T65" s="451">
        <f t="shared" si="25"/>
        <v>2017</v>
      </c>
      <c r="U65" s="451">
        <f t="shared" si="25"/>
        <v>2018</v>
      </c>
      <c r="V65" s="451">
        <f t="shared" si="25"/>
        <v>2019</v>
      </c>
      <c r="W65" s="451">
        <f t="shared" si="25"/>
        <v>2020</v>
      </c>
      <c r="X65" s="451">
        <f t="shared" si="25"/>
        <v>2021</v>
      </c>
      <c r="Y65" s="451">
        <f t="shared" si="25"/>
        <v>2022</v>
      </c>
      <c r="Z65" s="451">
        <f t="shared" si="25"/>
        <v>2023</v>
      </c>
      <c r="AA65" s="451">
        <f t="shared" si="25"/>
        <v>2024</v>
      </c>
      <c r="AB65" s="451">
        <f t="shared" si="25"/>
        <v>2025</v>
      </c>
    </row>
    <row r="66" spans="1:28" s="146" customFormat="1" ht="12.75" hidden="1">
      <c r="B66" s="138"/>
      <c r="C66" s="449">
        <f>'Int Curves'!T57</f>
        <v>0</v>
      </c>
      <c r="D66" s="449">
        <f>'Int Curves'!U57</f>
        <v>0</v>
      </c>
      <c r="E66" s="449">
        <f>'Int Curves'!V57</f>
        <v>0</v>
      </c>
      <c r="F66" s="449">
        <f>'Int Curves'!W57</f>
        <v>0</v>
      </c>
      <c r="G66" s="449">
        <f>'Int Curves'!X57</f>
        <v>0</v>
      </c>
      <c r="H66" s="449">
        <f>'Int Curves'!Y57</f>
        <v>0</v>
      </c>
      <c r="I66" s="449">
        <f>'Int Curves'!Z57</f>
        <v>0</v>
      </c>
      <c r="J66" s="449">
        <f>'Int Curves'!AA57</f>
        <v>0</v>
      </c>
      <c r="K66" s="449">
        <f>'Int Curves'!AB57</f>
        <v>0</v>
      </c>
      <c r="L66" s="449">
        <f>'Int Curves'!AC57</f>
        <v>0</v>
      </c>
      <c r="M66" s="449">
        <f>'Int Curves'!AD57</f>
        <v>0</v>
      </c>
      <c r="N66" s="449">
        <f>'Int Curves'!AE57</f>
        <v>0</v>
      </c>
      <c r="O66" s="449">
        <f>'Int Curves'!AF57</f>
        <v>0</v>
      </c>
      <c r="P66" s="449">
        <f>'Int Curves'!AG57</f>
        <v>0</v>
      </c>
      <c r="Q66" s="449">
        <f>'Int Curves'!AH57</f>
        <v>0</v>
      </c>
      <c r="R66" s="449">
        <f>'Int Curves'!AI57</f>
        <v>0</v>
      </c>
      <c r="S66" s="449">
        <f>'Int Curves'!AJ57</f>
        <v>0</v>
      </c>
      <c r="T66" s="449">
        <f>'Int Curves'!AK57</f>
        <v>0</v>
      </c>
      <c r="U66" s="449">
        <f>'Int Curves'!AL57</f>
        <v>0</v>
      </c>
      <c r="V66" s="449">
        <f>'Int Curves'!AM57</f>
        <v>0</v>
      </c>
      <c r="W66" s="449">
        <f>'Int Curves'!AN57</f>
        <v>0</v>
      </c>
      <c r="X66" s="449">
        <f>'Int Curves'!AO57</f>
        <v>0</v>
      </c>
      <c r="Y66" s="449">
        <f>'Int Curves'!AP57</f>
        <v>0</v>
      </c>
      <c r="Z66" s="449">
        <f>'Int Curves'!AQ57</f>
        <v>0</v>
      </c>
      <c r="AA66" s="449">
        <f>'Int Curves'!AR57</f>
        <v>0</v>
      </c>
      <c r="AB66" s="449">
        <f>'Int Curves'!AS57</f>
        <v>0</v>
      </c>
    </row>
    <row r="67" spans="1:28" s="146" customFormat="1" ht="12.75" hidden="1">
      <c r="B67" s="138"/>
      <c r="C67" s="449">
        <f>'Int Curves'!T58</f>
        <v>0</v>
      </c>
      <c r="D67" s="449">
        <f>'Int Curves'!U58</f>
        <v>0</v>
      </c>
      <c r="E67" s="449">
        <f>'Int Curves'!V58</f>
        <v>0</v>
      </c>
      <c r="F67" s="449">
        <f>'Int Curves'!W58</f>
        <v>0</v>
      </c>
      <c r="G67" s="449">
        <f>'Int Curves'!X58</f>
        <v>0</v>
      </c>
      <c r="H67" s="449">
        <f>'Int Curves'!Y58</f>
        <v>0</v>
      </c>
      <c r="I67" s="449">
        <f>'Int Curves'!Z58</f>
        <v>0</v>
      </c>
      <c r="J67" s="449">
        <f>'Int Curves'!AA58</f>
        <v>0</v>
      </c>
      <c r="K67" s="449">
        <f>'Int Curves'!AB58</f>
        <v>0</v>
      </c>
      <c r="L67" s="449">
        <f>'Int Curves'!AC58</f>
        <v>0</v>
      </c>
      <c r="M67" s="449">
        <f>'Int Curves'!AD58</f>
        <v>0</v>
      </c>
      <c r="N67" s="449">
        <f>'Int Curves'!AE58</f>
        <v>0</v>
      </c>
      <c r="O67" s="449">
        <f>'Int Curves'!AF58</f>
        <v>0</v>
      </c>
      <c r="P67" s="449">
        <f>'Int Curves'!AG58</f>
        <v>0</v>
      </c>
      <c r="Q67" s="449">
        <f>'Int Curves'!AH58</f>
        <v>0</v>
      </c>
      <c r="R67" s="449">
        <f>'Int Curves'!AI58</f>
        <v>0</v>
      </c>
      <c r="S67" s="449">
        <f>'Int Curves'!AJ58</f>
        <v>0</v>
      </c>
      <c r="T67" s="449">
        <f>'Int Curves'!AK58</f>
        <v>0</v>
      </c>
      <c r="U67" s="449">
        <f>'Int Curves'!AL58</f>
        <v>0</v>
      </c>
      <c r="V67" s="449">
        <f>'Int Curves'!AM58</f>
        <v>0</v>
      </c>
      <c r="W67" s="449">
        <f>'Int Curves'!AN58</f>
        <v>0</v>
      </c>
      <c r="X67" s="449">
        <f>'Int Curves'!AO58</f>
        <v>0</v>
      </c>
      <c r="Y67" s="449">
        <f>'Int Curves'!AP58</f>
        <v>0</v>
      </c>
      <c r="Z67" s="449">
        <f>'Int Curves'!AQ58</f>
        <v>0</v>
      </c>
      <c r="AA67" s="449">
        <f>'Int Curves'!AR58</f>
        <v>0</v>
      </c>
      <c r="AB67" s="449">
        <f>'Int Curves'!AS58</f>
        <v>0</v>
      </c>
    </row>
    <row r="68" spans="1:28" s="146" customFormat="1" ht="11.25">
      <c r="B68" s="139" t="s">
        <v>20</v>
      </c>
      <c r="C68" s="140"/>
      <c r="D68" s="140"/>
      <c r="E68" s="140"/>
      <c r="F68" s="140"/>
      <c r="G68" s="140">
        <v>1</v>
      </c>
      <c r="H68" s="140">
        <f>G68+1</f>
        <v>2</v>
      </c>
      <c r="I68" s="140">
        <f t="shared" ref="I68:AB68" si="26">H68+1</f>
        <v>3</v>
      </c>
      <c r="J68" s="140">
        <f t="shared" si="26"/>
        <v>4</v>
      </c>
      <c r="K68" s="140">
        <f t="shared" si="26"/>
        <v>5</v>
      </c>
      <c r="L68" s="140">
        <f t="shared" si="26"/>
        <v>6</v>
      </c>
      <c r="M68" s="140">
        <f t="shared" si="26"/>
        <v>7</v>
      </c>
      <c r="N68" s="140">
        <f t="shared" si="26"/>
        <v>8</v>
      </c>
      <c r="O68" s="140">
        <f t="shared" si="26"/>
        <v>9</v>
      </c>
      <c r="P68" s="140">
        <f t="shared" si="26"/>
        <v>10</v>
      </c>
      <c r="Q68" s="140">
        <f t="shared" si="26"/>
        <v>11</v>
      </c>
      <c r="R68" s="140">
        <f t="shared" si="26"/>
        <v>12</v>
      </c>
      <c r="S68" s="140">
        <f t="shared" si="26"/>
        <v>13</v>
      </c>
      <c r="T68" s="140">
        <f t="shared" si="26"/>
        <v>14</v>
      </c>
      <c r="U68" s="140">
        <f t="shared" si="26"/>
        <v>15</v>
      </c>
      <c r="V68" s="140">
        <f t="shared" si="26"/>
        <v>16</v>
      </c>
      <c r="W68" s="140">
        <f t="shared" si="26"/>
        <v>17</v>
      </c>
      <c r="X68" s="140">
        <f t="shared" si="26"/>
        <v>18</v>
      </c>
      <c r="Y68" s="140">
        <f t="shared" si="26"/>
        <v>19</v>
      </c>
      <c r="Z68" s="140">
        <f t="shared" si="26"/>
        <v>20</v>
      </c>
      <c r="AA68" s="140">
        <f t="shared" si="26"/>
        <v>21</v>
      </c>
      <c r="AB68" s="140">
        <f t="shared" si="26"/>
        <v>22</v>
      </c>
    </row>
    <row r="69" spans="1:28" s="146" customFormat="1" ht="11.25">
      <c r="B69" s="186" t="s">
        <v>429</v>
      </c>
      <c r="C69" s="188">
        <f>INDEX(InterestRateCurve,MATCH(C$14,'Int Curves'!$L:$L,0),MATCH("Semi Annual Calculation",'Int Curves'!$L$3:$M$3,0))</f>
        <v>5.33661601707364E-2</v>
      </c>
      <c r="D69" s="188">
        <f>INDEX(InterestRateCurve,MATCH(D$14,'Int Curves'!$L:$L,0),MATCH("Semi Annual Calculation",'Int Curves'!$L$3:$M$3,0))</f>
        <v>5.9734105576137057E-2</v>
      </c>
      <c r="E69" s="188">
        <f>INDEX(InterestRateCurve,MATCH(E$14,'Int Curves'!$L:$L,0),MATCH("Semi Annual Calculation",'Int Curves'!$L$3:$M$3,0))</f>
        <v>6.206392342736574E-2</v>
      </c>
      <c r="F69" s="188">
        <f>INDEX(InterestRateCurve,MATCH(F$14,'Int Curves'!$L:$L,0),MATCH("Semi Annual Calculation",'Int Curves'!$L$3:$M$3,0))</f>
        <v>6.3237529319749436E-2</v>
      </c>
      <c r="G69" s="188">
        <f>INDEX(InterestRateCurve,MATCH(G$14,'Int Curves'!$L:$L,0),MATCH("Semi Annual Calculation",'Int Curves'!$L$3:$M$3,0))</f>
        <v>6.3540530753381563E-2</v>
      </c>
      <c r="H69" s="188">
        <f>INDEX(InterestRateCurve,MATCH(H$14,'Int Curves'!$L:$L,0),MATCH("Semi Annual Calculation",'Int Curves'!$L$3:$M$3,0))</f>
        <v>6.3765249917457273E-2</v>
      </c>
      <c r="I69" s="188">
        <f>INDEX(InterestRateCurve,MATCH(I$14,'Int Curves'!$L:$L,0),MATCH("Semi Annual Calculation",'Int Curves'!$L$3:$M$3,0))</f>
        <v>6.3860369004664186E-2</v>
      </c>
      <c r="J69" s="188">
        <f>INDEX(InterestRateCurve,MATCH(J$14,'Int Curves'!$L:$L,0),MATCH("Semi Annual Calculation",'Int Curves'!$L$3:$M$3,0))</f>
        <v>6.3943958390367275E-2</v>
      </c>
      <c r="K69" s="188">
        <f>INDEX(InterestRateCurve,MATCH(K$14,'Int Curves'!$L:$L,0),MATCH("Semi Annual Calculation",'Int Curves'!$L$3:$M$3,0))</f>
        <v>6.4027700453071532E-2</v>
      </c>
      <c r="L69" s="188">
        <f>INDEX(InterestRateCurve,MATCH(L$14,'Int Curves'!$L:$L,0),MATCH("Semi Annual Calculation",'Int Curves'!$L$3:$M$3,0))</f>
        <v>6.4111366180756649E-2</v>
      </c>
      <c r="M69" s="188">
        <f>INDEX(InterestRateCurve,MATCH(M$14,'Int Curves'!$L:$L,0),MATCH("Semi Annual Calculation",'Int Curves'!$L$3:$M$3,0))</f>
        <v>6.4197300399020094E-2</v>
      </c>
      <c r="N69" s="188">
        <f>INDEX(InterestRateCurve,MATCH(N$14,'Int Curves'!$L:$L,0),MATCH("Semi Annual Calculation",'Int Curves'!$L$3:$M$3,0))</f>
        <v>6.4328231824442347E-2</v>
      </c>
      <c r="O69" s="188">
        <f>INDEX(InterestRateCurve,MATCH(O$14,'Int Curves'!$L:$L,0),MATCH("Semi Annual Calculation",'Int Curves'!$L$3:$M$3,0))</f>
        <v>6.4463419375373934E-2</v>
      </c>
      <c r="P69" s="188">
        <f>INDEX(InterestRateCurve,MATCH(P$14,'Int Curves'!$L:$L,0),MATCH("Semi Annual Calculation",'Int Curves'!$L$3:$M$3,0))</f>
        <v>6.4598483698488765E-2</v>
      </c>
      <c r="Q69" s="188">
        <f>INDEX(InterestRateCurve,MATCH(Q$14,'Int Curves'!$L:$L,0),MATCH("Semi Annual Calculation",'Int Curves'!$L$3:$M$3,0))</f>
        <v>6.4733424793772254E-2</v>
      </c>
      <c r="R69" s="188">
        <f>INDEX(InterestRateCurve,MATCH(R$14,'Int Curves'!$L:$L,0),MATCH("Semi Annual Calculation",'Int Curves'!$L$3:$M$3,0))</f>
        <v>6.4857656285088591E-2</v>
      </c>
      <c r="S69" s="188">
        <f>INDEX(InterestRateCurve,MATCH(S$14,'Int Curves'!$L:$L,0),MATCH("Semi Annual Calculation",'Int Curves'!$L$3:$M$3,0))</f>
        <v>6.4787845757824328E-2</v>
      </c>
      <c r="T69" s="188">
        <f>INDEX(InterestRateCurve,MATCH(T$14,'Int Curves'!$L:$L,0),MATCH("Semi Annual Calculation",'Int Curves'!$L$3:$M$3,0))</f>
        <v>6.4701443447959736E-2</v>
      </c>
      <c r="U69" s="188">
        <f>INDEX(InterestRateCurve,MATCH(U$14,'Int Curves'!$L:$L,0),MATCH("Semi Annual Calculation",'Int Curves'!$L$3:$M$3,0))</f>
        <v>6.4615119974791316E-2</v>
      </c>
      <c r="V69" s="188">
        <f>INDEX(InterestRateCurve,MATCH(V$14,'Int Curves'!$L:$L,0),MATCH("Semi Annual Calculation",'Int Curves'!$L$3:$M$3,0))</f>
        <v>6.4528796504093322E-2</v>
      </c>
      <c r="W69" s="188">
        <f>INDEX(InterestRateCurve,MATCH(W$14,'Int Curves'!$L:$L,0),MATCH("Semi Annual Calculation",'Int Curves'!$L$3:$M$3,0))</f>
        <v>6.4434795787134874E-2</v>
      </c>
      <c r="X69" s="188">
        <f>INDEX(InterestRateCurve,MATCH(X$14,'Int Curves'!$L:$L,0),MATCH("Semi Annual Calculation",'Int Curves'!$L$3:$M$3,0))</f>
        <v>6.4204741134669188E-2</v>
      </c>
      <c r="Y69" s="188">
        <f>INDEX(InterestRateCurve,MATCH(Y$14,'Int Curves'!$L:$L,0),MATCH("Semi Annual Calculation",'Int Curves'!$L$3:$M$3,0))</f>
        <v>6.3963060328513677E-2</v>
      </c>
      <c r="Z69" s="188">
        <f>INDEX(InterestRateCurve,MATCH(Z$14,'Int Curves'!$L:$L,0),MATCH("Semi Annual Calculation",'Int Curves'!$L$3:$M$3,0))</f>
        <v>6.3721379541727907E-2</v>
      </c>
      <c r="AA69" s="188">
        <f>INDEX(InterestRateCurve,MATCH(AA$14,'Int Curves'!$L:$L,0),MATCH("Semi Annual Calculation",'Int Curves'!$L$3:$M$3,0))</f>
        <v>6.3479257348276155E-2</v>
      </c>
      <c r="AB69" s="188">
        <f>INDEX(InterestRateCurve,MATCH(AB$14,'Int Curves'!$L:$L,0),MATCH("Semi Annual Calculation",'Int Curves'!$L$3:$M$3,0))</f>
        <v>6.3237355887266852E-2</v>
      </c>
    </row>
    <row r="70" spans="1:28" s="146" customFormat="1" ht="11.25">
      <c r="B70" s="186" t="s">
        <v>430</v>
      </c>
      <c r="C70" s="188">
        <f>INDEX(InterestRateCurve,MATCH(C$15,'Int Curves'!$L:$L,0),MATCH("Semi Annual Calculation",'Int Curves'!$L$3:$M$3,0))</f>
        <v>5.6726068588342532E-2</v>
      </c>
      <c r="D70" s="188">
        <f>INDEX(InterestRateCurve,MATCH(D$15,'Int Curves'!$L:$L,0),MATCH("Semi Annual Calculation",'Int Curves'!$L$3:$M$3,0))</f>
        <v>6.1227252367461078E-2</v>
      </c>
      <c r="E70" s="188">
        <f>INDEX(InterestRateCurve,MATCH(E$15,'Int Curves'!$L:$L,0),MATCH("Semi Annual Calculation",'Int Curves'!$L$3:$M$3,0))</f>
        <v>6.2694902819991682E-2</v>
      </c>
      <c r="F70" s="188">
        <f>INDEX(InterestRateCurve,MATCH(F$15,'Int Curves'!$L:$L,0),MATCH("Semi Annual Calculation",'Int Curves'!$L$3:$M$3,0))</f>
        <v>6.3424588731875842E-2</v>
      </c>
      <c r="G70" s="188">
        <f>INDEX(InterestRateCurve,MATCH(G$15,'Int Curves'!$L:$L,0),MATCH("Semi Annual Calculation",'Int Curves'!$L$3:$M$3,0))</f>
        <v>6.3656472779352935E-2</v>
      </c>
      <c r="H70" s="188">
        <f>INDEX(InterestRateCurve,MATCH(H$15,'Int Curves'!$L:$L,0),MATCH("Semi Annual Calculation",'Int Curves'!$L$3:$M$3,0))</f>
        <v>6.3818612481350609E-2</v>
      </c>
      <c r="I70" s="188">
        <f>INDEX(InterestRateCurve,MATCH(I$15,'Int Curves'!$L:$L,0),MATCH("Semi Annual Calculation",'Int Curves'!$L$3:$M$3,0))</f>
        <v>6.3902201865896277E-2</v>
      </c>
      <c r="J70" s="188">
        <f>INDEX(InterestRateCurve,MATCH(J$15,'Int Curves'!$L:$L,0),MATCH("Semi Annual Calculation",'Int Curves'!$L$3:$M$3,0))</f>
        <v>6.3985791252759064E-2</v>
      </c>
      <c r="K70" s="188">
        <f>INDEX(InterestRateCurve,MATCH(K$15,'Int Curves'!$L:$L,0),MATCH("Semi Annual Calculation",'Int Curves'!$L$3:$M$3,0))</f>
        <v>6.4069609653967394E-2</v>
      </c>
      <c r="L70" s="188">
        <f>INDEX(InterestRateCurve,MATCH(L$15,'Int Curves'!$L:$L,0),MATCH("Semi Annual Calculation",'Int Curves'!$L$3:$M$3,0))</f>
        <v>6.4153199045470455E-2</v>
      </c>
      <c r="M70" s="188">
        <f>INDEX(InterestRateCurve,MATCH(M$15,'Int Curves'!$L:$L,0),MATCH("Semi Annual Calculation",'Int Curves'!$L$3:$M$3,0))</f>
        <v>6.4260822902042047E-2</v>
      </c>
      <c r="N70" s="188">
        <f>INDEX(InterestRateCurve,MATCH(N$15,'Int Curves'!$L:$L,0),MATCH("Semi Annual Calculation",'Int Curves'!$L$3:$M$3,0))</f>
        <v>6.4395763982219328E-2</v>
      </c>
      <c r="O70" s="188">
        <f>INDEX(InterestRateCurve,MATCH(O$15,'Int Curves'!$L:$L,0),MATCH("Semi Annual Calculation",'Int Curves'!$L$3:$M$3,0))</f>
        <v>6.4531074770048324E-2</v>
      </c>
      <c r="P70" s="188">
        <f>INDEX(InterestRateCurve,MATCH(P$15,'Int Curves'!$L:$L,0),MATCH("Semi Annual Calculation",'Int Curves'!$L$3:$M$3,0))</f>
        <v>6.4666015862316531E-2</v>
      </c>
      <c r="Q70" s="188">
        <f>INDEX(InterestRateCurve,MATCH(Q$15,'Int Curves'!$L:$L,0),MATCH("Semi Annual Calculation",'Int Curves'!$L$3:$M$3,0))</f>
        <v>6.4800956960621173E-2</v>
      </c>
      <c r="R70" s="188">
        <f>INDEX(InterestRateCurve,MATCH(R$15,'Int Curves'!$L:$L,0),MATCH("Semi Annual Calculation",'Int Curves'!$L$3:$M$3,0))</f>
        <v>6.4831125747911583E-2</v>
      </c>
      <c r="S70" s="188">
        <f>INDEX(InterestRateCurve,MATCH(S$15,'Int Curves'!$L:$L,0),MATCH("Semi Annual Calculation",'Int Curves'!$L$3:$M$3,0))</f>
        <v>6.4744565768359116E-2</v>
      </c>
      <c r="T70" s="188">
        <f>INDEX(InterestRateCurve,MATCH(T$15,'Int Curves'!$L:$L,0),MATCH("Semi Annual Calculation",'Int Curves'!$L$3:$M$3,0))</f>
        <v>6.4658242293956572E-2</v>
      </c>
      <c r="U70" s="188">
        <f>INDEX(InterestRateCurve,MATCH(U$15,'Int Curves'!$L:$L,0),MATCH("Semi Annual Calculation",'Int Curves'!$L$3:$M$3,0))</f>
        <v>6.4571918822024385E-2</v>
      </c>
      <c r="V70" s="188">
        <f>INDEX(InterestRateCurve,MATCH(V$15,'Int Curves'!$L:$L,0),MATCH("Semi Annual Calculation",'Int Curves'!$L$3:$M$3,0))</f>
        <v>6.4485595352562666E-2</v>
      </c>
      <c r="W70" s="188">
        <f>INDEX(InterestRateCurve,MATCH(W$15,'Int Curves'!$L:$L,0),MATCH("Semi Annual Calculation",'Int Curves'!$L$3:$M$3,0))</f>
        <v>6.4325471188475328E-2</v>
      </c>
      <c r="X70" s="188">
        <f>INDEX(InterestRateCurve,MATCH(X$15,'Int Curves'!$L:$L,0),MATCH("Semi Annual Calculation",'Int Curves'!$L$3:$M$3,0))</f>
        <v>6.4083790372644459E-2</v>
      </c>
      <c r="Y70" s="188">
        <f>INDEX(InterestRateCurve,MATCH(Y$15,'Int Curves'!$L:$L,0),MATCH("Semi Annual Calculation",'Int Curves'!$L$3:$M$3,0))</f>
        <v>6.3842109576182249E-2</v>
      </c>
      <c r="Z70" s="188">
        <f>INDEX(InterestRateCurve,MATCH(Z$15,'Int Curves'!$L:$L,0),MATCH("Semi Annual Calculation",'Int Curves'!$L$3:$M$3,0))</f>
        <v>6.3600428799091321E-2</v>
      </c>
      <c r="AA70" s="188">
        <f>INDEX(InterestRateCurve,MATCH(AA$15,'Int Curves'!$L:$L,0),MATCH("Semi Annual Calculation",'Int Curves'!$L$3:$M$3,0))</f>
        <v>6.3358085902338393E-2</v>
      </c>
      <c r="AB70" s="188">
        <f>INDEX(InterestRateCurve,MATCH(AB$15,'Int Curves'!$L:$L,0),MATCH("Semi Annual Calculation",'Int Curves'!$L$3:$M$3,0))</f>
        <v>6.3116405164049746E-2</v>
      </c>
    </row>
    <row r="71" spans="1:28" s="146" customFormat="1" ht="11.25">
      <c r="B71" s="186"/>
      <c r="C71" s="188">
        <v>1.4999999999999999E-2</v>
      </c>
      <c r="D71" s="188">
        <v>1.4999999999999999E-2</v>
      </c>
      <c r="E71" s="188">
        <v>1.4999999999999999E-2</v>
      </c>
      <c r="F71" s="188">
        <f>E71+0.0025</f>
        <v>1.7499999999999998E-2</v>
      </c>
      <c r="G71" s="188">
        <f>F71</f>
        <v>1.7499999999999998E-2</v>
      </c>
      <c r="H71" s="188">
        <f>F71</f>
        <v>1.7499999999999998E-2</v>
      </c>
      <c r="I71" s="188">
        <f>H71+0.0025</f>
        <v>1.9999999999999997E-2</v>
      </c>
      <c r="J71" s="188">
        <f>I71</f>
        <v>1.9999999999999997E-2</v>
      </c>
      <c r="K71" s="188">
        <f>J71</f>
        <v>1.9999999999999997E-2</v>
      </c>
      <c r="L71" s="188">
        <f>K71+0.0025</f>
        <v>2.2499999999999996E-2</v>
      </c>
      <c r="M71" s="188">
        <f>L71</f>
        <v>2.2499999999999996E-2</v>
      </c>
      <c r="N71" s="560">
        <f>M71</f>
        <v>2.2499999999999996E-2</v>
      </c>
      <c r="O71" s="188">
        <f>N71+0.0025</f>
        <v>2.4999999999999994E-2</v>
      </c>
      <c r="P71" s="189">
        <f>O71</f>
        <v>2.4999999999999994E-2</v>
      </c>
      <c r="Q71" s="189">
        <f>P71</f>
        <v>2.4999999999999994E-2</v>
      </c>
      <c r="R71" s="189">
        <f>Q71+0.0025</f>
        <v>2.7499999999999993E-2</v>
      </c>
      <c r="S71" s="187"/>
      <c r="T71" s="187"/>
      <c r="U71" s="187"/>
      <c r="V71" s="187"/>
      <c r="W71" s="187"/>
      <c r="X71" s="187"/>
      <c r="Y71" s="187"/>
      <c r="Z71" s="187"/>
      <c r="AA71" s="187"/>
      <c r="AB71" s="187"/>
    </row>
    <row r="72" spans="1:28" s="146" customFormat="1" ht="11.25">
      <c r="B72" s="186" t="s">
        <v>164</v>
      </c>
      <c r="C72" s="192">
        <f t="shared" ref="C72:W72" si="27">C69+C71</f>
        <v>6.8366160170736406E-2</v>
      </c>
      <c r="D72" s="192">
        <f t="shared" si="27"/>
        <v>7.473410557613705E-2</v>
      </c>
      <c r="E72" s="192">
        <f t="shared" si="27"/>
        <v>7.7063923427365733E-2</v>
      </c>
      <c r="F72" s="192">
        <f t="shared" si="27"/>
        <v>8.0737529319749438E-2</v>
      </c>
      <c r="G72" s="192">
        <f t="shared" si="27"/>
        <v>8.1040530753381565E-2</v>
      </c>
      <c r="H72" s="192">
        <f t="shared" si="27"/>
        <v>8.1265249917457275E-2</v>
      </c>
      <c r="I72" s="192">
        <f t="shared" si="27"/>
        <v>8.3860369004664176E-2</v>
      </c>
      <c r="J72" s="192">
        <f t="shared" si="27"/>
        <v>8.3943958390367279E-2</v>
      </c>
      <c r="K72" s="192">
        <f t="shared" si="27"/>
        <v>8.4027700453071535E-2</v>
      </c>
      <c r="L72" s="192">
        <f t="shared" si="27"/>
        <v>8.6611366180756641E-2</v>
      </c>
      <c r="M72" s="192">
        <f t="shared" si="27"/>
        <v>8.6697300399020086E-2</v>
      </c>
      <c r="N72" s="192">
        <f t="shared" si="27"/>
        <v>8.682823182444234E-2</v>
      </c>
      <c r="O72" s="192">
        <f t="shared" si="27"/>
        <v>8.9463419375373929E-2</v>
      </c>
      <c r="P72" s="192">
        <f t="shared" si="27"/>
        <v>8.9598483698488759E-2</v>
      </c>
      <c r="Q72" s="192">
        <f t="shared" si="27"/>
        <v>8.9733424793772248E-2</v>
      </c>
      <c r="R72" s="192">
        <f t="shared" si="27"/>
        <v>9.2357656285088588E-2</v>
      </c>
      <c r="S72" s="192">
        <f t="shared" si="27"/>
        <v>6.4787845757824328E-2</v>
      </c>
      <c r="T72" s="192">
        <f t="shared" si="27"/>
        <v>6.4701443447959736E-2</v>
      </c>
      <c r="U72" s="192">
        <f t="shared" si="27"/>
        <v>6.4615119974791316E-2</v>
      </c>
      <c r="V72" s="192">
        <f t="shared" si="27"/>
        <v>6.4528796504093322E-2</v>
      </c>
      <c r="W72" s="192">
        <f t="shared" si="27"/>
        <v>6.4434795787134874E-2</v>
      </c>
      <c r="X72" s="187"/>
      <c r="Y72" s="187"/>
      <c r="Z72" s="187"/>
      <c r="AA72" s="187"/>
      <c r="AB72" s="187"/>
    </row>
    <row r="73" spans="1:28" s="146" customFormat="1" ht="11.25">
      <c r="B73" s="186" t="s">
        <v>165</v>
      </c>
      <c r="C73" s="192">
        <f>C70+C71</f>
        <v>7.1726068588342531E-2</v>
      </c>
      <c r="D73" s="192">
        <f t="shared" ref="D73:W73" si="28">D70+D71</f>
        <v>7.6227252367461085E-2</v>
      </c>
      <c r="E73" s="192">
        <f t="shared" si="28"/>
        <v>7.7694902819991682E-2</v>
      </c>
      <c r="F73" s="192">
        <f t="shared" si="28"/>
        <v>8.0924588731875843E-2</v>
      </c>
      <c r="G73" s="192">
        <f t="shared" si="28"/>
        <v>8.1156472779352937E-2</v>
      </c>
      <c r="H73" s="192">
        <f t="shared" si="28"/>
        <v>8.1318612481350611E-2</v>
      </c>
      <c r="I73" s="192">
        <f t="shared" si="28"/>
        <v>8.3902201865896281E-2</v>
      </c>
      <c r="J73" s="192">
        <f t="shared" si="28"/>
        <v>8.3985791252759068E-2</v>
      </c>
      <c r="K73" s="192">
        <f t="shared" si="28"/>
        <v>8.4069609653967398E-2</v>
      </c>
      <c r="L73" s="192">
        <f t="shared" si="28"/>
        <v>8.6653199045470447E-2</v>
      </c>
      <c r="M73" s="192">
        <f t="shared" si="28"/>
        <v>8.676082290204204E-2</v>
      </c>
      <c r="N73" s="192">
        <f t="shared" si="28"/>
        <v>8.6895763982219321E-2</v>
      </c>
      <c r="O73" s="192">
        <f t="shared" si="28"/>
        <v>8.9531074770048319E-2</v>
      </c>
      <c r="P73" s="192">
        <f t="shared" si="28"/>
        <v>8.9666015862316525E-2</v>
      </c>
      <c r="Q73" s="192">
        <f t="shared" si="28"/>
        <v>8.9800956960621167E-2</v>
      </c>
      <c r="R73" s="192">
        <f t="shared" si="28"/>
        <v>9.233112574791158E-2</v>
      </c>
      <c r="S73" s="192">
        <f t="shared" si="28"/>
        <v>6.4744565768359116E-2</v>
      </c>
      <c r="T73" s="192">
        <f t="shared" si="28"/>
        <v>6.4658242293956572E-2</v>
      </c>
      <c r="U73" s="192">
        <f t="shared" si="28"/>
        <v>6.4571918822024385E-2</v>
      </c>
      <c r="V73" s="192">
        <f t="shared" si="28"/>
        <v>6.4485595352562666E-2</v>
      </c>
      <c r="W73" s="192">
        <f t="shared" si="28"/>
        <v>6.4325471188475328E-2</v>
      </c>
      <c r="X73" s="187"/>
      <c r="Y73" s="187"/>
      <c r="Z73" s="187"/>
      <c r="AA73" s="187"/>
      <c r="AB73" s="187"/>
    </row>
    <row r="74" spans="1:28" s="117" customFormat="1" ht="11.25">
      <c r="B74" s="119" t="s">
        <v>22</v>
      </c>
      <c r="C74" s="122">
        <v>0</v>
      </c>
      <c r="D74" s="122">
        <f>C83</f>
        <v>0</v>
      </c>
      <c r="E74" s="122">
        <f>D83</f>
        <v>0</v>
      </c>
      <c r="F74" s="816"/>
      <c r="G74" s="763">
        <f>J55</f>
        <v>0</v>
      </c>
      <c r="H74" s="122">
        <f t="shared" ref="H74:AB74" si="29">G83</f>
        <v>0</v>
      </c>
      <c r="I74" s="122">
        <f t="shared" si="29"/>
        <v>0</v>
      </c>
      <c r="J74" s="122">
        <f t="shared" si="29"/>
        <v>0</v>
      </c>
      <c r="K74" s="122">
        <f t="shared" si="29"/>
        <v>0</v>
      </c>
      <c r="L74" s="122">
        <f t="shared" si="29"/>
        <v>0</v>
      </c>
      <c r="M74" s="122">
        <f t="shared" si="29"/>
        <v>0</v>
      </c>
      <c r="N74" s="122">
        <f t="shared" si="29"/>
        <v>0</v>
      </c>
      <c r="O74" s="122">
        <f t="shared" si="29"/>
        <v>0</v>
      </c>
      <c r="P74" s="122">
        <f t="shared" si="29"/>
        <v>0</v>
      </c>
      <c r="Q74" s="122">
        <f t="shared" si="29"/>
        <v>0</v>
      </c>
      <c r="R74" s="122">
        <f t="shared" si="29"/>
        <v>0</v>
      </c>
      <c r="S74" s="122">
        <f t="shared" si="29"/>
        <v>0</v>
      </c>
      <c r="T74" s="122">
        <f t="shared" si="29"/>
        <v>0</v>
      </c>
      <c r="U74" s="122">
        <f t="shared" si="29"/>
        <v>0</v>
      </c>
      <c r="V74" s="122">
        <f t="shared" si="29"/>
        <v>0</v>
      </c>
      <c r="W74" s="122">
        <f t="shared" si="29"/>
        <v>0</v>
      </c>
      <c r="X74" s="122">
        <f t="shared" si="29"/>
        <v>0</v>
      </c>
      <c r="Y74" s="122">
        <f t="shared" si="29"/>
        <v>0</v>
      </c>
      <c r="Z74" s="122">
        <f t="shared" si="29"/>
        <v>0</v>
      </c>
      <c r="AA74" s="122">
        <f t="shared" si="29"/>
        <v>0</v>
      </c>
      <c r="AB74" s="122">
        <f t="shared" si="29"/>
        <v>0</v>
      </c>
    </row>
    <row r="75" spans="1:28" s="117" customFormat="1" ht="11.25">
      <c r="B75" s="124" t="s">
        <v>23</v>
      </c>
      <c r="C75" s="125">
        <f>C76+C77</f>
        <v>0</v>
      </c>
      <c r="D75" s="125">
        <f t="shared" ref="D75:X75" si="30">D76+D77</f>
        <v>0</v>
      </c>
      <c r="E75" s="125">
        <f t="shared" si="30"/>
        <v>0</v>
      </c>
      <c r="F75" s="125">
        <f t="shared" si="30"/>
        <v>0</v>
      </c>
      <c r="G75" s="125">
        <f t="shared" si="30"/>
        <v>0</v>
      </c>
      <c r="H75" s="125">
        <f t="shared" si="30"/>
        <v>0</v>
      </c>
      <c r="I75" s="125">
        <f t="shared" si="30"/>
        <v>0</v>
      </c>
      <c r="J75" s="125">
        <f t="shared" si="30"/>
        <v>0</v>
      </c>
      <c r="K75" s="125">
        <f t="shared" si="30"/>
        <v>0</v>
      </c>
      <c r="L75" s="125">
        <f t="shared" si="30"/>
        <v>0</v>
      </c>
      <c r="M75" s="125">
        <f t="shared" si="30"/>
        <v>0</v>
      </c>
      <c r="N75" s="125">
        <f t="shared" si="30"/>
        <v>0</v>
      </c>
      <c r="O75" s="125">
        <f t="shared" si="30"/>
        <v>0</v>
      </c>
      <c r="P75" s="125">
        <f t="shared" si="30"/>
        <v>0</v>
      </c>
      <c r="Q75" s="125">
        <f t="shared" si="30"/>
        <v>0</v>
      </c>
      <c r="R75" s="125">
        <f t="shared" si="30"/>
        <v>0</v>
      </c>
      <c r="S75" s="125">
        <f t="shared" si="30"/>
        <v>0</v>
      </c>
      <c r="T75" s="125">
        <f t="shared" si="30"/>
        <v>0</v>
      </c>
      <c r="U75" s="125">
        <f t="shared" si="30"/>
        <v>0</v>
      </c>
      <c r="V75" s="125">
        <f t="shared" si="30"/>
        <v>0</v>
      </c>
      <c r="W75" s="125">
        <f t="shared" si="30"/>
        <v>0</v>
      </c>
      <c r="X75" s="125">
        <f t="shared" si="30"/>
        <v>0</v>
      </c>
      <c r="Y75" s="125" t="e">
        <f>PMT($G$3/2,$G$4*2,-$J$3)*#REF!</f>
        <v>#REF!</v>
      </c>
      <c r="Z75" s="125" t="e">
        <f>PMT($G$3/2,$G$4*2,-$J$3)*#REF!</f>
        <v>#REF!</v>
      </c>
      <c r="AA75" s="125" t="e">
        <f>PMT($G$3/2,$G$4*2,-$J$3)*#REF!</f>
        <v>#REF!</v>
      </c>
      <c r="AB75" s="125" t="e">
        <f>PMT($G$3/2,$G$4*2,-$J$3)*#REF!</f>
        <v>#REF!</v>
      </c>
    </row>
    <row r="76" spans="1:28" s="117" customFormat="1" ht="11.25">
      <c r="B76" s="124" t="s">
        <v>24</v>
      </c>
      <c r="C76" s="125">
        <v>0</v>
      </c>
      <c r="D76" s="125">
        <f>D74*D72/2</f>
        <v>0</v>
      </c>
      <c r="E76" s="125">
        <f t="shared" ref="E76:AB76" si="31">E74*E72/2</f>
        <v>0</v>
      </c>
      <c r="F76" s="125">
        <f t="shared" si="31"/>
        <v>0</v>
      </c>
      <c r="G76" s="125">
        <f t="shared" si="31"/>
        <v>0</v>
      </c>
      <c r="H76" s="125">
        <f t="shared" si="31"/>
        <v>0</v>
      </c>
      <c r="I76" s="125">
        <f t="shared" si="31"/>
        <v>0</v>
      </c>
      <c r="J76" s="125">
        <f t="shared" si="31"/>
        <v>0</v>
      </c>
      <c r="K76" s="125">
        <f t="shared" si="31"/>
        <v>0</v>
      </c>
      <c r="L76" s="125">
        <f t="shared" si="31"/>
        <v>0</v>
      </c>
      <c r="M76" s="125">
        <f t="shared" si="31"/>
        <v>0</v>
      </c>
      <c r="N76" s="125">
        <f t="shared" si="31"/>
        <v>0</v>
      </c>
      <c r="O76" s="125">
        <f t="shared" si="31"/>
        <v>0</v>
      </c>
      <c r="P76" s="125">
        <f t="shared" si="31"/>
        <v>0</v>
      </c>
      <c r="Q76" s="125">
        <f t="shared" si="31"/>
        <v>0</v>
      </c>
      <c r="R76" s="125">
        <f t="shared" si="31"/>
        <v>0</v>
      </c>
      <c r="S76" s="125">
        <f t="shared" si="31"/>
        <v>0</v>
      </c>
      <c r="T76" s="125">
        <f t="shared" si="31"/>
        <v>0</v>
      </c>
      <c r="U76" s="125">
        <f t="shared" si="31"/>
        <v>0</v>
      </c>
      <c r="V76" s="125">
        <f t="shared" si="31"/>
        <v>0</v>
      </c>
      <c r="W76" s="125">
        <f t="shared" si="31"/>
        <v>0</v>
      </c>
      <c r="X76" s="125">
        <f t="shared" si="31"/>
        <v>0</v>
      </c>
      <c r="Y76" s="125">
        <f t="shared" si="31"/>
        <v>0</v>
      </c>
      <c r="Z76" s="125">
        <f t="shared" si="31"/>
        <v>0</v>
      </c>
      <c r="AA76" s="125">
        <f t="shared" si="31"/>
        <v>0</v>
      </c>
      <c r="AB76" s="125">
        <f t="shared" si="31"/>
        <v>0</v>
      </c>
    </row>
    <row r="77" spans="1:28" s="117" customFormat="1" ht="11.25">
      <c r="B77" s="124" t="s">
        <v>25</v>
      </c>
      <c r="C77" s="125">
        <v>0</v>
      </c>
      <c r="D77" s="125">
        <v>0</v>
      </c>
      <c r="E77" s="125">
        <v>0</v>
      </c>
      <c r="F77" s="125">
        <f>IF(F74&gt;0,MIN(($J$55/$G$56/$G$57),F74),0)</f>
        <v>0</v>
      </c>
      <c r="G77" s="125">
        <f>IF(G74&gt;0,MIN(($J$55/$G$56/$G$57),G74),0)</f>
        <v>0</v>
      </c>
      <c r="H77" s="125">
        <f t="shared" ref="H77:AB77" si="32">IF(H74&gt;0,MIN(($J$55/$G$56/$G$57),H74),0)</f>
        <v>0</v>
      </c>
      <c r="I77" s="125">
        <f t="shared" si="32"/>
        <v>0</v>
      </c>
      <c r="J77" s="125">
        <f t="shared" si="32"/>
        <v>0</v>
      </c>
      <c r="K77" s="125">
        <f t="shared" si="32"/>
        <v>0</v>
      </c>
      <c r="L77" s="125">
        <f t="shared" si="32"/>
        <v>0</v>
      </c>
      <c r="M77" s="125">
        <f t="shared" si="32"/>
        <v>0</v>
      </c>
      <c r="N77" s="125">
        <f t="shared" si="32"/>
        <v>0</v>
      </c>
      <c r="O77" s="125">
        <f t="shared" si="32"/>
        <v>0</v>
      </c>
      <c r="P77" s="125">
        <f t="shared" si="32"/>
        <v>0</v>
      </c>
      <c r="Q77" s="125">
        <f t="shared" si="32"/>
        <v>0</v>
      </c>
      <c r="R77" s="125">
        <f t="shared" si="32"/>
        <v>0</v>
      </c>
      <c r="S77" s="125">
        <f t="shared" si="32"/>
        <v>0</v>
      </c>
      <c r="T77" s="125">
        <f t="shared" si="32"/>
        <v>0</v>
      </c>
      <c r="U77" s="125">
        <f t="shared" si="32"/>
        <v>0</v>
      </c>
      <c r="V77" s="125">
        <f t="shared" si="32"/>
        <v>0</v>
      </c>
      <c r="W77" s="125">
        <f t="shared" si="32"/>
        <v>0</v>
      </c>
      <c r="X77" s="125">
        <f t="shared" si="32"/>
        <v>0</v>
      </c>
      <c r="Y77" s="125">
        <f t="shared" si="32"/>
        <v>0</v>
      </c>
      <c r="Z77" s="125">
        <f t="shared" si="32"/>
        <v>0</v>
      </c>
      <c r="AA77" s="125">
        <f t="shared" si="32"/>
        <v>0</v>
      </c>
      <c r="AB77" s="125">
        <f t="shared" si="32"/>
        <v>0</v>
      </c>
    </row>
    <row r="78" spans="1:28" s="117" customFormat="1" ht="11.25">
      <c r="B78" s="120" t="s">
        <v>26</v>
      </c>
      <c r="C78" s="126">
        <f t="shared" ref="C78:AB78" si="33">C74-C77</f>
        <v>0</v>
      </c>
      <c r="D78" s="126">
        <f t="shared" si="33"/>
        <v>0</v>
      </c>
      <c r="E78" s="126">
        <f t="shared" si="33"/>
        <v>0</v>
      </c>
      <c r="F78" s="126">
        <f t="shared" si="33"/>
        <v>0</v>
      </c>
      <c r="G78" s="126">
        <f t="shared" si="33"/>
        <v>0</v>
      </c>
      <c r="H78" s="126">
        <f t="shared" si="33"/>
        <v>0</v>
      </c>
      <c r="I78" s="126">
        <f t="shared" si="33"/>
        <v>0</v>
      </c>
      <c r="J78" s="126">
        <f t="shared" si="33"/>
        <v>0</v>
      </c>
      <c r="K78" s="126">
        <f t="shared" si="33"/>
        <v>0</v>
      </c>
      <c r="L78" s="126">
        <f t="shared" si="33"/>
        <v>0</v>
      </c>
      <c r="M78" s="126">
        <f t="shared" si="33"/>
        <v>0</v>
      </c>
      <c r="N78" s="126">
        <f t="shared" si="33"/>
        <v>0</v>
      </c>
      <c r="O78" s="126">
        <f t="shared" si="33"/>
        <v>0</v>
      </c>
      <c r="P78" s="126">
        <f t="shared" si="33"/>
        <v>0</v>
      </c>
      <c r="Q78" s="126">
        <f t="shared" si="33"/>
        <v>0</v>
      </c>
      <c r="R78" s="126">
        <f t="shared" si="33"/>
        <v>0</v>
      </c>
      <c r="S78" s="126">
        <f t="shared" si="33"/>
        <v>0</v>
      </c>
      <c r="T78" s="126">
        <f t="shared" si="33"/>
        <v>0</v>
      </c>
      <c r="U78" s="126">
        <f t="shared" si="33"/>
        <v>0</v>
      </c>
      <c r="V78" s="126">
        <f t="shared" si="33"/>
        <v>0</v>
      </c>
      <c r="W78" s="126">
        <f t="shared" si="33"/>
        <v>0</v>
      </c>
      <c r="X78" s="126">
        <f t="shared" si="33"/>
        <v>0</v>
      </c>
      <c r="Y78" s="126">
        <f t="shared" si="33"/>
        <v>0</v>
      </c>
      <c r="Z78" s="126">
        <f t="shared" si="33"/>
        <v>0</v>
      </c>
      <c r="AA78" s="126">
        <f t="shared" si="33"/>
        <v>0</v>
      </c>
      <c r="AB78" s="126">
        <f t="shared" si="33"/>
        <v>0</v>
      </c>
    </row>
    <row r="79" spans="1:28" s="117" customFormat="1" ht="11.25">
      <c r="B79" s="119" t="s">
        <v>27</v>
      </c>
      <c r="C79" s="122">
        <f>C80+C81</f>
        <v>0</v>
      </c>
      <c r="D79" s="122">
        <f t="shared" ref="D79:W79" si="34">D80+D81</f>
        <v>0</v>
      </c>
      <c r="E79" s="122">
        <f t="shared" si="34"/>
        <v>0</v>
      </c>
      <c r="F79" s="122">
        <f t="shared" si="34"/>
        <v>0</v>
      </c>
      <c r="G79" s="122">
        <f t="shared" si="34"/>
        <v>0</v>
      </c>
      <c r="H79" s="122">
        <f t="shared" si="34"/>
        <v>0</v>
      </c>
      <c r="I79" s="122">
        <f t="shared" si="34"/>
        <v>0</v>
      </c>
      <c r="J79" s="122">
        <f t="shared" si="34"/>
        <v>0</v>
      </c>
      <c r="K79" s="122">
        <f t="shared" si="34"/>
        <v>0</v>
      </c>
      <c r="L79" s="122">
        <f t="shared" si="34"/>
        <v>0</v>
      </c>
      <c r="M79" s="122">
        <f t="shared" si="34"/>
        <v>0</v>
      </c>
      <c r="N79" s="122">
        <f t="shared" si="34"/>
        <v>0</v>
      </c>
      <c r="O79" s="122">
        <f t="shared" si="34"/>
        <v>0</v>
      </c>
      <c r="P79" s="122">
        <f t="shared" si="34"/>
        <v>0</v>
      </c>
      <c r="Q79" s="122">
        <f t="shared" si="34"/>
        <v>0</v>
      </c>
      <c r="R79" s="122">
        <f t="shared" si="34"/>
        <v>0</v>
      </c>
      <c r="S79" s="122">
        <f t="shared" si="34"/>
        <v>0</v>
      </c>
      <c r="T79" s="122">
        <f t="shared" si="34"/>
        <v>0</v>
      </c>
      <c r="U79" s="122">
        <f t="shared" si="34"/>
        <v>0</v>
      </c>
      <c r="V79" s="122">
        <f t="shared" si="34"/>
        <v>0</v>
      </c>
      <c r="W79" s="122">
        <f t="shared" si="34"/>
        <v>0</v>
      </c>
      <c r="X79" s="122" t="e">
        <f>PMT($G$3/2,$G$4*2,-$J$3)*#REF!</f>
        <v>#REF!</v>
      </c>
      <c r="Y79" s="122" t="e">
        <f>PMT($G$3/2,$G$4*2,-$J$3)*#REF!</f>
        <v>#REF!</v>
      </c>
      <c r="Z79" s="122" t="e">
        <f>PMT($G$3/2,$G$4*2,-$J$3)*#REF!</f>
        <v>#REF!</v>
      </c>
      <c r="AA79" s="122" t="e">
        <f>PMT($G$3/2,$G$4*2,-$J$3)*#REF!</f>
        <v>#REF!</v>
      </c>
      <c r="AB79" s="122" t="e">
        <f>PMT($G$3/2,$G$4*2,-$J$3)*#REF!</f>
        <v>#REF!</v>
      </c>
    </row>
    <row r="80" spans="1:28" s="117" customFormat="1" ht="11.25">
      <c r="B80" s="124" t="s">
        <v>28</v>
      </c>
      <c r="C80" s="125">
        <f>C78*C73/2</f>
        <v>0</v>
      </c>
      <c r="D80" s="125">
        <f t="shared" ref="D80:AB80" si="35">D78*D73/2</f>
        <v>0</v>
      </c>
      <c r="E80" s="125">
        <f t="shared" si="35"/>
        <v>0</v>
      </c>
      <c r="F80" s="125">
        <f t="shared" si="35"/>
        <v>0</v>
      </c>
      <c r="G80" s="125">
        <f t="shared" si="35"/>
        <v>0</v>
      </c>
      <c r="H80" s="125">
        <f t="shared" si="35"/>
        <v>0</v>
      </c>
      <c r="I80" s="125">
        <f t="shared" si="35"/>
        <v>0</v>
      </c>
      <c r="J80" s="125">
        <f t="shared" si="35"/>
        <v>0</v>
      </c>
      <c r="K80" s="125">
        <f t="shared" si="35"/>
        <v>0</v>
      </c>
      <c r="L80" s="125">
        <f t="shared" si="35"/>
        <v>0</v>
      </c>
      <c r="M80" s="125">
        <f t="shared" si="35"/>
        <v>0</v>
      </c>
      <c r="N80" s="125">
        <f t="shared" si="35"/>
        <v>0</v>
      </c>
      <c r="O80" s="125">
        <f t="shared" si="35"/>
        <v>0</v>
      </c>
      <c r="P80" s="125">
        <f t="shared" si="35"/>
        <v>0</v>
      </c>
      <c r="Q80" s="125">
        <f t="shared" si="35"/>
        <v>0</v>
      </c>
      <c r="R80" s="125">
        <f t="shared" si="35"/>
        <v>0</v>
      </c>
      <c r="S80" s="125">
        <f t="shared" si="35"/>
        <v>0</v>
      </c>
      <c r="T80" s="125">
        <f t="shared" si="35"/>
        <v>0</v>
      </c>
      <c r="U80" s="125">
        <f t="shared" si="35"/>
        <v>0</v>
      </c>
      <c r="V80" s="125">
        <f t="shared" si="35"/>
        <v>0</v>
      </c>
      <c r="W80" s="125">
        <f t="shared" si="35"/>
        <v>0</v>
      </c>
      <c r="X80" s="125">
        <f t="shared" si="35"/>
        <v>0</v>
      </c>
      <c r="Y80" s="125">
        <f t="shared" si="35"/>
        <v>0</v>
      </c>
      <c r="Z80" s="125">
        <f t="shared" si="35"/>
        <v>0</v>
      </c>
      <c r="AA80" s="125">
        <f t="shared" si="35"/>
        <v>0</v>
      </c>
      <c r="AB80" s="125">
        <f t="shared" si="35"/>
        <v>0</v>
      </c>
    </row>
    <row r="81" spans="2:31" s="117" customFormat="1" ht="11.25">
      <c r="B81" s="124" t="s">
        <v>29</v>
      </c>
      <c r="C81" s="125">
        <f>IF(C78&gt;0,MIN($J$3/($G$4*$G$5),C78),0)</f>
        <v>0</v>
      </c>
      <c r="D81" s="125">
        <f>IF(D78&gt;0,MIN($J$3/($G$4*$G$5),D78),0)</f>
        <v>0</v>
      </c>
      <c r="E81" s="125">
        <f>IF(E78&gt;0,MIN($J$3/($G$4*$G$5),E78),0)</f>
        <v>0</v>
      </c>
      <c r="F81" s="125">
        <f>IF(F78&gt;0,MIN(($J$55/$G$56/$G$57),F78),0)</f>
        <v>0</v>
      </c>
      <c r="G81" s="125">
        <f>IF(G78&gt;0,MIN(($J$55/$G$56/$G$57),G78),0)</f>
        <v>0</v>
      </c>
      <c r="H81" s="125">
        <f t="shared" ref="H81:AB81" si="36">IF(H78&gt;0,MIN(($J$55/$G$56/$G$57),H78),0)</f>
        <v>0</v>
      </c>
      <c r="I81" s="125">
        <f t="shared" si="36"/>
        <v>0</v>
      </c>
      <c r="J81" s="125">
        <f t="shared" si="36"/>
        <v>0</v>
      </c>
      <c r="K81" s="125">
        <f t="shared" si="36"/>
        <v>0</v>
      </c>
      <c r="L81" s="125">
        <f t="shared" si="36"/>
        <v>0</v>
      </c>
      <c r="M81" s="125">
        <f t="shared" si="36"/>
        <v>0</v>
      </c>
      <c r="N81" s="125">
        <f t="shared" si="36"/>
        <v>0</v>
      </c>
      <c r="O81" s="125">
        <f t="shared" si="36"/>
        <v>0</v>
      </c>
      <c r="P81" s="125">
        <f t="shared" si="36"/>
        <v>0</v>
      </c>
      <c r="Q81" s="125">
        <f t="shared" si="36"/>
        <v>0</v>
      </c>
      <c r="R81" s="125">
        <f t="shared" si="36"/>
        <v>0</v>
      </c>
      <c r="S81" s="125">
        <f t="shared" si="36"/>
        <v>0</v>
      </c>
      <c r="T81" s="125">
        <f t="shared" si="36"/>
        <v>0</v>
      </c>
      <c r="U81" s="125">
        <f t="shared" si="36"/>
        <v>0</v>
      </c>
      <c r="V81" s="125">
        <f t="shared" si="36"/>
        <v>0</v>
      </c>
      <c r="W81" s="125">
        <f t="shared" si="36"/>
        <v>0</v>
      </c>
      <c r="X81" s="125">
        <f t="shared" si="36"/>
        <v>0</v>
      </c>
      <c r="Y81" s="125">
        <f t="shared" si="36"/>
        <v>0</v>
      </c>
      <c r="Z81" s="125">
        <f t="shared" si="36"/>
        <v>0</v>
      </c>
      <c r="AA81" s="125">
        <f t="shared" si="36"/>
        <v>0</v>
      </c>
      <c r="AB81" s="125">
        <f t="shared" si="36"/>
        <v>0</v>
      </c>
    </row>
    <row r="82" spans="2:31" s="117" customFormat="1" ht="11.25">
      <c r="B82" s="124" t="s">
        <v>648</v>
      </c>
      <c r="C82" s="125" t="str">
        <f>IF($C57&gt;0,$C57,"")</f>
        <v/>
      </c>
      <c r="D82" s="125" t="str">
        <f>IF($C58&gt;0,$C58,"")</f>
        <v/>
      </c>
      <c r="E82" s="125" t="str">
        <f>IF($C59&gt;0,$C59,"")</f>
        <v/>
      </c>
      <c r="F82" s="125" t="str">
        <f>IF($C60&gt;0,$C60,"")</f>
        <v/>
      </c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</row>
    <row r="83" spans="2:31" s="117" customFormat="1" ht="12" thickBot="1">
      <c r="B83" s="144" t="s">
        <v>487</v>
      </c>
      <c r="C83" s="145">
        <f t="shared" ref="C83:AB83" si="37">C78-C81-C82</f>
        <v>0</v>
      </c>
      <c r="D83" s="145">
        <f t="shared" si="37"/>
        <v>0</v>
      </c>
      <c r="E83" s="145">
        <f t="shared" si="37"/>
        <v>0</v>
      </c>
      <c r="F83" s="145">
        <f t="shared" si="37"/>
        <v>0</v>
      </c>
      <c r="G83" s="145">
        <f t="shared" si="37"/>
        <v>0</v>
      </c>
      <c r="H83" s="145">
        <f t="shared" si="37"/>
        <v>0</v>
      </c>
      <c r="I83" s="145">
        <f t="shared" si="37"/>
        <v>0</v>
      </c>
      <c r="J83" s="145">
        <f t="shared" si="37"/>
        <v>0</v>
      </c>
      <c r="K83" s="145">
        <f t="shared" si="37"/>
        <v>0</v>
      </c>
      <c r="L83" s="145">
        <f t="shared" si="37"/>
        <v>0</v>
      </c>
      <c r="M83" s="145">
        <f t="shared" si="37"/>
        <v>0</v>
      </c>
      <c r="N83" s="145">
        <f t="shared" si="37"/>
        <v>0</v>
      </c>
      <c r="O83" s="145">
        <f t="shared" si="37"/>
        <v>0</v>
      </c>
      <c r="P83" s="145">
        <f t="shared" si="37"/>
        <v>0</v>
      </c>
      <c r="Q83" s="145">
        <f t="shared" si="37"/>
        <v>0</v>
      </c>
      <c r="R83" s="145">
        <f t="shared" si="37"/>
        <v>0</v>
      </c>
      <c r="S83" s="145">
        <f t="shared" si="37"/>
        <v>0</v>
      </c>
      <c r="T83" s="145">
        <f t="shared" si="37"/>
        <v>0</v>
      </c>
      <c r="U83" s="145">
        <f t="shared" si="37"/>
        <v>0</v>
      </c>
      <c r="V83" s="145">
        <f t="shared" si="37"/>
        <v>0</v>
      </c>
      <c r="W83" s="145">
        <f t="shared" si="37"/>
        <v>0</v>
      </c>
      <c r="X83" s="145">
        <f t="shared" si="37"/>
        <v>0</v>
      </c>
      <c r="Y83" s="145">
        <f t="shared" si="37"/>
        <v>0</v>
      </c>
      <c r="Z83" s="145">
        <f t="shared" si="37"/>
        <v>0</v>
      </c>
      <c r="AA83" s="145">
        <f t="shared" si="37"/>
        <v>0</v>
      </c>
      <c r="AB83" s="145">
        <f t="shared" si="37"/>
        <v>0</v>
      </c>
    </row>
    <row r="84" spans="2:31" s="117" customFormat="1" ht="11.25">
      <c r="B84" s="124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</row>
    <row r="85" spans="2:31" s="117" customFormat="1" ht="11.25">
      <c r="B85" s="124" t="s">
        <v>30</v>
      </c>
      <c r="C85" s="125">
        <f t="shared" ref="C85:AA85" si="38">C75+C79</f>
        <v>0</v>
      </c>
      <c r="D85" s="125">
        <f t="shared" si="38"/>
        <v>0</v>
      </c>
      <c r="E85" s="125">
        <f t="shared" si="38"/>
        <v>0</v>
      </c>
      <c r="F85" s="125">
        <f t="shared" si="38"/>
        <v>0</v>
      </c>
      <c r="G85" s="125">
        <f t="shared" si="38"/>
        <v>0</v>
      </c>
      <c r="H85" s="125">
        <f t="shared" si="38"/>
        <v>0</v>
      </c>
      <c r="I85" s="125">
        <f t="shared" si="38"/>
        <v>0</v>
      </c>
      <c r="J85" s="125">
        <f t="shared" si="38"/>
        <v>0</v>
      </c>
      <c r="K85" s="125">
        <f t="shared" si="38"/>
        <v>0</v>
      </c>
      <c r="L85" s="125">
        <f t="shared" si="38"/>
        <v>0</v>
      </c>
      <c r="M85" s="125">
        <f t="shared" si="38"/>
        <v>0</v>
      </c>
      <c r="N85" s="125">
        <f t="shared" si="38"/>
        <v>0</v>
      </c>
      <c r="O85" s="125">
        <f t="shared" si="38"/>
        <v>0</v>
      </c>
      <c r="P85" s="125">
        <f t="shared" si="38"/>
        <v>0</v>
      </c>
      <c r="Q85" s="125">
        <f t="shared" si="38"/>
        <v>0</v>
      </c>
      <c r="R85" s="125">
        <f t="shared" si="38"/>
        <v>0</v>
      </c>
      <c r="S85" s="125">
        <f t="shared" si="38"/>
        <v>0</v>
      </c>
      <c r="T85" s="125">
        <f t="shared" si="38"/>
        <v>0</v>
      </c>
      <c r="U85" s="125">
        <f t="shared" si="38"/>
        <v>0</v>
      </c>
      <c r="V85" s="125">
        <f t="shared" si="38"/>
        <v>0</v>
      </c>
      <c r="W85" s="125">
        <f t="shared" si="38"/>
        <v>0</v>
      </c>
      <c r="X85" s="125" t="e">
        <f t="shared" si="38"/>
        <v>#REF!</v>
      </c>
      <c r="Y85" s="125" t="e">
        <f t="shared" si="38"/>
        <v>#REF!</v>
      </c>
      <c r="Z85" s="125" t="e">
        <f t="shared" si="38"/>
        <v>#REF!</v>
      </c>
      <c r="AA85" s="125" t="e">
        <f t="shared" si="38"/>
        <v>#REF!</v>
      </c>
      <c r="AB85" s="125" t="e">
        <f>AB75+AB79</f>
        <v>#REF!</v>
      </c>
    </row>
    <row r="86" spans="2:31" s="117" customFormat="1" ht="11.25">
      <c r="B86" s="66" t="s">
        <v>481</v>
      </c>
      <c r="C86" s="125">
        <f t="shared" ref="C86:AA86" si="39">C76+C80</f>
        <v>0</v>
      </c>
      <c r="D86" s="125">
        <f t="shared" si="39"/>
        <v>0</v>
      </c>
      <c r="E86" s="125">
        <f t="shared" si="39"/>
        <v>0</v>
      </c>
      <c r="F86" s="125">
        <f t="shared" si="39"/>
        <v>0</v>
      </c>
      <c r="G86" s="125">
        <f t="shared" si="39"/>
        <v>0</v>
      </c>
      <c r="H86" s="125">
        <f t="shared" si="39"/>
        <v>0</v>
      </c>
      <c r="I86" s="125">
        <f t="shared" si="39"/>
        <v>0</v>
      </c>
      <c r="J86" s="125">
        <f t="shared" si="39"/>
        <v>0</v>
      </c>
      <c r="K86" s="125">
        <f t="shared" si="39"/>
        <v>0</v>
      </c>
      <c r="L86" s="125">
        <f t="shared" si="39"/>
        <v>0</v>
      </c>
      <c r="M86" s="125">
        <f t="shared" si="39"/>
        <v>0</v>
      </c>
      <c r="N86" s="125">
        <f t="shared" si="39"/>
        <v>0</v>
      </c>
      <c r="O86" s="125">
        <f t="shared" si="39"/>
        <v>0</v>
      </c>
      <c r="P86" s="125">
        <f t="shared" si="39"/>
        <v>0</v>
      </c>
      <c r="Q86" s="125">
        <f t="shared" si="39"/>
        <v>0</v>
      </c>
      <c r="R86" s="125">
        <f t="shared" si="39"/>
        <v>0</v>
      </c>
      <c r="S86" s="125">
        <f t="shared" si="39"/>
        <v>0</v>
      </c>
      <c r="T86" s="125">
        <f t="shared" si="39"/>
        <v>0</v>
      </c>
      <c r="U86" s="125">
        <f t="shared" si="39"/>
        <v>0</v>
      </c>
      <c r="V86" s="125">
        <f t="shared" si="39"/>
        <v>0</v>
      </c>
      <c r="W86" s="125">
        <f t="shared" si="39"/>
        <v>0</v>
      </c>
      <c r="X86" s="125">
        <f t="shared" si="39"/>
        <v>0</v>
      </c>
      <c r="Y86" s="125">
        <f t="shared" si="39"/>
        <v>0</v>
      </c>
      <c r="Z86" s="125">
        <f t="shared" si="39"/>
        <v>0</v>
      </c>
      <c r="AA86" s="125">
        <f t="shared" si="39"/>
        <v>0</v>
      </c>
      <c r="AB86" s="125">
        <f>AB76+AB80</f>
        <v>0</v>
      </c>
    </row>
    <row r="87" spans="2:31" s="117" customFormat="1" ht="11.25">
      <c r="B87" s="120" t="s">
        <v>31</v>
      </c>
      <c r="C87" s="126">
        <f t="shared" ref="C87:AA87" si="40">C77+C81</f>
        <v>0</v>
      </c>
      <c r="D87" s="126">
        <f t="shared" si="40"/>
        <v>0</v>
      </c>
      <c r="E87" s="126">
        <f t="shared" si="40"/>
        <v>0</v>
      </c>
      <c r="F87" s="126">
        <f t="shared" si="40"/>
        <v>0</v>
      </c>
      <c r="G87" s="126">
        <f t="shared" si="40"/>
        <v>0</v>
      </c>
      <c r="H87" s="126">
        <f t="shared" si="40"/>
        <v>0</v>
      </c>
      <c r="I87" s="126">
        <f t="shared" si="40"/>
        <v>0</v>
      </c>
      <c r="J87" s="126">
        <f t="shared" si="40"/>
        <v>0</v>
      </c>
      <c r="K87" s="126">
        <f t="shared" si="40"/>
        <v>0</v>
      </c>
      <c r="L87" s="126">
        <f t="shared" si="40"/>
        <v>0</v>
      </c>
      <c r="M87" s="126">
        <f t="shared" si="40"/>
        <v>0</v>
      </c>
      <c r="N87" s="126">
        <f t="shared" si="40"/>
        <v>0</v>
      </c>
      <c r="O87" s="126">
        <f t="shared" si="40"/>
        <v>0</v>
      </c>
      <c r="P87" s="126">
        <f t="shared" si="40"/>
        <v>0</v>
      </c>
      <c r="Q87" s="126">
        <f t="shared" si="40"/>
        <v>0</v>
      </c>
      <c r="R87" s="126">
        <f t="shared" si="40"/>
        <v>0</v>
      </c>
      <c r="S87" s="126">
        <f t="shared" si="40"/>
        <v>0</v>
      </c>
      <c r="T87" s="126">
        <f t="shared" si="40"/>
        <v>0</v>
      </c>
      <c r="U87" s="126">
        <f t="shared" si="40"/>
        <v>0</v>
      </c>
      <c r="V87" s="126">
        <f t="shared" si="40"/>
        <v>0</v>
      </c>
      <c r="W87" s="126">
        <f t="shared" si="40"/>
        <v>0</v>
      </c>
      <c r="X87" s="126">
        <f t="shared" si="40"/>
        <v>0</v>
      </c>
      <c r="Y87" s="126">
        <f t="shared" si="40"/>
        <v>0</v>
      </c>
      <c r="Z87" s="126">
        <f t="shared" si="40"/>
        <v>0</v>
      </c>
      <c r="AA87" s="126">
        <f t="shared" si="40"/>
        <v>0</v>
      </c>
      <c r="AB87" s="126">
        <f>AB77+AB81</f>
        <v>0</v>
      </c>
    </row>
    <row r="88" spans="2:31" s="117" customFormat="1" ht="11.25">
      <c r="B88" s="124" t="s">
        <v>32</v>
      </c>
      <c r="C88" s="128">
        <f t="shared" ref="C88:AB88" si="41">C87/$J$3</f>
        <v>0</v>
      </c>
      <c r="D88" s="128">
        <f t="shared" si="41"/>
        <v>0</v>
      </c>
      <c r="E88" s="128">
        <f t="shared" si="41"/>
        <v>0</v>
      </c>
      <c r="F88" s="128">
        <f t="shared" si="41"/>
        <v>0</v>
      </c>
      <c r="G88" s="128">
        <f t="shared" si="41"/>
        <v>0</v>
      </c>
      <c r="H88" s="128">
        <f t="shared" si="41"/>
        <v>0</v>
      </c>
      <c r="I88" s="128">
        <f t="shared" si="41"/>
        <v>0</v>
      </c>
      <c r="J88" s="128">
        <f t="shared" si="41"/>
        <v>0</v>
      </c>
      <c r="K88" s="128">
        <f t="shared" si="41"/>
        <v>0</v>
      </c>
      <c r="L88" s="128">
        <f t="shared" si="41"/>
        <v>0</v>
      </c>
      <c r="M88" s="128">
        <f t="shared" si="41"/>
        <v>0</v>
      </c>
      <c r="N88" s="128">
        <f t="shared" si="41"/>
        <v>0</v>
      </c>
      <c r="O88" s="128">
        <f t="shared" si="41"/>
        <v>0</v>
      </c>
      <c r="P88" s="128">
        <f t="shared" si="41"/>
        <v>0</v>
      </c>
      <c r="Q88" s="128">
        <f t="shared" si="41"/>
        <v>0</v>
      </c>
      <c r="R88" s="128">
        <f t="shared" si="41"/>
        <v>0</v>
      </c>
      <c r="S88" s="128">
        <f t="shared" si="41"/>
        <v>0</v>
      </c>
      <c r="T88" s="128">
        <f t="shared" si="41"/>
        <v>0</v>
      </c>
      <c r="U88" s="128">
        <f t="shared" si="41"/>
        <v>0</v>
      </c>
      <c r="V88" s="128">
        <f t="shared" si="41"/>
        <v>0</v>
      </c>
      <c r="W88" s="128">
        <f t="shared" si="41"/>
        <v>0</v>
      </c>
      <c r="X88" s="128">
        <f t="shared" si="41"/>
        <v>0</v>
      </c>
      <c r="Y88" s="128">
        <f t="shared" si="41"/>
        <v>0</v>
      </c>
      <c r="Z88" s="128">
        <f t="shared" si="41"/>
        <v>0</v>
      </c>
      <c r="AA88" s="128">
        <f t="shared" si="41"/>
        <v>0</v>
      </c>
      <c r="AB88" s="128">
        <f t="shared" si="41"/>
        <v>0</v>
      </c>
      <c r="AE88" s="127">
        <f>SUM($C$37:$AA$37)</f>
        <v>1</v>
      </c>
    </row>
    <row r="89" spans="2:31" s="117" customFormat="1" ht="11.25">
      <c r="B89" s="124" t="s">
        <v>33</v>
      </c>
      <c r="C89" s="130">
        <f>SUM($C87:C87)/$J$3</f>
        <v>0</v>
      </c>
      <c r="D89" s="130">
        <f>SUM($C87:D87)/$J$3</f>
        <v>0</v>
      </c>
      <c r="E89" s="130">
        <f>SUM($C87:E87)/$J$3</f>
        <v>0</v>
      </c>
      <c r="F89" s="130">
        <f>SUM($C87:F87)/$J$3</f>
        <v>0</v>
      </c>
      <c r="G89" s="130">
        <f>SUM($C87:G87)/$J$3</f>
        <v>0</v>
      </c>
      <c r="H89" s="130">
        <f>SUM($C87:H87)/$J$3</f>
        <v>0</v>
      </c>
      <c r="I89" s="130">
        <f>SUM($C87:I87)/$J$3</f>
        <v>0</v>
      </c>
      <c r="J89" s="130">
        <f>SUM($C87:J87)/$J$3</f>
        <v>0</v>
      </c>
      <c r="K89" s="130">
        <f>SUM($C87:K87)/$J$3</f>
        <v>0</v>
      </c>
      <c r="L89" s="130">
        <f>SUM($C87:L87)/$J$3</f>
        <v>0</v>
      </c>
      <c r="M89" s="130">
        <f>SUM($C87:M87)/$J$3</f>
        <v>0</v>
      </c>
      <c r="N89" s="130">
        <f>SUM($C87:N87)/$J$3</f>
        <v>0</v>
      </c>
      <c r="O89" s="130">
        <f>SUM($C87:O87)/$J$3</f>
        <v>0</v>
      </c>
      <c r="P89" s="130">
        <f>SUM($C87:P87)/$J$3</f>
        <v>0</v>
      </c>
      <c r="Q89" s="130">
        <f>SUM($C87:Q87)/$J$3</f>
        <v>0</v>
      </c>
      <c r="R89" s="130">
        <f>SUM($C87:R87)/$J$3</f>
        <v>0</v>
      </c>
      <c r="S89" s="130">
        <f>SUM($C87:S87)/$J$3</f>
        <v>0</v>
      </c>
      <c r="T89" s="130">
        <f>SUM($C87:T87)/$J$3</f>
        <v>0</v>
      </c>
      <c r="U89" s="130">
        <f>SUM($C87:U87)/$J$3</f>
        <v>0</v>
      </c>
      <c r="V89" s="130">
        <f>SUM($C87:V87)/$J$3</f>
        <v>0</v>
      </c>
      <c r="W89" s="130">
        <f>SUM($C87:W87)/$J$3</f>
        <v>0</v>
      </c>
      <c r="X89" s="130">
        <f>SUM($C87:X87)/$J$3</f>
        <v>0</v>
      </c>
      <c r="Y89" s="130">
        <f>SUM($C87:Y87)/$J$3</f>
        <v>0</v>
      </c>
      <c r="Z89" s="130">
        <f>SUM($C87:Z87)/$J$3</f>
        <v>0</v>
      </c>
      <c r="AA89" s="130">
        <f>SUM($C87:AA87)/$J$3</f>
        <v>0</v>
      </c>
      <c r="AB89" s="130">
        <f>SUM($C87:AB87)/$J$3</f>
        <v>0</v>
      </c>
    </row>
    <row r="90" spans="2:31" s="117" customFormat="1" ht="11.25">
      <c r="B90" s="120" t="s">
        <v>34</v>
      </c>
      <c r="C90" s="121">
        <f t="shared" ref="C90:AA90" si="42">C68</f>
        <v>0</v>
      </c>
      <c r="D90" s="121">
        <f t="shared" si="42"/>
        <v>0</v>
      </c>
      <c r="E90" s="121">
        <f t="shared" si="42"/>
        <v>0</v>
      </c>
      <c r="F90" s="121">
        <f t="shared" si="42"/>
        <v>0</v>
      </c>
      <c r="G90" s="121">
        <f t="shared" si="42"/>
        <v>1</v>
      </c>
      <c r="H90" s="121">
        <f t="shared" si="42"/>
        <v>2</v>
      </c>
      <c r="I90" s="121">
        <f t="shared" si="42"/>
        <v>3</v>
      </c>
      <c r="J90" s="121">
        <f t="shared" si="42"/>
        <v>4</v>
      </c>
      <c r="K90" s="121">
        <f t="shared" si="42"/>
        <v>5</v>
      </c>
      <c r="L90" s="121">
        <f t="shared" si="42"/>
        <v>6</v>
      </c>
      <c r="M90" s="121">
        <f t="shared" si="42"/>
        <v>7</v>
      </c>
      <c r="N90" s="121">
        <f t="shared" si="42"/>
        <v>8</v>
      </c>
      <c r="O90" s="121">
        <f t="shared" si="42"/>
        <v>9</v>
      </c>
      <c r="P90" s="121">
        <f t="shared" si="42"/>
        <v>10</v>
      </c>
      <c r="Q90" s="121">
        <f t="shared" si="42"/>
        <v>11</v>
      </c>
      <c r="R90" s="121">
        <f t="shared" si="42"/>
        <v>12</v>
      </c>
      <c r="S90" s="121">
        <f t="shared" si="42"/>
        <v>13</v>
      </c>
      <c r="T90" s="121">
        <f t="shared" si="42"/>
        <v>14</v>
      </c>
      <c r="U90" s="121">
        <f t="shared" si="42"/>
        <v>15</v>
      </c>
      <c r="V90" s="121">
        <f t="shared" si="42"/>
        <v>16</v>
      </c>
      <c r="W90" s="121">
        <f t="shared" si="42"/>
        <v>17</v>
      </c>
      <c r="X90" s="121">
        <f t="shared" si="42"/>
        <v>18</v>
      </c>
      <c r="Y90" s="121">
        <f t="shared" si="42"/>
        <v>19</v>
      </c>
      <c r="Z90" s="121">
        <f t="shared" si="42"/>
        <v>20</v>
      </c>
      <c r="AA90" s="121">
        <f t="shared" si="42"/>
        <v>21</v>
      </c>
      <c r="AB90" s="121">
        <f>AB68</f>
        <v>22</v>
      </c>
      <c r="AE90" s="131">
        <f>HLOOKUP(0.5,$C$38:$AB$39,1+1)+1</f>
        <v>7</v>
      </c>
    </row>
    <row r="91" spans="2:31" s="117" customFormat="1" ht="11.25">
      <c r="B91" s="143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E91" s="699"/>
    </row>
    <row r="92" spans="2:31" s="117" customFormat="1" ht="11.25">
      <c r="B92" s="143" t="s">
        <v>617</v>
      </c>
      <c r="C92" s="202">
        <f>C83-C93</f>
        <v>0</v>
      </c>
      <c r="D92" s="202">
        <f>D83-D93</f>
        <v>0</v>
      </c>
      <c r="E92" s="202">
        <v>0</v>
      </c>
      <c r="F92" s="202">
        <f>IF(F83=0,0,F83-F93)</f>
        <v>0</v>
      </c>
      <c r="G92" s="202">
        <f t="shared" ref="G92:AB92" si="43">IF(G83=0,0,G83-G93)</f>
        <v>0</v>
      </c>
      <c r="H92" s="202">
        <f t="shared" si="43"/>
        <v>0</v>
      </c>
      <c r="I92" s="202">
        <f t="shared" si="43"/>
        <v>0</v>
      </c>
      <c r="J92" s="202">
        <f t="shared" si="43"/>
        <v>0</v>
      </c>
      <c r="K92" s="202">
        <f t="shared" si="43"/>
        <v>0</v>
      </c>
      <c r="L92" s="202">
        <f t="shared" si="43"/>
        <v>0</v>
      </c>
      <c r="M92" s="202">
        <f t="shared" si="43"/>
        <v>0</v>
      </c>
      <c r="N92" s="202">
        <f t="shared" si="43"/>
        <v>0</v>
      </c>
      <c r="O92" s="202">
        <f t="shared" si="43"/>
        <v>0</v>
      </c>
      <c r="P92" s="202">
        <f t="shared" si="43"/>
        <v>0</v>
      </c>
      <c r="Q92" s="202">
        <f t="shared" si="43"/>
        <v>0</v>
      </c>
      <c r="R92" s="202">
        <f t="shared" si="43"/>
        <v>0</v>
      </c>
      <c r="S92" s="202">
        <f t="shared" si="43"/>
        <v>0</v>
      </c>
      <c r="T92" s="202">
        <f t="shared" si="43"/>
        <v>0</v>
      </c>
      <c r="U92" s="202">
        <f t="shared" si="43"/>
        <v>0</v>
      </c>
      <c r="V92" s="202">
        <f t="shared" si="43"/>
        <v>0</v>
      </c>
      <c r="W92" s="202">
        <f t="shared" si="43"/>
        <v>0</v>
      </c>
      <c r="X92" s="202">
        <f t="shared" si="43"/>
        <v>0</v>
      </c>
      <c r="Y92" s="202">
        <f t="shared" si="43"/>
        <v>0</v>
      </c>
      <c r="Z92" s="202">
        <f t="shared" si="43"/>
        <v>0</v>
      </c>
      <c r="AA92" s="202">
        <f t="shared" si="43"/>
        <v>0</v>
      </c>
      <c r="AB92" s="202">
        <f t="shared" si="43"/>
        <v>0</v>
      </c>
      <c r="AE92" s="699"/>
    </row>
    <row r="93" spans="2:31" s="117" customFormat="1" ht="11.25">
      <c r="B93" s="117" t="s">
        <v>185</v>
      </c>
      <c r="C93" s="123">
        <f>D77+D81-$C58</f>
        <v>0</v>
      </c>
      <c r="D93" s="123">
        <f t="shared" ref="D93:AB93" si="44">E77+E81</f>
        <v>0</v>
      </c>
      <c r="E93" s="123">
        <v>0</v>
      </c>
      <c r="F93" s="123">
        <f t="shared" si="44"/>
        <v>0</v>
      </c>
      <c r="G93" s="123">
        <f t="shared" si="44"/>
        <v>0</v>
      </c>
      <c r="H93" s="123">
        <f t="shared" si="44"/>
        <v>0</v>
      </c>
      <c r="I93" s="123">
        <f t="shared" si="44"/>
        <v>0</v>
      </c>
      <c r="J93" s="123">
        <f t="shared" si="44"/>
        <v>0</v>
      </c>
      <c r="K93" s="123">
        <f t="shared" si="44"/>
        <v>0</v>
      </c>
      <c r="L93" s="123">
        <f t="shared" si="44"/>
        <v>0</v>
      </c>
      <c r="M93" s="123">
        <f t="shared" si="44"/>
        <v>0</v>
      </c>
      <c r="N93" s="123">
        <f t="shared" si="44"/>
        <v>0</v>
      </c>
      <c r="O93" s="123">
        <f t="shared" si="44"/>
        <v>0</v>
      </c>
      <c r="P93" s="123">
        <f t="shared" si="44"/>
        <v>0</v>
      </c>
      <c r="Q93" s="123">
        <f t="shared" si="44"/>
        <v>0</v>
      </c>
      <c r="R93" s="123">
        <f t="shared" si="44"/>
        <v>0</v>
      </c>
      <c r="S93" s="123">
        <f t="shared" si="44"/>
        <v>0</v>
      </c>
      <c r="T93" s="123">
        <f t="shared" si="44"/>
        <v>0</v>
      </c>
      <c r="U93" s="123">
        <f t="shared" si="44"/>
        <v>0</v>
      </c>
      <c r="V93" s="123">
        <f t="shared" si="44"/>
        <v>0</v>
      </c>
      <c r="W93" s="123">
        <f t="shared" si="44"/>
        <v>0</v>
      </c>
      <c r="X93" s="123">
        <f t="shared" si="44"/>
        <v>0</v>
      </c>
      <c r="Y93" s="123">
        <f t="shared" si="44"/>
        <v>0</v>
      </c>
      <c r="Z93" s="123">
        <f t="shared" si="44"/>
        <v>0</v>
      </c>
      <c r="AA93" s="123">
        <f t="shared" si="44"/>
        <v>0</v>
      </c>
      <c r="AB93" s="123">
        <f t="shared" si="44"/>
        <v>0</v>
      </c>
    </row>
    <row r="94" spans="2:31" s="117" customFormat="1" ht="11.25">
      <c r="C94" s="123"/>
    </row>
    <row r="95" spans="2:31" s="117" customFormat="1" ht="11.25"/>
    <row r="96" spans="2:31" s="117" customFormat="1" ht="11.25">
      <c r="C96" s="117" t="s">
        <v>31</v>
      </c>
      <c r="E96" s="123">
        <f>SUM(C87:V87)</f>
        <v>0</v>
      </c>
    </row>
    <row r="97" spans="1:41" s="117" customFormat="1" ht="14.25" customHeight="1">
      <c r="C97" s="129" t="s">
        <v>35</v>
      </c>
      <c r="E97" s="123">
        <f>E96-J55</f>
        <v>0</v>
      </c>
      <c r="F97" s="123"/>
    </row>
    <row r="98" spans="1:41" s="117" customFormat="1" ht="14.25" customHeight="1">
      <c r="C98" s="129"/>
      <c r="E98" s="123"/>
      <c r="F98" s="123"/>
    </row>
    <row r="99" spans="1:41" s="117" customFormat="1" ht="14.25" customHeight="1">
      <c r="C99" s="129"/>
      <c r="E99" s="123"/>
      <c r="F99" s="123"/>
    </row>
    <row r="100" spans="1:41" s="117" customFormat="1" ht="14.25" customHeight="1">
      <c r="C100" s="129"/>
      <c r="E100" s="123"/>
      <c r="F100" s="123"/>
    </row>
    <row r="101" spans="1:41" ht="15.75">
      <c r="A101" s="201"/>
      <c r="B101" s="497" t="s">
        <v>178</v>
      </c>
      <c r="D101" s="202"/>
      <c r="E101" s="202"/>
      <c r="F101" s="202"/>
      <c r="G101" s="202"/>
      <c r="H101" s="202" t="s">
        <v>518</v>
      </c>
      <c r="I101" s="202"/>
      <c r="J101" s="202"/>
      <c r="K101" s="202"/>
      <c r="L101" s="202"/>
      <c r="M101" s="202"/>
      <c r="N101" s="202"/>
      <c r="O101" s="202"/>
      <c r="P101" s="202"/>
      <c r="Q101" s="202"/>
      <c r="R101" s="202"/>
      <c r="S101" s="202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</row>
    <row r="102" spans="1:41">
      <c r="A102" s="201"/>
      <c r="B102" s="143" t="s">
        <v>174</v>
      </c>
      <c r="C102" s="202">
        <v>0</v>
      </c>
      <c r="D102" s="202"/>
      <c r="E102" s="202"/>
      <c r="F102" s="202"/>
      <c r="G102" s="202"/>
      <c r="H102" s="202"/>
      <c r="I102" s="202"/>
      <c r="J102" s="202"/>
      <c r="K102" s="202"/>
      <c r="L102" s="202"/>
      <c r="M102" s="202"/>
      <c r="N102" s="202"/>
      <c r="O102" s="202"/>
      <c r="P102" s="202"/>
      <c r="Q102" s="202"/>
      <c r="R102" s="202"/>
      <c r="S102" s="202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</row>
    <row r="103" spans="1:41" s="391" customFormat="1">
      <c r="A103" s="498"/>
      <c r="B103" s="498"/>
      <c r="C103" s="305">
        <f t="shared" ref="C103:AB103" si="45">C12</f>
        <v>36891</v>
      </c>
      <c r="D103" s="305">
        <f t="shared" si="45"/>
        <v>37256</v>
      </c>
      <c r="E103" s="305">
        <f t="shared" si="45"/>
        <v>37621</v>
      </c>
      <c r="F103" s="305">
        <f t="shared" si="45"/>
        <v>37986</v>
      </c>
      <c r="G103" s="305">
        <f t="shared" si="45"/>
        <v>38352</v>
      </c>
      <c r="H103" s="305">
        <f t="shared" si="45"/>
        <v>38717</v>
      </c>
      <c r="I103" s="305">
        <f t="shared" si="45"/>
        <v>39082</v>
      </c>
      <c r="J103" s="305">
        <f t="shared" si="45"/>
        <v>39447</v>
      </c>
      <c r="K103" s="305">
        <f t="shared" si="45"/>
        <v>39813</v>
      </c>
      <c r="L103" s="305">
        <f t="shared" si="45"/>
        <v>40178</v>
      </c>
      <c r="M103" s="305">
        <f t="shared" si="45"/>
        <v>40543</v>
      </c>
      <c r="N103" s="305">
        <f t="shared" si="45"/>
        <v>40908</v>
      </c>
      <c r="O103" s="305">
        <f t="shared" si="45"/>
        <v>41274</v>
      </c>
      <c r="P103" s="305">
        <f t="shared" si="45"/>
        <v>41639</v>
      </c>
      <c r="Q103" s="305">
        <f t="shared" si="45"/>
        <v>42004</v>
      </c>
      <c r="R103" s="305">
        <f t="shared" si="45"/>
        <v>42369</v>
      </c>
      <c r="S103" s="305">
        <f t="shared" si="45"/>
        <v>42735</v>
      </c>
      <c r="T103" s="305">
        <f t="shared" si="45"/>
        <v>43100</v>
      </c>
      <c r="U103" s="305">
        <f t="shared" si="45"/>
        <v>43465</v>
      </c>
      <c r="V103" s="305">
        <f t="shared" si="45"/>
        <v>43830</v>
      </c>
      <c r="W103" s="305">
        <f t="shared" si="45"/>
        <v>44196</v>
      </c>
      <c r="X103" s="305">
        <f t="shared" si="45"/>
        <v>44561</v>
      </c>
      <c r="Y103" s="305">
        <f t="shared" si="45"/>
        <v>44926</v>
      </c>
      <c r="Z103" s="305">
        <f t="shared" si="45"/>
        <v>45291</v>
      </c>
      <c r="AA103" s="305">
        <f t="shared" si="45"/>
        <v>45657</v>
      </c>
      <c r="AB103" s="305">
        <f t="shared" si="45"/>
        <v>46022</v>
      </c>
      <c r="AE103" s="392"/>
      <c r="AF103" s="392"/>
      <c r="AG103" s="392"/>
      <c r="AH103" s="392"/>
      <c r="AI103" s="392"/>
      <c r="AJ103" s="392"/>
      <c r="AK103" s="392"/>
      <c r="AL103" s="392"/>
      <c r="AM103" s="392"/>
      <c r="AN103" s="392"/>
      <c r="AO103" s="392"/>
    </row>
    <row r="104" spans="1:41">
      <c r="A104" s="201"/>
      <c r="B104" s="143" t="s">
        <v>175</v>
      </c>
      <c r="C104" s="202">
        <f>D24+D28+D75+D79</f>
        <v>8849.8186683413205</v>
      </c>
      <c r="D104" s="202">
        <f t="shared" ref="D104:AB104" si="46">E24+E28+E75+E79</f>
        <v>8610.4965258629036</v>
      </c>
      <c r="E104" s="202">
        <f t="shared" si="46"/>
        <v>8429.1032359776327</v>
      </c>
      <c r="F104" s="202">
        <f t="shared" si="46"/>
        <v>8076.3421169159665</v>
      </c>
      <c r="G104" s="202">
        <f t="shared" si="46"/>
        <v>7718.2429002591616</v>
      </c>
      <c r="H104" s="202">
        <f t="shared" si="46"/>
        <v>7442.1168140649188</v>
      </c>
      <c r="I104" s="202">
        <f t="shared" si="46"/>
        <v>7066.3427603373902</v>
      </c>
      <c r="J104" s="202">
        <f t="shared" si="46"/>
        <v>6689.8196082553177</v>
      </c>
      <c r="K104" s="202">
        <f t="shared" si="46"/>
        <v>6366.0958087900854</v>
      </c>
      <c r="L104" s="202">
        <f t="shared" si="46"/>
        <v>5976.994134816734</v>
      </c>
      <c r="M104" s="202">
        <f t="shared" si="46"/>
        <v>5587.4779052961821</v>
      </c>
      <c r="N104" s="202">
        <f t="shared" si="46"/>
        <v>5216.5149839037567</v>
      </c>
      <c r="O104" s="202">
        <f t="shared" si="46"/>
        <v>4813.3239587563803</v>
      </c>
      <c r="P104" s="202">
        <f t="shared" si="46"/>
        <v>1.9006014779677317E-11</v>
      </c>
      <c r="Q104" s="202">
        <f t="shared" si="46"/>
        <v>0</v>
      </c>
      <c r="R104" s="202">
        <f t="shared" si="46"/>
        <v>0</v>
      </c>
      <c r="S104" s="202">
        <f t="shared" si="46"/>
        <v>0</v>
      </c>
      <c r="T104" s="202">
        <f t="shared" si="46"/>
        <v>0</v>
      </c>
      <c r="U104" s="202">
        <f t="shared" si="46"/>
        <v>0</v>
      </c>
      <c r="V104" s="202">
        <f t="shared" si="46"/>
        <v>0</v>
      </c>
      <c r="W104" s="202" t="e">
        <f t="shared" si="46"/>
        <v>#REF!</v>
      </c>
      <c r="X104" s="202" t="e">
        <f t="shared" si="46"/>
        <v>#REF!</v>
      </c>
      <c r="Y104" s="202" t="e">
        <f t="shared" si="46"/>
        <v>#REF!</v>
      </c>
      <c r="Z104" s="202" t="e">
        <f t="shared" si="46"/>
        <v>#REF!</v>
      </c>
      <c r="AA104" s="202" t="e">
        <f t="shared" si="46"/>
        <v>#REF!</v>
      </c>
      <c r="AB104" s="202">
        <f t="shared" si="46"/>
        <v>0</v>
      </c>
      <c r="AE104" s="202"/>
      <c r="AF104" s="202"/>
      <c r="AG104" s="202"/>
      <c r="AH104" s="202"/>
      <c r="AI104" s="202"/>
      <c r="AJ104" s="202"/>
      <c r="AK104" s="202"/>
      <c r="AL104" s="202"/>
      <c r="AM104" s="202"/>
      <c r="AN104" s="202"/>
      <c r="AO104" s="202"/>
    </row>
    <row r="105" spans="1:41">
      <c r="A105" s="201"/>
      <c r="B105" s="143" t="s">
        <v>179</v>
      </c>
      <c r="C105" s="202">
        <f>C116</f>
        <v>0</v>
      </c>
      <c r="D105" s="202">
        <v>0</v>
      </c>
      <c r="E105" s="202">
        <v>0</v>
      </c>
      <c r="F105" s="202">
        <v>0</v>
      </c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Y105" s="202">
        <v>0</v>
      </c>
      <c r="Z105" s="202">
        <v>0</v>
      </c>
      <c r="AA105" s="202">
        <v>0</v>
      </c>
      <c r="AB105" s="202">
        <v>0</v>
      </c>
      <c r="AE105" s="202"/>
      <c r="AF105" s="202"/>
      <c r="AG105" s="202"/>
      <c r="AH105" s="202"/>
      <c r="AI105" s="202"/>
      <c r="AJ105" s="202"/>
      <c r="AK105" s="202"/>
      <c r="AL105" s="202"/>
      <c r="AM105" s="202"/>
      <c r="AN105" s="202"/>
      <c r="AO105" s="202"/>
    </row>
    <row r="106" spans="1:41">
      <c r="A106" s="201"/>
      <c r="B106" s="143" t="s">
        <v>176</v>
      </c>
      <c r="C106" s="202">
        <v>0</v>
      </c>
      <c r="D106" s="202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</row>
    <row r="107" spans="1:41">
      <c r="A107" s="201"/>
      <c r="B107" s="143" t="s">
        <v>177</v>
      </c>
      <c r="C107" s="202">
        <f>C104*Assumptions!$E$20</f>
        <v>176.99637336682642</v>
      </c>
      <c r="D107" s="202">
        <f>D104*Assumptions!$E$20</f>
        <v>172.20993051725807</v>
      </c>
      <c r="E107" s="202">
        <f>E104*Assumptions!$E$20</f>
        <v>168.58206471955265</v>
      </c>
      <c r="F107" s="202">
        <f>F104*Assumptions!$E$20</f>
        <v>161.52684233831934</v>
      </c>
      <c r="G107" s="202">
        <f>G104*Assumptions!$E$20</f>
        <v>154.36485800518324</v>
      </c>
      <c r="H107" s="202">
        <f>H104*Assumptions!$E$20</f>
        <v>148.84233628129837</v>
      </c>
      <c r="I107" s="202">
        <f>I104*Assumptions!$E$20</f>
        <v>141.32685520674781</v>
      </c>
      <c r="J107" s="202">
        <f>J104*Assumptions!$E$20</f>
        <v>133.79639216510637</v>
      </c>
      <c r="K107" s="202">
        <f>K104*Assumptions!$E$20</f>
        <v>127.3219161758017</v>
      </c>
      <c r="L107" s="202">
        <f>L104*Assumptions!$E$20</f>
        <v>119.53988269633469</v>
      </c>
      <c r="M107" s="202">
        <f>M104*Assumptions!$E$20</f>
        <v>111.74955810592364</v>
      </c>
      <c r="N107" s="202">
        <f>N104*Assumptions!$E$20</f>
        <v>104.33029967807514</v>
      </c>
      <c r="O107" s="202">
        <f>O104*Assumptions!$E$20</f>
        <v>96.266479175127614</v>
      </c>
      <c r="P107" s="202">
        <f>P104*Assumptions!$E$20</f>
        <v>3.8012029559354635E-13</v>
      </c>
      <c r="Q107" s="202">
        <f>Q104*Assumptions!$E$20</f>
        <v>0</v>
      </c>
      <c r="R107" s="202">
        <f>R104*Assumptions!$E$20</f>
        <v>0</v>
      </c>
      <c r="S107" s="202">
        <f>S104*Assumptions!$E$20</f>
        <v>0</v>
      </c>
      <c r="T107" s="202">
        <f>T104*Assumptions!$E$20</f>
        <v>0</v>
      </c>
      <c r="U107" s="202">
        <f>U104*Assumptions!$E$20</f>
        <v>0</v>
      </c>
      <c r="V107" s="202">
        <f>V104*Assumptions!$E$20</f>
        <v>0</v>
      </c>
      <c r="W107" s="202" t="e">
        <f>W104*Assumptions!$E$20</f>
        <v>#REF!</v>
      </c>
      <c r="X107" s="202" t="e">
        <f>X104*Assumptions!$E$20</f>
        <v>#REF!</v>
      </c>
      <c r="Y107" s="202" t="e">
        <f>Y104*Assumptions!$E$20</f>
        <v>#REF!</v>
      </c>
      <c r="Z107" s="202" t="e">
        <f>Z104*Assumptions!$E$20</f>
        <v>#REF!</v>
      </c>
      <c r="AA107" s="202" t="e">
        <f>AA104*Assumptions!$E$20</f>
        <v>#REF!</v>
      </c>
      <c r="AB107" s="202">
        <f>AB104*Assumptions!$E$20</f>
        <v>0</v>
      </c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</row>
    <row r="108" spans="1:41">
      <c r="A108" s="201"/>
      <c r="B108" s="143" t="s">
        <v>180</v>
      </c>
      <c r="C108" s="202">
        <f>C104</f>
        <v>8849.8186683413205</v>
      </c>
      <c r="D108" s="202">
        <f t="shared" ref="D108:AB108" si="47">D104</f>
        <v>8610.4965258629036</v>
      </c>
      <c r="E108" s="202">
        <f t="shared" si="47"/>
        <v>8429.1032359776327</v>
      </c>
      <c r="F108" s="202">
        <f t="shared" si="47"/>
        <v>8076.3421169159665</v>
      </c>
      <c r="G108" s="202">
        <f t="shared" si="47"/>
        <v>7718.2429002591616</v>
      </c>
      <c r="H108" s="202">
        <f t="shared" si="47"/>
        <v>7442.1168140649188</v>
      </c>
      <c r="I108" s="202">
        <f t="shared" si="47"/>
        <v>7066.3427603373902</v>
      </c>
      <c r="J108" s="202">
        <f t="shared" si="47"/>
        <v>6689.8196082553177</v>
      </c>
      <c r="K108" s="202">
        <f t="shared" si="47"/>
        <v>6366.0958087900854</v>
      </c>
      <c r="L108" s="202">
        <f t="shared" si="47"/>
        <v>5976.994134816734</v>
      </c>
      <c r="M108" s="202">
        <f t="shared" si="47"/>
        <v>5587.4779052961821</v>
      </c>
      <c r="N108" s="202">
        <f t="shared" si="47"/>
        <v>5216.5149839037567</v>
      </c>
      <c r="O108" s="202">
        <f t="shared" si="47"/>
        <v>4813.3239587563803</v>
      </c>
      <c r="P108" s="202">
        <f t="shared" si="47"/>
        <v>1.9006014779677317E-11</v>
      </c>
      <c r="Q108" s="202">
        <f t="shared" si="47"/>
        <v>0</v>
      </c>
      <c r="R108" s="202">
        <f t="shared" si="47"/>
        <v>0</v>
      </c>
      <c r="S108" s="202">
        <f t="shared" si="47"/>
        <v>0</v>
      </c>
      <c r="T108" s="202">
        <f t="shared" si="47"/>
        <v>0</v>
      </c>
      <c r="U108" s="202">
        <f t="shared" si="47"/>
        <v>0</v>
      </c>
      <c r="V108" s="202">
        <f t="shared" si="47"/>
        <v>0</v>
      </c>
      <c r="W108" s="202" t="e">
        <f t="shared" si="47"/>
        <v>#REF!</v>
      </c>
      <c r="X108" s="202" t="e">
        <f t="shared" si="47"/>
        <v>#REF!</v>
      </c>
      <c r="Y108" s="202" t="e">
        <f t="shared" si="47"/>
        <v>#REF!</v>
      </c>
      <c r="Z108" s="202" t="e">
        <f t="shared" si="47"/>
        <v>#REF!</v>
      </c>
      <c r="AA108" s="202" t="e">
        <f t="shared" si="47"/>
        <v>#REF!</v>
      </c>
      <c r="AB108" s="202">
        <f t="shared" si="47"/>
        <v>0</v>
      </c>
      <c r="AE108" s="202"/>
      <c r="AF108" s="202"/>
      <c r="AG108" s="202"/>
      <c r="AH108" s="202"/>
      <c r="AI108" s="202"/>
      <c r="AJ108" s="202"/>
      <c r="AK108" s="202"/>
      <c r="AL108" s="202"/>
      <c r="AM108" s="202"/>
      <c r="AN108" s="202"/>
      <c r="AO108" s="202"/>
    </row>
    <row r="109" spans="1:41">
      <c r="A109" s="201"/>
      <c r="B109" s="143"/>
      <c r="C109" s="202"/>
      <c r="D109" s="202"/>
      <c r="E109" s="202"/>
      <c r="F109" s="202"/>
      <c r="G109" s="202"/>
      <c r="H109" s="202"/>
      <c r="I109" s="202"/>
      <c r="J109" s="202"/>
      <c r="K109" s="202"/>
      <c r="L109" s="202"/>
      <c r="M109" s="202"/>
      <c r="N109" s="202"/>
      <c r="O109" s="202"/>
      <c r="P109" s="202"/>
      <c r="Q109" s="202"/>
      <c r="R109" s="202"/>
      <c r="S109" s="202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</row>
    <row r="110" spans="1:41">
      <c r="A110" s="201"/>
      <c r="B110" s="201"/>
    </row>
    <row r="111" spans="1:41">
      <c r="A111" s="201"/>
      <c r="B111" s="201"/>
      <c r="D111" s="202"/>
      <c r="E111" s="202"/>
      <c r="F111" s="202"/>
      <c r="G111" s="202"/>
      <c r="H111" s="202"/>
      <c r="I111" s="202"/>
    </row>
    <row r="112" spans="1:41">
      <c r="A112" s="201"/>
      <c r="B112" s="143" t="s">
        <v>175</v>
      </c>
      <c r="C112" s="202">
        <f>C24</f>
        <v>0</v>
      </c>
      <c r="D112" s="202"/>
      <c r="E112" s="202"/>
      <c r="F112" s="202"/>
      <c r="G112" s="202"/>
      <c r="H112" s="202"/>
      <c r="I112" s="202"/>
      <c r="J112" s="202"/>
      <c r="K112" s="202"/>
      <c r="L112" s="202"/>
      <c r="M112" s="202"/>
      <c r="N112" s="202"/>
      <c r="O112" s="202"/>
      <c r="P112" s="202"/>
      <c r="Q112" s="202"/>
      <c r="R112" s="202"/>
      <c r="S112" s="202"/>
      <c r="T112" s="202"/>
      <c r="U112" s="202"/>
      <c r="V112" s="202"/>
      <c r="W112" s="202"/>
      <c r="X112" s="202"/>
      <c r="Y112" s="202"/>
      <c r="Z112" s="202"/>
      <c r="AA112" s="202"/>
      <c r="AB112" s="202"/>
      <c r="AC112" s="202"/>
    </row>
    <row r="113" spans="1:41">
      <c r="A113" s="201"/>
      <c r="B113" s="143" t="s">
        <v>181</v>
      </c>
      <c r="C113" s="202">
        <f>C102</f>
        <v>0</v>
      </c>
      <c r="D113" s="202"/>
      <c r="E113" s="202"/>
      <c r="F113" s="202"/>
      <c r="G113" s="202"/>
      <c r="H113" s="202"/>
      <c r="I113" s="202"/>
      <c r="J113" s="202"/>
      <c r="K113" s="202"/>
      <c r="L113" s="202"/>
      <c r="M113" s="202"/>
      <c r="N113" s="202"/>
      <c r="O113" s="202"/>
      <c r="P113" s="202"/>
      <c r="Q113" s="202"/>
      <c r="R113" s="202"/>
      <c r="S113" s="202"/>
      <c r="T113" s="202"/>
      <c r="U113" s="202"/>
      <c r="V113" s="202"/>
    </row>
    <row r="114" spans="1:41">
      <c r="A114" s="201"/>
      <c r="B114" s="143" t="s">
        <v>176</v>
      </c>
      <c r="C114" s="202">
        <f>C112-C113</f>
        <v>0</v>
      </c>
      <c r="D114" s="202"/>
      <c r="E114" s="202"/>
      <c r="F114" s="202"/>
      <c r="G114" s="202"/>
      <c r="H114" s="202"/>
      <c r="I114" s="202"/>
      <c r="J114" s="202"/>
      <c r="K114" s="202"/>
      <c r="L114" s="202"/>
      <c r="M114" s="202"/>
      <c r="N114" s="202"/>
      <c r="O114" s="202"/>
      <c r="P114" s="202"/>
      <c r="Q114" s="202"/>
      <c r="R114" s="202"/>
      <c r="S114" s="202"/>
      <c r="T114" s="202"/>
      <c r="U114" s="202"/>
      <c r="V114" s="202"/>
      <c r="W114" s="202"/>
      <c r="X114" s="202"/>
      <c r="Y114" s="202"/>
      <c r="Z114" s="202"/>
      <c r="AA114" s="202"/>
      <c r="AB114" s="202"/>
      <c r="AC114" s="202"/>
    </row>
    <row r="115" spans="1:41">
      <c r="A115" s="201"/>
      <c r="B115" s="143" t="s">
        <v>177</v>
      </c>
      <c r="C115" s="202"/>
      <c r="D115" s="202"/>
      <c r="E115" s="202"/>
      <c r="F115" s="202"/>
      <c r="G115" s="202"/>
      <c r="H115" s="202"/>
      <c r="I115" s="202"/>
    </row>
    <row r="116" spans="1:41">
      <c r="A116" s="201"/>
      <c r="B116" s="143" t="s">
        <v>182</v>
      </c>
      <c r="C116" s="202">
        <f>C112</f>
        <v>0</v>
      </c>
      <c r="D116" s="202"/>
      <c r="E116" s="202"/>
      <c r="F116" s="202"/>
      <c r="G116" s="202"/>
      <c r="H116" s="202"/>
      <c r="I116" s="202"/>
      <c r="J116" s="202"/>
      <c r="K116" s="202"/>
      <c r="L116" s="202"/>
      <c r="M116" s="202"/>
      <c r="N116" s="202"/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202"/>
    </row>
    <row r="117" spans="1:41">
      <c r="A117" s="201"/>
      <c r="B117" s="201"/>
      <c r="C117" s="201"/>
      <c r="D117" s="202"/>
      <c r="E117" s="202"/>
      <c r="F117" s="202"/>
      <c r="G117" s="202"/>
      <c r="H117" s="202"/>
      <c r="I117" s="202"/>
    </row>
    <row r="118" spans="1:41">
      <c r="A118" s="201"/>
      <c r="B118" s="143" t="s">
        <v>183</v>
      </c>
      <c r="C118" s="202" t="e">
        <f>#REF!+C114</f>
        <v>#REF!</v>
      </c>
      <c r="D118" s="202"/>
      <c r="E118" s="202"/>
      <c r="F118" s="202"/>
      <c r="G118" s="202"/>
      <c r="H118" s="202"/>
      <c r="I118" s="202"/>
      <c r="J118" s="202"/>
      <c r="K118" s="202"/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</row>
    <row r="119" spans="1:41">
      <c r="A119" s="201"/>
      <c r="B119" s="201"/>
    </row>
    <row r="120" spans="1:41">
      <c r="A120" s="201"/>
      <c r="B120" s="201"/>
    </row>
    <row r="121" spans="1:41" ht="15.75">
      <c r="A121" s="201"/>
      <c r="B121" s="499" t="s">
        <v>237</v>
      </c>
    </row>
    <row r="122" spans="1:41" s="391" customFormat="1">
      <c r="A122" s="498"/>
      <c r="B122" s="498"/>
      <c r="C122" s="305">
        <f t="shared" ref="C122:AB122" si="48">C12</f>
        <v>36891</v>
      </c>
      <c r="D122" s="305">
        <f t="shared" si="48"/>
        <v>37256</v>
      </c>
      <c r="E122" s="305">
        <f t="shared" si="48"/>
        <v>37621</v>
      </c>
      <c r="F122" s="305">
        <f t="shared" si="48"/>
        <v>37986</v>
      </c>
      <c r="G122" s="305">
        <f t="shared" si="48"/>
        <v>38352</v>
      </c>
      <c r="H122" s="305">
        <f t="shared" si="48"/>
        <v>38717</v>
      </c>
      <c r="I122" s="305">
        <f t="shared" si="48"/>
        <v>39082</v>
      </c>
      <c r="J122" s="305">
        <f t="shared" si="48"/>
        <v>39447</v>
      </c>
      <c r="K122" s="305">
        <f t="shared" si="48"/>
        <v>39813</v>
      </c>
      <c r="L122" s="305">
        <f t="shared" si="48"/>
        <v>40178</v>
      </c>
      <c r="M122" s="305">
        <f t="shared" si="48"/>
        <v>40543</v>
      </c>
      <c r="N122" s="305">
        <f t="shared" si="48"/>
        <v>40908</v>
      </c>
      <c r="O122" s="305">
        <f t="shared" si="48"/>
        <v>41274</v>
      </c>
      <c r="P122" s="305">
        <f t="shared" si="48"/>
        <v>41639</v>
      </c>
      <c r="Q122" s="305">
        <f t="shared" si="48"/>
        <v>42004</v>
      </c>
      <c r="R122" s="305">
        <f t="shared" si="48"/>
        <v>42369</v>
      </c>
      <c r="S122" s="305">
        <f t="shared" si="48"/>
        <v>42735</v>
      </c>
      <c r="T122" s="305">
        <f t="shared" si="48"/>
        <v>43100</v>
      </c>
      <c r="U122" s="305">
        <f t="shared" si="48"/>
        <v>43465</v>
      </c>
      <c r="V122" s="305">
        <f t="shared" si="48"/>
        <v>43830</v>
      </c>
      <c r="W122" s="305">
        <f t="shared" si="48"/>
        <v>44196</v>
      </c>
      <c r="X122" s="305">
        <f t="shared" si="48"/>
        <v>44561</v>
      </c>
      <c r="Y122" s="305">
        <f t="shared" si="48"/>
        <v>44926</v>
      </c>
      <c r="Z122" s="305">
        <f t="shared" si="48"/>
        <v>45291</v>
      </c>
      <c r="AA122" s="305">
        <f t="shared" si="48"/>
        <v>45657</v>
      </c>
      <c r="AB122" s="305">
        <f t="shared" si="48"/>
        <v>46022</v>
      </c>
      <c r="AE122" s="392"/>
      <c r="AF122" s="392"/>
      <c r="AG122" s="392"/>
      <c r="AH122" s="392"/>
      <c r="AI122" s="392"/>
      <c r="AJ122" s="392"/>
      <c r="AK122" s="392"/>
      <c r="AL122" s="392"/>
      <c r="AM122" s="392"/>
      <c r="AN122" s="392"/>
      <c r="AO122" s="392"/>
    </row>
    <row r="123" spans="1:41">
      <c r="A123" s="201"/>
      <c r="B123" s="143" t="s">
        <v>248</v>
      </c>
      <c r="C123" s="302">
        <f t="shared" ref="C123:AB123" si="49">AVERAGE(C18:C19)</f>
        <v>5.5046114379539463E-2</v>
      </c>
      <c r="D123" s="302">
        <f t="shared" si="49"/>
        <v>6.0480678971799068E-2</v>
      </c>
      <c r="E123" s="302">
        <f t="shared" si="49"/>
        <v>6.2379413123678715E-2</v>
      </c>
      <c r="F123" s="302">
        <f t="shared" si="49"/>
        <v>6.3331059025812639E-2</v>
      </c>
      <c r="G123" s="302">
        <f t="shared" si="49"/>
        <v>6.3598501766367249E-2</v>
      </c>
      <c r="H123" s="302">
        <f t="shared" si="49"/>
        <v>6.3791931199403934E-2</v>
      </c>
      <c r="I123" s="302">
        <f t="shared" si="49"/>
        <v>6.3881285435280238E-2</v>
      </c>
      <c r="J123" s="302">
        <f t="shared" si="49"/>
        <v>6.396487482156317E-2</v>
      </c>
      <c r="K123" s="302">
        <f t="shared" si="49"/>
        <v>6.4048655053519463E-2</v>
      </c>
      <c r="L123" s="302">
        <f t="shared" si="49"/>
        <v>6.4132282613113545E-2</v>
      </c>
      <c r="M123" s="302">
        <f t="shared" si="49"/>
        <v>6.4229061650531077E-2</v>
      </c>
      <c r="N123" s="302">
        <f t="shared" si="49"/>
        <v>6.4361997903330831E-2</v>
      </c>
      <c r="O123" s="302">
        <f t="shared" si="49"/>
        <v>6.4497247072711122E-2</v>
      </c>
      <c r="P123" s="302">
        <f t="shared" si="49"/>
        <v>6.4632249780402648E-2</v>
      </c>
      <c r="Q123" s="302">
        <f t="shared" si="49"/>
        <v>6.4767190877196706E-2</v>
      </c>
      <c r="R123" s="302">
        <f t="shared" si="49"/>
        <v>6.484439101650008E-2</v>
      </c>
      <c r="S123" s="302">
        <f t="shared" si="49"/>
        <v>6.4766205763091722E-2</v>
      </c>
      <c r="T123" s="302">
        <f t="shared" si="49"/>
        <v>6.4679842870958154E-2</v>
      </c>
      <c r="U123" s="302">
        <f t="shared" si="49"/>
        <v>6.459351939840785E-2</v>
      </c>
      <c r="V123" s="302">
        <f t="shared" si="49"/>
        <v>6.4507195928327987E-2</v>
      </c>
      <c r="W123" s="302">
        <f t="shared" si="49"/>
        <v>6.4380133487805108E-2</v>
      </c>
      <c r="X123" s="302">
        <f t="shared" si="49"/>
        <v>6.4144265753656823E-2</v>
      </c>
      <c r="Y123" s="302">
        <f t="shared" si="49"/>
        <v>6.3902584952347963E-2</v>
      </c>
      <c r="Z123" s="302">
        <f t="shared" si="49"/>
        <v>6.3660904170409621E-2</v>
      </c>
      <c r="AA123" s="302">
        <f t="shared" si="49"/>
        <v>6.3418671625307274E-2</v>
      </c>
      <c r="AB123" s="302">
        <f t="shared" si="49"/>
        <v>6.3176880525658299E-2</v>
      </c>
    </row>
    <row r="124" spans="1:41">
      <c r="A124" s="201"/>
      <c r="B124" s="143" t="s">
        <v>249</v>
      </c>
      <c r="C124" s="303">
        <v>-2.5000000000000001E-3</v>
      </c>
      <c r="D124" s="303">
        <v>2.5000000000000001E-3</v>
      </c>
      <c r="E124" s="303">
        <v>2.5000000000000001E-3</v>
      </c>
      <c r="F124" s="303">
        <v>2.5000000000000001E-3</v>
      </c>
      <c r="G124" s="303">
        <v>2.5000000000000001E-3</v>
      </c>
      <c r="H124" s="303">
        <v>2.5000000000000001E-3</v>
      </c>
      <c r="I124" s="303">
        <v>2.5000000000000001E-3</v>
      </c>
      <c r="J124" s="303">
        <v>2.5000000000000001E-3</v>
      </c>
      <c r="K124" s="303">
        <v>2.5000000000000001E-3</v>
      </c>
      <c r="L124" s="303">
        <v>2.5000000000000001E-3</v>
      </c>
      <c r="M124" s="303">
        <v>2.5000000000000001E-3</v>
      </c>
      <c r="N124" s="303">
        <v>2.5000000000000001E-3</v>
      </c>
      <c r="O124" s="303">
        <v>2.5000000000000001E-3</v>
      </c>
      <c r="P124" s="303">
        <v>2.5000000000000001E-3</v>
      </c>
      <c r="Q124" s="303">
        <v>2.5000000000000001E-3</v>
      </c>
      <c r="R124" s="303">
        <v>2.5000000000000001E-3</v>
      </c>
      <c r="S124" s="303">
        <v>2.5000000000000001E-3</v>
      </c>
      <c r="T124" s="303">
        <v>2.5000000000000001E-3</v>
      </c>
      <c r="U124" s="303">
        <v>2.5000000000000001E-3</v>
      </c>
      <c r="V124" s="303">
        <v>2.5000000000000001E-3</v>
      </c>
      <c r="W124" s="303">
        <v>2.5000000000000001E-3</v>
      </c>
      <c r="X124" s="303">
        <v>2.5000000000000001E-3</v>
      </c>
      <c r="Y124" s="303">
        <v>2.5000000000000001E-3</v>
      </c>
      <c r="Z124" s="303">
        <v>2.5000000000000001E-3</v>
      </c>
      <c r="AA124" s="303">
        <v>2.5000000000000001E-3</v>
      </c>
      <c r="AB124" s="303">
        <v>2.5000000000000001E-3</v>
      </c>
    </row>
    <row r="125" spans="1:41">
      <c r="A125" s="201"/>
      <c r="B125" s="201"/>
      <c r="C125" s="302">
        <f>SUM(C123:C124)</f>
        <v>5.254611437953946E-2</v>
      </c>
      <c r="D125" s="302">
        <f t="shared" ref="D125:AB125" si="50">SUM(D123:D124)</f>
        <v>6.298067897179907E-2</v>
      </c>
      <c r="E125" s="302">
        <f t="shared" si="50"/>
        <v>6.4879413123678717E-2</v>
      </c>
      <c r="F125" s="302">
        <f t="shared" si="50"/>
        <v>6.5831059025812641E-2</v>
      </c>
      <c r="G125" s="302">
        <f t="shared" si="50"/>
        <v>6.6098501766367251E-2</v>
      </c>
      <c r="H125" s="302">
        <f t="shared" si="50"/>
        <v>6.6291931199403936E-2</v>
      </c>
      <c r="I125" s="302">
        <f t="shared" si="50"/>
        <v>6.6381285435280241E-2</v>
      </c>
      <c r="J125" s="302">
        <f t="shared" si="50"/>
        <v>6.6464874821563172E-2</v>
      </c>
      <c r="K125" s="302">
        <f t="shared" si="50"/>
        <v>6.6548655053519465E-2</v>
      </c>
      <c r="L125" s="302">
        <f t="shared" si="50"/>
        <v>6.6632282613113547E-2</v>
      </c>
      <c r="M125" s="302">
        <f t="shared" si="50"/>
        <v>6.672906165053108E-2</v>
      </c>
      <c r="N125" s="302">
        <f t="shared" si="50"/>
        <v>6.6861997903330833E-2</v>
      </c>
      <c r="O125" s="302">
        <f t="shared" si="50"/>
        <v>6.6997247072711125E-2</v>
      </c>
      <c r="P125" s="302">
        <f t="shared" si="50"/>
        <v>6.713224978040265E-2</v>
      </c>
      <c r="Q125" s="302">
        <f t="shared" si="50"/>
        <v>6.7267190877196709E-2</v>
      </c>
      <c r="R125" s="302">
        <f t="shared" si="50"/>
        <v>6.7344391016500083E-2</v>
      </c>
      <c r="S125" s="302">
        <f t="shared" si="50"/>
        <v>6.7266205763091724E-2</v>
      </c>
      <c r="T125" s="302">
        <f t="shared" si="50"/>
        <v>6.7179842870958156E-2</v>
      </c>
      <c r="U125" s="302">
        <f t="shared" si="50"/>
        <v>6.7093519398407853E-2</v>
      </c>
      <c r="V125" s="302">
        <f t="shared" si="50"/>
        <v>6.7007195928327989E-2</v>
      </c>
      <c r="W125" s="302">
        <f t="shared" si="50"/>
        <v>6.688013348780511E-2</v>
      </c>
      <c r="X125" s="302">
        <f t="shared" si="50"/>
        <v>6.6644265753656826E-2</v>
      </c>
      <c r="Y125" s="302">
        <f t="shared" si="50"/>
        <v>6.6402584952347965E-2</v>
      </c>
      <c r="Z125" s="302">
        <f t="shared" si="50"/>
        <v>6.6160904170409623E-2</v>
      </c>
      <c r="AA125" s="302">
        <f t="shared" si="50"/>
        <v>6.5918671625307276E-2</v>
      </c>
      <c r="AB125" s="302">
        <f t="shared" si="50"/>
        <v>6.5676880525658302E-2</v>
      </c>
    </row>
    <row r="126" spans="1:41">
      <c r="A126" s="201"/>
      <c r="B126" s="201"/>
    </row>
    <row r="127" spans="1:41">
      <c r="A127" s="201"/>
      <c r="B127" s="143" t="s">
        <v>216</v>
      </c>
      <c r="C127" s="11">
        <v>0</v>
      </c>
      <c r="D127" s="202">
        <f>C129</f>
        <v>0</v>
      </c>
      <c r="E127" s="202">
        <f t="shared" ref="E127:AB127" si="51">D129</f>
        <v>0</v>
      </c>
      <c r="F127" s="202">
        <f t="shared" si="51"/>
        <v>0</v>
      </c>
      <c r="G127" s="202">
        <f t="shared" si="51"/>
        <v>0</v>
      </c>
      <c r="H127" s="202">
        <f t="shared" si="51"/>
        <v>0</v>
      </c>
      <c r="I127" s="202">
        <f t="shared" si="51"/>
        <v>0</v>
      </c>
      <c r="J127" s="202">
        <f t="shared" si="51"/>
        <v>0</v>
      </c>
      <c r="K127" s="202">
        <f t="shared" si="51"/>
        <v>0</v>
      </c>
      <c r="L127" s="202">
        <f t="shared" si="51"/>
        <v>0</v>
      </c>
      <c r="M127" s="202">
        <f t="shared" si="51"/>
        <v>0</v>
      </c>
      <c r="N127" s="202">
        <f t="shared" si="51"/>
        <v>0</v>
      </c>
      <c r="O127" s="202">
        <f t="shared" si="51"/>
        <v>0</v>
      </c>
      <c r="P127" s="202">
        <f t="shared" si="51"/>
        <v>0</v>
      </c>
      <c r="Q127" s="202">
        <f t="shared" si="51"/>
        <v>0</v>
      </c>
      <c r="R127" s="202">
        <f t="shared" si="51"/>
        <v>0</v>
      </c>
      <c r="S127" s="202">
        <f t="shared" si="51"/>
        <v>0</v>
      </c>
      <c r="T127" s="202">
        <f t="shared" si="51"/>
        <v>73.492101139898978</v>
      </c>
      <c r="U127" s="202">
        <f t="shared" si="51"/>
        <v>74.126194322586528</v>
      </c>
      <c r="V127" s="202">
        <f t="shared" si="51"/>
        <v>60.338400576162073</v>
      </c>
      <c r="W127" s="202" t="e">
        <f t="shared" si="51"/>
        <v>#DIV/0!</v>
      </c>
      <c r="X127" s="202" t="e">
        <f t="shared" si="51"/>
        <v>#DIV/0!</v>
      </c>
      <c r="Y127" s="202" t="e">
        <f t="shared" si="51"/>
        <v>#DIV/0!</v>
      </c>
      <c r="Z127" s="202" t="e">
        <f t="shared" si="51"/>
        <v>#DIV/0!</v>
      </c>
      <c r="AA127" s="202" t="e">
        <f t="shared" si="51"/>
        <v>#DIV/0!</v>
      </c>
      <c r="AB127" s="202" t="e">
        <f t="shared" si="51"/>
        <v>#DIV/0!</v>
      </c>
    </row>
    <row r="128" spans="1:41">
      <c r="A128" s="201"/>
      <c r="B128" s="143" t="s">
        <v>241</v>
      </c>
      <c r="C128" s="202">
        <f>'WC '!C19</f>
        <v>0</v>
      </c>
      <c r="D128" s="202">
        <f>'WC '!D19-'WC '!C19</f>
        <v>0</v>
      </c>
      <c r="E128" s="202">
        <f>'WC '!E19-'WC '!D19</f>
        <v>0</v>
      </c>
      <c r="F128" s="202">
        <f>'WC '!F19-'WC '!E19</f>
        <v>0</v>
      </c>
      <c r="G128" s="202">
        <f>'WC '!G19-'WC '!F19</f>
        <v>0</v>
      </c>
      <c r="H128" s="202">
        <f>'WC '!H19-'WC '!G19</f>
        <v>0</v>
      </c>
      <c r="I128" s="202">
        <f>'WC '!I19-'WC '!H19</f>
        <v>0</v>
      </c>
      <c r="J128" s="202">
        <f>'WC '!J19-'WC '!I19</f>
        <v>0</v>
      </c>
      <c r="K128" s="202">
        <f>'WC '!K19-'WC '!J19</f>
        <v>0</v>
      </c>
      <c r="L128" s="202">
        <f>'WC '!L19-'WC '!K19</f>
        <v>0</v>
      </c>
      <c r="M128" s="202">
        <f>'WC '!M19-'WC '!L19</f>
        <v>0</v>
      </c>
      <c r="N128" s="202">
        <f>'WC '!N19-'WC '!M19</f>
        <v>0</v>
      </c>
      <c r="O128" s="202">
        <f>'WC '!O19-'WC '!N19</f>
        <v>0</v>
      </c>
      <c r="P128" s="202">
        <f>'WC '!P19-'WC '!O19</f>
        <v>0</v>
      </c>
      <c r="Q128" s="202">
        <f>'WC '!Q19-'WC '!P19</f>
        <v>0</v>
      </c>
      <c r="R128" s="202">
        <f>'WC '!R19-'WC '!Q19</f>
        <v>0</v>
      </c>
      <c r="S128" s="202">
        <f>'WC '!S19-'WC '!R19</f>
        <v>73.492101139898978</v>
      </c>
      <c r="T128" s="202">
        <f>'WC '!T19-'WC '!S19</f>
        <v>0.63409318268755044</v>
      </c>
      <c r="U128" s="202">
        <f>'WC '!U19-'WC '!T19</f>
        <v>-13.787793746424455</v>
      </c>
      <c r="V128" s="202" t="e">
        <f>'WC '!V19-'WC '!U19</f>
        <v>#DIV/0!</v>
      </c>
      <c r="W128" s="202" t="e">
        <f>'WC '!W19-'WC '!V19</f>
        <v>#DIV/0!</v>
      </c>
      <c r="X128" s="202" t="e">
        <f>'WC '!X19-'WC '!W19</f>
        <v>#DIV/0!</v>
      </c>
      <c r="Y128" s="202">
        <f>'WC '!Y19-'WC '!X19</f>
        <v>0</v>
      </c>
      <c r="Z128" s="202">
        <f>'WC '!Z19-'WC '!Y19</f>
        <v>0</v>
      </c>
      <c r="AA128" s="202">
        <f>'WC '!AA19-'WC '!Z19</f>
        <v>0</v>
      </c>
      <c r="AB128" s="202">
        <f>'WC '!AB19-'WC '!AA19</f>
        <v>0</v>
      </c>
    </row>
    <row r="129" spans="1:41">
      <c r="A129" s="201"/>
      <c r="B129" s="143" t="s">
        <v>218</v>
      </c>
      <c r="C129" s="202">
        <f>C127+C128</f>
        <v>0</v>
      </c>
      <c r="D129" s="202">
        <f>SUM(D127:D128)</f>
        <v>0</v>
      </c>
      <c r="E129" s="202">
        <f t="shared" ref="E129:AB129" si="52">SUM(E127:E128)</f>
        <v>0</v>
      </c>
      <c r="F129" s="202">
        <f t="shared" si="52"/>
        <v>0</v>
      </c>
      <c r="G129" s="202">
        <f t="shared" si="52"/>
        <v>0</v>
      </c>
      <c r="H129" s="202">
        <f t="shared" si="52"/>
        <v>0</v>
      </c>
      <c r="I129" s="202">
        <f t="shared" si="52"/>
        <v>0</v>
      </c>
      <c r="J129" s="202">
        <f t="shared" si="52"/>
        <v>0</v>
      </c>
      <c r="K129" s="202">
        <f t="shared" si="52"/>
        <v>0</v>
      </c>
      <c r="L129" s="202">
        <f t="shared" si="52"/>
        <v>0</v>
      </c>
      <c r="M129" s="202">
        <f t="shared" si="52"/>
        <v>0</v>
      </c>
      <c r="N129" s="202">
        <f t="shared" si="52"/>
        <v>0</v>
      </c>
      <c r="O129" s="202">
        <f t="shared" si="52"/>
        <v>0</v>
      </c>
      <c r="P129" s="202">
        <f t="shared" si="52"/>
        <v>0</v>
      </c>
      <c r="Q129" s="202">
        <f t="shared" si="52"/>
        <v>0</v>
      </c>
      <c r="R129" s="202">
        <f t="shared" si="52"/>
        <v>0</v>
      </c>
      <c r="S129" s="202">
        <f t="shared" si="52"/>
        <v>73.492101139898978</v>
      </c>
      <c r="T129" s="202">
        <f t="shared" si="52"/>
        <v>74.126194322586528</v>
      </c>
      <c r="U129" s="202">
        <f t="shared" si="52"/>
        <v>60.338400576162073</v>
      </c>
      <c r="V129" s="202" t="e">
        <f t="shared" si="52"/>
        <v>#DIV/0!</v>
      </c>
      <c r="W129" s="202" t="e">
        <f t="shared" si="52"/>
        <v>#DIV/0!</v>
      </c>
      <c r="X129" s="202" t="e">
        <f t="shared" si="52"/>
        <v>#DIV/0!</v>
      </c>
      <c r="Y129" s="202" t="e">
        <f t="shared" si="52"/>
        <v>#DIV/0!</v>
      </c>
      <c r="Z129" s="202" t="e">
        <f t="shared" si="52"/>
        <v>#DIV/0!</v>
      </c>
      <c r="AA129" s="202" t="e">
        <f t="shared" si="52"/>
        <v>#DIV/0!</v>
      </c>
      <c r="AB129" s="202" t="e">
        <f t="shared" si="52"/>
        <v>#DIV/0!</v>
      </c>
    </row>
    <row r="130" spans="1:41">
      <c r="A130" s="201"/>
      <c r="B130" s="143" t="s">
        <v>482</v>
      </c>
      <c r="C130" s="202">
        <f t="shared" ref="C130:AB130" si="53">C129*C125</f>
        <v>0</v>
      </c>
      <c r="D130" s="202">
        <f t="shared" si="53"/>
        <v>0</v>
      </c>
      <c r="E130" s="202">
        <f t="shared" si="53"/>
        <v>0</v>
      </c>
      <c r="F130" s="202">
        <f t="shared" si="53"/>
        <v>0</v>
      </c>
      <c r="G130" s="202">
        <f t="shared" si="53"/>
        <v>0</v>
      </c>
      <c r="H130" s="202">
        <f t="shared" si="53"/>
        <v>0</v>
      </c>
      <c r="I130" s="202">
        <f t="shared" si="53"/>
        <v>0</v>
      </c>
      <c r="J130" s="202">
        <f t="shared" si="53"/>
        <v>0</v>
      </c>
      <c r="K130" s="202">
        <f t="shared" si="53"/>
        <v>0</v>
      </c>
      <c r="L130" s="202">
        <f t="shared" si="53"/>
        <v>0</v>
      </c>
      <c r="M130" s="202">
        <f t="shared" si="53"/>
        <v>0</v>
      </c>
      <c r="N130" s="202">
        <f t="shared" si="53"/>
        <v>0</v>
      </c>
      <c r="O130" s="202">
        <f t="shared" si="53"/>
        <v>0</v>
      </c>
      <c r="P130" s="202">
        <f t="shared" si="53"/>
        <v>0</v>
      </c>
      <c r="Q130" s="202">
        <f t="shared" si="53"/>
        <v>0</v>
      </c>
      <c r="R130" s="202">
        <f t="shared" si="53"/>
        <v>0</v>
      </c>
      <c r="S130" s="202">
        <f t="shared" si="53"/>
        <v>4.9435347972383923</v>
      </c>
      <c r="T130" s="202">
        <f t="shared" si="53"/>
        <v>4.9797860872134736</v>
      </c>
      <c r="U130" s="202">
        <f t="shared" si="53"/>
        <v>4.0483156495256338</v>
      </c>
      <c r="V130" s="202" t="e">
        <f t="shared" si="53"/>
        <v>#DIV/0!</v>
      </c>
      <c r="W130" s="202" t="e">
        <f t="shared" si="53"/>
        <v>#DIV/0!</v>
      </c>
      <c r="X130" s="202" t="e">
        <f t="shared" si="53"/>
        <v>#DIV/0!</v>
      </c>
      <c r="Y130" s="202" t="e">
        <f t="shared" si="53"/>
        <v>#DIV/0!</v>
      </c>
      <c r="Z130" s="202" t="e">
        <f t="shared" si="53"/>
        <v>#DIV/0!</v>
      </c>
      <c r="AA130" s="202" t="e">
        <f t="shared" si="53"/>
        <v>#DIV/0!</v>
      </c>
      <c r="AB130" s="202" t="e">
        <f t="shared" si="53"/>
        <v>#DIV/0!</v>
      </c>
    </row>
    <row r="131" spans="1:41">
      <c r="A131" s="201"/>
      <c r="B131" s="201"/>
    </row>
    <row r="132" spans="1:41">
      <c r="A132" s="201"/>
      <c r="B132" s="201"/>
    </row>
    <row r="133" spans="1:41" ht="15.75">
      <c r="A133" s="201"/>
      <c r="B133" s="499" t="s">
        <v>365</v>
      </c>
    </row>
    <row r="134" spans="1:41" s="391" customFormat="1">
      <c r="A134" s="498"/>
      <c r="B134" s="498"/>
      <c r="C134" s="305">
        <f>C122</f>
        <v>36891</v>
      </c>
      <c r="D134" s="305">
        <f t="shared" ref="D134:AB134" si="54">D122</f>
        <v>37256</v>
      </c>
      <c r="E134" s="305">
        <f t="shared" si="54"/>
        <v>37621</v>
      </c>
      <c r="F134" s="305">
        <f t="shared" si="54"/>
        <v>37986</v>
      </c>
      <c r="G134" s="305">
        <f t="shared" si="54"/>
        <v>38352</v>
      </c>
      <c r="H134" s="305">
        <f t="shared" si="54"/>
        <v>38717</v>
      </c>
      <c r="I134" s="305">
        <f t="shared" si="54"/>
        <v>39082</v>
      </c>
      <c r="J134" s="305">
        <f t="shared" si="54"/>
        <v>39447</v>
      </c>
      <c r="K134" s="305">
        <f t="shared" si="54"/>
        <v>39813</v>
      </c>
      <c r="L134" s="305">
        <f t="shared" si="54"/>
        <v>40178</v>
      </c>
      <c r="M134" s="305">
        <f t="shared" si="54"/>
        <v>40543</v>
      </c>
      <c r="N134" s="305">
        <f t="shared" si="54"/>
        <v>40908</v>
      </c>
      <c r="O134" s="305">
        <f t="shared" si="54"/>
        <v>41274</v>
      </c>
      <c r="P134" s="305">
        <f t="shared" si="54"/>
        <v>41639</v>
      </c>
      <c r="Q134" s="305">
        <f t="shared" si="54"/>
        <v>42004</v>
      </c>
      <c r="R134" s="305">
        <f t="shared" si="54"/>
        <v>42369</v>
      </c>
      <c r="S134" s="305">
        <f t="shared" si="54"/>
        <v>42735</v>
      </c>
      <c r="T134" s="305">
        <f t="shared" si="54"/>
        <v>43100</v>
      </c>
      <c r="U134" s="305">
        <f t="shared" si="54"/>
        <v>43465</v>
      </c>
      <c r="V134" s="305">
        <f t="shared" si="54"/>
        <v>43830</v>
      </c>
      <c r="W134" s="305">
        <f t="shared" si="54"/>
        <v>44196</v>
      </c>
      <c r="X134" s="305">
        <f t="shared" si="54"/>
        <v>44561</v>
      </c>
      <c r="Y134" s="305">
        <f t="shared" si="54"/>
        <v>44926</v>
      </c>
      <c r="Z134" s="305">
        <f t="shared" si="54"/>
        <v>45291</v>
      </c>
      <c r="AA134" s="305">
        <f t="shared" si="54"/>
        <v>45657</v>
      </c>
      <c r="AB134" s="305">
        <f t="shared" si="54"/>
        <v>46022</v>
      </c>
      <c r="AE134" s="392"/>
      <c r="AF134" s="392"/>
      <c r="AG134" s="392"/>
      <c r="AH134" s="392"/>
      <c r="AI134" s="392"/>
      <c r="AJ134" s="392"/>
      <c r="AK134" s="392"/>
      <c r="AL134" s="392"/>
      <c r="AM134" s="392"/>
      <c r="AN134" s="392"/>
      <c r="AO134" s="392"/>
    </row>
    <row r="135" spans="1:41">
      <c r="A135" s="201"/>
      <c r="B135" s="143" t="s">
        <v>248</v>
      </c>
      <c r="C135" s="302">
        <f>C123</f>
        <v>5.5046114379539463E-2</v>
      </c>
      <c r="D135" s="302">
        <f t="shared" ref="D135:AB137" si="55">D123</f>
        <v>6.0480678971799068E-2</v>
      </c>
      <c r="E135" s="302">
        <f t="shared" si="55"/>
        <v>6.2379413123678715E-2</v>
      </c>
      <c r="F135" s="302">
        <f t="shared" si="55"/>
        <v>6.3331059025812639E-2</v>
      </c>
      <c r="G135" s="302">
        <f t="shared" si="55"/>
        <v>6.3598501766367249E-2</v>
      </c>
      <c r="H135" s="302">
        <f t="shared" si="55"/>
        <v>6.3791931199403934E-2</v>
      </c>
      <c r="I135" s="302">
        <f t="shared" si="55"/>
        <v>6.3881285435280238E-2</v>
      </c>
      <c r="J135" s="302">
        <f t="shared" si="55"/>
        <v>6.396487482156317E-2</v>
      </c>
      <c r="K135" s="302">
        <f t="shared" si="55"/>
        <v>6.4048655053519463E-2</v>
      </c>
      <c r="L135" s="302">
        <f t="shared" si="55"/>
        <v>6.4132282613113545E-2</v>
      </c>
      <c r="M135" s="302">
        <f t="shared" si="55"/>
        <v>6.4229061650531077E-2</v>
      </c>
      <c r="N135" s="302">
        <f t="shared" si="55"/>
        <v>6.4361997903330831E-2</v>
      </c>
      <c r="O135" s="302">
        <f t="shared" si="55"/>
        <v>6.4497247072711122E-2</v>
      </c>
      <c r="P135" s="302">
        <f t="shared" si="55"/>
        <v>6.4632249780402648E-2</v>
      </c>
      <c r="Q135" s="302">
        <f t="shared" si="55"/>
        <v>6.4767190877196706E-2</v>
      </c>
      <c r="R135" s="302">
        <f t="shared" si="55"/>
        <v>6.484439101650008E-2</v>
      </c>
      <c r="S135" s="302">
        <f t="shared" si="55"/>
        <v>6.4766205763091722E-2</v>
      </c>
      <c r="T135" s="302">
        <f t="shared" si="55"/>
        <v>6.4679842870958154E-2</v>
      </c>
      <c r="U135" s="302">
        <f t="shared" si="55"/>
        <v>6.459351939840785E-2</v>
      </c>
      <c r="V135" s="302">
        <f t="shared" si="55"/>
        <v>6.4507195928327987E-2</v>
      </c>
      <c r="W135" s="302">
        <f t="shared" si="55"/>
        <v>6.4380133487805108E-2</v>
      </c>
      <c r="X135" s="302">
        <f t="shared" si="55"/>
        <v>6.4144265753656823E-2</v>
      </c>
      <c r="Y135" s="302">
        <f t="shared" si="55"/>
        <v>6.3902584952347963E-2</v>
      </c>
      <c r="Z135" s="302">
        <f t="shared" si="55"/>
        <v>6.3660904170409621E-2</v>
      </c>
      <c r="AA135" s="302">
        <f t="shared" si="55"/>
        <v>6.3418671625307274E-2</v>
      </c>
      <c r="AB135" s="302">
        <f t="shared" si="55"/>
        <v>6.3176880525658299E-2</v>
      </c>
    </row>
    <row r="136" spans="1:41">
      <c r="A136" s="201"/>
      <c r="B136" s="143" t="s">
        <v>249</v>
      </c>
      <c r="C136" s="302">
        <f t="shared" ref="C136:R137" si="56">C124</f>
        <v>-2.5000000000000001E-3</v>
      </c>
      <c r="D136" s="302">
        <f t="shared" si="56"/>
        <v>2.5000000000000001E-3</v>
      </c>
      <c r="E136" s="302">
        <f t="shared" si="56"/>
        <v>2.5000000000000001E-3</v>
      </c>
      <c r="F136" s="302">
        <f t="shared" si="56"/>
        <v>2.5000000000000001E-3</v>
      </c>
      <c r="G136" s="302">
        <f t="shared" si="56"/>
        <v>2.5000000000000001E-3</v>
      </c>
      <c r="H136" s="302">
        <f t="shared" si="56"/>
        <v>2.5000000000000001E-3</v>
      </c>
      <c r="I136" s="302">
        <f t="shared" si="56"/>
        <v>2.5000000000000001E-3</v>
      </c>
      <c r="J136" s="302">
        <f t="shared" si="56"/>
        <v>2.5000000000000001E-3</v>
      </c>
      <c r="K136" s="302">
        <f t="shared" si="56"/>
        <v>2.5000000000000001E-3</v>
      </c>
      <c r="L136" s="302">
        <f t="shared" si="56"/>
        <v>2.5000000000000001E-3</v>
      </c>
      <c r="M136" s="302">
        <f t="shared" si="56"/>
        <v>2.5000000000000001E-3</v>
      </c>
      <c r="N136" s="302">
        <f t="shared" si="56"/>
        <v>2.5000000000000001E-3</v>
      </c>
      <c r="O136" s="302">
        <f t="shared" si="56"/>
        <v>2.5000000000000001E-3</v>
      </c>
      <c r="P136" s="302">
        <f t="shared" si="56"/>
        <v>2.5000000000000001E-3</v>
      </c>
      <c r="Q136" s="302">
        <f t="shared" si="56"/>
        <v>2.5000000000000001E-3</v>
      </c>
      <c r="R136" s="302">
        <f t="shared" si="56"/>
        <v>2.5000000000000001E-3</v>
      </c>
      <c r="S136" s="302">
        <f t="shared" si="55"/>
        <v>2.5000000000000001E-3</v>
      </c>
      <c r="T136" s="302">
        <f t="shared" si="55"/>
        <v>2.5000000000000001E-3</v>
      </c>
      <c r="U136" s="302">
        <f t="shared" si="55"/>
        <v>2.5000000000000001E-3</v>
      </c>
      <c r="V136" s="302">
        <f t="shared" si="55"/>
        <v>2.5000000000000001E-3</v>
      </c>
      <c r="W136" s="302">
        <f t="shared" si="55"/>
        <v>2.5000000000000001E-3</v>
      </c>
      <c r="X136" s="302">
        <f t="shared" si="55"/>
        <v>2.5000000000000001E-3</v>
      </c>
      <c r="Y136" s="302">
        <f t="shared" si="55"/>
        <v>2.5000000000000001E-3</v>
      </c>
      <c r="Z136" s="302">
        <f t="shared" si="55"/>
        <v>2.5000000000000001E-3</v>
      </c>
      <c r="AA136" s="302">
        <f t="shared" si="55"/>
        <v>2.5000000000000001E-3</v>
      </c>
      <c r="AB136" s="302">
        <f t="shared" si="55"/>
        <v>2.5000000000000001E-3</v>
      </c>
    </row>
    <row r="137" spans="1:41">
      <c r="A137" s="201"/>
      <c r="B137" s="201"/>
      <c r="C137" s="302">
        <f t="shared" si="56"/>
        <v>5.254611437953946E-2</v>
      </c>
      <c r="D137" s="302">
        <f t="shared" si="55"/>
        <v>6.298067897179907E-2</v>
      </c>
      <c r="E137" s="302">
        <f t="shared" si="55"/>
        <v>6.4879413123678717E-2</v>
      </c>
      <c r="F137" s="302">
        <f t="shared" si="55"/>
        <v>6.5831059025812641E-2</v>
      </c>
      <c r="G137" s="302">
        <f t="shared" si="55"/>
        <v>6.6098501766367251E-2</v>
      </c>
      <c r="H137" s="302">
        <f t="shared" si="55"/>
        <v>6.6291931199403936E-2</v>
      </c>
      <c r="I137" s="302">
        <f t="shared" si="55"/>
        <v>6.6381285435280241E-2</v>
      </c>
      <c r="J137" s="302">
        <f t="shared" si="55"/>
        <v>6.6464874821563172E-2</v>
      </c>
      <c r="K137" s="302">
        <f t="shared" si="55"/>
        <v>6.6548655053519465E-2</v>
      </c>
      <c r="L137" s="302">
        <f t="shared" si="55"/>
        <v>6.6632282613113547E-2</v>
      </c>
      <c r="M137" s="302">
        <f t="shared" si="55"/>
        <v>6.672906165053108E-2</v>
      </c>
      <c r="N137" s="302">
        <f t="shared" si="55"/>
        <v>6.6861997903330833E-2</v>
      </c>
      <c r="O137" s="302">
        <f t="shared" si="55"/>
        <v>6.6997247072711125E-2</v>
      </c>
      <c r="P137" s="302">
        <f t="shared" si="55"/>
        <v>6.713224978040265E-2</v>
      </c>
      <c r="Q137" s="302">
        <f t="shared" si="55"/>
        <v>6.7267190877196709E-2</v>
      </c>
      <c r="R137" s="302">
        <f t="shared" si="55"/>
        <v>6.7344391016500083E-2</v>
      </c>
      <c r="S137" s="302">
        <f t="shared" si="55"/>
        <v>6.7266205763091724E-2</v>
      </c>
      <c r="T137" s="302">
        <f t="shared" si="55"/>
        <v>6.7179842870958156E-2</v>
      </c>
      <c r="U137" s="302">
        <f t="shared" si="55"/>
        <v>6.7093519398407853E-2</v>
      </c>
      <c r="V137" s="302">
        <f t="shared" si="55"/>
        <v>6.7007195928327989E-2</v>
      </c>
      <c r="W137" s="302">
        <f t="shared" si="55"/>
        <v>6.688013348780511E-2</v>
      </c>
      <c r="X137" s="302">
        <f t="shared" si="55"/>
        <v>6.6644265753656826E-2</v>
      </c>
      <c r="Y137" s="302">
        <f t="shared" si="55"/>
        <v>6.6402584952347965E-2</v>
      </c>
      <c r="Z137" s="302">
        <f t="shared" si="55"/>
        <v>6.6160904170409623E-2</v>
      </c>
      <c r="AA137" s="302">
        <f t="shared" si="55"/>
        <v>6.5918671625307276E-2</v>
      </c>
      <c r="AB137" s="302">
        <f t="shared" si="55"/>
        <v>6.5676880525658302E-2</v>
      </c>
    </row>
    <row r="138" spans="1:41">
      <c r="A138" s="201"/>
      <c r="B138" s="201"/>
      <c r="C138" s="398"/>
      <c r="D138" s="398"/>
      <c r="E138" s="398"/>
      <c r="F138" s="398"/>
      <c r="G138" s="398"/>
      <c r="H138" s="398"/>
      <c r="I138" s="398"/>
      <c r="J138" s="398"/>
      <c r="K138" s="398"/>
      <c r="L138" s="398"/>
      <c r="M138" s="398"/>
      <c r="N138" s="398"/>
      <c r="O138" s="398"/>
      <c r="P138" s="398"/>
      <c r="Q138" s="398"/>
      <c r="R138" s="398"/>
      <c r="S138" s="398"/>
      <c r="T138" s="398"/>
      <c r="U138" s="398"/>
      <c r="V138" s="398"/>
      <c r="W138" s="398"/>
      <c r="X138" s="398"/>
      <c r="Y138" s="398"/>
      <c r="Z138" s="398"/>
      <c r="AA138" s="398"/>
    </row>
    <row r="139" spans="1:41">
      <c r="A139" s="201"/>
      <c r="B139" s="143" t="s">
        <v>366</v>
      </c>
      <c r="C139" s="399">
        <f t="shared" ref="C139:AB139" si="57">IF(C138&lt;0,C138,0)</f>
        <v>0</v>
      </c>
      <c r="D139" s="399">
        <f t="shared" si="57"/>
        <v>0</v>
      </c>
      <c r="E139" s="399">
        <f t="shared" si="57"/>
        <v>0</v>
      </c>
      <c r="F139" s="399">
        <f t="shared" si="57"/>
        <v>0</v>
      </c>
      <c r="G139" s="399">
        <f t="shared" si="57"/>
        <v>0</v>
      </c>
      <c r="H139" s="399">
        <f t="shared" si="57"/>
        <v>0</v>
      </c>
      <c r="I139" s="399">
        <f t="shared" si="57"/>
        <v>0</v>
      </c>
      <c r="J139" s="399">
        <f t="shared" si="57"/>
        <v>0</v>
      </c>
      <c r="K139" s="399">
        <f t="shared" si="57"/>
        <v>0</v>
      </c>
      <c r="L139" s="399">
        <f t="shared" si="57"/>
        <v>0</v>
      </c>
      <c r="M139" s="399">
        <f t="shared" si="57"/>
        <v>0</v>
      </c>
      <c r="N139" s="399">
        <f t="shared" si="57"/>
        <v>0</v>
      </c>
      <c r="O139" s="399">
        <f t="shared" si="57"/>
        <v>0</v>
      </c>
      <c r="P139" s="399">
        <f t="shared" si="57"/>
        <v>0</v>
      </c>
      <c r="Q139" s="399">
        <f t="shared" si="57"/>
        <v>0</v>
      </c>
      <c r="R139" s="399">
        <f t="shared" si="57"/>
        <v>0</v>
      </c>
      <c r="S139" s="399">
        <f t="shared" si="57"/>
        <v>0</v>
      </c>
      <c r="T139" s="399">
        <f t="shared" si="57"/>
        <v>0</v>
      </c>
      <c r="U139" s="399">
        <f t="shared" si="57"/>
        <v>0</v>
      </c>
      <c r="V139" s="399">
        <f t="shared" si="57"/>
        <v>0</v>
      </c>
      <c r="W139" s="399">
        <f t="shared" si="57"/>
        <v>0</v>
      </c>
      <c r="X139" s="399">
        <f t="shared" si="57"/>
        <v>0</v>
      </c>
      <c r="Y139" s="399">
        <f t="shared" si="57"/>
        <v>0</v>
      </c>
      <c r="Z139" s="399">
        <f t="shared" si="57"/>
        <v>0</v>
      </c>
      <c r="AA139" s="399">
        <f t="shared" si="57"/>
        <v>0</v>
      </c>
      <c r="AB139" s="399">
        <f t="shared" si="57"/>
        <v>0</v>
      </c>
    </row>
    <row r="140" spans="1:41">
      <c r="A140" s="201"/>
      <c r="B140" s="143" t="s">
        <v>483</v>
      </c>
      <c r="C140" s="202">
        <f t="shared" ref="C140:AB140" si="58">-C139*C137</f>
        <v>0</v>
      </c>
      <c r="D140" s="202">
        <f t="shared" si="58"/>
        <v>0</v>
      </c>
      <c r="E140" s="202">
        <f t="shared" si="58"/>
        <v>0</v>
      </c>
      <c r="F140" s="202">
        <f t="shared" si="58"/>
        <v>0</v>
      </c>
      <c r="G140" s="202">
        <f t="shared" si="58"/>
        <v>0</v>
      </c>
      <c r="H140" s="202">
        <f t="shared" si="58"/>
        <v>0</v>
      </c>
      <c r="I140" s="202">
        <f t="shared" si="58"/>
        <v>0</v>
      </c>
      <c r="J140" s="202">
        <f t="shared" si="58"/>
        <v>0</v>
      </c>
      <c r="K140" s="202">
        <f t="shared" si="58"/>
        <v>0</v>
      </c>
      <c r="L140" s="202">
        <f t="shared" si="58"/>
        <v>0</v>
      </c>
      <c r="M140" s="202">
        <f t="shared" si="58"/>
        <v>0</v>
      </c>
      <c r="N140" s="202">
        <f t="shared" si="58"/>
        <v>0</v>
      </c>
      <c r="O140" s="202">
        <f t="shared" si="58"/>
        <v>0</v>
      </c>
      <c r="P140" s="202">
        <f t="shared" si="58"/>
        <v>0</v>
      </c>
      <c r="Q140" s="202">
        <f t="shared" si="58"/>
        <v>0</v>
      </c>
      <c r="R140" s="202">
        <f t="shared" si="58"/>
        <v>0</v>
      </c>
      <c r="S140" s="202">
        <f t="shared" si="58"/>
        <v>0</v>
      </c>
      <c r="T140" s="202">
        <f t="shared" si="58"/>
        <v>0</v>
      </c>
      <c r="U140" s="202">
        <f t="shared" si="58"/>
        <v>0</v>
      </c>
      <c r="V140" s="202">
        <f t="shared" si="58"/>
        <v>0</v>
      </c>
      <c r="W140" s="202">
        <f t="shared" si="58"/>
        <v>0</v>
      </c>
      <c r="X140" s="202">
        <f t="shared" si="58"/>
        <v>0</v>
      </c>
      <c r="Y140" s="202">
        <f t="shared" si="58"/>
        <v>0</v>
      </c>
      <c r="Z140" s="202">
        <f t="shared" si="58"/>
        <v>0</v>
      </c>
      <c r="AA140" s="202">
        <f t="shared" si="58"/>
        <v>0</v>
      </c>
      <c r="AB140" s="202">
        <f t="shared" si="58"/>
        <v>0</v>
      </c>
    </row>
    <row r="141" spans="1:41">
      <c r="A141" s="201"/>
      <c r="B141" s="143"/>
      <c r="C141" s="202"/>
      <c r="D141" s="202"/>
      <c r="E141" s="202"/>
      <c r="F141" s="202"/>
      <c r="G141" s="202"/>
      <c r="H141" s="202"/>
      <c r="I141" s="202"/>
      <c r="J141" s="202"/>
      <c r="K141" s="202"/>
      <c r="L141" s="202"/>
      <c r="M141" s="202"/>
      <c r="N141" s="202"/>
      <c r="O141" s="202"/>
      <c r="P141" s="202"/>
      <c r="Q141" s="202"/>
      <c r="R141" s="202"/>
      <c r="S141" s="202"/>
      <c r="T141" s="202"/>
      <c r="U141" s="202"/>
      <c r="V141" s="202"/>
      <c r="W141" s="202"/>
      <c r="X141" s="202"/>
      <c r="Y141" s="202"/>
      <c r="Z141" s="202"/>
      <c r="AA141" s="202"/>
      <c r="AB141" s="202"/>
    </row>
    <row r="142" spans="1:41">
      <c r="A142" s="201"/>
      <c r="B142" s="143"/>
      <c r="E142" s="202"/>
      <c r="F142" s="202"/>
      <c r="G142" s="202"/>
      <c r="H142" s="202"/>
      <c r="I142" s="202"/>
      <c r="J142" s="202"/>
      <c r="K142" s="202"/>
      <c r="L142" s="202"/>
      <c r="M142" s="202"/>
      <c r="N142" s="202"/>
      <c r="O142" s="202"/>
      <c r="P142" s="202"/>
      <c r="Q142" s="202"/>
      <c r="R142" s="202"/>
      <c r="S142" s="202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</row>
    <row r="143" spans="1:41">
      <c r="A143" s="201"/>
      <c r="B143" s="201"/>
    </row>
    <row r="144" spans="1:41">
      <c r="A144" s="201"/>
      <c r="B144" s="201"/>
    </row>
    <row r="145" spans="1:2">
      <c r="A145" s="201"/>
      <c r="B145" s="201"/>
    </row>
    <row r="146" spans="1:2">
      <c r="A146" s="201"/>
      <c r="B146" s="201"/>
    </row>
    <row r="147" spans="1:2">
      <c r="A147" s="201"/>
      <c r="B147" s="201"/>
    </row>
    <row r="148" spans="1:2">
      <c r="A148" s="201"/>
      <c r="B148" s="201"/>
    </row>
  </sheetData>
  <sheetCalcPr fullCalcOnLoad="1"/>
  <pageMargins left="0.27" right="0.25" top="0.3" bottom="0.27" header="0.5" footer="0.5"/>
  <pageSetup paperSize="5" scale="84" fitToWidth="2" fitToHeight="2" orientation="landscape" horizontalDpi="4294967292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CR14"/>
  <sheetViews>
    <sheetView workbookViewId="0">
      <selection activeCell="C4" sqref="C4"/>
    </sheetView>
  </sheetViews>
  <sheetFormatPr defaultRowHeight="12.75"/>
  <cols>
    <col min="1" max="1" width="35.28515625" style="43" bestFit="1" customWidth="1"/>
    <col min="2" max="2" width="9.140625" style="43"/>
    <col min="3" max="3" width="11.28515625" style="43" bestFit="1" customWidth="1"/>
    <col min="4" max="4" width="11.7109375" style="43" customWidth="1"/>
    <col min="5" max="5" width="11.7109375" style="43" bestFit="1" customWidth="1"/>
    <col min="6" max="16384" width="9.140625" style="43"/>
  </cols>
  <sheetData>
    <row r="1" spans="1:96">
      <c r="A1" s="196" t="s">
        <v>317</v>
      </c>
    </row>
    <row r="2" spans="1:96">
      <c r="B2" s="502">
        <f>Tax!C3</f>
        <v>2000</v>
      </c>
      <c r="C2" s="502">
        <f>Tax!D3</f>
        <v>2001</v>
      </c>
      <c r="D2" s="502">
        <f>Tax!E3</f>
        <v>2002</v>
      </c>
      <c r="E2" s="502">
        <f>Tax!F3</f>
        <v>2003</v>
      </c>
      <c r="F2" s="502">
        <f>Tax!G3</f>
        <v>2004</v>
      </c>
      <c r="G2" s="502">
        <f>Tax!H3</f>
        <v>2005</v>
      </c>
      <c r="H2" s="502">
        <f>Tax!I3</f>
        <v>2006</v>
      </c>
      <c r="I2" s="502">
        <f>Tax!J3</f>
        <v>2007</v>
      </c>
      <c r="J2" s="502">
        <f>Tax!K3</f>
        <v>2008</v>
      </c>
      <c r="K2" s="502">
        <f>Tax!L3</f>
        <v>2009</v>
      </c>
      <c r="L2" s="502">
        <f>Tax!M3</f>
        <v>2010</v>
      </c>
      <c r="M2" s="502">
        <f>Tax!N3</f>
        <v>2011</v>
      </c>
      <c r="N2" s="502">
        <f>Tax!O3</f>
        <v>2012</v>
      </c>
      <c r="O2" s="502">
        <f>Tax!P3</f>
        <v>2013</v>
      </c>
      <c r="P2" s="502">
        <f>Tax!Q3</f>
        <v>2014</v>
      </c>
      <c r="Q2" s="502">
        <f>Tax!R3</f>
        <v>2015</v>
      </c>
      <c r="R2" s="502">
        <f>Tax!S3</f>
        <v>2016</v>
      </c>
      <c r="S2" s="502">
        <f>Tax!T3</f>
        <v>2017</v>
      </c>
      <c r="T2" s="502">
        <f>Tax!U3</f>
        <v>2018</v>
      </c>
      <c r="U2" s="502">
        <f>Tax!V3</f>
        <v>2019</v>
      </c>
      <c r="V2" s="502">
        <f>Tax!W3</f>
        <v>2020</v>
      </c>
      <c r="W2" s="502">
        <f>Tax!X3</f>
        <v>2021</v>
      </c>
      <c r="X2" s="502" t="e">
        <f>Tax!#REF!</f>
        <v>#REF!</v>
      </c>
      <c r="Y2" s="502" t="e">
        <f>Tax!#REF!</f>
        <v>#REF!</v>
      </c>
      <c r="Z2" s="502" t="e">
        <f>Tax!#REF!</f>
        <v>#REF!</v>
      </c>
      <c r="AA2" s="502" t="e">
        <f>Tax!#REF!</f>
        <v>#REF!</v>
      </c>
      <c r="AB2" s="354"/>
      <c r="AC2" s="354"/>
      <c r="AD2" s="354"/>
    </row>
    <row r="4" spans="1:96">
      <c r="A4" s="43" t="s">
        <v>311</v>
      </c>
      <c r="B4" s="355">
        <f>BS!B20</f>
        <v>178863.62365843117</v>
      </c>
      <c r="C4" s="355">
        <f>BS!C20</f>
        <v>171661.06163191717</v>
      </c>
      <c r="D4" s="355">
        <f>BS!D20</f>
        <v>164458.49960540317</v>
      </c>
      <c r="E4" s="355">
        <f>BS!E20</f>
        <v>157255.93757888916</v>
      </c>
      <c r="F4" s="355">
        <f>BS!F20</f>
        <v>150053.37555237516</v>
      </c>
      <c r="G4" s="355">
        <f>BS!G20</f>
        <v>142850.81352586113</v>
      </c>
      <c r="H4" s="355">
        <f>BS!H20</f>
        <v>135648.25149934713</v>
      </c>
      <c r="I4" s="355">
        <f>BS!I20</f>
        <v>128445.68947283312</v>
      </c>
      <c r="J4" s="355">
        <f>BS!J20</f>
        <v>121243.12744631912</v>
      </c>
      <c r="K4" s="355">
        <f>BS!K20</f>
        <v>114040.56541980511</v>
      </c>
      <c r="L4" s="355">
        <f>BS!L20</f>
        <v>106838.0033932911</v>
      </c>
      <c r="M4" s="355">
        <f>BS!M20</f>
        <v>99635.4413667771</v>
      </c>
      <c r="N4" s="355">
        <f>BS!N20</f>
        <v>92432.879340263098</v>
      </c>
      <c r="O4" s="355">
        <f>BS!O20</f>
        <v>85230.317313749096</v>
      </c>
      <c r="P4" s="355">
        <f>BS!P20</f>
        <v>78027.755287235093</v>
      </c>
      <c r="Q4" s="355">
        <f>BS!Q20</f>
        <v>70825.193260721091</v>
      </c>
      <c r="R4" s="355">
        <f>BS!R20</f>
        <v>0</v>
      </c>
      <c r="S4" s="355">
        <f>BS!S20</f>
        <v>0</v>
      </c>
      <c r="T4" s="355">
        <f>BS!T20</f>
        <v>0</v>
      </c>
      <c r="U4" s="355">
        <f>BS!U20</f>
        <v>0</v>
      </c>
      <c r="V4" s="355" t="e">
        <f>BS!#REF!</f>
        <v>#REF!</v>
      </c>
      <c r="W4" s="355" t="e">
        <f>BS!#REF!</f>
        <v>#REF!</v>
      </c>
      <c r="X4" s="355" t="e">
        <f>BS!#REF!</f>
        <v>#REF!</v>
      </c>
      <c r="Y4" s="355" t="e">
        <f>BS!#REF!</f>
        <v>#REF!</v>
      </c>
      <c r="Z4" s="355">
        <f>BS!M20</f>
        <v>99635.4413667771</v>
      </c>
      <c r="AA4" s="355">
        <f>BS!N20</f>
        <v>92432.879340263098</v>
      </c>
      <c r="AB4" s="355"/>
    </row>
    <row r="6" spans="1:96">
      <c r="A6" s="43" t="s">
        <v>312</v>
      </c>
      <c r="B6" s="355">
        <f>Tax!C202</f>
        <v>180064.05066285018</v>
      </c>
      <c r="C6" s="355">
        <f>Tax!D202</f>
        <v>158708.45425423616</v>
      </c>
      <c r="D6" s="355">
        <f>Tax!E202</f>
        <v>144625.28472379333</v>
      </c>
      <c r="E6" s="355">
        <f>Tax!F202</f>
        <v>132084.71671281708</v>
      </c>
      <c r="F6" s="355">
        <f>Tax!G202</f>
        <v>120838.55771264079</v>
      </c>
      <c r="G6" s="355">
        <f>Tax!H202</f>
        <v>110695.90593142387</v>
      </c>
      <c r="H6" s="355">
        <f>Tax!I202</f>
        <v>101507.33644196601</v>
      </c>
      <c r="I6" s="355">
        <f>Tax!J202</f>
        <v>93153.721616147959</v>
      </c>
      <c r="J6" s="355">
        <f>Tax!K202</f>
        <v>85538.304349533588</v>
      </c>
      <c r="K6" s="355">
        <f>Tax!L202</f>
        <v>78581.056325445126</v>
      </c>
      <c r="L6" s="355">
        <f>Tax!M202</f>
        <v>72214.643246121472</v>
      </c>
      <c r="M6" s="355">
        <f>Tax!N202</f>
        <v>66381.521785130128</v>
      </c>
      <c r="N6" s="355">
        <f>Tax!O202</f>
        <v>61031.835041408573</v>
      </c>
      <c r="O6" s="355">
        <f>Tax!P202</f>
        <v>56121.872737458085</v>
      </c>
      <c r="P6" s="355">
        <f>Tax!Q202</f>
        <v>51612.932068014976</v>
      </c>
      <c r="Q6" s="355">
        <f>Tax!R202</f>
        <v>0</v>
      </c>
      <c r="R6" s="355">
        <f>Tax!S202</f>
        <v>0</v>
      </c>
      <c r="S6" s="355">
        <f>Tax!T202</f>
        <v>0</v>
      </c>
      <c r="T6" s="355">
        <f>Tax!U202</f>
        <v>0</v>
      </c>
      <c r="U6" s="355">
        <f>Tax!V202</f>
        <v>0</v>
      </c>
      <c r="V6" s="355">
        <f>Tax!W202</f>
        <v>0</v>
      </c>
      <c r="W6" s="355">
        <f>Tax!X202</f>
        <v>0</v>
      </c>
      <c r="X6" s="355" t="e">
        <f>Tax!#REF!</f>
        <v>#REF!</v>
      </c>
      <c r="Y6" s="355" t="e">
        <f>Tax!#REF!</f>
        <v>#REF!</v>
      </c>
      <c r="Z6" s="355" t="e">
        <f>Tax!#REF!</f>
        <v>#REF!</v>
      </c>
      <c r="AA6" s="355" t="e">
        <f>Tax!#REF!</f>
        <v>#REF!</v>
      </c>
      <c r="AB6" s="355"/>
      <c r="AC6" s="355"/>
      <c r="AD6" s="355"/>
      <c r="AE6" s="355"/>
      <c r="AF6" s="355"/>
      <c r="AG6" s="355"/>
      <c r="AH6" s="355"/>
      <c r="AI6" s="355"/>
      <c r="AJ6" s="355"/>
      <c r="AK6" s="355"/>
      <c r="AL6" s="355"/>
      <c r="AM6" s="355"/>
      <c r="AN6" s="355"/>
      <c r="AO6" s="355"/>
      <c r="AP6" s="355"/>
      <c r="AQ6" s="355"/>
      <c r="AR6" s="355"/>
      <c r="AS6" s="355"/>
      <c r="AT6" s="355"/>
      <c r="AU6" s="355"/>
      <c r="AV6" s="355"/>
      <c r="AW6" s="355"/>
      <c r="AX6" s="355"/>
      <c r="AY6" s="355"/>
      <c r="AZ6" s="355"/>
      <c r="BA6" s="355"/>
      <c r="BB6" s="355"/>
      <c r="BC6" s="355"/>
      <c r="BD6" s="355"/>
      <c r="BE6" s="355"/>
      <c r="BF6" s="355"/>
      <c r="BG6" s="355"/>
      <c r="BH6" s="355"/>
      <c r="BI6" s="355"/>
      <c r="BJ6" s="355"/>
      <c r="BK6" s="355"/>
      <c r="BL6" s="355"/>
      <c r="BM6" s="355"/>
      <c r="BN6" s="355"/>
      <c r="BO6" s="355"/>
    </row>
    <row r="7" spans="1:96">
      <c r="D7" s="355"/>
      <c r="E7" s="355"/>
      <c r="F7" s="355"/>
      <c r="G7" s="355"/>
      <c r="H7" s="355"/>
      <c r="I7" s="355"/>
      <c r="J7" s="355"/>
      <c r="K7" s="355"/>
      <c r="L7" s="355"/>
      <c r="M7" s="355"/>
      <c r="N7" s="355"/>
      <c r="O7" s="355"/>
      <c r="P7" s="355"/>
      <c r="Q7" s="355"/>
      <c r="R7" s="355"/>
      <c r="S7" s="355"/>
      <c r="T7" s="355"/>
      <c r="U7" s="355"/>
      <c r="V7" s="355"/>
      <c r="W7" s="355"/>
      <c r="X7" s="355"/>
      <c r="Y7" s="355"/>
      <c r="Z7" s="355"/>
      <c r="AA7" s="355"/>
      <c r="AB7" s="355"/>
      <c r="AC7" s="355"/>
      <c r="AD7" s="355"/>
      <c r="AE7" s="355"/>
      <c r="AF7" s="355"/>
      <c r="AG7" s="355"/>
      <c r="AH7" s="355"/>
      <c r="AI7" s="355"/>
      <c r="AJ7" s="355"/>
      <c r="AK7" s="355"/>
      <c r="AL7" s="355"/>
      <c r="AM7" s="355"/>
      <c r="AN7" s="355"/>
      <c r="AO7" s="355"/>
      <c r="AP7" s="355"/>
      <c r="AQ7" s="355"/>
      <c r="AR7" s="355"/>
      <c r="AS7" s="355"/>
      <c r="AT7" s="355"/>
      <c r="AU7" s="355"/>
      <c r="AV7" s="355"/>
      <c r="AW7" s="355"/>
      <c r="AX7" s="355"/>
      <c r="AY7" s="355"/>
      <c r="AZ7" s="355"/>
      <c r="BA7" s="355"/>
      <c r="BB7" s="355"/>
      <c r="BC7" s="355"/>
      <c r="BD7" s="355"/>
      <c r="BE7" s="355"/>
      <c r="BF7" s="355"/>
      <c r="BG7" s="355"/>
      <c r="BH7" s="355"/>
      <c r="BI7" s="355"/>
      <c r="BJ7" s="355"/>
      <c r="BK7" s="355"/>
      <c r="BL7" s="355"/>
      <c r="BM7" s="355"/>
      <c r="BN7" s="355"/>
      <c r="BO7" s="355"/>
    </row>
    <row r="8" spans="1:96">
      <c r="A8" s="43" t="s">
        <v>313</v>
      </c>
      <c r="B8" s="355">
        <f t="shared" ref="B8:AA8" si="0">B4-B6</f>
        <v>-1200.4270044190052</v>
      </c>
      <c r="C8" s="355">
        <f t="shared" si="0"/>
        <v>12952.607377681008</v>
      </c>
      <c r="D8" s="355">
        <f t="shared" si="0"/>
        <v>19833.214881609834</v>
      </c>
      <c r="E8" s="355">
        <f t="shared" si="0"/>
        <v>25171.220866072079</v>
      </c>
      <c r="F8" s="355">
        <f t="shared" si="0"/>
        <v>29214.817839734373</v>
      </c>
      <c r="G8" s="355">
        <f t="shared" si="0"/>
        <v>32154.90759443726</v>
      </c>
      <c r="H8" s="355">
        <f t="shared" si="0"/>
        <v>34140.91505738112</v>
      </c>
      <c r="I8" s="355">
        <f t="shared" si="0"/>
        <v>35291.967856685165</v>
      </c>
      <c r="J8" s="355">
        <f t="shared" si="0"/>
        <v>35704.823096785534</v>
      </c>
      <c r="K8" s="355">
        <f t="shared" si="0"/>
        <v>35459.509094359979</v>
      </c>
      <c r="L8" s="355">
        <f t="shared" si="0"/>
        <v>34623.360147169631</v>
      </c>
      <c r="M8" s="355">
        <f t="shared" si="0"/>
        <v>33253.919581646973</v>
      </c>
      <c r="N8" s="355">
        <f t="shared" si="0"/>
        <v>31401.044298854526</v>
      </c>
      <c r="O8" s="355">
        <f t="shared" si="0"/>
        <v>29108.444576291011</v>
      </c>
      <c r="P8" s="355">
        <f t="shared" si="0"/>
        <v>26414.823219220118</v>
      </c>
      <c r="Q8" s="355">
        <f t="shared" si="0"/>
        <v>70825.193260721091</v>
      </c>
      <c r="R8" s="355">
        <f t="shared" si="0"/>
        <v>0</v>
      </c>
      <c r="S8" s="355">
        <f t="shared" si="0"/>
        <v>0</v>
      </c>
      <c r="T8" s="355">
        <f t="shared" si="0"/>
        <v>0</v>
      </c>
      <c r="U8" s="355">
        <f t="shared" si="0"/>
        <v>0</v>
      </c>
      <c r="V8" s="355" t="e">
        <f t="shared" si="0"/>
        <v>#REF!</v>
      </c>
      <c r="W8" s="355" t="e">
        <f t="shared" si="0"/>
        <v>#REF!</v>
      </c>
      <c r="X8" s="355" t="e">
        <f t="shared" si="0"/>
        <v>#REF!</v>
      </c>
      <c r="Y8" s="355" t="e">
        <f t="shared" si="0"/>
        <v>#REF!</v>
      </c>
      <c r="Z8" s="355" t="e">
        <f t="shared" si="0"/>
        <v>#REF!</v>
      </c>
      <c r="AA8" s="355" t="e">
        <f t="shared" si="0"/>
        <v>#REF!</v>
      </c>
      <c r="AB8" s="355"/>
      <c r="AC8" s="355"/>
      <c r="AD8" s="355"/>
      <c r="AE8" s="355"/>
      <c r="AF8" s="355"/>
      <c r="AG8" s="355"/>
      <c r="AH8" s="355"/>
      <c r="AI8" s="355"/>
      <c r="AJ8" s="355"/>
      <c r="AK8" s="355"/>
      <c r="AL8" s="355"/>
      <c r="AM8" s="355"/>
      <c r="AN8" s="355"/>
      <c r="AO8" s="355"/>
      <c r="AP8" s="355"/>
      <c r="AQ8" s="355"/>
      <c r="AR8" s="355"/>
      <c r="AS8" s="355"/>
      <c r="AT8" s="355"/>
      <c r="AU8" s="355"/>
      <c r="AV8" s="355"/>
      <c r="AW8" s="355"/>
      <c r="AX8" s="355"/>
      <c r="AY8" s="355"/>
      <c r="AZ8" s="355"/>
      <c r="BA8" s="355"/>
      <c r="BB8" s="355"/>
      <c r="BC8" s="355"/>
      <c r="BD8" s="355"/>
      <c r="BE8" s="355"/>
      <c r="BF8" s="355"/>
      <c r="BG8" s="355"/>
      <c r="BH8" s="355"/>
      <c r="BI8" s="355"/>
      <c r="BJ8" s="355"/>
      <c r="BK8" s="355"/>
      <c r="BL8" s="355"/>
      <c r="BM8" s="355"/>
      <c r="BN8" s="355"/>
      <c r="BO8" s="355"/>
    </row>
    <row r="9" spans="1:96">
      <c r="D9" s="355"/>
      <c r="E9" s="355"/>
      <c r="F9" s="355"/>
      <c r="G9" s="355"/>
      <c r="H9" s="355"/>
      <c r="I9" s="355"/>
      <c r="J9" s="355"/>
      <c r="K9" s="355"/>
      <c r="L9" s="355"/>
      <c r="M9" s="355"/>
      <c r="N9" s="355"/>
      <c r="O9" s="355"/>
      <c r="P9" s="355"/>
      <c r="Q9" s="355"/>
      <c r="R9" s="355"/>
      <c r="S9" s="355"/>
      <c r="T9" s="355"/>
      <c r="U9" s="355"/>
      <c r="V9" s="355"/>
      <c r="W9" s="355"/>
      <c r="X9" s="355"/>
      <c r="Y9" s="355"/>
      <c r="Z9" s="355"/>
      <c r="AA9" s="355"/>
      <c r="AB9" s="355"/>
      <c r="AC9" s="355"/>
      <c r="AD9" s="355"/>
      <c r="AE9" s="355"/>
      <c r="AF9" s="355"/>
      <c r="AG9" s="355"/>
      <c r="AH9" s="355"/>
      <c r="AI9" s="355"/>
      <c r="AJ9" s="355"/>
      <c r="AK9" s="355"/>
      <c r="AL9" s="355"/>
      <c r="AM9" s="355"/>
      <c r="AN9" s="355"/>
      <c r="AO9" s="355"/>
      <c r="AP9" s="355"/>
      <c r="AQ9" s="355"/>
      <c r="AR9" s="355"/>
      <c r="AS9" s="355"/>
      <c r="AT9" s="355"/>
      <c r="AU9" s="355"/>
      <c r="AV9" s="355"/>
      <c r="AW9" s="355"/>
      <c r="AX9" s="355"/>
      <c r="AY9" s="355"/>
      <c r="AZ9" s="355"/>
      <c r="BA9" s="355"/>
      <c r="BB9" s="355"/>
      <c r="BC9" s="355"/>
      <c r="BD9" s="355"/>
      <c r="BE9" s="355"/>
      <c r="BF9" s="355"/>
      <c r="BG9" s="355"/>
      <c r="BH9" s="355"/>
      <c r="BI9" s="355"/>
      <c r="BJ9" s="355"/>
      <c r="BK9" s="355"/>
      <c r="BL9" s="355"/>
      <c r="BM9" s="355"/>
      <c r="BN9" s="355"/>
      <c r="BO9" s="355"/>
    </row>
    <row r="10" spans="1:96">
      <c r="A10" s="43" t="s">
        <v>314</v>
      </c>
      <c r="B10" s="43">
        <v>0</v>
      </c>
      <c r="C10" s="355">
        <f t="shared" ref="C10:AA10" si="1">B12</f>
        <v>-451.60063906242976</v>
      </c>
      <c r="D10" s="355">
        <f t="shared" si="1"/>
        <v>4613.7187479299746</v>
      </c>
      <c r="E10" s="355">
        <f t="shared" si="1"/>
        <v>6271.2625455650295</v>
      </c>
      <c r="F10" s="355">
        <f t="shared" si="1"/>
        <v>7959.1400378519911</v>
      </c>
      <c r="G10" s="355">
        <f t="shared" si="1"/>
        <v>9237.7254009240078</v>
      </c>
      <c r="H10" s="355">
        <f t="shared" si="1"/>
        <v>10167.38178136106</v>
      </c>
      <c r="I10" s="355">
        <f t="shared" si="1"/>
        <v>10795.35734114391</v>
      </c>
      <c r="J10" s="355">
        <f t="shared" si="1"/>
        <v>11159.320236283849</v>
      </c>
      <c r="K10" s="355">
        <f t="shared" si="1"/>
        <v>11289.865063203586</v>
      </c>
      <c r="L10" s="355">
        <f t="shared" si="1"/>
        <v>11212.296775636625</v>
      </c>
      <c r="M10" s="355">
        <f t="shared" si="1"/>
        <v>10947.906478535037</v>
      </c>
      <c r="N10" s="355">
        <f t="shared" si="1"/>
        <v>10514.889371716772</v>
      </c>
      <c r="O10" s="355">
        <f t="shared" si="1"/>
        <v>9929.0102072978007</v>
      </c>
      <c r="P10" s="355">
        <f t="shared" si="1"/>
        <v>9204.0901750232169</v>
      </c>
      <c r="Q10" s="355">
        <f t="shared" si="1"/>
        <v>8352.3671019173999</v>
      </c>
      <c r="R10" s="355">
        <f t="shared" si="1"/>
        <v>22394.926109040007</v>
      </c>
      <c r="S10" s="355">
        <f t="shared" si="1"/>
        <v>0</v>
      </c>
      <c r="T10" s="355">
        <f t="shared" si="1"/>
        <v>0</v>
      </c>
      <c r="U10" s="355">
        <f t="shared" si="1"/>
        <v>0</v>
      </c>
      <c r="V10" s="355">
        <f t="shared" si="1"/>
        <v>0</v>
      </c>
      <c r="W10" s="355" t="e">
        <f t="shared" si="1"/>
        <v>#REF!</v>
      </c>
      <c r="X10" s="355" t="e">
        <f t="shared" si="1"/>
        <v>#REF!</v>
      </c>
      <c r="Y10" s="355" t="e">
        <f t="shared" si="1"/>
        <v>#REF!</v>
      </c>
      <c r="Z10" s="355" t="e">
        <f t="shared" si="1"/>
        <v>#REF!</v>
      </c>
      <c r="AA10" s="355" t="e">
        <f t="shared" si="1"/>
        <v>#REF!</v>
      </c>
      <c r="AB10" s="355"/>
      <c r="AC10" s="355"/>
      <c r="AD10" s="355"/>
      <c r="AE10" s="355"/>
      <c r="AF10" s="355"/>
      <c r="AG10" s="355"/>
      <c r="AH10" s="355"/>
      <c r="AI10" s="355"/>
      <c r="AJ10" s="355"/>
      <c r="AK10" s="355"/>
      <c r="AL10" s="355"/>
      <c r="AM10" s="355"/>
      <c r="AN10" s="355"/>
      <c r="AO10" s="355"/>
      <c r="AP10" s="355"/>
      <c r="AQ10" s="355"/>
      <c r="AR10" s="355"/>
      <c r="AS10" s="355"/>
      <c r="AT10" s="355"/>
      <c r="AU10" s="355"/>
      <c r="AV10" s="355"/>
      <c r="AW10" s="355"/>
      <c r="AX10" s="355"/>
      <c r="AY10" s="355"/>
      <c r="AZ10" s="355"/>
      <c r="BA10" s="355"/>
      <c r="BB10" s="355"/>
      <c r="BC10" s="355"/>
      <c r="BD10" s="355"/>
      <c r="BE10" s="355"/>
      <c r="BF10" s="355"/>
      <c r="BG10" s="355"/>
      <c r="BH10" s="355"/>
      <c r="BI10" s="355"/>
      <c r="BJ10" s="355"/>
      <c r="BK10" s="355"/>
      <c r="BL10" s="355"/>
      <c r="BM10" s="355"/>
      <c r="BN10" s="355"/>
      <c r="BO10" s="355"/>
      <c r="BP10" s="355"/>
      <c r="BQ10" s="355"/>
      <c r="BR10" s="355"/>
      <c r="BS10" s="355"/>
      <c r="BT10" s="355"/>
      <c r="BU10" s="355"/>
      <c r="BV10" s="355"/>
      <c r="BW10" s="355"/>
      <c r="BX10" s="355"/>
      <c r="BY10" s="355"/>
      <c r="BZ10" s="355"/>
      <c r="CA10" s="355"/>
      <c r="CB10" s="355"/>
      <c r="CC10" s="355"/>
      <c r="CD10" s="355"/>
      <c r="CE10" s="355"/>
      <c r="CF10" s="355"/>
      <c r="CG10" s="355"/>
      <c r="CH10" s="355"/>
      <c r="CI10" s="355"/>
      <c r="CJ10" s="355"/>
      <c r="CK10" s="355"/>
      <c r="CL10" s="355"/>
      <c r="CM10" s="355"/>
      <c r="CN10" s="355"/>
      <c r="CO10" s="355"/>
      <c r="CP10" s="355"/>
      <c r="CQ10" s="355"/>
      <c r="CR10" s="355"/>
    </row>
    <row r="11" spans="1:96">
      <c r="C11" s="355"/>
      <c r="D11" s="355"/>
      <c r="E11" s="355"/>
      <c r="F11" s="355"/>
      <c r="G11" s="355"/>
      <c r="H11" s="355"/>
      <c r="I11" s="355"/>
      <c r="J11" s="355"/>
      <c r="K11" s="355"/>
      <c r="L11" s="355"/>
      <c r="M11" s="355"/>
      <c r="N11" s="355"/>
      <c r="O11" s="355"/>
      <c r="P11" s="355"/>
      <c r="Q11" s="355"/>
      <c r="R11" s="355"/>
      <c r="S11" s="355"/>
      <c r="T11" s="355"/>
      <c r="U11" s="355"/>
      <c r="V11" s="355"/>
      <c r="W11" s="355"/>
      <c r="X11" s="355"/>
      <c r="Y11" s="355"/>
      <c r="Z11" s="355"/>
      <c r="AA11" s="355"/>
      <c r="AB11" s="355"/>
      <c r="AC11" s="355"/>
      <c r="AD11" s="355"/>
      <c r="AE11" s="355"/>
      <c r="AF11" s="355"/>
      <c r="AG11" s="355"/>
      <c r="AH11" s="355"/>
      <c r="AI11" s="355"/>
      <c r="AJ11" s="355"/>
      <c r="AK11" s="355"/>
      <c r="AL11" s="355"/>
      <c r="AM11" s="355"/>
      <c r="AN11" s="355"/>
      <c r="AO11" s="355"/>
      <c r="AP11" s="355"/>
      <c r="AQ11" s="355"/>
      <c r="AR11" s="355"/>
      <c r="AS11" s="355"/>
      <c r="AT11" s="355"/>
      <c r="AU11" s="355"/>
      <c r="AV11" s="355"/>
      <c r="AW11" s="355"/>
      <c r="AX11" s="355"/>
      <c r="AY11" s="355"/>
      <c r="AZ11" s="355"/>
      <c r="BA11" s="355"/>
      <c r="BB11" s="355"/>
      <c r="BC11" s="355"/>
      <c r="BD11" s="355"/>
      <c r="BE11" s="355"/>
      <c r="BF11" s="355"/>
      <c r="BG11" s="355"/>
      <c r="BH11" s="355"/>
      <c r="BI11" s="355"/>
      <c r="BJ11" s="355"/>
      <c r="BK11" s="355"/>
      <c r="BL11" s="355"/>
      <c r="BM11" s="355"/>
      <c r="BN11" s="355"/>
      <c r="BO11" s="355"/>
    </row>
    <row r="12" spans="1:96">
      <c r="A12" s="43" t="s">
        <v>315</v>
      </c>
      <c r="B12" s="355">
        <f>B8*((INDEX(FedTaxTable,MATCH("Federal Income Tax after M &amp; P Credit",FedTaxColumn,0),MATCH(B2,FedTaxRow,0)))+(INDEX(ProvTaxTable,MATCH("Provincial Tax Rate",ProvTaxColumn,0),MATCH(B2,ProvTaxRow,0))))</f>
        <v>-451.60063906242976</v>
      </c>
      <c r="C12" s="355">
        <f>C8*((INDEX(FedTaxTable,MATCH("Federal Income Tax after M &amp; P Credit",FedTaxColumn,0),MATCH(C2,FedTaxRow,0)))+(INDEX(ProvTaxTable,MATCH("Provincial Tax Rate",ProvTaxColumn,0),MATCH(C2,ProvTaxRow,0))))</f>
        <v>4613.7187479299746</v>
      </c>
      <c r="D12" s="355">
        <f t="shared" ref="D12:AA12" si="2">D8*((INDEX(FedTaxTable,MATCH("Federal Income Tax after M &amp; P Credit",FedTaxColumn,0),MATCH(D2,FedTaxRow,0)))+(INDEX(ProvTaxTable,MATCH("Provincial Tax Rate",ProvTaxColumn,0),MATCH(D2,ProvTaxRow,0))))</f>
        <v>6271.2625455650295</v>
      </c>
      <c r="E12" s="355">
        <f t="shared" si="2"/>
        <v>7959.1400378519911</v>
      </c>
      <c r="F12" s="355">
        <f t="shared" si="2"/>
        <v>9237.7254009240078</v>
      </c>
      <c r="G12" s="355">
        <f t="shared" si="2"/>
        <v>10167.38178136106</v>
      </c>
      <c r="H12" s="355">
        <f t="shared" si="2"/>
        <v>10795.35734114391</v>
      </c>
      <c r="I12" s="355">
        <f t="shared" si="2"/>
        <v>11159.320236283849</v>
      </c>
      <c r="J12" s="355">
        <f t="shared" si="2"/>
        <v>11289.865063203586</v>
      </c>
      <c r="K12" s="355">
        <f t="shared" si="2"/>
        <v>11212.296775636625</v>
      </c>
      <c r="L12" s="355">
        <f t="shared" si="2"/>
        <v>10947.906478535037</v>
      </c>
      <c r="M12" s="355">
        <f t="shared" si="2"/>
        <v>10514.889371716772</v>
      </c>
      <c r="N12" s="355">
        <f t="shared" si="2"/>
        <v>9929.0102072978007</v>
      </c>
      <c r="O12" s="355">
        <f t="shared" si="2"/>
        <v>9204.0901750232169</v>
      </c>
      <c r="P12" s="355">
        <f t="shared" si="2"/>
        <v>8352.3671019173999</v>
      </c>
      <c r="Q12" s="355">
        <f t="shared" si="2"/>
        <v>22394.926109040007</v>
      </c>
      <c r="R12" s="355">
        <f t="shared" si="2"/>
        <v>0</v>
      </c>
      <c r="S12" s="355">
        <f t="shared" si="2"/>
        <v>0</v>
      </c>
      <c r="T12" s="355">
        <f t="shared" si="2"/>
        <v>0</v>
      </c>
      <c r="U12" s="355">
        <f t="shared" si="2"/>
        <v>0</v>
      </c>
      <c r="V12" s="355" t="e">
        <f t="shared" si="2"/>
        <v>#REF!</v>
      </c>
      <c r="W12" s="355" t="e">
        <f t="shared" si="2"/>
        <v>#REF!</v>
      </c>
      <c r="X12" s="355" t="e">
        <f t="shared" si="2"/>
        <v>#REF!</v>
      </c>
      <c r="Y12" s="355" t="e">
        <f t="shared" si="2"/>
        <v>#REF!</v>
      </c>
      <c r="Z12" s="355" t="e">
        <f t="shared" si="2"/>
        <v>#REF!</v>
      </c>
      <c r="AA12" s="355" t="e">
        <f t="shared" si="2"/>
        <v>#REF!</v>
      </c>
      <c r="AB12" s="355"/>
      <c r="AC12" s="355"/>
      <c r="AD12" s="355"/>
      <c r="AE12" s="355"/>
      <c r="AF12" s="355"/>
      <c r="AG12" s="355"/>
      <c r="AH12" s="355"/>
      <c r="AI12" s="355"/>
      <c r="AJ12" s="355"/>
      <c r="AK12" s="355"/>
      <c r="AL12" s="355"/>
      <c r="AM12" s="355"/>
      <c r="AN12" s="355"/>
      <c r="AO12" s="355"/>
      <c r="AP12" s="355"/>
      <c r="AQ12" s="355"/>
      <c r="AR12" s="355"/>
      <c r="AS12" s="355"/>
      <c r="AT12" s="355"/>
      <c r="AU12" s="355"/>
      <c r="AV12" s="355"/>
      <c r="AW12" s="355"/>
      <c r="AX12" s="355"/>
      <c r="AY12" s="355"/>
      <c r="AZ12" s="355"/>
      <c r="BA12" s="355"/>
      <c r="BB12" s="355"/>
      <c r="BC12" s="355"/>
      <c r="BD12" s="355"/>
      <c r="BE12" s="355"/>
      <c r="BF12" s="355"/>
      <c r="BG12" s="355"/>
      <c r="BH12" s="355"/>
      <c r="BI12" s="355"/>
      <c r="BJ12" s="355"/>
      <c r="BK12" s="355"/>
      <c r="BL12" s="355"/>
      <c r="BM12" s="355"/>
      <c r="BN12" s="355"/>
      <c r="BO12" s="355"/>
      <c r="BP12" s="355"/>
      <c r="BQ12" s="355"/>
      <c r="BR12" s="355"/>
      <c r="BS12" s="355"/>
      <c r="BT12" s="355"/>
      <c r="BU12" s="355"/>
      <c r="BV12" s="355"/>
      <c r="BW12" s="355"/>
      <c r="BX12" s="355"/>
      <c r="BY12" s="355"/>
      <c r="BZ12" s="355"/>
      <c r="CA12" s="355"/>
      <c r="CB12" s="355"/>
      <c r="CC12" s="355"/>
      <c r="CD12" s="355"/>
      <c r="CE12" s="355"/>
      <c r="CF12" s="355"/>
      <c r="CG12" s="355"/>
    </row>
    <row r="13" spans="1:96">
      <c r="B13" s="355"/>
      <c r="C13" s="355"/>
    </row>
    <row r="14" spans="1:96">
      <c r="A14" s="43" t="s">
        <v>316</v>
      </c>
      <c r="B14" s="355">
        <f>B10+B12</f>
        <v>-451.60063906242976</v>
      </c>
      <c r="C14" s="355">
        <f>C10+C12</f>
        <v>4162.1181088675448</v>
      </c>
      <c r="D14" s="356">
        <f t="shared" ref="D14:AA14" si="3">D12-D10</f>
        <v>1657.5437976350549</v>
      </c>
      <c r="E14" s="356">
        <f t="shared" si="3"/>
        <v>1687.8774922869616</v>
      </c>
      <c r="F14" s="356">
        <f t="shared" si="3"/>
        <v>1278.5853630720167</v>
      </c>
      <c r="G14" s="356">
        <f t="shared" si="3"/>
        <v>929.65638043705258</v>
      </c>
      <c r="H14" s="356">
        <f t="shared" si="3"/>
        <v>627.97555978284981</v>
      </c>
      <c r="I14" s="356">
        <f t="shared" si="3"/>
        <v>363.96289513993906</v>
      </c>
      <c r="J14" s="356">
        <f t="shared" si="3"/>
        <v>130.54482691973681</v>
      </c>
      <c r="K14" s="356">
        <f t="shared" si="3"/>
        <v>-77.568287566960862</v>
      </c>
      <c r="L14" s="356">
        <f t="shared" si="3"/>
        <v>-264.39029710158866</v>
      </c>
      <c r="M14" s="356">
        <f t="shared" si="3"/>
        <v>-433.01710681826444</v>
      </c>
      <c r="N14" s="356">
        <f t="shared" si="3"/>
        <v>-585.87916441897141</v>
      </c>
      <c r="O14" s="356">
        <f t="shared" si="3"/>
        <v>-724.92003227458372</v>
      </c>
      <c r="P14" s="356">
        <f t="shared" si="3"/>
        <v>-851.72307310581709</v>
      </c>
      <c r="Q14" s="356">
        <f t="shared" si="3"/>
        <v>14042.559007122607</v>
      </c>
      <c r="R14" s="356">
        <f t="shared" si="3"/>
        <v>-22394.926109040007</v>
      </c>
      <c r="S14" s="356">
        <f t="shared" si="3"/>
        <v>0</v>
      </c>
      <c r="T14" s="356">
        <f t="shared" si="3"/>
        <v>0</v>
      </c>
      <c r="U14" s="356">
        <f t="shared" si="3"/>
        <v>0</v>
      </c>
      <c r="V14" s="356" t="e">
        <f t="shared" si="3"/>
        <v>#REF!</v>
      </c>
      <c r="W14" s="356" t="e">
        <f t="shared" si="3"/>
        <v>#REF!</v>
      </c>
      <c r="X14" s="356" t="e">
        <f t="shared" si="3"/>
        <v>#REF!</v>
      </c>
      <c r="Y14" s="356" t="e">
        <f t="shared" si="3"/>
        <v>#REF!</v>
      </c>
      <c r="Z14" s="356" t="e">
        <f t="shared" si="3"/>
        <v>#REF!</v>
      </c>
      <c r="AA14" s="356" t="e">
        <f t="shared" si="3"/>
        <v>#REF!</v>
      </c>
      <c r="AB14" s="356"/>
    </row>
  </sheetData>
  <pageMargins left="0.75" right="0.75" top="1" bottom="1" header="0.5" footer="0.5"/>
  <pageSetup scale="44" orientation="landscape" horizont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IO204"/>
  <sheetViews>
    <sheetView zoomScale="75" workbookViewId="0"/>
  </sheetViews>
  <sheetFormatPr defaultRowHeight="12.75"/>
  <cols>
    <col min="1" max="1" width="24.85546875" customWidth="1"/>
    <col min="2" max="17" width="12.28515625" customWidth="1"/>
    <col min="18" max="18" width="15.42578125" customWidth="1"/>
    <col min="19" max="21" width="12.28515625" customWidth="1"/>
    <col min="22" max="25" width="11.85546875" customWidth="1"/>
    <col min="26" max="31" width="11.28515625" customWidth="1"/>
  </cols>
  <sheetData>
    <row r="1" spans="1:56" ht="15.75">
      <c r="A1" s="26" t="s">
        <v>40</v>
      </c>
      <c r="F1" t="s">
        <v>797</v>
      </c>
    </row>
    <row r="2" spans="1:56">
      <c r="A2" s="17"/>
      <c r="B2" s="17"/>
      <c r="C2" s="1083"/>
      <c r="D2" s="1083"/>
      <c r="E2" s="1083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43"/>
      <c r="X2" s="43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</row>
    <row r="3" spans="1:56" s="471" customFormat="1" ht="13.5" thickBot="1">
      <c r="A3" s="9"/>
      <c r="B3" s="501"/>
      <c r="C3" s="543">
        <f>YEAR(Cashflow!C3)</f>
        <v>2000</v>
      </c>
      <c r="D3" s="544">
        <f>C3+1</f>
        <v>2001</v>
      </c>
      <c r="E3" s="544">
        <f t="shared" ref="E3:X3" si="0">D3+1</f>
        <v>2002</v>
      </c>
      <c r="F3" s="544">
        <f t="shared" si="0"/>
        <v>2003</v>
      </c>
      <c r="G3" s="544">
        <f t="shared" si="0"/>
        <v>2004</v>
      </c>
      <c r="H3" s="544">
        <f t="shared" si="0"/>
        <v>2005</v>
      </c>
      <c r="I3" s="544">
        <f t="shared" si="0"/>
        <v>2006</v>
      </c>
      <c r="J3" s="544">
        <f t="shared" si="0"/>
        <v>2007</v>
      </c>
      <c r="K3" s="544">
        <f t="shared" si="0"/>
        <v>2008</v>
      </c>
      <c r="L3" s="544">
        <f t="shared" si="0"/>
        <v>2009</v>
      </c>
      <c r="M3" s="544">
        <f t="shared" si="0"/>
        <v>2010</v>
      </c>
      <c r="N3" s="544">
        <f t="shared" si="0"/>
        <v>2011</v>
      </c>
      <c r="O3" s="544">
        <f t="shared" si="0"/>
        <v>2012</v>
      </c>
      <c r="P3" s="544">
        <f t="shared" si="0"/>
        <v>2013</v>
      </c>
      <c r="Q3" s="544">
        <f t="shared" si="0"/>
        <v>2014</v>
      </c>
      <c r="R3" s="544">
        <f t="shared" si="0"/>
        <v>2015</v>
      </c>
      <c r="S3" s="544">
        <f t="shared" si="0"/>
        <v>2016</v>
      </c>
      <c r="T3" s="544">
        <f t="shared" si="0"/>
        <v>2017</v>
      </c>
      <c r="U3" s="544">
        <f t="shared" si="0"/>
        <v>2018</v>
      </c>
      <c r="V3" s="544">
        <f t="shared" si="0"/>
        <v>2019</v>
      </c>
      <c r="W3" s="544">
        <f t="shared" si="0"/>
        <v>2020</v>
      </c>
      <c r="X3" s="544">
        <f t="shared" si="0"/>
        <v>2021</v>
      </c>
      <c r="Y3" s="481"/>
    </row>
    <row r="4" spans="1:56" s="383" customFormat="1" ht="11.25">
      <c r="A4" s="381" t="s">
        <v>355</v>
      </c>
      <c r="B4" s="382"/>
      <c r="C4" s="452">
        <f>IF(B4&gt;0,B4+1,IF(Cashflow!$C$3=C3,1,0))</f>
        <v>0</v>
      </c>
      <c r="D4" s="452">
        <f>IF(C4&gt;0,C4+1,IF(Cashflow!$C$3=D3,1,0))</f>
        <v>0</v>
      </c>
      <c r="E4" s="452">
        <f>IF(D4&gt;0,D4+1,IF(Cashflow!$C$3=E3,1,0))</f>
        <v>0</v>
      </c>
      <c r="F4" s="452">
        <f>IF(E4&gt;0,E4+1,IF(Cashflow!$C$3=F3,1,0))</f>
        <v>0</v>
      </c>
      <c r="G4" s="452">
        <f>IF(F4&gt;0,F4+1,IF(Cashflow!$C$3=G3,1,0))</f>
        <v>0</v>
      </c>
      <c r="H4" s="452">
        <f>IF(G4&gt;0,G4+1,IF(Cashflow!$C$3=H3,1,0))</f>
        <v>0</v>
      </c>
      <c r="I4" s="452">
        <f>IF(H4&gt;0,H4+1,IF(Cashflow!$C$3=I3,1,0))</f>
        <v>0</v>
      </c>
      <c r="J4" s="452">
        <f>IF(I4&gt;0,I4+1,IF(Cashflow!$C$3=J3,1,0))</f>
        <v>0</v>
      </c>
      <c r="K4" s="452">
        <f>IF(J4&gt;0,J4+1,IF(Cashflow!$C$3=K3,1,0))</f>
        <v>0</v>
      </c>
      <c r="L4" s="452">
        <f>IF(K4&gt;0,K4+1,IF(Cashflow!$C$3=L3,1,0))</f>
        <v>0</v>
      </c>
      <c r="M4" s="452">
        <f>IF(L4&gt;0,L4+1,IF(Cashflow!$C$3=M3,1,0))</f>
        <v>0</v>
      </c>
      <c r="N4" s="452">
        <f>IF(M4&gt;0,M4+1,IF(Cashflow!$C$3=N3,1,0))</f>
        <v>0</v>
      </c>
      <c r="O4" s="452">
        <f>IF(N4&gt;0,N4+1,IF(Cashflow!$C$3=O3,1,0))</f>
        <v>0</v>
      </c>
      <c r="P4" s="452">
        <f>IF(O4&gt;0,O4+1,IF(Cashflow!$C$3=P3,1,0))</f>
        <v>0</v>
      </c>
      <c r="Q4" s="452">
        <f>IF(P4&gt;0,P4+1,IF(Cashflow!$C$3=Q3,1,0))</f>
        <v>0</v>
      </c>
      <c r="R4" s="452">
        <f>IF(Q4&gt;0,Q4+1,IF(Cashflow!$C$3=R3,1,0))</f>
        <v>0</v>
      </c>
      <c r="S4" s="452">
        <f>IF(R4&gt;0,R4+1,IF(Cashflow!$C$3=S3,1,0))</f>
        <v>0</v>
      </c>
      <c r="T4" s="452">
        <f>IF(S4&gt;0,S4+1,IF(Cashflow!$C$3=T3,1,0))</f>
        <v>0</v>
      </c>
      <c r="U4" s="452">
        <f>IF(T4&gt;0,T4+1,IF(Cashflow!$C$3=U3,1,0))</f>
        <v>0</v>
      </c>
      <c r="V4" s="452">
        <f>IF(U4&gt;0,U4+1,IF(Cashflow!$C$3=V3,1,0))</f>
        <v>0</v>
      </c>
      <c r="W4" s="452">
        <f>IF(V4&gt;0,V4+1,IF(Cashflow!$C$3=W3,1,0))</f>
        <v>0</v>
      </c>
      <c r="X4" s="452">
        <f>IF(W4&gt;0,W4+1,IF(Cashflow!$C$3=X3,1,0))</f>
        <v>0</v>
      </c>
      <c r="Y4" s="382"/>
    </row>
    <row r="5" spans="1:56" s="43" customFormat="1">
      <c r="A5"/>
      <c r="B5" s="1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</row>
    <row r="6" spans="1:56" s="25" customFormat="1" ht="11.25">
      <c r="A6" s="9" t="s">
        <v>41</v>
      </c>
      <c r="B6" s="59"/>
      <c r="C6" s="54">
        <f>INDEX(Income_Statement,MATCH("Operating Income",ISColumn,0),MATCH(C$3,ISRow,0))</f>
        <v>-1646.8812344142304</v>
      </c>
      <c r="D6" s="54">
        <f>INDEX(Income_Statement,MATCH("Operating Income",ISColumn,0),MATCH(D$3,ISRow,0))</f>
        <v>23318.420365818591</v>
      </c>
      <c r="E6" s="54">
        <f t="shared" ref="E6:X6" si="1">INDEX(Income_Statement,MATCH("Operating Income",ISColumn,0),MATCH(E$3,ISRow,0))</f>
        <v>14895.065227539868</v>
      </c>
      <c r="F6" s="54">
        <f t="shared" si="1"/>
        <v>10264.022704532832</v>
      </c>
      <c r="G6" s="54">
        <f t="shared" si="1"/>
        <v>5523.3045999843307</v>
      </c>
      <c r="H6" s="54">
        <f t="shared" si="1"/>
        <v>3497.1866937235864</v>
      </c>
      <c r="I6" s="54">
        <f t="shared" si="1"/>
        <v>4633.2508087996794</v>
      </c>
      <c r="J6" s="54">
        <f t="shared" si="1"/>
        <v>5510.8266710203352</v>
      </c>
      <c r="K6" s="54">
        <f t="shared" si="1"/>
        <v>5057.7397546991597</v>
      </c>
      <c r="L6" s="54">
        <f t="shared" si="1"/>
        <v>6018.6322297040715</v>
      </c>
      <c r="M6" s="54">
        <f t="shared" si="1"/>
        <v>6390.6010793357891</v>
      </c>
      <c r="N6" s="54">
        <f t="shared" si="1"/>
        <v>7130.3799076755749</v>
      </c>
      <c r="O6" s="54">
        <f t="shared" si="1"/>
        <v>7847.5345951931631</v>
      </c>
      <c r="P6" s="54">
        <f t="shared" si="1"/>
        <v>9209.8088929037622</v>
      </c>
      <c r="Q6" s="54">
        <f t="shared" si="1"/>
        <v>9672.9347690268187</v>
      </c>
      <c r="R6" s="54">
        <f t="shared" si="1"/>
        <v>10621.865768098331</v>
      </c>
      <c r="S6" s="54">
        <f t="shared" si="1"/>
        <v>0</v>
      </c>
      <c r="T6" s="54">
        <f t="shared" si="1"/>
        <v>0</v>
      </c>
      <c r="U6" s="54">
        <f t="shared" si="1"/>
        <v>0</v>
      </c>
      <c r="V6" s="54">
        <f t="shared" si="1"/>
        <v>0</v>
      </c>
      <c r="W6" s="54">
        <f t="shared" si="1"/>
        <v>0</v>
      </c>
      <c r="X6" s="54">
        <f t="shared" si="1"/>
        <v>0</v>
      </c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</row>
    <row r="7" spans="1:56" s="25" customFormat="1" ht="11.25">
      <c r="A7" s="9"/>
      <c r="B7" s="59"/>
      <c r="C7" s="9"/>
      <c r="D7" s="9"/>
      <c r="E7" s="9"/>
      <c r="F7" s="370"/>
      <c r="G7" s="370"/>
      <c r="H7" s="370"/>
      <c r="I7" s="370"/>
      <c r="J7" s="370"/>
      <c r="K7" s="370"/>
      <c r="L7" s="370"/>
      <c r="M7" s="9"/>
      <c r="N7" s="9"/>
      <c r="O7" s="9"/>
      <c r="P7" s="9"/>
      <c r="Q7" s="9"/>
      <c r="R7" s="9"/>
      <c r="S7" s="9"/>
      <c r="T7" s="9"/>
      <c r="U7" s="9"/>
      <c r="V7" s="9"/>
      <c r="W7" s="9"/>
    </row>
    <row r="8" spans="1:56" s="25" customFormat="1" ht="11.25">
      <c r="A8" s="9" t="s">
        <v>42</v>
      </c>
      <c r="B8" s="59"/>
      <c r="C8" s="9"/>
      <c r="D8" s="9"/>
      <c r="E8" s="9"/>
      <c r="F8" s="370"/>
      <c r="G8" s="370"/>
      <c r="H8" s="370"/>
      <c r="I8" s="370"/>
      <c r="J8" s="370"/>
      <c r="K8" s="370"/>
      <c r="L8" s="370"/>
      <c r="M8" s="9"/>
      <c r="N8" s="9"/>
      <c r="O8" s="9"/>
      <c r="P8" s="9"/>
      <c r="Q8" s="9"/>
      <c r="R8" s="9"/>
      <c r="S8" s="9"/>
      <c r="T8" s="9"/>
      <c r="U8" s="9"/>
      <c r="V8" s="9"/>
      <c r="W8" s="9"/>
    </row>
    <row r="9" spans="1:56" s="25" customFormat="1" ht="11.25">
      <c r="A9" s="9" t="s">
        <v>43</v>
      </c>
      <c r="B9" s="59"/>
      <c r="C9" s="54">
        <f>INDEX(Income_Statement,MATCH("Depreciation",ISColumn,0),MATCH(C$3,ISRow,0))</f>
        <v>1200.4270044190012</v>
      </c>
      <c r="D9" s="54">
        <f>INDEX(Income_Statement,MATCH("Depreciation",ISColumn,0),MATCH(D$3,ISRow,0))</f>
        <v>7202.5620265140069</v>
      </c>
      <c r="E9" s="54">
        <f t="shared" ref="E9:X9" si="2">INDEX(Income_Statement,MATCH("Depreciation",ISColumn,0),MATCH(E$3,ISRow,0))</f>
        <v>7202.5620265140069</v>
      </c>
      <c r="F9" s="54">
        <f t="shared" si="2"/>
        <v>7202.5620265140069</v>
      </c>
      <c r="G9" s="54">
        <f t="shared" si="2"/>
        <v>7202.5620265140069</v>
      </c>
      <c r="H9" s="54">
        <f t="shared" si="2"/>
        <v>7202.5620265140069</v>
      </c>
      <c r="I9" s="54">
        <f t="shared" si="2"/>
        <v>7202.5620265140069</v>
      </c>
      <c r="J9" s="54">
        <f t="shared" si="2"/>
        <v>7202.5620265140069</v>
      </c>
      <c r="K9" s="54">
        <f t="shared" si="2"/>
        <v>7202.5620265140069</v>
      </c>
      <c r="L9" s="54">
        <f t="shared" si="2"/>
        <v>7202.5620265140069</v>
      </c>
      <c r="M9" s="54">
        <f t="shared" si="2"/>
        <v>7202.5620265140069</v>
      </c>
      <c r="N9" s="54">
        <f t="shared" si="2"/>
        <v>7202.5620265140069</v>
      </c>
      <c r="O9" s="54">
        <f t="shared" si="2"/>
        <v>7202.5620265140069</v>
      </c>
      <c r="P9" s="54">
        <f t="shared" si="2"/>
        <v>7202.5620265140069</v>
      </c>
      <c r="Q9" s="54">
        <f t="shared" si="2"/>
        <v>7202.5620265140069</v>
      </c>
      <c r="R9" s="54">
        <f t="shared" si="2"/>
        <v>7202.5620265140069</v>
      </c>
      <c r="S9" s="54">
        <f t="shared" si="2"/>
        <v>0</v>
      </c>
      <c r="T9" s="54">
        <f t="shared" si="2"/>
        <v>0</v>
      </c>
      <c r="U9" s="54">
        <f t="shared" si="2"/>
        <v>0</v>
      </c>
      <c r="V9" s="54">
        <f t="shared" si="2"/>
        <v>0</v>
      </c>
      <c r="W9" s="54">
        <f t="shared" si="2"/>
        <v>0</v>
      </c>
      <c r="X9" s="54">
        <f t="shared" si="2"/>
        <v>0</v>
      </c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</row>
    <row r="10" spans="1:56" s="25" customFormat="1" ht="11.25">
      <c r="A10" s="1"/>
      <c r="B10" s="23"/>
      <c r="C10" s="1"/>
      <c r="D10" s="1"/>
      <c r="E10" s="1"/>
      <c r="F10" s="21"/>
      <c r="G10" s="21"/>
      <c r="H10" s="21"/>
      <c r="I10" s="21"/>
      <c r="J10" s="21"/>
      <c r="K10" s="21"/>
      <c r="L10" s="2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7"/>
    </row>
    <row r="11" spans="1:56" s="25" customFormat="1" ht="11.25">
      <c r="A11" s="1" t="s">
        <v>44</v>
      </c>
      <c r="B11" s="23"/>
      <c r="C11" s="1"/>
      <c r="D11" s="1"/>
      <c r="E11" s="1"/>
      <c r="F11" s="21"/>
      <c r="G11" s="21"/>
      <c r="H11" s="21"/>
      <c r="I11" s="21"/>
      <c r="J11" s="21"/>
      <c r="K11" s="21"/>
      <c r="L11" s="2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7"/>
    </row>
    <row r="12" spans="1:56" s="25" customFormat="1" ht="11.25">
      <c r="A12" s="1" t="s">
        <v>45</v>
      </c>
      <c r="B12" s="23"/>
      <c r="C12" s="433">
        <f>-C123-C135-C147-C159-C171-C183</f>
        <v>0</v>
      </c>
      <c r="D12" s="433">
        <f t="shared" ref="D12:X12" si="3">-D123-D135-D147-D159-D171-D183</f>
        <v>-21355.59640861403</v>
      </c>
      <c r="E12" s="433">
        <f t="shared" si="3"/>
        <v>-14083.169530442839</v>
      </c>
      <c r="F12" s="433">
        <f t="shared" si="3"/>
        <v>-12540.568010976229</v>
      </c>
      <c r="G12" s="433">
        <f t="shared" si="3"/>
        <v>-11246.1590001763</v>
      </c>
      <c r="H12" s="433">
        <f t="shared" si="3"/>
        <v>-10142.651781216917</v>
      </c>
      <c r="I12" s="433">
        <f t="shared" si="3"/>
        <v>-9188.5694894578683</v>
      </c>
      <c r="J12" s="433">
        <f t="shared" si="3"/>
        <v>-8353.614825818051</v>
      </c>
      <c r="K12" s="433">
        <f t="shared" si="3"/>
        <v>-7615.4172666143768</v>
      </c>
      <c r="L12" s="433">
        <f t="shared" si="3"/>
        <v>-6957.2480240884652</v>
      </c>
      <c r="M12" s="433">
        <f t="shared" si="3"/>
        <v>-6366.4130793236545</v>
      </c>
      <c r="N12" s="433">
        <f t="shared" si="3"/>
        <v>-5833.1214609913495</v>
      </c>
      <c r="O12" s="433">
        <f t="shared" si="3"/>
        <v>-5349.6867437215515</v>
      </c>
      <c r="P12" s="433">
        <f t="shared" si="3"/>
        <v>-4909.962303950485</v>
      </c>
      <c r="Q12" s="433">
        <f t="shared" si="3"/>
        <v>-4508.9406694431054</v>
      </c>
      <c r="R12" s="433">
        <f t="shared" si="3"/>
        <v>15010.766677239575</v>
      </c>
      <c r="S12" s="433">
        <f t="shared" si="3"/>
        <v>0</v>
      </c>
      <c r="T12" s="433">
        <f t="shared" si="3"/>
        <v>0</v>
      </c>
      <c r="U12" s="433">
        <f t="shared" si="3"/>
        <v>0</v>
      </c>
      <c r="V12" s="433">
        <f t="shared" si="3"/>
        <v>0</v>
      </c>
      <c r="W12" s="433">
        <f t="shared" si="3"/>
        <v>0</v>
      </c>
      <c r="X12" s="433">
        <f t="shared" si="3"/>
        <v>0</v>
      </c>
      <c r="Y12" s="59"/>
    </row>
    <row r="13" spans="1:56" s="25" customFormat="1" ht="11.25">
      <c r="A13" s="1" t="s">
        <v>46</v>
      </c>
      <c r="B13" s="23"/>
      <c r="C13" s="1"/>
      <c r="D13" s="1"/>
      <c r="E13" s="1"/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56" s="25" customFormat="1" ht="11.25">
      <c r="A14" s="1"/>
      <c r="B14" s="23"/>
      <c r="C14" s="170"/>
      <c r="D14" s="170"/>
      <c r="E14" s="170"/>
      <c r="F14" s="247"/>
      <c r="G14" s="247"/>
      <c r="H14" s="247"/>
      <c r="I14" s="247"/>
      <c r="J14" s="247"/>
      <c r="K14" s="247"/>
      <c r="L14" s="247"/>
      <c r="M14" s="170"/>
      <c r="N14" s="170"/>
      <c r="O14" s="170"/>
      <c r="P14" s="170"/>
      <c r="Q14" s="170"/>
      <c r="R14" s="170"/>
      <c r="S14" s="170"/>
      <c r="T14" s="170"/>
      <c r="U14" s="170"/>
      <c r="V14" s="170"/>
      <c r="W14" s="170"/>
      <c r="X14" s="170"/>
    </row>
    <row r="15" spans="1:56" s="25" customFormat="1" ht="11.25">
      <c r="A15" s="9" t="s">
        <v>226</v>
      </c>
      <c r="B15" s="59"/>
      <c r="C15" s="59">
        <f>SUM(C5:C14)</f>
        <v>-446.4542299952293</v>
      </c>
      <c r="D15" s="59">
        <f>SUM(D5:D14)</f>
        <v>9165.3859837185664</v>
      </c>
      <c r="E15" s="59">
        <f>SUM(E5:E14)</f>
        <v>8014.4577236110345</v>
      </c>
      <c r="F15" s="59">
        <f t="shared" ref="F15:N15" si="4">SUM(F5:F14)</f>
        <v>4926.0167200706092</v>
      </c>
      <c r="G15" s="59">
        <f t="shared" si="4"/>
        <v>1479.707626322037</v>
      </c>
      <c r="H15" s="59">
        <f t="shared" si="4"/>
        <v>557.09693902067556</v>
      </c>
      <c r="I15" s="59">
        <f t="shared" si="4"/>
        <v>2647.2433458558171</v>
      </c>
      <c r="J15" s="59">
        <f t="shared" si="4"/>
        <v>4359.7738717162902</v>
      </c>
      <c r="K15" s="59">
        <f t="shared" si="4"/>
        <v>4644.8845145987889</v>
      </c>
      <c r="L15" s="59">
        <f t="shared" si="4"/>
        <v>6263.9462321296123</v>
      </c>
      <c r="M15" s="59">
        <f t="shared" si="4"/>
        <v>7226.7500265261406</v>
      </c>
      <c r="N15" s="59">
        <f t="shared" si="4"/>
        <v>8499.8204731982314</v>
      </c>
      <c r="O15" s="59">
        <f t="shared" ref="O15:X15" si="5">SUM(O5:O14)</f>
        <v>9700.4098779856176</v>
      </c>
      <c r="P15" s="59">
        <f t="shared" si="5"/>
        <v>11502.408615467284</v>
      </c>
      <c r="Q15" s="59">
        <f t="shared" si="5"/>
        <v>12366.556126097719</v>
      </c>
      <c r="R15" s="59">
        <f t="shared" si="5"/>
        <v>32835.194471851908</v>
      </c>
      <c r="S15" s="59">
        <f t="shared" si="5"/>
        <v>0</v>
      </c>
      <c r="T15" s="59">
        <f t="shared" si="5"/>
        <v>0</v>
      </c>
      <c r="U15" s="59">
        <f t="shared" si="5"/>
        <v>0</v>
      </c>
      <c r="V15" s="59">
        <f t="shared" si="5"/>
        <v>0</v>
      </c>
      <c r="W15" s="59">
        <f t="shared" si="5"/>
        <v>0</v>
      </c>
      <c r="X15" s="59">
        <f t="shared" si="5"/>
        <v>0</v>
      </c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>
        <f>SUM(BD5:BD14)</f>
        <v>0</v>
      </c>
    </row>
    <row r="16" spans="1:56" s="25" customFormat="1" ht="11.25">
      <c r="A16" s="9" t="s">
        <v>227</v>
      </c>
      <c r="B16" s="59"/>
      <c r="C16" s="59">
        <f>-C87</f>
        <v>0</v>
      </c>
      <c r="D16" s="59">
        <f>-D87</f>
        <v>-446.4542299952293</v>
      </c>
      <c r="E16" s="59">
        <f>-E87</f>
        <v>0</v>
      </c>
      <c r="F16" s="59">
        <f>-F87</f>
        <v>0</v>
      </c>
      <c r="G16" s="59">
        <f t="shared" ref="G16:X16" si="6">-G87</f>
        <v>0</v>
      </c>
      <c r="H16" s="59">
        <f t="shared" si="6"/>
        <v>0</v>
      </c>
      <c r="I16" s="59">
        <f t="shared" si="6"/>
        <v>0</v>
      </c>
      <c r="J16" s="59">
        <f>IF(Tables!B21=Tax!J4,0,-J87)</f>
        <v>0</v>
      </c>
      <c r="K16" s="59">
        <f>IF(G17=J15,0,-K87)</f>
        <v>0</v>
      </c>
      <c r="L16" s="59">
        <f>IF(H17=K15,0,-L87)</f>
        <v>0</v>
      </c>
      <c r="M16" s="376">
        <f t="shared" si="6"/>
        <v>0</v>
      </c>
      <c r="N16" s="376">
        <f t="shared" si="6"/>
        <v>0</v>
      </c>
      <c r="O16" s="376">
        <f t="shared" si="6"/>
        <v>0</v>
      </c>
      <c r="P16" s="376">
        <f t="shared" si="6"/>
        <v>0</v>
      </c>
      <c r="Q16" s="376">
        <f t="shared" si="6"/>
        <v>0</v>
      </c>
      <c r="R16" s="376">
        <f t="shared" si="6"/>
        <v>0</v>
      </c>
      <c r="S16" s="376">
        <f t="shared" si="6"/>
        <v>0</v>
      </c>
      <c r="T16" s="376">
        <f t="shared" si="6"/>
        <v>0</v>
      </c>
      <c r="U16" s="376">
        <f t="shared" si="6"/>
        <v>0</v>
      </c>
      <c r="V16" s="376">
        <f t="shared" si="6"/>
        <v>0</v>
      </c>
      <c r="W16" s="376">
        <f t="shared" si="6"/>
        <v>0</v>
      </c>
      <c r="X16" s="376">
        <f t="shared" si="6"/>
        <v>0</v>
      </c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</row>
    <row r="17" spans="1:56" s="25" customFormat="1" ht="11.25">
      <c r="A17" s="9" t="s">
        <v>334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</row>
    <row r="18" spans="1:56" s="25" customFormat="1" ht="11.25">
      <c r="A18" s="9" t="s">
        <v>228</v>
      </c>
      <c r="B18" s="59"/>
      <c r="C18" s="373">
        <f>C15+C16</f>
        <v>-446.4542299952293</v>
      </c>
      <c r="D18" s="373">
        <f>D15+D16</f>
        <v>8718.9317537233364</v>
      </c>
      <c r="E18" s="373">
        <f>E15+E16</f>
        <v>8014.4577236110345</v>
      </c>
      <c r="F18" s="373">
        <f>F15+F16+F17</f>
        <v>4926.0167200706092</v>
      </c>
      <c r="G18" s="373">
        <f t="shared" ref="G18:X18" si="7">G15+G16+G17</f>
        <v>1479.707626322037</v>
      </c>
      <c r="H18" s="373">
        <f t="shared" si="7"/>
        <v>557.09693902067556</v>
      </c>
      <c r="I18" s="373">
        <f>I15+I16+I17</f>
        <v>2647.2433458558171</v>
      </c>
      <c r="J18" s="373">
        <f t="shared" si="7"/>
        <v>4359.7738717162902</v>
      </c>
      <c r="K18" s="373">
        <f t="shared" si="7"/>
        <v>4644.8845145987889</v>
      </c>
      <c r="L18" s="373">
        <f t="shared" si="7"/>
        <v>6263.9462321296123</v>
      </c>
      <c r="M18" s="373">
        <f t="shared" si="7"/>
        <v>7226.7500265261406</v>
      </c>
      <c r="N18" s="373">
        <f t="shared" si="7"/>
        <v>8499.8204731982314</v>
      </c>
      <c r="O18" s="373">
        <f t="shared" si="7"/>
        <v>9700.4098779856176</v>
      </c>
      <c r="P18" s="373">
        <f t="shared" si="7"/>
        <v>11502.408615467284</v>
      </c>
      <c r="Q18" s="373">
        <f t="shared" si="7"/>
        <v>12366.556126097719</v>
      </c>
      <c r="R18" s="373">
        <f t="shared" si="7"/>
        <v>32835.194471851908</v>
      </c>
      <c r="S18" s="373">
        <f t="shared" si="7"/>
        <v>0</v>
      </c>
      <c r="T18" s="373">
        <f t="shared" si="7"/>
        <v>0</v>
      </c>
      <c r="U18" s="373">
        <f t="shared" si="7"/>
        <v>0</v>
      </c>
      <c r="V18" s="373">
        <f t="shared" si="7"/>
        <v>0</v>
      </c>
      <c r="W18" s="373">
        <f t="shared" si="7"/>
        <v>0</v>
      </c>
      <c r="X18" s="373">
        <f t="shared" si="7"/>
        <v>0</v>
      </c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</row>
    <row r="19" spans="1:56" s="25" customFormat="1" ht="11.25">
      <c r="A19" s="9"/>
      <c r="B19" s="59"/>
      <c r="C19" s="9"/>
      <c r="D19" s="9"/>
      <c r="E19" s="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</row>
    <row r="20" spans="1:56" s="25" customFormat="1" ht="11.25">
      <c r="A20" s="9"/>
      <c r="B20" s="59"/>
      <c r="C20" s="9"/>
      <c r="D20" s="9"/>
      <c r="E20" s="9"/>
      <c r="F20" s="370"/>
      <c r="G20" s="370"/>
      <c r="H20" s="370"/>
      <c r="I20" s="370"/>
      <c r="J20" s="370"/>
      <c r="K20" s="370"/>
      <c r="L20" s="370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56" s="25" customFormat="1" ht="11.25">
      <c r="A21" s="9" t="s">
        <v>189</v>
      </c>
      <c r="B21" s="59"/>
      <c r="C21" s="370">
        <f>C18*(INDEX(FedTaxTable,MATCH("Federal Income Tax after M &amp; P Credit",FedTaxColumn,0),MATCH(C3,FedTaxRow,0)))</f>
        <v>-98.755675674944712</v>
      </c>
      <c r="D21" s="370">
        <f>D18*(INDEX(FedTaxTable,MATCH("Federal Income Tax after M &amp; P Credit",FedTaxColumn,0),MATCH(D3,FedTaxRow,0)))</f>
        <v>1754.2490688491353</v>
      </c>
      <c r="E21" s="370">
        <f>E18*(INDEX(FedTaxTable,MATCH("Federal Income Tax after M &amp; P Credit",FedTaxColumn,0),MATCH(E3,FedTaxRow,0)))</f>
        <v>1452.2197395183193</v>
      </c>
      <c r="F21" s="370">
        <f>F18*(INDEX(FedTaxTable,MATCH("Federal Income Tax after M &amp; P Credit",FedTaxColumn,0),MATCH(F3,FedTaxRow,0)))</f>
        <v>892.59422967679427</v>
      </c>
      <c r="G21" s="370">
        <f t="shared" ref="G21:X21" si="8">G18*(INDEX(FedTaxTable,MATCH("Federal Income Tax after M &amp; P Credit",FedTaxColumn,0),MATCH(G3,FedTaxRow,0)))</f>
        <v>268.12302188955306</v>
      </c>
      <c r="H21" s="370">
        <f t="shared" si="8"/>
        <v>100.9459653505464</v>
      </c>
      <c r="I21" s="370">
        <f t="shared" si="8"/>
        <v>479.68049426907396</v>
      </c>
      <c r="J21" s="370">
        <f t="shared" si="8"/>
        <v>789.99102555499167</v>
      </c>
      <c r="K21" s="370">
        <f t="shared" si="8"/>
        <v>841.6530740453004</v>
      </c>
      <c r="L21" s="370">
        <f t="shared" si="8"/>
        <v>1135.0270572618856</v>
      </c>
      <c r="M21" s="370">
        <f t="shared" si="8"/>
        <v>1309.4871048065365</v>
      </c>
      <c r="N21" s="370">
        <f t="shared" si="8"/>
        <v>1540.1674697435194</v>
      </c>
      <c r="O21" s="370">
        <f t="shared" si="8"/>
        <v>1757.7142698909936</v>
      </c>
      <c r="P21" s="370">
        <f t="shared" si="8"/>
        <v>2084.2364411226717</v>
      </c>
      <c r="Q21" s="370">
        <f t="shared" si="8"/>
        <v>2240.8199700489063</v>
      </c>
      <c r="R21" s="370">
        <f t="shared" si="8"/>
        <v>5949.7372382995645</v>
      </c>
      <c r="S21" s="370">
        <f t="shared" si="8"/>
        <v>0</v>
      </c>
      <c r="T21" s="370">
        <f t="shared" si="8"/>
        <v>0</v>
      </c>
      <c r="U21" s="370">
        <f t="shared" si="8"/>
        <v>0</v>
      </c>
      <c r="V21" s="370">
        <f t="shared" si="8"/>
        <v>0</v>
      </c>
      <c r="W21" s="370">
        <f t="shared" si="8"/>
        <v>0</v>
      </c>
      <c r="X21" s="370">
        <f t="shared" si="8"/>
        <v>0</v>
      </c>
      <c r="Y21" s="59"/>
      <c r="Z21" s="59"/>
      <c r="AA21" s="59"/>
      <c r="AB21" s="59"/>
    </row>
    <row r="22" spans="1:56" s="25" customFormat="1" ht="11.25">
      <c r="A22" s="9" t="s">
        <v>188</v>
      </c>
      <c r="B22" s="59"/>
      <c r="C22" s="370">
        <f>C$18*(INDEX(FedTaxTable,MATCH("Federal Surtax",FedTaxColumn,0),MATCH(C3,FedTaxRow,0)))</f>
        <v>-17.858169199809172</v>
      </c>
      <c r="D22" s="370">
        <f t="shared" ref="D22:X22" si="9">D$18*(INDEX(FedTaxTable,MATCH("Federal Surtax",FedTaxColumn,0),MATCH(D3,FedTaxRow,0)))</f>
        <v>348.75727014893346</v>
      </c>
      <c r="E22" s="370">
        <f t="shared" si="9"/>
        <v>320.5783089444414</v>
      </c>
      <c r="F22" s="370">
        <f t="shared" si="9"/>
        <v>197.04066880282437</v>
      </c>
      <c r="G22" s="370">
        <f t="shared" si="9"/>
        <v>59.188305052881482</v>
      </c>
      <c r="H22" s="370">
        <f t="shared" si="9"/>
        <v>22.283877560827023</v>
      </c>
      <c r="I22" s="370">
        <f t="shared" si="9"/>
        <v>105.88973383423269</v>
      </c>
      <c r="J22" s="370">
        <f t="shared" si="9"/>
        <v>174.39095486865162</v>
      </c>
      <c r="K22" s="370">
        <f t="shared" si="9"/>
        <v>185.79538058395156</v>
      </c>
      <c r="L22" s="370">
        <f t="shared" si="9"/>
        <v>250.55784928518449</v>
      </c>
      <c r="M22" s="370">
        <f t="shared" si="9"/>
        <v>289.07000106104562</v>
      </c>
      <c r="N22" s="370">
        <f t="shared" si="9"/>
        <v>339.99281892792925</v>
      </c>
      <c r="O22" s="370">
        <f t="shared" si="9"/>
        <v>388.01639511942471</v>
      </c>
      <c r="P22" s="370">
        <f t="shared" si="9"/>
        <v>460.09634461869138</v>
      </c>
      <c r="Q22" s="370">
        <f t="shared" si="9"/>
        <v>494.6622450439088</v>
      </c>
      <c r="R22" s="370">
        <f t="shared" si="9"/>
        <v>1313.4077788740763</v>
      </c>
      <c r="S22" s="370">
        <f t="shared" si="9"/>
        <v>0</v>
      </c>
      <c r="T22" s="370">
        <f t="shared" si="9"/>
        <v>0</v>
      </c>
      <c r="U22" s="370">
        <f t="shared" si="9"/>
        <v>0</v>
      </c>
      <c r="V22" s="370">
        <f t="shared" si="9"/>
        <v>0</v>
      </c>
      <c r="W22" s="370">
        <f t="shared" si="9"/>
        <v>0</v>
      </c>
      <c r="X22" s="370">
        <f t="shared" si="9"/>
        <v>0</v>
      </c>
      <c r="Y22" s="59"/>
      <c r="Z22" s="59"/>
      <c r="AA22" s="59"/>
      <c r="AB22" s="59"/>
    </row>
    <row r="23" spans="1:56" s="25" customFormat="1" ht="11.25">
      <c r="A23" s="9" t="s">
        <v>120</v>
      </c>
      <c r="B23" s="59"/>
      <c r="C23" s="370">
        <f>C18*(INDEX(ProvTaxTable,MATCH("Provincial Tax Rate",ProvTaxColumn,0),MATCH(C3,ProvTaxRow,0)))</f>
        <v>-69.200405649260546</v>
      </c>
      <c r="D23" s="370">
        <f t="shared" ref="D23:X23" si="10">D18*(INDEX(ProvTaxTable,MATCH("Provincial Tax Rate",ProvTaxColumn,0),MATCH(D3,ProvTaxRow,0)))</f>
        <v>1351.4344218271171</v>
      </c>
      <c r="E23" s="370">
        <f t="shared" si="10"/>
        <v>1081.9517926874896</v>
      </c>
      <c r="F23" s="370">
        <f t="shared" si="10"/>
        <v>665.01225720953232</v>
      </c>
      <c r="G23" s="370">
        <f t="shared" si="10"/>
        <v>199.76052955347501</v>
      </c>
      <c r="H23" s="370">
        <f t="shared" si="10"/>
        <v>75.208086767791201</v>
      </c>
      <c r="I23" s="370">
        <f t="shared" si="10"/>
        <v>357.37785169053535</v>
      </c>
      <c r="J23" s="370">
        <f t="shared" si="10"/>
        <v>588.56947268169927</v>
      </c>
      <c r="K23" s="370">
        <f t="shared" si="10"/>
        <v>627.0594094708365</v>
      </c>
      <c r="L23" s="370">
        <f t="shared" si="10"/>
        <v>845.63274133749769</v>
      </c>
      <c r="M23" s="370">
        <f t="shared" si="10"/>
        <v>975.61125358102902</v>
      </c>
      <c r="N23" s="370">
        <f t="shared" si="10"/>
        <v>1147.4757638817614</v>
      </c>
      <c r="O23" s="370">
        <f t="shared" si="10"/>
        <v>1309.5553335280586</v>
      </c>
      <c r="P23" s="370">
        <f t="shared" si="10"/>
        <v>1552.8251630880834</v>
      </c>
      <c r="Q23" s="370">
        <f t="shared" si="10"/>
        <v>1669.4850770231922</v>
      </c>
      <c r="R23" s="370">
        <f t="shared" si="10"/>
        <v>4432.7512537000075</v>
      </c>
      <c r="S23" s="370">
        <f t="shared" si="10"/>
        <v>0</v>
      </c>
      <c r="T23" s="370">
        <f t="shared" si="10"/>
        <v>0</v>
      </c>
      <c r="U23" s="370">
        <f t="shared" si="10"/>
        <v>0</v>
      </c>
      <c r="V23" s="370">
        <f t="shared" si="10"/>
        <v>0</v>
      </c>
      <c r="W23" s="370">
        <f t="shared" si="10"/>
        <v>0</v>
      </c>
      <c r="X23" s="370">
        <f t="shared" si="10"/>
        <v>0</v>
      </c>
      <c r="Y23" s="59"/>
      <c r="Z23" s="59"/>
      <c r="AA23" s="59"/>
      <c r="AB23" s="59"/>
    </row>
    <row r="24" spans="1:56" s="25" customFormat="1" ht="11.25">
      <c r="A24" s="238" t="s">
        <v>345</v>
      </c>
      <c r="B24" s="243"/>
      <c r="C24" s="240">
        <f>IF(AND(C23&gt;0,(C67+C68))&lt;=C23,-(C67+C68),0)</f>
        <v>0</v>
      </c>
      <c r="D24" s="240">
        <f>IF(AND(D23&gt;0,(D67+D68))&lt;=D23,-(D67+D68),0)</f>
        <v>0</v>
      </c>
      <c r="E24" s="240">
        <f>IF(AND(E23&gt;0,(E67+E68))&lt;=E23,-(E67+E68),0)</f>
        <v>0</v>
      </c>
      <c r="F24" s="240">
        <f>IF(AND(F23&gt;0,(F67+F68))&lt;=F23,-(F67+F68),0)</f>
        <v>0</v>
      </c>
      <c r="G24" s="240">
        <f t="shared" ref="G24:X24" si="11">IF(AND(G23&gt;0,(G67+G68))&lt;=G23,-(G67+G68),0)</f>
        <v>0</v>
      </c>
      <c r="H24" s="240">
        <f t="shared" si="11"/>
        <v>0</v>
      </c>
      <c r="I24" s="240">
        <f t="shared" si="11"/>
        <v>0</v>
      </c>
      <c r="J24" s="240">
        <f t="shared" si="11"/>
        <v>0</v>
      </c>
      <c r="K24" s="240">
        <f>IF(AND(K23&gt;0,((K67+K68))&lt;K23),-(K67+K68),0)</f>
        <v>0</v>
      </c>
      <c r="L24" s="240">
        <f t="shared" si="11"/>
        <v>0</v>
      </c>
      <c r="M24" s="240">
        <f t="shared" si="11"/>
        <v>0</v>
      </c>
      <c r="N24" s="240">
        <f t="shared" si="11"/>
        <v>0</v>
      </c>
      <c r="O24" s="240">
        <f t="shared" si="11"/>
        <v>0</v>
      </c>
      <c r="P24" s="240">
        <f t="shared" si="11"/>
        <v>0</v>
      </c>
      <c r="Q24" s="240">
        <f t="shared" si="11"/>
        <v>0</v>
      </c>
      <c r="R24" s="240">
        <f t="shared" si="11"/>
        <v>0</v>
      </c>
      <c r="S24" s="240">
        <f t="shared" si="11"/>
        <v>0</v>
      </c>
      <c r="T24" s="240">
        <f t="shared" si="11"/>
        <v>0</v>
      </c>
      <c r="U24" s="240">
        <f t="shared" si="11"/>
        <v>0</v>
      </c>
      <c r="V24" s="240">
        <f t="shared" si="11"/>
        <v>0</v>
      </c>
      <c r="W24" s="240">
        <f t="shared" si="11"/>
        <v>0</v>
      </c>
      <c r="X24" s="240">
        <f t="shared" si="11"/>
        <v>0</v>
      </c>
      <c r="Y24" s="59"/>
      <c r="Z24" s="59"/>
      <c r="AA24" s="59"/>
      <c r="AB24" s="59"/>
    </row>
    <row r="25" spans="1:56" s="25" customFormat="1" ht="11.25">
      <c r="A25" s="372" t="s">
        <v>346</v>
      </c>
      <c r="B25" s="243"/>
      <c r="C25" s="240">
        <f>C23+C24</f>
        <v>-69.200405649260546</v>
      </c>
      <c r="D25" s="240">
        <f>D23+D24</f>
        <v>1351.4344218271171</v>
      </c>
      <c r="E25" s="240">
        <f>E23+E24</f>
        <v>1081.9517926874896</v>
      </c>
      <c r="F25" s="240">
        <f t="shared" ref="F25:X25" si="12">F23+F24</f>
        <v>665.01225720953232</v>
      </c>
      <c r="G25" s="240">
        <f t="shared" si="12"/>
        <v>199.76052955347501</v>
      </c>
      <c r="H25" s="240">
        <f t="shared" si="12"/>
        <v>75.208086767791201</v>
      </c>
      <c r="I25" s="240">
        <f t="shared" si="12"/>
        <v>357.37785169053535</v>
      </c>
      <c r="J25" s="240">
        <f t="shared" si="12"/>
        <v>588.56947268169927</v>
      </c>
      <c r="K25" s="240">
        <f t="shared" si="12"/>
        <v>627.0594094708365</v>
      </c>
      <c r="L25" s="240">
        <f t="shared" si="12"/>
        <v>845.63274133749769</v>
      </c>
      <c r="M25" s="240">
        <f t="shared" si="12"/>
        <v>975.61125358102902</v>
      </c>
      <c r="N25" s="240">
        <f t="shared" si="12"/>
        <v>1147.4757638817614</v>
      </c>
      <c r="O25" s="240">
        <f t="shared" si="12"/>
        <v>1309.5553335280586</v>
      </c>
      <c r="P25" s="240">
        <f t="shared" si="12"/>
        <v>1552.8251630880834</v>
      </c>
      <c r="Q25" s="240">
        <f t="shared" si="12"/>
        <v>1669.4850770231922</v>
      </c>
      <c r="R25" s="240">
        <f t="shared" si="12"/>
        <v>4432.7512537000075</v>
      </c>
      <c r="S25" s="240">
        <f t="shared" si="12"/>
        <v>0</v>
      </c>
      <c r="T25" s="240">
        <f t="shared" si="12"/>
        <v>0</v>
      </c>
      <c r="U25" s="240">
        <f t="shared" si="12"/>
        <v>0</v>
      </c>
      <c r="V25" s="240">
        <f t="shared" si="12"/>
        <v>0</v>
      </c>
      <c r="W25" s="240">
        <f t="shared" si="12"/>
        <v>0</v>
      </c>
      <c r="X25" s="240">
        <f t="shared" si="12"/>
        <v>0</v>
      </c>
      <c r="Y25" s="59"/>
      <c r="Z25" s="59"/>
      <c r="AA25" s="59"/>
      <c r="AB25" s="59"/>
    </row>
    <row r="26" spans="1:56" s="25" customFormat="1" ht="11.25">
      <c r="A26" s="238" t="s">
        <v>368</v>
      </c>
      <c r="B26" s="243"/>
      <c r="C26" s="242">
        <f>SUBTOTAL(9,C21:C22,C25)</f>
        <v>-185.81425052401443</v>
      </c>
      <c r="D26" s="242">
        <f>SUBTOTAL(9,D21:D22,D25)</f>
        <v>3454.4407608251859</v>
      </c>
      <c r="E26" s="242">
        <f>SUBTOTAL(9,E21:E22,E25)</f>
        <v>2854.7498411502502</v>
      </c>
      <c r="F26" s="242">
        <f>SUBTOTAL(9,F21:F22,F25)</f>
        <v>1754.6471556891511</v>
      </c>
      <c r="G26" s="242">
        <f t="shared" ref="G26:X26" si="13">SUBTOTAL(9,G21:G22,G25)</f>
        <v>527.07185649590951</v>
      </c>
      <c r="H26" s="242">
        <f t="shared" si="13"/>
        <v>198.43792967916463</v>
      </c>
      <c r="I26" s="242">
        <f t="shared" si="13"/>
        <v>942.948079793842</v>
      </c>
      <c r="J26" s="242">
        <f t="shared" si="13"/>
        <v>1552.9514531053426</v>
      </c>
      <c r="K26" s="242">
        <f t="shared" si="13"/>
        <v>1654.5078641000885</v>
      </c>
      <c r="L26" s="242">
        <f t="shared" si="13"/>
        <v>2231.2176478845677</v>
      </c>
      <c r="M26" s="242">
        <f t="shared" si="13"/>
        <v>2574.1683594486112</v>
      </c>
      <c r="N26" s="242">
        <f t="shared" si="13"/>
        <v>3027.63605255321</v>
      </c>
      <c r="O26" s="242">
        <f t="shared" si="13"/>
        <v>3455.2859985384766</v>
      </c>
      <c r="P26" s="242">
        <f t="shared" si="13"/>
        <v>4097.1579488294465</v>
      </c>
      <c r="Q26" s="242">
        <f t="shared" si="13"/>
        <v>4404.9672921160072</v>
      </c>
      <c r="R26" s="242">
        <f t="shared" si="13"/>
        <v>11695.896270873647</v>
      </c>
      <c r="S26" s="242">
        <f t="shared" si="13"/>
        <v>0</v>
      </c>
      <c r="T26" s="242">
        <f t="shared" si="13"/>
        <v>0</v>
      </c>
      <c r="U26" s="242">
        <f t="shared" si="13"/>
        <v>0</v>
      </c>
      <c r="V26" s="242">
        <f t="shared" si="13"/>
        <v>0</v>
      </c>
      <c r="W26" s="242">
        <f t="shared" si="13"/>
        <v>0</v>
      </c>
      <c r="X26" s="242">
        <f t="shared" si="13"/>
        <v>0</v>
      </c>
      <c r="Y26" s="59"/>
      <c r="Z26" s="59"/>
      <c r="AA26" s="59"/>
      <c r="AB26" s="59"/>
    </row>
    <row r="27" spans="1:56" s="25" customFormat="1" ht="11.25">
      <c r="A27" s="9"/>
      <c r="B27" s="59"/>
      <c r="C27" s="9"/>
      <c r="D27" s="9"/>
      <c r="E27" s="9"/>
      <c r="F27" s="370"/>
      <c r="G27" s="370"/>
      <c r="H27" s="370"/>
      <c r="I27" s="370"/>
      <c r="J27" s="370"/>
      <c r="K27" s="370"/>
      <c r="L27" s="370"/>
      <c r="M27" s="370"/>
      <c r="N27" s="370"/>
      <c r="O27" s="370"/>
      <c r="P27" s="370"/>
      <c r="Q27" s="370"/>
      <c r="R27" s="370"/>
      <c r="S27" s="370"/>
      <c r="T27" s="370"/>
      <c r="U27" s="370"/>
      <c r="V27" s="370"/>
      <c r="W27" s="370"/>
      <c r="X27" s="370"/>
      <c r="Y27" s="59"/>
      <c r="Z27" s="59"/>
      <c r="AA27" s="59"/>
      <c r="AB27" s="59"/>
    </row>
    <row r="28" spans="1:56" s="25" customFormat="1" ht="11.25">
      <c r="A28" s="9" t="s">
        <v>193</v>
      </c>
      <c r="B28" s="59"/>
      <c r="C28" s="370">
        <f>C58</f>
        <v>0</v>
      </c>
      <c r="D28" s="370">
        <f>D58</f>
        <v>0</v>
      </c>
      <c r="E28" s="370">
        <f>E58</f>
        <v>0</v>
      </c>
      <c r="F28" s="370">
        <f>F58</f>
        <v>227.62287645031955</v>
      </c>
      <c r="G28" s="370">
        <f t="shared" ref="G28:X28" si="14">G58</f>
        <v>333.86898206912554</v>
      </c>
      <c r="H28" s="59">
        <v>0</v>
      </c>
      <c r="I28" s="370">
        <f t="shared" si="14"/>
        <v>77.021607117697044</v>
      </c>
      <c r="J28" s="370">
        <f t="shared" si="14"/>
        <v>0</v>
      </c>
      <c r="K28" s="370">
        <f t="shared" si="14"/>
        <v>0</v>
      </c>
      <c r="L28" s="370">
        <f t="shared" si="14"/>
        <v>0</v>
      </c>
      <c r="M28" s="370">
        <f t="shared" si="14"/>
        <v>0</v>
      </c>
      <c r="N28" s="370">
        <f t="shared" si="14"/>
        <v>0</v>
      </c>
      <c r="O28" s="370">
        <f t="shared" si="14"/>
        <v>0</v>
      </c>
      <c r="P28" s="370">
        <f t="shared" si="14"/>
        <v>0</v>
      </c>
      <c r="Q28" s="370">
        <f t="shared" si="14"/>
        <v>0</v>
      </c>
      <c r="R28" s="370">
        <f t="shared" si="14"/>
        <v>0</v>
      </c>
      <c r="S28" s="370">
        <f t="shared" si="14"/>
        <v>0</v>
      </c>
      <c r="T28" s="370">
        <f t="shared" si="14"/>
        <v>0</v>
      </c>
      <c r="U28" s="370">
        <f t="shared" si="14"/>
        <v>0</v>
      </c>
      <c r="V28" s="370">
        <f t="shared" si="14"/>
        <v>0</v>
      </c>
      <c r="W28" s="370">
        <f t="shared" si="14"/>
        <v>214.55089429766198</v>
      </c>
      <c r="X28" s="370">
        <f t="shared" si="14"/>
        <v>214.55089429766198</v>
      </c>
      <c r="Y28" s="59"/>
      <c r="Z28" s="59"/>
      <c r="AA28" s="59"/>
      <c r="AB28" s="59"/>
    </row>
    <row r="29" spans="1:56" s="25" customFormat="1" ht="11.25">
      <c r="A29" s="9" t="s">
        <v>343</v>
      </c>
      <c r="B29" s="59"/>
      <c r="C29" s="370">
        <f>C53</f>
        <v>534.95200232060756</v>
      </c>
      <c r="D29" s="370">
        <f>D53</f>
        <v>600.93984789557703</v>
      </c>
      <c r="E29" s="370">
        <f>E53</f>
        <v>643.41934316939501</v>
      </c>
      <c r="F29" s="370">
        <f t="shared" ref="F29:X29" si="15">F53</f>
        <v>674.84763715580334</v>
      </c>
      <c r="G29" s="370">
        <f t="shared" si="15"/>
        <v>694.97453135608907</v>
      </c>
      <c r="H29" s="370">
        <f t="shared" si="15"/>
        <v>709.26111547330868</v>
      </c>
      <c r="I29" s="370">
        <f t="shared" si="15"/>
        <v>724.13023520604384</v>
      </c>
      <c r="J29" s="370">
        <f t="shared" si="15"/>
        <v>739.01782680912891</v>
      </c>
      <c r="K29" s="370">
        <f t="shared" si="15"/>
        <v>751.45965205045877</v>
      </c>
      <c r="L29" s="370">
        <f t="shared" si="15"/>
        <v>764.37498775168945</v>
      </c>
      <c r="M29" s="370">
        <f t="shared" si="15"/>
        <v>776.57608464242207</v>
      </c>
      <c r="N29" s="370">
        <f t="shared" si="15"/>
        <v>788.83323734341411</v>
      </c>
      <c r="O29" s="370">
        <f t="shared" si="15"/>
        <v>801.18912262120648</v>
      </c>
      <c r="P29" s="370">
        <f t="shared" si="15"/>
        <v>814.7051296257298</v>
      </c>
      <c r="Q29" s="370">
        <f t="shared" si="15"/>
        <v>828.05901360403641</v>
      </c>
      <c r="R29" s="370">
        <f t="shared" si="15"/>
        <v>822.3797306350624</v>
      </c>
      <c r="S29" s="370">
        <f t="shared" si="15"/>
        <v>0</v>
      </c>
      <c r="T29" s="370">
        <f t="shared" si="15"/>
        <v>0</v>
      </c>
      <c r="U29" s="370">
        <f t="shared" si="15"/>
        <v>0</v>
      </c>
      <c r="V29" s="370">
        <f t="shared" si="15"/>
        <v>0</v>
      </c>
      <c r="W29" s="370">
        <f t="shared" si="15"/>
        <v>286.06785906354935</v>
      </c>
      <c r="X29" s="370">
        <f t="shared" si="15"/>
        <v>286.06785906354935</v>
      </c>
      <c r="Y29" s="59"/>
      <c r="Z29" s="59"/>
      <c r="AA29" s="59"/>
      <c r="AB29" s="59"/>
    </row>
    <row r="30" spans="1:56" s="25" customFormat="1" ht="11.25">
      <c r="A30" s="9"/>
      <c r="B30" s="59"/>
      <c r="C30" s="370"/>
      <c r="D30" s="370"/>
      <c r="E30" s="370"/>
      <c r="F30" s="370"/>
      <c r="G30" s="370"/>
      <c r="H30" s="370"/>
      <c r="I30" s="370"/>
      <c r="J30" s="370"/>
      <c r="K30" s="370"/>
      <c r="L30" s="370"/>
      <c r="M30" s="370"/>
      <c r="N30" s="370"/>
      <c r="O30" s="370"/>
      <c r="P30" s="370"/>
      <c r="Q30" s="370"/>
      <c r="R30" s="370"/>
      <c r="S30" s="370"/>
      <c r="T30" s="370"/>
      <c r="U30" s="370"/>
      <c r="V30" s="370"/>
      <c r="W30" s="370"/>
      <c r="X30" s="370"/>
      <c r="Y30" s="59"/>
      <c r="Z30" s="59"/>
      <c r="AA30" s="59"/>
      <c r="AB30" s="59"/>
    </row>
    <row r="31" spans="1:56" s="25" customFormat="1" ht="11.25">
      <c r="A31" s="9" t="s">
        <v>344</v>
      </c>
      <c r="B31" s="59"/>
      <c r="C31" s="370">
        <f>IF(AND(C6&gt;0,(C15+C16)&lt;=1),C6*INDEX(ProvTaxTable,MATCH("Corporate Minimum Tax",ProvTaxColumn,0),MATCH(C3,ProvTaxRow,0)),0)</f>
        <v>0</v>
      </c>
      <c r="D31" s="370">
        <f t="shared" ref="D31:X31" si="16">IF(AND(D6&gt;0,(D15+D16)&lt;=1),D6*INDEX(ProvTaxTable,MATCH("Corporate Minimum Tax",ProvTaxColumn,0),MATCH(D3,ProvTaxRow,0)),0)</f>
        <v>0</v>
      </c>
      <c r="E31" s="370">
        <f t="shared" si="16"/>
        <v>0</v>
      </c>
      <c r="F31" s="370">
        <f t="shared" si="16"/>
        <v>0</v>
      </c>
      <c r="G31" s="370">
        <f t="shared" si="16"/>
        <v>0</v>
      </c>
      <c r="H31" s="370">
        <f t="shared" si="16"/>
        <v>0</v>
      </c>
      <c r="I31" s="370">
        <f t="shared" si="16"/>
        <v>0</v>
      </c>
      <c r="J31" s="370">
        <f t="shared" si="16"/>
        <v>0</v>
      </c>
      <c r="K31" s="370">
        <f t="shared" si="16"/>
        <v>0</v>
      </c>
      <c r="L31" s="370">
        <f t="shared" si="16"/>
        <v>0</v>
      </c>
      <c r="M31" s="370">
        <f t="shared" si="16"/>
        <v>0</v>
      </c>
      <c r="N31" s="370">
        <f t="shared" si="16"/>
        <v>0</v>
      </c>
      <c r="O31" s="370">
        <f t="shared" si="16"/>
        <v>0</v>
      </c>
      <c r="P31" s="370">
        <f t="shared" si="16"/>
        <v>0</v>
      </c>
      <c r="Q31" s="370">
        <f t="shared" si="16"/>
        <v>0</v>
      </c>
      <c r="R31" s="370">
        <f t="shared" si="16"/>
        <v>0</v>
      </c>
      <c r="S31" s="370">
        <f t="shared" si="16"/>
        <v>0</v>
      </c>
      <c r="T31" s="370">
        <f t="shared" si="16"/>
        <v>0</v>
      </c>
      <c r="U31" s="370">
        <f t="shared" si="16"/>
        <v>0</v>
      </c>
      <c r="V31" s="370">
        <f t="shared" si="16"/>
        <v>0</v>
      </c>
      <c r="W31" s="370">
        <f t="shared" si="16"/>
        <v>0</v>
      </c>
      <c r="X31" s="370">
        <f t="shared" si="16"/>
        <v>0</v>
      </c>
      <c r="Y31" s="59"/>
      <c r="Z31" s="59"/>
      <c r="AA31" s="59"/>
      <c r="AB31" s="59"/>
    </row>
    <row r="32" spans="1:56" s="25" customFormat="1" ht="11.25">
      <c r="A32" s="9"/>
      <c r="B32" s="59"/>
      <c r="C32" s="370"/>
      <c r="D32" s="370"/>
      <c r="E32" s="370"/>
      <c r="F32" s="370"/>
      <c r="G32" s="370"/>
      <c r="H32" s="370"/>
      <c r="I32" s="370"/>
      <c r="J32" s="370"/>
      <c r="K32" s="370"/>
      <c r="L32" s="370"/>
      <c r="M32" s="370"/>
      <c r="N32" s="370"/>
      <c r="O32" s="370"/>
      <c r="P32" s="370"/>
      <c r="Q32" s="370"/>
      <c r="R32" s="370"/>
      <c r="S32" s="370"/>
      <c r="T32" s="370"/>
      <c r="U32" s="370"/>
      <c r="V32" s="370"/>
      <c r="W32" s="370"/>
      <c r="X32" s="370"/>
      <c r="Y32" s="59"/>
      <c r="Z32" s="59"/>
      <c r="AA32" s="59"/>
      <c r="AB32" s="59"/>
    </row>
    <row r="33" spans="1:28" s="25" customFormat="1" ht="11.25">
      <c r="A33" s="9" t="s">
        <v>370</v>
      </c>
      <c r="B33" s="59"/>
      <c r="C33" s="370"/>
      <c r="D33" s="370"/>
      <c r="E33" s="370"/>
      <c r="F33" s="370"/>
      <c r="G33" s="370"/>
      <c r="H33" s="370"/>
      <c r="I33" s="370"/>
      <c r="J33" s="370"/>
      <c r="K33" s="370"/>
      <c r="L33" s="370"/>
      <c r="M33" s="370"/>
      <c r="N33" s="370"/>
      <c r="O33" s="370"/>
      <c r="P33" s="370"/>
      <c r="Q33" s="370"/>
      <c r="R33" s="370"/>
      <c r="S33" s="370"/>
      <c r="T33" s="370"/>
      <c r="U33" s="370"/>
      <c r="V33" s="370"/>
      <c r="W33" s="370"/>
      <c r="X33" s="370"/>
      <c r="Y33" s="59"/>
      <c r="Z33" s="59"/>
      <c r="AA33" s="59"/>
      <c r="AB33" s="59"/>
    </row>
    <row r="34" spans="1:28" s="25" customFormat="1" ht="11.25">
      <c r="A34" s="9"/>
      <c r="B34" s="59"/>
      <c r="C34" s="370"/>
      <c r="D34" s="370"/>
      <c r="E34" s="370"/>
      <c r="F34" s="370"/>
      <c r="G34" s="370"/>
      <c r="H34" s="370"/>
      <c r="I34" s="370"/>
      <c r="J34" s="370"/>
      <c r="K34" s="370"/>
      <c r="L34" s="370"/>
      <c r="M34" s="370"/>
      <c r="N34" s="370"/>
      <c r="O34" s="370"/>
      <c r="P34" s="370"/>
      <c r="Q34" s="370"/>
      <c r="R34" s="370"/>
      <c r="S34" s="370"/>
      <c r="T34" s="370"/>
      <c r="U34" s="370"/>
      <c r="V34" s="370"/>
      <c r="W34" s="370"/>
      <c r="X34" s="370"/>
      <c r="Y34" s="59"/>
      <c r="Z34" s="59"/>
      <c r="AA34" s="59"/>
      <c r="AB34" s="59"/>
    </row>
    <row r="35" spans="1:28" s="25" customFormat="1" ht="11.25">
      <c r="A35" s="1"/>
      <c r="B35" s="23"/>
      <c r="C35" s="370"/>
      <c r="D35" s="1"/>
      <c r="E35" s="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59"/>
      <c r="Z35" s="59"/>
      <c r="AA35" s="59"/>
      <c r="AB35" s="59"/>
    </row>
    <row r="36" spans="1:28" s="25" customFormat="1" ht="11.25">
      <c r="A36" s="1" t="s">
        <v>369</v>
      </c>
      <c r="B36" s="23"/>
      <c r="C36" s="706">
        <f>IF(C38-C26-C28-C29&lt;0,0,C38-C26-C28-C29)</f>
        <v>0</v>
      </c>
      <c r="D36" s="706">
        <f>IF(D38-D26-D28-D29&lt;0,0,D38-D26-D28-D29)</f>
        <v>5784.3173881121402</v>
      </c>
      <c r="E36" s="706">
        <f>IF(E38-E26-E28-E29&lt;0,0,E38-E26-E28-E29)</f>
        <v>2450.8723928994505</v>
      </c>
      <c r="F36" s="706">
        <f>IF(F38-F26-F28-F29&lt;0,0,F38-F26-F28-F29)</f>
        <v>1901.397731665443</v>
      </c>
      <c r="G36" s="706">
        <f t="shared" ref="G36:X36" si="17">IF(G38-G26-G28-G29&lt;0,0,G38-G26-G28-G29)</f>
        <v>1440.3292420185082</v>
      </c>
      <c r="H36" s="706">
        <f t="shared" si="17"/>
        <v>1047.2599706251767</v>
      </c>
      <c r="I36" s="706">
        <f t="shared" si="17"/>
        <v>707.4158583006033</v>
      </c>
      <c r="J36" s="706">
        <f t="shared" si="17"/>
        <v>410.00500711210077</v>
      </c>
      <c r="K36" s="706">
        <f t="shared" si="17"/>
        <v>147.05903652375196</v>
      </c>
      <c r="L36" s="706">
        <f t="shared" si="17"/>
        <v>0</v>
      </c>
      <c r="M36" s="706">
        <f t="shared" si="17"/>
        <v>0</v>
      </c>
      <c r="N36" s="706">
        <f t="shared" si="17"/>
        <v>0</v>
      </c>
      <c r="O36" s="706">
        <f t="shared" si="17"/>
        <v>0</v>
      </c>
      <c r="P36" s="706">
        <f t="shared" si="17"/>
        <v>0</v>
      </c>
      <c r="Q36" s="706">
        <f t="shared" si="17"/>
        <v>0</v>
      </c>
      <c r="R36" s="706">
        <f t="shared" si="17"/>
        <v>0</v>
      </c>
      <c r="S36" s="706">
        <f t="shared" si="17"/>
        <v>0</v>
      </c>
      <c r="T36" s="706">
        <f t="shared" si="17"/>
        <v>0</v>
      </c>
      <c r="U36" s="706">
        <f t="shared" si="17"/>
        <v>0</v>
      </c>
      <c r="V36" s="706">
        <f t="shared" si="17"/>
        <v>0</v>
      </c>
      <c r="W36" s="706">
        <f t="shared" si="17"/>
        <v>0</v>
      </c>
      <c r="X36" s="706">
        <f t="shared" si="17"/>
        <v>0</v>
      </c>
      <c r="Y36" s="59"/>
      <c r="Z36" s="59"/>
      <c r="AA36" s="59"/>
      <c r="AB36" s="59"/>
    </row>
    <row r="37" spans="1:28" s="25" customFormat="1" ht="11.25">
      <c r="A37" s="1"/>
      <c r="B37" s="23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59"/>
      <c r="Z37" s="59"/>
      <c r="AA37" s="59"/>
      <c r="AB37" s="59"/>
    </row>
    <row r="38" spans="1:28" s="25" customFormat="1" ht="12" thickBot="1">
      <c r="A38" s="1" t="s">
        <v>48</v>
      </c>
      <c r="B38" s="23"/>
      <c r="C38" s="557">
        <f>(((INDEX(FedTaxTable,MATCH("Federal Surtax",FedTaxColumn,0),MATCH(C$3,FedTaxRow,0)))+(INDEX(FedTaxTable,MATCH("Federal Income Tax after M &amp; P Credit",FedTaxColumn,0),MATCH(C$3,FedTaxRow,0)))+INDEX(ProvTaxTable,MATCH("Provincial Tax Rate",ProvTaxColumn,0),MATCH(C$3,ProvTaxRow,0)))*C6)+C28+C29</f>
        <v>-150.47996744259513</v>
      </c>
      <c r="D38" s="557">
        <f t="shared" ref="D38:X38" si="18">(((INDEX(FedTaxTable,MATCH("Federal Surtax",FedTaxColumn,0),MATCH(D$3,FedTaxRow,0)))+(INDEX(FedTaxTable,MATCH("Federal Income Tax after M &amp; P Credit",FedTaxColumn,0),MATCH(D$3,FedTaxRow,0)))+INDEX(ProvTaxTable,MATCH("Provincial Tax Rate",ProvTaxColumn,0),MATCH(D$3,ProvTaxRow,0)))*D6)+D28+D29</f>
        <v>9839.6979968329033</v>
      </c>
      <c r="E38" s="557">
        <f t="shared" si="18"/>
        <v>5949.0415772190954</v>
      </c>
      <c r="F38" s="557">
        <f t="shared" si="18"/>
        <v>4558.5154009607168</v>
      </c>
      <c r="G38" s="557">
        <f t="shared" si="18"/>
        <v>2996.2446119396327</v>
      </c>
      <c r="H38" s="557">
        <f t="shared" si="18"/>
        <v>1954.9590157776502</v>
      </c>
      <c r="I38" s="557">
        <f t="shared" si="18"/>
        <v>2451.5157804181863</v>
      </c>
      <c r="J38" s="557">
        <f t="shared" si="18"/>
        <v>2701.9742870265723</v>
      </c>
      <c r="K38" s="557">
        <f t="shared" si="18"/>
        <v>2553.0265526742992</v>
      </c>
      <c r="L38" s="557">
        <f t="shared" si="18"/>
        <v>2908.2117879722796</v>
      </c>
      <c r="M38" s="557">
        <f t="shared" si="18"/>
        <v>3052.9081891018295</v>
      </c>
      <c r="N38" s="557">
        <f t="shared" si="18"/>
        <v>3328.6745604574535</v>
      </c>
      <c r="O38" s="557">
        <f t="shared" si="18"/>
        <v>3596.4809454290107</v>
      </c>
      <c r="P38" s="557">
        <f t="shared" si="18"/>
        <v>4095.2390572780496</v>
      </c>
      <c r="Q38" s="557">
        <f t="shared" si="18"/>
        <v>4273.5583783313887</v>
      </c>
      <c r="R38" s="557">
        <f t="shared" si="18"/>
        <v>4605.8883172316873</v>
      </c>
      <c r="S38" s="557">
        <f t="shared" si="18"/>
        <v>0</v>
      </c>
      <c r="T38" s="557">
        <f t="shared" si="18"/>
        <v>0</v>
      </c>
      <c r="U38" s="557">
        <f t="shared" si="18"/>
        <v>0</v>
      </c>
      <c r="V38" s="557">
        <f t="shared" si="18"/>
        <v>0</v>
      </c>
      <c r="W38" s="557">
        <f t="shared" si="18"/>
        <v>500.61875336121136</v>
      </c>
      <c r="X38" s="557">
        <f t="shared" si="18"/>
        <v>500.61875336121136</v>
      </c>
      <c r="Y38" s="59"/>
      <c r="Z38" s="59"/>
      <c r="AA38" s="59"/>
      <c r="AB38" s="59"/>
    </row>
    <row r="39" spans="1:28" s="25" customFormat="1" ht="12" thickTop="1">
      <c r="A39" s="1"/>
      <c r="B39" s="23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59"/>
      <c r="Z39" s="59"/>
      <c r="AA39" s="59"/>
      <c r="AB39" s="59"/>
    </row>
    <row r="40" spans="1:28" s="25" customFormat="1" ht="12" thickBot="1">
      <c r="A40" s="1" t="s">
        <v>49</v>
      </c>
      <c r="B40" s="23"/>
      <c r="C40" s="147">
        <f>C6-C38</f>
        <v>-1496.4012669716353</v>
      </c>
      <c r="D40" s="147">
        <f>D6-D38</f>
        <v>13478.722368985687</v>
      </c>
      <c r="E40" s="147">
        <f>E6-E38</f>
        <v>8946.0236503207725</v>
      </c>
      <c r="F40" s="147">
        <f t="shared" ref="F40:N40" si="19">F6-F38</f>
        <v>5705.5073035721152</v>
      </c>
      <c r="G40" s="147">
        <f t="shared" si="19"/>
        <v>2527.059988044698</v>
      </c>
      <c r="H40" s="147">
        <f t="shared" si="19"/>
        <v>1542.2276779459362</v>
      </c>
      <c r="I40" s="147">
        <f t="shared" si="19"/>
        <v>2181.7350283814931</v>
      </c>
      <c r="J40" s="147">
        <f t="shared" si="19"/>
        <v>2808.8523839937629</v>
      </c>
      <c r="K40" s="147">
        <f>L6-L38</f>
        <v>3110.4204417317919</v>
      </c>
      <c r="L40" s="147">
        <f t="shared" si="19"/>
        <v>3110.4204417317919</v>
      </c>
      <c r="M40" s="147">
        <f t="shared" si="19"/>
        <v>3337.6928902339596</v>
      </c>
      <c r="N40" s="147">
        <f t="shared" si="19"/>
        <v>3801.7053472181215</v>
      </c>
      <c r="O40" s="147">
        <f t="shared" ref="O40:X40" si="20">O6-O38</f>
        <v>4251.0536497641524</v>
      </c>
      <c r="P40" s="147">
        <f t="shared" si="20"/>
        <v>5114.5698356257126</v>
      </c>
      <c r="Q40" s="147">
        <f t="shared" si="20"/>
        <v>5399.37639069543</v>
      </c>
      <c r="R40" s="147">
        <f t="shared" si="20"/>
        <v>6015.9774508666433</v>
      </c>
      <c r="S40" s="147">
        <f t="shared" si="20"/>
        <v>0</v>
      </c>
      <c r="T40" s="147">
        <f t="shared" si="20"/>
        <v>0</v>
      </c>
      <c r="U40" s="147">
        <f t="shared" si="20"/>
        <v>0</v>
      </c>
      <c r="V40" s="147">
        <f t="shared" si="20"/>
        <v>0</v>
      </c>
      <c r="W40" s="147">
        <f t="shared" si="20"/>
        <v>-500.61875336121136</v>
      </c>
      <c r="X40" s="147">
        <f t="shared" si="20"/>
        <v>-500.61875336121136</v>
      </c>
      <c r="Y40" s="59"/>
      <c r="Z40" s="59"/>
      <c r="AA40" s="59"/>
      <c r="AB40" s="59"/>
    </row>
    <row r="41" spans="1:28" s="25" customFormat="1" ht="12" thickTop="1">
      <c r="A41" s="1"/>
      <c r="B41" s="23"/>
      <c r="C41" s="1"/>
      <c r="D41" s="1"/>
      <c r="E41" s="1"/>
      <c r="F41" s="21"/>
      <c r="G41" s="21"/>
      <c r="H41" s="21"/>
      <c r="I41" s="21"/>
      <c r="J41" s="21"/>
      <c r="K41" s="21"/>
      <c r="L41" s="2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7"/>
    </row>
    <row r="42" spans="1:28" s="25" customFormat="1" ht="11.25">
      <c r="A42" s="77" t="s">
        <v>480</v>
      </c>
      <c r="B42" s="23"/>
      <c r="C42" s="504">
        <f>C26+C28+C29+C31</f>
        <v>349.13775179659314</v>
      </c>
      <c r="D42" s="504">
        <f t="shared" ref="D42:X42" si="21">D26+D28+D29+D31</f>
        <v>4055.3806087207631</v>
      </c>
      <c r="E42" s="504">
        <f t="shared" si="21"/>
        <v>3498.169184319645</v>
      </c>
      <c r="F42" s="504">
        <f t="shared" si="21"/>
        <v>2657.117669295274</v>
      </c>
      <c r="G42" s="504">
        <f t="shared" si="21"/>
        <v>1555.9153699211242</v>
      </c>
      <c r="H42" s="504">
        <f t="shared" si="21"/>
        <v>907.69904515247333</v>
      </c>
      <c r="I42" s="504">
        <f t="shared" si="21"/>
        <v>1744.099922117583</v>
      </c>
      <c r="J42" s="504">
        <f t="shared" si="21"/>
        <v>2291.9692799144714</v>
      </c>
      <c r="K42" s="504">
        <f t="shared" si="21"/>
        <v>2405.9675161505475</v>
      </c>
      <c r="L42" s="504">
        <f t="shared" si="21"/>
        <v>2995.592635636257</v>
      </c>
      <c r="M42" s="504">
        <f t="shared" si="21"/>
        <v>3350.7444440910331</v>
      </c>
      <c r="N42" s="504">
        <f t="shared" si="21"/>
        <v>3816.4692898966241</v>
      </c>
      <c r="O42" s="504">
        <f t="shared" si="21"/>
        <v>4256.4751211596831</v>
      </c>
      <c r="P42" s="504">
        <f t="shared" si="21"/>
        <v>4911.863078455176</v>
      </c>
      <c r="Q42" s="504">
        <f t="shared" si="21"/>
        <v>5233.0263057200436</v>
      </c>
      <c r="R42" s="504">
        <f t="shared" si="21"/>
        <v>12518.27600150871</v>
      </c>
      <c r="S42" s="504">
        <f t="shared" si="21"/>
        <v>0</v>
      </c>
      <c r="T42" s="504">
        <f t="shared" si="21"/>
        <v>0</v>
      </c>
      <c r="U42" s="504">
        <f t="shared" si="21"/>
        <v>0</v>
      </c>
      <c r="V42" s="504">
        <f t="shared" si="21"/>
        <v>0</v>
      </c>
      <c r="W42" s="504">
        <f t="shared" si="21"/>
        <v>500.61875336121136</v>
      </c>
      <c r="X42" s="504">
        <f t="shared" si="21"/>
        <v>500.61875336121136</v>
      </c>
    </row>
    <row r="43" spans="1:28" s="25" customFormat="1" ht="11.25">
      <c r="A43" s="1"/>
      <c r="B43" s="23"/>
      <c r="C43" s="1"/>
      <c r="D43" s="1"/>
      <c r="E43" s="1"/>
      <c r="F43" s="21"/>
      <c r="G43" s="21"/>
      <c r="H43" s="21"/>
      <c r="I43" s="21"/>
      <c r="J43" s="21"/>
      <c r="K43" s="21"/>
      <c r="L43" s="2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7"/>
    </row>
    <row r="44" spans="1:28" s="43" customFormat="1">
      <c r="A44"/>
      <c r="B44" s="16"/>
      <c r="C44"/>
      <c r="D44"/>
      <c r="E44"/>
      <c r="F44" s="16"/>
      <c r="G44" s="16"/>
      <c r="H44" s="16"/>
      <c r="I44" s="16"/>
      <c r="J44" s="16"/>
      <c r="K44" s="16"/>
      <c r="L44" s="16"/>
      <c r="M44"/>
      <c r="N44"/>
      <c r="O44"/>
      <c r="P44"/>
      <c r="Q44"/>
      <c r="R44"/>
      <c r="S44"/>
      <c r="T44"/>
      <c r="U44"/>
      <c r="V44"/>
      <c r="W44"/>
      <c r="X44" s="17"/>
    </row>
    <row r="45" spans="1:28" s="43" customFormat="1">
      <c r="A45" s="63" t="s">
        <v>195</v>
      </c>
      <c r="B45" s="16"/>
      <c r="C45"/>
      <c r="D45"/>
      <c r="E45"/>
      <c r="F45" s="16"/>
      <c r="G45" s="16"/>
      <c r="H45" s="16"/>
      <c r="I45" s="16"/>
      <c r="J45" s="16"/>
      <c r="K45" s="16"/>
      <c r="L45" s="16"/>
      <c r="M45"/>
      <c r="N45"/>
      <c r="O45"/>
      <c r="P45"/>
      <c r="Q45"/>
      <c r="R45"/>
      <c r="S45"/>
      <c r="T45"/>
      <c r="U45"/>
      <c r="V45"/>
      <c r="W45"/>
      <c r="X45"/>
    </row>
    <row r="46" spans="1:28" s="43" customFormat="1">
      <c r="A46" s="9" t="s">
        <v>789</v>
      </c>
      <c r="B46" s="374"/>
      <c r="C46" s="248">
        <v>178317.33410686918</v>
      </c>
      <c r="D46" s="248">
        <v>200313.28263185901</v>
      </c>
      <c r="E46" s="248">
        <v>214473.11438979834</v>
      </c>
      <c r="F46" s="248">
        <v>224949.21238526778</v>
      </c>
      <c r="G46" s="248">
        <v>231658.17711869636</v>
      </c>
      <c r="H46" s="248">
        <v>236420.37182443624</v>
      </c>
      <c r="I46" s="248">
        <v>241376.74506868128</v>
      </c>
      <c r="J46" s="248">
        <v>246339.27560304297</v>
      </c>
      <c r="K46" s="248">
        <v>250486.55068348625</v>
      </c>
      <c r="L46" s="248">
        <v>254791.66258389648</v>
      </c>
      <c r="M46" s="248">
        <v>258858.69488080736</v>
      </c>
      <c r="N46" s="248">
        <v>262944.4124478047</v>
      </c>
      <c r="O46" s="248">
        <v>267063.0408737355</v>
      </c>
      <c r="P46" s="248">
        <v>271568.37654190994</v>
      </c>
      <c r="Q46" s="248">
        <v>276019.67120134545</v>
      </c>
      <c r="R46" s="248">
        <v>274126.57687835413</v>
      </c>
      <c r="S46" s="248">
        <v>0</v>
      </c>
      <c r="T46" s="248">
        <v>0</v>
      </c>
      <c r="U46" s="248">
        <v>0</v>
      </c>
      <c r="V46" s="248">
        <v>0</v>
      </c>
      <c r="W46" s="248">
        <v>95355.953021183115</v>
      </c>
      <c r="X46" s="248">
        <v>95355.953021183115</v>
      </c>
    </row>
    <row r="47" spans="1:28" s="43" customFormat="1">
      <c r="A47" s="1" t="s">
        <v>191</v>
      </c>
      <c r="B47" s="16"/>
      <c r="C47" s="208">
        <v>0</v>
      </c>
      <c r="D47" s="208">
        <v>0</v>
      </c>
      <c r="E47" s="208">
        <v>0</v>
      </c>
      <c r="F47" s="208">
        <v>0</v>
      </c>
      <c r="G47" s="208">
        <v>0</v>
      </c>
      <c r="H47" s="208">
        <v>0</v>
      </c>
      <c r="I47" s="208">
        <v>0</v>
      </c>
      <c r="J47" s="208">
        <v>0</v>
      </c>
      <c r="K47" s="208">
        <v>0</v>
      </c>
      <c r="L47" s="208">
        <v>0</v>
      </c>
      <c r="M47" s="208">
        <v>0</v>
      </c>
      <c r="N47" s="208">
        <v>0</v>
      </c>
      <c r="O47" s="208">
        <v>0</v>
      </c>
      <c r="P47" s="208">
        <v>0</v>
      </c>
      <c r="Q47" s="208">
        <v>0</v>
      </c>
      <c r="R47" s="208">
        <v>0</v>
      </c>
      <c r="S47" s="208">
        <v>0</v>
      </c>
      <c r="T47" s="208">
        <v>0</v>
      </c>
      <c r="U47" s="208">
        <v>0</v>
      </c>
      <c r="V47" s="208">
        <v>0</v>
      </c>
      <c r="W47" s="208">
        <v>0</v>
      </c>
      <c r="X47" s="208">
        <v>0</v>
      </c>
    </row>
    <row r="48" spans="1:28" s="43" customFormat="1">
      <c r="A48" s="1"/>
      <c r="B48" s="16"/>
      <c r="C48" s="21">
        <f>SUM(C46:C47)</f>
        <v>178317.33410686918</v>
      </c>
      <c r="D48" s="21">
        <f>SUM(D46:D47)</f>
        <v>200313.28263185901</v>
      </c>
      <c r="E48" s="21">
        <f>SUM(E46:E47)</f>
        <v>214473.11438979834</v>
      </c>
      <c r="F48" s="21">
        <f>SUM(F46:F47)</f>
        <v>224949.21238526778</v>
      </c>
      <c r="G48" s="21">
        <f t="shared" ref="G48:X48" si="22">SUM(G46:G47)</f>
        <v>231658.17711869636</v>
      </c>
      <c r="H48" s="21">
        <f t="shared" si="22"/>
        <v>236420.37182443624</v>
      </c>
      <c r="I48" s="21">
        <f t="shared" si="22"/>
        <v>241376.74506868128</v>
      </c>
      <c r="J48" s="21">
        <f>SUM(L46:L47)</f>
        <v>254791.66258389648</v>
      </c>
      <c r="K48" s="21">
        <f>SUM(L46:L47)</f>
        <v>254791.66258389648</v>
      </c>
      <c r="L48" s="21">
        <f t="shared" si="22"/>
        <v>254791.66258389648</v>
      </c>
      <c r="M48" s="21">
        <f t="shared" si="22"/>
        <v>258858.69488080736</v>
      </c>
      <c r="N48" s="21">
        <f t="shared" si="22"/>
        <v>262944.4124478047</v>
      </c>
      <c r="O48" s="21">
        <f t="shared" si="22"/>
        <v>267063.0408737355</v>
      </c>
      <c r="P48" s="21">
        <f t="shared" si="22"/>
        <v>271568.37654190994</v>
      </c>
      <c r="Q48" s="21">
        <f t="shared" si="22"/>
        <v>276019.67120134545</v>
      </c>
      <c r="R48" s="21">
        <f t="shared" si="22"/>
        <v>274126.57687835413</v>
      </c>
      <c r="S48" s="21">
        <f t="shared" si="22"/>
        <v>0</v>
      </c>
      <c r="T48" s="21">
        <f t="shared" si="22"/>
        <v>0</v>
      </c>
      <c r="U48" s="21">
        <f t="shared" si="22"/>
        <v>0</v>
      </c>
      <c r="V48" s="21">
        <f t="shared" si="22"/>
        <v>0</v>
      </c>
      <c r="W48" s="21">
        <f t="shared" si="22"/>
        <v>95355.953021183115</v>
      </c>
      <c r="X48" s="21">
        <f t="shared" si="22"/>
        <v>95355.953021183115</v>
      </c>
    </row>
    <row r="49" spans="1:24" s="43" customFormat="1" ht="13.5" thickBot="1">
      <c r="A49" s="1" t="s">
        <v>190</v>
      </c>
      <c r="B49" s="16"/>
      <c r="C49" s="503">
        <f>INDEX(FedTaxTable,MATCH("Federal Large Corporations Tax",FedTaxColumn,0),MATCH(C3,FedTaxRow,0))*C48</f>
        <v>401.21400174045561</v>
      </c>
      <c r="D49" s="503">
        <f t="shared" ref="D49:X49" si="23">INDEX(FedTaxTable,MATCH("Federal Large Corporations Tax",FedTaxColumn,0),MATCH(D3,FedTaxRow,0))*D48</f>
        <v>450.70488592168272</v>
      </c>
      <c r="E49" s="503">
        <f t="shared" si="23"/>
        <v>482.56450737704625</v>
      </c>
      <c r="F49" s="503">
        <f t="shared" si="23"/>
        <v>506.13572786685245</v>
      </c>
      <c r="G49" s="503">
        <f t="shared" si="23"/>
        <v>521.23089851706675</v>
      </c>
      <c r="H49" s="503">
        <f t="shared" si="23"/>
        <v>531.94583660498154</v>
      </c>
      <c r="I49" s="503">
        <f t="shared" si="23"/>
        <v>543.09767640453288</v>
      </c>
      <c r="J49" s="503">
        <f t="shared" si="23"/>
        <v>573.281240813767</v>
      </c>
      <c r="K49" s="503">
        <f t="shared" si="23"/>
        <v>573.281240813767</v>
      </c>
      <c r="L49" s="503">
        <f t="shared" si="23"/>
        <v>573.281240813767</v>
      </c>
      <c r="M49" s="503">
        <f t="shared" si="23"/>
        <v>582.4320634818165</v>
      </c>
      <c r="N49" s="503">
        <f t="shared" si="23"/>
        <v>591.62492800756058</v>
      </c>
      <c r="O49" s="503">
        <f t="shared" si="23"/>
        <v>600.89184196590486</v>
      </c>
      <c r="P49" s="503">
        <f t="shared" si="23"/>
        <v>611.02884721929729</v>
      </c>
      <c r="Q49" s="503">
        <f t="shared" si="23"/>
        <v>621.04426020302719</v>
      </c>
      <c r="R49" s="503">
        <f t="shared" si="23"/>
        <v>616.78479797629677</v>
      </c>
      <c r="S49" s="503">
        <f t="shared" si="23"/>
        <v>0</v>
      </c>
      <c r="T49" s="503">
        <f t="shared" si="23"/>
        <v>0</v>
      </c>
      <c r="U49" s="503">
        <f t="shared" si="23"/>
        <v>0</v>
      </c>
      <c r="V49" s="503">
        <f t="shared" si="23"/>
        <v>0</v>
      </c>
      <c r="W49" s="503">
        <f t="shared" si="23"/>
        <v>214.55089429766198</v>
      </c>
      <c r="X49" s="503">
        <f t="shared" si="23"/>
        <v>214.55089429766198</v>
      </c>
    </row>
    <row r="50" spans="1:24" s="380" customFormat="1" ht="13.5" thickTop="1">
      <c r="A50" s="377" t="s">
        <v>192</v>
      </c>
      <c r="B50" s="378"/>
      <c r="C50" s="379">
        <f>IF(SUM(C22:E22)&gt;C49,-C49,IF(SUM(C22:E22)&gt;0,-SUM(C22:E22),0))</f>
        <v>-401.21400174045561</v>
      </c>
      <c r="D50" s="379">
        <f>IF(SUM(D22:F22)&gt;D49,-D49,IF(SUM(D22:F22)&gt;0,-SUM(D22:F22),0))</f>
        <v>-450.70488592168272</v>
      </c>
      <c r="E50" s="379">
        <f>IF(SUM(E22:G22)&gt;E49,-E49,IF(SUM(E22:G22)&gt;0,-SUM(E22:G22),0))</f>
        <v>-482.56450737704625</v>
      </c>
      <c r="F50" s="379">
        <f t="shared" ref="F50:X50" si="24">IF(SUM(F22:H22)&gt;F49,-F49,IF(SUM(F22:H22)&gt;0,-SUM(F22:H22),0))</f>
        <v>-278.5128514165329</v>
      </c>
      <c r="G50" s="379">
        <f t="shared" si="24"/>
        <v>-187.36191644794118</v>
      </c>
      <c r="H50" s="379">
        <f t="shared" si="24"/>
        <v>-302.5645662637113</v>
      </c>
      <c r="I50" s="379">
        <f t="shared" si="24"/>
        <v>-466.07606928683583</v>
      </c>
      <c r="J50" s="379">
        <f t="shared" si="24"/>
        <v>-573.281240813767</v>
      </c>
      <c r="K50" s="379">
        <f t="shared" si="24"/>
        <v>-573.281240813767</v>
      </c>
      <c r="L50" s="379">
        <f t="shared" si="24"/>
        <v>-573.281240813767</v>
      </c>
      <c r="M50" s="379">
        <f t="shared" si="24"/>
        <v>-582.4320634818165</v>
      </c>
      <c r="N50" s="379">
        <f t="shared" si="24"/>
        <v>-591.62492800756058</v>
      </c>
      <c r="O50" s="379">
        <f t="shared" si="24"/>
        <v>-600.89184196590486</v>
      </c>
      <c r="P50" s="379">
        <f t="shared" si="24"/>
        <v>-611.02884721929729</v>
      </c>
      <c r="Q50" s="379">
        <f t="shared" si="24"/>
        <v>-621.04426020302719</v>
      </c>
      <c r="R50" s="379">
        <f t="shared" si="24"/>
        <v>-616.78479797629677</v>
      </c>
      <c r="S50" s="379">
        <f t="shared" si="24"/>
        <v>0</v>
      </c>
      <c r="T50" s="379">
        <f t="shared" si="24"/>
        <v>0</v>
      </c>
      <c r="U50" s="379">
        <f t="shared" si="24"/>
        <v>0</v>
      </c>
      <c r="V50" s="379">
        <f t="shared" si="24"/>
        <v>0</v>
      </c>
      <c r="W50" s="379">
        <f t="shared" si="24"/>
        <v>0</v>
      </c>
      <c r="X50" s="379">
        <f t="shared" si="24"/>
        <v>0</v>
      </c>
    </row>
    <row r="51" spans="1:24" s="43" customFormat="1">
      <c r="A51" s="238" t="s">
        <v>211</v>
      </c>
      <c r="B51" s="239"/>
      <c r="C51" s="241"/>
      <c r="D51" s="241"/>
      <c r="E51" s="241"/>
      <c r="F51" s="240">
        <v>0</v>
      </c>
      <c r="G51" s="240">
        <v>0</v>
      </c>
      <c r="H51" s="240">
        <v>0</v>
      </c>
      <c r="I51" s="240"/>
      <c r="J51" s="240"/>
      <c r="K51" s="240"/>
      <c r="L51" s="240"/>
      <c r="M51" s="240"/>
      <c r="N51" s="240"/>
      <c r="O51" s="240"/>
      <c r="P51" s="240"/>
      <c r="Q51" s="240"/>
      <c r="R51" s="240"/>
      <c r="S51" s="240"/>
      <c r="T51" s="240"/>
      <c r="U51" s="240"/>
      <c r="V51" s="240"/>
      <c r="W51" s="240"/>
      <c r="X51" s="240"/>
    </row>
    <row r="52" spans="1:24" s="43" customFormat="1">
      <c r="A52" s="238" t="s">
        <v>219</v>
      </c>
      <c r="B52" s="239"/>
      <c r="C52" s="241"/>
      <c r="D52" s="241"/>
      <c r="E52" s="241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</row>
    <row r="53" spans="1:24" s="43" customFormat="1">
      <c r="A53" s="1" t="s">
        <v>343</v>
      </c>
      <c r="B53" s="16"/>
      <c r="C53" s="370">
        <f>C46*(INDEX(ProvTaxTable,MATCH("Provincial Capital Tax",ProvTaxColumn,0),MATCH(C3,ProvTaxRow,0)))</f>
        <v>534.95200232060756</v>
      </c>
      <c r="D53" s="370">
        <f>D46*(INDEX(ProvTaxTable,MATCH("Provincial Capital Tax",ProvTaxColumn,0),MATCH(D3,ProvTaxRow,0)))</f>
        <v>600.93984789557703</v>
      </c>
      <c r="E53" s="370">
        <f>E46*(INDEX(ProvTaxTable,MATCH("Provincial Capital Tax",ProvTaxColumn,0),MATCH(E3,ProvTaxRow,0)))</f>
        <v>643.41934316939501</v>
      </c>
      <c r="F53" s="370">
        <f t="shared" ref="F53:X53" si="25">F46*(INDEX(ProvTaxTable,MATCH("Provincial Capital Tax",ProvTaxColumn,0),MATCH(F3,ProvTaxRow,0)))</f>
        <v>674.84763715580334</v>
      </c>
      <c r="G53" s="370">
        <f t="shared" si="25"/>
        <v>694.97453135608907</v>
      </c>
      <c r="H53" s="370">
        <f t="shared" si="25"/>
        <v>709.26111547330868</v>
      </c>
      <c r="I53" s="370">
        <f t="shared" si="25"/>
        <v>724.13023520604384</v>
      </c>
      <c r="J53" s="370">
        <f t="shared" si="25"/>
        <v>739.01782680912891</v>
      </c>
      <c r="K53" s="370">
        <f t="shared" si="25"/>
        <v>751.45965205045877</v>
      </c>
      <c r="L53" s="370">
        <f t="shared" si="25"/>
        <v>764.37498775168945</v>
      </c>
      <c r="M53" s="370">
        <f t="shared" si="25"/>
        <v>776.57608464242207</v>
      </c>
      <c r="N53" s="370">
        <f t="shared" si="25"/>
        <v>788.83323734341411</v>
      </c>
      <c r="O53" s="370">
        <f t="shared" si="25"/>
        <v>801.18912262120648</v>
      </c>
      <c r="P53" s="370">
        <f t="shared" si="25"/>
        <v>814.7051296257298</v>
      </c>
      <c r="Q53" s="370">
        <f t="shared" si="25"/>
        <v>828.05901360403641</v>
      </c>
      <c r="R53" s="370">
        <f t="shared" si="25"/>
        <v>822.3797306350624</v>
      </c>
      <c r="S53" s="370">
        <f t="shared" si="25"/>
        <v>0</v>
      </c>
      <c r="T53" s="370">
        <f t="shared" si="25"/>
        <v>0</v>
      </c>
      <c r="U53" s="370">
        <f t="shared" si="25"/>
        <v>0</v>
      </c>
      <c r="V53" s="370">
        <f t="shared" si="25"/>
        <v>0</v>
      </c>
      <c r="W53" s="370">
        <f t="shared" si="25"/>
        <v>286.06785906354935</v>
      </c>
      <c r="X53" s="370">
        <f t="shared" si="25"/>
        <v>286.06785906354935</v>
      </c>
    </row>
    <row r="54" spans="1:24" s="43" customFormat="1">
      <c r="A54" s="1"/>
      <c r="B54" s="16"/>
      <c r="C54"/>
      <c r="D54"/>
      <c r="E54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</row>
    <row r="55" spans="1:24" s="43" customFormat="1">
      <c r="A55" s="1"/>
      <c r="B55" s="16"/>
      <c r="C55"/>
      <c r="D55"/>
      <c r="E55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</row>
    <row r="56" spans="1:24" s="43" customFormat="1">
      <c r="A56" s="1"/>
      <c r="B56" s="16"/>
      <c r="C56"/>
      <c r="D56"/>
      <c r="E56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</row>
    <row r="57" spans="1:24" s="43" customFormat="1" ht="16.5" customHeight="1">
      <c r="A57" s="9"/>
      <c r="B57" s="374"/>
      <c r="C57" s="214"/>
      <c r="D57" s="214"/>
      <c r="E57" s="214"/>
      <c r="F57" s="370"/>
      <c r="G57" s="370"/>
      <c r="H57" s="370"/>
      <c r="I57" s="370"/>
      <c r="J57" s="370"/>
      <c r="K57" s="370"/>
      <c r="L57" s="370"/>
      <c r="M57" s="370"/>
      <c r="N57" s="370"/>
      <c r="O57" s="370"/>
      <c r="P57" s="370"/>
      <c r="Q57" s="370"/>
      <c r="R57" s="370"/>
      <c r="S57" s="370"/>
      <c r="T57" s="370"/>
      <c r="U57" s="370"/>
      <c r="V57" s="370"/>
      <c r="W57" s="370"/>
      <c r="X57" s="370"/>
    </row>
    <row r="58" spans="1:24" s="43" customFormat="1" ht="13.5" thickBot="1">
      <c r="A58" s="9" t="s">
        <v>193</v>
      </c>
      <c r="B58" s="374"/>
      <c r="C58" s="542">
        <f>C49+C50+C52+C51</f>
        <v>0</v>
      </c>
      <c r="D58" s="542">
        <f t="shared" ref="D58:R58" si="26">D49+D50+D52+D51</f>
        <v>0</v>
      </c>
      <c r="E58" s="542">
        <f t="shared" si="26"/>
        <v>0</v>
      </c>
      <c r="F58" s="542">
        <f t="shared" si="26"/>
        <v>227.62287645031955</v>
      </c>
      <c r="G58" s="542">
        <f t="shared" si="26"/>
        <v>333.86898206912554</v>
      </c>
      <c r="H58" s="542">
        <f t="shared" si="26"/>
        <v>229.38127034127024</v>
      </c>
      <c r="I58" s="542">
        <f t="shared" si="26"/>
        <v>77.021607117697044</v>
      </c>
      <c r="J58" s="542">
        <f t="shared" si="26"/>
        <v>0</v>
      </c>
      <c r="K58" s="542">
        <f t="shared" si="26"/>
        <v>0</v>
      </c>
      <c r="L58" s="542">
        <f t="shared" si="26"/>
        <v>0</v>
      </c>
      <c r="M58" s="542">
        <f t="shared" si="26"/>
        <v>0</v>
      </c>
      <c r="N58" s="542">
        <f t="shared" si="26"/>
        <v>0</v>
      </c>
      <c r="O58" s="542">
        <f t="shared" si="26"/>
        <v>0</v>
      </c>
      <c r="P58" s="542">
        <f t="shared" si="26"/>
        <v>0</v>
      </c>
      <c r="Q58" s="542">
        <f t="shared" si="26"/>
        <v>0</v>
      </c>
      <c r="R58" s="542">
        <f t="shared" si="26"/>
        <v>0</v>
      </c>
      <c r="S58" s="542">
        <f t="shared" ref="S58:X58" si="27">S49+S50+S52+S51</f>
        <v>0</v>
      </c>
      <c r="T58" s="542">
        <f t="shared" si="27"/>
        <v>0</v>
      </c>
      <c r="U58" s="542">
        <f t="shared" si="27"/>
        <v>0</v>
      </c>
      <c r="V58" s="542">
        <f t="shared" si="27"/>
        <v>0</v>
      </c>
      <c r="W58" s="542">
        <f t="shared" si="27"/>
        <v>214.55089429766198</v>
      </c>
      <c r="X58" s="542">
        <f t="shared" si="27"/>
        <v>214.55089429766198</v>
      </c>
    </row>
    <row r="59" spans="1:24" s="43" customFormat="1" ht="13.5" thickTop="1">
      <c r="A59" s="9"/>
      <c r="B59" s="374"/>
      <c r="C59" s="214"/>
      <c r="D59" s="214"/>
      <c r="E59" s="214"/>
      <c r="F59" s="370"/>
      <c r="G59" s="370"/>
      <c r="H59" s="370"/>
      <c r="I59" s="370"/>
      <c r="J59" s="370"/>
      <c r="K59" s="370"/>
      <c r="L59" s="370"/>
      <c r="M59" s="370"/>
      <c r="N59" s="370"/>
      <c r="O59" s="370"/>
      <c r="P59" s="370"/>
      <c r="Q59" s="370"/>
      <c r="R59" s="370"/>
      <c r="S59" s="370"/>
      <c r="T59" s="370"/>
      <c r="U59" s="370"/>
      <c r="V59" s="370"/>
      <c r="W59" s="370"/>
      <c r="X59" s="370"/>
    </row>
    <row r="60" spans="1:24" s="43" customFormat="1">
      <c r="A60" s="9" t="s">
        <v>219</v>
      </c>
      <c r="B60" s="374"/>
      <c r="C60" s="214"/>
      <c r="D60" s="214"/>
      <c r="E60" s="214"/>
      <c r="F60" s="370"/>
      <c r="G60" s="370"/>
      <c r="H60" s="370"/>
      <c r="I60" s="370"/>
      <c r="J60" s="370"/>
      <c r="K60" s="370"/>
      <c r="L60" s="370"/>
      <c r="M60" s="370"/>
      <c r="N60" s="370"/>
      <c r="O60" s="370">
        <v>-49</v>
      </c>
      <c r="P60" s="370">
        <v>-106</v>
      </c>
      <c r="Q60" s="370"/>
      <c r="R60" s="370"/>
      <c r="S60" s="370"/>
      <c r="T60" s="370">
        <f>U28</f>
        <v>0</v>
      </c>
      <c r="U60" s="370"/>
      <c r="V60" s="370"/>
      <c r="W60" s="370"/>
      <c r="X60" s="370"/>
    </row>
    <row r="61" spans="1:24" s="43" customFormat="1">
      <c r="A61" s="9" t="s">
        <v>220</v>
      </c>
      <c r="B61" s="374"/>
      <c r="C61" s="556">
        <f>C22-C49</f>
        <v>-419.07217094026481</v>
      </c>
      <c r="D61" s="556">
        <f>D22-D49</f>
        <v>-101.94761577274926</v>
      </c>
      <c r="E61" s="556">
        <f>E22-E49</f>
        <v>-161.98619843260485</v>
      </c>
      <c r="F61" s="370"/>
      <c r="G61" s="370"/>
      <c r="H61" s="370"/>
      <c r="I61" s="370"/>
      <c r="J61" s="370"/>
      <c r="K61" s="370"/>
      <c r="L61" s="370"/>
      <c r="M61" s="370"/>
      <c r="N61" s="370"/>
      <c r="O61" s="370"/>
      <c r="P61" s="370"/>
      <c r="Q61" s="370"/>
      <c r="R61" s="370"/>
      <c r="S61" s="370"/>
      <c r="T61" s="370"/>
      <c r="U61" s="370"/>
      <c r="V61" s="370"/>
      <c r="W61" s="370"/>
      <c r="X61" s="370"/>
    </row>
    <row r="62" spans="1:24" s="43" customFormat="1">
      <c r="A62" s="9" t="s">
        <v>221</v>
      </c>
      <c r="B62" s="374"/>
      <c r="C62" s="373">
        <f>C49+C60+C61</f>
        <v>-17.858169199809197</v>
      </c>
      <c r="D62" s="373">
        <f>D49+D60+D61</f>
        <v>348.75727014893346</v>
      </c>
      <c r="E62" s="373">
        <f>E49+E60+E61</f>
        <v>320.5783089444414</v>
      </c>
      <c r="F62" s="373">
        <f t="shared" ref="F62:P62" si="28">F49+F60+F61</f>
        <v>506.13572786685245</v>
      </c>
      <c r="G62" s="373">
        <f t="shared" si="28"/>
        <v>521.23089851706675</v>
      </c>
      <c r="H62" s="373">
        <f t="shared" si="28"/>
        <v>531.94583660498154</v>
      </c>
      <c r="I62" s="373">
        <f t="shared" si="28"/>
        <v>543.09767640453288</v>
      </c>
      <c r="J62" s="373">
        <f t="shared" si="28"/>
        <v>573.281240813767</v>
      </c>
      <c r="K62" s="373">
        <f t="shared" si="28"/>
        <v>573.281240813767</v>
      </c>
      <c r="L62" s="373">
        <f t="shared" si="28"/>
        <v>573.281240813767</v>
      </c>
      <c r="M62" s="373">
        <f t="shared" si="28"/>
        <v>582.4320634818165</v>
      </c>
      <c r="N62" s="373">
        <f t="shared" si="28"/>
        <v>591.62492800756058</v>
      </c>
      <c r="O62" s="373">
        <f t="shared" si="28"/>
        <v>551.89184196590486</v>
      </c>
      <c r="P62" s="373">
        <f t="shared" si="28"/>
        <v>505.02884721929729</v>
      </c>
      <c r="Q62" s="373">
        <f>ROUND(Q49+Q60+Q61+Q50,0)</f>
        <v>0</v>
      </c>
      <c r="R62" s="373">
        <v>0</v>
      </c>
      <c r="S62" s="373">
        <v>0</v>
      </c>
      <c r="T62" s="373">
        <f>ROUND(T49+T60+T61+T50,0)</f>
        <v>0</v>
      </c>
      <c r="U62" s="373">
        <v>0</v>
      </c>
      <c r="V62" s="373">
        <v>0</v>
      </c>
      <c r="W62" s="373">
        <v>0</v>
      </c>
      <c r="X62" s="373">
        <v>0</v>
      </c>
    </row>
    <row r="63" spans="1:24" s="43" customFormat="1">
      <c r="A63" s="9"/>
      <c r="B63" s="374"/>
      <c r="C63" s="214"/>
      <c r="D63" s="214"/>
      <c r="E63" s="214"/>
      <c r="F63" s="370"/>
      <c r="G63" s="370"/>
      <c r="H63" s="370"/>
      <c r="I63" s="370"/>
      <c r="J63" s="370"/>
      <c r="K63" s="370"/>
      <c r="L63" s="370"/>
      <c r="M63" s="370"/>
      <c r="N63" s="370"/>
      <c r="O63" s="370"/>
      <c r="P63" s="370"/>
      <c r="Q63" s="370"/>
      <c r="R63" s="370"/>
      <c r="S63" s="370"/>
      <c r="T63" s="370"/>
      <c r="U63" s="370"/>
      <c r="V63" s="370"/>
      <c r="W63" s="370"/>
      <c r="X63" s="370"/>
    </row>
    <row r="64" spans="1:24" s="43" customFormat="1">
      <c r="A64" s="1"/>
      <c r="B64" s="16"/>
      <c r="C64"/>
      <c r="D64"/>
      <c r="E64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</row>
    <row r="65" spans="1:249" ht="15.75">
      <c r="A65" s="26" t="s">
        <v>347</v>
      </c>
      <c r="B65" s="16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</row>
    <row r="66" spans="1:249">
      <c r="A66" s="1"/>
      <c r="B66" s="16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</row>
    <row r="67" spans="1:249">
      <c r="A67" s="21" t="s">
        <v>348</v>
      </c>
      <c r="B67" s="21"/>
      <c r="C67" s="21">
        <v>0</v>
      </c>
      <c r="D67" s="21">
        <f>C71</f>
        <v>0</v>
      </c>
      <c r="E67" s="21">
        <f t="shared" ref="E67:X67" si="29">D71</f>
        <v>0</v>
      </c>
      <c r="F67" s="21">
        <f t="shared" si="29"/>
        <v>0</v>
      </c>
      <c r="G67" s="21">
        <f t="shared" si="29"/>
        <v>0</v>
      </c>
      <c r="H67" s="21">
        <f t="shared" si="29"/>
        <v>0</v>
      </c>
      <c r="I67" s="21">
        <f t="shared" si="29"/>
        <v>0</v>
      </c>
      <c r="J67" s="21">
        <f t="shared" si="29"/>
        <v>0</v>
      </c>
      <c r="K67" s="21">
        <f t="shared" si="29"/>
        <v>0</v>
      </c>
      <c r="L67" s="21">
        <f t="shared" si="29"/>
        <v>0</v>
      </c>
      <c r="M67" s="21">
        <f t="shared" si="29"/>
        <v>0</v>
      </c>
      <c r="N67" s="21">
        <f t="shared" si="29"/>
        <v>0</v>
      </c>
      <c r="O67" s="21">
        <f t="shared" si="29"/>
        <v>0</v>
      </c>
      <c r="P67" s="21">
        <f t="shared" si="29"/>
        <v>0</v>
      </c>
      <c r="Q67" s="21">
        <f t="shared" si="29"/>
        <v>0</v>
      </c>
      <c r="R67" s="21">
        <f t="shared" si="29"/>
        <v>0</v>
      </c>
      <c r="S67" s="21">
        <f t="shared" si="29"/>
        <v>0</v>
      </c>
      <c r="T67" s="21">
        <f t="shared" si="29"/>
        <v>0</v>
      </c>
      <c r="U67" s="21">
        <f t="shared" si="29"/>
        <v>0</v>
      </c>
      <c r="V67" s="21">
        <f t="shared" si="29"/>
        <v>0</v>
      </c>
      <c r="W67" s="21">
        <f t="shared" si="29"/>
        <v>0</v>
      </c>
      <c r="X67" s="21">
        <f t="shared" si="29"/>
        <v>0</v>
      </c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</row>
    <row r="68" spans="1:249">
      <c r="A68" s="21" t="s">
        <v>349</v>
      </c>
      <c r="B68" s="21"/>
      <c r="C68" s="21">
        <f>C31</f>
        <v>0</v>
      </c>
      <c r="D68" s="21">
        <f t="shared" ref="D68:X68" si="30">D31</f>
        <v>0</v>
      </c>
      <c r="E68" s="21">
        <f t="shared" si="30"/>
        <v>0</v>
      </c>
      <c r="F68" s="21">
        <f t="shared" si="30"/>
        <v>0</v>
      </c>
      <c r="G68" s="21">
        <f t="shared" si="30"/>
        <v>0</v>
      </c>
      <c r="H68" s="21">
        <f t="shared" si="30"/>
        <v>0</v>
      </c>
      <c r="I68" s="21">
        <f t="shared" si="30"/>
        <v>0</v>
      </c>
      <c r="J68" s="21">
        <f t="shared" si="30"/>
        <v>0</v>
      </c>
      <c r="K68" s="21">
        <f t="shared" si="30"/>
        <v>0</v>
      </c>
      <c r="L68" s="21">
        <f t="shared" si="30"/>
        <v>0</v>
      </c>
      <c r="M68" s="21">
        <f t="shared" si="30"/>
        <v>0</v>
      </c>
      <c r="N68" s="21">
        <f t="shared" si="30"/>
        <v>0</v>
      </c>
      <c r="O68" s="21">
        <f t="shared" si="30"/>
        <v>0</v>
      </c>
      <c r="P68" s="21">
        <f t="shared" si="30"/>
        <v>0</v>
      </c>
      <c r="Q68" s="21">
        <f t="shared" si="30"/>
        <v>0</v>
      </c>
      <c r="R68" s="21">
        <f t="shared" si="30"/>
        <v>0</v>
      </c>
      <c r="S68" s="21">
        <f t="shared" si="30"/>
        <v>0</v>
      </c>
      <c r="T68" s="21">
        <f t="shared" si="30"/>
        <v>0</v>
      </c>
      <c r="U68" s="21">
        <f t="shared" si="30"/>
        <v>0</v>
      </c>
      <c r="V68" s="21">
        <f t="shared" si="30"/>
        <v>0</v>
      </c>
      <c r="W68" s="21">
        <f t="shared" si="30"/>
        <v>0</v>
      </c>
      <c r="X68" s="21">
        <f t="shared" si="30"/>
        <v>0</v>
      </c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</row>
    <row r="69" spans="1:249">
      <c r="A69" s="21" t="s">
        <v>350</v>
      </c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>
        <f>-F68</f>
        <v>0</v>
      </c>
      <c r="Q69" s="21">
        <f>-G68</f>
        <v>0</v>
      </c>
      <c r="R69" s="21">
        <f>-H68</f>
        <v>0</v>
      </c>
      <c r="S69" s="21">
        <f>-I68</f>
        <v>0</v>
      </c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</row>
    <row r="70" spans="1:249">
      <c r="A70" s="1" t="s">
        <v>351</v>
      </c>
      <c r="B70" s="16"/>
      <c r="E70" s="352">
        <f>E24</f>
        <v>0</v>
      </c>
      <c r="F70" s="352">
        <f t="shared" ref="F70:X70" si="31">F24</f>
        <v>0</v>
      </c>
      <c r="G70" s="352">
        <f t="shared" si="31"/>
        <v>0</v>
      </c>
      <c r="H70" s="352">
        <f t="shared" si="31"/>
        <v>0</v>
      </c>
      <c r="I70" s="352">
        <f t="shared" si="31"/>
        <v>0</v>
      </c>
      <c r="J70" s="352">
        <f t="shared" si="31"/>
        <v>0</v>
      </c>
      <c r="K70" s="352">
        <f t="shared" si="31"/>
        <v>0</v>
      </c>
      <c r="L70" s="352">
        <f t="shared" si="31"/>
        <v>0</v>
      </c>
      <c r="M70" s="352">
        <f t="shared" si="31"/>
        <v>0</v>
      </c>
      <c r="N70" s="352">
        <f t="shared" si="31"/>
        <v>0</v>
      </c>
      <c r="O70" s="352">
        <f t="shared" si="31"/>
        <v>0</v>
      </c>
      <c r="P70" s="352">
        <f t="shared" si="31"/>
        <v>0</v>
      </c>
      <c r="Q70" s="352">
        <f t="shared" si="31"/>
        <v>0</v>
      </c>
      <c r="R70" s="352">
        <f t="shared" si="31"/>
        <v>0</v>
      </c>
      <c r="S70" s="352">
        <f t="shared" si="31"/>
        <v>0</v>
      </c>
      <c r="T70" s="352">
        <f t="shared" si="31"/>
        <v>0</v>
      </c>
      <c r="U70" s="352">
        <f t="shared" si="31"/>
        <v>0</v>
      </c>
      <c r="V70" s="352">
        <f t="shared" si="31"/>
        <v>0</v>
      </c>
      <c r="W70" s="352">
        <f t="shared" si="31"/>
        <v>0</v>
      </c>
      <c r="X70" s="352">
        <f t="shared" si="31"/>
        <v>0</v>
      </c>
    </row>
    <row r="71" spans="1:249">
      <c r="A71" s="21" t="s">
        <v>352</v>
      </c>
      <c r="B71" s="21"/>
      <c r="C71" s="21">
        <f>SUM(C67:C70)</f>
        <v>0</v>
      </c>
      <c r="D71" s="21">
        <f t="shared" ref="D71:X71" si="32">SUM(D67:D70)</f>
        <v>0</v>
      </c>
      <c r="E71" s="21">
        <f t="shared" si="32"/>
        <v>0</v>
      </c>
      <c r="F71" s="21">
        <f t="shared" si="32"/>
        <v>0</v>
      </c>
      <c r="G71" s="21">
        <f t="shared" si="32"/>
        <v>0</v>
      </c>
      <c r="H71" s="21">
        <f t="shared" si="32"/>
        <v>0</v>
      </c>
      <c r="I71" s="21">
        <f t="shared" si="32"/>
        <v>0</v>
      </c>
      <c r="J71" s="21">
        <f t="shared" si="32"/>
        <v>0</v>
      </c>
      <c r="K71" s="21">
        <f t="shared" si="32"/>
        <v>0</v>
      </c>
      <c r="L71" s="21">
        <f t="shared" si="32"/>
        <v>0</v>
      </c>
      <c r="M71" s="21">
        <f t="shared" si="32"/>
        <v>0</v>
      </c>
      <c r="N71" s="21">
        <f t="shared" si="32"/>
        <v>0</v>
      </c>
      <c r="O71" s="21">
        <f t="shared" si="32"/>
        <v>0</v>
      </c>
      <c r="P71" s="21">
        <f t="shared" si="32"/>
        <v>0</v>
      </c>
      <c r="Q71" s="21">
        <f t="shared" si="32"/>
        <v>0</v>
      </c>
      <c r="R71" s="21">
        <f t="shared" si="32"/>
        <v>0</v>
      </c>
      <c r="S71" s="21">
        <f t="shared" si="32"/>
        <v>0</v>
      </c>
      <c r="T71" s="21">
        <f t="shared" si="32"/>
        <v>0</v>
      </c>
      <c r="U71" s="21">
        <f t="shared" si="32"/>
        <v>0</v>
      </c>
      <c r="V71" s="21">
        <f t="shared" si="32"/>
        <v>0</v>
      </c>
      <c r="W71" s="21">
        <f t="shared" si="32"/>
        <v>0</v>
      </c>
      <c r="X71" s="21">
        <f t="shared" si="32"/>
        <v>0</v>
      </c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</row>
    <row r="72" spans="1:249" s="43" customFormat="1">
      <c r="K72"/>
      <c r="L72"/>
      <c r="M72"/>
      <c r="N72"/>
      <c r="O72"/>
      <c r="P72"/>
      <c r="Q72"/>
      <c r="R72"/>
      <c r="S72"/>
      <c r="T72"/>
      <c r="U72"/>
      <c r="V72"/>
      <c r="W72"/>
      <c r="X72"/>
    </row>
    <row r="73" spans="1:249" s="43" customFormat="1">
      <c r="K73"/>
      <c r="L73"/>
      <c r="M73"/>
      <c r="N73"/>
      <c r="O73"/>
      <c r="P73"/>
      <c r="Q73"/>
      <c r="R73"/>
      <c r="S73"/>
      <c r="T73"/>
      <c r="U73"/>
      <c r="V73"/>
      <c r="W73"/>
      <c r="X73"/>
    </row>
    <row r="74" spans="1:249" s="43" customForma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</row>
    <row r="75" spans="1:249" s="43" customFormat="1">
      <c r="A75" s="1"/>
      <c r="B75" s="1"/>
      <c r="C75"/>
      <c r="D75"/>
      <c r="E75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9" s="43" customFormat="1">
      <c r="A76" s="1"/>
      <c r="B76" s="1"/>
      <c r="C76"/>
      <c r="D76"/>
      <c r="E76"/>
      <c r="F76" s="150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9" s="43" customFormat="1">
      <c r="A77" s="1"/>
      <c r="B77" s="1"/>
      <c r="C77" s="1084"/>
      <c r="D77" s="1084"/>
      <c r="E77" s="1084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</row>
    <row r="78" spans="1:249" s="43" customFormat="1" ht="15.75">
      <c r="A78" s="26" t="s">
        <v>196</v>
      </c>
      <c r="B78" s="1"/>
      <c r="C78" s="502">
        <f>C3</f>
        <v>2000</v>
      </c>
      <c r="D78" s="502">
        <f t="shared" ref="D78:X78" si="33">D3</f>
        <v>2001</v>
      </c>
      <c r="E78" s="502">
        <f t="shared" si="33"/>
        <v>2002</v>
      </c>
      <c r="F78" s="502">
        <f t="shared" si="33"/>
        <v>2003</v>
      </c>
      <c r="G78" s="502">
        <f t="shared" si="33"/>
        <v>2004</v>
      </c>
      <c r="H78" s="502">
        <f t="shared" si="33"/>
        <v>2005</v>
      </c>
      <c r="I78" s="502">
        <f t="shared" si="33"/>
        <v>2006</v>
      </c>
      <c r="J78" s="502">
        <f t="shared" si="33"/>
        <v>2007</v>
      </c>
      <c r="K78" s="502">
        <f t="shared" si="33"/>
        <v>2008</v>
      </c>
      <c r="L78" s="502">
        <f t="shared" si="33"/>
        <v>2009</v>
      </c>
      <c r="M78" s="502">
        <f t="shared" si="33"/>
        <v>2010</v>
      </c>
      <c r="N78" s="502">
        <f t="shared" si="33"/>
        <v>2011</v>
      </c>
      <c r="O78" s="502">
        <f t="shared" si="33"/>
        <v>2012</v>
      </c>
      <c r="P78" s="502">
        <f t="shared" si="33"/>
        <v>2013</v>
      </c>
      <c r="Q78" s="502">
        <f t="shared" si="33"/>
        <v>2014</v>
      </c>
      <c r="R78" s="502">
        <f t="shared" si="33"/>
        <v>2015</v>
      </c>
      <c r="S78" s="502">
        <f t="shared" si="33"/>
        <v>2016</v>
      </c>
      <c r="T78" s="502">
        <f t="shared" si="33"/>
        <v>2017</v>
      </c>
      <c r="U78" s="502">
        <f t="shared" si="33"/>
        <v>2018</v>
      </c>
      <c r="V78" s="502">
        <f t="shared" si="33"/>
        <v>2019</v>
      </c>
      <c r="W78" s="502">
        <f t="shared" si="33"/>
        <v>2020</v>
      </c>
      <c r="X78" s="502">
        <f t="shared" si="33"/>
        <v>2021</v>
      </c>
    </row>
    <row r="79" spans="1:249" s="43" customFormat="1">
      <c r="A79" s="1"/>
      <c r="B79" s="1"/>
      <c r="C79"/>
      <c r="D79"/>
      <c r="E79"/>
      <c r="F79" s="210"/>
      <c r="G79" s="210"/>
      <c r="H79" s="210"/>
      <c r="I79" s="210"/>
      <c r="J79" s="210"/>
      <c r="K79" s="210"/>
      <c r="L79" s="210"/>
      <c r="M79" s="210"/>
      <c r="N79" s="210"/>
      <c r="O79" s="210"/>
      <c r="P79" s="210"/>
      <c r="Q79" s="210"/>
      <c r="R79" s="210"/>
      <c r="S79" s="210"/>
      <c r="T79" s="210"/>
      <c r="U79" s="210"/>
      <c r="V79" s="210"/>
      <c r="W79" s="210"/>
      <c r="X79" s="210"/>
    </row>
    <row r="80" spans="1:249" s="43" customFormat="1">
      <c r="A80" s="77"/>
      <c r="B80" s="77"/>
      <c r="C80"/>
      <c r="D80"/>
      <c r="E80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s="43" customFormat="1">
      <c r="A81" s="1" t="s">
        <v>197</v>
      </c>
      <c r="B81" s="1"/>
      <c r="C81">
        <v>0</v>
      </c>
      <c r="D81" s="351">
        <f>C90</f>
        <v>446.4542299952293</v>
      </c>
      <c r="E81" s="351">
        <f>D90</f>
        <v>0</v>
      </c>
      <c r="F81" s="351">
        <f>E90</f>
        <v>0</v>
      </c>
      <c r="G81" s="351">
        <f>F90</f>
        <v>0</v>
      </c>
      <c r="H81" s="351">
        <f>G90</f>
        <v>0</v>
      </c>
      <c r="I81" s="15">
        <f t="shared" ref="I81:X81" si="34">H90</f>
        <v>0</v>
      </c>
      <c r="J81" s="15">
        <f t="shared" si="34"/>
        <v>0</v>
      </c>
      <c r="K81" s="15">
        <f t="shared" si="34"/>
        <v>0</v>
      </c>
      <c r="L81" s="15">
        <f t="shared" si="34"/>
        <v>0</v>
      </c>
      <c r="M81" s="15">
        <f t="shared" si="34"/>
        <v>0</v>
      </c>
      <c r="N81" s="15">
        <f t="shared" si="34"/>
        <v>0</v>
      </c>
      <c r="O81" s="15">
        <f t="shared" si="34"/>
        <v>0</v>
      </c>
      <c r="P81" s="15">
        <f t="shared" si="34"/>
        <v>0</v>
      </c>
      <c r="Q81" s="15">
        <f t="shared" si="34"/>
        <v>0</v>
      </c>
      <c r="R81" s="15">
        <f t="shared" si="34"/>
        <v>0</v>
      </c>
      <c r="S81" s="15">
        <f t="shared" si="34"/>
        <v>0</v>
      </c>
      <c r="T81" s="15">
        <f t="shared" si="34"/>
        <v>0</v>
      </c>
      <c r="U81" s="15">
        <f t="shared" si="34"/>
        <v>0</v>
      </c>
      <c r="V81" s="15">
        <f t="shared" si="34"/>
        <v>0</v>
      </c>
      <c r="W81" s="15">
        <f t="shared" si="34"/>
        <v>0</v>
      </c>
      <c r="X81" s="15">
        <f t="shared" si="34"/>
        <v>0</v>
      </c>
    </row>
    <row r="82" spans="1:24" s="43" customFormat="1">
      <c r="A82" s="9" t="s">
        <v>198</v>
      </c>
      <c r="B82" s="9"/>
      <c r="C82" s="56">
        <f>IF(Tax!C15&lt;0,-Tax!C15,0)</f>
        <v>446.4542299952293</v>
      </c>
      <c r="D82" s="56">
        <f>IF(Tax!D15&lt;0,-Tax!D15,0)</f>
        <v>0</v>
      </c>
      <c r="E82" s="56">
        <f>IF(Tax!E15&lt;0,-Tax!E15,0)</f>
        <v>0</v>
      </c>
      <c r="F82" s="56">
        <f>IF(Tax!F15&lt;0,-Tax!F15,0)</f>
        <v>0</v>
      </c>
      <c r="G82" s="56">
        <f>IF(Tax!G15&lt;0,-Tax!G15,0)</f>
        <v>0</v>
      </c>
      <c r="H82" s="56">
        <f>IF(Tax!H15&lt;0,-Tax!H15,0)</f>
        <v>0</v>
      </c>
      <c r="I82" s="56">
        <f>IF(Tax!I15&lt;0,-Tax!I15,0)</f>
        <v>0</v>
      </c>
      <c r="J82" s="56">
        <f>IF(Tax!J15&lt;0,-Tax!J15,0)</f>
        <v>0</v>
      </c>
      <c r="K82" s="56">
        <f>IF(Tax!K15&lt;0,-Tax!K15,0)</f>
        <v>0</v>
      </c>
      <c r="L82" s="56">
        <f>IF(Tax!L15&lt;0,-Tax!L15,0)</f>
        <v>0</v>
      </c>
      <c r="M82" s="56">
        <f>IF(Tax!M15&lt;0,-Tax!M15,0)</f>
        <v>0</v>
      </c>
      <c r="N82" s="56">
        <f>IF(Tax!N15&lt;0,-Tax!N15,0)</f>
        <v>0</v>
      </c>
      <c r="O82" s="56">
        <f>IF(Tax!O15&lt;0,-Tax!O15,0)</f>
        <v>0</v>
      </c>
      <c r="P82" s="56">
        <f>IF(Tax!P15&lt;0,-Tax!P15,0)</f>
        <v>0</v>
      </c>
      <c r="Q82" s="56">
        <f>IF(Tax!Q15&lt;0,-Tax!Q15,0)</f>
        <v>0</v>
      </c>
      <c r="R82" s="56">
        <f>IF(Tax!R15&lt;0,-Tax!R15,0)</f>
        <v>0</v>
      </c>
      <c r="S82" s="56">
        <f>IF(Tax!S15&lt;0,-Tax!S15,0)</f>
        <v>0</v>
      </c>
      <c r="T82" s="56">
        <f>IF(Tax!T15&lt;0,-Tax!T15,0)</f>
        <v>0</v>
      </c>
      <c r="U82" s="56">
        <f>IF(Tax!U15&lt;0,-Tax!U15,0)</f>
        <v>0</v>
      </c>
      <c r="V82" s="56">
        <f>IF(Tax!V15&lt;0,-Tax!V15,0)</f>
        <v>0</v>
      </c>
      <c r="W82" s="56">
        <f>IF(Tax!W15&lt;0,-Tax!W15,0)</f>
        <v>0</v>
      </c>
      <c r="X82" s="56">
        <f>IF(Tax!X15&lt;0,-Tax!X15,0)</f>
        <v>0</v>
      </c>
    </row>
    <row r="83" spans="1:24" s="43" customFormat="1">
      <c r="A83" s="238" t="s">
        <v>224</v>
      </c>
      <c r="B83" s="238"/>
      <c r="C83" s="241"/>
      <c r="D83" s="241"/>
      <c r="E83" s="241"/>
      <c r="F83" s="244"/>
      <c r="G83" s="244"/>
      <c r="H83" s="244"/>
      <c r="I83" s="244"/>
      <c r="J83" s="244"/>
      <c r="K83" s="244"/>
      <c r="L83" s="244"/>
      <c r="M83" s="244"/>
      <c r="N83" s="244">
        <v>0</v>
      </c>
      <c r="O83" s="244">
        <f>+B96</f>
        <v>0</v>
      </c>
      <c r="P83" s="244"/>
      <c r="Q83" s="244"/>
      <c r="R83" s="244"/>
      <c r="S83" s="244"/>
      <c r="T83" s="244"/>
      <c r="U83" s="244"/>
      <c r="V83" s="244"/>
      <c r="W83" s="244"/>
      <c r="X83" s="244"/>
    </row>
    <row r="84" spans="1:24" s="43" customFormat="1">
      <c r="A84" s="238" t="s">
        <v>229</v>
      </c>
      <c r="B84" s="238"/>
      <c r="C84" s="245">
        <f>SUM(C81:C83)</f>
        <v>446.4542299952293</v>
      </c>
      <c r="D84" s="245">
        <f t="shared" ref="D84:X84" si="35">SUM(D81:D83)</f>
        <v>446.4542299952293</v>
      </c>
      <c r="E84" s="245">
        <f t="shared" si="35"/>
        <v>0</v>
      </c>
      <c r="F84" s="245">
        <f t="shared" si="35"/>
        <v>0</v>
      </c>
      <c r="G84" s="245">
        <f t="shared" si="35"/>
        <v>0</v>
      </c>
      <c r="H84" s="245">
        <f t="shared" si="35"/>
        <v>0</v>
      </c>
      <c r="I84" s="245">
        <f t="shared" si="35"/>
        <v>0</v>
      </c>
      <c r="J84" s="245">
        <f t="shared" si="35"/>
        <v>0</v>
      </c>
      <c r="K84" s="245">
        <f t="shared" si="35"/>
        <v>0</v>
      </c>
      <c r="L84" s="245">
        <f t="shared" si="35"/>
        <v>0</v>
      </c>
      <c r="M84" s="245">
        <f t="shared" si="35"/>
        <v>0</v>
      </c>
      <c r="N84" s="245">
        <f t="shared" si="35"/>
        <v>0</v>
      </c>
      <c r="O84" s="245">
        <f t="shared" si="35"/>
        <v>0</v>
      </c>
      <c r="P84" s="245">
        <f t="shared" si="35"/>
        <v>0</v>
      </c>
      <c r="Q84" s="245">
        <f t="shared" si="35"/>
        <v>0</v>
      </c>
      <c r="R84" s="245">
        <f t="shared" si="35"/>
        <v>0</v>
      </c>
      <c r="S84" s="245">
        <f t="shared" si="35"/>
        <v>0</v>
      </c>
      <c r="T84" s="245">
        <f t="shared" si="35"/>
        <v>0</v>
      </c>
      <c r="U84" s="245">
        <f t="shared" si="35"/>
        <v>0</v>
      </c>
      <c r="V84" s="245">
        <f t="shared" si="35"/>
        <v>0</v>
      </c>
      <c r="W84" s="245">
        <f t="shared" si="35"/>
        <v>0</v>
      </c>
      <c r="X84" s="245">
        <f t="shared" si="35"/>
        <v>0</v>
      </c>
    </row>
    <row r="85" spans="1:24" s="43" customFormat="1">
      <c r="A85" s="1"/>
      <c r="B85" s="1"/>
      <c r="C85"/>
      <c r="D85"/>
      <c r="E8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s="43" customFormat="1">
      <c r="A86" s="1"/>
      <c r="B86" s="1"/>
      <c r="C86"/>
      <c r="D86"/>
      <c r="E86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s="43" customFormat="1">
      <c r="A87" s="1" t="s">
        <v>202</v>
      </c>
      <c r="B87" s="1"/>
      <c r="C87" s="15">
        <f>IF(Tax!C15&gt;0,IF(C15&gt;C84,C84,C15),0)</f>
        <v>0</v>
      </c>
      <c r="D87" s="15">
        <f>IF(Tax!D15&gt;0,IF(D15&gt;D84,D84,D15),0)</f>
        <v>446.4542299952293</v>
      </c>
      <c r="E87" s="15">
        <f>IF(Tax!E15&gt;0,IF(E15&gt;E84,E84,E15),0)</f>
        <v>0</v>
      </c>
      <c r="F87" s="15">
        <f>IF(Tax!F15&gt;0,IF(F15&gt;F84,F84,F15),0)</f>
        <v>0</v>
      </c>
      <c r="G87" s="15">
        <f>IF(Tax!G15&gt;0,IF(G15&gt;G84,G84,G15),0)</f>
        <v>0</v>
      </c>
      <c r="H87" s="15">
        <f>IF(Tax!H15&gt;0,IF(H15&gt;H84,H84,H15),0)</f>
        <v>0</v>
      </c>
      <c r="I87" s="15">
        <f>IF(Tax!I15&gt;0,IF(I15&gt;I84,I84,I15),0)</f>
        <v>0</v>
      </c>
      <c r="J87" s="15">
        <f>IF(Tax!J15&gt;0,IF(J15&gt;J84,J84,J15),0)</f>
        <v>0</v>
      </c>
      <c r="K87" s="15">
        <f>IF(Tax!K15&gt;0,IF(K15&gt;K84,K84,K15),0)</f>
        <v>0</v>
      </c>
      <c r="L87" s="15">
        <f>IF(Tax!L15&gt;0,IF(L15&gt;L84,L84,L15),0)</f>
        <v>0</v>
      </c>
      <c r="M87" s="15">
        <f>IF(Tax!M15&gt;0,IF(M15&gt;M84,M84,M15),0)</f>
        <v>0</v>
      </c>
      <c r="N87" s="15">
        <f>IF(Tax!N15&gt;0,IF(N15&gt;N84,N84,N15),0)</f>
        <v>0</v>
      </c>
      <c r="O87" s="15">
        <f>IF(Tax!O15&gt;0,IF(O15&gt;O84,O84,O15),0)</f>
        <v>0</v>
      </c>
      <c r="P87" s="15">
        <f>IF(Tax!P15&gt;0,IF(P15&gt;P84,P84,P15),0)</f>
        <v>0</v>
      </c>
      <c r="Q87" s="15">
        <f>IF(Tax!Q15&gt;0,IF(Q15&gt;Q84,Q84,Q15),0)</f>
        <v>0</v>
      </c>
      <c r="R87" s="15">
        <f>IF(Tax!R15&gt;0,IF(R15&gt;R84,R84,R15),0)</f>
        <v>0</v>
      </c>
      <c r="S87" s="15">
        <f>IF(Tax!S15&gt;0,IF(S15&gt;S84,S84,S15),0)</f>
        <v>0</v>
      </c>
      <c r="T87" s="15">
        <f>IF(Tax!T15&gt;0,IF(T15&gt;T84,T84,T15),0)</f>
        <v>0</v>
      </c>
      <c r="U87" s="15">
        <f>IF(Tax!U15&gt;0,IF(U15&gt;U84,U84,U15),0)</f>
        <v>0</v>
      </c>
      <c r="V87" s="15">
        <f>IF(Tax!V15&gt;0,IF(V15&gt;V84,V84,V15),0)</f>
        <v>0</v>
      </c>
      <c r="W87" s="15">
        <f>IF(Tax!W15&gt;0,IF(W15&gt;W84,W84,W15),0)</f>
        <v>0</v>
      </c>
      <c r="X87" s="15">
        <f>IF(Tax!X15&gt;0,IF(X15&gt;X84,X84,X15),0)</f>
        <v>0</v>
      </c>
    </row>
    <row r="88" spans="1:24" s="380" customFormat="1">
      <c r="A88" s="377" t="s">
        <v>370</v>
      </c>
      <c r="B88" s="377"/>
      <c r="C88" s="249"/>
      <c r="D88" s="249"/>
      <c r="E88" s="249"/>
      <c r="F88" s="402"/>
      <c r="G88" s="402">
        <f>IF(Tables!$B$21=5,IF(D18+E18+F18&gt;-G18,-G84,-D18-E18-F18),0)</f>
        <v>0</v>
      </c>
      <c r="H88" s="402">
        <f>IF(Tables!$B$21=5,IF(E18+F18+G18&gt;-H18,-H84,-E18-F18-G18),0)</f>
        <v>0</v>
      </c>
      <c r="I88" s="402"/>
      <c r="J88" s="402"/>
      <c r="K88" s="402"/>
      <c r="L88" s="402"/>
      <c r="M88" s="402"/>
      <c r="N88" s="402"/>
      <c r="O88" s="402"/>
      <c r="P88" s="402">
        <f>IF(Tables!$B$21=10,IF(M18+N18+O18&gt;-P18,-P84,-M18-N18-O18),0)</f>
        <v>0</v>
      </c>
      <c r="Q88" s="402"/>
      <c r="R88" s="402"/>
      <c r="S88" s="402"/>
      <c r="T88" s="402"/>
      <c r="U88" s="402">
        <f>IF(Tables!$B$21=15,IF(R18+S18+T18&gt;-U18,-U84,-R18-S18-T18),0)</f>
        <v>0</v>
      </c>
      <c r="V88" s="402"/>
      <c r="W88" s="402"/>
      <c r="X88" s="402"/>
    </row>
    <row r="89" spans="1:24" s="43" customFormat="1">
      <c r="A89" s="1"/>
      <c r="B89" s="1"/>
      <c r="C89"/>
      <c r="D89"/>
      <c r="E89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s="43" customFormat="1">
      <c r="A90" s="238" t="s">
        <v>230</v>
      </c>
      <c r="B90" s="238"/>
      <c r="C90" s="252">
        <f>C84-C87</f>
        <v>446.4542299952293</v>
      </c>
      <c r="D90" s="252">
        <f>D84-D87</f>
        <v>0</v>
      </c>
      <c r="E90" s="252">
        <f>E84-E87</f>
        <v>0</v>
      </c>
      <c r="F90" s="253">
        <f>F84-F87</f>
        <v>0</v>
      </c>
      <c r="G90" s="246">
        <f t="shared" ref="G90:X90" si="36">G84-G87</f>
        <v>0</v>
      </c>
      <c r="H90" s="246">
        <f t="shared" si="36"/>
        <v>0</v>
      </c>
      <c r="I90" s="246">
        <f t="shared" si="36"/>
        <v>0</v>
      </c>
      <c r="J90" s="246">
        <f t="shared" si="36"/>
        <v>0</v>
      </c>
      <c r="K90" s="246">
        <f t="shared" si="36"/>
        <v>0</v>
      </c>
      <c r="L90" s="246">
        <f t="shared" si="36"/>
        <v>0</v>
      </c>
      <c r="M90" s="246">
        <f t="shared" si="36"/>
        <v>0</v>
      </c>
      <c r="N90" s="246">
        <f t="shared" si="36"/>
        <v>0</v>
      </c>
      <c r="O90" s="246">
        <f t="shared" si="36"/>
        <v>0</v>
      </c>
      <c r="P90" s="246">
        <f t="shared" si="36"/>
        <v>0</v>
      </c>
      <c r="Q90" s="246">
        <f t="shared" si="36"/>
        <v>0</v>
      </c>
      <c r="R90" s="246">
        <f t="shared" si="36"/>
        <v>0</v>
      </c>
      <c r="S90" s="246">
        <f t="shared" si="36"/>
        <v>0</v>
      </c>
      <c r="T90" s="246">
        <f t="shared" si="36"/>
        <v>0</v>
      </c>
      <c r="U90" s="246">
        <f t="shared" si="36"/>
        <v>0</v>
      </c>
      <c r="V90" s="246">
        <f t="shared" si="36"/>
        <v>0</v>
      </c>
      <c r="W90" s="246">
        <f t="shared" si="36"/>
        <v>0</v>
      </c>
      <c r="X90" s="246">
        <f t="shared" si="36"/>
        <v>0</v>
      </c>
    </row>
    <row r="91" spans="1:24" s="43" customFormat="1">
      <c r="A91" s="1"/>
      <c r="B91" s="1"/>
      <c r="C91"/>
      <c r="D91"/>
      <c r="E9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43" customFormat="1">
      <c r="A92" s="1"/>
      <c r="B92" s="1"/>
      <c r="C92"/>
      <c r="D92"/>
      <c r="E92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43" customFormat="1">
      <c r="A93" s="545" t="s">
        <v>199</v>
      </c>
      <c r="B93" s="546" t="s">
        <v>201</v>
      </c>
      <c r="C93" s="214"/>
      <c r="D93" s="214"/>
      <c r="E93" s="214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</row>
    <row r="94" spans="1:24" s="43" customFormat="1">
      <c r="A94" s="547" t="s">
        <v>225</v>
      </c>
      <c r="B94" s="548">
        <f t="shared" ref="B94:B99" si="37">SUM(F94:X94)</f>
        <v>0</v>
      </c>
      <c r="C94" s="214"/>
      <c r="D94" s="214"/>
      <c r="E94" s="214"/>
      <c r="F94" s="205">
        <f>IF(AND(F87&gt;0,F87&lt;$F$9),F87,0)</f>
        <v>0</v>
      </c>
      <c r="G94" s="205">
        <f>IF(AND(G87&gt;0,G87&lt;$F$9),G87,0)</f>
        <v>0</v>
      </c>
      <c r="H94" s="205">
        <f>IF(AND(H87&gt;0,H87&lt;$F$9),H87,0)</f>
        <v>0</v>
      </c>
      <c r="I94" s="205">
        <f>IF(AND(I87&gt;0,I87&lt;$F$9),I87,0)</f>
        <v>0</v>
      </c>
      <c r="J94" s="205">
        <f>IF(AND(J87&gt;0,(SUM(F87:J87)&lt;$F$82)),J87,0)</f>
        <v>0</v>
      </c>
      <c r="K94" s="205">
        <f>IF(AND(K87&gt;0,(SUM(G87:K87)&lt;$F$82)),K87,0)</f>
        <v>0</v>
      </c>
      <c r="L94" s="205">
        <f>IF(AND(L87&gt;0,(SUM(H87:L87)&lt;$F$82)),L87,F82-L87)</f>
        <v>0</v>
      </c>
      <c r="M94" s="205">
        <f>F82-L94</f>
        <v>0</v>
      </c>
      <c r="N94" s="205">
        <v>0</v>
      </c>
      <c r="O94" s="205"/>
      <c r="P94" s="205"/>
      <c r="Q94" s="205"/>
      <c r="R94" s="205"/>
      <c r="S94" s="205"/>
      <c r="T94" s="205"/>
      <c r="U94" s="205"/>
      <c r="V94" s="205"/>
      <c r="W94" s="205"/>
      <c r="X94" s="205"/>
    </row>
    <row r="95" spans="1:24" s="43" customFormat="1">
      <c r="A95" s="547" t="s">
        <v>231</v>
      </c>
      <c r="B95" s="548">
        <f t="shared" si="37"/>
        <v>0</v>
      </c>
      <c r="C95" s="214"/>
      <c r="D95" s="214"/>
      <c r="E95" s="214"/>
      <c r="F95" s="205"/>
      <c r="G95" s="205">
        <v>0</v>
      </c>
      <c r="H95" s="205">
        <v>0</v>
      </c>
      <c r="I95" s="205">
        <v>0</v>
      </c>
      <c r="J95" s="205">
        <v>0</v>
      </c>
      <c r="K95" s="205">
        <v>0</v>
      </c>
      <c r="L95" s="205">
        <v>0</v>
      </c>
      <c r="M95" s="205">
        <f>M87-M94</f>
        <v>0</v>
      </c>
      <c r="N95" s="205">
        <f>N87</f>
        <v>0</v>
      </c>
      <c r="O95" s="205"/>
      <c r="P95" s="205">
        <f>IF(AND(P87&gt;0,P87&lt;$G$8),P87,0)</f>
        <v>0</v>
      </c>
      <c r="Q95" s="205"/>
      <c r="R95" s="9"/>
      <c r="S95" s="9"/>
      <c r="T95" s="9"/>
      <c r="U95" s="9"/>
      <c r="V95" s="9"/>
      <c r="W95" s="9"/>
      <c r="X95" s="9"/>
    </row>
    <row r="96" spans="1:24" s="43" customFormat="1">
      <c r="A96" s="547" t="s">
        <v>232</v>
      </c>
      <c r="B96" s="548">
        <f t="shared" si="37"/>
        <v>0</v>
      </c>
      <c r="C96" s="214"/>
      <c r="D96" s="214"/>
      <c r="E96" s="214"/>
      <c r="F96" s="9"/>
      <c r="G96" s="9"/>
      <c r="H96" s="9"/>
      <c r="I96" s="9"/>
      <c r="J96" s="9"/>
      <c r="K96" s="9"/>
      <c r="L96" s="9"/>
      <c r="M96" s="205"/>
      <c r="N96" s="205">
        <v>0</v>
      </c>
      <c r="O96" s="205">
        <v>0</v>
      </c>
      <c r="P96" s="205"/>
      <c r="Q96" s="9"/>
      <c r="R96" s="9"/>
      <c r="S96" s="9"/>
      <c r="T96" s="9"/>
      <c r="U96" s="9"/>
      <c r="V96" s="9"/>
      <c r="W96" s="9"/>
      <c r="X96" s="9"/>
    </row>
    <row r="97" spans="1:24" s="43" customFormat="1">
      <c r="A97" s="547" t="s">
        <v>233</v>
      </c>
      <c r="B97" s="548">
        <f t="shared" si="37"/>
        <v>0</v>
      </c>
      <c r="C97" s="214"/>
      <c r="D97" s="214"/>
      <c r="E97" s="214"/>
      <c r="F97" s="9"/>
      <c r="G97" s="9"/>
      <c r="H97" s="9"/>
      <c r="I97" s="9"/>
      <c r="J97" s="9"/>
      <c r="K97" s="9"/>
      <c r="L97" s="9"/>
      <c r="M97" s="205"/>
      <c r="N97" s="9"/>
      <c r="O97" s="205"/>
      <c r="P97" s="205">
        <v>0</v>
      </c>
      <c r="Q97" s="9"/>
      <c r="R97" s="9"/>
      <c r="S97" s="9"/>
      <c r="T97" s="9"/>
      <c r="U97" s="9"/>
      <c r="V97" s="9"/>
      <c r="W97" s="9"/>
      <c r="X97" s="9"/>
    </row>
    <row r="98" spans="1:24" s="43" customFormat="1">
      <c r="A98" s="547" t="s">
        <v>234</v>
      </c>
      <c r="B98" s="548">
        <f t="shared" si="37"/>
        <v>0</v>
      </c>
      <c r="C98" s="214"/>
      <c r="D98" s="214"/>
      <c r="E98" s="214"/>
      <c r="F98" s="9"/>
      <c r="G98" s="9"/>
      <c r="H98" s="9"/>
      <c r="I98" s="9"/>
      <c r="J98" s="9"/>
      <c r="K98" s="9"/>
      <c r="L98" s="9"/>
      <c r="M98" s="205"/>
      <c r="N98" s="9"/>
      <c r="O98" s="205"/>
      <c r="P98" s="205">
        <v>0</v>
      </c>
      <c r="Q98" s="9"/>
      <c r="R98" s="9"/>
      <c r="S98" s="9"/>
      <c r="T98" s="9"/>
      <c r="U98" s="9"/>
      <c r="V98" s="9"/>
      <c r="W98" s="9"/>
      <c r="X98" s="9"/>
    </row>
    <row r="99" spans="1:24" s="43" customFormat="1">
      <c r="A99" s="547" t="s">
        <v>235</v>
      </c>
      <c r="B99" s="548">
        <f t="shared" si="37"/>
        <v>0</v>
      </c>
      <c r="C99" s="214"/>
      <c r="D99" s="214"/>
      <c r="E99" s="214"/>
      <c r="F99" s="9"/>
      <c r="G99" s="9"/>
      <c r="H99" s="9"/>
      <c r="I99" s="9"/>
      <c r="J99" s="9"/>
      <c r="K99" s="9"/>
      <c r="L99" s="9"/>
      <c r="M99" s="205"/>
      <c r="N99" s="9"/>
      <c r="O99" s="9"/>
      <c r="P99" s="205">
        <v>0</v>
      </c>
      <c r="Q99" s="205"/>
      <c r="R99" s="9"/>
      <c r="S99" s="9"/>
      <c r="T99" s="9"/>
      <c r="U99" s="9"/>
      <c r="V99" s="9"/>
      <c r="W99" s="9"/>
      <c r="X99" s="9"/>
    </row>
    <row r="100" spans="1:24" s="43" customFormat="1">
      <c r="A100" s="549" t="s">
        <v>200</v>
      </c>
      <c r="B100" s="550">
        <f>SUM(B94:B99)</f>
        <v>0</v>
      </c>
      <c r="C100" s="551">
        <f>SUM(C94:C99)</f>
        <v>0</v>
      </c>
      <c r="D100" s="551">
        <f>SUM(D94:D99)</f>
        <v>0</v>
      </c>
      <c r="E100" s="551">
        <f>SUM(E94:E99)</f>
        <v>0</v>
      </c>
      <c r="F100" s="551">
        <f t="shared" ref="F100:X100" si="38">SUM(F94:F99)</f>
        <v>0</v>
      </c>
      <c r="G100" s="551">
        <f t="shared" si="38"/>
        <v>0</v>
      </c>
      <c r="H100" s="551">
        <f t="shared" si="38"/>
        <v>0</v>
      </c>
      <c r="I100" s="551">
        <f t="shared" si="38"/>
        <v>0</v>
      </c>
      <c r="J100" s="551">
        <f t="shared" si="38"/>
        <v>0</v>
      </c>
      <c r="K100" s="551">
        <f t="shared" si="38"/>
        <v>0</v>
      </c>
      <c r="L100" s="551">
        <f t="shared" si="38"/>
        <v>0</v>
      </c>
      <c r="M100" s="551">
        <f t="shared" si="38"/>
        <v>0</v>
      </c>
      <c r="N100" s="551">
        <f t="shared" si="38"/>
        <v>0</v>
      </c>
      <c r="O100" s="551">
        <f t="shared" si="38"/>
        <v>0</v>
      </c>
      <c r="P100" s="551">
        <f t="shared" si="38"/>
        <v>0</v>
      </c>
      <c r="Q100" s="551">
        <f t="shared" si="38"/>
        <v>0</v>
      </c>
      <c r="R100" s="551">
        <f t="shared" si="38"/>
        <v>0</v>
      </c>
      <c r="S100" s="551">
        <f t="shared" si="38"/>
        <v>0</v>
      </c>
      <c r="T100" s="551">
        <f t="shared" si="38"/>
        <v>0</v>
      </c>
      <c r="U100" s="551">
        <f t="shared" si="38"/>
        <v>0</v>
      </c>
      <c r="V100" s="551">
        <f t="shared" si="38"/>
        <v>0</v>
      </c>
      <c r="W100" s="551">
        <f t="shared" si="38"/>
        <v>0</v>
      </c>
      <c r="X100" s="551">
        <f t="shared" si="38"/>
        <v>0</v>
      </c>
    </row>
    <row r="101" spans="1:24" s="43" customFormat="1">
      <c r="A101" s="214"/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</row>
    <row r="102" spans="1:24" s="43" customFormat="1">
      <c r="A102" s="214" t="s">
        <v>222</v>
      </c>
      <c r="B102" s="214"/>
      <c r="C102" s="214"/>
      <c r="D102" s="214"/>
      <c r="E102" s="214"/>
      <c r="F102" s="214">
        <v>2009</v>
      </c>
      <c r="G102" s="214">
        <v>2010</v>
      </c>
      <c r="H102" s="214">
        <v>2011</v>
      </c>
      <c r="I102" s="214">
        <v>2012</v>
      </c>
      <c r="J102" s="214">
        <v>2013</v>
      </c>
      <c r="K102" s="214">
        <v>2014</v>
      </c>
      <c r="L102" s="214">
        <v>2015</v>
      </c>
      <c r="M102" s="214">
        <v>2016</v>
      </c>
      <c r="N102" s="214">
        <v>2017</v>
      </c>
      <c r="O102" s="214">
        <v>2018</v>
      </c>
      <c r="P102" s="214">
        <v>2019</v>
      </c>
      <c r="Q102" s="214">
        <v>2020</v>
      </c>
      <c r="R102" s="214">
        <v>2021</v>
      </c>
      <c r="S102" s="214">
        <v>2022</v>
      </c>
      <c r="T102" s="214">
        <v>2023</v>
      </c>
      <c r="U102" s="214">
        <v>2024</v>
      </c>
      <c r="V102" s="214">
        <v>2025</v>
      </c>
      <c r="W102" s="214">
        <v>2026</v>
      </c>
      <c r="X102" s="214">
        <v>2027</v>
      </c>
    </row>
    <row r="103" spans="1:24" s="43" customFormat="1">
      <c r="A103" s="214"/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</row>
    <row r="104" spans="1:24" s="43" customFormat="1">
      <c r="A104" s="214" t="s">
        <v>223</v>
      </c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>
        <v>2001</v>
      </c>
      <c r="M104" s="214">
        <v>2002</v>
      </c>
      <c r="N104" s="214">
        <v>2003</v>
      </c>
      <c r="O104" s="214">
        <v>2004</v>
      </c>
      <c r="P104" s="214">
        <v>2005</v>
      </c>
      <c r="Q104" s="214">
        <v>2006</v>
      </c>
      <c r="R104" s="214">
        <v>2007</v>
      </c>
      <c r="S104" s="214">
        <v>2008</v>
      </c>
      <c r="T104" s="214">
        <v>2009</v>
      </c>
      <c r="U104" s="214">
        <v>2010</v>
      </c>
      <c r="V104" s="214">
        <v>2011</v>
      </c>
      <c r="W104" s="214">
        <v>2012</v>
      </c>
      <c r="X104" s="214">
        <v>2013</v>
      </c>
    </row>
    <row r="105" spans="1:24" s="43" customFormat="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</row>
    <row r="106" spans="1:24" s="43" customFormat="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</row>
    <row r="107" spans="1:24" s="43" customFormat="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</row>
    <row r="108" spans="1:24" s="43" customFormat="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</row>
    <row r="109" spans="1:24" s="43" customFormat="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</row>
    <row r="114" spans="1:24" s="214" customFormat="1" ht="15.75">
      <c r="A114" s="26" t="s">
        <v>45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</row>
    <row r="115" spans="1:24" s="214" customFormat="1">
      <c r="A115" s="77" t="s">
        <v>400</v>
      </c>
      <c r="B115"/>
      <c r="C115" s="432">
        <v>0.08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</row>
    <row r="116" spans="1:24" s="214" customFormat="1">
      <c r="B116"/>
      <c r="C116" s="502">
        <f>C3</f>
        <v>2000</v>
      </c>
      <c r="D116" s="502">
        <f>C116+1</f>
        <v>2001</v>
      </c>
      <c r="E116" s="502">
        <f t="shared" ref="E116:X116" si="39">E3</f>
        <v>2002</v>
      </c>
      <c r="F116" s="502">
        <f t="shared" si="39"/>
        <v>2003</v>
      </c>
      <c r="G116" s="502">
        <f t="shared" si="39"/>
        <v>2004</v>
      </c>
      <c r="H116" s="502">
        <f t="shared" si="39"/>
        <v>2005</v>
      </c>
      <c r="I116" s="502">
        <f t="shared" si="39"/>
        <v>2006</v>
      </c>
      <c r="J116" s="502">
        <f t="shared" si="39"/>
        <v>2007</v>
      </c>
      <c r="K116" s="502">
        <f t="shared" si="39"/>
        <v>2008</v>
      </c>
      <c r="L116" s="502">
        <f t="shared" si="39"/>
        <v>2009</v>
      </c>
      <c r="M116" s="502">
        <f t="shared" si="39"/>
        <v>2010</v>
      </c>
      <c r="N116" s="502">
        <f t="shared" si="39"/>
        <v>2011</v>
      </c>
      <c r="O116" s="502">
        <f t="shared" si="39"/>
        <v>2012</v>
      </c>
      <c r="P116" s="502">
        <f t="shared" si="39"/>
        <v>2013</v>
      </c>
      <c r="Q116" s="502">
        <f t="shared" si="39"/>
        <v>2014</v>
      </c>
      <c r="R116" s="502">
        <f t="shared" si="39"/>
        <v>2015</v>
      </c>
      <c r="S116" s="502">
        <f t="shared" si="39"/>
        <v>2016</v>
      </c>
      <c r="T116" s="502">
        <f t="shared" si="39"/>
        <v>2017</v>
      </c>
      <c r="U116" s="502">
        <f t="shared" si="39"/>
        <v>2018</v>
      </c>
      <c r="V116" s="502">
        <f t="shared" si="39"/>
        <v>2019</v>
      </c>
      <c r="W116" s="502">
        <f t="shared" si="39"/>
        <v>2020</v>
      </c>
      <c r="X116" s="502">
        <f t="shared" si="39"/>
        <v>2021</v>
      </c>
    </row>
    <row r="117" spans="1:24" s="9" customFormat="1" ht="11.25">
      <c r="A117" s="1" t="s">
        <v>401</v>
      </c>
      <c r="B117" s="1"/>
      <c r="C117" s="1">
        <v>0</v>
      </c>
      <c r="D117" s="433">
        <f>C124</f>
        <v>165658.92660982217</v>
      </c>
      <c r="E117" s="433">
        <f t="shared" ref="E117:X117" si="40">D124</f>
        <v>152406.2124810364</v>
      </c>
      <c r="F117" s="433">
        <f t="shared" si="40"/>
        <v>140213.7154825535</v>
      </c>
      <c r="G117" s="433">
        <f t="shared" si="40"/>
        <v>128996.61824394921</v>
      </c>
      <c r="H117" s="433">
        <f t="shared" si="40"/>
        <v>118676.88878443328</v>
      </c>
      <c r="I117" s="433">
        <f t="shared" si="40"/>
        <v>109182.73768167861</v>
      </c>
      <c r="J117" s="433">
        <f t="shared" si="40"/>
        <v>100448.11866714433</v>
      </c>
      <c r="K117" s="433">
        <f t="shared" si="40"/>
        <v>92412.269173772787</v>
      </c>
      <c r="L117" s="433">
        <f t="shared" si="40"/>
        <v>85019.287639870963</v>
      </c>
      <c r="M117" s="433">
        <f t="shared" si="40"/>
        <v>78217.744628681292</v>
      </c>
      <c r="N117" s="433">
        <f t="shared" si="40"/>
        <v>71960.325058386792</v>
      </c>
      <c r="O117" s="433">
        <f t="shared" si="40"/>
        <v>66203.499053715845</v>
      </c>
      <c r="P117" s="433">
        <f t="shared" si="40"/>
        <v>60907.219129418576</v>
      </c>
      <c r="Q117" s="433">
        <f t="shared" si="40"/>
        <v>56034.641599065086</v>
      </c>
      <c r="R117" s="433">
        <f t="shared" si="40"/>
        <v>51551.87027113988</v>
      </c>
      <c r="S117" s="433">
        <f t="shared" si="40"/>
        <v>0</v>
      </c>
      <c r="T117" s="433">
        <f t="shared" si="40"/>
        <v>0</v>
      </c>
      <c r="U117" s="433">
        <f t="shared" si="40"/>
        <v>0</v>
      </c>
      <c r="V117" s="433">
        <f t="shared" si="40"/>
        <v>0</v>
      </c>
      <c r="W117" s="433">
        <f t="shared" si="40"/>
        <v>0</v>
      </c>
      <c r="X117" s="433">
        <f t="shared" si="40"/>
        <v>0</v>
      </c>
    </row>
    <row r="118" spans="1:24" s="9" customFormat="1" ht="11.25">
      <c r="A118" s="1" t="s">
        <v>37</v>
      </c>
      <c r="B118" s="1"/>
      <c r="C118" s="434">
        <f>IF(C$116=YEAR(Cashflow!$C$3),((Assumptions!$E$10-Assumptions!$E$5)*Assumptions!$H$6),0)</f>
        <v>165658.92660982217</v>
      </c>
      <c r="D118" s="434">
        <f>IF(D$116=YEAR(Cashflow!$C$3),((Assumptions!$E$10-Assumptions!$E$5)*Assumptions!$H$6),0)</f>
        <v>0</v>
      </c>
      <c r="E118" s="434">
        <f>IF(E$116=YEAR(Cashflow!$C$3),((Assumptions!$E$10-Assumptions!$E$5)*Assumptions!$H$6),0)</f>
        <v>0</v>
      </c>
      <c r="F118" s="434">
        <f>Assumptions!E14</f>
        <v>0</v>
      </c>
      <c r="G118" s="434">
        <f>Assumptions!$E$13+Assumptions!$E$15</f>
        <v>0</v>
      </c>
      <c r="H118" s="434">
        <f>IF(H$116=YEAR(Cashflow!$C$3),((Assumptions!$E$10-Assumptions!$E$5)*Assumptions!$H$6),0)</f>
        <v>0</v>
      </c>
      <c r="I118" s="434">
        <f>IF(I$116=YEAR(Cashflow!$C$3),((Assumptions!$E$10-Assumptions!$E$5)*Assumptions!$H$6),0)</f>
        <v>0</v>
      </c>
      <c r="J118" s="434">
        <f>IF(J$116=YEAR(Cashflow!$C$3),((Assumptions!$E$10-Assumptions!$E$5)*Assumptions!$H$6),0)</f>
        <v>0</v>
      </c>
      <c r="K118" s="434">
        <f>IF(K$116=YEAR(Cashflow!$C$3),((Assumptions!$E$10-Assumptions!$E$5)*Assumptions!$H$6),0)</f>
        <v>0</v>
      </c>
      <c r="L118" s="434">
        <f>IF(L$116=YEAR(Cashflow!$C$3),((Assumptions!$E$10-Assumptions!$E$5)*Assumptions!$H$6),0)</f>
        <v>0</v>
      </c>
      <c r="M118" s="434">
        <f>IF(M$116=YEAR(Cashflow!$C$3),((Assumptions!$E$10-Assumptions!$E$5)*Assumptions!$H$6),0)</f>
        <v>0</v>
      </c>
      <c r="N118" s="434">
        <f>IF(N$116=YEAR(Cashflow!$C$3),((Assumptions!$E$10-Assumptions!$E$5)*Assumptions!$H$6),0)</f>
        <v>0</v>
      </c>
      <c r="O118" s="434">
        <f>IF(O$116=YEAR(Cashflow!$C$3),((Assumptions!$E$10-Assumptions!$E$5)*Assumptions!$H$6),0)</f>
        <v>0</v>
      </c>
      <c r="P118" s="434">
        <f>IF(P$116=YEAR(Cashflow!$C$3),((Assumptions!$E$10-Assumptions!$E$5)*Assumptions!$H$6),0)</f>
        <v>0</v>
      </c>
      <c r="Q118" s="434">
        <f>IF(Q$116=YEAR(Cashflow!$C$3),((Assumptions!$E$10-Assumptions!$E$5)*Assumptions!$H$6),0)</f>
        <v>0</v>
      </c>
      <c r="R118" s="434">
        <f>IF(R$116=YEAR(Cashflow!$C$3),((Assumptions!$E$10-Assumptions!$E$5)*Assumptions!$H$6),0)</f>
        <v>0</v>
      </c>
      <c r="S118" s="434">
        <f>IF(S$116=YEAR(Cashflow!$C$3),((Assumptions!$E$10-Assumptions!$E$5)*Assumptions!$H$6),0)</f>
        <v>0</v>
      </c>
      <c r="T118" s="434">
        <f>IF(T$116=YEAR(Cashflow!$C$3),((Assumptions!$E$10-Assumptions!$E$5)*Assumptions!$H$6),0)</f>
        <v>0</v>
      </c>
      <c r="U118" s="434">
        <f>IF(U$116=YEAR(Cashflow!$C$3),((Assumptions!$E$10-Assumptions!$E$5)*Assumptions!$H$6),0)</f>
        <v>0</v>
      </c>
      <c r="V118" s="434">
        <f>IF(V$116=YEAR(Cashflow!$C$3),((Assumptions!$E$10-Assumptions!$E$5)*Assumptions!$H$6),0)</f>
        <v>0</v>
      </c>
      <c r="W118" s="434">
        <f>IF(W$116=YEAR(Cashflow!$C$3),((Assumptions!$E$10-Assumptions!$E$5)*Assumptions!$H$6),0)</f>
        <v>0</v>
      </c>
      <c r="X118" s="434">
        <f>IF(X$116=YEAR(Cashflow!$C$3),((Assumptions!$E$10-Assumptions!$E$5)*Assumptions!$H$6),0)</f>
        <v>0</v>
      </c>
    </row>
    <row r="119" spans="1:24" s="9" customFormat="1" ht="11.25">
      <c r="A119" s="1" t="s">
        <v>402</v>
      </c>
      <c r="B119" s="1"/>
      <c r="C119" s="1"/>
      <c r="D119" s="1"/>
      <c r="E119" s="433">
        <f>IF(Tables!B21=2,((Assumptions!E10-Assumptions!E5)*Assumptions!E29),0)</f>
        <v>0</v>
      </c>
      <c r="F119" s="1"/>
      <c r="G119" s="1"/>
      <c r="H119" s="433">
        <f>IF(Tables!$B$21=5,((Assumptions!$E$10-Assumptions!$E$5)*Assumptions!$E$29),0)</f>
        <v>0</v>
      </c>
      <c r="I119" s="1"/>
      <c r="J119" s="1"/>
      <c r="K119" s="1"/>
      <c r="L119" s="1"/>
      <c r="M119" s="433">
        <f>IF(Tables!$B$21=10,((Assumptions!$E$10-Assumptions!$E$5)*Assumptions!$E$29),0)</f>
        <v>0</v>
      </c>
      <c r="N119" s="1"/>
      <c r="O119" s="1"/>
      <c r="P119" s="1"/>
      <c r="Q119" s="1"/>
      <c r="R119" s="433">
        <f>IF(Tables!$B$21=15,((Assumptions!$E$10-Assumptions!$E$5)*Assumptions!$E$29),0)-R143</f>
        <v>66562.636948379455</v>
      </c>
      <c r="S119" s="1"/>
      <c r="T119" s="1"/>
      <c r="U119" s="1"/>
      <c r="V119" s="1"/>
      <c r="W119" s="433">
        <f>IF(Tables!$B$21=20,((Assumptions!$E$10-Assumptions!$E$5)*Assumptions!$E$29),0)</f>
        <v>0</v>
      </c>
      <c r="X119" s="1"/>
    </row>
    <row r="120" spans="1:24" s="9" customFormat="1" ht="11.25">
      <c r="A120" s="1" t="s">
        <v>403</v>
      </c>
      <c r="B120" s="1"/>
      <c r="C120" s="433">
        <f>C117+C118-C119</f>
        <v>165658.92660982217</v>
      </c>
      <c r="D120" s="433">
        <f t="shared" ref="D120:X120" si="41">D117+D118-D119</f>
        <v>165658.92660982217</v>
      </c>
      <c r="E120" s="433">
        <f t="shared" si="41"/>
        <v>152406.2124810364</v>
      </c>
      <c r="F120" s="433">
        <f t="shared" si="41"/>
        <v>140213.7154825535</v>
      </c>
      <c r="G120" s="433">
        <f t="shared" si="41"/>
        <v>128996.61824394921</v>
      </c>
      <c r="H120" s="433">
        <f t="shared" si="41"/>
        <v>118676.88878443328</v>
      </c>
      <c r="I120" s="433">
        <f t="shared" si="41"/>
        <v>109182.73768167861</v>
      </c>
      <c r="J120" s="433">
        <f t="shared" si="41"/>
        <v>100448.11866714433</v>
      </c>
      <c r="K120" s="433">
        <f t="shared" si="41"/>
        <v>92412.269173772787</v>
      </c>
      <c r="L120" s="433">
        <f t="shared" si="41"/>
        <v>85019.287639870963</v>
      </c>
      <c r="M120" s="433">
        <f t="shared" si="41"/>
        <v>78217.744628681292</v>
      </c>
      <c r="N120" s="433">
        <f t="shared" si="41"/>
        <v>71960.325058386792</v>
      </c>
      <c r="O120" s="433">
        <f t="shared" si="41"/>
        <v>66203.499053715845</v>
      </c>
      <c r="P120" s="433">
        <f t="shared" si="41"/>
        <v>60907.219129418576</v>
      </c>
      <c r="Q120" s="433">
        <f t="shared" si="41"/>
        <v>56034.641599065086</v>
      </c>
      <c r="R120" s="433">
        <f t="shared" si="41"/>
        <v>-15010.766677239575</v>
      </c>
      <c r="S120" s="433">
        <f t="shared" si="41"/>
        <v>0</v>
      </c>
      <c r="T120" s="433">
        <f t="shared" si="41"/>
        <v>0</v>
      </c>
      <c r="U120" s="433">
        <f t="shared" si="41"/>
        <v>0</v>
      </c>
      <c r="V120" s="433">
        <f t="shared" si="41"/>
        <v>0</v>
      </c>
      <c r="W120" s="433">
        <f t="shared" si="41"/>
        <v>0</v>
      </c>
      <c r="X120" s="433">
        <f t="shared" si="41"/>
        <v>0</v>
      </c>
    </row>
    <row r="121" spans="1:24" s="9" customFormat="1" ht="11.25">
      <c r="A121" s="1" t="s">
        <v>38</v>
      </c>
      <c r="B121" s="1"/>
      <c r="C121" s="152">
        <f>IF(C118&gt;0,IF(Assumptions!$H$12="Yes",Tax!C120*0.5,0),0)</f>
        <v>82829.463304911085</v>
      </c>
      <c r="D121" s="152">
        <f>IF(D118&gt;0,IF(Assumptions!$H$12="Yes",Tax!D120*0.5,0),0)</f>
        <v>0</v>
      </c>
      <c r="E121" s="152">
        <f>IF(E118&gt;0,IF(Assumptions!$H$12="Yes",Tax!E120*0.5,0),0)</f>
        <v>0</v>
      </c>
      <c r="F121" s="152">
        <f>IF(F118&gt;0,IF(Assumptions!$H$12="Yes",Tax!F120*0.5,0),0)</f>
        <v>0</v>
      </c>
      <c r="G121" s="152">
        <f>IF(G118&gt;0,IF(Assumptions!$H$12="Yes",Tax!G120*0.5,0),0)</f>
        <v>0</v>
      </c>
      <c r="H121" s="152">
        <f>IF(H118&gt;0,IF(Assumptions!$H$12="Yes",Tax!H120*0.5,0),0)</f>
        <v>0</v>
      </c>
      <c r="I121" s="152">
        <f>IF(I118&gt;0,IF(Assumptions!$H$12="Yes",Tax!I120*0.5,0),0)</f>
        <v>0</v>
      </c>
      <c r="J121" s="152">
        <f>IF(J118&gt;0,IF(Assumptions!$H$12="Yes",Tax!J120*0.5,0),0)</f>
        <v>0</v>
      </c>
      <c r="K121" s="152">
        <f>IF(K118&gt;0,IF(Assumptions!$H$12="Yes",Tax!K120*0.5,0),0)</f>
        <v>0</v>
      </c>
      <c r="L121" s="152">
        <f>IF(L118&gt;0,IF(Assumptions!$H$12="Yes",Tax!L120*0.5,0),0)</f>
        <v>0</v>
      </c>
      <c r="M121" s="152">
        <f>IF(M118&gt;0,IF(Assumptions!$H$12="Yes",Tax!M120*0.5,0),0)</f>
        <v>0</v>
      </c>
      <c r="N121" s="152">
        <f>IF(N118&gt;0,IF(Assumptions!$H$12="Yes",Tax!N120*0.5,0),0)</f>
        <v>0</v>
      </c>
      <c r="O121" s="152">
        <f>IF(O118&gt;0,IF(Assumptions!$H$12="Yes",Tax!O120*0.5,0),0)</f>
        <v>0</v>
      </c>
      <c r="P121" s="152">
        <f>IF(P118&gt;0,IF(Assumptions!$H$12="Yes",Tax!P120*0.5,0),0)</f>
        <v>0</v>
      </c>
      <c r="Q121" s="152">
        <f>IF(Q118&gt;0,IF(Assumptions!$H$12="Yes",Tax!Q120*0.5,0),0)</f>
        <v>0</v>
      </c>
      <c r="R121" s="152">
        <f>IF(R118&gt;0,IF(Assumptions!$H$12="Yes",Tax!R120*0.5,0),0)</f>
        <v>0</v>
      </c>
      <c r="S121" s="152">
        <f>IF(S118&gt;0,IF(Assumptions!$H$12="Yes",Tax!S120*0.5,0),0)</f>
        <v>0</v>
      </c>
      <c r="T121" s="152">
        <f>IF(T118&gt;0,IF(Assumptions!$H$12="Yes",Tax!T120*0.5,0),0)</f>
        <v>0</v>
      </c>
      <c r="U121" s="152">
        <f>IF(U118&gt;0,IF(Assumptions!$H$12="Yes",Tax!U120*0.5,0),0)</f>
        <v>0</v>
      </c>
      <c r="V121" s="152">
        <f>IF(V118&gt;0,IF(Assumptions!$H$12="Yes",Tax!V120*0.5,0),0)</f>
        <v>0</v>
      </c>
      <c r="W121" s="152">
        <f>IF(W118&gt;0,IF(Assumptions!$H$12="Yes",Tax!W120*0.5,0),0)</f>
        <v>0</v>
      </c>
      <c r="X121" s="152">
        <f>IF(X118&gt;0,IF(Assumptions!$H$12="Yes",Tax!X120*0.5,0),0)</f>
        <v>0</v>
      </c>
    </row>
    <row r="122" spans="1:24" s="9" customFormat="1" ht="11.25">
      <c r="A122" s="1" t="s">
        <v>404</v>
      </c>
      <c r="B122" s="1"/>
      <c r="C122" s="435">
        <f>C120-C121</f>
        <v>82829.463304911085</v>
      </c>
      <c r="D122" s="435">
        <f t="shared" ref="D122:X122" si="42">D120-D121</f>
        <v>165658.92660982217</v>
      </c>
      <c r="E122" s="435">
        <f t="shared" si="42"/>
        <v>152406.2124810364</v>
      </c>
      <c r="F122" s="435">
        <f t="shared" si="42"/>
        <v>140213.7154825535</v>
      </c>
      <c r="G122" s="435">
        <f t="shared" si="42"/>
        <v>128996.61824394921</v>
      </c>
      <c r="H122" s="435">
        <f t="shared" si="42"/>
        <v>118676.88878443328</v>
      </c>
      <c r="I122" s="435">
        <f t="shared" si="42"/>
        <v>109182.73768167861</v>
      </c>
      <c r="J122" s="435">
        <f t="shared" si="42"/>
        <v>100448.11866714433</v>
      </c>
      <c r="K122" s="435">
        <f t="shared" si="42"/>
        <v>92412.269173772787</v>
      </c>
      <c r="L122" s="435">
        <f t="shared" si="42"/>
        <v>85019.287639870963</v>
      </c>
      <c r="M122" s="435">
        <f t="shared" si="42"/>
        <v>78217.744628681292</v>
      </c>
      <c r="N122" s="435">
        <f t="shared" si="42"/>
        <v>71960.325058386792</v>
      </c>
      <c r="O122" s="435">
        <f t="shared" si="42"/>
        <v>66203.499053715845</v>
      </c>
      <c r="P122" s="435">
        <f t="shared" si="42"/>
        <v>60907.219129418576</v>
      </c>
      <c r="Q122" s="435">
        <f t="shared" si="42"/>
        <v>56034.641599065086</v>
      </c>
      <c r="R122" s="435">
        <f t="shared" si="42"/>
        <v>-15010.766677239575</v>
      </c>
      <c r="S122" s="435">
        <f t="shared" si="42"/>
        <v>0</v>
      </c>
      <c r="T122" s="435">
        <f t="shared" si="42"/>
        <v>0</v>
      </c>
      <c r="U122" s="435">
        <f t="shared" si="42"/>
        <v>0</v>
      </c>
      <c r="V122" s="435">
        <f t="shared" si="42"/>
        <v>0</v>
      </c>
      <c r="W122" s="435">
        <f t="shared" si="42"/>
        <v>0</v>
      </c>
      <c r="X122" s="435">
        <f t="shared" si="42"/>
        <v>0</v>
      </c>
    </row>
    <row r="123" spans="1:24" s="9" customFormat="1" ht="11.25">
      <c r="A123" s="1" t="s">
        <v>39</v>
      </c>
      <c r="B123" s="1"/>
      <c r="C123" s="433">
        <f t="shared" ref="C123:Q123" si="43">IF(B124=0,0,IF(C119&gt;0,C120,IF(C187&lt;0,0,C190)))</f>
        <v>0</v>
      </c>
      <c r="D123" s="433">
        <f t="shared" si="43"/>
        <v>13252.714128785774</v>
      </c>
      <c r="E123" s="433">
        <f t="shared" si="43"/>
        <v>12192.496998482913</v>
      </c>
      <c r="F123" s="433">
        <f t="shared" si="43"/>
        <v>11217.097238604279</v>
      </c>
      <c r="G123" s="433">
        <f t="shared" si="43"/>
        <v>10319.729459515936</v>
      </c>
      <c r="H123" s="433">
        <f t="shared" si="43"/>
        <v>9494.1511027546621</v>
      </c>
      <c r="I123" s="433">
        <f t="shared" si="43"/>
        <v>8734.6190145342898</v>
      </c>
      <c r="J123" s="433">
        <f t="shared" si="43"/>
        <v>8035.8494933715465</v>
      </c>
      <c r="K123" s="433">
        <f t="shared" si="43"/>
        <v>7392.9815339018232</v>
      </c>
      <c r="L123" s="433">
        <f t="shared" si="43"/>
        <v>6801.5430111896776</v>
      </c>
      <c r="M123" s="433">
        <f t="shared" si="43"/>
        <v>6257.4195702945035</v>
      </c>
      <c r="N123" s="433">
        <f t="shared" si="43"/>
        <v>5756.8260046709438</v>
      </c>
      <c r="O123" s="433">
        <f t="shared" si="43"/>
        <v>5296.2799242972678</v>
      </c>
      <c r="P123" s="433">
        <f t="shared" si="43"/>
        <v>4872.5775303534865</v>
      </c>
      <c r="Q123" s="433">
        <f t="shared" si="43"/>
        <v>4482.7713279252066</v>
      </c>
      <c r="R123" s="433">
        <f>IF(Q124=0,0,IF(R119&gt;0,R120,IF(R187&lt;0,0,R190)))</f>
        <v>-15010.766677239575</v>
      </c>
      <c r="S123" s="433">
        <f t="shared" ref="S123:X123" si="44">IF(R124=0,0,IF(S119&gt;0,S120,IF(S187&lt;0,0,S190)))</f>
        <v>0</v>
      </c>
      <c r="T123" s="433">
        <f t="shared" si="44"/>
        <v>0</v>
      </c>
      <c r="U123" s="433">
        <f t="shared" si="44"/>
        <v>0</v>
      </c>
      <c r="V123" s="433">
        <f t="shared" si="44"/>
        <v>0</v>
      </c>
      <c r="W123" s="433">
        <f t="shared" si="44"/>
        <v>0</v>
      </c>
      <c r="X123" s="433">
        <f t="shared" si="44"/>
        <v>0</v>
      </c>
    </row>
    <row r="124" spans="1:24" s="9" customFormat="1" ht="11.25">
      <c r="A124" s="1" t="s">
        <v>405</v>
      </c>
      <c r="B124" s="1"/>
      <c r="C124" s="435">
        <f>C120-C123</f>
        <v>165658.92660982217</v>
      </c>
      <c r="D124" s="435">
        <f t="shared" ref="D124:X124" si="45">D120-D123</f>
        <v>152406.2124810364</v>
      </c>
      <c r="E124" s="435">
        <f t="shared" si="45"/>
        <v>140213.7154825535</v>
      </c>
      <c r="F124" s="435">
        <f t="shared" si="45"/>
        <v>128996.61824394921</v>
      </c>
      <c r="G124" s="435">
        <f t="shared" si="45"/>
        <v>118676.88878443328</v>
      </c>
      <c r="H124" s="435">
        <f t="shared" si="45"/>
        <v>109182.73768167861</v>
      </c>
      <c r="I124" s="435">
        <f t="shared" si="45"/>
        <v>100448.11866714433</v>
      </c>
      <c r="J124" s="435">
        <f t="shared" si="45"/>
        <v>92412.269173772787</v>
      </c>
      <c r="K124" s="435">
        <f t="shared" si="45"/>
        <v>85019.287639870963</v>
      </c>
      <c r="L124" s="435">
        <f t="shared" si="45"/>
        <v>78217.744628681292</v>
      </c>
      <c r="M124" s="435">
        <f t="shared" si="45"/>
        <v>71960.325058386792</v>
      </c>
      <c r="N124" s="435">
        <f t="shared" si="45"/>
        <v>66203.499053715845</v>
      </c>
      <c r="O124" s="435">
        <f t="shared" si="45"/>
        <v>60907.219129418576</v>
      </c>
      <c r="P124" s="435">
        <f t="shared" si="45"/>
        <v>56034.641599065086</v>
      </c>
      <c r="Q124" s="435">
        <f t="shared" si="45"/>
        <v>51551.87027113988</v>
      </c>
      <c r="R124" s="435">
        <f t="shared" si="45"/>
        <v>0</v>
      </c>
      <c r="S124" s="435">
        <f t="shared" si="45"/>
        <v>0</v>
      </c>
      <c r="T124" s="435">
        <f t="shared" si="45"/>
        <v>0</v>
      </c>
      <c r="U124" s="435">
        <f t="shared" si="45"/>
        <v>0</v>
      </c>
      <c r="V124" s="435">
        <f t="shared" si="45"/>
        <v>0</v>
      </c>
      <c r="W124" s="435">
        <f t="shared" si="45"/>
        <v>0</v>
      </c>
      <c r="X124" s="435">
        <f t="shared" si="45"/>
        <v>0</v>
      </c>
    </row>
    <row r="125" spans="1:24" s="9" customFormat="1" ht="11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s="9" customFormat="1" ht="11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s="9" customFormat="1" ht="11.25">
      <c r="A127" s="77" t="s">
        <v>406</v>
      </c>
      <c r="B127" s="1"/>
      <c r="C127" s="432">
        <v>0.2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s="9" customFormat="1" ht="11.25">
      <c r="B128" s="1"/>
      <c r="C128" s="436"/>
      <c r="D128" s="436"/>
      <c r="E128" s="436"/>
      <c r="F128" s="436"/>
      <c r="G128" s="436"/>
      <c r="H128" s="436"/>
      <c r="I128" s="436"/>
      <c r="J128" s="436"/>
      <c r="K128" s="436"/>
      <c r="L128" s="436"/>
      <c r="M128" s="436"/>
      <c r="N128" s="436"/>
      <c r="O128" s="436"/>
      <c r="P128" s="436"/>
      <c r="Q128" s="436"/>
      <c r="R128" s="436"/>
      <c r="S128" s="436"/>
      <c r="T128" s="436"/>
      <c r="U128" s="436"/>
      <c r="V128" s="436"/>
      <c r="W128" s="436"/>
      <c r="X128" s="436"/>
    </row>
    <row r="129" spans="1:24" s="9" customFormat="1" ht="11.25">
      <c r="A129" s="1" t="s">
        <v>401</v>
      </c>
      <c r="B129" s="1"/>
      <c r="C129" s="1">
        <v>0</v>
      </c>
      <c r="D129" s="433">
        <f>C136</f>
        <v>0</v>
      </c>
      <c r="E129" s="433">
        <f t="shared" ref="E129:X129" si="46">D136</f>
        <v>0</v>
      </c>
      <c r="F129" s="433">
        <f t="shared" si="46"/>
        <v>0</v>
      </c>
      <c r="G129" s="433">
        <f t="shared" si="46"/>
        <v>0</v>
      </c>
      <c r="H129" s="433">
        <f t="shared" si="46"/>
        <v>0</v>
      </c>
      <c r="I129" s="433">
        <f t="shared" si="46"/>
        <v>0</v>
      </c>
      <c r="J129" s="433">
        <f t="shared" si="46"/>
        <v>0</v>
      </c>
      <c r="K129" s="433">
        <f t="shared" si="46"/>
        <v>0</v>
      </c>
      <c r="L129" s="433">
        <f t="shared" si="46"/>
        <v>0</v>
      </c>
      <c r="M129" s="433">
        <f t="shared" si="46"/>
        <v>0</v>
      </c>
      <c r="N129" s="433">
        <f t="shared" si="46"/>
        <v>0</v>
      </c>
      <c r="O129" s="433">
        <f t="shared" si="46"/>
        <v>0</v>
      </c>
      <c r="P129" s="433">
        <f t="shared" si="46"/>
        <v>0</v>
      </c>
      <c r="Q129" s="433">
        <f t="shared" si="46"/>
        <v>0</v>
      </c>
      <c r="R129" s="433">
        <f t="shared" si="46"/>
        <v>0</v>
      </c>
      <c r="S129" s="433">
        <f t="shared" si="46"/>
        <v>0</v>
      </c>
      <c r="T129" s="433">
        <f t="shared" si="46"/>
        <v>0</v>
      </c>
      <c r="U129" s="433">
        <f t="shared" si="46"/>
        <v>0</v>
      </c>
      <c r="V129" s="433">
        <f t="shared" si="46"/>
        <v>0</v>
      </c>
      <c r="W129" s="433">
        <f t="shared" si="46"/>
        <v>0</v>
      </c>
      <c r="X129" s="433">
        <f t="shared" si="46"/>
        <v>0</v>
      </c>
    </row>
    <row r="130" spans="1:24" s="9" customFormat="1" ht="11.25">
      <c r="A130" s="1" t="s">
        <v>37</v>
      </c>
      <c r="B130" s="1"/>
      <c r="C130" s="434">
        <f>IF(C$116=YEAR(Cashflow!$C$3),((Assumptions!$E$10-Assumptions!$E$5)*Assumptions!$H$7),0)</f>
        <v>0</v>
      </c>
      <c r="D130" s="434">
        <f>IF(D$116=YEAR(Cashflow!$C$3),((Assumptions!$E$10-Assumptions!$E$5)*Assumptions!$H$7),0)</f>
        <v>0</v>
      </c>
      <c r="E130" s="434">
        <f>IF(E$116=YEAR(Cashflow!$C$3),((Assumptions!$E$10-Assumptions!$E$5)*Assumptions!$H$7),0)</f>
        <v>0</v>
      </c>
      <c r="F130" s="434">
        <f>IF(F$116=YEAR(Cashflow!$C$3),((Assumptions!$E$10-Assumptions!$E$5)*Assumptions!$H$7),0)</f>
        <v>0</v>
      </c>
      <c r="G130" s="434">
        <f>IF(G$116=YEAR(Cashflow!$C$3),((Assumptions!$E$10-Assumptions!$E$5)*Assumptions!$H$7),0)</f>
        <v>0</v>
      </c>
      <c r="H130" s="434">
        <f>IF(H$116=YEAR(Cashflow!$C$3),((Assumptions!$E$10-Assumptions!$E$5)*Assumptions!$H$7),0)</f>
        <v>0</v>
      </c>
      <c r="I130" s="434">
        <f>IF(I$116=YEAR(Cashflow!$C$3),((Assumptions!$E$10-Assumptions!$E$5)*Assumptions!$H$7),0)</f>
        <v>0</v>
      </c>
      <c r="J130" s="434">
        <f>IF(J$116=YEAR(Cashflow!$C$3),((Assumptions!$E$10-Assumptions!$E$5)*Assumptions!$H$7),0)</f>
        <v>0</v>
      </c>
      <c r="K130" s="434">
        <f>IF(K$116=YEAR(Cashflow!$C$3),((Assumptions!$E$10-Assumptions!$E$5)*Assumptions!$H$7),0)</f>
        <v>0</v>
      </c>
      <c r="L130" s="434">
        <f>IF(L$116=YEAR(Cashflow!$C$3),((Assumptions!$E$10-Assumptions!$E$5)*Assumptions!$H$7),0)</f>
        <v>0</v>
      </c>
      <c r="M130" s="434">
        <f>IF(M$116=YEAR(Cashflow!$C$3),((Assumptions!$E$10-Assumptions!$E$5)*Assumptions!$H$7),0)</f>
        <v>0</v>
      </c>
      <c r="N130" s="434">
        <f>IF(N$116=YEAR(Cashflow!$C$3),((Assumptions!$E$10-Assumptions!$E$5)*Assumptions!$H$7),0)</f>
        <v>0</v>
      </c>
      <c r="O130" s="434">
        <f>IF(O$116=YEAR(Cashflow!$C$3),((Assumptions!$E$10-Assumptions!$E$5)*Assumptions!$H$7),0)</f>
        <v>0</v>
      </c>
      <c r="P130" s="434">
        <f>IF(P$116=YEAR(Cashflow!$C$3),((Assumptions!$E$10-Assumptions!$E$5)*Assumptions!$H$7),0)</f>
        <v>0</v>
      </c>
      <c r="Q130" s="434">
        <f>IF(Q$116=YEAR(Cashflow!$C$3),((Assumptions!$E$10-Assumptions!$E$5)*Assumptions!$H$7),0)</f>
        <v>0</v>
      </c>
      <c r="R130" s="434">
        <f>IF(R$116=YEAR(Cashflow!$C$3),((Assumptions!$E$10-Assumptions!$E$5)*Assumptions!$H$7),0)</f>
        <v>0</v>
      </c>
      <c r="S130" s="434">
        <f>IF(S$116=YEAR(Cashflow!$C$3),((Assumptions!$E$10-Assumptions!$E$5)*Assumptions!$H$7),0)</f>
        <v>0</v>
      </c>
      <c r="T130" s="434">
        <f>IF(T$116=YEAR(Cashflow!$C$3),((Assumptions!$E$10-Assumptions!$E$5)*Assumptions!$H$7),0)</f>
        <v>0</v>
      </c>
      <c r="U130" s="434">
        <f>IF(U$116=YEAR(Cashflow!$C$3),((Assumptions!$E$10-Assumptions!$E$5)*Assumptions!$H$7),0)</f>
        <v>0</v>
      </c>
      <c r="V130" s="434">
        <f>IF(V$116=YEAR(Cashflow!$C$3),((Assumptions!$E$10-Assumptions!$E$5)*Assumptions!$H$7),0)</f>
        <v>0</v>
      </c>
      <c r="W130" s="434">
        <f>IF(W$116=YEAR(Cashflow!$C$3),((Assumptions!$E$10-Assumptions!$E$5)*Assumptions!$H$7),0)</f>
        <v>0</v>
      </c>
      <c r="X130" s="434">
        <f>IF(X$116=YEAR(Cashflow!$C$3),((Assumptions!$E$10-Assumptions!$E$5)*Assumptions!$H$7),0)</f>
        <v>0</v>
      </c>
    </row>
    <row r="131" spans="1:24" s="9" customFormat="1" ht="11.25">
      <c r="A131" s="1" t="s">
        <v>402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s="9" customFormat="1" ht="11.25">
      <c r="A132" s="1" t="s">
        <v>403</v>
      </c>
      <c r="B132" s="1"/>
      <c r="C132" s="433">
        <f t="shared" ref="C132:X132" si="47">C129+C130-C131</f>
        <v>0</v>
      </c>
      <c r="D132" s="433">
        <f t="shared" si="47"/>
        <v>0</v>
      </c>
      <c r="E132" s="433">
        <f t="shared" si="47"/>
        <v>0</v>
      </c>
      <c r="F132" s="433">
        <f t="shared" si="47"/>
        <v>0</v>
      </c>
      <c r="G132" s="433">
        <f t="shared" si="47"/>
        <v>0</v>
      </c>
      <c r="H132" s="433">
        <f t="shared" si="47"/>
        <v>0</v>
      </c>
      <c r="I132" s="433">
        <f t="shared" si="47"/>
        <v>0</v>
      </c>
      <c r="J132" s="433">
        <f t="shared" si="47"/>
        <v>0</v>
      </c>
      <c r="K132" s="433">
        <f t="shared" si="47"/>
        <v>0</v>
      </c>
      <c r="L132" s="433">
        <f t="shared" si="47"/>
        <v>0</v>
      </c>
      <c r="M132" s="433">
        <f t="shared" si="47"/>
        <v>0</v>
      </c>
      <c r="N132" s="433">
        <f t="shared" si="47"/>
        <v>0</v>
      </c>
      <c r="O132" s="433">
        <f t="shared" si="47"/>
        <v>0</v>
      </c>
      <c r="P132" s="433">
        <f t="shared" si="47"/>
        <v>0</v>
      </c>
      <c r="Q132" s="433">
        <f t="shared" si="47"/>
        <v>0</v>
      </c>
      <c r="R132" s="433">
        <f t="shared" si="47"/>
        <v>0</v>
      </c>
      <c r="S132" s="433">
        <f t="shared" si="47"/>
        <v>0</v>
      </c>
      <c r="T132" s="433">
        <f t="shared" si="47"/>
        <v>0</v>
      </c>
      <c r="U132" s="433">
        <f t="shared" si="47"/>
        <v>0</v>
      </c>
      <c r="V132" s="433">
        <f t="shared" si="47"/>
        <v>0</v>
      </c>
      <c r="W132" s="433">
        <f t="shared" si="47"/>
        <v>0</v>
      </c>
      <c r="X132" s="433">
        <f t="shared" si="47"/>
        <v>0</v>
      </c>
    </row>
    <row r="133" spans="1:24" s="9" customFormat="1" ht="11.25">
      <c r="A133" s="1" t="s">
        <v>38</v>
      </c>
      <c r="B133" s="1"/>
      <c r="C133" s="152">
        <f>IF(C130&gt;0,IF(Assumptions!$H$12="Yes",Tax!C132*0.5,0),0)</f>
        <v>0</v>
      </c>
      <c r="D133" s="152">
        <f>IF(D130&gt;0,IF(Assumptions!$H$12="Yes",Tax!D132*0.5,0),0)</f>
        <v>0</v>
      </c>
      <c r="E133" s="152">
        <f>IF(E130&gt;0,IF(Assumptions!$H$12="Yes",Tax!E132*0.5,0),0)</f>
        <v>0</v>
      </c>
      <c r="F133" s="152">
        <f>IF(F130&gt;0,IF(Assumptions!$H$12="Yes",Tax!F132*0.5,0),0)</f>
        <v>0</v>
      </c>
      <c r="G133" s="152">
        <f>IF(G130&gt;0,IF(Assumptions!$H$12="Yes",Tax!G132*0.5,0),0)</f>
        <v>0</v>
      </c>
      <c r="H133" s="152">
        <f>IF(H130&gt;0,IF(Assumptions!$H$12="Yes",Tax!H132*0.5,0),0)</f>
        <v>0</v>
      </c>
      <c r="I133" s="152">
        <f>IF(I130&gt;0,IF(Assumptions!$H$12="Yes",Tax!I132*0.5,0),0)</f>
        <v>0</v>
      </c>
      <c r="J133" s="152">
        <f>IF(J130&gt;0,IF(Assumptions!$H$12="Yes",Tax!J132*0.5,0),0)</f>
        <v>0</v>
      </c>
      <c r="K133" s="152">
        <f>IF(K130&gt;0,IF(Assumptions!$H$12="Yes",Tax!K132*0.5,0),0)</f>
        <v>0</v>
      </c>
      <c r="L133" s="152">
        <f>IF(L130&gt;0,IF(Assumptions!$H$12="Yes",Tax!L132*0.5,0),0)</f>
        <v>0</v>
      </c>
      <c r="M133" s="152">
        <f>IF(M130&gt;0,IF(Assumptions!$H$12="Yes",Tax!M132*0.5,0),0)</f>
        <v>0</v>
      </c>
      <c r="N133" s="152">
        <f>IF(N130&gt;0,IF(Assumptions!$H$12="Yes",Tax!N132*0.5,0),0)</f>
        <v>0</v>
      </c>
      <c r="O133" s="152">
        <f>IF(O130&gt;0,IF(Assumptions!$H$12="Yes",Tax!O132*0.5,0),0)</f>
        <v>0</v>
      </c>
      <c r="P133" s="152">
        <f>IF(P130&gt;0,IF(Assumptions!$H$12="Yes",Tax!P132*0.5,0),0)</f>
        <v>0</v>
      </c>
      <c r="Q133" s="152">
        <f>IF(Q130&gt;0,IF(Assumptions!$H$12="Yes",Tax!Q132*0.5,0),0)</f>
        <v>0</v>
      </c>
      <c r="R133" s="152">
        <f>IF(R130&gt;0,IF(Assumptions!$H$12="Yes",Tax!R132*0.5,0),0)</f>
        <v>0</v>
      </c>
      <c r="S133" s="152">
        <f>IF(S130&gt;0,IF(Assumptions!$H$12="Yes",Tax!S132*0.5,0),0)</f>
        <v>0</v>
      </c>
      <c r="T133" s="152">
        <f>IF(T130&gt;0,IF(Assumptions!$H$12="Yes",Tax!T132*0.5,0),0)</f>
        <v>0</v>
      </c>
      <c r="U133" s="152">
        <f>IF(U130&gt;0,IF(Assumptions!$H$12="Yes",Tax!U132*0.5,0),0)</f>
        <v>0</v>
      </c>
      <c r="V133" s="152">
        <f>IF(V130&gt;0,IF(Assumptions!$H$12="Yes",Tax!V132*0.5,0),0)</f>
        <v>0</v>
      </c>
      <c r="W133" s="152">
        <f>IF(W130&gt;0,IF(Assumptions!$H$12="Yes",Tax!W132*0.5,0),0)</f>
        <v>0</v>
      </c>
      <c r="X133" s="152">
        <f>IF(X130&gt;0,IF(Assumptions!$H$12="Yes",Tax!X132*0.5,0),0)</f>
        <v>0</v>
      </c>
    </row>
    <row r="134" spans="1:24" s="9" customFormat="1" ht="11.25">
      <c r="A134" s="1" t="s">
        <v>404</v>
      </c>
      <c r="B134" s="1"/>
      <c r="C134" s="435">
        <f t="shared" ref="C134:X134" si="48">C132-C133</f>
        <v>0</v>
      </c>
      <c r="D134" s="435">
        <f t="shared" si="48"/>
        <v>0</v>
      </c>
      <c r="E134" s="435">
        <f t="shared" si="48"/>
        <v>0</v>
      </c>
      <c r="F134" s="435">
        <f t="shared" si="48"/>
        <v>0</v>
      </c>
      <c r="G134" s="435">
        <f t="shared" si="48"/>
        <v>0</v>
      </c>
      <c r="H134" s="435">
        <f t="shared" si="48"/>
        <v>0</v>
      </c>
      <c r="I134" s="435">
        <f t="shared" si="48"/>
        <v>0</v>
      </c>
      <c r="J134" s="435">
        <f t="shared" si="48"/>
        <v>0</v>
      </c>
      <c r="K134" s="435">
        <f t="shared" si="48"/>
        <v>0</v>
      </c>
      <c r="L134" s="435">
        <f t="shared" si="48"/>
        <v>0</v>
      </c>
      <c r="M134" s="435">
        <f t="shared" si="48"/>
        <v>0</v>
      </c>
      <c r="N134" s="435">
        <f t="shared" si="48"/>
        <v>0</v>
      </c>
      <c r="O134" s="435">
        <f t="shared" si="48"/>
        <v>0</v>
      </c>
      <c r="P134" s="435">
        <f t="shared" si="48"/>
        <v>0</v>
      </c>
      <c r="Q134" s="435">
        <f t="shared" si="48"/>
        <v>0</v>
      </c>
      <c r="R134" s="435">
        <f t="shared" si="48"/>
        <v>0</v>
      </c>
      <c r="S134" s="435">
        <f t="shared" si="48"/>
        <v>0</v>
      </c>
      <c r="T134" s="435">
        <f t="shared" si="48"/>
        <v>0</v>
      </c>
      <c r="U134" s="435">
        <f t="shared" si="48"/>
        <v>0</v>
      </c>
      <c r="V134" s="435">
        <f t="shared" si="48"/>
        <v>0</v>
      </c>
      <c r="W134" s="435">
        <f t="shared" si="48"/>
        <v>0</v>
      </c>
      <c r="X134" s="435">
        <f t="shared" si="48"/>
        <v>0</v>
      </c>
    </row>
    <row r="135" spans="1:24" s="9" customFormat="1" ht="11.25">
      <c r="A135" s="1" t="s">
        <v>39</v>
      </c>
      <c r="B135" s="1"/>
      <c r="C135" s="433">
        <f t="shared" ref="C135:R135" si="49">IF(B136=0,0,IF(C187&lt;0,0,C191))</f>
        <v>0</v>
      </c>
      <c r="D135" s="433">
        <f t="shared" si="49"/>
        <v>0</v>
      </c>
      <c r="E135" s="433">
        <f t="shared" si="49"/>
        <v>0</v>
      </c>
      <c r="F135" s="433">
        <f t="shared" si="49"/>
        <v>0</v>
      </c>
      <c r="G135" s="433">
        <f t="shared" si="49"/>
        <v>0</v>
      </c>
      <c r="H135" s="433">
        <f t="shared" si="49"/>
        <v>0</v>
      </c>
      <c r="I135" s="433">
        <f t="shared" si="49"/>
        <v>0</v>
      </c>
      <c r="J135" s="433">
        <f t="shared" si="49"/>
        <v>0</v>
      </c>
      <c r="K135" s="433">
        <f t="shared" si="49"/>
        <v>0</v>
      </c>
      <c r="L135" s="433">
        <f t="shared" si="49"/>
        <v>0</v>
      </c>
      <c r="M135" s="433">
        <f t="shared" si="49"/>
        <v>0</v>
      </c>
      <c r="N135" s="433">
        <f t="shared" si="49"/>
        <v>0</v>
      </c>
      <c r="O135" s="433">
        <f t="shared" si="49"/>
        <v>0</v>
      </c>
      <c r="P135" s="433">
        <f t="shared" si="49"/>
        <v>0</v>
      </c>
      <c r="Q135" s="433">
        <f t="shared" si="49"/>
        <v>0</v>
      </c>
      <c r="R135" s="433">
        <f t="shared" si="49"/>
        <v>0</v>
      </c>
      <c r="S135" s="433">
        <f t="shared" ref="S135:X135" si="50">IF(R136=0,0,IF(S187&lt;0,0,S191))</f>
        <v>0</v>
      </c>
      <c r="T135" s="433">
        <f t="shared" si="50"/>
        <v>0</v>
      </c>
      <c r="U135" s="433">
        <f t="shared" si="50"/>
        <v>0</v>
      </c>
      <c r="V135" s="433">
        <f t="shared" si="50"/>
        <v>0</v>
      </c>
      <c r="W135" s="433">
        <f t="shared" si="50"/>
        <v>0</v>
      </c>
      <c r="X135" s="433">
        <f t="shared" si="50"/>
        <v>0</v>
      </c>
    </row>
    <row r="136" spans="1:24" s="9" customFormat="1" ht="11.25">
      <c r="A136" s="1" t="s">
        <v>405</v>
      </c>
      <c r="B136" s="1"/>
      <c r="C136" s="435">
        <f>C132-C135</f>
        <v>0</v>
      </c>
      <c r="D136" s="435">
        <f>D132-D135</f>
        <v>0</v>
      </c>
      <c r="E136" s="435">
        <f>E132-E135</f>
        <v>0</v>
      </c>
      <c r="F136" s="435">
        <f t="shared" ref="F136:X136" si="51">F132-F135</f>
        <v>0</v>
      </c>
      <c r="G136" s="435">
        <f t="shared" si="51"/>
        <v>0</v>
      </c>
      <c r="H136" s="435">
        <f t="shared" si="51"/>
        <v>0</v>
      </c>
      <c r="I136" s="435">
        <f t="shared" si="51"/>
        <v>0</v>
      </c>
      <c r="J136" s="435">
        <f t="shared" si="51"/>
        <v>0</v>
      </c>
      <c r="K136" s="435">
        <f t="shared" si="51"/>
        <v>0</v>
      </c>
      <c r="L136" s="435">
        <f t="shared" si="51"/>
        <v>0</v>
      </c>
      <c r="M136" s="435">
        <f t="shared" si="51"/>
        <v>0</v>
      </c>
      <c r="N136" s="435">
        <f t="shared" si="51"/>
        <v>0</v>
      </c>
      <c r="O136" s="435">
        <f t="shared" si="51"/>
        <v>0</v>
      </c>
      <c r="P136" s="435">
        <f t="shared" si="51"/>
        <v>0</v>
      </c>
      <c r="Q136" s="435">
        <f t="shared" si="51"/>
        <v>0</v>
      </c>
      <c r="R136" s="435">
        <f t="shared" si="51"/>
        <v>0</v>
      </c>
      <c r="S136" s="435">
        <f t="shared" si="51"/>
        <v>0</v>
      </c>
      <c r="T136" s="435">
        <f t="shared" si="51"/>
        <v>0</v>
      </c>
      <c r="U136" s="435">
        <f t="shared" si="51"/>
        <v>0</v>
      </c>
      <c r="V136" s="435">
        <f t="shared" si="51"/>
        <v>0</v>
      </c>
      <c r="W136" s="435">
        <f t="shared" si="51"/>
        <v>0</v>
      </c>
      <c r="X136" s="435">
        <f t="shared" si="51"/>
        <v>0</v>
      </c>
    </row>
    <row r="137" spans="1:24" s="9" customFormat="1" ht="11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s="9" customFormat="1" ht="11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s="9" customFormat="1" ht="11.25">
      <c r="A139" s="77" t="s">
        <v>407</v>
      </c>
      <c r="B139" s="1"/>
      <c r="C139" s="432">
        <v>0.3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s="9" customFormat="1" ht="11.25">
      <c r="B140" s="1"/>
      <c r="C140" s="436"/>
      <c r="D140" s="436"/>
      <c r="E140" s="436"/>
      <c r="F140" s="436"/>
      <c r="G140" s="436"/>
      <c r="H140" s="436"/>
      <c r="I140" s="436"/>
      <c r="J140" s="436"/>
      <c r="K140" s="436"/>
      <c r="L140" s="436"/>
      <c r="M140" s="436"/>
      <c r="N140" s="436"/>
      <c r="O140" s="436"/>
      <c r="P140" s="436"/>
      <c r="Q140" s="436"/>
      <c r="R140" s="436"/>
      <c r="S140" s="436"/>
      <c r="T140" s="436"/>
      <c r="U140" s="436"/>
      <c r="V140" s="436"/>
      <c r="W140" s="436"/>
      <c r="X140" s="436"/>
    </row>
    <row r="141" spans="1:24" s="9" customFormat="1" ht="11.25">
      <c r="A141" s="1" t="s">
        <v>401</v>
      </c>
      <c r="B141" s="1"/>
      <c r="C141" s="1">
        <v>0</v>
      </c>
      <c r="D141" s="433">
        <f>C148</f>
        <v>9003.2025331425084</v>
      </c>
      <c r="E141" s="433">
        <f t="shared" ref="E141:X141" si="52">D148</f>
        <v>6302.2417731997557</v>
      </c>
      <c r="F141" s="433">
        <f t="shared" si="52"/>
        <v>4411.5692412398294</v>
      </c>
      <c r="G141" s="433">
        <f t="shared" si="52"/>
        <v>3088.0984688678809</v>
      </c>
      <c r="H141" s="433">
        <f t="shared" si="52"/>
        <v>2161.6689282075167</v>
      </c>
      <c r="I141" s="433">
        <f t="shared" si="52"/>
        <v>1513.1682497452616</v>
      </c>
      <c r="J141" s="433">
        <f t="shared" si="52"/>
        <v>1059.2177748216832</v>
      </c>
      <c r="K141" s="433">
        <f t="shared" si="52"/>
        <v>741.45244237517818</v>
      </c>
      <c r="L141" s="433">
        <f t="shared" si="52"/>
        <v>519.01670966262475</v>
      </c>
      <c r="M141" s="433">
        <f t="shared" si="52"/>
        <v>363.31169676383729</v>
      </c>
      <c r="N141" s="433">
        <f t="shared" si="52"/>
        <v>254.31818773468609</v>
      </c>
      <c r="O141" s="433">
        <f t="shared" si="52"/>
        <v>178.02273141428026</v>
      </c>
      <c r="P141" s="433">
        <f t="shared" si="52"/>
        <v>124.61591198999619</v>
      </c>
      <c r="Q141" s="433">
        <f t="shared" si="52"/>
        <v>87.231138392997337</v>
      </c>
      <c r="R141" s="433">
        <f t="shared" si="52"/>
        <v>61.061796875098139</v>
      </c>
      <c r="S141" s="433">
        <f t="shared" si="52"/>
        <v>0</v>
      </c>
      <c r="T141" s="433">
        <f t="shared" si="52"/>
        <v>0</v>
      </c>
      <c r="U141" s="433">
        <f t="shared" si="52"/>
        <v>0</v>
      </c>
      <c r="V141" s="433">
        <f t="shared" si="52"/>
        <v>0</v>
      </c>
      <c r="W141" s="433">
        <f t="shared" si="52"/>
        <v>0</v>
      </c>
      <c r="X141" s="433">
        <f t="shared" si="52"/>
        <v>0</v>
      </c>
    </row>
    <row r="142" spans="1:24" s="9" customFormat="1" ht="11.25">
      <c r="A142" s="1" t="s">
        <v>37</v>
      </c>
      <c r="B142" s="1"/>
      <c r="C142" s="434">
        <f>IF(C$116=YEAR(Cashflow!$C$3),((Assumptions!$E$10-Assumptions!$E$5)*Assumptions!$H$8),0)</f>
        <v>9003.2025331425084</v>
      </c>
      <c r="D142" s="434">
        <f>IF(D$116=YEAR(Cashflow!$C$3),((Assumptions!$E$10-Assumptions!$E$5)*Assumptions!$H$8),0)</f>
        <v>0</v>
      </c>
      <c r="E142" s="434">
        <f>IF(E$116=YEAR(Cashflow!$C$3),((Assumptions!$E$10-Assumptions!$E$5)*Assumptions!$H$8),0)</f>
        <v>0</v>
      </c>
      <c r="F142" s="434">
        <f>IF(F$116=YEAR(Cashflow!$C$3),((Assumptions!$E$10-Assumptions!$E$5)*Assumptions!$H$8),0)</f>
        <v>0</v>
      </c>
      <c r="G142" s="434">
        <f>IF(G$116=YEAR(Cashflow!$C$3),((Assumptions!$E$10-Assumptions!$E$5)*Assumptions!$H$8),0)</f>
        <v>0</v>
      </c>
      <c r="H142" s="434">
        <f>IF(H$116=YEAR(Cashflow!$C$3),((Assumptions!$E$10-Assumptions!$E$5)*Assumptions!$H$8),0)</f>
        <v>0</v>
      </c>
      <c r="I142" s="434">
        <f>IF(I$116=YEAR(Cashflow!$C$3),((Assumptions!$E$10-Assumptions!$E$5)*Assumptions!$H$8),0)</f>
        <v>0</v>
      </c>
      <c r="J142" s="434">
        <f>IF(J$116=YEAR(Cashflow!$C$3),((Assumptions!$E$10-Assumptions!$E$5)*Assumptions!$H$8),0)</f>
        <v>0</v>
      </c>
      <c r="K142" s="434">
        <f>IF(K$116=YEAR(Cashflow!$C$3),((Assumptions!$E$10-Assumptions!$E$5)*Assumptions!$H$8),0)</f>
        <v>0</v>
      </c>
      <c r="L142" s="434">
        <f>IF(L$116=YEAR(Cashflow!$C$3),((Assumptions!$E$10-Assumptions!$E$5)*Assumptions!$H$8),0)</f>
        <v>0</v>
      </c>
      <c r="M142" s="434">
        <f>IF(M$116=YEAR(Cashflow!$C$3),((Assumptions!$E$10-Assumptions!$E$5)*Assumptions!$H$8),0)</f>
        <v>0</v>
      </c>
      <c r="N142" s="434">
        <f>IF(N$116=YEAR(Cashflow!$C$3),((Assumptions!$E$10-Assumptions!$E$5)*Assumptions!$H$8),0)</f>
        <v>0</v>
      </c>
      <c r="O142" s="434">
        <f>IF(O$116=YEAR(Cashflow!$C$3),((Assumptions!$E$10-Assumptions!$E$5)*Assumptions!$H$8),0)</f>
        <v>0</v>
      </c>
      <c r="P142" s="434">
        <f>IF(P$116=YEAR(Cashflow!$C$3),((Assumptions!$E$10-Assumptions!$E$5)*Assumptions!$H$8),0)</f>
        <v>0</v>
      </c>
      <c r="Q142" s="434">
        <f>IF(Q$116=YEAR(Cashflow!$C$3),((Assumptions!$E$10-Assumptions!$E$5)*Assumptions!$H$8),0)</f>
        <v>0</v>
      </c>
      <c r="R142" s="434">
        <f>IF(R$116=YEAR(Cashflow!$C$3),((Assumptions!$E$10-Assumptions!$E$5)*Assumptions!$H$8),0)</f>
        <v>0</v>
      </c>
      <c r="S142" s="434">
        <f>IF(S$116=YEAR(Cashflow!$C$3),((Assumptions!$E$10-Assumptions!$E$5)*Assumptions!$H$8),0)</f>
        <v>0</v>
      </c>
      <c r="T142" s="434">
        <f>IF(T$116=YEAR(Cashflow!$C$3),((Assumptions!$E$10-Assumptions!$E$5)*Assumptions!$H$8),0)</f>
        <v>0</v>
      </c>
      <c r="U142" s="434">
        <f>IF(U$116=YEAR(Cashflow!$C$3),((Assumptions!$E$10-Assumptions!$E$5)*Assumptions!$H$8),0)</f>
        <v>0</v>
      </c>
      <c r="V142" s="434">
        <f>IF(V$116=YEAR(Cashflow!$C$3),((Assumptions!$E$10-Assumptions!$E$5)*Assumptions!$H$8),0)</f>
        <v>0</v>
      </c>
      <c r="W142" s="434">
        <f>IF(W$116=YEAR(Cashflow!$C$3),((Assumptions!$E$10-Assumptions!$E$5)*Assumptions!$H$8),0)</f>
        <v>0</v>
      </c>
      <c r="X142" s="434">
        <f>IF(X$116=YEAR(Cashflow!$C$3),((Assumptions!$E$10-Assumptions!$E$5)*Assumptions!$H$8),0)</f>
        <v>0</v>
      </c>
    </row>
    <row r="143" spans="1:24" s="9" customFormat="1" ht="11.25">
      <c r="A143" s="1" t="s">
        <v>402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433">
        <f>IF(Tables!$B$21=15,R141,0)</f>
        <v>61.061796875098139</v>
      </c>
      <c r="S143" s="1"/>
      <c r="T143" s="1"/>
      <c r="U143" s="1"/>
      <c r="V143" s="1"/>
      <c r="W143" s="1"/>
      <c r="X143" s="1"/>
    </row>
    <row r="144" spans="1:24" s="9" customFormat="1" ht="11.25">
      <c r="A144" s="1" t="s">
        <v>403</v>
      </c>
      <c r="B144" s="1"/>
      <c r="C144" s="433">
        <f t="shared" ref="C144:X144" si="53">C141+C142-C143</f>
        <v>9003.2025331425084</v>
      </c>
      <c r="D144" s="433">
        <f t="shared" si="53"/>
        <v>9003.2025331425084</v>
      </c>
      <c r="E144" s="433">
        <f t="shared" si="53"/>
        <v>6302.2417731997557</v>
      </c>
      <c r="F144" s="433">
        <f t="shared" si="53"/>
        <v>4411.5692412398294</v>
      </c>
      <c r="G144" s="433">
        <f t="shared" si="53"/>
        <v>3088.0984688678809</v>
      </c>
      <c r="H144" s="433">
        <f t="shared" si="53"/>
        <v>2161.6689282075167</v>
      </c>
      <c r="I144" s="433">
        <f t="shared" si="53"/>
        <v>1513.1682497452616</v>
      </c>
      <c r="J144" s="433">
        <f t="shared" si="53"/>
        <v>1059.2177748216832</v>
      </c>
      <c r="K144" s="433">
        <f t="shared" si="53"/>
        <v>741.45244237517818</v>
      </c>
      <c r="L144" s="433">
        <f t="shared" si="53"/>
        <v>519.01670966262475</v>
      </c>
      <c r="M144" s="433">
        <f t="shared" si="53"/>
        <v>363.31169676383729</v>
      </c>
      <c r="N144" s="433">
        <f t="shared" si="53"/>
        <v>254.31818773468609</v>
      </c>
      <c r="O144" s="433">
        <f t="shared" si="53"/>
        <v>178.02273141428026</v>
      </c>
      <c r="P144" s="433">
        <f t="shared" si="53"/>
        <v>124.61591198999619</v>
      </c>
      <c r="Q144" s="433">
        <f t="shared" si="53"/>
        <v>87.231138392997337</v>
      </c>
      <c r="R144" s="433">
        <f t="shared" si="53"/>
        <v>0</v>
      </c>
      <c r="S144" s="433">
        <f t="shared" si="53"/>
        <v>0</v>
      </c>
      <c r="T144" s="433">
        <f t="shared" si="53"/>
        <v>0</v>
      </c>
      <c r="U144" s="433">
        <f t="shared" si="53"/>
        <v>0</v>
      </c>
      <c r="V144" s="433">
        <f t="shared" si="53"/>
        <v>0</v>
      </c>
      <c r="W144" s="433">
        <f t="shared" si="53"/>
        <v>0</v>
      </c>
      <c r="X144" s="433">
        <f t="shared" si="53"/>
        <v>0</v>
      </c>
    </row>
    <row r="145" spans="1:24" s="9" customFormat="1" ht="11.25">
      <c r="A145" s="1" t="s">
        <v>38</v>
      </c>
      <c r="B145" s="1"/>
      <c r="C145" s="152">
        <f>IF(C142&gt;0,IF(Assumptions!$H$12="Yes",Tax!C144*0.5,0),0)</f>
        <v>4501.6012665712542</v>
      </c>
      <c r="D145" s="152">
        <f>IF(D142&gt;0,IF(Assumptions!$H$12="Yes",Tax!D144*0.5,0),0)</f>
        <v>0</v>
      </c>
      <c r="E145" s="152">
        <f>IF(E142&gt;0,IF(Assumptions!$H$12="Yes",Tax!E144*0.5,0),0)</f>
        <v>0</v>
      </c>
      <c r="F145" s="152">
        <f>IF(F142&gt;0,IF(Assumptions!$H$12="Yes",Tax!F144*0.5,0),0)</f>
        <v>0</v>
      </c>
      <c r="G145" s="152">
        <f>IF(G142&gt;0,IF(Assumptions!$H$12="Yes",Tax!G144*0.5,0),0)</f>
        <v>0</v>
      </c>
      <c r="H145" s="152">
        <f>IF(H142&gt;0,IF(Assumptions!$H$12="Yes",Tax!H144*0.5,0),0)</f>
        <v>0</v>
      </c>
      <c r="I145" s="152">
        <f>IF(I142&gt;0,IF(Assumptions!$H$12="Yes",Tax!I144*0.5,0),0)</f>
        <v>0</v>
      </c>
      <c r="J145" s="152">
        <f>IF(J142&gt;0,IF(Assumptions!$H$12="Yes",Tax!J144*0.5,0),0)</f>
        <v>0</v>
      </c>
      <c r="K145" s="152">
        <f>IF(K142&gt;0,IF(Assumptions!$H$12="Yes",Tax!K144*0.5,0),0)</f>
        <v>0</v>
      </c>
      <c r="L145" s="152">
        <f>IF(L142&gt;0,IF(Assumptions!$H$12="Yes",Tax!L144*0.5,0),0)</f>
        <v>0</v>
      </c>
      <c r="M145" s="152">
        <f>IF(M142&gt;0,IF(Assumptions!$H$12="Yes",Tax!M144*0.5,0),0)</f>
        <v>0</v>
      </c>
      <c r="N145" s="152">
        <f>IF(N142&gt;0,IF(Assumptions!$H$12="Yes",Tax!N144*0.5,0),0)</f>
        <v>0</v>
      </c>
      <c r="O145" s="152">
        <f>IF(O142&gt;0,IF(Assumptions!$H$12="Yes",Tax!O144*0.5,0),0)</f>
        <v>0</v>
      </c>
      <c r="P145" s="152">
        <f>IF(P142&gt;0,IF(Assumptions!$H$12="Yes",Tax!P144*0.5,0),0)</f>
        <v>0</v>
      </c>
      <c r="Q145" s="152">
        <f>IF(Q142&gt;0,IF(Assumptions!$H$12="Yes",Tax!Q144*0.5,0),0)</f>
        <v>0</v>
      </c>
      <c r="R145" s="152">
        <f>IF(R142&gt;0,IF(Assumptions!$H$12="Yes",Tax!R144*0.5,0),0)</f>
        <v>0</v>
      </c>
      <c r="S145" s="152">
        <f>IF(S142&gt;0,IF(Assumptions!$H$12="Yes",Tax!S144*0.5,0),0)</f>
        <v>0</v>
      </c>
      <c r="T145" s="152">
        <f>IF(T142&gt;0,IF(Assumptions!$H$12="Yes",Tax!T144*0.5,0),0)</f>
        <v>0</v>
      </c>
      <c r="U145" s="152">
        <f>IF(U142&gt;0,IF(Assumptions!$H$12="Yes",Tax!U144*0.5,0),0)</f>
        <v>0</v>
      </c>
      <c r="V145" s="152">
        <f>IF(V142&gt;0,IF(Assumptions!$H$12="Yes",Tax!V144*0.5,0),0)</f>
        <v>0</v>
      </c>
      <c r="W145" s="152">
        <f>IF(W142&gt;0,IF(Assumptions!$H$12="Yes",Tax!W144*0.5,0),0)</f>
        <v>0</v>
      </c>
      <c r="X145" s="152">
        <f>IF(X142&gt;0,IF(Assumptions!$H$12="Yes",Tax!X144*0.5,0),0)</f>
        <v>0</v>
      </c>
    </row>
    <row r="146" spans="1:24" s="9" customFormat="1" ht="11.25">
      <c r="A146" s="1" t="s">
        <v>404</v>
      </c>
      <c r="B146" s="1"/>
      <c r="C146" s="435">
        <f t="shared" ref="C146:X146" si="54">C144-C145</f>
        <v>4501.6012665712542</v>
      </c>
      <c r="D146" s="435">
        <f t="shared" si="54"/>
        <v>9003.2025331425084</v>
      </c>
      <c r="E146" s="435">
        <f t="shared" si="54"/>
        <v>6302.2417731997557</v>
      </c>
      <c r="F146" s="435">
        <f t="shared" si="54"/>
        <v>4411.5692412398294</v>
      </c>
      <c r="G146" s="435">
        <f t="shared" si="54"/>
        <v>3088.0984688678809</v>
      </c>
      <c r="H146" s="435">
        <f t="shared" si="54"/>
        <v>2161.6689282075167</v>
      </c>
      <c r="I146" s="435">
        <f t="shared" si="54"/>
        <v>1513.1682497452616</v>
      </c>
      <c r="J146" s="435">
        <f t="shared" si="54"/>
        <v>1059.2177748216832</v>
      </c>
      <c r="K146" s="435">
        <f t="shared" si="54"/>
        <v>741.45244237517818</v>
      </c>
      <c r="L146" s="435">
        <f t="shared" si="54"/>
        <v>519.01670966262475</v>
      </c>
      <c r="M146" s="435">
        <f t="shared" si="54"/>
        <v>363.31169676383729</v>
      </c>
      <c r="N146" s="435">
        <f t="shared" si="54"/>
        <v>254.31818773468609</v>
      </c>
      <c r="O146" s="435">
        <f t="shared" si="54"/>
        <v>178.02273141428026</v>
      </c>
      <c r="P146" s="435">
        <f t="shared" si="54"/>
        <v>124.61591198999619</v>
      </c>
      <c r="Q146" s="435">
        <f t="shared" si="54"/>
        <v>87.231138392997337</v>
      </c>
      <c r="R146" s="435">
        <f t="shared" si="54"/>
        <v>0</v>
      </c>
      <c r="S146" s="435">
        <f t="shared" si="54"/>
        <v>0</v>
      </c>
      <c r="T146" s="435">
        <f t="shared" si="54"/>
        <v>0</v>
      </c>
      <c r="U146" s="435">
        <f t="shared" si="54"/>
        <v>0</v>
      </c>
      <c r="V146" s="435">
        <f t="shared" si="54"/>
        <v>0</v>
      </c>
      <c r="W146" s="435">
        <f t="shared" si="54"/>
        <v>0</v>
      </c>
      <c r="X146" s="435">
        <f t="shared" si="54"/>
        <v>0</v>
      </c>
    </row>
    <row r="147" spans="1:24" s="9" customFormat="1" ht="11.25">
      <c r="A147" s="1" t="s">
        <v>39</v>
      </c>
      <c r="B147" s="1"/>
      <c r="C147" s="433">
        <f t="shared" ref="C147:R147" si="55">IF(B148=0,0,IF(C119&gt;0,C144,IF(C187&lt;0,0,C192)))</f>
        <v>0</v>
      </c>
      <c r="D147" s="433">
        <f t="shared" si="55"/>
        <v>2700.9607599427522</v>
      </c>
      <c r="E147" s="433">
        <f t="shared" si="55"/>
        <v>1890.6725319599266</v>
      </c>
      <c r="F147" s="433">
        <f t="shared" si="55"/>
        <v>1323.4707723719487</v>
      </c>
      <c r="G147" s="433">
        <f t="shared" si="55"/>
        <v>926.42954066036418</v>
      </c>
      <c r="H147" s="433">
        <f t="shared" si="55"/>
        <v>648.500678462255</v>
      </c>
      <c r="I147" s="433">
        <f t="shared" si="55"/>
        <v>453.9504749235785</v>
      </c>
      <c r="J147" s="433">
        <f t="shared" si="55"/>
        <v>317.76533244650494</v>
      </c>
      <c r="K147" s="433">
        <f t="shared" si="55"/>
        <v>222.43573271255346</v>
      </c>
      <c r="L147" s="433">
        <f t="shared" si="55"/>
        <v>155.70501289878743</v>
      </c>
      <c r="M147" s="433">
        <f t="shared" si="55"/>
        <v>108.99350902915118</v>
      </c>
      <c r="N147" s="433">
        <f t="shared" si="55"/>
        <v>76.295456320405819</v>
      </c>
      <c r="O147" s="433">
        <f t="shared" si="55"/>
        <v>53.406819424284073</v>
      </c>
      <c r="P147" s="433">
        <f t="shared" si="55"/>
        <v>37.384773596998855</v>
      </c>
      <c r="Q147" s="433">
        <f t="shared" si="55"/>
        <v>26.169341517899202</v>
      </c>
      <c r="R147" s="433">
        <f t="shared" si="55"/>
        <v>0</v>
      </c>
      <c r="S147" s="433">
        <f t="shared" ref="S147:X147" si="56">IF(R148=0,0,IF(S119&gt;0,S144,IF(S187&lt;0,0,S192)))</f>
        <v>0</v>
      </c>
      <c r="T147" s="433">
        <f t="shared" si="56"/>
        <v>0</v>
      </c>
      <c r="U147" s="433">
        <f t="shared" si="56"/>
        <v>0</v>
      </c>
      <c r="V147" s="433">
        <f t="shared" si="56"/>
        <v>0</v>
      </c>
      <c r="W147" s="433">
        <f t="shared" si="56"/>
        <v>0</v>
      </c>
      <c r="X147" s="433">
        <f t="shared" si="56"/>
        <v>0</v>
      </c>
    </row>
    <row r="148" spans="1:24" s="9" customFormat="1" ht="11.25">
      <c r="A148" s="1" t="s">
        <v>405</v>
      </c>
      <c r="B148" s="1"/>
      <c r="C148" s="435">
        <f>C144-C147</f>
        <v>9003.2025331425084</v>
      </c>
      <c r="D148" s="435">
        <f t="shared" ref="D148:X148" si="57">D144-D147</f>
        <v>6302.2417731997557</v>
      </c>
      <c r="E148" s="435">
        <f t="shared" si="57"/>
        <v>4411.5692412398294</v>
      </c>
      <c r="F148" s="435">
        <f t="shared" si="57"/>
        <v>3088.0984688678809</v>
      </c>
      <c r="G148" s="435">
        <f t="shared" si="57"/>
        <v>2161.6689282075167</v>
      </c>
      <c r="H148" s="435">
        <f t="shared" si="57"/>
        <v>1513.1682497452616</v>
      </c>
      <c r="I148" s="435">
        <f t="shared" si="57"/>
        <v>1059.2177748216832</v>
      </c>
      <c r="J148" s="435">
        <f t="shared" si="57"/>
        <v>741.45244237517818</v>
      </c>
      <c r="K148" s="435">
        <f t="shared" si="57"/>
        <v>519.01670966262475</v>
      </c>
      <c r="L148" s="435">
        <f t="shared" si="57"/>
        <v>363.31169676383729</v>
      </c>
      <c r="M148" s="435">
        <f t="shared" si="57"/>
        <v>254.31818773468609</v>
      </c>
      <c r="N148" s="435">
        <f t="shared" si="57"/>
        <v>178.02273141428026</v>
      </c>
      <c r="O148" s="435">
        <f t="shared" si="57"/>
        <v>124.61591198999619</v>
      </c>
      <c r="P148" s="435">
        <f t="shared" si="57"/>
        <v>87.231138392997337</v>
      </c>
      <c r="Q148" s="435">
        <f t="shared" si="57"/>
        <v>61.061796875098139</v>
      </c>
      <c r="R148" s="435">
        <f t="shared" si="57"/>
        <v>0</v>
      </c>
      <c r="S148" s="435">
        <f t="shared" si="57"/>
        <v>0</v>
      </c>
      <c r="T148" s="435">
        <f t="shared" si="57"/>
        <v>0</v>
      </c>
      <c r="U148" s="435">
        <f t="shared" si="57"/>
        <v>0</v>
      </c>
      <c r="V148" s="435">
        <f t="shared" si="57"/>
        <v>0</v>
      </c>
      <c r="W148" s="435">
        <f t="shared" si="57"/>
        <v>0</v>
      </c>
      <c r="X148" s="435">
        <f t="shared" si="57"/>
        <v>0</v>
      </c>
    </row>
    <row r="149" spans="1:24" s="9" customFormat="1" ht="11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s="9" customFormat="1" ht="11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s="9" customFormat="1" ht="11.25">
      <c r="A151" s="77" t="s">
        <v>408</v>
      </c>
      <c r="B151" s="1"/>
      <c r="C151" s="432">
        <v>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s="9" customFormat="1" ht="11.25">
      <c r="B152" s="1"/>
      <c r="C152" s="436"/>
      <c r="D152" s="436"/>
      <c r="E152" s="436"/>
      <c r="F152" s="436"/>
      <c r="G152" s="436"/>
      <c r="H152" s="436"/>
      <c r="I152" s="436"/>
      <c r="J152" s="436"/>
      <c r="K152" s="436"/>
      <c r="L152" s="436"/>
      <c r="M152" s="436"/>
      <c r="N152" s="436"/>
      <c r="O152" s="436"/>
      <c r="P152" s="436"/>
      <c r="Q152" s="436"/>
      <c r="R152" s="436"/>
      <c r="S152" s="436"/>
      <c r="T152" s="436"/>
      <c r="U152" s="436"/>
      <c r="V152" s="436"/>
      <c r="W152" s="436"/>
      <c r="X152" s="436"/>
    </row>
    <row r="153" spans="1:24" s="9" customFormat="1" ht="11.25">
      <c r="A153" s="1" t="s">
        <v>401</v>
      </c>
      <c r="B153" s="1"/>
      <c r="C153" s="1">
        <v>0</v>
      </c>
      <c r="D153" s="433">
        <f>C160</f>
        <v>5401.9215198855054</v>
      </c>
      <c r="E153" s="433">
        <f t="shared" ref="E153:X153" si="58">D160</f>
        <v>0</v>
      </c>
      <c r="F153" s="433">
        <f t="shared" si="58"/>
        <v>0</v>
      </c>
      <c r="G153" s="433">
        <f t="shared" si="58"/>
        <v>0</v>
      </c>
      <c r="H153" s="433">
        <f t="shared" si="58"/>
        <v>0</v>
      </c>
      <c r="I153" s="433">
        <f t="shared" si="58"/>
        <v>0</v>
      </c>
      <c r="J153" s="433">
        <f t="shared" si="58"/>
        <v>0</v>
      </c>
      <c r="K153" s="433">
        <f t="shared" si="58"/>
        <v>0</v>
      </c>
      <c r="L153" s="433">
        <f t="shared" si="58"/>
        <v>0</v>
      </c>
      <c r="M153" s="433">
        <f t="shared" si="58"/>
        <v>0</v>
      </c>
      <c r="N153" s="433">
        <f t="shared" si="58"/>
        <v>0</v>
      </c>
      <c r="O153" s="433">
        <f t="shared" si="58"/>
        <v>0</v>
      </c>
      <c r="P153" s="433">
        <f t="shared" si="58"/>
        <v>0</v>
      </c>
      <c r="Q153" s="433">
        <f t="shared" si="58"/>
        <v>0</v>
      </c>
      <c r="R153" s="433">
        <f t="shared" si="58"/>
        <v>0</v>
      </c>
      <c r="S153" s="433">
        <f t="shared" si="58"/>
        <v>0</v>
      </c>
      <c r="T153" s="433">
        <f t="shared" si="58"/>
        <v>0</v>
      </c>
      <c r="U153" s="433">
        <f t="shared" si="58"/>
        <v>0</v>
      </c>
      <c r="V153" s="433">
        <f t="shared" si="58"/>
        <v>0</v>
      </c>
      <c r="W153" s="433">
        <f t="shared" si="58"/>
        <v>0</v>
      </c>
      <c r="X153" s="433">
        <f t="shared" si="58"/>
        <v>0</v>
      </c>
    </row>
    <row r="154" spans="1:24" s="9" customFormat="1" ht="11.25">
      <c r="A154" s="1" t="s">
        <v>37</v>
      </c>
      <c r="B154" s="1"/>
      <c r="C154" s="434">
        <f>IF(C$116=YEAR(Cashflow!$C$3),((Assumptions!$E$10-Assumptions!$E$5)*Assumptions!$H$9),0)</f>
        <v>5401.9215198855054</v>
      </c>
      <c r="D154" s="434">
        <f>IF(D$116=YEAR(Cashflow!$C$3),((Assumptions!$E$10-Assumptions!$E$5)*Assumptions!$H$9),0)</f>
        <v>0</v>
      </c>
      <c r="E154" s="434">
        <f>IF(E$116=YEAR(Cashflow!$C$3),((Assumptions!$E$10-Assumptions!$E$5)*Assumptions!$H$9),0)</f>
        <v>0</v>
      </c>
      <c r="F154" s="434">
        <f>IF(F$116=YEAR(Cashflow!$C$3),((Assumptions!$E$10-Assumptions!$E$5)*Assumptions!$H$9),0)</f>
        <v>0</v>
      </c>
      <c r="G154" s="434">
        <f>IF(G$116=YEAR(Cashflow!$C$3),((Assumptions!$E$10-Assumptions!$E$5)*Assumptions!$H$9),0)</f>
        <v>0</v>
      </c>
      <c r="H154" s="434">
        <f>IF(H$116=YEAR(Cashflow!$C$3),((Assumptions!$E$10-Assumptions!$E$5)*Assumptions!$H$9),0)</f>
        <v>0</v>
      </c>
      <c r="I154" s="434">
        <f>IF(I$116=YEAR(Cashflow!$C$3),((Assumptions!$E$10-Assumptions!$E$5)*Assumptions!$H$9),0)</f>
        <v>0</v>
      </c>
      <c r="J154" s="434">
        <f>IF(J$116=YEAR(Cashflow!$C$3),((Assumptions!$E$10-Assumptions!$E$5)*Assumptions!$H$9),0)</f>
        <v>0</v>
      </c>
      <c r="K154" s="434">
        <f>IF(K$116=YEAR(Cashflow!$C$3),((Assumptions!$E$10-Assumptions!$E$5)*Assumptions!$H$9),0)</f>
        <v>0</v>
      </c>
      <c r="L154" s="434">
        <f>IF(L$116=YEAR(Cashflow!$C$3),((Assumptions!$E$10-Assumptions!$E$5)*Assumptions!$H$9),0)</f>
        <v>0</v>
      </c>
      <c r="M154" s="434">
        <f>IF(M$116=YEAR(Cashflow!$C$3),((Assumptions!$E$10-Assumptions!$E$5)*Assumptions!$H$9),0)</f>
        <v>0</v>
      </c>
      <c r="N154" s="434">
        <f>IF(N$116=YEAR(Cashflow!$C$3),((Assumptions!$E$10-Assumptions!$E$5)*Assumptions!$H$9),0)</f>
        <v>0</v>
      </c>
      <c r="O154" s="434">
        <f>IF(O$116=YEAR(Cashflow!$C$3),((Assumptions!$E$10-Assumptions!$E$5)*Assumptions!$H$9),0)</f>
        <v>0</v>
      </c>
      <c r="P154" s="434">
        <f>IF(P$116=YEAR(Cashflow!$C$3),((Assumptions!$E$10-Assumptions!$E$5)*Assumptions!$H$9),0)</f>
        <v>0</v>
      </c>
      <c r="Q154" s="434">
        <f>IF(Q$116=YEAR(Cashflow!$C$3),((Assumptions!$E$10-Assumptions!$E$5)*Assumptions!$H$9),0)</f>
        <v>0</v>
      </c>
      <c r="R154" s="434">
        <f>IF(R$116=YEAR(Cashflow!$C$3),((Assumptions!$E$10-Assumptions!$E$5)*Assumptions!$H$9),0)</f>
        <v>0</v>
      </c>
      <c r="S154" s="434">
        <f>IF(S$116=YEAR(Cashflow!$C$3),((Assumptions!$E$10-Assumptions!$E$5)*Assumptions!$H$9),0)</f>
        <v>0</v>
      </c>
      <c r="T154" s="434">
        <f>IF(T$116=YEAR(Cashflow!$C$3),((Assumptions!$E$10-Assumptions!$E$5)*Assumptions!$H$9),0)</f>
        <v>0</v>
      </c>
      <c r="U154" s="434">
        <f>IF(U$116=YEAR(Cashflow!$C$3),((Assumptions!$E$10-Assumptions!$E$5)*Assumptions!$H$9),0)</f>
        <v>0</v>
      </c>
      <c r="V154" s="434">
        <f>IF(V$116=YEAR(Cashflow!$C$3),((Assumptions!$E$10-Assumptions!$E$5)*Assumptions!$H$9),0)</f>
        <v>0</v>
      </c>
      <c r="W154" s="434">
        <f>IF(W$116=YEAR(Cashflow!$C$3),((Assumptions!$E$10-Assumptions!$E$5)*Assumptions!$H$9),0)</f>
        <v>0</v>
      </c>
      <c r="X154" s="434">
        <f>IF(X$116=YEAR(Cashflow!$C$3),((Assumptions!$E$10-Assumptions!$E$5)*Assumptions!$H$9),0)</f>
        <v>0</v>
      </c>
    </row>
    <row r="155" spans="1:24" s="9" customFormat="1" ht="11.25">
      <c r="A155" s="1" t="s">
        <v>402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s="9" customFormat="1" ht="11.25">
      <c r="A156" s="1" t="s">
        <v>403</v>
      </c>
      <c r="B156" s="1"/>
      <c r="C156" s="433">
        <f t="shared" ref="C156:X156" si="59">C153+C154-C155</f>
        <v>5401.9215198855054</v>
      </c>
      <c r="D156" s="433">
        <f t="shared" si="59"/>
        <v>5401.9215198855054</v>
      </c>
      <c r="E156" s="433">
        <f t="shared" si="59"/>
        <v>0</v>
      </c>
      <c r="F156" s="433">
        <f t="shared" si="59"/>
        <v>0</v>
      </c>
      <c r="G156" s="433">
        <f t="shared" si="59"/>
        <v>0</v>
      </c>
      <c r="H156" s="433">
        <f t="shared" si="59"/>
        <v>0</v>
      </c>
      <c r="I156" s="433">
        <f t="shared" si="59"/>
        <v>0</v>
      </c>
      <c r="J156" s="433">
        <f t="shared" si="59"/>
        <v>0</v>
      </c>
      <c r="K156" s="433">
        <f t="shared" si="59"/>
        <v>0</v>
      </c>
      <c r="L156" s="433">
        <f t="shared" si="59"/>
        <v>0</v>
      </c>
      <c r="M156" s="433">
        <f t="shared" si="59"/>
        <v>0</v>
      </c>
      <c r="N156" s="433">
        <f t="shared" si="59"/>
        <v>0</v>
      </c>
      <c r="O156" s="433">
        <f t="shared" si="59"/>
        <v>0</v>
      </c>
      <c r="P156" s="433">
        <f t="shared" si="59"/>
        <v>0</v>
      </c>
      <c r="Q156" s="433">
        <f t="shared" si="59"/>
        <v>0</v>
      </c>
      <c r="R156" s="433">
        <f t="shared" si="59"/>
        <v>0</v>
      </c>
      <c r="S156" s="433">
        <f t="shared" si="59"/>
        <v>0</v>
      </c>
      <c r="T156" s="433">
        <f t="shared" si="59"/>
        <v>0</v>
      </c>
      <c r="U156" s="433">
        <f t="shared" si="59"/>
        <v>0</v>
      </c>
      <c r="V156" s="433">
        <f t="shared" si="59"/>
        <v>0</v>
      </c>
      <c r="W156" s="433">
        <f t="shared" si="59"/>
        <v>0</v>
      </c>
      <c r="X156" s="433">
        <f t="shared" si="59"/>
        <v>0</v>
      </c>
    </row>
    <row r="157" spans="1:24" s="9" customFormat="1" ht="11.25">
      <c r="A157" s="1" t="s">
        <v>38</v>
      </c>
      <c r="B157" s="1"/>
      <c r="C157" s="152">
        <f>IF(C154&gt;0,IF(Assumptions!$H$12="Yes",Tax!C156*0.5,0),0)</f>
        <v>2700.9607599427527</v>
      </c>
      <c r="D157" s="152">
        <f>IF(D154&gt;0,IF(Assumptions!$H$12="Yes",Tax!D156*0.5,0),0)</f>
        <v>0</v>
      </c>
      <c r="E157" s="152">
        <f>IF(E154&gt;0,IF(Assumptions!$H$12="Yes",Tax!E156*0.5,0),0)</f>
        <v>0</v>
      </c>
      <c r="F157" s="152">
        <f>IF(F154&gt;0,IF(Assumptions!$H$12="Yes",Tax!F156*0.5,0),0)</f>
        <v>0</v>
      </c>
      <c r="G157" s="152">
        <f>IF(G154&gt;0,IF(Assumptions!$H$12="Yes",Tax!G156*0.5,0),0)</f>
        <v>0</v>
      </c>
      <c r="H157" s="152">
        <f>IF(H154&gt;0,IF(Assumptions!$H$12="Yes",Tax!H156*0.5,0),0)</f>
        <v>0</v>
      </c>
      <c r="I157" s="152">
        <f>IF(I154&gt;0,IF(Assumptions!$H$12="Yes",Tax!I156*0.5,0),0)</f>
        <v>0</v>
      </c>
      <c r="J157" s="152">
        <f>IF(J154&gt;0,IF(Assumptions!$H$12="Yes",Tax!J156*0.5,0),0)</f>
        <v>0</v>
      </c>
      <c r="K157" s="152">
        <f>IF(K154&gt;0,IF(Assumptions!$H$12="Yes",Tax!K156*0.5,0),0)</f>
        <v>0</v>
      </c>
      <c r="L157" s="152">
        <f>IF(L154&gt;0,IF(Assumptions!$H$12="Yes",Tax!L156*0.5,0),0)</f>
        <v>0</v>
      </c>
      <c r="M157" s="152">
        <f>IF(M154&gt;0,IF(Assumptions!$H$12="Yes",Tax!M156*0.5,0),0)</f>
        <v>0</v>
      </c>
      <c r="N157" s="152">
        <f>IF(N154&gt;0,IF(Assumptions!$H$12="Yes",Tax!N156*0.5,0),0)</f>
        <v>0</v>
      </c>
      <c r="O157" s="152">
        <f>IF(O154&gt;0,IF(Assumptions!$H$12="Yes",Tax!O156*0.5,0),0)</f>
        <v>0</v>
      </c>
      <c r="P157" s="152">
        <f>IF(P154&gt;0,IF(Assumptions!$H$12="Yes",Tax!P156*0.5,0),0)</f>
        <v>0</v>
      </c>
      <c r="Q157" s="152">
        <f>IF(Q154&gt;0,IF(Assumptions!$H$12="Yes",Tax!Q156*0.5,0),0)</f>
        <v>0</v>
      </c>
      <c r="R157" s="152">
        <f>IF(R154&gt;0,IF(Assumptions!$H$12="Yes",Tax!R156*0.5,0),0)</f>
        <v>0</v>
      </c>
      <c r="S157" s="152">
        <f>IF(S154&gt;0,IF(Assumptions!$H$12="Yes",Tax!S156*0.5,0),0)</f>
        <v>0</v>
      </c>
      <c r="T157" s="152">
        <f>IF(T154&gt;0,IF(Assumptions!$H$12="Yes",Tax!T156*0.5,0),0)</f>
        <v>0</v>
      </c>
      <c r="U157" s="152">
        <f>IF(U154&gt;0,IF(Assumptions!$H$12="Yes",Tax!U156*0.5,0),0)</f>
        <v>0</v>
      </c>
      <c r="V157" s="152">
        <f>IF(V154&gt;0,IF(Assumptions!$H$12="Yes",Tax!V156*0.5,0),0)</f>
        <v>0</v>
      </c>
      <c r="W157" s="152">
        <f>IF(W154&gt;0,IF(Assumptions!$H$12="Yes",Tax!W156*0.5,0),0)</f>
        <v>0</v>
      </c>
      <c r="X157" s="152">
        <f>IF(X154&gt;0,IF(Assumptions!$H$12="Yes",Tax!X156*0.5,0),0)</f>
        <v>0</v>
      </c>
    </row>
    <row r="158" spans="1:24" s="9" customFormat="1" ht="11.25">
      <c r="A158" s="1" t="s">
        <v>404</v>
      </c>
      <c r="B158" s="1"/>
      <c r="C158" s="435">
        <f t="shared" ref="C158:X158" si="60">C156-C157</f>
        <v>2700.9607599427527</v>
      </c>
      <c r="D158" s="435">
        <f t="shared" si="60"/>
        <v>5401.9215198855054</v>
      </c>
      <c r="E158" s="435">
        <f t="shared" si="60"/>
        <v>0</v>
      </c>
      <c r="F158" s="435">
        <f t="shared" si="60"/>
        <v>0</v>
      </c>
      <c r="G158" s="435">
        <f t="shared" si="60"/>
        <v>0</v>
      </c>
      <c r="H158" s="435">
        <f t="shared" si="60"/>
        <v>0</v>
      </c>
      <c r="I158" s="435">
        <f t="shared" si="60"/>
        <v>0</v>
      </c>
      <c r="J158" s="435">
        <f t="shared" si="60"/>
        <v>0</v>
      </c>
      <c r="K158" s="435">
        <f t="shared" si="60"/>
        <v>0</v>
      </c>
      <c r="L158" s="435">
        <f t="shared" si="60"/>
        <v>0</v>
      </c>
      <c r="M158" s="435">
        <f t="shared" si="60"/>
        <v>0</v>
      </c>
      <c r="N158" s="435">
        <f t="shared" si="60"/>
        <v>0</v>
      </c>
      <c r="O158" s="435">
        <f t="shared" si="60"/>
        <v>0</v>
      </c>
      <c r="P158" s="435">
        <f t="shared" si="60"/>
        <v>0</v>
      </c>
      <c r="Q158" s="435">
        <f t="shared" si="60"/>
        <v>0</v>
      </c>
      <c r="R158" s="435">
        <f t="shared" si="60"/>
        <v>0</v>
      </c>
      <c r="S158" s="435">
        <f t="shared" si="60"/>
        <v>0</v>
      </c>
      <c r="T158" s="435">
        <f t="shared" si="60"/>
        <v>0</v>
      </c>
      <c r="U158" s="435">
        <f t="shared" si="60"/>
        <v>0</v>
      </c>
      <c r="V158" s="435">
        <f t="shared" si="60"/>
        <v>0</v>
      </c>
      <c r="W158" s="435">
        <f t="shared" si="60"/>
        <v>0</v>
      </c>
      <c r="X158" s="435">
        <f t="shared" si="60"/>
        <v>0</v>
      </c>
    </row>
    <row r="159" spans="1:24" s="9" customFormat="1" ht="11.25">
      <c r="A159" s="1" t="s">
        <v>39</v>
      </c>
      <c r="B159" s="1"/>
      <c r="C159" s="433">
        <f t="shared" ref="C159:R159" si="61">IF(B160=0,0,IF(C187&lt;0,0,C193))</f>
        <v>0</v>
      </c>
      <c r="D159" s="433">
        <f t="shared" si="61"/>
        <v>5401.9215198855054</v>
      </c>
      <c r="E159" s="433">
        <f t="shared" si="61"/>
        <v>0</v>
      </c>
      <c r="F159" s="433">
        <f t="shared" si="61"/>
        <v>0</v>
      </c>
      <c r="G159" s="433">
        <f t="shared" si="61"/>
        <v>0</v>
      </c>
      <c r="H159" s="433">
        <f t="shared" si="61"/>
        <v>0</v>
      </c>
      <c r="I159" s="433">
        <f t="shared" si="61"/>
        <v>0</v>
      </c>
      <c r="J159" s="433">
        <f t="shared" si="61"/>
        <v>0</v>
      </c>
      <c r="K159" s="433">
        <f t="shared" si="61"/>
        <v>0</v>
      </c>
      <c r="L159" s="433">
        <f t="shared" si="61"/>
        <v>0</v>
      </c>
      <c r="M159" s="433">
        <f t="shared" si="61"/>
        <v>0</v>
      </c>
      <c r="N159" s="433">
        <f t="shared" si="61"/>
        <v>0</v>
      </c>
      <c r="O159" s="433">
        <f t="shared" si="61"/>
        <v>0</v>
      </c>
      <c r="P159" s="433">
        <f t="shared" si="61"/>
        <v>0</v>
      </c>
      <c r="Q159" s="433">
        <f t="shared" si="61"/>
        <v>0</v>
      </c>
      <c r="R159" s="433">
        <f t="shared" si="61"/>
        <v>0</v>
      </c>
      <c r="S159" s="433">
        <f t="shared" ref="S159:X159" si="62">IF(R160=0,0,IF(S187&lt;0,0,S193))</f>
        <v>0</v>
      </c>
      <c r="T159" s="433">
        <f t="shared" si="62"/>
        <v>0</v>
      </c>
      <c r="U159" s="433">
        <f t="shared" si="62"/>
        <v>0</v>
      </c>
      <c r="V159" s="433">
        <f t="shared" si="62"/>
        <v>0</v>
      </c>
      <c r="W159" s="433">
        <f t="shared" si="62"/>
        <v>0</v>
      </c>
      <c r="X159" s="433">
        <f t="shared" si="62"/>
        <v>0</v>
      </c>
    </row>
    <row r="160" spans="1:24" s="9" customFormat="1" ht="11.25">
      <c r="A160" s="1" t="s">
        <v>405</v>
      </c>
      <c r="B160" s="1"/>
      <c r="C160" s="435">
        <f>C156-C159</f>
        <v>5401.9215198855054</v>
      </c>
      <c r="D160" s="435">
        <f t="shared" ref="D160:X160" si="63">D156-D159</f>
        <v>0</v>
      </c>
      <c r="E160" s="435">
        <f t="shared" si="63"/>
        <v>0</v>
      </c>
      <c r="F160" s="435">
        <f t="shared" si="63"/>
        <v>0</v>
      </c>
      <c r="G160" s="435">
        <f t="shared" si="63"/>
        <v>0</v>
      </c>
      <c r="H160" s="435">
        <f t="shared" si="63"/>
        <v>0</v>
      </c>
      <c r="I160" s="435">
        <f t="shared" si="63"/>
        <v>0</v>
      </c>
      <c r="J160" s="435">
        <f t="shared" si="63"/>
        <v>0</v>
      </c>
      <c r="K160" s="435">
        <f t="shared" si="63"/>
        <v>0</v>
      </c>
      <c r="L160" s="435">
        <f t="shared" si="63"/>
        <v>0</v>
      </c>
      <c r="M160" s="435">
        <f t="shared" si="63"/>
        <v>0</v>
      </c>
      <c r="N160" s="435">
        <f t="shared" si="63"/>
        <v>0</v>
      </c>
      <c r="O160" s="435">
        <f t="shared" si="63"/>
        <v>0</v>
      </c>
      <c r="P160" s="435">
        <f t="shared" si="63"/>
        <v>0</v>
      </c>
      <c r="Q160" s="435">
        <f t="shared" si="63"/>
        <v>0</v>
      </c>
      <c r="R160" s="435">
        <f t="shared" si="63"/>
        <v>0</v>
      </c>
      <c r="S160" s="435">
        <f t="shared" si="63"/>
        <v>0</v>
      </c>
      <c r="T160" s="435">
        <f t="shared" si="63"/>
        <v>0</v>
      </c>
      <c r="U160" s="435">
        <f t="shared" si="63"/>
        <v>0</v>
      </c>
      <c r="V160" s="435">
        <f t="shared" si="63"/>
        <v>0</v>
      </c>
      <c r="W160" s="435">
        <f t="shared" si="63"/>
        <v>0</v>
      </c>
      <c r="X160" s="435">
        <f t="shared" si="63"/>
        <v>0</v>
      </c>
    </row>
    <row r="161" spans="1:24" s="9" customFormat="1" ht="11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s="9" customFormat="1" ht="11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s="9" customFormat="1" ht="11.25">
      <c r="A163" s="77" t="s">
        <v>409</v>
      </c>
      <c r="B163" s="1"/>
      <c r="C163" s="432">
        <v>0.08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s="9" customFormat="1" ht="11.25">
      <c r="B164" s="1"/>
      <c r="C164" s="436"/>
      <c r="D164" s="436"/>
      <c r="E164" s="436"/>
      <c r="F164" s="436"/>
      <c r="G164" s="436"/>
      <c r="H164" s="436"/>
      <c r="I164" s="436"/>
      <c r="J164" s="436"/>
      <c r="K164" s="436"/>
      <c r="L164" s="436"/>
      <c r="M164" s="436"/>
      <c r="N164" s="436"/>
      <c r="O164" s="436"/>
      <c r="P164" s="436"/>
      <c r="Q164" s="436"/>
      <c r="R164" s="436"/>
      <c r="S164" s="436"/>
      <c r="T164" s="436"/>
      <c r="U164" s="436"/>
      <c r="V164" s="436"/>
      <c r="W164" s="436"/>
      <c r="X164" s="436"/>
    </row>
    <row r="165" spans="1:24" s="9" customFormat="1" ht="11.25">
      <c r="A165" s="1" t="s">
        <v>401</v>
      </c>
      <c r="B165" s="1"/>
      <c r="C165" s="1">
        <v>0</v>
      </c>
      <c r="D165" s="433">
        <f>C172</f>
        <v>0</v>
      </c>
      <c r="E165" s="433">
        <f t="shared" ref="E165:X165" si="64">D172</f>
        <v>0</v>
      </c>
      <c r="F165" s="433">
        <f t="shared" si="64"/>
        <v>0</v>
      </c>
      <c r="G165" s="433">
        <f t="shared" si="64"/>
        <v>0</v>
      </c>
      <c r="H165" s="433">
        <f t="shared" si="64"/>
        <v>0</v>
      </c>
      <c r="I165" s="433">
        <f t="shared" si="64"/>
        <v>0</v>
      </c>
      <c r="J165" s="433">
        <f t="shared" si="64"/>
        <v>0</v>
      </c>
      <c r="K165" s="433">
        <f t="shared" si="64"/>
        <v>0</v>
      </c>
      <c r="L165" s="433">
        <f t="shared" si="64"/>
        <v>0</v>
      </c>
      <c r="M165" s="433">
        <f t="shared" si="64"/>
        <v>0</v>
      </c>
      <c r="N165" s="433">
        <f t="shared" si="64"/>
        <v>0</v>
      </c>
      <c r="O165" s="433">
        <f t="shared" si="64"/>
        <v>0</v>
      </c>
      <c r="P165" s="433">
        <f t="shared" si="64"/>
        <v>0</v>
      </c>
      <c r="Q165" s="433">
        <f t="shared" si="64"/>
        <v>0</v>
      </c>
      <c r="R165" s="433">
        <f t="shared" si="64"/>
        <v>0</v>
      </c>
      <c r="S165" s="433">
        <f t="shared" si="64"/>
        <v>0</v>
      </c>
      <c r="T165" s="433">
        <f t="shared" si="64"/>
        <v>0</v>
      </c>
      <c r="U165" s="433">
        <f t="shared" si="64"/>
        <v>0</v>
      </c>
      <c r="V165" s="433">
        <f t="shared" si="64"/>
        <v>0</v>
      </c>
      <c r="W165" s="433">
        <f t="shared" si="64"/>
        <v>0</v>
      </c>
      <c r="X165" s="433">
        <f t="shared" si="64"/>
        <v>0</v>
      </c>
    </row>
    <row r="166" spans="1:24" s="9" customFormat="1" ht="11.25">
      <c r="A166" s="1" t="s">
        <v>37</v>
      </c>
      <c r="B166" s="1"/>
      <c r="C166" s="434">
        <f>IF(C$116=YEAR(Cashflow!$C$3),((Assumptions!$E$10-Assumptions!$E$5)*Assumptions!$H$10),0)</f>
        <v>0</v>
      </c>
      <c r="D166" s="434">
        <f>IF(D$116=YEAR(Cashflow!$C$3),((Assumptions!$E$10-Assumptions!$E$5)*Assumptions!$H$10),0)</f>
        <v>0</v>
      </c>
      <c r="E166" s="434">
        <f>IF(E$116=YEAR(Cashflow!$C$3),((Assumptions!$E$10-Assumptions!$E$5)*Assumptions!$H$10),0)</f>
        <v>0</v>
      </c>
      <c r="F166" s="434">
        <f>IF(F$116=YEAR(Cashflow!$C$3),((Assumptions!$E$10-Assumptions!$E$5)*Assumptions!$H$10),0)</f>
        <v>0</v>
      </c>
      <c r="G166" s="434">
        <f>IF(G$116=YEAR(Cashflow!$C$3),((Assumptions!$E$10-Assumptions!$E$5)*Assumptions!$H$10),0)</f>
        <v>0</v>
      </c>
      <c r="H166" s="434">
        <f>IF(H$116=YEAR(Cashflow!$C$3),((Assumptions!$E$10-Assumptions!$E$5)*Assumptions!$H$10),0)</f>
        <v>0</v>
      </c>
      <c r="I166" s="434">
        <f>IF(I$116=YEAR(Cashflow!$C$3),((Assumptions!$E$10-Assumptions!$E$5)*Assumptions!$H$10),0)</f>
        <v>0</v>
      </c>
      <c r="J166" s="434">
        <f>IF(J$116=YEAR(Cashflow!$C$3),((Assumptions!$E$10-Assumptions!$E$5)*Assumptions!$H$10),0)</f>
        <v>0</v>
      </c>
      <c r="K166" s="434">
        <f>IF(K$116=YEAR(Cashflow!$C$3),((Assumptions!$E$10-Assumptions!$E$5)*Assumptions!$H$10),0)</f>
        <v>0</v>
      </c>
      <c r="L166" s="434">
        <f>IF(L$116=YEAR(Cashflow!$C$3),((Assumptions!$E$10-Assumptions!$E$5)*Assumptions!$H$10),0)</f>
        <v>0</v>
      </c>
      <c r="M166" s="434">
        <f>IF(M$116=YEAR(Cashflow!$C$3),((Assumptions!$E$10-Assumptions!$E$5)*Assumptions!$H$10),0)</f>
        <v>0</v>
      </c>
      <c r="N166" s="434">
        <f>IF(N$116=YEAR(Cashflow!$C$3),((Assumptions!$E$10-Assumptions!$E$5)*Assumptions!$H$10),0)</f>
        <v>0</v>
      </c>
      <c r="O166" s="434">
        <f>IF(O$116=YEAR(Cashflow!$C$3),((Assumptions!$E$10-Assumptions!$E$5)*Assumptions!$H$10),0)</f>
        <v>0</v>
      </c>
      <c r="P166" s="434">
        <f>IF(P$116=YEAR(Cashflow!$C$3),((Assumptions!$E$10-Assumptions!$E$5)*Assumptions!$H$10),0)</f>
        <v>0</v>
      </c>
      <c r="Q166" s="434">
        <f>IF(Q$116=YEAR(Cashflow!$C$3),((Assumptions!$E$10-Assumptions!$E$5)*Assumptions!$H$10),0)</f>
        <v>0</v>
      </c>
      <c r="R166" s="434">
        <f>IF(R$116=YEAR(Cashflow!$C$3),((Assumptions!$E$10-Assumptions!$E$5)*Assumptions!$H$10),0)</f>
        <v>0</v>
      </c>
      <c r="S166" s="434">
        <f>IF(S$116=YEAR(Cashflow!$C$3),((Assumptions!$E$10-Assumptions!$E$5)*Assumptions!$H$10),0)</f>
        <v>0</v>
      </c>
      <c r="T166" s="434">
        <f>IF(T$116=YEAR(Cashflow!$C$3),((Assumptions!$E$10-Assumptions!$E$5)*Assumptions!$H$10),0)</f>
        <v>0</v>
      </c>
      <c r="U166" s="434">
        <f>IF(U$116=YEAR(Cashflow!$C$3),((Assumptions!$E$10-Assumptions!$E$5)*Assumptions!$H$10),0)</f>
        <v>0</v>
      </c>
      <c r="V166" s="434">
        <f>IF(V$116=YEAR(Cashflow!$C$3),((Assumptions!$E$10-Assumptions!$E$5)*Assumptions!$H$10),0)</f>
        <v>0</v>
      </c>
      <c r="W166" s="434">
        <f>IF(W$116=YEAR(Cashflow!$C$3),((Assumptions!$E$10-Assumptions!$E$5)*Assumptions!$H$10),0)</f>
        <v>0</v>
      </c>
      <c r="X166" s="434">
        <f>IF(X$116=YEAR(Cashflow!$C$3),((Assumptions!$E$10-Assumptions!$E$5)*Assumptions!$H$10),0)</f>
        <v>0</v>
      </c>
    </row>
    <row r="167" spans="1:24" s="9" customFormat="1" ht="11.25">
      <c r="A167" s="1" t="s">
        <v>402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s="9" customFormat="1" ht="11.25">
      <c r="A168" s="1" t="s">
        <v>403</v>
      </c>
      <c r="B168" s="1"/>
      <c r="C168" s="433">
        <f t="shared" ref="C168:X168" si="65">C165+C166-C167</f>
        <v>0</v>
      </c>
      <c r="D168" s="433">
        <f t="shared" si="65"/>
        <v>0</v>
      </c>
      <c r="E168" s="433">
        <f t="shared" si="65"/>
        <v>0</v>
      </c>
      <c r="F168" s="433">
        <f t="shared" si="65"/>
        <v>0</v>
      </c>
      <c r="G168" s="433">
        <f t="shared" si="65"/>
        <v>0</v>
      </c>
      <c r="H168" s="433">
        <f t="shared" si="65"/>
        <v>0</v>
      </c>
      <c r="I168" s="433">
        <f t="shared" si="65"/>
        <v>0</v>
      </c>
      <c r="J168" s="433">
        <f t="shared" si="65"/>
        <v>0</v>
      </c>
      <c r="K168" s="433">
        <f t="shared" si="65"/>
        <v>0</v>
      </c>
      <c r="L168" s="433">
        <f t="shared" si="65"/>
        <v>0</v>
      </c>
      <c r="M168" s="433">
        <f t="shared" si="65"/>
        <v>0</v>
      </c>
      <c r="N168" s="433">
        <f t="shared" si="65"/>
        <v>0</v>
      </c>
      <c r="O168" s="433">
        <f t="shared" si="65"/>
        <v>0</v>
      </c>
      <c r="P168" s="433">
        <f t="shared" si="65"/>
        <v>0</v>
      </c>
      <c r="Q168" s="433">
        <f t="shared" si="65"/>
        <v>0</v>
      </c>
      <c r="R168" s="433">
        <f t="shared" si="65"/>
        <v>0</v>
      </c>
      <c r="S168" s="433">
        <f t="shared" si="65"/>
        <v>0</v>
      </c>
      <c r="T168" s="433">
        <f t="shared" si="65"/>
        <v>0</v>
      </c>
      <c r="U168" s="433">
        <f t="shared" si="65"/>
        <v>0</v>
      </c>
      <c r="V168" s="433">
        <f t="shared" si="65"/>
        <v>0</v>
      </c>
      <c r="W168" s="433">
        <f t="shared" si="65"/>
        <v>0</v>
      </c>
      <c r="X168" s="433">
        <f t="shared" si="65"/>
        <v>0</v>
      </c>
    </row>
    <row r="169" spans="1:24" s="9" customFormat="1" ht="11.25">
      <c r="A169" s="1" t="s">
        <v>38</v>
      </c>
      <c r="B169" s="1"/>
      <c r="C169" s="1">
        <f>IF(C166=0,0,IF([9]Assumptions!$F$47="Yes",[9]Tax!C167*0.5))</f>
        <v>0</v>
      </c>
      <c r="D169" s="1">
        <f>IF(D166=0,0,IF([9]Assumptions!$F$47="Yes",[9]Tax!D167*0.5))</f>
        <v>0</v>
      </c>
      <c r="E169" s="152">
        <f>IF(E166=0,0,IF([9]Assumptions!$F$47="Yes",[9]Tax!E167*0.5))</f>
        <v>0</v>
      </c>
      <c r="F169" s="152">
        <f>IF(F166=0,0,IF([9]Assumptions!$F$47="Yes",[9]Tax!F167*0.5))</f>
        <v>0</v>
      </c>
      <c r="G169" s="152">
        <f>IF(G166=0,0,IF([9]Assumptions!$F$47="Yes",[9]Tax!G167*0.5))</f>
        <v>0</v>
      </c>
      <c r="H169" s="152">
        <f>IF(H166=0,0,IF([9]Assumptions!$F$47="Yes",[9]Tax!H167*0.5))</f>
        <v>0</v>
      </c>
      <c r="I169" s="152">
        <f>IF(I166=0,0,IF([9]Assumptions!$F$47="Yes",[9]Tax!I167*0.5))</f>
        <v>0</v>
      </c>
      <c r="J169" s="152">
        <f>IF(J166=0,0,IF([9]Assumptions!$F$47="Yes",[9]Tax!J167*0.5))</f>
        <v>0</v>
      </c>
      <c r="K169" s="152">
        <f>IF(K166=0,0,IF([9]Assumptions!$F$47="Yes",[9]Tax!K167*0.5))</f>
        <v>0</v>
      </c>
      <c r="L169" s="152">
        <f>IF(L166=0,0,IF([9]Assumptions!$F$47="Yes",[9]Tax!L167*0.5))</f>
        <v>0</v>
      </c>
      <c r="M169" s="152">
        <f>IF(M166=0,0,IF([9]Assumptions!$F$47="Yes",[9]Tax!M167*0.5))</f>
        <v>0</v>
      </c>
      <c r="N169" s="152">
        <f>IF(N166=0,0,IF([9]Assumptions!$F$47="Yes",[9]Tax!N167*0.5))</f>
        <v>0</v>
      </c>
      <c r="O169" s="152">
        <f>IF(O166=0,0,IF([9]Assumptions!$F$47="Yes",[9]Tax!O167*0.5))</f>
        <v>0</v>
      </c>
      <c r="P169" s="152">
        <f>IF(P166=0,0,IF([9]Assumptions!$F$47="Yes",[9]Tax!P167*0.5))</f>
        <v>0</v>
      </c>
      <c r="Q169" s="152">
        <f>IF(Q166=0,0,IF([9]Assumptions!$F$47="Yes",[9]Tax!Q167*0.5))</f>
        <v>0</v>
      </c>
      <c r="R169" s="152">
        <f>IF(R166=0,0,IF([9]Assumptions!$F$47="Yes",[9]Tax!R167*0.5))</f>
        <v>0</v>
      </c>
      <c r="S169" s="152">
        <f>IF(S166=0,0,IF([9]Assumptions!$F$47="Yes",[9]Tax!S167*0.5))</f>
        <v>0</v>
      </c>
      <c r="T169" s="152">
        <f>IF(T166=0,0,IF([9]Assumptions!$F$47="Yes",[9]Tax!T167*0.5))</f>
        <v>0</v>
      </c>
      <c r="U169" s="152">
        <f>IF(U166=0,0,IF([9]Assumptions!$F$47="Yes",[9]Tax!U167*0.5))</f>
        <v>0</v>
      </c>
      <c r="V169" s="152">
        <f>IF(V166=0,0,IF([9]Assumptions!$F$47="Yes",[9]Tax!V167*0.5))</f>
        <v>0</v>
      </c>
      <c r="W169" s="152">
        <f>IF(W166=0,0,IF([9]Assumptions!$F$47="Yes",[9]Tax!W167*0.5))</f>
        <v>0</v>
      </c>
      <c r="X169" s="152">
        <f>IF(X166=0,0,IF([9]Assumptions!$F$47="Yes",[9]Tax!X167*0.5))</f>
        <v>0</v>
      </c>
    </row>
    <row r="170" spans="1:24" s="9" customFormat="1" ht="11.25">
      <c r="A170" s="1" t="s">
        <v>404</v>
      </c>
      <c r="B170" s="1"/>
      <c r="C170" s="152">
        <f>IF(C167&gt;0,IF(Assumptions!$H$12="Yes",Tax!C169*0.5,0),0)</f>
        <v>0</v>
      </c>
      <c r="D170" s="152">
        <f>IF(D167&gt;0,IF(Assumptions!$H$12="Yes",Tax!D169*0.5,0),0)</f>
        <v>0</v>
      </c>
      <c r="E170" s="152">
        <f>IF(E167&gt;0,IF(Assumptions!$H$12="Yes",Tax!E169*0.5,0),0)</f>
        <v>0</v>
      </c>
      <c r="F170" s="152">
        <f>IF(F167&gt;0,IF(Assumptions!$H$12="Yes",Tax!F169*0.5,0),0)</f>
        <v>0</v>
      </c>
      <c r="G170" s="152">
        <f>IF(G167&gt;0,IF(Assumptions!$H$12="Yes",Tax!G169*0.5,0),0)</f>
        <v>0</v>
      </c>
      <c r="H170" s="152">
        <f>IF(H167&gt;0,IF(Assumptions!$H$12="Yes",Tax!H169*0.5,0),0)</f>
        <v>0</v>
      </c>
      <c r="I170" s="152">
        <f>IF(I167&gt;0,IF(Assumptions!$H$12="Yes",Tax!I169*0.5,0),0)</f>
        <v>0</v>
      </c>
      <c r="J170" s="152">
        <f>IF(J167&gt;0,IF(Assumptions!$H$12="Yes",Tax!J169*0.5,0),0)</f>
        <v>0</v>
      </c>
      <c r="K170" s="152">
        <f>IF(K167&gt;0,IF(Assumptions!$H$12="Yes",Tax!K169*0.5,0),0)</f>
        <v>0</v>
      </c>
      <c r="L170" s="152">
        <f>IF(L167&gt;0,IF(Assumptions!$H$12="Yes",Tax!L169*0.5,0),0)</f>
        <v>0</v>
      </c>
      <c r="M170" s="152">
        <f>IF(M167&gt;0,IF(Assumptions!$H$12="Yes",Tax!M169*0.5,0),0)</f>
        <v>0</v>
      </c>
      <c r="N170" s="152">
        <f>IF(N167&gt;0,IF(Assumptions!$H$12="Yes",Tax!N169*0.5,0),0)</f>
        <v>0</v>
      </c>
      <c r="O170" s="152">
        <f>IF(O167&gt;0,IF(Assumptions!$H$12="Yes",Tax!O169*0.5,0),0)</f>
        <v>0</v>
      </c>
      <c r="P170" s="152">
        <f>IF(P167&gt;0,IF(Assumptions!$H$12="Yes",Tax!P169*0.5,0),0)</f>
        <v>0</v>
      </c>
      <c r="Q170" s="152">
        <f>IF(Q167&gt;0,IF(Assumptions!$H$12="Yes",Tax!Q169*0.5,0),0)</f>
        <v>0</v>
      </c>
      <c r="R170" s="152">
        <f>IF(R167&gt;0,IF(Assumptions!$H$12="Yes",Tax!R169*0.5,0),0)</f>
        <v>0</v>
      </c>
      <c r="S170" s="152">
        <f>IF(S167&gt;0,IF(Assumptions!$H$12="Yes",Tax!S169*0.5,0),0)</f>
        <v>0</v>
      </c>
      <c r="T170" s="152">
        <f>IF(T167&gt;0,IF(Assumptions!$H$12="Yes",Tax!T169*0.5,0),0)</f>
        <v>0</v>
      </c>
      <c r="U170" s="152">
        <f>IF(U167&gt;0,IF(Assumptions!$H$12="Yes",Tax!U169*0.5,0),0)</f>
        <v>0</v>
      </c>
      <c r="V170" s="152">
        <f>IF(V167&gt;0,IF(Assumptions!$H$12="Yes",Tax!V169*0.5,0),0)</f>
        <v>0</v>
      </c>
      <c r="W170" s="152">
        <f>IF(W167&gt;0,IF(Assumptions!$H$12="Yes",Tax!W169*0.5,0),0)</f>
        <v>0</v>
      </c>
      <c r="X170" s="152">
        <f>IF(X167&gt;0,IF(Assumptions!$H$12="Yes",Tax!X169*0.5,0),0)</f>
        <v>0</v>
      </c>
    </row>
    <row r="171" spans="1:24" s="9" customFormat="1" ht="11.25">
      <c r="A171" s="1" t="s">
        <v>39</v>
      </c>
      <c r="B171" s="1"/>
      <c r="C171" s="433">
        <f t="shared" ref="C171:R171" si="66">IF(B172=0,0,IF(C187&lt;0,0,C194))</f>
        <v>0</v>
      </c>
      <c r="D171" s="433">
        <f t="shared" si="66"/>
        <v>0</v>
      </c>
      <c r="E171" s="433">
        <f t="shared" si="66"/>
        <v>0</v>
      </c>
      <c r="F171" s="433">
        <f t="shared" si="66"/>
        <v>0</v>
      </c>
      <c r="G171" s="433">
        <f t="shared" si="66"/>
        <v>0</v>
      </c>
      <c r="H171" s="433">
        <f t="shared" si="66"/>
        <v>0</v>
      </c>
      <c r="I171" s="433">
        <f t="shared" si="66"/>
        <v>0</v>
      </c>
      <c r="J171" s="433">
        <f t="shared" si="66"/>
        <v>0</v>
      </c>
      <c r="K171" s="433">
        <f t="shared" si="66"/>
        <v>0</v>
      </c>
      <c r="L171" s="433">
        <f t="shared" si="66"/>
        <v>0</v>
      </c>
      <c r="M171" s="433">
        <f t="shared" si="66"/>
        <v>0</v>
      </c>
      <c r="N171" s="433">
        <f t="shared" si="66"/>
        <v>0</v>
      </c>
      <c r="O171" s="433">
        <f t="shared" si="66"/>
        <v>0</v>
      </c>
      <c r="P171" s="433">
        <f t="shared" si="66"/>
        <v>0</v>
      </c>
      <c r="Q171" s="433">
        <f t="shared" si="66"/>
        <v>0</v>
      </c>
      <c r="R171" s="433">
        <f t="shared" si="66"/>
        <v>0</v>
      </c>
      <c r="S171" s="433">
        <f t="shared" ref="S171:X171" si="67">IF(R172=0,0,IF(S187&lt;0,0,S194))</f>
        <v>0</v>
      </c>
      <c r="T171" s="433">
        <f t="shared" si="67"/>
        <v>0</v>
      </c>
      <c r="U171" s="433">
        <f t="shared" si="67"/>
        <v>0</v>
      </c>
      <c r="V171" s="433">
        <f t="shared" si="67"/>
        <v>0</v>
      </c>
      <c r="W171" s="433">
        <f t="shared" si="67"/>
        <v>0</v>
      </c>
      <c r="X171" s="433">
        <f t="shared" si="67"/>
        <v>0</v>
      </c>
    </row>
    <row r="172" spans="1:24" s="9" customFormat="1" ht="11.25">
      <c r="A172" s="1" t="s">
        <v>405</v>
      </c>
      <c r="B172" s="1"/>
      <c r="C172" s="435">
        <f>C168-C171</f>
        <v>0</v>
      </c>
      <c r="D172" s="435">
        <f t="shared" ref="D172:X172" si="68">D168-D171</f>
        <v>0</v>
      </c>
      <c r="E172" s="435">
        <f t="shared" si="68"/>
        <v>0</v>
      </c>
      <c r="F172" s="435">
        <f t="shared" si="68"/>
        <v>0</v>
      </c>
      <c r="G172" s="435">
        <f t="shared" si="68"/>
        <v>0</v>
      </c>
      <c r="H172" s="435">
        <f t="shared" si="68"/>
        <v>0</v>
      </c>
      <c r="I172" s="435">
        <f t="shared" si="68"/>
        <v>0</v>
      </c>
      <c r="J172" s="435">
        <f t="shared" si="68"/>
        <v>0</v>
      </c>
      <c r="K172" s="435">
        <f t="shared" si="68"/>
        <v>0</v>
      </c>
      <c r="L172" s="435">
        <f t="shared" si="68"/>
        <v>0</v>
      </c>
      <c r="M172" s="435">
        <f t="shared" si="68"/>
        <v>0</v>
      </c>
      <c r="N172" s="435">
        <f t="shared" si="68"/>
        <v>0</v>
      </c>
      <c r="O172" s="435">
        <f t="shared" si="68"/>
        <v>0</v>
      </c>
      <c r="P172" s="435">
        <f t="shared" si="68"/>
        <v>0</v>
      </c>
      <c r="Q172" s="435">
        <f t="shared" si="68"/>
        <v>0</v>
      </c>
      <c r="R172" s="435">
        <f t="shared" si="68"/>
        <v>0</v>
      </c>
      <c r="S172" s="435">
        <f t="shared" si="68"/>
        <v>0</v>
      </c>
      <c r="T172" s="435">
        <f t="shared" si="68"/>
        <v>0</v>
      </c>
      <c r="U172" s="435">
        <f t="shared" si="68"/>
        <v>0</v>
      </c>
      <c r="V172" s="435">
        <f t="shared" si="68"/>
        <v>0</v>
      </c>
      <c r="W172" s="435">
        <f t="shared" si="68"/>
        <v>0</v>
      </c>
      <c r="X172" s="435">
        <f t="shared" si="68"/>
        <v>0</v>
      </c>
    </row>
    <row r="173" spans="1:24" s="9" customFormat="1" ht="11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s="9" customFormat="1" ht="11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s="9" customFormat="1" ht="11.25">
      <c r="A175" s="77" t="s">
        <v>410</v>
      </c>
      <c r="B175" s="1"/>
      <c r="C175" s="432">
        <v>0.3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s="9" customFormat="1" ht="11.25">
      <c r="B176" s="1"/>
      <c r="C176" s="436"/>
      <c r="D176" s="436"/>
      <c r="E176" s="436"/>
      <c r="F176" s="436"/>
      <c r="G176" s="436"/>
      <c r="H176" s="436"/>
      <c r="I176" s="436"/>
      <c r="J176" s="436"/>
      <c r="K176" s="436"/>
      <c r="L176" s="436"/>
      <c r="M176" s="436"/>
      <c r="N176" s="436"/>
      <c r="O176" s="436"/>
      <c r="P176" s="436"/>
      <c r="Q176" s="436"/>
      <c r="R176" s="436"/>
      <c r="S176" s="436"/>
      <c r="T176" s="436"/>
      <c r="U176" s="436"/>
      <c r="V176" s="436"/>
      <c r="W176" s="436"/>
      <c r="X176" s="436"/>
    </row>
    <row r="177" spans="1:24" s="9" customFormat="1" ht="11.25">
      <c r="A177" s="1" t="s">
        <v>401</v>
      </c>
      <c r="B177" s="1"/>
      <c r="C177" s="1">
        <v>0</v>
      </c>
      <c r="D177" s="433">
        <f>C184</f>
        <v>0</v>
      </c>
      <c r="E177" s="433">
        <f t="shared" ref="E177:X177" si="69">D184</f>
        <v>0</v>
      </c>
      <c r="F177" s="433">
        <f t="shared" si="69"/>
        <v>0</v>
      </c>
      <c r="G177" s="433">
        <f t="shared" si="69"/>
        <v>0</v>
      </c>
      <c r="H177" s="433">
        <f t="shared" si="69"/>
        <v>0</v>
      </c>
      <c r="I177" s="433">
        <f t="shared" si="69"/>
        <v>0</v>
      </c>
      <c r="J177" s="433">
        <f t="shared" si="69"/>
        <v>0</v>
      </c>
      <c r="K177" s="433">
        <f t="shared" si="69"/>
        <v>0</v>
      </c>
      <c r="L177" s="433">
        <f t="shared" si="69"/>
        <v>0</v>
      </c>
      <c r="M177" s="433">
        <f t="shared" si="69"/>
        <v>0</v>
      </c>
      <c r="N177" s="433">
        <f t="shared" si="69"/>
        <v>0</v>
      </c>
      <c r="O177" s="433">
        <f t="shared" si="69"/>
        <v>0</v>
      </c>
      <c r="P177" s="433">
        <f t="shared" si="69"/>
        <v>0</v>
      </c>
      <c r="Q177" s="433">
        <f t="shared" si="69"/>
        <v>0</v>
      </c>
      <c r="R177" s="433">
        <f t="shared" si="69"/>
        <v>0</v>
      </c>
      <c r="S177" s="433">
        <f t="shared" si="69"/>
        <v>0</v>
      </c>
      <c r="T177" s="433">
        <f t="shared" si="69"/>
        <v>0</v>
      </c>
      <c r="U177" s="433">
        <f t="shared" si="69"/>
        <v>0</v>
      </c>
      <c r="V177" s="433">
        <f t="shared" si="69"/>
        <v>0</v>
      </c>
      <c r="W177" s="433">
        <f t="shared" si="69"/>
        <v>0</v>
      </c>
      <c r="X177" s="433">
        <f t="shared" si="69"/>
        <v>0</v>
      </c>
    </row>
    <row r="178" spans="1:24" s="9" customFormat="1" ht="11.25">
      <c r="A178" s="1" t="s">
        <v>37</v>
      </c>
      <c r="B178" s="1"/>
      <c r="C178" s="434">
        <f>IF(C$116=YEAR(Cashflow!$C$3),((Assumptions!$E$10-Assumptions!$E$5)*Assumptions!$H$11),0)</f>
        <v>0</v>
      </c>
      <c r="D178" s="434">
        <f>IF(D$116=YEAR(Cashflow!$C$3),((Assumptions!$E$10-Assumptions!$E$5)*Assumptions!$H$11),0)</f>
        <v>0</v>
      </c>
      <c r="E178" s="434">
        <f>IF(E$116=YEAR(Cashflow!$C$3),((Assumptions!$E$10-Assumptions!$E$5)*Assumptions!$H$11),0)</f>
        <v>0</v>
      </c>
      <c r="F178" s="434">
        <f>IF(F$116=YEAR(Cashflow!$C$3),((Assumptions!$E$10-Assumptions!$E$5)*Assumptions!$H$11),0)</f>
        <v>0</v>
      </c>
      <c r="G178" s="434">
        <f>IF(G$116=YEAR(Cashflow!$C$3),((Assumptions!$E$10-Assumptions!$E$5)*Assumptions!$H$11),0)</f>
        <v>0</v>
      </c>
      <c r="H178" s="434">
        <f>IF(H$116=YEAR(Cashflow!$C$3),((Assumptions!$E$10-Assumptions!$E$5)*Assumptions!$H$11),0)</f>
        <v>0</v>
      </c>
      <c r="I178" s="434">
        <f>IF(I$116=YEAR(Cashflow!$C$3),((Assumptions!$E$10-Assumptions!$E$5)*Assumptions!$H$11),0)</f>
        <v>0</v>
      </c>
      <c r="J178" s="434">
        <f>IF(J$116=YEAR(Cashflow!$C$3),((Assumptions!$E$10-Assumptions!$E$5)*Assumptions!$H$11),0)</f>
        <v>0</v>
      </c>
      <c r="K178" s="434">
        <f>IF(K$116=YEAR(Cashflow!$C$3),((Assumptions!$E$10-Assumptions!$E$5)*Assumptions!$H$11),0)</f>
        <v>0</v>
      </c>
      <c r="L178" s="434">
        <f>IF(L$116=YEAR(Cashflow!$C$3),((Assumptions!$E$10-Assumptions!$E$5)*Assumptions!$H$11),0)</f>
        <v>0</v>
      </c>
      <c r="M178" s="434">
        <f>IF(M$116=YEAR(Cashflow!$C$3),((Assumptions!$E$10-Assumptions!$E$5)*Assumptions!$H$11),0)</f>
        <v>0</v>
      </c>
      <c r="N178" s="434">
        <f>IF(N$116=YEAR(Cashflow!$C$3),((Assumptions!$E$10-Assumptions!$E$5)*Assumptions!$H$11),0)</f>
        <v>0</v>
      </c>
      <c r="O178" s="434">
        <f>IF(O$116=YEAR(Cashflow!$C$3),((Assumptions!$E$10-Assumptions!$E$5)*Assumptions!$H$11),0)</f>
        <v>0</v>
      </c>
      <c r="P178" s="434">
        <f>IF(P$116=YEAR(Cashflow!$C$3),((Assumptions!$E$10-Assumptions!$E$5)*Assumptions!$H$11),0)</f>
        <v>0</v>
      </c>
      <c r="Q178" s="434">
        <f>IF(Q$116=YEAR(Cashflow!$C$3),((Assumptions!$E$10-Assumptions!$E$5)*Assumptions!$H$11),0)</f>
        <v>0</v>
      </c>
      <c r="R178" s="434">
        <f>IF(R$116=YEAR(Cashflow!$C$3),((Assumptions!$E$10-Assumptions!$E$5)*Assumptions!$H$11),0)</f>
        <v>0</v>
      </c>
      <c r="S178" s="434">
        <f>IF(S$116=YEAR(Cashflow!$C$3),((Assumptions!$E$10-Assumptions!$E$5)*Assumptions!$H$11),0)</f>
        <v>0</v>
      </c>
      <c r="T178" s="434">
        <f>IF(T$116=YEAR(Cashflow!$C$3),((Assumptions!$E$10-Assumptions!$E$5)*Assumptions!$H$11),0)</f>
        <v>0</v>
      </c>
      <c r="U178" s="434">
        <f>IF(U$116=YEAR(Cashflow!$C$3),((Assumptions!$E$10-Assumptions!$E$5)*Assumptions!$H$11),0)</f>
        <v>0</v>
      </c>
      <c r="V178" s="434">
        <f>IF(V$116=YEAR(Cashflow!$C$3),((Assumptions!$E$10-Assumptions!$E$5)*Assumptions!$H$11),0)</f>
        <v>0</v>
      </c>
      <c r="W178" s="434">
        <f>IF(W$116=YEAR(Cashflow!$C$3),((Assumptions!$E$10-Assumptions!$E$5)*Assumptions!$H$11),0)</f>
        <v>0</v>
      </c>
      <c r="X178" s="434">
        <f>IF(X$116=YEAR(Cashflow!$C$3),((Assumptions!$E$10-Assumptions!$E$5)*Assumptions!$H$11),0)</f>
        <v>0</v>
      </c>
    </row>
    <row r="179" spans="1:24" s="9" customFormat="1" ht="11.25">
      <c r="A179" s="1" t="s">
        <v>402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s="9" customFormat="1" ht="11.25">
      <c r="A180" s="1" t="s">
        <v>403</v>
      </c>
      <c r="B180" s="1"/>
      <c r="C180" s="433">
        <f t="shared" ref="C180:X180" si="70">C177+C178-C179</f>
        <v>0</v>
      </c>
      <c r="D180" s="433">
        <f t="shared" si="70"/>
        <v>0</v>
      </c>
      <c r="E180" s="433">
        <f t="shared" si="70"/>
        <v>0</v>
      </c>
      <c r="F180" s="433">
        <f t="shared" si="70"/>
        <v>0</v>
      </c>
      <c r="G180" s="433">
        <f t="shared" si="70"/>
        <v>0</v>
      </c>
      <c r="H180" s="433">
        <f t="shared" si="70"/>
        <v>0</v>
      </c>
      <c r="I180" s="433">
        <f t="shared" si="70"/>
        <v>0</v>
      </c>
      <c r="J180" s="433">
        <f t="shared" si="70"/>
        <v>0</v>
      </c>
      <c r="K180" s="433">
        <f t="shared" si="70"/>
        <v>0</v>
      </c>
      <c r="L180" s="433">
        <f t="shared" si="70"/>
        <v>0</v>
      </c>
      <c r="M180" s="433">
        <f t="shared" si="70"/>
        <v>0</v>
      </c>
      <c r="N180" s="433">
        <f t="shared" si="70"/>
        <v>0</v>
      </c>
      <c r="O180" s="433">
        <f t="shared" si="70"/>
        <v>0</v>
      </c>
      <c r="P180" s="433">
        <f t="shared" si="70"/>
        <v>0</v>
      </c>
      <c r="Q180" s="433">
        <f t="shared" si="70"/>
        <v>0</v>
      </c>
      <c r="R180" s="433">
        <f t="shared" si="70"/>
        <v>0</v>
      </c>
      <c r="S180" s="433">
        <f t="shared" si="70"/>
        <v>0</v>
      </c>
      <c r="T180" s="433">
        <f t="shared" si="70"/>
        <v>0</v>
      </c>
      <c r="U180" s="433">
        <f t="shared" si="70"/>
        <v>0</v>
      </c>
      <c r="V180" s="433">
        <f t="shared" si="70"/>
        <v>0</v>
      </c>
      <c r="W180" s="433">
        <f t="shared" si="70"/>
        <v>0</v>
      </c>
      <c r="X180" s="433">
        <f t="shared" si="70"/>
        <v>0</v>
      </c>
    </row>
    <row r="181" spans="1:24" s="9" customFormat="1" ht="11.25">
      <c r="A181" s="1" t="s">
        <v>38</v>
      </c>
      <c r="B181" s="1"/>
      <c r="C181" s="1">
        <f>IF(C178=0,0,IF([9]Assumptions!$F$47="Yes",[9]Tax!C179*0.5))</f>
        <v>0</v>
      </c>
      <c r="D181" s="1">
        <f>IF(D178=0,0,IF([9]Assumptions!$F$47="Yes",[9]Tax!D179*0.5))</f>
        <v>0</v>
      </c>
      <c r="E181" s="152">
        <f>IF(E178=0,0,IF([9]Assumptions!$F$47="Yes",[9]Tax!E179*0.5))</f>
        <v>0</v>
      </c>
      <c r="F181" s="152">
        <f>IF(F178=0,0,IF([9]Assumptions!$F$47="Yes",[9]Tax!F179*0.5))</f>
        <v>0</v>
      </c>
      <c r="G181" s="152">
        <f>IF(G178=0,0,IF([9]Assumptions!$F$47="Yes",[9]Tax!G179*0.5))</f>
        <v>0</v>
      </c>
      <c r="H181" s="152">
        <f>IF(H178=0,0,IF([9]Assumptions!$F$47="Yes",[9]Tax!H179*0.5))</f>
        <v>0</v>
      </c>
      <c r="I181" s="152">
        <f>IF(I178=0,0,IF([9]Assumptions!$F$47="Yes",[9]Tax!I179*0.5))</f>
        <v>0</v>
      </c>
      <c r="J181" s="152">
        <f>IF(J178=0,0,IF([9]Assumptions!$F$47="Yes",[9]Tax!J179*0.5))</f>
        <v>0</v>
      </c>
      <c r="K181" s="152">
        <f>IF(K178=0,0,IF([9]Assumptions!$F$47="Yes",[9]Tax!K179*0.5))</f>
        <v>0</v>
      </c>
      <c r="L181" s="152">
        <f>IF(L178=0,0,IF([9]Assumptions!$F$47="Yes",[9]Tax!L179*0.5))</f>
        <v>0</v>
      </c>
      <c r="M181" s="152">
        <f>IF(M178=0,0,IF([9]Assumptions!$F$47="Yes",[9]Tax!M179*0.5))</f>
        <v>0</v>
      </c>
      <c r="N181" s="152">
        <f>IF(N178=0,0,IF([9]Assumptions!$F$47="Yes",[9]Tax!N179*0.5))</f>
        <v>0</v>
      </c>
      <c r="O181" s="152">
        <f>IF(O178=0,0,IF([9]Assumptions!$F$47="Yes",[9]Tax!O179*0.5))</f>
        <v>0</v>
      </c>
      <c r="P181" s="152">
        <f>IF(P178=0,0,IF([9]Assumptions!$F$47="Yes",[9]Tax!P179*0.5))</f>
        <v>0</v>
      </c>
      <c r="Q181" s="152">
        <f>IF(Q178=0,0,IF([9]Assumptions!$F$47="Yes",[9]Tax!Q179*0.5))</f>
        <v>0</v>
      </c>
      <c r="R181" s="152">
        <f>IF(R178=0,0,IF([9]Assumptions!$F$47="Yes",[9]Tax!R179*0.5))</f>
        <v>0</v>
      </c>
      <c r="S181" s="152">
        <f>IF(S178=0,0,IF([9]Assumptions!$F$47="Yes",[9]Tax!S179*0.5))</f>
        <v>0</v>
      </c>
      <c r="T181" s="152">
        <f>IF(T178=0,0,IF([9]Assumptions!$F$47="Yes",[9]Tax!T179*0.5))</f>
        <v>0</v>
      </c>
      <c r="U181" s="152">
        <f>IF(U178=0,0,IF([9]Assumptions!$F$47="Yes",[9]Tax!U179*0.5))</f>
        <v>0</v>
      </c>
      <c r="V181" s="152">
        <f>IF(V178=0,0,IF([9]Assumptions!$F$47="Yes",[9]Tax!V179*0.5))</f>
        <v>0</v>
      </c>
      <c r="W181" s="152">
        <f>IF(W178=0,0,IF([9]Assumptions!$F$47="Yes",[9]Tax!W179*0.5))</f>
        <v>0</v>
      </c>
      <c r="X181" s="152">
        <f>IF(X178=0,0,IF([9]Assumptions!$F$47="Yes",[9]Tax!X179*0.5))</f>
        <v>0</v>
      </c>
    </row>
    <row r="182" spans="1:24" s="9" customFormat="1" ht="11.25">
      <c r="A182" s="1" t="s">
        <v>404</v>
      </c>
      <c r="B182" s="1"/>
      <c r="C182" s="152">
        <f>IF(C179&gt;0,IF(Assumptions!$H$12="Yes",Tax!C181*0.5,0),0)</f>
        <v>0</v>
      </c>
      <c r="D182" s="152">
        <f>IF(D179&gt;0,IF(Assumptions!$H$12="Yes",Tax!D181*0.5,0),0)</f>
        <v>0</v>
      </c>
      <c r="E182" s="152">
        <f>IF(E179&gt;0,IF(Assumptions!$H$12="Yes",Tax!E181*0.5,0),0)</f>
        <v>0</v>
      </c>
      <c r="F182" s="152">
        <f>IF(F179&gt;0,IF(Assumptions!$H$12="Yes",Tax!F181*0.5,0),0)</f>
        <v>0</v>
      </c>
      <c r="G182" s="152">
        <f>IF(G179&gt;0,IF(Assumptions!$H$12="Yes",Tax!G181*0.5,0),0)</f>
        <v>0</v>
      </c>
      <c r="H182" s="152">
        <f>IF(H179&gt;0,IF(Assumptions!$H$12="Yes",Tax!H181*0.5,0),0)</f>
        <v>0</v>
      </c>
      <c r="I182" s="152">
        <f>IF(I179&gt;0,IF(Assumptions!$H$12="Yes",Tax!I181*0.5,0),0)</f>
        <v>0</v>
      </c>
      <c r="J182" s="152">
        <f>IF(J179&gt;0,IF(Assumptions!$H$12="Yes",Tax!J181*0.5,0),0)</f>
        <v>0</v>
      </c>
      <c r="K182" s="152">
        <f>IF(K179&gt;0,IF(Assumptions!$H$12="Yes",Tax!K181*0.5,0),0)</f>
        <v>0</v>
      </c>
      <c r="L182" s="152">
        <f>IF(L179&gt;0,IF(Assumptions!$H$12="Yes",Tax!L181*0.5,0),0)</f>
        <v>0</v>
      </c>
      <c r="M182" s="152">
        <f>IF(M179&gt;0,IF(Assumptions!$H$12="Yes",Tax!M181*0.5,0),0)</f>
        <v>0</v>
      </c>
      <c r="N182" s="152">
        <f>IF(N179&gt;0,IF(Assumptions!$H$12="Yes",Tax!N181*0.5,0),0)</f>
        <v>0</v>
      </c>
      <c r="O182" s="152">
        <f>IF(O179&gt;0,IF(Assumptions!$H$12="Yes",Tax!O181*0.5,0),0)</f>
        <v>0</v>
      </c>
      <c r="P182" s="152">
        <f>IF(P179&gt;0,IF(Assumptions!$H$12="Yes",Tax!P181*0.5,0),0)</f>
        <v>0</v>
      </c>
      <c r="Q182" s="152">
        <f>IF(Q179&gt;0,IF(Assumptions!$H$12="Yes",Tax!Q181*0.5,0),0)</f>
        <v>0</v>
      </c>
      <c r="R182" s="152">
        <f>IF(R179&gt;0,IF(Assumptions!$H$12="Yes",Tax!R181*0.5,0),0)</f>
        <v>0</v>
      </c>
      <c r="S182" s="152">
        <f>IF(S179&gt;0,IF(Assumptions!$H$12="Yes",Tax!S181*0.5,0),0)</f>
        <v>0</v>
      </c>
      <c r="T182" s="152">
        <f>IF(T179&gt;0,IF(Assumptions!$H$12="Yes",Tax!T181*0.5,0),0)</f>
        <v>0</v>
      </c>
      <c r="U182" s="152">
        <f>IF(U179&gt;0,IF(Assumptions!$H$12="Yes",Tax!U181*0.5,0),0)</f>
        <v>0</v>
      </c>
      <c r="V182" s="152">
        <f>IF(V179&gt;0,IF(Assumptions!$H$12="Yes",Tax!V181*0.5,0),0)</f>
        <v>0</v>
      </c>
      <c r="W182" s="152">
        <f>IF(W179&gt;0,IF(Assumptions!$H$12="Yes",Tax!W181*0.5,0),0)</f>
        <v>0</v>
      </c>
      <c r="X182" s="152">
        <f>IF(X179&gt;0,IF(Assumptions!$H$12="Yes",Tax!X181*0.5,0),0)</f>
        <v>0</v>
      </c>
    </row>
    <row r="183" spans="1:24" s="9" customFormat="1" ht="11.25">
      <c r="A183" s="1" t="s">
        <v>39</v>
      </c>
      <c r="B183" s="1"/>
      <c r="C183" s="433">
        <f>IF(C199&lt;0,0,MIN(C195,C199))</f>
        <v>0</v>
      </c>
      <c r="D183" s="433">
        <f t="shared" ref="D183:X183" si="71">IF(D199&lt;0,0,MIN(D195,D199))</f>
        <v>0</v>
      </c>
      <c r="E183" s="433">
        <f t="shared" si="71"/>
        <v>0</v>
      </c>
      <c r="F183" s="433">
        <f t="shared" si="71"/>
        <v>0</v>
      </c>
      <c r="G183" s="433">
        <f t="shared" si="71"/>
        <v>0</v>
      </c>
      <c r="H183" s="433">
        <f t="shared" si="71"/>
        <v>0</v>
      </c>
      <c r="I183" s="433">
        <f t="shared" si="71"/>
        <v>0</v>
      </c>
      <c r="J183" s="433">
        <f t="shared" si="71"/>
        <v>0</v>
      </c>
      <c r="K183" s="433">
        <f t="shared" si="71"/>
        <v>0</v>
      </c>
      <c r="L183" s="433">
        <f t="shared" si="71"/>
        <v>0</v>
      </c>
      <c r="M183" s="433">
        <f t="shared" si="71"/>
        <v>0</v>
      </c>
      <c r="N183" s="433">
        <f t="shared" si="71"/>
        <v>0</v>
      </c>
      <c r="O183" s="433">
        <f t="shared" si="71"/>
        <v>0</v>
      </c>
      <c r="P183" s="433">
        <f t="shared" si="71"/>
        <v>0</v>
      </c>
      <c r="Q183" s="433">
        <f t="shared" si="71"/>
        <v>0</v>
      </c>
      <c r="R183" s="433">
        <f t="shared" si="71"/>
        <v>0</v>
      </c>
      <c r="S183" s="433">
        <f t="shared" si="71"/>
        <v>0</v>
      </c>
      <c r="T183" s="433">
        <f t="shared" si="71"/>
        <v>0</v>
      </c>
      <c r="U183" s="433">
        <f t="shared" si="71"/>
        <v>0</v>
      </c>
      <c r="V183" s="433">
        <f t="shared" si="71"/>
        <v>0</v>
      </c>
      <c r="W183" s="433">
        <f t="shared" si="71"/>
        <v>0</v>
      </c>
      <c r="X183" s="433">
        <f t="shared" si="71"/>
        <v>0</v>
      </c>
    </row>
    <row r="184" spans="1:24" s="9" customFormat="1" ht="11.25">
      <c r="A184" s="1" t="s">
        <v>405</v>
      </c>
      <c r="B184" s="1"/>
      <c r="C184" s="435">
        <f>C180-C183</f>
        <v>0</v>
      </c>
      <c r="D184" s="435">
        <f t="shared" ref="D184:X184" si="72">D180-D183</f>
        <v>0</v>
      </c>
      <c r="E184" s="435">
        <f t="shared" si="72"/>
        <v>0</v>
      </c>
      <c r="F184" s="435">
        <f t="shared" si="72"/>
        <v>0</v>
      </c>
      <c r="G184" s="435">
        <f t="shared" si="72"/>
        <v>0</v>
      </c>
      <c r="H184" s="435">
        <f t="shared" si="72"/>
        <v>0</v>
      </c>
      <c r="I184" s="435">
        <f t="shared" si="72"/>
        <v>0</v>
      </c>
      <c r="J184" s="435">
        <f t="shared" si="72"/>
        <v>0</v>
      </c>
      <c r="K184" s="435">
        <f t="shared" si="72"/>
        <v>0</v>
      </c>
      <c r="L184" s="435">
        <f t="shared" si="72"/>
        <v>0</v>
      </c>
      <c r="M184" s="435">
        <f t="shared" si="72"/>
        <v>0</v>
      </c>
      <c r="N184" s="435">
        <f t="shared" si="72"/>
        <v>0</v>
      </c>
      <c r="O184" s="435">
        <f t="shared" si="72"/>
        <v>0</v>
      </c>
      <c r="P184" s="435">
        <f t="shared" si="72"/>
        <v>0</v>
      </c>
      <c r="Q184" s="435">
        <f t="shared" si="72"/>
        <v>0</v>
      </c>
      <c r="R184" s="435">
        <f t="shared" si="72"/>
        <v>0</v>
      </c>
      <c r="S184" s="435">
        <f t="shared" si="72"/>
        <v>0</v>
      </c>
      <c r="T184" s="435">
        <f t="shared" si="72"/>
        <v>0</v>
      </c>
      <c r="U184" s="435">
        <f t="shared" si="72"/>
        <v>0</v>
      </c>
      <c r="V184" s="435">
        <f t="shared" si="72"/>
        <v>0</v>
      </c>
      <c r="W184" s="435">
        <f t="shared" si="72"/>
        <v>0</v>
      </c>
      <c r="X184" s="435">
        <f t="shared" si="72"/>
        <v>0</v>
      </c>
    </row>
    <row r="185" spans="1:24" s="9" customFormat="1" ht="11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s="9" customFormat="1" ht="11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s="9" customFormat="1" ht="11.25">
      <c r="A187" s="1" t="s">
        <v>411</v>
      </c>
      <c r="B187" s="1"/>
      <c r="C187" s="100">
        <f>C6+C9</f>
        <v>-446.4542299952293</v>
      </c>
      <c r="D187" s="100">
        <f t="shared" ref="D187:X187" si="73">D6+D9</f>
        <v>30520.982392332597</v>
      </c>
      <c r="E187" s="100">
        <f t="shared" si="73"/>
        <v>22097.627254053874</v>
      </c>
      <c r="F187" s="100">
        <f t="shared" si="73"/>
        <v>17466.584731046838</v>
      </c>
      <c r="G187" s="100">
        <f t="shared" si="73"/>
        <v>12725.866626498337</v>
      </c>
      <c r="H187" s="100">
        <f t="shared" si="73"/>
        <v>10699.748720237592</v>
      </c>
      <c r="I187" s="100">
        <f t="shared" si="73"/>
        <v>11835.812835313685</v>
      </c>
      <c r="J187" s="100">
        <f t="shared" si="73"/>
        <v>12713.388697534341</v>
      </c>
      <c r="K187" s="100">
        <f t="shared" si="73"/>
        <v>12260.301781213166</v>
      </c>
      <c r="L187" s="100">
        <f t="shared" si="73"/>
        <v>13221.194256218077</v>
      </c>
      <c r="M187" s="100">
        <f t="shared" si="73"/>
        <v>13593.163105849795</v>
      </c>
      <c r="N187" s="100">
        <f t="shared" si="73"/>
        <v>14332.941934189581</v>
      </c>
      <c r="O187" s="100">
        <f t="shared" si="73"/>
        <v>15050.096621707169</v>
      </c>
      <c r="P187" s="100">
        <f t="shared" si="73"/>
        <v>16412.370919417768</v>
      </c>
      <c r="Q187" s="100">
        <f t="shared" si="73"/>
        <v>16875.496795540825</v>
      </c>
      <c r="R187" s="100">
        <f t="shared" si="73"/>
        <v>17824.427794612337</v>
      </c>
      <c r="S187" s="100">
        <f t="shared" si="73"/>
        <v>0</v>
      </c>
      <c r="T187" s="100">
        <f t="shared" si="73"/>
        <v>0</v>
      </c>
      <c r="U187" s="100">
        <f t="shared" si="73"/>
        <v>0</v>
      </c>
      <c r="V187" s="100">
        <f t="shared" si="73"/>
        <v>0</v>
      </c>
      <c r="W187" s="100">
        <f t="shared" si="73"/>
        <v>0</v>
      </c>
      <c r="X187" s="100">
        <f t="shared" si="73"/>
        <v>0</v>
      </c>
    </row>
    <row r="188" spans="1:24" s="9" customFormat="1" ht="11.25">
      <c r="A188" s="1"/>
      <c r="B188" s="1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</row>
    <row r="189" spans="1:24" s="9" customFormat="1" ht="11.25">
      <c r="A189" s="77" t="s">
        <v>412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s="9" customFormat="1" ht="11.25">
      <c r="A190" s="1" t="s">
        <v>400</v>
      </c>
      <c r="B190" s="1"/>
      <c r="C190" s="433">
        <f>C122*$C$115</f>
        <v>6626.357064392887</v>
      </c>
      <c r="D190" s="433">
        <f t="shared" ref="D190:X190" si="74">D122*$C$115</f>
        <v>13252.714128785774</v>
      </c>
      <c r="E190" s="433">
        <f t="shared" si="74"/>
        <v>12192.496998482913</v>
      </c>
      <c r="F190" s="433">
        <f t="shared" si="74"/>
        <v>11217.097238604279</v>
      </c>
      <c r="G190" s="433">
        <f t="shared" si="74"/>
        <v>10319.729459515936</v>
      </c>
      <c r="H190" s="433">
        <f t="shared" si="74"/>
        <v>9494.1511027546621</v>
      </c>
      <c r="I190" s="433">
        <f t="shared" si="74"/>
        <v>8734.6190145342898</v>
      </c>
      <c r="J190" s="433">
        <f t="shared" si="74"/>
        <v>8035.8494933715465</v>
      </c>
      <c r="K190" s="433">
        <f t="shared" si="74"/>
        <v>7392.9815339018232</v>
      </c>
      <c r="L190" s="433">
        <f t="shared" si="74"/>
        <v>6801.5430111896776</v>
      </c>
      <c r="M190" s="433">
        <f t="shared" si="74"/>
        <v>6257.4195702945035</v>
      </c>
      <c r="N190" s="433">
        <f t="shared" si="74"/>
        <v>5756.8260046709438</v>
      </c>
      <c r="O190" s="433">
        <f t="shared" si="74"/>
        <v>5296.2799242972678</v>
      </c>
      <c r="P190" s="433">
        <f t="shared" si="74"/>
        <v>4872.5775303534865</v>
      </c>
      <c r="Q190" s="433">
        <f t="shared" si="74"/>
        <v>4482.7713279252066</v>
      </c>
      <c r="R190" s="433">
        <f t="shared" si="74"/>
        <v>-1200.8613341791661</v>
      </c>
      <c r="S190" s="433">
        <f t="shared" si="74"/>
        <v>0</v>
      </c>
      <c r="T190" s="433">
        <f t="shared" si="74"/>
        <v>0</v>
      </c>
      <c r="U190" s="433">
        <f t="shared" si="74"/>
        <v>0</v>
      </c>
      <c r="V190" s="433">
        <f t="shared" si="74"/>
        <v>0</v>
      </c>
      <c r="W190" s="433">
        <f t="shared" si="74"/>
        <v>0</v>
      </c>
      <c r="X190" s="433">
        <f t="shared" si="74"/>
        <v>0</v>
      </c>
    </row>
    <row r="191" spans="1:24" s="9" customFormat="1" ht="11.25">
      <c r="A191" s="1" t="s">
        <v>406</v>
      </c>
      <c r="B191" s="1"/>
      <c r="C191" s="433">
        <f>C134*$C$127</f>
        <v>0</v>
      </c>
      <c r="D191" s="433">
        <f t="shared" ref="D191:X191" si="75">D134*$C$127</f>
        <v>0</v>
      </c>
      <c r="E191" s="433">
        <f t="shared" si="75"/>
        <v>0</v>
      </c>
      <c r="F191" s="433">
        <f t="shared" si="75"/>
        <v>0</v>
      </c>
      <c r="G191" s="433">
        <f t="shared" si="75"/>
        <v>0</v>
      </c>
      <c r="H191" s="433">
        <f t="shared" si="75"/>
        <v>0</v>
      </c>
      <c r="I191" s="433">
        <f t="shared" si="75"/>
        <v>0</v>
      </c>
      <c r="J191" s="433">
        <f t="shared" si="75"/>
        <v>0</v>
      </c>
      <c r="K191" s="433">
        <f t="shared" si="75"/>
        <v>0</v>
      </c>
      <c r="L191" s="433">
        <f t="shared" si="75"/>
        <v>0</v>
      </c>
      <c r="M191" s="433">
        <f t="shared" si="75"/>
        <v>0</v>
      </c>
      <c r="N191" s="433">
        <f t="shared" si="75"/>
        <v>0</v>
      </c>
      <c r="O191" s="433">
        <f t="shared" si="75"/>
        <v>0</v>
      </c>
      <c r="P191" s="433">
        <f t="shared" si="75"/>
        <v>0</v>
      </c>
      <c r="Q191" s="433">
        <f t="shared" si="75"/>
        <v>0</v>
      </c>
      <c r="R191" s="433">
        <f t="shared" si="75"/>
        <v>0</v>
      </c>
      <c r="S191" s="433">
        <f t="shared" si="75"/>
        <v>0</v>
      </c>
      <c r="T191" s="433">
        <f t="shared" si="75"/>
        <v>0</v>
      </c>
      <c r="U191" s="433">
        <f t="shared" si="75"/>
        <v>0</v>
      </c>
      <c r="V191" s="433">
        <f t="shared" si="75"/>
        <v>0</v>
      </c>
      <c r="W191" s="433">
        <f t="shared" si="75"/>
        <v>0</v>
      </c>
      <c r="X191" s="433">
        <f t="shared" si="75"/>
        <v>0</v>
      </c>
    </row>
    <row r="192" spans="1:24" s="9" customFormat="1" ht="11.25">
      <c r="A192" s="1" t="s">
        <v>407</v>
      </c>
      <c r="B192" s="1"/>
      <c r="C192" s="433">
        <f>C146*$C$139</f>
        <v>1350.4803799713761</v>
      </c>
      <c r="D192" s="433">
        <f t="shared" ref="D192:X192" si="76">D146*$C$139</f>
        <v>2700.9607599427522</v>
      </c>
      <c r="E192" s="433">
        <f t="shared" si="76"/>
        <v>1890.6725319599266</v>
      </c>
      <c r="F192" s="433">
        <f t="shared" si="76"/>
        <v>1323.4707723719487</v>
      </c>
      <c r="G192" s="433">
        <f t="shared" si="76"/>
        <v>926.42954066036418</v>
      </c>
      <c r="H192" s="433">
        <f t="shared" si="76"/>
        <v>648.500678462255</v>
      </c>
      <c r="I192" s="433">
        <f t="shared" si="76"/>
        <v>453.9504749235785</v>
      </c>
      <c r="J192" s="433">
        <f t="shared" si="76"/>
        <v>317.76533244650494</v>
      </c>
      <c r="K192" s="433">
        <f t="shared" si="76"/>
        <v>222.43573271255346</v>
      </c>
      <c r="L192" s="433">
        <f t="shared" si="76"/>
        <v>155.70501289878743</v>
      </c>
      <c r="M192" s="433">
        <f t="shared" si="76"/>
        <v>108.99350902915118</v>
      </c>
      <c r="N192" s="433">
        <f t="shared" si="76"/>
        <v>76.295456320405819</v>
      </c>
      <c r="O192" s="433">
        <f t="shared" si="76"/>
        <v>53.406819424284073</v>
      </c>
      <c r="P192" s="433">
        <f t="shared" si="76"/>
        <v>37.384773596998855</v>
      </c>
      <c r="Q192" s="433">
        <f t="shared" si="76"/>
        <v>26.169341517899202</v>
      </c>
      <c r="R192" s="433">
        <f t="shared" si="76"/>
        <v>0</v>
      </c>
      <c r="S192" s="433">
        <f t="shared" si="76"/>
        <v>0</v>
      </c>
      <c r="T192" s="433">
        <f t="shared" si="76"/>
        <v>0</v>
      </c>
      <c r="U192" s="433">
        <f t="shared" si="76"/>
        <v>0</v>
      </c>
      <c r="V192" s="433">
        <f t="shared" si="76"/>
        <v>0</v>
      </c>
      <c r="W192" s="433">
        <f t="shared" si="76"/>
        <v>0</v>
      </c>
      <c r="X192" s="433">
        <f t="shared" si="76"/>
        <v>0</v>
      </c>
    </row>
    <row r="193" spans="1:24" s="9" customFormat="1" ht="11.25">
      <c r="A193" s="1" t="s">
        <v>408</v>
      </c>
      <c r="B193" s="1"/>
      <c r="C193" s="433">
        <f>C158*$C$151</f>
        <v>2700.9607599427527</v>
      </c>
      <c r="D193" s="433">
        <f t="shared" ref="D193:X193" si="77">D158*$C$151</f>
        <v>5401.9215198855054</v>
      </c>
      <c r="E193" s="433">
        <f t="shared" si="77"/>
        <v>0</v>
      </c>
      <c r="F193" s="433">
        <f t="shared" si="77"/>
        <v>0</v>
      </c>
      <c r="G193" s="433">
        <f t="shared" si="77"/>
        <v>0</v>
      </c>
      <c r="H193" s="433">
        <f t="shared" si="77"/>
        <v>0</v>
      </c>
      <c r="I193" s="433">
        <f t="shared" si="77"/>
        <v>0</v>
      </c>
      <c r="J193" s="433">
        <f t="shared" si="77"/>
        <v>0</v>
      </c>
      <c r="K193" s="433">
        <f t="shared" si="77"/>
        <v>0</v>
      </c>
      <c r="L193" s="433">
        <f t="shared" si="77"/>
        <v>0</v>
      </c>
      <c r="M193" s="433">
        <f t="shared" si="77"/>
        <v>0</v>
      </c>
      <c r="N193" s="433">
        <f t="shared" si="77"/>
        <v>0</v>
      </c>
      <c r="O193" s="433">
        <f t="shared" si="77"/>
        <v>0</v>
      </c>
      <c r="P193" s="433">
        <f t="shared" si="77"/>
        <v>0</v>
      </c>
      <c r="Q193" s="433">
        <f t="shared" si="77"/>
        <v>0</v>
      </c>
      <c r="R193" s="433">
        <f t="shared" si="77"/>
        <v>0</v>
      </c>
      <c r="S193" s="433">
        <f t="shared" si="77"/>
        <v>0</v>
      </c>
      <c r="T193" s="433">
        <f t="shared" si="77"/>
        <v>0</v>
      </c>
      <c r="U193" s="433">
        <f t="shared" si="77"/>
        <v>0</v>
      </c>
      <c r="V193" s="433">
        <f t="shared" si="77"/>
        <v>0</v>
      </c>
      <c r="W193" s="433">
        <f t="shared" si="77"/>
        <v>0</v>
      </c>
      <c r="X193" s="433">
        <f t="shared" si="77"/>
        <v>0</v>
      </c>
    </row>
    <row r="194" spans="1:24" s="9" customFormat="1" ht="11.25">
      <c r="A194" s="1" t="s">
        <v>409</v>
      </c>
      <c r="B194" s="1"/>
      <c r="C194" s="433">
        <f>C$152*$C$145</f>
        <v>0</v>
      </c>
      <c r="D194" s="433">
        <f t="shared" ref="D194:X194" si="78">D$152*$C$145</f>
        <v>0</v>
      </c>
      <c r="E194" s="433">
        <f t="shared" si="78"/>
        <v>0</v>
      </c>
      <c r="F194" s="433">
        <f t="shared" si="78"/>
        <v>0</v>
      </c>
      <c r="G194" s="433">
        <f t="shared" si="78"/>
        <v>0</v>
      </c>
      <c r="H194" s="433">
        <f t="shared" si="78"/>
        <v>0</v>
      </c>
      <c r="I194" s="433">
        <f t="shared" si="78"/>
        <v>0</v>
      </c>
      <c r="J194" s="433">
        <f t="shared" si="78"/>
        <v>0</v>
      </c>
      <c r="K194" s="433">
        <f t="shared" si="78"/>
        <v>0</v>
      </c>
      <c r="L194" s="433">
        <f t="shared" si="78"/>
        <v>0</v>
      </c>
      <c r="M194" s="433">
        <f t="shared" si="78"/>
        <v>0</v>
      </c>
      <c r="N194" s="433">
        <f t="shared" si="78"/>
        <v>0</v>
      </c>
      <c r="O194" s="433">
        <f t="shared" si="78"/>
        <v>0</v>
      </c>
      <c r="P194" s="433">
        <f t="shared" si="78"/>
        <v>0</v>
      </c>
      <c r="Q194" s="433">
        <f t="shared" si="78"/>
        <v>0</v>
      </c>
      <c r="R194" s="433">
        <f t="shared" si="78"/>
        <v>0</v>
      </c>
      <c r="S194" s="433">
        <f t="shared" si="78"/>
        <v>0</v>
      </c>
      <c r="T194" s="433">
        <f t="shared" si="78"/>
        <v>0</v>
      </c>
      <c r="U194" s="433">
        <f t="shared" si="78"/>
        <v>0</v>
      </c>
      <c r="V194" s="433">
        <f t="shared" si="78"/>
        <v>0</v>
      </c>
      <c r="W194" s="433">
        <f t="shared" si="78"/>
        <v>0</v>
      </c>
      <c r="X194" s="433">
        <f t="shared" si="78"/>
        <v>0</v>
      </c>
    </row>
    <row r="195" spans="1:24" s="9" customFormat="1" ht="11.25">
      <c r="A195" s="1" t="s">
        <v>410</v>
      </c>
      <c r="B195" s="1"/>
      <c r="C195" s="433">
        <f>C$164*$C$145</f>
        <v>0</v>
      </c>
      <c r="D195" s="433">
        <f>D$164*$C$145</f>
        <v>0</v>
      </c>
      <c r="E195" s="433">
        <f>E$164*$C$157</f>
        <v>0</v>
      </c>
      <c r="F195" s="433">
        <f t="shared" ref="F195:X195" si="79">F$164*$C$157</f>
        <v>0</v>
      </c>
      <c r="G195" s="433">
        <f t="shared" si="79"/>
        <v>0</v>
      </c>
      <c r="H195" s="433">
        <f t="shared" si="79"/>
        <v>0</v>
      </c>
      <c r="I195" s="433">
        <f t="shared" si="79"/>
        <v>0</v>
      </c>
      <c r="J195" s="433">
        <f t="shared" si="79"/>
        <v>0</v>
      </c>
      <c r="K195" s="433">
        <f t="shared" si="79"/>
        <v>0</v>
      </c>
      <c r="L195" s="433">
        <f t="shared" si="79"/>
        <v>0</v>
      </c>
      <c r="M195" s="433">
        <f t="shared" si="79"/>
        <v>0</v>
      </c>
      <c r="N195" s="433">
        <f t="shared" si="79"/>
        <v>0</v>
      </c>
      <c r="O195" s="433">
        <f t="shared" si="79"/>
        <v>0</v>
      </c>
      <c r="P195" s="433">
        <f t="shared" si="79"/>
        <v>0</v>
      </c>
      <c r="Q195" s="433">
        <f t="shared" si="79"/>
        <v>0</v>
      </c>
      <c r="R195" s="433">
        <f t="shared" si="79"/>
        <v>0</v>
      </c>
      <c r="S195" s="433">
        <f t="shared" si="79"/>
        <v>0</v>
      </c>
      <c r="T195" s="433">
        <f t="shared" si="79"/>
        <v>0</v>
      </c>
      <c r="U195" s="433">
        <f t="shared" si="79"/>
        <v>0</v>
      </c>
      <c r="V195" s="433">
        <f t="shared" si="79"/>
        <v>0</v>
      </c>
      <c r="W195" s="433">
        <f t="shared" si="79"/>
        <v>0</v>
      </c>
      <c r="X195" s="433">
        <f t="shared" si="79"/>
        <v>0</v>
      </c>
    </row>
    <row r="196" spans="1:24" s="9" customFormat="1" ht="11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s="9" customFormat="1" ht="12" thickBot="1">
      <c r="A197" s="1"/>
      <c r="B197" s="1"/>
      <c r="C197" s="437">
        <f>SUM(C190:C196)</f>
        <v>10677.798204307015</v>
      </c>
      <c r="D197" s="437">
        <f>SUM(D190:D196)</f>
        <v>21355.59640861403</v>
      </c>
      <c r="E197" s="437">
        <f>SUM(E190:E194)</f>
        <v>14083.169530442839</v>
      </c>
      <c r="F197" s="437">
        <f t="shared" ref="F197:X197" si="80">SUM(F190:F194)</f>
        <v>12540.568010976229</v>
      </c>
      <c r="G197" s="437">
        <f t="shared" si="80"/>
        <v>11246.1590001763</v>
      </c>
      <c r="H197" s="437">
        <f t="shared" si="80"/>
        <v>10142.651781216917</v>
      </c>
      <c r="I197" s="437">
        <f t="shared" si="80"/>
        <v>9188.5694894578683</v>
      </c>
      <c r="J197" s="437">
        <f t="shared" si="80"/>
        <v>8353.614825818051</v>
      </c>
      <c r="K197" s="437">
        <f t="shared" si="80"/>
        <v>7615.4172666143768</v>
      </c>
      <c r="L197" s="437">
        <f t="shared" si="80"/>
        <v>6957.2480240884652</v>
      </c>
      <c r="M197" s="437">
        <f t="shared" si="80"/>
        <v>6366.4130793236545</v>
      </c>
      <c r="N197" s="437">
        <f t="shared" si="80"/>
        <v>5833.1214609913495</v>
      </c>
      <c r="O197" s="437">
        <f t="shared" si="80"/>
        <v>5349.6867437215515</v>
      </c>
      <c r="P197" s="437">
        <f t="shared" si="80"/>
        <v>4909.962303950485</v>
      </c>
      <c r="Q197" s="437">
        <f t="shared" si="80"/>
        <v>4508.9406694431054</v>
      </c>
      <c r="R197" s="437">
        <f t="shared" si="80"/>
        <v>-1200.8613341791661</v>
      </c>
      <c r="S197" s="437">
        <f t="shared" si="80"/>
        <v>0</v>
      </c>
      <c r="T197" s="437">
        <f t="shared" si="80"/>
        <v>0</v>
      </c>
      <c r="U197" s="437">
        <f t="shared" si="80"/>
        <v>0</v>
      </c>
      <c r="V197" s="437">
        <f t="shared" si="80"/>
        <v>0</v>
      </c>
      <c r="W197" s="437">
        <f t="shared" si="80"/>
        <v>0</v>
      </c>
      <c r="X197" s="437">
        <f t="shared" si="80"/>
        <v>0</v>
      </c>
    </row>
    <row r="198" spans="1:24" s="9" customFormat="1" ht="12" thickTop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s="9" customFormat="1" ht="11.25">
      <c r="A199" s="1" t="s">
        <v>413</v>
      </c>
      <c r="B199" s="1"/>
      <c r="C199" s="433">
        <f>IF(C195=0,0,C187-C197)</f>
        <v>0</v>
      </c>
      <c r="D199" s="433">
        <f t="shared" ref="D199:X199" si="81">IF(D195=0,0,D187-D197)</f>
        <v>0</v>
      </c>
      <c r="E199" s="433">
        <f t="shared" si="81"/>
        <v>0</v>
      </c>
      <c r="F199" s="433">
        <f t="shared" si="81"/>
        <v>0</v>
      </c>
      <c r="G199" s="433">
        <f t="shared" si="81"/>
        <v>0</v>
      </c>
      <c r="H199" s="433">
        <f t="shared" si="81"/>
        <v>0</v>
      </c>
      <c r="I199" s="433">
        <f t="shared" si="81"/>
        <v>0</v>
      </c>
      <c r="J199" s="433">
        <f t="shared" si="81"/>
        <v>0</v>
      </c>
      <c r="K199" s="433">
        <f t="shared" si="81"/>
        <v>0</v>
      </c>
      <c r="L199" s="433">
        <f t="shared" si="81"/>
        <v>0</v>
      </c>
      <c r="M199" s="433">
        <f t="shared" si="81"/>
        <v>0</v>
      </c>
      <c r="N199" s="433">
        <f t="shared" si="81"/>
        <v>0</v>
      </c>
      <c r="O199" s="433">
        <f t="shared" si="81"/>
        <v>0</v>
      </c>
      <c r="P199" s="433">
        <f t="shared" si="81"/>
        <v>0</v>
      </c>
      <c r="Q199" s="433">
        <f t="shared" si="81"/>
        <v>0</v>
      </c>
      <c r="R199" s="433">
        <f t="shared" si="81"/>
        <v>0</v>
      </c>
      <c r="S199" s="433">
        <f t="shared" si="81"/>
        <v>0</v>
      </c>
      <c r="T199" s="433">
        <f t="shared" si="81"/>
        <v>0</v>
      </c>
      <c r="U199" s="433">
        <f t="shared" si="81"/>
        <v>0</v>
      </c>
      <c r="V199" s="433">
        <f t="shared" si="81"/>
        <v>0</v>
      </c>
      <c r="W199" s="433">
        <f t="shared" si="81"/>
        <v>0</v>
      </c>
      <c r="X199" s="433">
        <f t="shared" si="81"/>
        <v>0</v>
      </c>
    </row>
    <row r="200" spans="1:24" s="9" customFormat="1">
      <c r="A200" s="1"/>
      <c r="B200" s="1"/>
      <c r="C200" s="531"/>
      <c r="D200" s="531"/>
      <c r="E200" s="531"/>
      <c r="F200" s="531"/>
      <c r="G200" s="531"/>
      <c r="H200" s="531"/>
      <c r="I200" s="531"/>
      <c r="J200" s="531"/>
      <c r="K200" s="531"/>
      <c r="L200" s="531"/>
      <c r="M200" s="531"/>
      <c r="N200" s="531"/>
      <c r="O200" s="531"/>
      <c r="P200" s="531"/>
      <c r="Q200" s="531"/>
      <c r="R200" s="531"/>
      <c r="S200" s="531"/>
      <c r="T200" s="531"/>
      <c r="U200" s="531"/>
      <c r="V200" s="531"/>
      <c r="W200" s="531"/>
      <c r="X200" s="531"/>
    </row>
    <row r="201" spans="1:24" s="9" customFormat="1" ht="11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s="9" customFormat="1" ht="11.25">
      <c r="A202" s="1" t="s">
        <v>414</v>
      </c>
      <c r="B202" s="1"/>
      <c r="C202" s="433">
        <f>C124+C136+C148+C160+C172+C184</f>
        <v>180064.05066285018</v>
      </c>
      <c r="D202" s="433">
        <f t="shared" ref="D202:X202" si="82">D124+D136+D148+D160+D172+D184</f>
        <v>158708.45425423616</v>
      </c>
      <c r="E202" s="433">
        <f t="shared" si="82"/>
        <v>144625.28472379333</v>
      </c>
      <c r="F202" s="433">
        <f t="shared" si="82"/>
        <v>132084.71671281708</v>
      </c>
      <c r="G202" s="433">
        <f t="shared" si="82"/>
        <v>120838.55771264079</v>
      </c>
      <c r="H202" s="433">
        <f t="shared" si="82"/>
        <v>110695.90593142387</v>
      </c>
      <c r="I202" s="433">
        <f t="shared" si="82"/>
        <v>101507.33644196601</v>
      </c>
      <c r="J202" s="433">
        <f t="shared" si="82"/>
        <v>93153.721616147959</v>
      </c>
      <c r="K202" s="433">
        <f t="shared" si="82"/>
        <v>85538.304349533588</v>
      </c>
      <c r="L202" s="433">
        <f t="shared" si="82"/>
        <v>78581.056325445126</v>
      </c>
      <c r="M202" s="433">
        <f t="shared" si="82"/>
        <v>72214.643246121472</v>
      </c>
      <c r="N202" s="433">
        <f t="shared" si="82"/>
        <v>66381.521785130128</v>
      </c>
      <c r="O202" s="433">
        <f t="shared" si="82"/>
        <v>61031.835041408573</v>
      </c>
      <c r="P202" s="433">
        <f t="shared" si="82"/>
        <v>56121.872737458085</v>
      </c>
      <c r="Q202" s="433">
        <f t="shared" si="82"/>
        <v>51612.932068014976</v>
      </c>
      <c r="R202" s="433">
        <f t="shared" si="82"/>
        <v>0</v>
      </c>
      <c r="S202" s="433">
        <f t="shared" si="82"/>
        <v>0</v>
      </c>
      <c r="T202" s="433">
        <f t="shared" si="82"/>
        <v>0</v>
      </c>
      <c r="U202" s="433">
        <f t="shared" si="82"/>
        <v>0</v>
      </c>
      <c r="V202" s="433">
        <f t="shared" si="82"/>
        <v>0</v>
      </c>
      <c r="W202" s="433">
        <f t="shared" si="82"/>
        <v>0</v>
      </c>
      <c r="X202" s="433">
        <f t="shared" si="82"/>
        <v>0</v>
      </c>
    </row>
    <row r="203" spans="1:24" s="9" customFormat="1" ht="11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s="214" customFormat="1">
      <c r="A204"/>
      <c r="B204"/>
      <c r="C204" s="29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</row>
  </sheetData>
  <mergeCells count="2">
    <mergeCell ref="C2:E2"/>
    <mergeCell ref="C77:E77"/>
  </mergeCells>
  <pageMargins left="0.25" right="0.22" top="1" bottom="1" header="0.5" footer="0.5"/>
  <pageSetup paperSize="5" scale="34" orientation="landscape" horizontalDpi="300" r:id="rId1"/>
  <headerFooter alignWithMargins="0">
    <oddHeader>&amp;A</oddHeader>
    <oddFooter>Page &amp;P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pageSetUpPr fitToPage="1"/>
  </sheetPr>
  <dimension ref="A1:AS64"/>
  <sheetViews>
    <sheetView topLeftCell="A2" workbookViewId="0">
      <selection activeCell="E34" sqref="E34"/>
    </sheetView>
  </sheetViews>
  <sheetFormatPr defaultRowHeight="12.75"/>
  <cols>
    <col min="1" max="1" width="10.7109375" customWidth="1"/>
    <col min="2" max="2" width="21.42578125" customWidth="1"/>
    <col min="3" max="3" width="12.85546875" bestFit="1" customWidth="1"/>
    <col min="4" max="4" width="5.85546875" customWidth="1"/>
    <col min="5" max="5" width="9.85546875" bestFit="1" customWidth="1"/>
    <col min="6" max="6" width="9.5703125" bestFit="1" customWidth="1"/>
    <col min="8" max="8" width="9.28515625" bestFit="1" customWidth="1"/>
    <col min="26" max="29" width="9.140625" style="17"/>
    <col min="30" max="30" width="3" style="17" customWidth="1"/>
    <col min="31" max="31" width="12" style="17" customWidth="1"/>
    <col min="32" max="45" width="9.140625" style="17"/>
  </cols>
  <sheetData>
    <row r="1" spans="1:45" s="1" customFormat="1" ht="15.75">
      <c r="A1" s="26" t="s">
        <v>65</v>
      </c>
      <c r="F1" s="204"/>
      <c r="G1" s="1" t="s">
        <v>532</v>
      </c>
      <c r="H1" s="432">
        <v>0</v>
      </c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</row>
    <row r="2" spans="1:45" s="1" customFormat="1" ht="12" thickBot="1">
      <c r="A2" s="77"/>
      <c r="E2" s="432">
        <f>IF(MONTH(Assumptions!E49)&gt;1,Assumptions!E51/12,0)</f>
        <v>0.16666666666666666</v>
      </c>
      <c r="I2" s="47" t="str">
        <f>IF(Tables!$B$21=3,"EOC","")</f>
        <v/>
      </c>
      <c r="J2" s="47" t="str">
        <f>IF(Tables!$B$21=5,"EOC","")</f>
        <v/>
      </c>
      <c r="O2" s="47" t="str">
        <f>IF(Tables!$B$21=10,"EOC","")</f>
        <v/>
      </c>
      <c r="T2" s="47" t="str">
        <f>IF(Tables!$B$21=15,"EOC","")</f>
        <v>EOC</v>
      </c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</row>
    <row r="3" spans="1:45" s="1" customFormat="1" ht="13.5" thickTop="1">
      <c r="B3" s="442" t="s">
        <v>66</v>
      </c>
      <c r="C3" s="649" t="s">
        <v>559</v>
      </c>
      <c r="D3" s="153"/>
      <c r="E3" s="468">
        <f>YEAR(Cashflow!C3)</f>
        <v>2000</v>
      </c>
      <c r="F3" s="468">
        <f>E3+1</f>
        <v>2001</v>
      </c>
      <c r="G3" s="468">
        <f t="shared" ref="G3:Y3" si="0">F3+1</f>
        <v>2002</v>
      </c>
      <c r="H3" s="468">
        <f t="shared" si="0"/>
        <v>2003</v>
      </c>
      <c r="I3" s="468">
        <f t="shared" si="0"/>
        <v>2004</v>
      </c>
      <c r="J3" s="468">
        <f t="shared" si="0"/>
        <v>2005</v>
      </c>
      <c r="K3" s="468">
        <f t="shared" si="0"/>
        <v>2006</v>
      </c>
      <c r="L3" s="468">
        <f t="shared" si="0"/>
        <v>2007</v>
      </c>
      <c r="M3" s="468">
        <f t="shared" si="0"/>
        <v>2008</v>
      </c>
      <c r="N3" s="468">
        <f t="shared" si="0"/>
        <v>2009</v>
      </c>
      <c r="O3" s="468">
        <f t="shared" si="0"/>
        <v>2010</v>
      </c>
      <c r="P3" s="468">
        <f t="shared" si="0"/>
        <v>2011</v>
      </c>
      <c r="Q3" s="468">
        <f t="shared" si="0"/>
        <v>2012</v>
      </c>
      <c r="R3" s="468">
        <f t="shared" si="0"/>
        <v>2013</v>
      </c>
      <c r="S3" s="468">
        <f t="shared" si="0"/>
        <v>2014</v>
      </c>
      <c r="T3" s="468">
        <f t="shared" si="0"/>
        <v>2015</v>
      </c>
      <c r="U3" s="468">
        <f t="shared" si="0"/>
        <v>2016</v>
      </c>
      <c r="V3" s="468">
        <f t="shared" si="0"/>
        <v>2017</v>
      </c>
      <c r="W3" s="468">
        <f t="shared" si="0"/>
        <v>2018</v>
      </c>
      <c r="X3" s="468">
        <f t="shared" si="0"/>
        <v>2019</v>
      </c>
      <c r="Y3" s="468">
        <f t="shared" si="0"/>
        <v>2020</v>
      </c>
      <c r="Z3" s="500"/>
      <c r="AA3" s="500"/>
      <c r="AB3" s="500"/>
      <c r="AC3" s="500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</row>
    <row r="4" spans="1:45" s="1" customFormat="1" ht="11.25">
      <c r="B4" s="154"/>
      <c r="C4" s="113" t="s">
        <v>79</v>
      </c>
      <c r="D4" s="7"/>
      <c r="E4" s="7">
        <v>1</v>
      </c>
      <c r="F4" s="7">
        <f>E4+1</f>
        <v>2</v>
      </c>
      <c r="G4" s="7">
        <f t="shared" ref="G4:Y4" si="1">F4+1</f>
        <v>3</v>
      </c>
      <c r="H4" s="7">
        <f t="shared" si="1"/>
        <v>4</v>
      </c>
      <c r="I4" s="7">
        <f t="shared" si="1"/>
        <v>5</v>
      </c>
      <c r="J4" s="7">
        <f t="shared" si="1"/>
        <v>6</v>
      </c>
      <c r="K4" s="7">
        <f t="shared" si="1"/>
        <v>7</v>
      </c>
      <c r="L4" s="7">
        <f t="shared" si="1"/>
        <v>8</v>
      </c>
      <c r="M4" s="7">
        <f t="shared" si="1"/>
        <v>9</v>
      </c>
      <c r="N4" s="7">
        <f t="shared" si="1"/>
        <v>10</v>
      </c>
      <c r="O4" s="7">
        <f t="shared" si="1"/>
        <v>11</v>
      </c>
      <c r="P4" s="7">
        <f t="shared" si="1"/>
        <v>12</v>
      </c>
      <c r="Q4" s="7">
        <f t="shared" si="1"/>
        <v>13</v>
      </c>
      <c r="R4" s="7">
        <f t="shared" si="1"/>
        <v>14</v>
      </c>
      <c r="S4" s="7">
        <f t="shared" si="1"/>
        <v>15</v>
      </c>
      <c r="T4" s="7">
        <f t="shared" si="1"/>
        <v>16</v>
      </c>
      <c r="U4" s="7">
        <f t="shared" si="1"/>
        <v>17</v>
      </c>
      <c r="V4" s="7">
        <f t="shared" si="1"/>
        <v>18</v>
      </c>
      <c r="W4" s="7">
        <f t="shared" si="1"/>
        <v>19</v>
      </c>
      <c r="X4" s="7">
        <f t="shared" si="1"/>
        <v>20</v>
      </c>
      <c r="Y4" s="7">
        <f t="shared" si="1"/>
        <v>21</v>
      </c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5" s="1" customFormat="1" ht="11.25">
      <c r="B5" s="154" t="s">
        <v>67</v>
      </c>
      <c r="C5" s="7"/>
      <c r="D5" s="7"/>
      <c r="E5" s="155">
        <v>0</v>
      </c>
      <c r="F5" s="156">
        <f>E5+Assumptions!$E$32</f>
        <v>0.02</v>
      </c>
      <c r="G5" s="156">
        <f>F5+Assumptions!$E$32</f>
        <v>0.04</v>
      </c>
      <c r="H5" s="156">
        <f>G5+Assumptions!$E$32</f>
        <v>0.06</v>
      </c>
      <c r="I5" s="156">
        <f>H5+Assumptions!$E$32</f>
        <v>0.08</v>
      </c>
      <c r="J5" s="156">
        <f>I5+Assumptions!$E$32</f>
        <v>0.1</v>
      </c>
      <c r="K5" s="156">
        <f>J5+Assumptions!$E$32</f>
        <v>0.12000000000000001</v>
      </c>
      <c r="L5" s="156">
        <f>K5+Assumptions!$E$32</f>
        <v>0.14000000000000001</v>
      </c>
      <c r="M5" s="156">
        <f>L5+Assumptions!$E$32</f>
        <v>0.16</v>
      </c>
      <c r="N5" s="156">
        <f>M5+Assumptions!$E$32</f>
        <v>0.18</v>
      </c>
      <c r="O5" s="156">
        <f>N5+Assumptions!$E$32</f>
        <v>0.19999999999999998</v>
      </c>
      <c r="P5" s="156">
        <f>O5+Assumptions!$E$32</f>
        <v>0.21999999999999997</v>
      </c>
      <c r="Q5" s="156">
        <f>P5+Assumptions!$E$32</f>
        <v>0.23999999999999996</v>
      </c>
      <c r="R5" s="156">
        <f>Q5+Assumptions!$E$32</f>
        <v>0.25999999999999995</v>
      </c>
      <c r="S5" s="156">
        <f>R5+Assumptions!$E$32</f>
        <v>0.27999999999999997</v>
      </c>
      <c r="T5" s="156">
        <f>S5+Assumptions!$E$32</f>
        <v>0.3</v>
      </c>
      <c r="U5" s="156">
        <f>T5+Assumptions!$E$32</f>
        <v>0.32</v>
      </c>
      <c r="V5" s="156">
        <f>U5+Assumptions!$E$32</f>
        <v>0.34</v>
      </c>
      <c r="W5" s="156">
        <f>V5+Assumptions!$E$32</f>
        <v>0.36000000000000004</v>
      </c>
      <c r="X5" s="156">
        <f>W5+Assumptions!$E$32</f>
        <v>0.38000000000000006</v>
      </c>
      <c r="Y5" s="156">
        <f>X5+Assumptions!$E$32</f>
        <v>0.40000000000000008</v>
      </c>
      <c r="Z5" s="156"/>
      <c r="AA5" s="156"/>
      <c r="AB5" s="156"/>
      <c r="AC5" s="156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</row>
    <row r="6" spans="1:45" s="1" customFormat="1" ht="12" thickBot="1">
      <c r="B6" s="157" t="s">
        <v>64</v>
      </c>
      <c r="C6" s="158"/>
      <c r="D6" s="158"/>
      <c r="E6" s="159">
        <v>0</v>
      </c>
      <c r="F6" s="160">
        <f>E6+Assumptions!$E$32</f>
        <v>0.02</v>
      </c>
      <c r="G6" s="160">
        <f>F6+Assumptions!$E$32</f>
        <v>0.04</v>
      </c>
      <c r="H6" s="160">
        <f>G6+Assumptions!$E$32</f>
        <v>0.06</v>
      </c>
      <c r="I6" s="160">
        <f>H6+Assumptions!$E$32</f>
        <v>0.08</v>
      </c>
      <c r="J6" s="160">
        <f>I6+Assumptions!$E$32</f>
        <v>0.1</v>
      </c>
      <c r="K6" s="160">
        <f>J6+Assumptions!$E$32</f>
        <v>0.12000000000000001</v>
      </c>
      <c r="L6" s="160">
        <f>K6+Assumptions!$E$32</f>
        <v>0.14000000000000001</v>
      </c>
      <c r="M6" s="160">
        <f>L6+Assumptions!$E$32</f>
        <v>0.16</v>
      </c>
      <c r="N6" s="160">
        <f>M6+Assumptions!$E$32</f>
        <v>0.18</v>
      </c>
      <c r="O6" s="160">
        <f>N6+Assumptions!$E$32</f>
        <v>0.19999999999999998</v>
      </c>
      <c r="P6" s="160">
        <f>O6+Assumptions!$E$32</f>
        <v>0.21999999999999997</v>
      </c>
      <c r="Q6" s="160">
        <f>P6+Assumptions!$E$32</f>
        <v>0.23999999999999996</v>
      </c>
      <c r="R6" s="160">
        <f>Q6+Assumptions!$E$32</f>
        <v>0.25999999999999995</v>
      </c>
      <c r="S6" s="160">
        <f>R6+Assumptions!$E$32</f>
        <v>0.27999999999999997</v>
      </c>
      <c r="T6" s="160">
        <f>S6+Assumptions!$E$32</f>
        <v>0.3</v>
      </c>
      <c r="U6" s="160">
        <f>T6+Assumptions!$E$32</f>
        <v>0.32</v>
      </c>
      <c r="V6" s="160">
        <f>U6+Assumptions!$E$32</f>
        <v>0.34</v>
      </c>
      <c r="W6" s="160">
        <f>V6+Assumptions!$E$32</f>
        <v>0.36000000000000004</v>
      </c>
      <c r="X6" s="160">
        <f>W6+Assumptions!$E$32</f>
        <v>0.38000000000000006</v>
      </c>
      <c r="Y6" s="160">
        <f>X6+Assumptions!$E$32</f>
        <v>0.40000000000000008</v>
      </c>
      <c r="Z6" s="156"/>
      <c r="AA6" s="156"/>
      <c r="AB6" s="156"/>
      <c r="AC6" s="156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</row>
    <row r="7" spans="1:45" s="1" customFormat="1" ht="12" thickTop="1"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</row>
    <row r="8" spans="1:45" s="1" customFormat="1" ht="11.25"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</row>
    <row r="9" spans="1:45" s="1" customFormat="1" ht="11.25">
      <c r="A9" s="47" t="s">
        <v>92</v>
      </c>
      <c r="B9" s="1" t="s">
        <v>68</v>
      </c>
      <c r="C9" s="1058">
        <f>700*(1+H1)</f>
        <v>700</v>
      </c>
      <c r="E9" s="151">
        <f>$C$9*(1+E5)</f>
        <v>700</v>
      </c>
      <c r="F9" s="151">
        <f t="shared" ref="F9:Y9" si="2">$C$9*(1+F5)</f>
        <v>714</v>
      </c>
      <c r="G9" s="151">
        <f t="shared" si="2"/>
        <v>728</v>
      </c>
      <c r="H9" s="151">
        <f t="shared" si="2"/>
        <v>742</v>
      </c>
      <c r="I9" s="151">
        <f t="shared" si="2"/>
        <v>756</v>
      </c>
      <c r="J9" s="151">
        <f t="shared" si="2"/>
        <v>770.00000000000011</v>
      </c>
      <c r="K9" s="151">
        <f t="shared" si="2"/>
        <v>784.00000000000011</v>
      </c>
      <c r="L9" s="151">
        <f t="shared" si="2"/>
        <v>798.00000000000011</v>
      </c>
      <c r="M9" s="151">
        <f t="shared" si="2"/>
        <v>812</v>
      </c>
      <c r="N9" s="151">
        <f t="shared" si="2"/>
        <v>826</v>
      </c>
      <c r="O9" s="151">
        <f t="shared" si="2"/>
        <v>840</v>
      </c>
      <c r="P9" s="151">
        <f t="shared" si="2"/>
        <v>854</v>
      </c>
      <c r="Q9" s="151">
        <f t="shared" si="2"/>
        <v>868</v>
      </c>
      <c r="R9" s="151">
        <f t="shared" si="2"/>
        <v>882</v>
      </c>
      <c r="S9" s="151">
        <f t="shared" si="2"/>
        <v>896</v>
      </c>
      <c r="T9" s="151">
        <f t="shared" si="2"/>
        <v>910</v>
      </c>
      <c r="U9" s="151">
        <f t="shared" si="2"/>
        <v>924</v>
      </c>
      <c r="V9" s="151">
        <f t="shared" si="2"/>
        <v>938</v>
      </c>
      <c r="W9" s="151">
        <f t="shared" si="2"/>
        <v>952.00000000000011</v>
      </c>
      <c r="X9" s="151">
        <f t="shared" si="2"/>
        <v>966.00000000000011</v>
      </c>
      <c r="Y9" s="151">
        <f t="shared" si="2"/>
        <v>980.00000000000011</v>
      </c>
      <c r="Z9" s="178"/>
      <c r="AA9" s="178"/>
      <c r="AB9" s="178"/>
      <c r="AC9" s="178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</row>
    <row r="10" spans="1:45" s="1" customFormat="1" ht="11.25">
      <c r="A10" s="47" t="s">
        <v>92</v>
      </c>
      <c r="B10" s="1" t="s">
        <v>682</v>
      </c>
      <c r="C10" s="1058">
        <f>1200-700</f>
        <v>500</v>
      </c>
      <c r="E10" s="151"/>
      <c r="F10" s="151"/>
      <c r="G10" s="151"/>
      <c r="H10" s="151"/>
      <c r="I10" s="151">
        <f>IF(Tables!$B$36="Combined Cycle",($C$10*(1+I5)),0)</f>
        <v>0</v>
      </c>
      <c r="J10" s="151">
        <f>IF(Tables!$B$36="Combined Cycle",($C$10*(1+J5)),0)</f>
        <v>0</v>
      </c>
      <c r="K10" s="151">
        <f>IF(Tables!$B$36="Combined Cycle",($C$10*(1+K5)),0)</f>
        <v>0</v>
      </c>
      <c r="L10" s="151">
        <f>IF(Tables!$B$36="Combined Cycle",($C$10*(1+L5)),0)</f>
        <v>0</v>
      </c>
      <c r="M10" s="151">
        <f>IF(Tables!$B$36="Combined Cycle",($C$10*(1+M5)),0)</f>
        <v>0</v>
      </c>
      <c r="N10" s="151">
        <f>IF(Tables!$B$36="Combined Cycle",($C$10*(1+N5)),0)</f>
        <v>0</v>
      </c>
      <c r="O10" s="151">
        <f>IF(Tables!$B$36="Combined Cycle",($C$10*(1+O5)),0)</f>
        <v>0</v>
      </c>
      <c r="P10" s="151">
        <f>IF(Tables!$B$36="Combined Cycle",($C$10*(1+P5)),0)</f>
        <v>0</v>
      </c>
      <c r="Q10" s="151">
        <f>IF(Tables!$B$36="Combined Cycle",($C$10*(1+Q5)),0)</f>
        <v>0</v>
      </c>
      <c r="R10" s="151">
        <f>IF(Tables!$B$36="Combined Cycle",($C$10*(1+R5)),0)</f>
        <v>0</v>
      </c>
      <c r="S10" s="151">
        <f>IF(Tables!$B$36="Combined Cycle",($C$10*(1+S5)),0)</f>
        <v>0</v>
      </c>
      <c r="T10" s="151">
        <f>IF(Tables!$B$36="Combined Cycle",($C$10*(1+T5)),0)</f>
        <v>0</v>
      </c>
      <c r="U10" s="151">
        <f>IF(Tables!$B$36="Combined Cycle",($C$10*(1+U5)),0)</f>
        <v>0</v>
      </c>
      <c r="V10" s="151">
        <f>IF(Tables!$B$36="Combined Cycle",($C$10*(1+V5)),0)</f>
        <v>0</v>
      </c>
      <c r="W10" s="151">
        <f>IF(Tables!$B$36="Combined Cycle",($C$10*(1+W5)),0)</f>
        <v>0</v>
      </c>
      <c r="X10" s="151">
        <f>IF(Tables!$B$36="Combined Cycle",($C$10*(1+X5)),0)</f>
        <v>0</v>
      </c>
      <c r="Y10" s="151">
        <f>IF(Tables!$B$36="Combined Cycle",($C$10*(1+Y5)),0)</f>
        <v>0</v>
      </c>
      <c r="Z10" s="178"/>
      <c r="AA10" s="178"/>
      <c r="AB10" s="178"/>
      <c r="AC10" s="178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</row>
    <row r="11" spans="1:45" s="1" customFormat="1" ht="11.25">
      <c r="A11" s="47" t="s">
        <v>92</v>
      </c>
      <c r="B11" s="1" t="s">
        <v>71</v>
      </c>
      <c r="C11" s="1058">
        <f>(25*Assumptions!E31)*(1+H1)</f>
        <v>36.75</v>
      </c>
      <c r="E11" s="151">
        <f t="shared" ref="E11:Y11" si="3">$C$11*(1+E$6)</f>
        <v>36.75</v>
      </c>
      <c r="F11" s="151">
        <f t="shared" si="3"/>
        <v>37.484999999999999</v>
      </c>
      <c r="G11" s="151">
        <f t="shared" si="3"/>
        <v>38.22</v>
      </c>
      <c r="H11" s="151">
        <f t="shared" si="3"/>
        <v>38.955000000000005</v>
      </c>
      <c r="I11" s="151">
        <f t="shared" si="3"/>
        <v>39.690000000000005</v>
      </c>
      <c r="J11" s="151">
        <f t="shared" si="3"/>
        <v>40.425000000000004</v>
      </c>
      <c r="K11" s="151">
        <f t="shared" si="3"/>
        <v>41.160000000000004</v>
      </c>
      <c r="L11" s="151">
        <f t="shared" si="3"/>
        <v>41.895000000000003</v>
      </c>
      <c r="M11" s="151">
        <f t="shared" si="3"/>
        <v>42.629999999999995</v>
      </c>
      <c r="N11" s="151">
        <f t="shared" si="3"/>
        <v>43.364999999999995</v>
      </c>
      <c r="O11" s="151">
        <f t="shared" si="3"/>
        <v>44.1</v>
      </c>
      <c r="P11" s="151">
        <f t="shared" si="3"/>
        <v>44.835000000000001</v>
      </c>
      <c r="Q11" s="151">
        <f t="shared" si="3"/>
        <v>45.57</v>
      </c>
      <c r="R11" s="151">
        <f t="shared" si="3"/>
        <v>46.305</v>
      </c>
      <c r="S11" s="151">
        <f t="shared" si="3"/>
        <v>47.04</v>
      </c>
      <c r="T11" s="151">
        <f t="shared" si="3"/>
        <v>47.774999999999999</v>
      </c>
      <c r="U11" s="151">
        <f t="shared" si="3"/>
        <v>48.510000000000005</v>
      </c>
      <c r="V11" s="151">
        <f t="shared" si="3"/>
        <v>49.245000000000005</v>
      </c>
      <c r="W11" s="151">
        <f t="shared" si="3"/>
        <v>49.980000000000004</v>
      </c>
      <c r="X11" s="151">
        <f t="shared" si="3"/>
        <v>50.715000000000003</v>
      </c>
      <c r="Y11" s="151">
        <f t="shared" si="3"/>
        <v>51.45</v>
      </c>
      <c r="Z11" s="178"/>
      <c r="AA11" s="178"/>
      <c r="AB11" s="178"/>
      <c r="AC11" s="178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</row>
    <row r="12" spans="1:45" s="1" customFormat="1" ht="11.25">
      <c r="A12" s="47" t="s">
        <v>92</v>
      </c>
      <c r="B12" s="1" t="s">
        <v>72</v>
      </c>
      <c r="C12" s="1058">
        <f>(100*Assumptions!E31)*(1+H1)</f>
        <v>147</v>
      </c>
      <c r="E12" s="151">
        <f t="shared" ref="E12:Y12" si="4">$C$12*(1+E$6)</f>
        <v>147</v>
      </c>
      <c r="F12" s="151">
        <f t="shared" si="4"/>
        <v>149.94</v>
      </c>
      <c r="G12" s="151">
        <f t="shared" si="4"/>
        <v>152.88</v>
      </c>
      <c r="H12" s="151">
        <f t="shared" si="4"/>
        <v>155.82000000000002</v>
      </c>
      <c r="I12" s="151">
        <f t="shared" si="4"/>
        <v>158.76000000000002</v>
      </c>
      <c r="J12" s="151">
        <f t="shared" si="4"/>
        <v>161.70000000000002</v>
      </c>
      <c r="K12" s="151">
        <f t="shared" si="4"/>
        <v>164.64000000000001</v>
      </c>
      <c r="L12" s="151">
        <f t="shared" si="4"/>
        <v>167.58</v>
      </c>
      <c r="M12" s="151">
        <f t="shared" si="4"/>
        <v>170.51999999999998</v>
      </c>
      <c r="N12" s="151">
        <f t="shared" si="4"/>
        <v>173.45999999999998</v>
      </c>
      <c r="O12" s="151">
        <f t="shared" si="4"/>
        <v>176.4</v>
      </c>
      <c r="P12" s="151">
        <f t="shared" si="4"/>
        <v>179.34</v>
      </c>
      <c r="Q12" s="151">
        <f t="shared" si="4"/>
        <v>182.28</v>
      </c>
      <c r="R12" s="151">
        <f t="shared" si="4"/>
        <v>185.22</v>
      </c>
      <c r="S12" s="151">
        <f t="shared" si="4"/>
        <v>188.16</v>
      </c>
      <c r="T12" s="151">
        <f t="shared" si="4"/>
        <v>191.1</v>
      </c>
      <c r="U12" s="151">
        <f t="shared" si="4"/>
        <v>194.04000000000002</v>
      </c>
      <c r="V12" s="151">
        <f t="shared" si="4"/>
        <v>196.98000000000002</v>
      </c>
      <c r="W12" s="151">
        <f t="shared" si="4"/>
        <v>199.92000000000002</v>
      </c>
      <c r="X12" s="151">
        <f t="shared" si="4"/>
        <v>202.86</v>
      </c>
      <c r="Y12" s="151">
        <f t="shared" si="4"/>
        <v>205.8</v>
      </c>
      <c r="Z12" s="178"/>
      <c r="AA12" s="178"/>
      <c r="AB12" s="178"/>
      <c r="AC12" s="178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</row>
    <row r="13" spans="1:45" s="1" customFormat="1" ht="11.25">
      <c r="A13" s="47" t="s">
        <v>92</v>
      </c>
      <c r="B13" s="1" t="s">
        <v>73</v>
      </c>
      <c r="C13" s="1058">
        <f>(15*Assumptions!E31)*(1+H1)</f>
        <v>22.05</v>
      </c>
      <c r="E13" s="151">
        <f t="shared" ref="E13:Y13" si="5">$C$13*(1+E$6)</f>
        <v>22.05</v>
      </c>
      <c r="F13" s="151">
        <f t="shared" si="5"/>
        <v>22.491</v>
      </c>
      <c r="G13" s="151">
        <f t="shared" si="5"/>
        <v>22.932000000000002</v>
      </c>
      <c r="H13" s="151">
        <f t="shared" si="5"/>
        <v>23.373000000000001</v>
      </c>
      <c r="I13" s="151">
        <f t="shared" si="5"/>
        <v>23.814000000000004</v>
      </c>
      <c r="J13" s="151">
        <f t="shared" si="5"/>
        <v>24.255000000000003</v>
      </c>
      <c r="K13" s="151">
        <f t="shared" si="5"/>
        <v>24.696000000000002</v>
      </c>
      <c r="L13" s="151">
        <f t="shared" si="5"/>
        <v>25.137000000000004</v>
      </c>
      <c r="M13" s="151">
        <f t="shared" si="5"/>
        <v>25.577999999999999</v>
      </c>
      <c r="N13" s="151">
        <f t="shared" si="5"/>
        <v>26.018999999999998</v>
      </c>
      <c r="O13" s="151">
        <f t="shared" si="5"/>
        <v>26.46</v>
      </c>
      <c r="P13" s="151">
        <f t="shared" si="5"/>
        <v>26.901</v>
      </c>
      <c r="Q13" s="151">
        <f t="shared" si="5"/>
        <v>27.342000000000002</v>
      </c>
      <c r="R13" s="151">
        <f t="shared" si="5"/>
        <v>27.783000000000001</v>
      </c>
      <c r="S13" s="151">
        <f t="shared" si="5"/>
        <v>28.224</v>
      </c>
      <c r="T13" s="151">
        <f t="shared" si="5"/>
        <v>28.665000000000003</v>
      </c>
      <c r="U13" s="151">
        <f t="shared" si="5"/>
        <v>29.106000000000002</v>
      </c>
      <c r="V13" s="151">
        <f t="shared" si="5"/>
        <v>29.547000000000004</v>
      </c>
      <c r="W13" s="151">
        <f t="shared" si="5"/>
        <v>29.988000000000003</v>
      </c>
      <c r="X13" s="151">
        <f t="shared" si="5"/>
        <v>30.429000000000002</v>
      </c>
      <c r="Y13" s="151">
        <f t="shared" si="5"/>
        <v>30.870000000000005</v>
      </c>
      <c r="Z13" s="178"/>
      <c r="AA13" s="178"/>
      <c r="AB13" s="178"/>
      <c r="AC13" s="178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</row>
    <row r="14" spans="1:45" s="1" customFormat="1" ht="11.25">
      <c r="A14" s="47" t="s">
        <v>92</v>
      </c>
      <c r="B14" s="1" t="s">
        <v>74</v>
      </c>
      <c r="C14" s="1058">
        <f>(50*Assumptions!E31)*(1+H1)</f>
        <v>73.5</v>
      </c>
      <c r="E14" s="151">
        <f t="shared" ref="E14:Y14" si="6">$C$14*(1+E$6)</f>
        <v>73.5</v>
      </c>
      <c r="F14" s="151">
        <f t="shared" si="6"/>
        <v>74.97</v>
      </c>
      <c r="G14" s="151">
        <f t="shared" si="6"/>
        <v>76.44</v>
      </c>
      <c r="H14" s="151">
        <f t="shared" si="6"/>
        <v>77.910000000000011</v>
      </c>
      <c r="I14" s="151">
        <f t="shared" si="6"/>
        <v>79.38000000000001</v>
      </c>
      <c r="J14" s="151">
        <f t="shared" si="6"/>
        <v>80.850000000000009</v>
      </c>
      <c r="K14" s="151">
        <f t="shared" si="6"/>
        <v>82.320000000000007</v>
      </c>
      <c r="L14" s="151">
        <f t="shared" si="6"/>
        <v>83.79</v>
      </c>
      <c r="M14" s="151">
        <f t="shared" si="6"/>
        <v>85.259999999999991</v>
      </c>
      <c r="N14" s="151">
        <f t="shared" si="6"/>
        <v>86.72999999999999</v>
      </c>
      <c r="O14" s="151">
        <f t="shared" si="6"/>
        <v>88.2</v>
      </c>
      <c r="P14" s="151">
        <f t="shared" si="6"/>
        <v>89.67</v>
      </c>
      <c r="Q14" s="151">
        <f t="shared" si="6"/>
        <v>91.14</v>
      </c>
      <c r="R14" s="151">
        <f t="shared" si="6"/>
        <v>92.61</v>
      </c>
      <c r="S14" s="151">
        <f t="shared" si="6"/>
        <v>94.08</v>
      </c>
      <c r="T14" s="151">
        <f t="shared" si="6"/>
        <v>95.55</v>
      </c>
      <c r="U14" s="151">
        <f t="shared" si="6"/>
        <v>97.02000000000001</v>
      </c>
      <c r="V14" s="151">
        <f t="shared" si="6"/>
        <v>98.490000000000009</v>
      </c>
      <c r="W14" s="151">
        <f t="shared" si="6"/>
        <v>99.960000000000008</v>
      </c>
      <c r="X14" s="151">
        <f t="shared" si="6"/>
        <v>101.43</v>
      </c>
      <c r="Y14" s="151">
        <f t="shared" si="6"/>
        <v>102.9</v>
      </c>
      <c r="Z14" s="178"/>
      <c r="AA14" s="178"/>
      <c r="AB14" s="178"/>
      <c r="AC14" s="178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</row>
    <row r="15" spans="1:45" s="1" customFormat="1" ht="11.25">
      <c r="A15" s="47" t="s">
        <v>92</v>
      </c>
      <c r="B15" s="1" t="s">
        <v>75</v>
      </c>
      <c r="C15" s="1058">
        <f>(35*Assumptions!E31)*(1+H1)</f>
        <v>51.449999999999996</v>
      </c>
      <c r="E15" s="151">
        <f t="shared" ref="E15:Y15" si="7">$C$15*(1+E6)</f>
        <v>51.449999999999996</v>
      </c>
      <c r="F15" s="151">
        <f t="shared" si="7"/>
        <v>52.478999999999999</v>
      </c>
      <c r="G15" s="151">
        <f t="shared" si="7"/>
        <v>53.507999999999996</v>
      </c>
      <c r="H15" s="151">
        <f t="shared" si="7"/>
        <v>54.536999999999999</v>
      </c>
      <c r="I15" s="151">
        <f t="shared" si="7"/>
        <v>55.566000000000003</v>
      </c>
      <c r="J15" s="151">
        <f t="shared" si="7"/>
        <v>56.594999999999999</v>
      </c>
      <c r="K15" s="151">
        <f t="shared" si="7"/>
        <v>57.624000000000002</v>
      </c>
      <c r="L15" s="151">
        <f t="shared" si="7"/>
        <v>58.652999999999999</v>
      </c>
      <c r="M15" s="151">
        <f t="shared" si="7"/>
        <v>59.681999999999988</v>
      </c>
      <c r="N15" s="151">
        <f t="shared" si="7"/>
        <v>60.710999999999991</v>
      </c>
      <c r="O15" s="151">
        <f t="shared" si="7"/>
        <v>61.739999999999995</v>
      </c>
      <c r="P15" s="151">
        <f t="shared" si="7"/>
        <v>62.768999999999991</v>
      </c>
      <c r="Q15" s="151">
        <f t="shared" si="7"/>
        <v>63.797999999999995</v>
      </c>
      <c r="R15" s="151">
        <f t="shared" si="7"/>
        <v>64.826999999999998</v>
      </c>
      <c r="S15" s="151">
        <f t="shared" si="7"/>
        <v>65.855999999999995</v>
      </c>
      <c r="T15" s="151">
        <f t="shared" si="7"/>
        <v>66.884999999999991</v>
      </c>
      <c r="U15" s="151">
        <f t="shared" si="7"/>
        <v>67.914000000000001</v>
      </c>
      <c r="V15" s="151">
        <f t="shared" si="7"/>
        <v>68.942999999999998</v>
      </c>
      <c r="W15" s="151">
        <f t="shared" si="7"/>
        <v>69.971999999999994</v>
      </c>
      <c r="X15" s="151">
        <f t="shared" si="7"/>
        <v>71.001000000000005</v>
      </c>
      <c r="Y15" s="151">
        <f t="shared" si="7"/>
        <v>72.03</v>
      </c>
      <c r="Z15" s="178"/>
      <c r="AA15" s="178"/>
      <c r="AB15" s="178"/>
      <c r="AC15" s="178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</row>
    <row r="16" spans="1:45" s="1" customFormat="1" ht="11.25">
      <c r="A16" s="47" t="s">
        <v>92</v>
      </c>
      <c r="B16" s="1" t="s">
        <v>250</v>
      </c>
      <c r="C16" s="1058">
        <v>0</v>
      </c>
      <c r="E16" s="151">
        <f t="shared" ref="E16:Y16" si="8">$C$16*(1+E6)</f>
        <v>0</v>
      </c>
      <c r="F16" s="151">
        <f t="shared" si="8"/>
        <v>0</v>
      </c>
      <c r="G16" s="151">
        <f t="shared" si="8"/>
        <v>0</v>
      </c>
      <c r="H16" s="151">
        <f t="shared" si="8"/>
        <v>0</v>
      </c>
      <c r="I16" s="151">
        <f t="shared" si="8"/>
        <v>0</v>
      </c>
      <c r="J16" s="151">
        <f t="shared" si="8"/>
        <v>0</v>
      </c>
      <c r="K16" s="151">
        <f t="shared" si="8"/>
        <v>0</v>
      </c>
      <c r="L16" s="151">
        <f t="shared" si="8"/>
        <v>0</v>
      </c>
      <c r="M16" s="151">
        <f t="shared" si="8"/>
        <v>0</v>
      </c>
      <c r="N16" s="151">
        <f t="shared" si="8"/>
        <v>0</v>
      </c>
      <c r="O16" s="151">
        <f t="shared" si="8"/>
        <v>0</v>
      </c>
      <c r="P16" s="151">
        <f t="shared" si="8"/>
        <v>0</v>
      </c>
      <c r="Q16" s="151">
        <f t="shared" si="8"/>
        <v>0</v>
      </c>
      <c r="R16" s="151">
        <f t="shared" si="8"/>
        <v>0</v>
      </c>
      <c r="S16" s="151">
        <f t="shared" si="8"/>
        <v>0</v>
      </c>
      <c r="T16" s="151">
        <f t="shared" si="8"/>
        <v>0</v>
      </c>
      <c r="U16" s="151">
        <f t="shared" si="8"/>
        <v>0</v>
      </c>
      <c r="V16" s="151">
        <f t="shared" si="8"/>
        <v>0</v>
      </c>
      <c r="W16" s="151">
        <f t="shared" si="8"/>
        <v>0</v>
      </c>
      <c r="X16" s="151">
        <f t="shared" si="8"/>
        <v>0</v>
      </c>
      <c r="Y16" s="151">
        <f t="shared" si="8"/>
        <v>0</v>
      </c>
      <c r="Z16" s="178"/>
      <c r="AA16" s="178"/>
      <c r="AB16" s="178"/>
      <c r="AC16" s="178"/>
      <c r="AD16" s="7"/>
      <c r="AE16" s="8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</row>
    <row r="17" spans="1:45" s="1" customFormat="1" ht="11.25">
      <c r="A17" s="47" t="s">
        <v>92</v>
      </c>
      <c r="B17" s="1" t="s">
        <v>77</v>
      </c>
      <c r="C17" s="1058">
        <f>(200*Assumptions!E31)*(1+H1)</f>
        <v>294</v>
      </c>
      <c r="E17" s="151">
        <f t="shared" ref="E17:Y17" si="9">$C$17*(1+E$6)</f>
        <v>294</v>
      </c>
      <c r="F17" s="151">
        <f t="shared" si="9"/>
        <v>299.88</v>
      </c>
      <c r="G17" s="151">
        <f t="shared" si="9"/>
        <v>305.76</v>
      </c>
      <c r="H17" s="151">
        <f t="shared" si="9"/>
        <v>311.64000000000004</v>
      </c>
      <c r="I17" s="151">
        <f t="shared" si="9"/>
        <v>317.52000000000004</v>
      </c>
      <c r="J17" s="151">
        <f t="shared" si="9"/>
        <v>323.40000000000003</v>
      </c>
      <c r="K17" s="151">
        <f t="shared" si="9"/>
        <v>329.28000000000003</v>
      </c>
      <c r="L17" s="151">
        <f t="shared" si="9"/>
        <v>335.16</v>
      </c>
      <c r="M17" s="151">
        <f t="shared" si="9"/>
        <v>341.03999999999996</v>
      </c>
      <c r="N17" s="151">
        <f t="shared" si="9"/>
        <v>346.91999999999996</v>
      </c>
      <c r="O17" s="151">
        <f t="shared" si="9"/>
        <v>352.8</v>
      </c>
      <c r="P17" s="151">
        <f t="shared" si="9"/>
        <v>358.68</v>
      </c>
      <c r="Q17" s="151">
        <f t="shared" si="9"/>
        <v>364.56</v>
      </c>
      <c r="R17" s="151">
        <f t="shared" si="9"/>
        <v>370.44</v>
      </c>
      <c r="S17" s="151">
        <f t="shared" si="9"/>
        <v>376.32</v>
      </c>
      <c r="T17" s="151">
        <f t="shared" si="9"/>
        <v>382.2</v>
      </c>
      <c r="U17" s="151">
        <f t="shared" si="9"/>
        <v>388.08000000000004</v>
      </c>
      <c r="V17" s="151">
        <f t="shared" si="9"/>
        <v>393.96000000000004</v>
      </c>
      <c r="W17" s="151">
        <f t="shared" si="9"/>
        <v>399.84000000000003</v>
      </c>
      <c r="X17" s="151">
        <f t="shared" si="9"/>
        <v>405.72</v>
      </c>
      <c r="Y17" s="151">
        <f t="shared" si="9"/>
        <v>411.6</v>
      </c>
      <c r="Z17" s="178"/>
      <c r="AA17" s="178"/>
      <c r="AB17" s="178"/>
      <c r="AC17" s="178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</row>
    <row r="18" spans="1:45" s="1" customFormat="1" ht="11.25">
      <c r="A18" s="47" t="s">
        <v>92</v>
      </c>
      <c r="B18" s="1" t="s">
        <v>683</v>
      </c>
      <c r="C18" s="151"/>
      <c r="E18" s="151"/>
      <c r="F18" s="151"/>
      <c r="G18" s="151"/>
      <c r="H18" s="151"/>
      <c r="I18" s="151">
        <f>IF(Tables!$B$36="Combined Cycle",'O &amp; M'!I58*'O &amp; M'!$C$57,0)/1000</f>
        <v>0</v>
      </c>
      <c r="J18" s="151">
        <f>IF(Tables!$B$36="Combined Cycle",'O &amp; M'!J58*'O &amp; M'!$C$57,0)/1000</f>
        <v>0</v>
      </c>
      <c r="K18" s="151">
        <f>IF(Tables!$B$36="Combined Cycle",'O &amp; M'!K58*'O &amp; M'!$C$57,0)/1000</f>
        <v>0</v>
      </c>
      <c r="L18" s="151">
        <f>IF(Tables!$B$36="Combined Cycle",'O &amp; M'!L58*'O &amp; M'!$C$57,0)/1000</f>
        <v>0</v>
      </c>
      <c r="M18" s="151">
        <f>IF(Tables!$B$36="Combined Cycle",'O &amp; M'!M58*'O &amp; M'!$C$57,0)/1000</f>
        <v>0</v>
      </c>
      <c r="N18" s="151">
        <f>IF(Tables!$B$36="Combined Cycle",'O &amp; M'!N58*'O &amp; M'!$C$57,0)/1000</f>
        <v>0</v>
      </c>
      <c r="O18" s="151">
        <f>IF(Tables!$B$36="Combined Cycle",'O &amp; M'!O58*'O &amp; M'!$C$57,0)/1000</f>
        <v>0</v>
      </c>
      <c r="P18" s="151">
        <f>IF(Tables!$B$36="Combined Cycle",'O &amp; M'!P58*'O &amp; M'!$C$57,0)/1000</f>
        <v>0</v>
      </c>
      <c r="Q18" s="151">
        <f>IF(Tables!$B$36="Combined Cycle",'O &amp; M'!Q58*'O &amp; M'!$C$57,0)/1000</f>
        <v>0</v>
      </c>
      <c r="R18" s="151">
        <f>IF(Tables!$B$36="Combined Cycle",'O &amp; M'!R58*'O &amp; M'!$C$57,0)/1000</f>
        <v>0</v>
      </c>
      <c r="S18" s="151">
        <f>IF(Tables!$B$36="Combined Cycle",'O &amp; M'!S58*'O &amp; M'!$C$57,0)/1000</f>
        <v>0</v>
      </c>
      <c r="T18" s="151">
        <f>IF(Tables!$B$36="Combined Cycle",'O &amp; M'!T58*'O &amp; M'!$C$57,0)/1000</f>
        <v>0</v>
      </c>
      <c r="U18" s="151">
        <f>IF(Tables!$B$36="Combined Cycle",'O &amp; M'!U58*'O &amp; M'!$C$57,0)/1000</f>
        <v>0</v>
      </c>
      <c r="V18" s="151">
        <f>IF(Tables!$B$36="Combined Cycle",'O &amp; M'!V58*'O &amp; M'!$C$57,0)/1000</f>
        <v>0</v>
      </c>
      <c r="W18" s="151">
        <f>IF(Tables!$B$36="Combined Cycle",'O &amp; M'!W58*'O &amp; M'!$C$57,0)/1000</f>
        <v>0</v>
      </c>
      <c r="X18" s="151">
        <f>IF(Tables!$B$36="Combined Cycle",'O &amp; M'!X58*'O &amp; M'!$C$57,0)/1000</f>
        <v>0</v>
      </c>
      <c r="Y18" s="151">
        <f>IF(Tables!$B$36="Combined Cycle",'O &amp; M'!Y58*'O &amp; M'!$C$57,0)/1000</f>
        <v>0</v>
      </c>
      <c r="Z18" s="178"/>
      <c r="AA18" s="178"/>
      <c r="AB18" s="178"/>
      <c r="AC18" s="178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</row>
    <row r="19" spans="1:45" s="1" customFormat="1" ht="11.25">
      <c r="A19" s="47" t="s">
        <v>92</v>
      </c>
      <c r="B19" s="1" t="s">
        <v>698</v>
      </c>
      <c r="C19" s="178">
        <f>Tables!T36</f>
        <v>0</v>
      </c>
      <c r="E19" s="151"/>
      <c r="F19" s="151"/>
      <c r="G19" s="151"/>
      <c r="H19" s="151"/>
      <c r="I19" s="151">
        <f>$C$19*(1+I$6)</f>
        <v>0</v>
      </c>
      <c r="J19" s="151">
        <f t="shared" ref="J19:Y19" si="10">$C$19*(1+J$6)</f>
        <v>0</v>
      </c>
      <c r="K19" s="151">
        <f t="shared" si="10"/>
        <v>0</v>
      </c>
      <c r="L19" s="151">
        <f t="shared" si="10"/>
        <v>0</v>
      </c>
      <c r="M19" s="151">
        <f t="shared" si="10"/>
        <v>0</v>
      </c>
      <c r="N19" s="151">
        <f t="shared" si="10"/>
        <v>0</v>
      </c>
      <c r="O19" s="151">
        <f t="shared" si="10"/>
        <v>0</v>
      </c>
      <c r="P19" s="151">
        <f t="shared" si="10"/>
        <v>0</v>
      </c>
      <c r="Q19" s="151">
        <f t="shared" si="10"/>
        <v>0</v>
      </c>
      <c r="R19" s="151">
        <f t="shared" si="10"/>
        <v>0</v>
      </c>
      <c r="S19" s="151">
        <f t="shared" si="10"/>
        <v>0</v>
      </c>
      <c r="T19" s="151">
        <f t="shared" si="10"/>
        <v>0</v>
      </c>
      <c r="U19" s="151">
        <f t="shared" si="10"/>
        <v>0</v>
      </c>
      <c r="V19" s="151">
        <f t="shared" si="10"/>
        <v>0</v>
      </c>
      <c r="W19" s="151">
        <f t="shared" si="10"/>
        <v>0</v>
      </c>
      <c r="X19" s="151">
        <f t="shared" si="10"/>
        <v>0</v>
      </c>
      <c r="Y19" s="151">
        <f t="shared" si="10"/>
        <v>0</v>
      </c>
      <c r="Z19" s="178"/>
      <c r="AA19" s="178"/>
      <c r="AB19" s="178"/>
      <c r="AC19" s="178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</row>
    <row r="20" spans="1:45" s="1" customFormat="1" ht="11.25">
      <c r="A20" s="47" t="s">
        <v>251</v>
      </c>
      <c r="B20" s="1" t="s">
        <v>69</v>
      </c>
      <c r="C20" s="1058">
        <f>50*Assumptions!E31</f>
        <v>73.5</v>
      </c>
      <c r="E20" s="151">
        <f t="shared" ref="E20:Y20" si="11">(E48*E42)/1000</f>
        <v>0</v>
      </c>
      <c r="F20" s="151">
        <f>(F48*F42)/1000</f>
        <v>83.262130695450125</v>
      </c>
      <c r="G20" s="151">
        <f t="shared" si="11"/>
        <v>104.03688859200014</v>
      </c>
      <c r="H20" s="151">
        <f t="shared" si="11"/>
        <v>107.81158064040015</v>
      </c>
      <c r="I20" s="151">
        <f t="shared" si="11"/>
        <v>88.488432698400118</v>
      </c>
      <c r="J20" s="151">
        <f t="shared" si="11"/>
        <v>89.889646077000123</v>
      </c>
      <c r="K20" s="151">
        <f t="shared" si="11"/>
        <v>93.149242099200109</v>
      </c>
      <c r="L20" s="151">
        <f t="shared" si="11"/>
        <v>93.441672065700132</v>
      </c>
      <c r="M20" s="151">
        <f t="shared" si="11"/>
        <v>94.834522364400115</v>
      </c>
      <c r="N20" s="151">
        <f t="shared" si="11"/>
        <v>97.377153463800127</v>
      </c>
      <c r="O20" s="151">
        <f t="shared" si="11"/>
        <v>98.768565000000123</v>
      </c>
      <c r="P20" s="151">
        <f t="shared" si="11"/>
        <v>100.15134157980012</v>
      </c>
      <c r="Q20" s="151">
        <f t="shared" si="11"/>
        <v>88.240359482100118</v>
      </c>
      <c r="R20" s="151">
        <f t="shared" si="11"/>
        <v>91.262591642250129</v>
      </c>
      <c r="S20" s="151">
        <f t="shared" si="11"/>
        <v>92.481268924800119</v>
      </c>
      <c r="T20" s="151">
        <f t="shared" si="11"/>
        <v>94.975268661000129</v>
      </c>
      <c r="U20" s="151">
        <f t="shared" si="11"/>
        <v>0</v>
      </c>
      <c r="V20" s="151">
        <f t="shared" si="11"/>
        <v>0</v>
      </c>
      <c r="W20" s="151">
        <f t="shared" si="11"/>
        <v>0</v>
      </c>
      <c r="X20" s="151">
        <f t="shared" si="11"/>
        <v>0</v>
      </c>
      <c r="Y20" s="151">
        <f t="shared" si="11"/>
        <v>0</v>
      </c>
      <c r="Z20" s="178"/>
      <c r="AA20" s="178"/>
      <c r="AB20" s="178"/>
      <c r="AC20" s="178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</row>
    <row r="21" spans="1:45" s="1" customFormat="1" ht="11.25">
      <c r="A21" s="47" t="s">
        <v>251</v>
      </c>
      <c r="B21" s="1" t="s">
        <v>70</v>
      </c>
      <c r="C21" s="1058">
        <f>50*Assumptions!E31</f>
        <v>73.5</v>
      </c>
      <c r="E21" s="151">
        <f t="shared" ref="E21:Y21" si="12">(E49*E42)/1000</f>
        <v>0</v>
      </c>
      <c r="F21" s="151">
        <f>(F49*F$42)/1000</f>
        <v>83.262130695450125</v>
      </c>
      <c r="G21" s="151">
        <f t="shared" si="12"/>
        <v>104.03688859200014</v>
      </c>
      <c r="H21" s="151">
        <f t="shared" si="12"/>
        <v>107.81158064040015</v>
      </c>
      <c r="I21" s="151">
        <f t="shared" si="12"/>
        <v>88.488432698400118</v>
      </c>
      <c r="J21" s="151">
        <f t="shared" si="12"/>
        <v>89.889646077000123</v>
      </c>
      <c r="K21" s="151">
        <f t="shared" si="12"/>
        <v>93.149242099200109</v>
      </c>
      <c r="L21" s="151">
        <f t="shared" si="12"/>
        <v>93.441672065700132</v>
      </c>
      <c r="M21" s="151">
        <f t="shared" si="12"/>
        <v>94.834522364400115</v>
      </c>
      <c r="N21" s="151">
        <f t="shared" si="12"/>
        <v>97.377153463800127</v>
      </c>
      <c r="O21" s="151">
        <f t="shared" si="12"/>
        <v>98.768565000000123</v>
      </c>
      <c r="P21" s="151">
        <f t="shared" si="12"/>
        <v>100.15134157980012</v>
      </c>
      <c r="Q21" s="151">
        <f t="shared" si="12"/>
        <v>88.240359482100118</v>
      </c>
      <c r="R21" s="151">
        <f t="shared" si="12"/>
        <v>91.262591642250129</v>
      </c>
      <c r="S21" s="151">
        <f t="shared" si="12"/>
        <v>92.481268924800119</v>
      </c>
      <c r="T21" s="151">
        <f t="shared" si="12"/>
        <v>94.975268661000129</v>
      </c>
      <c r="U21" s="151">
        <f t="shared" si="12"/>
        <v>0</v>
      </c>
      <c r="V21" s="151">
        <f t="shared" si="12"/>
        <v>0</v>
      </c>
      <c r="W21" s="151">
        <f t="shared" si="12"/>
        <v>0</v>
      </c>
      <c r="X21" s="151">
        <f t="shared" si="12"/>
        <v>0</v>
      </c>
      <c r="Y21" s="151">
        <f t="shared" si="12"/>
        <v>0</v>
      </c>
      <c r="Z21" s="178"/>
      <c r="AA21" s="178"/>
      <c r="AB21" s="178"/>
      <c r="AC21" s="178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</row>
    <row r="22" spans="1:45" s="1" customFormat="1" ht="11.25">
      <c r="A22" s="47" t="s">
        <v>251</v>
      </c>
      <c r="B22" s="1" t="s">
        <v>76</v>
      </c>
      <c r="C22" s="1059">
        <f>(('Operational Detail'!E8*Tables!$D$10*Assumptions!B58)/1000)*Assumptions!E31</f>
        <v>355.35427200000004</v>
      </c>
      <c r="E22" s="151">
        <f>(E39*Tables!$D$10*E47)/1000</f>
        <v>0</v>
      </c>
      <c r="F22" s="151">
        <f>(F47*F$42)/1000</f>
        <v>324.07660339257598</v>
      </c>
      <c r="G22" s="151">
        <f t="shared" ref="G22:Y22" si="13">(G47*G$42)/1000</f>
        <v>405.09279384053758</v>
      </c>
      <c r="H22" s="151">
        <f t="shared" si="13"/>
        <v>420.10729348306279</v>
      </c>
      <c r="I22" s="151">
        <f t="shared" si="13"/>
        <v>345.19428150012561</v>
      </c>
      <c r="J22" s="151">
        <f t="shared" si="13"/>
        <v>351.1704807627429</v>
      </c>
      <c r="K22" s="151">
        <f t="shared" si="13"/>
        <v>364.55452360166584</v>
      </c>
      <c r="L22" s="151">
        <f t="shared" si="13"/>
        <v>366.46888787672037</v>
      </c>
      <c r="M22" s="151">
        <f t="shared" si="13"/>
        <v>372.82927308423132</v>
      </c>
      <c r="N22" s="151">
        <f t="shared" si="13"/>
        <v>383.86345831934318</v>
      </c>
      <c r="O22" s="151">
        <f t="shared" si="13"/>
        <v>390.51648677610962</v>
      </c>
      <c r="P22" s="151">
        <f t="shared" si="13"/>
        <v>397.28209098781895</v>
      </c>
      <c r="Q22" s="151">
        <f t="shared" si="13"/>
        <v>351.27545316657751</v>
      </c>
      <c r="R22" s="151">
        <f t="shared" si="13"/>
        <v>364.69066211516093</v>
      </c>
      <c r="S22" s="151">
        <f t="shared" si="13"/>
        <v>371.06190773019625</v>
      </c>
      <c r="T22" s="151">
        <f t="shared" si="13"/>
        <v>382.71009045270739</v>
      </c>
      <c r="U22" s="151">
        <f t="shared" si="13"/>
        <v>0</v>
      </c>
      <c r="V22" s="151">
        <f t="shared" si="13"/>
        <v>0</v>
      </c>
      <c r="W22" s="151">
        <f t="shared" si="13"/>
        <v>0</v>
      </c>
      <c r="X22" s="151">
        <f t="shared" si="13"/>
        <v>0</v>
      </c>
      <c r="Y22" s="151">
        <f t="shared" si="13"/>
        <v>0</v>
      </c>
      <c r="Z22" s="178"/>
      <c r="AA22" s="178"/>
      <c r="AB22" s="178"/>
      <c r="AC22" s="178"/>
      <c r="AD22" s="178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</row>
    <row r="23" spans="1:45" s="1" customFormat="1" ht="11.25">
      <c r="A23" s="47" t="s">
        <v>251</v>
      </c>
      <c r="B23" s="1" t="s">
        <v>486</v>
      </c>
      <c r="C23" s="1059">
        <f>600*Assumptions!E31</f>
        <v>882</v>
      </c>
      <c r="E23" s="151">
        <f>(E50*E$42)/1000</f>
        <v>0</v>
      </c>
      <c r="F23" s="151">
        <f>(F50*F$42)/1000</f>
        <v>974.40482093875198</v>
      </c>
      <c r="G23" s="151">
        <f>(G50*G$42)/1000</f>
        <v>1217.5288447795201</v>
      </c>
      <c r="H23" s="151">
        <f>(H50*H$42)/1000</f>
        <v>1261.7035265802242</v>
      </c>
      <c r="I23" s="780">
        <f>IF(Tables!$B$21=3,0,IF(Tables!$B$36="Combined Cycle",1842,(I50*I42)/1000))</f>
        <v>1035.5674866647041</v>
      </c>
      <c r="J23" s="780">
        <f>IF(Tables!$B$21=3,0,IF(Tables!$B$36="Combined Cycle",1842,(J50*J42)/1000))</f>
        <v>1051.9656866611203</v>
      </c>
      <c r="K23" s="780">
        <f>IF(Tables!$B$21=3,0,IF(Tables!$B$36="Combined Cycle",1842,(K50*K42)/1000))</f>
        <v>1090.112273252352</v>
      </c>
      <c r="L23" s="780">
        <f>IF(Tables!$B$21=3,0,IF(Tables!$B$36="Combined Cycle",1842,(L50*L42)/1000))</f>
        <v>1093.5345393745922</v>
      </c>
      <c r="M23" s="780">
        <f>IF(Tables!$B$21=3,0,IF(Tables!$B$36="Combined Cycle",1842,(M50*M42)/1000))</f>
        <v>1109.8348674416641</v>
      </c>
      <c r="N23" s="780">
        <f>IF(Tables!$B$21=3,0,IF(Tables!$B$36="Combined Cycle",1842,(N50*N42)/1000))</f>
        <v>1139.5909159649282</v>
      </c>
      <c r="O23" s="780">
        <f>IF(Tables!$B$21=3,0,IF(Tables!$B$36="Combined Cycle",1842,(O50*O42)/1000))</f>
        <v>1155.8744064</v>
      </c>
      <c r="P23" s="780">
        <f>IF(Tables!$B$21=3,0,IF(Tables!$B$36="Combined Cycle",1842,(P50*P42)/1000))</f>
        <v>1172.056843173888</v>
      </c>
      <c r="Q23" s="780">
        <f>IF(Tables!$B$21=3,0,IF(Tables!$B$36="Combined Cycle",1842,(Q50*Q42)/1000))</f>
        <v>1032.6643212533761</v>
      </c>
      <c r="R23" s="780">
        <f>IF(Tables!$B$21=3,0,IF(Tables!$B$36="Combined Cycle",1842,(R50*R42)/1000))</f>
        <v>1068.0330724761602</v>
      </c>
      <c r="S23" s="780">
        <f>IF(Tables!$B$21=3,0,IF(Tables!$B$36="Combined Cycle",1842,(S50*S42)/1000))</f>
        <v>1082.2950786170879</v>
      </c>
      <c r="T23" s="780">
        <f>IF(Tables!$B$21=3,0,IF(Tables!$B$36="Combined Cycle",1842,(T50*T42)/1000))</f>
        <v>1111.4820012441601</v>
      </c>
      <c r="U23" s="780">
        <f>IF(Tables!$B$21=3,0,IF(Tables!$B$36="Combined Cycle",1842,(U50*U42)/1000))</f>
        <v>0</v>
      </c>
      <c r="V23" s="780">
        <f>IF(Tables!$B$21=3,0,IF(Tables!$B$36="Combined Cycle",1842,(V50*V42)/1000))</f>
        <v>0</v>
      </c>
      <c r="W23" s="780">
        <f>IF(Tables!$B$21=3,0,IF(Tables!$B$36="Combined Cycle",1842,(W50*W42)/1000))</f>
        <v>0</v>
      </c>
      <c r="X23" s="780">
        <f>IF(Tables!$B$21=3,0,IF(Tables!$B$36="Combined Cycle",1842,(X50*X42)/1000))</f>
        <v>0</v>
      </c>
      <c r="Y23" s="780">
        <f>IF(Tables!$B$21=3,0,IF(Tables!$B$36="Combined Cycle",1842,(Y50*Y42)/1000))</f>
        <v>0</v>
      </c>
      <c r="Z23" s="178"/>
      <c r="AA23" s="178"/>
      <c r="AB23" s="178"/>
      <c r="AC23" s="178"/>
      <c r="AD23" s="178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</row>
    <row r="24" spans="1:45">
      <c r="A24" s="47" t="s">
        <v>251</v>
      </c>
      <c r="B24" s="1" t="s">
        <v>680</v>
      </c>
      <c r="I24" s="151">
        <f>IF(Tables!$B$36="Combined Cycle",('O &amp; M'!I42/1000)*'O &amp; M'!I51,0)</f>
        <v>0</v>
      </c>
      <c r="J24" s="151">
        <f>IF(Tables!$B$36="Combined Cycle",('O &amp; M'!J42/1000)*'O &amp; M'!J51,0)</f>
        <v>0</v>
      </c>
      <c r="K24" s="151">
        <f>IF(Tables!$B$36="Combined Cycle",('O &amp; M'!K42/1000)*'O &amp; M'!K51,0)</f>
        <v>0</v>
      </c>
      <c r="L24" s="151">
        <f>IF(Tables!$B$36="Combined Cycle",('O &amp; M'!L42/1000)*'O &amp; M'!L51,0)</f>
        <v>0</v>
      </c>
      <c r="M24" s="151">
        <f>IF(Tables!$B$36="Combined Cycle",('O &amp; M'!M42/1000)*'O &amp; M'!M51,0)</f>
        <v>0</v>
      </c>
      <c r="N24" s="151">
        <f>IF(Tables!$B$36="Combined Cycle",('O &amp; M'!N42/1000)*'O &amp; M'!N51,0)</f>
        <v>0</v>
      </c>
      <c r="O24" s="151">
        <f>IF(Tables!$B$36="Combined Cycle",('O &amp; M'!O42/1000)*'O &amp; M'!O51,0)</f>
        <v>0</v>
      </c>
      <c r="P24" s="151">
        <f>IF(Tables!$B$36="Combined Cycle",('O &amp; M'!P42/1000)*'O &amp; M'!P51,0)</f>
        <v>0</v>
      </c>
      <c r="Q24" s="151">
        <f>IF(Tables!$B$36="Combined Cycle",('O &amp; M'!Q42/1000)*'O &amp; M'!Q51,0)</f>
        <v>0</v>
      </c>
      <c r="R24" s="151">
        <f>IF(Tables!$B$36="Combined Cycle",('O &amp; M'!R42/1000)*'O &amp; M'!R51,0)</f>
        <v>0</v>
      </c>
      <c r="S24" s="151">
        <f>IF(Tables!$B$36="Combined Cycle",('O &amp; M'!S42/1000)*'O &amp; M'!S51,0)</f>
        <v>0</v>
      </c>
      <c r="T24" s="151">
        <f>IF(Tables!$B$36="Combined Cycle",('O &amp; M'!T42/1000)*'O &amp; M'!T51,0)</f>
        <v>0</v>
      </c>
      <c r="U24" s="151">
        <f>IF(Tables!$B$36="Combined Cycle",('O &amp; M'!U42/1000)*'O &amp; M'!U51,0)</f>
        <v>0</v>
      </c>
      <c r="V24" s="151">
        <f>IF(Tables!$B$36="Combined Cycle",('O &amp; M'!V42/1000)*'O &amp; M'!V51,0)</f>
        <v>0</v>
      </c>
      <c r="W24" s="151">
        <f>IF(Tables!$B$36="Combined Cycle",('O &amp; M'!W42/1000)*'O &amp; M'!W51,0)</f>
        <v>0</v>
      </c>
      <c r="X24" s="151">
        <f>IF(Tables!$B$36="Combined Cycle",('O &amp; M'!X42/1000)*'O &amp; M'!X51,0)</f>
        <v>0</v>
      </c>
      <c r="Y24" s="151">
        <f>IF(Tables!$B$36="Combined Cycle",('O &amp; M'!Y42/1000)*'O &amp; M'!Y51,0)</f>
        <v>0</v>
      </c>
    </row>
    <row r="25" spans="1:45">
      <c r="A25" s="47" t="s">
        <v>251</v>
      </c>
      <c r="B25" s="1" t="s">
        <v>801</v>
      </c>
      <c r="C25" s="178"/>
      <c r="E25" s="151">
        <f>E42*E52/1000</f>
        <v>0</v>
      </c>
      <c r="F25" s="151">
        <f>F42*F52/1000</f>
        <v>0</v>
      </c>
      <c r="G25" s="151">
        <f t="shared" ref="G25:Y25" si="14">G42*G52/1000</f>
        <v>0</v>
      </c>
      <c r="H25" s="151">
        <f t="shared" si="14"/>
        <v>0</v>
      </c>
      <c r="I25" s="151">
        <f t="shared" si="14"/>
        <v>0</v>
      </c>
      <c r="J25" s="151">
        <f t="shared" si="14"/>
        <v>0</v>
      </c>
      <c r="K25" s="151">
        <f t="shared" si="14"/>
        <v>0</v>
      </c>
      <c r="L25" s="151">
        <f t="shared" si="14"/>
        <v>0</v>
      </c>
      <c r="M25" s="151">
        <f t="shared" si="14"/>
        <v>0</v>
      </c>
      <c r="N25" s="151">
        <f t="shared" si="14"/>
        <v>0</v>
      </c>
      <c r="O25" s="151">
        <f t="shared" si="14"/>
        <v>0</v>
      </c>
      <c r="P25" s="151">
        <f t="shared" si="14"/>
        <v>0</v>
      </c>
      <c r="Q25" s="151">
        <f t="shared" si="14"/>
        <v>0</v>
      </c>
      <c r="R25" s="151">
        <f t="shared" si="14"/>
        <v>0</v>
      </c>
      <c r="S25" s="151">
        <f t="shared" si="14"/>
        <v>0</v>
      </c>
      <c r="T25" s="151">
        <f t="shared" si="14"/>
        <v>0</v>
      </c>
      <c r="U25" s="151">
        <f t="shared" si="14"/>
        <v>0</v>
      </c>
      <c r="V25" s="151">
        <f t="shared" si="14"/>
        <v>0</v>
      </c>
      <c r="W25" s="151">
        <f t="shared" si="14"/>
        <v>0</v>
      </c>
      <c r="X25" s="151">
        <f t="shared" si="14"/>
        <v>0</v>
      </c>
      <c r="Y25" s="151">
        <f t="shared" si="14"/>
        <v>0</v>
      </c>
    </row>
    <row r="27" spans="1:45" s="1" customFormat="1" ht="11.25">
      <c r="C27" s="151"/>
      <c r="E27" s="151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622"/>
      <c r="AA27" s="622"/>
      <c r="AB27" s="622"/>
      <c r="AC27" s="622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</row>
    <row r="28" spans="1:45" s="1" customFormat="1" ht="12" thickBot="1">
      <c r="B28" s="1" t="s">
        <v>78</v>
      </c>
      <c r="C28" s="151"/>
      <c r="D28" s="3"/>
      <c r="E28" s="162">
        <f>SUBTOTAL(9,E9:E25)</f>
        <v>1324.75</v>
      </c>
      <c r="F28" s="162">
        <f>SUBTOTAL(9,F9:F25)</f>
        <v>2816.2506857222284</v>
      </c>
      <c r="G28" s="162">
        <f>SUBTOTAL(9,G9:G25)</f>
        <v>3208.4354158040578</v>
      </c>
      <c r="H28" s="162">
        <f>SUBTOTAL(9,H9:H25)</f>
        <v>3301.6689813440876</v>
      </c>
      <c r="I28" s="162">
        <f>SUBTOTAL(9,I9:I25)</f>
        <v>2988.4686335616302</v>
      </c>
      <c r="J28" s="162">
        <f t="shared" ref="J28:Y28" si="15">SUBTOTAL(9,J9:J25)</f>
        <v>3040.140459577864</v>
      </c>
      <c r="K28" s="162">
        <f t="shared" si="15"/>
        <v>3124.6852810524178</v>
      </c>
      <c r="L28" s="162">
        <f t="shared" si="15"/>
        <v>3157.1017713827132</v>
      </c>
      <c r="M28" s="162">
        <f t="shared" si="15"/>
        <v>3209.0431852546953</v>
      </c>
      <c r="N28" s="162">
        <f t="shared" si="15"/>
        <v>3281.4136812118713</v>
      </c>
      <c r="O28" s="162">
        <f t="shared" si="15"/>
        <v>3333.6280231761102</v>
      </c>
      <c r="P28" s="162">
        <f t="shared" si="15"/>
        <v>3385.8366173213076</v>
      </c>
      <c r="Q28" s="162">
        <f t="shared" si="15"/>
        <v>3203.1104933841543</v>
      </c>
      <c r="R28" s="162">
        <f t="shared" si="15"/>
        <v>3284.433917875821</v>
      </c>
      <c r="S28" s="162">
        <f t="shared" si="15"/>
        <v>3333.9995241968845</v>
      </c>
      <c r="T28" s="162">
        <f t="shared" si="15"/>
        <v>3406.317629018868</v>
      </c>
      <c r="U28" s="162">
        <f t="shared" si="15"/>
        <v>1748.67</v>
      </c>
      <c r="V28" s="162">
        <f t="shared" si="15"/>
        <v>1775.165</v>
      </c>
      <c r="W28" s="162">
        <f t="shared" si="15"/>
        <v>1801.6600000000003</v>
      </c>
      <c r="X28" s="162">
        <f t="shared" si="15"/>
        <v>1828.1550000000004</v>
      </c>
      <c r="Y28" s="162">
        <f t="shared" si="15"/>
        <v>1854.65</v>
      </c>
      <c r="Z28" s="178"/>
      <c r="AA28" s="178"/>
      <c r="AB28" s="178"/>
      <c r="AC28" s="178"/>
      <c r="AD28" s="7"/>
      <c r="AE28" s="8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</row>
    <row r="29" spans="1:45" s="1" customFormat="1" ht="12" thickTop="1">
      <c r="C29" s="151"/>
      <c r="D29" s="3"/>
      <c r="E29" s="178"/>
      <c r="F29" s="178"/>
      <c r="G29" s="178"/>
      <c r="H29" s="178"/>
      <c r="I29" s="203"/>
      <c r="J29" s="178"/>
      <c r="K29" s="203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7"/>
      <c r="AE29" s="8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</row>
    <row r="30" spans="1:45" s="1" customFormat="1" ht="11.25">
      <c r="F30" s="151"/>
      <c r="G30" s="151"/>
      <c r="H30" s="151"/>
      <c r="I30" s="792"/>
      <c r="J30" s="151"/>
      <c r="K30" s="151"/>
      <c r="L30" s="151"/>
      <c r="M30" s="151"/>
      <c r="N30" s="151"/>
      <c r="O30" s="151"/>
      <c r="P30" s="151"/>
      <c r="Q30" s="151"/>
      <c r="R30" s="151"/>
      <c r="S30" s="151"/>
      <c r="T30" s="151"/>
      <c r="U30" s="151"/>
      <c r="V30" s="151"/>
      <c r="W30" s="151"/>
      <c r="X30" s="151"/>
      <c r="Y30" s="151"/>
      <c r="Z30" s="178"/>
      <c r="AA30" s="178"/>
      <c r="AB30" s="178"/>
      <c r="AC30" s="178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</row>
    <row r="31" spans="1:45" s="9" customFormat="1" ht="11.25">
      <c r="A31" s="238"/>
      <c r="B31" s="238"/>
      <c r="C31" s="238"/>
      <c r="D31" s="23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288"/>
      <c r="T31" s="288"/>
      <c r="U31" s="288"/>
      <c r="V31" s="288"/>
      <c r="W31" s="288"/>
      <c r="X31" s="288"/>
      <c r="Y31" s="288"/>
      <c r="Z31" s="624"/>
      <c r="AA31" s="624"/>
      <c r="AB31" s="624"/>
      <c r="AC31" s="624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</row>
    <row r="32" spans="1:45" s="1" customFormat="1" ht="11.25">
      <c r="B32" s="1" t="s">
        <v>252</v>
      </c>
      <c r="C32" s="178">
        <f>+C9+C11+C12+C13+C14+C15+C16+C17</f>
        <v>1324.75</v>
      </c>
      <c r="D32" s="172"/>
      <c r="E32" s="151">
        <f>((+E9+E10+E11+E12+E13+E14+E15+E16+E17+E18)*E2)</f>
        <v>220.79166666666666</v>
      </c>
      <c r="F32" s="151">
        <f>SUM(F9:F18)</f>
        <v>1351.2449999999999</v>
      </c>
      <c r="G32" s="151">
        <f>IF(Tables!B21=2,(SUM(G9:G18)*0.5),(SUM(G9:G18)))</f>
        <v>1377.74</v>
      </c>
      <c r="H32" s="151">
        <f>IF($H$2="EOC",0,(SUM(H9:H18)))</f>
        <v>1404.2350000000004</v>
      </c>
      <c r="I32" s="151">
        <f>IF($I$2="EOC",0,(SUM(I9:I19)))</f>
        <v>1430.73</v>
      </c>
      <c r="J32" s="619">
        <f>IF(I2="EOC",0,IF(Tables!B21=5,((SUM(J9:J19))*1),(SUM(J9:J19))))</f>
        <v>1457.2250000000001</v>
      </c>
      <c r="K32" s="151">
        <f>IF($I$2="EOC",0,IF($J$2="EOC",0,(SUM(K9:K19))))</f>
        <v>1483.72</v>
      </c>
      <c r="L32" s="151">
        <f>IF($I$2="EOC",0,IF($J$2="EOC",0,(SUM(L9:L19))))</f>
        <v>1510.2150000000001</v>
      </c>
      <c r="M32" s="151">
        <f>IF($I$2="EOC",0,IF($J$2="EOC",0,(SUM(M9:M19))))</f>
        <v>1536.71</v>
      </c>
      <c r="N32" s="151">
        <f>IF($I$2="EOC",0,IF($J$2="EOC",0,(SUM(N9:N19))))</f>
        <v>1563.2049999999999</v>
      </c>
      <c r="O32" s="151">
        <f>IF(I2="EOC",0,IF(J2="EOC",0,IF(Tables!B21=10,(SUM(O9:O19))*1,(SUM(O9:O19)))))</f>
        <v>1589.7</v>
      </c>
      <c r="P32" s="151">
        <f>IF($I$2="EOC",0,IF($J$2="EOC",0,IF($O$2="EOC",0,(SUM(P9:P19)))))</f>
        <v>1616.1950000000002</v>
      </c>
      <c r="Q32" s="151">
        <f>IF($I$2="EOC",0,IF($J$2="EOC",0,IF($O$2="EOC",0,(SUM(Q9:Q19)))))</f>
        <v>1642.6900000000003</v>
      </c>
      <c r="R32" s="151">
        <f>IF($I$2="EOC",0,IF($J$2="EOC",0,IF($O$2="EOC",0,(SUM(R9:R19)))))</f>
        <v>1669.1849999999997</v>
      </c>
      <c r="S32" s="151">
        <f>IF($I$2="EOC",0,IF($J$2="EOC",0,IF($O$2="EOC",0,(SUM(S9:S19)))))</f>
        <v>1695.6799999999998</v>
      </c>
      <c r="T32" s="151">
        <f>IF(I2="EOC",0,IF(J2="EOC",0,IF(O2="EOC",0,IF(Tables!$B$21=15,((SUM(T9:T19))*1),(SUM(T9:T18))))))</f>
        <v>1722.175</v>
      </c>
      <c r="U32" s="151">
        <f>IF($I$2="EOC",0,IF($J$2="EOC",0,IF($O$2="EOC",0,IF($T$2="EOC",0,(SUM(U9:U19))))))</f>
        <v>0</v>
      </c>
      <c r="V32" s="151">
        <f>IF($I$2="EOC",0,IF($J$2="EOC",0,IF($O$2="EOC",0,IF($T$2="EOC",0,(SUM(V9:V19))))))</f>
        <v>0</v>
      </c>
      <c r="W32" s="151">
        <f>IF($I$2="EOC",0,IF($J$2="EOC",0,IF($O$2="EOC",0,IF($T$2="EOC",0,(SUM(W9:W19))))))</f>
        <v>0</v>
      </c>
      <c r="X32" s="151">
        <f>IF($I$2="EOC",0,IF($J$2="EOC",0,IF($O$2="EOC",0,IF($T$2="EOC",0,(SUM(X9:X19))))))</f>
        <v>0</v>
      </c>
      <c r="Y32" s="151">
        <f>IF(I2="EOC",0,IF(J2="EOC",0,IF(O2="EOC",0,IF(T2="EOC",0,IF(Tables!$B$21=20,((SUM(Y9:Y19))*1),(SUM(Y9:Y19)))))))</f>
        <v>0</v>
      </c>
      <c r="Z32" s="203"/>
      <c r="AA32" s="203"/>
      <c r="AB32" s="203"/>
      <c r="AC32" s="203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</row>
    <row r="33" spans="2:45" s="1" customFormat="1" ht="11.25">
      <c r="B33" s="1" t="s">
        <v>253</v>
      </c>
      <c r="C33" s="178">
        <f>+C20+C21+C22+C23</f>
        <v>1384.354272</v>
      </c>
      <c r="D33" s="151"/>
      <c r="E33" s="151">
        <f>(+E20+E21+E22+E23+E24+E25)</f>
        <v>0</v>
      </c>
      <c r="F33" s="151">
        <f>(+F20+F21+F22+F23+F24+F25)</f>
        <v>1465.0056857222282</v>
      </c>
      <c r="G33" s="151">
        <f>(+G20+G21+G22+G23+G24+G25)</f>
        <v>1830.695415804058</v>
      </c>
      <c r="H33" s="151">
        <f>(+H20+H21+H22+H23+H24+H25)</f>
        <v>1897.4339813440874</v>
      </c>
      <c r="I33" s="151">
        <f>(+I20+I21+I22+I23+I24+I25)</f>
        <v>1557.73863356163</v>
      </c>
      <c r="J33" s="619">
        <f t="shared" ref="J33:Y33" si="16">(+J20+J21+J22+J23+J24+J25)</f>
        <v>1582.9154595778634</v>
      </c>
      <c r="K33" s="151">
        <f t="shared" si="16"/>
        <v>1640.965281052418</v>
      </c>
      <c r="L33" s="151">
        <f t="shared" si="16"/>
        <v>1646.8867713827128</v>
      </c>
      <c r="M33" s="151">
        <f t="shared" si="16"/>
        <v>1672.3331852546958</v>
      </c>
      <c r="N33" s="151">
        <f t="shared" si="16"/>
        <v>1718.2086812118716</v>
      </c>
      <c r="O33" s="151">
        <f t="shared" si="16"/>
        <v>1743.9280231761099</v>
      </c>
      <c r="P33" s="151">
        <f t="shared" si="16"/>
        <v>1769.6416173213072</v>
      </c>
      <c r="Q33" s="151">
        <f t="shared" si="16"/>
        <v>1560.4204933841538</v>
      </c>
      <c r="R33" s="151">
        <f t="shared" si="16"/>
        <v>1615.2489178758215</v>
      </c>
      <c r="S33" s="151">
        <f t="shared" si="16"/>
        <v>1638.3195241968845</v>
      </c>
      <c r="T33" s="151">
        <f t="shared" si="16"/>
        <v>1684.1426290188679</v>
      </c>
      <c r="U33" s="151">
        <f t="shared" si="16"/>
        <v>0</v>
      </c>
      <c r="V33" s="151">
        <f t="shared" si="16"/>
        <v>0</v>
      </c>
      <c r="W33" s="151">
        <f t="shared" si="16"/>
        <v>0</v>
      </c>
      <c r="X33" s="151">
        <f t="shared" si="16"/>
        <v>0</v>
      </c>
      <c r="Y33" s="151">
        <f t="shared" si="16"/>
        <v>0</v>
      </c>
      <c r="Z33" s="178"/>
      <c r="AA33" s="178"/>
      <c r="AB33" s="178"/>
      <c r="AC33" s="178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</row>
    <row r="34" spans="2:45" s="1" customFormat="1" ht="11.25">
      <c r="B34" s="1" t="s">
        <v>476</v>
      </c>
      <c r="C34" s="151"/>
      <c r="D34" s="172"/>
      <c r="E34" s="151">
        <f>(Assumptions!$B$63*Assumptions!$E$10)*E2*(1+E6)</f>
        <v>150.44170888570847</v>
      </c>
      <c r="F34" s="151">
        <f>((Assumptions!$B$63*Assumptions!$E$10)*(1+F6))</f>
        <v>920.70325838053589</v>
      </c>
      <c r="G34" s="151">
        <f>IF(Tables!B21=2,((Assumptions!$B$63*Assumptions!$E$10)*(1+G6)*0.5),(Assumptions!$B$63*Assumptions!$E$10)*(1+G6))</f>
        <v>938.75626344682098</v>
      </c>
      <c r="H34" s="151">
        <f>IF($H$2="EOC",0,(Assumptions!$B$63*Assumptions!$E$10)*(1+H6))</f>
        <v>956.80926851310596</v>
      </c>
      <c r="I34" s="151">
        <f>IF($I$2="EOC",0,(Assumptions!$B$63*Assumptions!$E$10)*(1+I6))</f>
        <v>974.86227357939106</v>
      </c>
      <c r="J34" s="619">
        <f>IF(I2="EOC",0,IF(Tables!B21=5,((Assumptions!$B$63*Assumptions!$E$10)*(1+J6)*0.25),(Assumptions!$B$63*Assumptions!$E$10)*(1+J6)))</f>
        <v>992.91527864567604</v>
      </c>
      <c r="K34" s="151">
        <f>IF($I$2="EOC",0,IF($J$2="EOC",0,(Assumptions!$B$63*Assumptions!$E$10)*(1+K6)))</f>
        <v>1010.9682837119611</v>
      </c>
      <c r="L34" s="151">
        <f>IF($I$2="EOC",0,IF($J$2="EOC",0,(Assumptions!$B$63*Assumptions!$E$10)*(1+L6)))</f>
        <v>1029.0212887782461</v>
      </c>
      <c r="M34" s="151">
        <f>IF($I$2="EOC",0,IF($J$2="EOC",0,(Assumptions!$B$63*Assumptions!$E$10)*(1+M6)))</f>
        <v>1047.074293844531</v>
      </c>
      <c r="N34" s="151">
        <f>IF($I$2="EOC",0,IF($J$2="EOC",0,(Assumptions!$B$63*Assumptions!$E$10)*(1+N6)))</f>
        <v>1065.1272989108161</v>
      </c>
      <c r="O34" s="151">
        <f>IF(I2="EOC",0,IF(J2="EOC",0,IF(Tables!B21=10,((Assumptions!$B$63*Assumptions!$E$10)*(1+O6)*0.25),(Assumptions!$B$63*Assumptions!$E$10)*(1+O6))))</f>
        <v>1083.1803039771009</v>
      </c>
      <c r="P34" s="151">
        <f>IF($I$2="EOC",0,IF($J$2="EOC",0,IF($O$2="EOC",0,(Assumptions!$B$63*Assumptions!$E$10)*(1+P6))))</f>
        <v>1101.233309043386</v>
      </c>
      <c r="Q34" s="151">
        <f>IF($I$2="EOC",0,IF($J$2="EOC",0,IF($O$2="EOC",0,(Assumptions!$B$63*Assumptions!$E$10)*(1+Q6))))</f>
        <v>1119.2863141096711</v>
      </c>
      <c r="R34" s="151">
        <f>IF($I$2="EOC",0,IF($J$2="EOC",0,IF($O$2="EOC",0,(Assumptions!$B$63*Assumptions!$E$10)*(1+R6))))</f>
        <v>1137.3393191759562</v>
      </c>
      <c r="S34" s="151">
        <f>IF($I$2="EOC",0,IF($J$2="EOC",0,IF($O$2="EOC",0,(Assumptions!$B$63*Assumptions!$E$10)*(1+S6))))</f>
        <v>1155.3923242422411</v>
      </c>
      <c r="T34" s="151">
        <f>IF($I$2="EOC",0,IF($J$2="EOC",0,IF($O$2="EOC",0,IF(Tables!B21=15,((Assumptions!$B$63*Assumptions!$E$10)*(1+T6)*1),(Assumptions!$B$63*Assumptions!$E$10)*(1+T6)))))</f>
        <v>1173.4453293085262</v>
      </c>
      <c r="U34" s="151">
        <f>IF($I$2="EOC",0,IF($J$2="EOC",0,IF($O$2="EOC",0,IF($T$2="EOC",0,(Assumptions!$B$63*Assumptions!$E$10)*(1+U6)))))</f>
        <v>0</v>
      </c>
      <c r="V34" s="151">
        <f>IF($I$2="EOC",0,IF($J$2="EOC",0,IF($O$2="EOC",0,IF($T$2="EOC",0,(Assumptions!$B$63*Assumptions!$E$10)*(1+V6)))))</f>
        <v>0</v>
      </c>
      <c r="W34" s="151">
        <f>IF($I$2="EOC",0,IF($J$2="EOC",0,IF($O$2="EOC",0,IF($T$2="EOC",0,(Assumptions!$B$63*Assumptions!$E$10)*(1+W6)))))</f>
        <v>0</v>
      </c>
      <c r="X34" s="151">
        <f>IF($I$2="EOC",0,IF($J$2="EOC",0,IF($O$2="EOC",0,IF($T$2="EOC",0,(Assumptions!$B$63*Assumptions!$E$10)*(1+X6)))))</f>
        <v>0</v>
      </c>
      <c r="Y34" s="151">
        <f>IF(I2="EOC",0,IF(J2="EOC",0,IF(O2="EOC",0,IF(T2="EOC",0,IF(Tables!B21=20,((Assumptions!$B$63*Assumptions!$E$10)*(1+Y6)*0.25),(Assumptions!$B$63*Assumptions!$E$10)*(1+Y6))))))</f>
        <v>0</v>
      </c>
      <c r="Z34" s="178"/>
      <c r="AA34" s="178"/>
      <c r="AB34" s="178"/>
      <c r="AC34" s="178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</row>
    <row r="35" spans="2:45" s="1" customFormat="1" ht="11.25">
      <c r="B35" s="1" t="s">
        <v>478</v>
      </c>
      <c r="D35" s="172"/>
      <c r="E35" s="19">
        <f>(Assumptions!$E$10*Assumptions!$B$64*(1+E6))*E2</f>
        <v>75.220854442854233</v>
      </c>
      <c r="F35" s="19">
        <f>Assumptions!$E$10*Assumptions!$B$64*(1+F6)</f>
        <v>460.35162919026794</v>
      </c>
      <c r="G35" s="19">
        <f>IF(Tables!B21=2,((Assumptions!$E$10*Assumptions!$B$64*(1+G6))*0.5),Assumptions!$E$10*Assumptions!$B$64*(1+G6))</f>
        <v>469.37813172341049</v>
      </c>
      <c r="H35" s="19">
        <f>IF($H$2="EOC",0,Assumptions!$E$10*Assumptions!$B$64*(1+H6))</f>
        <v>478.40463425655298</v>
      </c>
      <c r="I35" s="19">
        <f>IF($I$2="EOC",0,Assumptions!$E$10*Assumptions!$B$64*(1+I6))</f>
        <v>487.43113678969553</v>
      </c>
      <c r="J35" s="620">
        <f>IF(I2="EOC",0,IF(Tables!B21=5,(Assumptions!$E$10*Assumptions!$B$64*(1+J6)*0.25),(Assumptions!$E$10*Assumptions!$B$64*(1+J6))))</f>
        <v>496.45763932283802</v>
      </c>
      <c r="K35" s="19">
        <f>IF($I$2="EOC",0,IF($J$2="EOC",0,Assumptions!$E$10*Assumptions!$B$64*(1+K6)))</f>
        <v>505.48414185598057</v>
      </c>
      <c r="L35" s="19">
        <f>IF($I$2="EOC",0,IF($J$2="EOC",0,Assumptions!$E$10*Assumptions!$B$64*(1+L6)))</f>
        <v>514.51064438912306</v>
      </c>
      <c r="M35" s="19">
        <f>IF($I$2="EOC",0,IF($J$2="EOC",0,Assumptions!$E$10*Assumptions!$B$64*(1+M6)))</f>
        <v>523.53714692226549</v>
      </c>
      <c r="N35" s="19">
        <f>IF($I$2="EOC",0,IF($J$2="EOC",0,Assumptions!$E$10*Assumptions!$B$64*(1+N6)))</f>
        <v>532.56364945540804</v>
      </c>
      <c r="O35" s="19">
        <f>IF(I2="EOC",0,IF(J2="EOC",0,IF(Tables!B21=10,(Assumptions!$E$10*Assumptions!$B$64*(1+O6)*0.25),(Assumptions!$E$10*Assumptions!$B$64*(1+O6)))))</f>
        <v>541.59015198855047</v>
      </c>
      <c r="P35" s="19">
        <f>IF($I$2="EOC",0,IF($J$2="EOC",0,IF($O$2="EOC",0,Assumptions!$E$10*Assumptions!$B$64*(1+P6))))</f>
        <v>550.61665452169302</v>
      </c>
      <c r="Q35" s="19">
        <f>IF($I$2="EOC",0,IF($J$2="EOC",0,IF($O$2="EOC",0,Assumptions!$E$10*Assumptions!$B$64*(1+Q6))))</f>
        <v>559.64315705483557</v>
      </c>
      <c r="R35" s="19">
        <f>IF($I$2="EOC",0,IF($J$2="EOC",0,IF($O$2="EOC",0,Assumptions!$E$10*Assumptions!$B$64*(1+R6))))</f>
        <v>568.66965958797812</v>
      </c>
      <c r="S35" s="19">
        <f>IF($I$2="EOC",0,IF($J$2="EOC",0,IF($O$2="EOC",0,Assumptions!$E$10*Assumptions!$B$64*(1+S6))))</f>
        <v>577.69616212112055</v>
      </c>
      <c r="T35" s="19">
        <f>IF(I2="EOC",0,IF(J2="EOC",0,IF(O2="EOC",0,IF(Tables!$B$21=15,(Assumptions!$E$10*Assumptions!$B$64*(1+T6)*1),(Assumptions!$E$10*Assumptions!$B$64*(1+T6))))))</f>
        <v>586.7226646542631</v>
      </c>
      <c r="U35" s="19">
        <f>IF($I$2="EOC",0,IF($J$2="EOC",0,IF($O$2="EOC",0,IF($T$2="EOC",0,Assumptions!$E$10*Assumptions!$B$64*(1+U6)))))</f>
        <v>0</v>
      </c>
      <c r="V35" s="19">
        <f>IF($I$2="EOC",0,IF($J$2="EOC",0,IF($O$2="EOC",0,IF($T$2="EOC",0,Assumptions!$E$10*Assumptions!$B$64*(1+V6)))))</f>
        <v>0</v>
      </c>
      <c r="W35" s="19">
        <f>IF($I$2="EOC",0,IF($J$2="EOC",0,IF($O$2="EOC",0,IF($T$2="EOC",0,Assumptions!$E$10*Assumptions!$B$64*(1+W6)))))</f>
        <v>0</v>
      </c>
      <c r="X35" s="19">
        <f>IF($I$2="EOC",0,IF($J$2="EOC",0,IF($O$2="EOC",0,IF($T$2="EOC",0,Assumptions!$E$10*Assumptions!$B$64*(1+X6)))))</f>
        <v>0</v>
      </c>
      <c r="Y35" s="19">
        <f>IF(I2="EOC",0,IF(J2="EOC",0,IF(O2="EOC",0,IF(T2="EOC",0,IF(Tables!$B$21=20,(Assumptions!$E$10*Assumptions!$B$64*(1+Y6)*0.25),(Assumptions!$E$10*Assumptions!$B$64*(1+Y6)))))))</f>
        <v>0</v>
      </c>
      <c r="Z35" s="623"/>
      <c r="AA35" s="623"/>
      <c r="AB35" s="623"/>
      <c r="AC35" s="623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</row>
    <row r="36" spans="2:45" s="1" customFormat="1" ht="11.25">
      <c r="D36" s="172"/>
      <c r="E36" s="203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</row>
    <row r="37" spans="2:45" s="1" customFormat="1" ht="11.25">
      <c r="D37" s="172"/>
      <c r="E37" s="203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</row>
    <row r="38" spans="2:45" s="1" customFormat="1" ht="11.25">
      <c r="B38" s="1" t="s">
        <v>436</v>
      </c>
      <c r="D38" s="172"/>
      <c r="E38" s="622">
        <f>'Operational Detail'!D14</f>
        <v>0</v>
      </c>
      <c r="F38" s="622">
        <f>'Operational Detail'!E14</f>
        <v>664</v>
      </c>
      <c r="G38" s="622">
        <f>'Operational Detail'!F14</f>
        <v>816</v>
      </c>
      <c r="H38" s="622">
        <f>'Operational Detail'!G14</f>
        <v>832</v>
      </c>
      <c r="I38" s="622">
        <f>'Operational Detail'!H14</f>
        <v>672</v>
      </c>
      <c r="J38" s="622">
        <f>'Operational Detail'!I14</f>
        <v>672</v>
      </c>
      <c r="K38" s="622">
        <f>'Operational Detail'!J14</f>
        <v>672</v>
      </c>
      <c r="L38" s="622">
        <f>'Operational Detail'!K14</f>
        <v>664</v>
      </c>
      <c r="M38" s="622">
        <f>'Operational Detail'!L14</f>
        <v>664</v>
      </c>
      <c r="N38" s="622">
        <f>'Operational Detail'!M14</f>
        <v>672</v>
      </c>
      <c r="O38" s="622">
        <f>'Operational Detail'!N14</f>
        <v>672</v>
      </c>
      <c r="P38" s="622">
        <f>'Operational Detail'!O14</f>
        <v>672</v>
      </c>
      <c r="Q38" s="622">
        <f>'Operational Detail'!P14</f>
        <v>584</v>
      </c>
      <c r="R38" s="622">
        <f>'Operational Detail'!Q14</f>
        <v>584</v>
      </c>
      <c r="S38" s="622">
        <f>'Operational Detail'!R14</f>
        <v>584</v>
      </c>
      <c r="T38" s="622">
        <f>'Operational Detail'!S14</f>
        <v>592</v>
      </c>
      <c r="U38" s="622">
        <f>'Operational Detail'!T14</f>
        <v>0</v>
      </c>
      <c r="V38" s="622">
        <f>'Operational Detail'!U14</f>
        <v>0</v>
      </c>
      <c r="W38" s="622">
        <f>'Operational Detail'!V14</f>
        <v>0</v>
      </c>
      <c r="X38" s="622">
        <f>'Operational Detail'!W14</f>
        <v>0</v>
      </c>
      <c r="Y38" s="622">
        <f>'Operational Detail'!X14</f>
        <v>0</v>
      </c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</row>
    <row r="39" spans="2:45" s="1" customFormat="1" ht="11.25">
      <c r="B39" s="1" t="s">
        <v>550</v>
      </c>
      <c r="D39" s="172"/>
      <c r="E39" s="622">
        <f>'Operational Detail'!D17-Assumptions!B17</f>
        <v>0</v>
      </c>
      <c r="F39" s="622">
        <f>'Operational Detail'!E17</f>
        <v>2064</v>
      </c>
      <c r="G39" s="622">
        <f>'Operational Detail'!F17</f>
        <v>2216</v>
      </c>
      <c r="H39" s="622">
        <f>'Operational Detail'!G17</f>
        <v>2232</v>
      </c>
      <c r="I39" s="622">
        <f>'Operational Detail'!H17</f>
        <v>2072</v>
      </c>
      <c r="J39" s="622">
        <f>'Operational Detail'!I17</f>
        <v>2072</v>
      </c>
      <c r="K39" s="622">
        <f>'Operational Detail'!J17</f>
        <v>2072</v>
      </c>
      <c r="L39" s="622">
        <f>'Operational Detail'!K17</f>
        <v>2064</v>
      </c>
      <c r="M39" s="622">
        <f>'Operational Detail'!L17</f>
        <v>2064</v>
      </c>
      <c r="N39" s="622">
        <f>'Operational Detail'!M17</f>
        <v>2072</v>
      </c>
      <c r="O39" s="622">
        <f>'Operational Detail'!N17</f>
        <v>2072</v>
      </c>
      <c r="P39" s="622">
        <f>'Operational Detail'!O17</f>
        <v>2072</v>
      </c>
      <c r="Q39" s="622">
        <f>'Operational Detail'!P17</f>
        <v>1984</v>
      </c>
      <c r="R39" s="622">
        <f>'Operational Detail'!Q17</f>
        <v>1984</v>
      </c>
      <c r="S39" s="622">
        <f>'Operational Detail'!R17</f>
        <v>1984</v>
      </c>
      <c r="T39" s="622">
        <f>'Operational Detail'!S17</f>
        <v>1992</v>
      </c>
      <c r="U39" s="622">
        <f>'Operational Detail'!T17</f>
        <v>0</v>
      </c>
      <c r="V39" s="622">
        <f>'Operational Detail'!U17</f>
        <v>0</v>
      </c>
      <c r="W39" s="622">
        <f>'Operational Detail'!V17</f>
        <v>0</v>
      </c>
      <c r="X39" s="622">
        <f>'Operational Detail'!W17</f>
        <v>0</v>
      </c>
      <c r="Y39" s="622">
        <f>'Operational Detail'!X17</f>
        <v>0</v>
      </c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</row>
    <row r="40" spans="2:45" s="1" customFormat="1" ht="11.25">
      <c r="B40" s="1" t="s">
        <v>534</v>
      </c>
      <c r="E40" s="622">
        <f>'Operational Detail'!D18</f>
        <v>5000</v>
      </c>
      <c r="F40" s="622">
        <f>'Operational Detail'!E18</f>
        <v>7064</v>
      </c>
      <c r="G40" s="622">
        <f>'Operational Detail'!F18</f>
        <v>9280</v>
      </c>
      <c r="H40" s="622">
        <f>'Operational Detail'!G18</f>
        <v>11512</v>
      </c>
      <c r="I40" s="622">
        <f>'Operational Detail'!H18</f>
        <v>13584</v>
      </c>
      <c r="J40" s="622">
        <f>'Operational Detail'!I18</f>
        <v>15656</v>
      </c>
      <c r="K40" s="622">
        <f>'Operational Detail'!J18</f>
        <v>17728</v>
      </c>
      <c r="L40" s="622">
        <f>'Operational Detail'!K18</f>
        <v>19792</v>
      </c>
      <c r="M40" s="622">
        <f>'Operational Detail'!L18</f>
        <v>21856</v>
      </c>
      <c r="N40" s="622">
        <f>'Operational Detail'!M18</f>
        <v>23928</v>
      </c>
      <c r="O40" s="622">
        <f>'Operational Detail'!N18</f>
        <v>26000</v>
      </c>
      <c r="P40" s="622">
        <f>'Operational Detail'!O18</f>
        <v>28072</v>
      </c>
      <c r="Q40" s="622">
        <f>'Operational Detail'!P18</f>
        <v>30056</v>
      </c>
      <c r="R40" s="622">
        <f>'Operational Detail'!Q18</f>
        <v>32040</v>
      </c>
      <c r="S40" s="622">
        <f>'Operational Detail'!R18</f>
        <v>34024</v>
      </c>
      <c r="T40" s="622">
        <f>'Operational Detail'!S18</f>
        <v>36016</v>
      </c>
      <c r="U40" s="622">
        <f>'Operational Detail'!T18</f>
        <v>0</v>
      </c>
      <c r="V40" s="622">
        <f>'Operational Detail'!U18</f>
        <v>0</v>
      </c>
      <c r="W40" s="622">
        <f>'Operational Detail'!V18</f>
        <v>0</v>
      </c>
      <c r="X40" s="622">
        <f>'Operational Detail'!W18</f>
        <v>0</v>
      </c>
      <c r="Y40" s="622">
        <f>'Operational Detail'!X18</f>
        <v>0</v>
      </c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</row>
    <row r="41" spans="2:45" s="1" customFormat="1" ht="11.25">
      <c r="B41" s="694" t="s">
        <v>459</v>
      </c>
      <c r="C41" s="697"/>
      <c r="D41" s="697"/>
      <c r="E41" s="684">
        <f>'Operational Detail'!D19</f>
        <v>5000</v>
      </c>
      <c r="F41" s="684">
        <f>'Operational Detail'!E19</f>
        <v>7064</v>
      </c>
      <c r="G41" s="684">
        <f>'Operational Detail'!F19</f>
        <v>9280</v>
      </c>
      <c r="H41" s="684">
        <f>'Operational Detail'!G19</f>
        <v>11512</v>
      </c>
      <c r="I41" s="684">
        <f>'Operational Detail'!H19</f>
        <v>13584</v>
      </c>
      <c r="J41" s="684">
        <f>'Operational Detail'!I19</f>
        <v>15656</v>
      </c>
      <c r="K41" s="684">
        <f>'Operational Detail'!J19</f>
        <v>1728</v>
      </c>
      <c r="L41" s="684">
        <f>'Operational Detail'!K19</f>
        <v>3792</v>
      </c>
      <c r="M41" s="684">
        <f>'Operational Detail'!L19</f>
        <v>5856</v>
      </c>
      <c r="N41" s="684">
        <f>'Operational Detail'!M19</f>
        <v>7928</v>
      </c>
      <c r="O41" s="684">
        <f>'Operational Detail'!N19</f>
        <v>10000</v>
      </c>
      <c r="P41" s="684">
        <f>'Operational Detail'!O19</f>
        <v>12072</v>
      </c>
      <c r="Q41" s="684">
        <f>'Operational Detail'!P19</f>
        <v>14056</v>
      </c>
      <c r="R41" s="684">
        <f>'Operational Detail'!Q19</f>
        <v>40</v>
      </c>
      <c r="S41" s="684">
        <f>'Operational Detail'!R19</f>
        <v>2024</v>
      </c>
      <c r="T41" s="684">
        <f>'Operational Detail'!S19</f>
        <v>4016</v>
      </c>
      <c r="U41" s="684">
        <f>'Operational Detail'!T19</f>
        <v>0</v>
      </c>
      <c r="V41" s="684">
        <f>'Operational Detail'!U19</f>
        <v>0</v>
      </c>
      <c r="W41" s="684">
        <f>'Operational Detail'!V19</f>
        <v>0</v>
      </c>
      <c r="X41" s="684">
        <f>'Operational Detail'!W19</f>
        <v>0</v>
      </c>
      <c r="Y41" s="684">
        <f>'Operational Detail'!X19</f>
        <v>0</v>
      </c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</row>
    <row r="42" spans="2:45" s="1" customFormat="1" ht="11.25">
      <c r="B42" s="711" t="s">
        <v>548</v>
      </c>
      <c r="C42" s="711"/>
      <c r="D42" s="712"/>
      <c r="E42" s="713">
        <f>'Operational Detail'!D21</f>
        <v>0</v>
      </c>
      <c r="F42" s="713">
        <f>'Operational Detail'!E21</f>
        <v>213236.34912</v>
      </c>
      <c r="G42" s="713">
        <f>'Operational Detail'!F21</f>
        <v>261317.14559999999</v>
      </c>
      <c r="H42" s="713">
        <f>'Operational Detail'!G21</f>
        <v>265688.91648000001</v>
      </c>
      <c r="I42" s="713">
        <f>'Operational Detail'!H21</f>
        <v>214030.97855999999</v>
      </c>
      <c r="J42" s="713">
        <f>'Operational Detail'!I21</f>
        <v>213467.06304000001</v>
      </c>
      <c r="K42" s="713">
        <f>'Operational Detail'!J21</f>
        <v>217257.70751999997</v>
      </c>
      <c r="L42" s="713">
        <f>'Operational Detail'!K21</f>
        <v>214116.25536000001</v>
      </c>
      <c r="M42" s="713">
        <f>'Operational Detail'!L21</f>
        <v>213561.20447999999</v>
      </c>
      <c r="N42" s="713">
        <f>'Operational Detail'!M21</f>
        <v>215570.31552000003</v>
      </c>
      <c r="O42" s="713">
        <f>'Operational Detail'!N21</f>
        <v>215006.4</v>
      </c>
      <c r="P42" s="713">
        <f>'Operational Detail'!O21</f>
        <v>214442.48447999998</v>
      </c>
      <c r="Q42" s="713">
        <f>'Operational Detail'!P21</f>
        <v>185891.47488000002</v>
      </c>
      <c r="R42" s="713">
        <f>'Operational Detail'!Q21</f>
        <v>189206.53920000003</v>
      </c>
      <c r="S42" s="713">
        <f>'Operational Detail'!R21</f>
        <v>188737.28352</v>
      </c>
      <c r="T42" s="713">
        <f>'Operational Detail'!S21</f>
        <v>190845.12383999999</v>
      </c>
      <c r="U42" s="713">
        <f>'Operational Detail'!T21</f>
        <v>0</v>
      </c>
      <c r="V42" s="713">
        <f>'Operational Detail'!U21</f>
        <v>0</v>
      </c>
      <c r="W42" s="713">
        <f>'Operational Detail'!V21</f>
        <v>0</v>
      </c>
      <c r="X42" s="713">
        <f>'Operational Detail'!W21</f>
        <v>0</v>
      </c>
      <c r="Y42" s="713">
        <f>'Operational Detail'!X21</f>
        <v>0</v>
      </c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</row>
    <row r="43" spans="2:45" s="1" customFormat="1" ht="11.25">
      <c r="D43" s="172"/>
      <c r="E43" s="203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</row>
    <row r="44" spans="2:45" s="1" customFormat="1" ht="11.25">
      <c r="D44" s="172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</row>
    <row r="45" spans="2:45" s="1" customFormat="1" ht="11.25">
      <c r="D45" s="172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</row>
    <row r="46" spans="2:45" s="1" customFormat="1" ht="11.25">
      <c r="B46" s="77" t="s">
        <v>549</v>
      </c>
      <c r="D46" s="172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</row>
    <row r="47" spans="2:45" s="1" customFormat="1" ht="11.25">
      <c r="B47" s="1" t="s">
        <v>558</v>
      </c>
      <c r="D47" s="172"/>
      <c r="E47" s="1060">
        <f>Tables!N10*(1+H1)</f>
        <v>1.49</v>
      </c>
      <c r="F47" s="203">
        <f>E47*(1+Assumptions!$E$32)</f>
        <v>1.5198</v>
      </c>
      <c r="G47" s="203">
        <f>F47*(1+Assumptions!$E$32)</f>
        <v>1.5501960000000001</v>
      </c>
      <c r="H47" s="203">
        <f>G47*(1+Assumptions!$E$32)</f>
        <v>1.5811999200000002</v>
      </c>
      <c r="I47" s="203">
        <f>H47*(1+Assumptions!$E$32)</f>
        <v>1.6128239184000002</v>
      </c>
      <c r="J47" s="203">
        <f>I47*(1+Assumptions!$E$32)</f>
        <v>1.6450803967680001</v>
      </c>
      <c r="K47" s="203">
        <f>J47*(1+Assumptions!$E$32)</f>
        <v>1.6779820047033602</v>
      </c>
      <c r="L47" s="203">
        <f>K47*(1+Assumptions!$E$32)</f>
        <v>1.7115416447974274</v>
      </c>
      <c r="M47" s="203">
        <f>L47*(1+Assumptions!$E$32)</f>
        <v>1.7457724776933761</v>
      </c>
      <c r="N47" s="203">
        <f>M47*(1+Assumptions!$E$32)</f>
        <v>1.7806879272472436</v>
      </c>
      <c r="O47" s="203">
        <f>N47*(1+Assumptions!$E$32)</f>
        <v>1.8163016857921885</v>
      </c>
      <c r="P47" s="203">
        <f>O47*(1+Assumptions!$E$32)</f>
        <v>1.8526277195080323</v>
      </c>
      <c r="Q47" s="203">
        <f>P47*(1+Assumptions!$E$32)</f>
        <v>1.889680273898193</v>
      </c>
      <c r="R47" s="203">
        <f>Q47*(1+Assumptions!$E$32)</f>
        <v>1.927473879376157</v>
      </c>
      <c r="S47" s="203">
        <f>R47*(1+Assumptions!$E$32)</f>
        <v>1.9660233569636802</v>
      </c>
      <c r="T47" s="203">
        <f>S47*(1+Assumptions!$E$32)</f>
        <v>2.0053438241029538</v>
      </c>
      <c r="U47" s="203">
        <f>T47*(1+Assumptions!$E$32)</f>
        <v>2.0454507005850129</v>
      </c>
      <c r="V47" s="203">
        <f>U47*(1+Assumptions!$E$32)</f>
        <v>2.0863597145967132</v>
      </c>
      <c r="W47" s="203">
        <f>V47*(1+Assumptions!$E$32)</f>
        <v>2.1280869088886476</v>
      </c>
      <c r="X47" s="203">
        <f>W47*(1+Assumptions!$E$32)</f>
        <v>2.1706486470664208</v>
      </c>
      <c r="Y47" s="203">
        <f>X47*(1+Assumptions!$E$32)</f>
        <v>2.2140616200077492</v>
      </c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</row>
    <row r="48" spans="2:45" s="1" customFormat="1" ht="11.25">
      <c r="B48" s="1" t="s">
        <v>557</v>
      </c>
      <c r="D48" s="172"/>
      <c r="E48" s="1060">
        <f>(0.260416666666667*Assumptions!E31)*(1+H1)</f>
        <v>0.3828125000000005</v>
      </c>
      <c r="F48" s="203">
        <f t="shared" ref="F48:Y48" si="17">$E$48*(1+F$6)</f>
        <v>0.39046875000000053</v>
      </c>
      <c r="G48" s="203">
        <f t="shared" si="17"/>
        <v>0.39812500000000051</v>
      </c>
      <c r="H48" s="203">
        <f t="shared" si="17"/>
        <v>0.40578125000000054</v>
      </c>
      <c r="I48" s="203">
        <f t="shared" si="17"/>
        <v>0.41343750000000057</v>
      </c>
      <c r="J48" s="203">
        <f t="shared" si="17"/>
        <v>0.4210937500000006</v>
      </c>
      <c r="K48" s="203">
        <f t="shared" si="17"/>
        <v>0.42875000000000058</v>
      </c>
      <c r="L48" s="203">
        <f t="shared" si="17"/>
        <v>0.43640625000000061</v>
      </c>
      <c r="M48" s="203">
        <f t="shared" si="17"/>
        <v>0.44406250000000053</v>
      </c>
      <c r="N48" s="203">
        <f t="shared" si="17"/>
        <v>0.45171875000000056</v>
      </c>
      <c r="O48" s="203">
        <f t="shared" si="17"/>
        <v>0.45937500000000059</v>
      </c>
      <c r="P48" s="203">
        <f t="shared" si="17"/>
        <v>0.46703125000000062</v>
      </c>
      <c r="Q48" s="203">
        <f t="shared" si="17"/>
        <v>0.4746875000000006</v>
      </c>
      <c r="R48" s="203">
        <f t="shared" si="17"/>
        <v>0.48234375000000063</v>
      </c>
      <c r="S48" s="203">
        <f t="shared" si="17"/>
        <v>0.49000000000000066</v>
      </c>
      <c r="T48" s="203">
        <f t="shared" si="17"/>
        <v>0.49765625000000069</v>
      </c>
      <c r="U48" s="203">
        <f t="shared" si="17"/>
        <v>0.50531250000000072</v>
      </c>
      <c r="V48" s="203">
        <f t="shared" si="17"/>
        <v>0.51296875000000075</v>
      </c>
      <c r="W48" s="203">
        <f t="shared" si="17"/>
        <v>0.52062500000000067</v>
      </c>
      <c r="X48" s="203">
        <f t="shared" si="17"/>
        <v>0.5282812500000007</v>
      </c>
      <c r="Y48" s="203">
        <f t="shared" si="17"/>
        <v>0.53593750000000073</v>
      </c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</row>
    <row r="49" spans="1:45" s="1" customFormat="1" ht="11.25">
      <c r="B49" s="1" t="s">
        <v>556</v>
      </c>
      <c r="D49" s="172"/>
      <c r="E49" s="1060">
        <f>(0.260416666666667*Assumptions!E31)*(1+H1)</f>
        <v>0.3828125000000005</v>
      </c>
      <c r="F49" s="203">
        <f t="shared" ref="F49:Y49" si="18">$E$49*(1+F$6)</f>
        <v>0.39046875000000053</v>
      </c>
      <c r="G49" s="203">
        <f t="shared" si="18"/>
        <v>0.39812500000000051</v>
      </c>
      <c r="H49" s="203">
        <f t="shared" si="18"/>
        <v>0.40578125000000054</v>
      </c>
      <c r="I49" s="203">
        <f t="shared" si="18"/>
        <v>0.41343750000000057</v>
      </c>
      <c r="J49" s="203">
        <f t="shared" si="18"/>
        <v>0.4210937500000006</v>
      </c>
      <c r="K49" s="203">
        <f t="shared" si="18"/>
        <v>0.42875000000000058</v>
      </c>
      <c r="L49" s="203">
        <f t="shared" si="18"/>
        <v>0.43640625000000061</v>
      </c>
      <c r="M49" s="203">
        <f t="shared" si="18"/>
        <v>0.44406250000000053</v>
      </c>
      <c r="N49" s="203">
        <f t="shared" si="18"/>
        <v>0.45171875000000056</v>
      </c>
      <c r="O49" s="203">
        <f t="shared" si="18"/>
        <v>0.45937500000000059</v>
      </c>
      <c r="P49" s="203">
        <f t="shared" si="18"/>
        <v>0.46703125000000062</v>
      </c>
      <c r="Q49" s="203">
        <f t="shared" si="18"/>
        <v>0.4746875000000006</v>
      </c>
      <c r="R49" s="203">
        <f t="shared" si="18"/>
        <v>0.48234375000000063</v>
      </c>
      <c r="S49" s="203">
        <f t="shared" si="18"/>
        <v>0.49000000000000066</v>
      </c>
      <c r="T49" s="203">
        <f t="shared" si="18"/>
        <v>0.49765625000000069</v>
      </c>
      <c r="U49" s="203">
        <f t="shared" si="18"/>
        <v>0.50531250000000072</v>
      </c>
      <c r="V49" s="203">
        <f t="shared" si="18"/>
        <v>0.51296875000000075</v>
      </c>
      <c r="W49" s="203">
        <f t="shared" si="18"/>
        <v>0.52062500000000067</v>
      </c>
      <c r="X49" s="203">
        <f t="shared" si="18"/>
        <v>0.5282812500000007</v>
      </c>
      <c r="Y49" s="203">
        <f t="shared" si="18"/>
        <v>0.53593750000000073</v>
      </c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</row>
    <row r="50" spans="1:45" s="1" customFormat="1" ht="11.25">
      <c r="B50" s="697" t="s">
        <v>555</v>
      </c>
      <c r="C50" s="697"/>
      <c r="D50" s="701"/>
      <c r="E50" s="1061">
        <f>4.48*(1+H1)</f>
        <v>4.4800000000000004</v>
      </c>
      <c r="F50" s="702">
        <f>$E$50*(1+F6)</f>
        <v>4.5696000000000003</v>
      </c>
      <c r="G50" s="702">
        <f>$E$50*(1+G6)</f>
        <v>4.6592000000000002</v>
      </c>
      <c r="H50" s="702">
        <f>$E$50*(1+H6)</f>
        <v>4.748800000000001</v>
      </c>
      <c r="I50" s="702">
        <f t="shared" ref="I50:Y50" si="19">$E$50*(1+I6)</f>
        <v>4.8384000000000009</v>
      </c>
      <c r="J50" s="702">
        <f t="shared" si="19"/>
        <v>4.9280000000000008</v>
      </c>
      <c r="K50" s="702">
        <f t="shared" si="19"/>
        <v>5.0176000000000007</v>
      </c>
      <c r="L50" s="702">
        <f t="shared" si="19"/>
        <v>5.1072000000000006</v>
      </c>
      <c r="M50" s="702">
        <f t="shared" si="19"/>
        <v>5.1968000000000005</v>
      </c>
      <c r="N50" s="702">
        <f t="shared" si="19"/>
        <v>5.2864000000000004</v>
      </c>
      <c r="O50" s="702">
        <f t="shared" si="19"/>
        <v>5.3760000000000003</v>
      </c>
      <c r="P50" s="702">
        <f t="shared" si="19"/>
        <v>5.4656000000000002</v>
      </c>
      <c r="Q50" s="702">
        <f t="shared" si="19"/>
        <v>5.5552000000000001</v>
      </c>
      <c r="R50" s="702">
        <f t="shared" si="19"/>
        <v>5.6448000000000009</v>
      </c>
      <c r="S50" s="702">
        <f t="shared" si="19"/>
        <v>5.7344000000000008</v>
      </c>
      <c r="T50" s="702">
        <f t="shared" si="19"/>
        <v>5.8240000000000007</v>
      </c>
      <c r="U50" s="702">
        <f t="shared" si="19"/>
        <v>5.9136000000000006</v>
      </c>
      <c r="V50" s="702">
        <f t="shared" si="19"/>
        <v>6.0032000000000005</v>
      </c>
      <c r="W50" s="702">
        <f t="shared" si="19"/>
        <v>6.0928000000000013</v>
      </c>
      <c r="X50" s="702">
        <f t="shared" si="19"/>
        <v>6.1824000000000012</v>
      </c>
      <c r="Y50" s="702">
        <f t="shared" si="19"/>
        <v>6.2720000000000011</v>
      </c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</row>
    <row r="51" spans="1:45" s="9" customFormat="1" ht="11.25">
      <c r="A51" s="1"/>
      <c r="B51" s="9" t="s">
        <v>681</v>
      </c>
      <c r="D51" s="228"/>
      <c r="E51" s="6">
        <f>Tables!N36</f>
        <v>0</v>
      </c>
      <c r="F51" s="6">
        <f>$E$51*(1+F6)</f>
        <v>0</v>
      </c>
      <c r="G51" s="6">
        <f>$E$51*(1+G6)</f>
        <v>0</v>
      </c>
      <c r="H51" s="6">
        <f t="shared" ref="H51:Y51" si="20">$E$51*(1+H6)</f>
        <v>0</v>
      </c>
      <c r="I51" s="6">
        <f t="shared" si="20"/>
        <v>0</v>
      </c>
      <c r="J51" s="6">
        <f t="shared" si="20"/>
        <v>0</v>
      </c>
      <c r="K51" s="6">
        <f t="shared" si="20"/>
        <v>0</v>
      </c>
      <c r="L51" s="6">
        <f t="shared" si="20"/>
        <v>0</v>
      </c>
      <c r="M51" s="6">
        <f t="shared" si="20"/>
        <v>0</v>
      </c>
      <c r="N51" s="6">
        <f t="shared" si="20"/>
        <v>0</v>
      </c>
      <c r="O51" s="6">
        <f t="shared" si="20"/>
        <v>0</v>
      </c>
      <c r="P51" s="6">
        <f t="shared" si="20"/>
        <v>0</v>
      </c>
      <c r="Q51" s="6">
        <f t="shared" si="20"/>
        <v>0</v>
      </c>
      <c r="R51" s="6">
        <f t="shared" si="20"/>
        <v>0</v>
      </c>
      <c r="S51" s="6">
        <f t="shared" si="20"/>
        <v>0</v>
      </c>
      <c r="T51" s="6">
        <f t="shared" si="20"/>
        <v>0</v>
      </c>
      <c r="U51" s="6">
        <f t="shared" si="20"/>
        <v>0</v>
      </c>
      <c r="V51" s="6">
        <f t="shared" si="20"/>
        <v>0</v>
      </c>
      <c r="W51" s="6">
        <f t="shared" si="20"/>
        <v>0</v>
      </c>
      <c r="X51" s="6">
        <f t="shared" si="20"/>
        <v>0</v>
      </c>
      <c r="Y51" s="6">
        <f t="shared" si="20"/>
        <v>0</v>
      </c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</row>
    <row r="52" spans="1:45" s="1" customFormat="1" ht="11.25">
      <c r="D52" s="172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</row>
    <row r="53" spans="1:45" s="1" customFormat="1" ht="11.25">
      <c r="D53" s="172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</row>
    <row r="54" spans="1:45" s="1" customFormat="1" ht="11.25">
      <c r="D54" s="172"/>
      <c r="E54" s="735">
        <f>SUM(E47:E52)</f>
        <v>6.7356250000000015</v>
      </c>
      <c r="F54" s="735">
        <f t="shared" ref="F54:Y54" si="21">SUM(F47:F52)</f>
        <v>6.8703375000000015</v>
      </c>
      <c r="G54" s="735">
        <f t="shared" si="21"/>
        <v>7.0056460000000014</v>
      </c>
      <c r="H54" s="735">
        <f t="shared" si="21"/>
        <v>7.1415624200000023</v>
      </c>
      <c r="I54" s="735">
        <f t="shared" si="21"/>
        <v>7.2780989184000022</v>
      </c>
      <c r="J54" s="735">
        <f t="shared" si="21"/>
        <v>7.4152678967680021</v>
      </c>
      <c r="K54" s="735">
        <f t="shared" si="21"/>
        <v>7.553082004703362</v>
      </c>
      <c r="L54" s="735">
        <f t="shared" si="21"/>
        <v>7.6915541447974292</v>
      </c>
      <c r="M54" s="735">
        <f t="shared" si="21"/>
        <v>7.830697477693378</v>
      </c>
      <c r="N54" s="735">
        <f t="shared" si="21"/>
        <v>7.970525427247245</v>
      </c>
      <c r="O54" s="735">
        <f t="shared" si="21"/>
        <v>8.1110516857921908</v>
      </c>
      <c r="P54" s="735">
        <f t="shared" si="21"/>
        <v>8.2522902195080334</v>
      </c>
      <c r="Q54" s="735">
        <f t="shared" si="21"/>
        <v>8.3942552738981941</v>
      </c>
      <c r="R54" s="735">
        <f t="shared" si="21"/>
        <v>8.5369613793761587</v>
      </c>
      <c r="S54" s="735">
        <f t="shared" si="21"/>
        <v>8.6804233569636828</v>
      </c>
      <c r="T54" s="735">
        <f t="shared" si="21"/>
        <v>8.824656324102957</v>
      </c>
      <c r="U54" s="735">
        <f t="shared" si="21"/>
        <v>8.9696757005850145</v>
      </c>
      <c r="V54" s="735">
        <f t="shared" si="21"/>
        <v>9.115497214596715</v>
      </c>
      <c r="W54" s="735">
        <f t="shared" si="21"/>
        <v>9.2621369088886496</v>
      </c>
      <c r="X54" s="735">
        <f t="shared" si="21"/>
        <v>9.4096111470664248</v>
      </c>
      <c r="Y54" s="735">
        <f t="shared" si="21"/>
        <v>9.5579366200077516</v>
      </c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</row>
    <row r="55" spans="1:45" s="1" customFormat="1" ht="11.25"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</row>
    <row r="56" spans="1:45" s="1" customFormat="1" ht="11.25">
      <c r="B56" s="77" t="s">
        <v>683</v>
      </c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</row>
    <row r="57" spans="1:45" s="1" customFormat="1" ht="11.25">
      <c r="B57" s="1" t="s">
        <v>684</v>
      </c>
      <c r="C57" s="152">
        <f>54.5*365*Assumptions!B21</f>
        <v>18897.875</v>
      </c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</row>
    <row r="58" spans="1:45" s="1" customFormat="1" ht="11.25">
      <c r="B58" s="1" t="s">
        <v>685</v>
      </c>
      <c r="E58" s="1">
        <v>0.441</v>
      </c>
      <c r="F58" s="1">
        <f>$E$58*(1+F6)</f>
        <v>0.44982</v>
      </c>
      <c r="G58" s="1">
        <f t="shared" ref="G58:Y58" si="22">$E$58*(1+G6)</f>
        <v>0.45863999999999999</v>
      </c>
      <c r="H58" s="1">
        <f t="shared" si="22"/>
        <v>0.46746000000000004</v>
      </c>
      <c r="I58" s="1">
        <f t="shared" si="22"/>
        <v>0.47628000000000004</v>
      </c>
      <c r="J58" s="1">
        <f t="shared" si="22"/>
        <v>0.48510000000000003</v>
      </c>
      <c r="K58" s="1">
        <f t="shared" si="22"/>
        <v>0.49392000000000003</v>
      </c>
      <c r="L58" s="1">
        <f t="shared" si="22"/>
        <v>0.50274000000000008</v>
      </c>
      <c r="M58" s="1">
        <f t="shared" si="22"/>
        <v>0.51156000000000001</v>
      </c>
      <c r="N58" s="1">
        <f t="shared" si="22"/>
        <v>0.52037999999999995</v>
      </c>
      <c r="O58" s="1">
        <f t="shared" si="22"/>
        <v>0.5292</v>
      </c>
      <c r="P58" s="1">
        <f t="shared" si="22"/>
        <v>0.53801999999999994</v>
      </c>
      <c r="Q58" s="1">
        <f t="shared" si="22"/>
        <v>0.54683999999999999</v>
      </c>
      <c r="R58" s="1">
        <f t="shared" si="22"/>
        <v>0.55566000000000004</v>
      </c>
      <c r="S58" s="1">
        <f t="shared" si="22"/>
        <v>0.56447999999999998</v>
      </c>
      <c r="T58" s="1">
        <f t="shared" si="22"/>
        <v>0.57330000000000003</v>
      </c>
      <c r="U58" s="1">
        <f t="shared" si="22"/>
        <v>0.58212000000000008</v>
      </c>
      <c r="V58" s="1">
        <f t="shared" si="22"/>
        <v>0.59094000000000002</v>
      </c>
      <c r="W58" s="1">
        <f t="shared" si="22"/>
        <v>0.59976000000000007</v>
      </c>
      <c r="X58" s="1">
        <f t="shared" si="22"/>
        <v>0.60858000000000001</v>
      </c>
      <c r="Y58" s="1">
        <f t="shared" si="22"/>
        <v>0.61740000000000006</v>
      </c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</row>
    <row r="59" spans="1:45" s="1" customFormat="1" ht="11.25"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</row>
    <row r="60" spans="1:45" s="1" customFormat="1" ht="11.25"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</row>
    <row r="61" spans="1:45" s="1" customFormat="1" ht="11.25"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</row>
    <row r="62" spans="1:45" s="1" customFormat="1" ht="11.25"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</row>
    <row r="63" spans="1:45" s="1" customFormat="1" ht="11.25"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</row>
    <row r="64" spans="1:45" s="1" customFormat="1" ht="11.25"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</row>
  </sheetData>
  <pageMargins left="0.2" right="0.23" top="0.32" bottom="0.51" header="0.17" footer="0.2"/>
  <pageSetup paperSize="5" scale="80" fitToWidth="2" orientation="landscape" horizontalDpi="1200" r:id="rId1"/>
  <headerFooter alignWithMargins="0">
    <oddFooter>&amp;LI:CES\IS\KChaney\Power\Omers\New Models\&amp;F
&amp;D
&amp;T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V363"/>
  <sheetViews>
    <sheetView zoomScale="75" workbookViewId="0">
      <selection activeCell="J21" sqref="J21"/>
    </sheetView>
  </sheetViews>
  <sheetFormatPr defaultRowHeight="11.25"/>
  <cols>
    <col min="1" max="1" width="10.28515625" style="25" customWidth="1"/>
    <col min="2" max="2" width="12.5703125" style="25" customWidth="1"/>
    <col min="3" max="4" width="9.140625" style="25"/>
    <col min="5" max="5" width="7.7109375" style="25" customWidth="1"/>
    <col min="6" max="7" width="9.42578125" style="25" customWidth="1"/>
    <col min="8" max="8" width="9.85546875" style="25" bestFit="1" customWidth="1"/>
    <col min="9" max="9" width="13.140625" style="25" bestFit="1" customWidth="1"/>
    <col min="10" max="10" width="6.5703125" style="7" customWidth="1"/>
    <col min="11" max="11" width="9.85546875" style="7" bestFit="1" customWidth="1"/>
    <col min="12" max="20" width="9.140625" style="7"/>
    <col min="21" max="21" width="11.85546875" style="7" customWidth="1"/>
    <col min="22" max="16384" width="9.140625" style="7"/>
  </cols>
  <sheetData>
    <row r="1" spans="1:22" ht="18">
      <c r="A1" s="213" t="s">
        <v>792</v>
      </c>
      <c r="B1" s="1"/>
      <c r="C1" s="1"/>
      <c r="D1" s="1"/>
      <c r="E1" s="1"/>
      <c r="F1" s="1"/>
      <c r="G1" s="1"/>
      <c r="H1" s="1"/>
      <c r="I1" s="1"/>
      <c r="M1" s="7" t="s">
        <v>793</v>
      </c>
    </row>
    <row r="2" spans="1:22">
      <c r="A2" s="1"/>
      <c r="B2" s="1"/>
      <c r="C2" s="1"/>
      <c r="D2" s="1"/>
      <c r="E2" s="1"/>
      <c r="F2" s="1"/>
      <c r="G2" s="1"/>
      <c r="H2" s="1"/>
      <c r="I2" s="1"/>
      <c r="M2" s="1"/>
      <c r="N2" s="1"/>
      <c r="O2" s="1"/>
      <c r="P2" s="1"/>
      <c r="Q2" s="1"/>
      <c r="R2" s="1"/>
      <c r="S2" s="1"/>
      <c r="T2" s="1"/>
      <c r="U2" s="1"/>
    </row>
    <row r="3" spans="1:22" ht="13.5" thickBot="1">
      <c r="A3" s="1"/>
      <c r="B3" s="63" t="s">
        <v>51</v>
      </c>
      <c r="C3" s="1"/>
      <c r="D3" s="9"/>
      <c r="E3" s="9"/>
      <c r="F3" s="1"/>
      <c r="G3" s="1"/>
      <c r="H3" s="1"/>
      <c r="I3" s="1"/>
      <c r="M3" s="1"/>
      <c r="N3" s="63" t="s">
        <v>794</v>
      </c>
      <c r="O3" s="1"/>
      <c r="P3" s="9"/>
      <c r="Q3" s="9"/>
      <c r="R3" s="1"/>
      <c r="S3" s="1"/>
      <c r="T3" s="1"/>
      <c r="U3" s="1"/>
    </row>
    <row r="4" spans="1:22">
      <c r="A4" s="614"/>
      <c r="B4" s="166" t="s">
        <v>16</v>
      </c>
      <c r="C4" s="167">
        <f>Assumptions!$B$31</f>
        <v>0.1</v>
      </c>
      <c r="D4" s="614"/>
      <c r="E4" s="9"/>
      <c r="F4" s="1"/>
      <c r="G4" s="1"/>
      <c r="H4" s="163" t="s">
        <v>787</v>
      </c>
      <c r="I4" s="612">
        <f ca="1">SUM(I14:I21)</f>
        <v>-73547.946052027881</v>
      </c>
      <c r="M4" s="614"/>
      <c r="N4" s="166" t="s">
        <v>16</v>
      </c>
      <c r="O4" s="167">
        <f>Assumptions!$B$31</f>
        <v>0.1</v>
      </c>
      <c r="P4" s="614"/>
      <c r="Q4" s="9"/>
      <c r="R4" s="1"/>
      <c r="S4" s="1"/>
      <c r="T4" s="163" t="s">
        <v>787</v>
      </c>
      <c r="U4" s="612">
        <f ca="1">SUM(U14:U21)</f>
        <v>-81965.621052001748</v>
      </c>
    </row>
    <row r="5" spans="1:22" ht="12" thickBot="1">
      <c r="A5" s="615"/>
      <c r="B5" s="168" t="s">
        <v>52</v>
      </c>
      <c r="C5" s="169">
        <f ca="1">Assumptions!$B$26</f>
        <v>36622.45305034722</v>
      </c>
      <c r="D5" s="615"/>
      <c r="E5" s="9"/>
      <c r="F5" s="1"/>
      <c r="G5" s="1"/>
      <c r="H5" s="163" t="s">
        <v>498</v>
      </c>
      <c r="I5" s="612">
        <f ca="1">SUM(I14:I25)</f>
        <v>-64675.148284740411</v>
      </c>
      <c r="M5" s="615"/>
      <c r="N5" s="168" t="s">
        <v>52</v>
      </c>
      <c r="O5" s="169">
        <f ca="1">Assumptions!$B$26</f>
        <v>36622.45305034722</v>
      </c>
      <c r="P5" s="615"/>
      <c r="Q5" s="9"/>
      <c r="R5" s="1"/>
      <c r="S5" s="1"/>
      <c r="T5" s="163" t="s">
        <v>498</v>
      </c>
      <c r="U5" s="612">
        <f ca="1">SUM(U14:U25)</f>
        <v>-74619.255824240972</v>
      </c>
    </row>
    <row r="6" spans="1:22">
      <c r="A6" s="458"/>
      <c r="B6" s="1"/>
      <c r="C6" s="36"/>
      <c r="D6" s="458"/>
      <c r="E6" s="9"/>
      <c r="F6" s="1"/>
      <c r="G6" s="1"/>
      <c r="H6" s="163" t="s">
        <v>499</v>
      </c>
      <c r="I6" s="612">
        <f ca="1">SUM(I14:I35)</f>
        <v>-46838.445253164668</v>
      </c>
      <c r="M6" s="458"/>
      <c r="N6" s="1"/>
      <c r="O6" s="36"/>
      <c r="P6" s="458"/>
      <c r="Q6" s="9"/>
      <c r="R6" s="1"/>
      <c r="S6" s="1"/>
      <c r="T6" s="163" t="s">
        <v>499</v>
      </c>
      <c r="U6" s="612">
        <f ca="1">SUM(U14:U35)</f>
        <v>-62222.525832039653</v>
      </c>
    </row>
    <row r="7" spans="1:22">
      <c r="A7" s="36"/>
      <c r="B7" s="1"/>
      <c r="C7" s="36"/>
      <c r="D7" s="458"/>
      <c r="E7" s="9"/>
      <c r="F7" s="1"/>
      <c r="G7" s="1"/>
      <c r="H7" s="163" t="s">
        <v>525</v>
      </c>
      <c r="I7" s="612">
        <f ca="1">SUM(I14:I45)</f>
        <v>-15101.051369554112</v>
      </c>
      <c r="M7" s="36"/>
      <c r="N7" s="1"/>
      <c r="O7" s="36"/>
      <c r="P7" s="458"/>
      <c r="Q7" s="9"/>
      <c r="R7" s="1"/>
      <c r="S7" s="1"/>
      <c r="T7" s="163" t="s">
        <v>525</v>
      </c>
      <c r="U7" s="612">
        <f ca="1">SUM(U14:U45)</f>
        <v>-38293.967649317048</v>
      </c>
    </row>
    <row r="8" spans="1:22">
      <c r="A8" s="36"/>
      <c r="B8" s="1"/>
      <c r="C8" s="36"/>
      <c r="D8" s="36"/>
      <c r="E8" s="1"/>
      <c r="F8" s="1"/>
      <c r="G8" s="1"/>
      <c r="H8" s="611" t="s">
        <v>526</v>
      </c>
      <c r="I8" s="613">
        <f>IF(Tables!B21=15,0,SUM(I14:I55))</f>
        <v>0</v>
      </c>
      <c r="M8" s="36"/>
      <c r="N8" s="1"/>
      <c r="O8" s="36"/>
      <c r="P8" s="36"/>
      <c r="Q8" s="1"/>
      <c r="R8" s="1"/>
      <c r="S8" s="1"/>
      <c r="T8" s="611" t="s">
        <v>526</v>
      </c>
      <c r="U8" s="613">
        <f>IF(Tables!B21=15,0,SUM(U14:U55))</f>
        <v>0</v>
      </c>
    </row>
    <row r="9" spans="1:22">
      <c r="A9" s="36"/>
      <c r="B9" s="1"/>
      <c r="C9" s="36"/>
      <c r="D9" s="36"/>
      <c r="E9" s="1"/>
      <c r="F9" s="1"/>
      <c r="G9" s="1"/>
      <c r="H9" s="233"/>
      <c r="I9" s="234"/>
      <c r="M9" s="36"/>
      <c r="N9" s="1"/>
      <c r="O9" s="36"/>
      <c r="P9" s="36"/>
      <c r="Q9" s="1"/>
      <c r="R9" s="1"/>
      <c r="S9" s="1"/>
      <c r="T9" s="233"/>
      <c r="U9" s="234"/>
    </row>
    <row r="10" spans="1:22">
      <c r="A10" s="36"/>
      <c r="B10" s="1"/>
      <c r="C10" s="36"/>
      <c r="D10" s="36"/>
      <c r="E10" s="1"/>
      <c r="F10" s="1"/>
      <c r="G10" s="1"/>
      <c r="H10" s="233"/>
      <c r="I10" s="234"/>
      <c r="M10" s="36"/>
      <c r="N10" s="1"/>
      <c r="O10" s="36"/>
      <c r="P10" s="36"/>
      <c r="Q10" s="1"/>
      <c r="R10" s="1"/>
      <c r="S10" s="1"/>
      <c r="T10" s="233"/>
      <c r="U10" s="234"/>
    </row>
    <row r="11" spans="1:22">
      <c r="A11" s="1"/>
      <c r="B11" s="1"/>
      <c r="C11" s="1"/>
      <c r="D11" s="1"/>
      <c r="E11" s="1"/>
      <c r="F11" s="1"/>
      <c r="G11" s="1"/>
      <c r="H11" s="15" t="e">
        <f>SUM(H14:H259)</f>
        <v>#DIV/0!</v>
      </c>
      <c r="I11" s="15" t="e">
        <f>SUM(Cashflow!60:60)+SUM(Cashflow!44:44)+SUM(Cashflow!D57:X57)</f>
        <v>#DIV/0!</v>
      </c>
      <c r="J11" s="7" t="s">
        <v>527</v>
      </c>
      <c r="L11" s="7">
        <f>SUM(L13:L44)</f>
        <v>0</v>
      </c>
      <c r="M11" s="1"/>
      <c r="N11" s="1"/>
      <c r="O11" s="1"/>
      <c r="P11" s="1"/>
      <c r="Q11" s="1"/>
      <c r="R11" s="1"/>
      <c r="S11" s="1"/>
      <c r="T11" s="15" t="e">
        <f>SUM(T14:T259)</f>
        <v>#DIV/0!</v>
      </c>
      <c r="U11" s="15" t="e">
        <f>SUM(Cashflow!64:64)+SUM(Cashflow!44:44)+SUM(Cashflow!P57:AJ57)</f>
        <v>#DIV/0!</v>
      </c>
      <c r="V11" s="7" t="s">
        <v>527</v>
      </c>
    </row>
    <row r="12" spans="1:22" ht="22.5">
      <c r="A12" s="32" t="s">
        <v>522</v>
      </c>
      <c r="B12" s="32" t="s">
        <v>53</v>
      </c>
      <c r="C12" s="32" t="s">
        <v>54</v>
      </c>
      <c r="D12" s="32" t="s">
        <v>586</v>
      </c>
      <c r="E12" s="32" t="s">
        <v>16</v>
      </c>
      <c r="F12" s="32" t="s">
        <v>55</v>
      </c>
      <c r="G12" s="32" t="s">
        <v>523</v>
      </c>
      <c r="H12" s="32" t="s">
        <v>56</v>
      </c>
      <c r="I12" s="32" t="s">
        <v>57</v>
      </c>
      <c r="M12" s="32" t="s">
        <v>522</v>
      </c>
      <c r="N12" s="32" t="s">
        <v>53</v>
      </c>
      <c r="O12" s="32" t="s">
        <v>54</v>
      </c>
      <c r="P12" s="32" t="s">
        <v>586</v>
      </c>
      <c r="Q12" s="32" t="s">
        <v>16</v>
      </c>
      <c r="R12" s="32" t="s">
        <v>55</v>
      </c>
      <c r="S12" s="32" t="s">
        <v>523</v>
      </c>
      <c r="T12" s="32" t="s">
        <v>56</v>
      </c>
      <c r="U12" s="32" t="s">
        <v>57</v>
      </c>
    </row>
    <row r="13" spans="1:22" s="25" customFormat="1">
      <c r="A13" s="306"/>
      <c r="B13" s="309"/>
      <c r="C13" s="309"/>
      <c r="D13" s="309"/>
      <c r="E13" s="307"/>
      <c r="F13" s="308"/>
      <c r="G13" s="308"/>
      <c r="H13" s="264"/>
      <c r="I13" s="264"/>
      <c r="M13" s="306"/>
      <c r="N13" s="309"/>
      <c r="O13" s="309"/>
      <c r="P13" s="309"/>
      <c r="Q13" s="307"/>
      <c r="R13" s="308"/>
      <c r="S13" s="308"/>
      <c r="T13" s="264"/>
      <c r="U13" s="264"/>
    </row>
    <row r="14" spans="1:22" s="293" customFormat="1">
      <c r="A14" s="161">
        <f>YEAR(B14)</f>
        <v>2000</v>
      </c>
      <c r="B14" s="512">
        <f>Assumptions!$E$47</f>
        <v>36586</v>
      </c>
      <c r="C14" s="512">
        <f>DATE(YEAR(B14),MONTH(B14)+3,25)</f>
        <v>36702</v>
      </c>
      <c r="D14" s="690">
        <f>DATE(YEAR(C14),MONTH(C14)+1,25)</f>
        <v>36732</v>
      </c>
      <c r="E14" s="292">
        <f>Assumptions!$B$29</f>
        <v>0.1</v>
      </c>
      <c r="F14" s="685">
        <f ca="1">+((1+E14/2)^(-2*(D14-$C$5)/365.25))</f>
        <v>0.97115751492735269</v>
      </c>
      <c r="G14" s="685"/>
      <c r="H14" s="1063">
        <f>-SUM(Construction!$D$43:$O$43)-SUM(Construction!$D$55:$AA$55)</f>
        <v>-121897.84652866356</v>
      </c>
      <c r="I14" s="488">
        <f t="shared" ref="I14:I55" ca="1" si="0">+H14*F14</f>
        <v>-118382.00970977273</v>
      </c>
      <c r="K14" s="630"/>
      <c r="L14" s="488"/>
      <c r="M14" s="161">
        <f>YEAR(N14)</f>
        <v>2000</v>
      </c>
      <c r="N14" s="512">
        <f>Assumptions!$E$47</f>
        <v>36586</v>
      </c>
      <c r="O14" s="512">
        <f>C14</f>
        <v>36702</v>
      </c>
      <c r="P14" s="690">
        <f>DATE(YEAR(O14),MONTH(O14)+1,25)</f>
        <v>36732</v>
      </c>
      <c r="Q14" s="292">
        <f>Assumptions!$B$29</f>
        <v>0.1</v>
      </c>
      <c r="R14" s="685">
        <f ca="1">+((1+Q14/2)^(-2*(P14-$C$5)/365.25))</f>
        <v>0.97115751492735269</v>
      </c>
      <c r="S14" s="685"/>
      <c r="T14" s="626">
        <f>-SUM(Construction!$D$43:$O$43)-SUM(Construction!$D$55:$AA$55)</f>
        <v>-121897.84652866356</v>
      </c>
      <c r="U14" s="488">
        <f t="shared" ref="U14:U55" ca="1" si="1">+T14*R14</f>
        <v>-118382.00970977273</v>
      </c>
    </row>
    <row r="15" spans="1:22" s="293" customFormat="1">
      <c r="A15" s="161">
        <f t="shared" ref="A15:A55" si="2">YEAR(B15)</f>
        <v>2000</v>
      </c>
      <c r="B15" s="164">
        <f>DATE(YEAR(B14),MONTH(B14)+4,1)</f>
        <v>36708</v>
      </c>
      <c r="C15" s="164">
        <f>DATE(YEAR(B15),MONTH(B15)+5,25)</f>
        <v>36885</v>
      </c>
      <c r="D15" s="690">
        <f t="shared" ref="D15:D54" si="3">DATE(YEAR(C15),MONTH(C15)+1,25)</f>
        <v>36916</v>
      </c>
      <c r="E15" s="292">
        <f>Assumptions!$B$29</f>
        <v>0.1</v>
      </c>
      <c r="F15" s="456">
        <f t="shared" ref="F15:F54" ca="1" si="4">+((1+E15/2)^(-2*(D15-$C$5)/365.25))</f>
        <v>0.92457221912530541</v>
      </c>
      <c r="G15" s="685"/>
      <c r="H15" s="1062">
        <f>Cashflow!$D$60</f>
        <v>-446.45422999522941</v>
      </c>
      <c r="I15" s="56">
        <f t="shared" ca="1" si="0"/>
        <v>-412.77917816456875</v>
      </c>
      <c r="K15" s="630"/>
      <c r="L15" s="488"/>
      <c r="M15" s="161">
        <f t="shared" ref="M15:M55" si="5">YEAR(N15)</f>
        <v>2000</v>
      </c>
      <c r="N15" s="164">
        <f>B15</f>
        <v>36708</v>
      </c>
      <c r="O15" s="164">
        <f>DATE(YEAR(N15),MONTH(N15)+5,25)</f>
        <v>36885</v>
      </c>
      <c r="P15" s="690">
        <f t="shared" ref="P15:P54" si="6">DATE(YEAR(O15),MONTH(O15)+1,25)</f>
        <v>36916</v>
      </c>
      <c r="Q15" s="292">
        <f>Assumptions!$B$29</f>
        <v>0.1</v>
      </c>
      <c r="R15" s="456">
        <f t="shared" ref="R15:R54" ca="1" si="7">+((1+Q15/2)^(-2*(P15-$C$5)/365.25))</f>
        <v>0.92457221912530541</v>
      </c>
      <c r="S15" s="685"/>
      <c r="T15" s="627">
        <f>Cashflow!$D$64</f>
        <v>-795.59198179182249</v>
      </c>
      <c r="U15" s="56">
        <f t="shared" ca="1" si="1"/>
        <v>-735.58224412356492</v>
      </c>
    </row>
    <row r="16" spans="1:22" s="293" customFormat="1">
      <c r="A16" s="161">
        <f t="shared" si="2"/>
        <v>2001</v>
      </c>
      <c r="B16" s="164">
        <f t="shared" ref="B16:B55" si="8">DATE(YEAR(B15),MONTH(B15)+6,1)</f>
        <v>36892</v>
      </c>
      <c r="C16" s="164">
        <f t="shared" ref="C16:C55" si="9">DATE(YEAR(B16),MONTH(B16)+5,25)</f>
        <v>37067</v>
      </c>
      <c r="D16" s="690">
        <f t="shared" si="3"/>
        <v>37097</v>
      </c>
      <c r="E16" s="292">
        <f>Assumptions!$B$29</f>
        <v>0.1</v>
      </c>
      <c r="F16" s="685">
        <f t="shared" ca="1" si="4"/>
        <v>0.88092732952009611</v>
      </c>
      <c r="G16" s="685"/>
      <c r="H16" s="627">
        <f>INDEX(CashflowTable,MATCH("DISTRIBUTABLE CASHFLOW     (including equity injection)",CashflowColumn,0),MATCH(A16,CashflowRow,0))/2+G16</f>
        <v>13005.406421774505</v>
      </c>
      <c r="I16" s="56">
        <f t="shared" ca="1" si="0"/>
        <v>11456.817948457323</v>
      </c>
      <c r="K16" s="630"/>
      <c r="L16" s="488"/>
      <c r="M16" s="161">
        <f t="shared" si="5"/>
        <v>2001</v>
      </c>
      <c r="N16" s="164">
        <f t="shared" ref="N16:N55" si="10">DATE(YEAR(N15),MONTH(N15)+6,1)</f>
        <v>36892</v>
      </c>
      <c r="O16" s="164">
        <f t="shared" ref="O16:O55" si="11">DATE(YEAR(N16),MONTH(N16)+5,25)</f>
        <v>37067</v>
      </c>
      <c r="P16" s="690">
        <f t="shared" si="6"/>
        <v>37097</v>
      </c>
      <c r="Q16" s="292">
        <f>Assumptions!$B$29</f>
        <v>0.1</v>
      </c>
      <c r="R16" s="685">
        <f t="shared" ca="1" si="7"/>
        <v>0.88092732952009611</v>
      </c>
      <c r="S16" s="685"/>
      <c r="T16" s="627">
        <f>INDEX(CashflowTable,MATCH("Equity Cash Flow (After Cash taxes)",CashflowColumn,0),MATCH(M16,CashflowRow,0))/2+S16</f>
        <v>10977.716117414124</v>
      </c>
      <c r="U16" s="56">
        <f t="shared" ca="1" si="1"/>
        <v>9670.5701435433421</v>
      </c>
    </row>
    <row r="17" spans="1:22" s="293" customFormat="1">
      <c r="A17" s="161">
        <f t="shared" si="2"/>
        <v>2001</v>
      </c>
      <c r="B17" s="164">
        <f t="shared" si="8"/>
        <v>37073</v>
      </c>
      <c r="C17" s="164">
        <f t="shared" si="9"/>
        <v>37250</v>
      </c>
      <c r="D17" s="690">
        <f t="shared" si="3"/>
        <v>37281</v>
      </c>
      <c r="E17" s="292">
        <f>Assumptions!$B$29</f>
        <v>0.1</v>
      </c>
      <c r="F17" s="685">
        <f t="shared" ca="1" si="4"/>
        <v>0.83867027070624234</v>
      </c>
      <c r="G17" s="685"/>
      <c r="H17" s="627">
        <f t="shared" ref="H17:H53" si="12">INDEX(CashflowTable,MATCH("DISTRIBUTABLE CASHFLOW     (including equity injection)",CashflowColumn,0),MATCH(A17,CashflowRow,0))/2+G17</f>
        <v>13005.406421774505</v>
      </c>
      <c r="I17" s="56">
        <f t="shared" ca="1" si="0"/>
        <v>10907.247724394327</v>
      </c>
      <c r="J17" s="293" t="s">
        <v>587</v>
      </c>
      <c r="K17" s="630"/>
      <c r="L17" s="488"/>
      <c r="M17" s="161">
        <f t="shared" si="5"/>
        <v>2001</v>
      </c>
      <c r="N17" s="164">
        <f t="shared" si="10"/>
        <v>37073</v>
      </c>
      <c r="O17" s="164">
        <f t="shared" si="11"/>
        <v>37250</v>
      </c>
      <c r="P17" s="690">
        <f t="shared" si="6"/>
        <v>37281</v>
      </c>
      <c r="Q17" s="292">
        <f>Assumptions!$B$29</f>
        <v>0.1</v>
      </c>
      <c r="R17" s="685">
        <f t="shared" ca="1" si="7"/>
        <v>0.83867027070624234</v>
      </c>
      <c r="S17" s="685"/>
      <c r="T17" s="627">
        <f t="shared" ref="T17:T55" si="13">INDEX(CashflowTable,MATCH("Equity Cash Flow (After Cash taxes)",CashflowColumn,0),MATCH(M17,CashflowRow,0))/2+S17</f>
        <v>10977.716117414124</v>
      </c>
      <c r="U17" s="56">
        <f t="shared" ca="1" si="1"/>
        <v>9206.6841479279828</v>
      </c>
      <c r="V17" s="293" t="s">
        <v>587</v>
      </c>
    </row>
    <row r="18" spans="1:22" s="293" customFormat="1">
      <c r="A18" s="161">
        <f t="shared" si="2"/>
        <v>2002</v>
      </c>
      <c r="B18" s="164">
        <f t="shared" si="8"/>
        <v>37257</v>
      </c>
      <c r="C18" s="164">
        <f t="shared" si="9"/>
        <v>37432</v>
      </c>
      <c r="D18" s="690">
        <f t="shared" si="3"/>
        <v>37462</v>
      </c>
      <c r="E18" s="292">
        <f>Assumptions!$B$29</f>
        <v>0.1</v>
      </c>
      <c r="F18" s="685">
        <f t="shared" ca="1" si="4"/>
        <v>0.79908042512903699</v>
      </c>
      <c r="H18" s="627">
        <f>INDEX(CashflowTable,MATCH("DISTRIBUTABLE CASHFLOW     (including equity injection)",CashflowColumn,0),MATCH(A18,CashflowRow,0))/IF(Tables!$B$21=2,1,2)+G18</f>
        <v>8793.7288526351476</v>
      </c>
      <c r="I18" s="56">
        <f t="shared" ca="1" si="0"/>
        <v>7026.8965900331723</v>
      </c>
      <c r="K18" s="630"/>
      <c r="L18" s="488"/>
      <c r="M18" s="161">
        <f t="shared" si="5"/>
        <v>2002</v>
      </c>
      <c r="N18" s="164">
        <f t="shared" si="10"/>
        <v>37257</v>
      </c>
      <c r="O18" s="164">
        <f t="shared" si="11"/>
        <v>37432</v>
      </c>
      <c r="P18" s="690">
        <f t="shared" si="6"/>
        <v>37462</v>
      </c>
      <c r="Q18" s="292">
        <f>Assumptions!$B$29</f>
        <v>0.1</v>
      </c>
      <c r="R18" s="685">
        <f t="shared" ca="1" si="7"/>
        <v>0.79908042512903699</v>
      </c>
      <c r="T18" s="627">
        <f t="shared" si="13"/>
        <v>7044.6442604753247</v>
      </c>
      <c r="U18" s="56">
        <f t="shared" ca="1" si="1"/>
        <v>5629.237330543453</v>
      </c>
    </row>
    <row r="19" spans="1:22" s="293" customFormat="1">
      <c r="A19" s="161">
        <f t="shared" si="2"/>
        <v>2002</v>
      </c>
      <c r="B19" s="164">
        <f t="shared" si="8"/>
        <v>37438</v>
      </c>
      <c r="C19" s="164">
        <f t="shared" si="9"/>
        <v>37615</v>
      </c>
      <c r="D19" s="690">
        <f t="shared" si="3"/>
        <v>37646</v>
      </c>
      <c r="E19" s="292">
        <f>Assumptions!$B$29</f>
        <v>0.1</v>
      </c>
      <c r="F19" s="685">
        <f t="shared" ca="1" si="4"/>
        <v>0.7607494670691114</v>
      </c>
      <c r="G19" s="685"/>
      <c r="H19" s="627">
        <f t="shared" ref="H19:H24" si="14">INDEX(CashflowTable,MATCH("DISTRIBUTABLE CASHFLOW     (including equity injection)",CashflowColumn,0),MATCH(A19,CashflowRow,0))/2+G19</f>
        <v>8793.7288526351476</v>
      </c>
      <c r="I19" s="56">
        <f t="shared" ca="1" si="0"/>
        <v>6689.8245381924571</v>
      </c>
      <c r="J19" s="293" t="s">
        <v>588</v>
      </c>
      <c r="K19" s="630"/>
      <c r="L19" s="488"/>
      <c r="M19" s="161">
        <f t="shared" si="5"/>
        <v>2002</v>
      </c>
      <c r="N19" s="164">
        <f t="shared" si="10"/>
        <v>37438</v>
      </c>
      <c r="O19" s="164">
        <f t="shared" si="11"/>
        <v>37615</v>
      </c>
      <c r="P19" s="690">
        <f t="shared" si="6"/>
        <v>37646</v>
      </c>
      <c r="Q19" s="292">
        <f>Assumptions!$B$29</f>
        <v>0.1</v>
      </c>
      <c r="R19" s="685">
        <f t="shared" ca="1" si="7"/>
        <v>0.7607494670691114</v>
      </c>
      <c r="S19" s="685"/>
      <c r="T19" s="627">
        <f t="shared" si="13"/>
        <v>7044.6442604753247</v>
      </c>
      <c r="U19" s="56">
        <f t="shared" ca="1" si="1"/>
        <v>5359.2093668480775</v>
      </c>
      <c r="V19" s="293" t="s">
        <v>588</v>
      </c>
    </row>
    <row r="20" spans="1:22" s="510" customFormat="1">
      <c r="A20" s="161">
        <f t="shared" si="2"/>
        <v>2003</v>
      </c>
      <c r="B20" s="164">
        <f t="shared" si="8"/>
        <v>37622</v>
      </c>
      <c r="C20" s="164">
        <f t="shared" si="9"/>
        <v>37797</v>
      </c>
      <c r="D20" s="690">
        <f t="shared" si="3"/>
        <v>37827</v>
      </c>
      <c r="E20" s="165">
        <f>Assumptions!$B$29</f>
        <v>0.1</v>
      </c>
      <c r="F20" s="685">
        <f t="shared" ca="1" si="4"/>
        <v>0.72483791162689315</v>
      </c>
      <c r="G20" s="39"/>
      <c r="H20" s="627">
        <f t="shared" si="14"/>
        <v>6478.2075911316297</v>
      </c>
      <c r="I20" s="56">
        <f t="shared" ca="1" si="0"/>
        <v>4695.6504614413361</v>
      </c>
      <c r="J20" s="293"/>
      <c r="K20" s="293"/>
      <c r="L20" s="488"/>
      <c r="M20" s="161">
        <f t="shared" si="5"/>
        <v>2003</v>
      </c>
      <c r="N20" s="164">
        <f t="shared" si="10"/>
        <v>37622</v>
      </c>
      <c r="O20" s="164">
        <f t="shared" si="11"/>
        <v>37797</v>
      </c>
      <c r="P20" s="690">
        <f t="shared" si="6"/>
        <v>37827</v>
      </c>
      <c r="Q20" s="165">
        <f>Assumptions!$B$29</f>
        <v>0.1</v>
      </c>
      <c r="R20" s="685">
        <f t="shared" ca="1" si="7"/>
        <v>0.72483791162689315</v>
      </c>
      <c r="S20" s="39"/>
      <c r="T20" s="627">
        <f t="shared" si="13"/>
        <v>5149.6487564839927</v>
      </c>
      <c r="U20" s="56">
        <f t="shared" ca="1" si="1"/>
        <v>3732.6606502618843</v>
      </c>
      <c r="V20" s="293"/>
    </row>
    <row r="21" spans="1:22" s="510" customFormat="1">
      <c r="A21" s="161">
        <f t="shared" si="2"/>
        <v>2003</v>
      </c>
      <c r="B21" s="164">
        <f t="shared" si="8"/>
        <v>37803</v>
      </c>
      <c r="C21" s="164">
        <f t="shared" si="9"/>
        <v>37980</v>
      </c>
      <c r="D21" s="690">
        <f t="shared" si="3"/>
        <v>38011</v>
      </c>
      <c r="E21" s="165">
        <f>Assumptions!$B$29</f>
        <v>0.1</v>
      </c>
      <c r="F21" s="685">
        <f t="shared" ca="1" si="4"/>
        <v>0.69006828053959945</v>
      </c>
      <c r="G21" s="39">
        <f>IF(Tables!$B$21=3,Cashflow!$G$44,0)</f>
        <v>0</v>
      </c>
      <c r="H21" s="627">
        <f t="shared" si="14"/>
        <v>6478.2075911316297</v>
      </c>
      <c r="I21" s="56">
        <f t="shared" ca="1" si="0"/>
        <v>4470.4055733907844</v>
      </c>
      <c r="J21" s="510" t="s">
        <v>589</v>
      </c>
      <c r="K21" s="293"/>
      <c r="L21" s="488"/>
      <c r="M21" s="161">
        <f t="shared" si="5"/>
        <v>2003</v>
      </c>
      <c r="N21" s="164">
        <f t="shared" si="10"/>
        <v>37803</v>
      </c>
      <c r="O21" s="164">
        <f t="shared" si="11"/>
        <v>37980</v>
      </c>
      <c r="P21" s="690">
        <f t="shared" si="6"/>
        <v>38011</v>
      </c>
      <c r="Q21" s="165">
        <f>Assumptions!$B$29</f>
        <v>0.1</v>
      </c>
      <c r="R21" s="685">
        <f t="shared" ca="1" si="7"/>
        <v>0.69006828053959945</v>
      </c>
      <c r="S21" s="39">
        <f>IF(Tables!B22=3,Cashflow!$G$44,0)</f>
        <v>0</v>
      </c>
      <c r="T21" s="627">
        <f t="shared" si="13"/>
        <v>5149.6487564839927</v>
      </c>
      <c r="U21" s="56">
        <f t="shared" ca="1" si="1"/>
        <v>3553.6092627697954</v>
      </c>
      <c r="V21" s="510" t="s">
        <v>589</v>
      </c>
    </row>
    <row r="22" spans="1:22" s="510" customFormat="1">
      <c r="A22" s="161">
        <f t="shared" si="2"/>
        <v>2004</v>
      </c>
      <c r="B22" s="164">
        <f t="shared" si="8"/>
        <v>37987</v>
      </c>
      <c r="C22" s="164">
        <f t="shared" si="9"/>
        <v>38163</v>
      </c>
      <c r="D22" s="690">
        <f t="shared" si="3"/>
        <v>38193</v>
      </c>
      <c r="E22" s="165">
        <f>Assumptions!$B$29</f>
        <v>0.1</v>
      </c>
      <c r="F22" s="685">
        <f t="shared" ca="1" si="4"/>
        <v>0.65731763283279432</v>
      </c>
      <c r="G22" s="39"/>
      <c r="H22" s="627">
        <f t="shared" si="14"/>
        <v>4107.8485388573763</v>
      </c>
      <c r="I22" s="56">
        <f t="shared" ca="1" si="0"/>
        <v>2700.1612775973836</v>
      </c>
      <c r="J22" s="293"/>
      <c r="K22" s="293"/>
      <c r="L22" s="488"/>
      <c r="M22" s="161">
        <f t="shared" si="5"/>
        <v>2004</v>
      </c>
      <c r="N22" s="164">
        <f t="shared" si="10"/>
        <v>37987</v>
      </c>
      <c r="O22" s="164">
        <f t="shared" si="11"/>
        <v>38163</v>
      </c>
      <c r="P22" s="690">
        <f t="shared" si="6"/>
        <v>38193</v>
      </c>
      <c r="Q22" s="165">
        <f>Assumptions!$B$29</f>
        <v>0.1</v>
      </c>
      <c r="R22" s="685">
        <f t="shared" ca="1" si="7"/>
        <v>0.65731763283279432</v>
      </c>
      <c r="S22" s="39"/>
      <c r="T22" s="627">
        <f t="shared" si="13"/>
        <v>3329.8908538968144</v>
      </c>
      <c r="U22" s="56">
        <f t="shared" ca="1" si="1"/>
        <v>2188.7959736750263</v>
      </c>
      <c r="V22" s="293"/>
    </row>
    <row r="23" spans="1:22" s="510" customFormat="1">
      <c r="A23" s="161">
        <f t="shared" si="2"/>
        <v>2004</v>
      </c>
      <c r="B23" s="164">
        <f t="shared" si="8"/>
        <v>38169</v>
      </c>
      <c r="C23" s="164">
        <f t="shared" si="9"/>
        <v>38346</v>
      </c>
      <c r="D23" s="690">
        <f t="shared" si="3"/>
        <v>38377</v>
      </c>
      <c r="E23" s="165">
        <f>Assumptions!$B$29</f>
        <v>0.1</v>
      </c>
      <c r="F23" s="685">
        <f t="shared" ca="1" si="4"/>
        <v>0.62578687094221908</v>
      </c>
      <c r="G23" s="39"/>
      <c r="H23" s="627">
        <f t="shared" si="14"/>
        <v>4107.8485388573763</v>
      </c>
      <c r="I23" s="56">
        <f t="shared" ca="1" si="0"/>
        <v>2570.637683436124</v>
      </c>
      <c r="J23" s="293" t="s">
        <v>590</v>
      </c>
      <c r="K23" s="293"/>
      <c r="L23" s="488"/>
      <c r="M23" s="161">
        <f t="shared" si="5"/>
        <v>2004</v>
      </c>
      <c r="N23" s="164">
        <f t="shared" si="10"/>
        <v>38169</v>
      </c>
      <c r="O23" s="164">
        <f t="shared" si="11"/>
        <v>38346</v>
      </c>
      <c r="P23" s="690">
        <f t="shared" si="6"/>
        <v>38377</v>
      </c>
      <c r="Q23" s="165">
        <f>Assumptions!$B$29</f>
        <v>0.1</v>
      </c>
      <c r="R23" s="685">
        <f t="shared" ca="1" si="7"/>
        <v>0.62578687094221908</v>
      </c>
      <c r="S23" s="39"/>
      <c r="T23" s="627">
        <f t="shared" si="13"/>
        <v>3329.8908538968144</v>
      </c>
      <c r="U23" s="56">
        <f t="shared" ca="1" si="1"/>
        <v>2083.8019780392015</v>
      </c>
      <c r="V23" s="293" t="s">
        <v>590</v>
      </c>
    </row>
    <row r="24" spans="1:22" s="510" customFormat="1">
      <c r="A24" s="161">
        <f t="shared" si="2"/>
        <v>2005</v>
      </c>
      <c r="B24" s="164">
        <f t="shared" si="8"/>
        <v>38353</v>
      </c>
      <c r="C24" s="164">
        <f t="shared" si="9"/>
        <v>38528</v>
      </c>
      <c r="D24" s="690">
        <f t="shared" si="3"/>
        <v>38558</v>
      </c>
      <c r="E24" s="165">
        <f>Assumptions!$B$29</f>
        <v>0.1</v>
      </c>
      <c r="F24" s="685">
        <f t="shared" ca="1" si="4"/>
        <v>0.59624629170601673</v>
      </c>
      <c r="G24" s="39"/>
      <c r="H24" s="627">
        <f t="shared" si="14"/>
        <v>3094.789585727005</v>
      </c>
      <c r="I24" s="56">
        <f t="shared" ca="1" si="0"/>
        <v>1845.2568141001266</v>
      </c>
      <c r="J24" s="293"/>
      <c r="K24" s="630"/>
      <c r="L24" s="488"/>
      <c r="M24" s="161">
        <f t="shared" si="5"/>
        <v>2005</v>
      </c>
      <c r="N24" s="164">
        <f t="shared" si="10"/>
        <v>38353</v>
      </c>
      <c r="O24" s="164">
        <f t="shared" si="11"/>
        <v>38528</v>
      </c>
      <c r="P24" s="690">
        <f t="shared" si="6"/>
        <v>38558</v>
      </c>
      <c r="Q24" s="165">
        <f>Assumptions!$B$29</f>
        <v>0.1</v>
      </c>
      <c r="R24" s="685">
        <f t="shared" ca="1" si="7"/>
        <v>0.59624629170601673</v>
      </c>
      <c r="S24" s="39"/>
      <c r="T24" s="627">
        <f t="shared" si="13"/>
        <v>2640.9400631507683</v>
      </c>
      <c r="U24" s="56">
        <f t="shared" ca="1" si="1"/>
        <v>1574.6507192714992</v>
      </c>
      <c r="V24" s="293"/>
    </row>
    <row r="25" spans="1:22" s="510" customFormat="1" ht="10.5" customHeight="1">
      <c r="A25" s="161">
        <f t="shared" si="2"/>
        <v>2005</v>
      </c>
      <c r="B25" s="164">
        <f t="shared" si="8"/>
        <v>38534</v>
      </c>
      <c r="C25" s="164">
        <f t="shared" si="9"/>
        <v>38711</v>
      </c>
      <c r="D25" s="690">
        <f t="shared" si="3"/>
        <v>38742</v>
      </c>
      <c r="E25" s="165">
        <f>Assumptions!$B$29</f>
        <v>0.1</v>
      </c>
      <c r="F25" s="685">
        <f t="shared" ca="1" si="4"/>
        <v>0.56764505097723927</v>
      </c>
      <c r="G25" s="39">
        <f>IF(Tables!$B$21=5,Cashflow!$I$44,0)</f>
        <v>0</v>
      </c>
      <c r="H25" s="692">
        <f>IF(Tables!B21=5,0,INDEX(CashflowTable,MATCH("DISTRIBUTABLE CASHFLOW     (including equity injection)",CashflowColumn,0),MATCH(A25,CashflowRow,0))/2+G25)</f>
        <v>3094.789585727005</v>
      </c>
      <c r="I25" s="56">
        <f t="shared" ca="1" si="0"/>
        <v>1756.7419921538351</v>
      </c>
      <c r="J25" s="293" t="s">
        <v>591</v>
      </c>
      <c r="K25" s="293"/>
      <c r="L25" s="488"/>
      <c r="M25" s="161">
        <f t="shared" si="5"/>
        <v>2005</v>
      </c>
      <c r="N25" s="164">
        <f t="shared" si="10"/>
        <v>38534</v>
      </c>
      <c r="O25" s="164">
        <f t="shared" si="11"/>
        <v>38711</v>
      </c>
      <c r="P25" s="690">
        <f t="shared" si="6"/>
        <v>38742</v>
      </c>
      <c r="Q25" s="165">
        <f>Assumptions!$B$29</f>
        <v>0.1</v>
      </c>
      <c r="R25" s="685">
        <f t="shared" ca="1" si="7"/>
        <v>0.56764505097723927</v>
      </c>
      <c r="S25" s="39">
        <f>IF(Tables!$B$21=5,Cashflow!$I$44,0)</f>
        <v>0</v>
      </c>
      <c r="T25" s="627">
        <f t="shared" si="13"/>
        <v>2640.9400631507683</v>
      </c>
      <c r="U25" s="56">
        <f t="shared" ca="1" si="1"/>
        <v>1499.1165567750513</v>
      </c>
      <c r="V25" s="293" t="s">
        <v>591</v>
      </c>
    </row>
    <row r="26" spans="1:22">
      <c r="A26" s="161">
        <f t="shared" si="2"/>
        <v>2006</v>
      </c>
      <c r="B26" s="164">
        <f t="shared" si="8"/>
        <v>38718</v>
      </c>
      <c r="C26" s="164">
        <f t="shared" si="9"/>
        <v>38893</v>
      </c>
      <c r="D26" s="690">
        <f t="shared" si="3"/>
        <v>38923</v>
      </c>
      <c r="E26" s="165">
        <f>Assumptions!$B$29</f>
        <v>0.1</v>
      </c>
      <c r="F26" s="685">
        <f t="shared" ca="1" si="4"/>
        <v>0.54084908515394936</v>
      </c>
      <c r="G26" s="39"/>
      <c r="H26" s="627">
        <f t="shared" si="12"/>
        <v>3662.8216432650515</v>
      </c>
      <c r="I26" s="56">
        <f t="shared" ca="1" si="0"/>
        <v>1981.0337348419887</v>
      </c>
      <c r="J26" s="510"/>
      <c r="K26" s="293"/>
      <c r="L26" s="488"/>
      <c r="M26" s="161">
        <f t="shared" si="5"/>
        <v>2006</v>
      </c>
      <c r="N26" s="164">
        <f t="shared" si="10"/>
        <v>38718</v>
      </c>
      <c r="O26" s="164">
        <f t="shared" si="11"/>
        <v>38893</v>
      </c>
      <c r="P26" s="690">
        <f t="shared" si="6"/>
        <v>38923</v>
      </c>
      <c r="Q26" s="165">
        <f>Assumptions!$B$29</f>
        <v>0.1</v>
      </c>
      <c r="R26" s="685">
        <f t="shared" ca="1" si="7"/>
        <v>0.54084908515394936</v>
      </c>
      <c r="S26" s="39"/>
      <c r="T26" s="627">
        <f t="shared" si="13"/>
        <v>2790.7716822062603</v>
      </c>
      <c r="U26" s="56">
        <f t="shared" ca="1" si="1"/>
        <v>1509.3863111948042</v>
      </c>
      <c r="V26" s="510"/>
    </row>
    <row r="27" spans="1:22">
      <c r="A27" s="161">
        <f t="shared" si="2"/>
        <v>2006</v>
      </c>
      <c r="B27" s="164">
        <f t="shared" si="8"/>
        <v>38899</v>
      </c>
      <c r="C27" s="164">
        <f t="shared" si="9"/>
        <v>39076</v>
      </c>
      <c r="D27" s="690">
        <f t="shared" si="3"/>
        <v>39107</v>
      </c>
      <c r="E27" s="165">
        <f>Assumptions!$B$29</f>
        <v>0.1</v>
      </c>
      <c r="F27" s="685">
        <f t="shared" ca="1" si="4"/>
        <v>0.51490518395472085</v>
      </c>
      <c r="G27" s="39"/>
      <c r="H27" s="627">
        <f t="shared" si="12"/>
        <v>3662.8216432650515</v>
      </c>
      <c r="I27" s="56">
        <f t="shared" ca="1" si="0"/>
        <v>1886.0058520187242</v>
      </c>
      <c r="J27" s="293" t="s">
        <v>592</v>
      </c>
      <c r="K27" s="293"/>
      <c r="L27" s="488"/>
      <c r="M27" s="161">
        <f t="shared" si="5"/>
        <v>2006</v>
      </c>
      <c r="N27" s="164">
        <f t="shared" si="10"/>
        <v>38899</v>
      </c>
      <c r="O27" s="164">
        <f t="shared" si="11"/>
        <v>39076</v>
      </c>
      <c r="P27" s="690">
        <f t="shared" si="6"/>
        <v>39107</v>
      </c>
      <c r="Q27" s="165">
        <f>Assumptions!$B$29</f>
        <v>0.1</v>
      </c>
      <c r="R27" s="685">
        <f t="shared" ca="1" si="7"/>
        <v>0.51490518395472085</v>
      </c>
      <c r="S27" s="39"/>
      <c r="T27" s="627">
        <f t="shared" si="13"/>
        <v>2790.7716822062603</v>
      </c>
      <c r="U27" s="56">
        <f t="shared" ca="1" si="1"/>
        <v>1436.9828064020403</v>
      </c>
      <c r="V27" s="293" t="s">
        <v>592</v>
      </c>
    </row>
    <row r="28" spans="1:22">
      <c r="A28" s="161">
        <f t="shared" si="2"/>
        <v>2007</v>
      </c>
      <c r="B28" s="164">
        <f t="shared" si="8"/>
        <v>39083</v>
      </c>
      <c r="C28" s="164">
        <f t="shared" si="9"/>
        <v>39258</v>
      </c>
      <c r="D28" s="690">
        <f t="shared" si="3"/>
        <v>39288</v>
      </c>
      <c r="E28" s="165">
        <f>Assumptions!$B$29</f>
        <v>0.1</v>
      </c>
      <c r="F28" s="685">
        <f t="shared" ca="1" si="4"/>
        <v>0.49059882967975216</v>
      </c>
      <c r="G28" s="39"/>
      <c r="H28" s="627">
        <f t="shared" si="12"/>
        <v>4101.6095743753785</v>
      </c>
      <c r="I28" s="56">
        <f t="shared" ca="1" si="0"/>
        <v>2012.244856991827</v>
      </c>
      <c r="J28" s="293"/>
      <c r="K28" s="15"/>
      <c r="L28" s="488"/>
      <c r="M28" s="161">
        <f t="shared" si="5"/>
        <v>2007</v>
      </c>
      <c r="N28" s="164">
        <f t="shared" si="10"/>
        <v>39083</v>
      </c>
      <c r="O28" s="164">
        <f t="shared" si="11"/>
        <v>39258</v>
      </c>
      <c r="P28" s="690">
        <f t="shared" si="6"/>
        <v>39288</v>
      </c>
      <c r="Q28" s="165">
        <f>Assumptions!$B$29</f>
        <v>0.1</v>
      </c>
      <c r="R28" s="685">
        <f t="shared" ca="1" si="7"/>
        <v>0.49059882967975216</v>
      </c>
      <c r="S28" s="39"/>
      <c r="T28" s="627">
        <f t="shared" si="13"/>
        <v>2955.6249344181429</v>
      </c>
      <c r="U28" s="56">
        <f t="shared" ca="1" si="1"/>
        <v>1450.0261337978352</v>
      </c>
      <c r="V28" s="293"/>
    </row>
    <row r="29" spans="1:22">
      <c r="A29" s="161">
        <f t="shared" si="2"/>
        <v>2007</v>
      </c>
      <c r="B29" s="164">
        <f t="shared" si="8"/>
        <v>39264</v>
      </c>
      <c r="C29" s="164">
        <f t="shared" si="9"/>
        <v>39441</v>
      </c>
      <c r="D29" s="690">
        <f t="shared" si="3"/>
        <v>39472</v>
      </c>
      <c r="E29" s="165">
        <f>Assumptions!$B$29</f>
        <v>0.1</v>
      </c>
      <c r="F29" s="685">
        <f t="shared" ca="1" si="4"/>
        <v>0.46706537475665544</v>
      </c>
      <c r="G29" s="39"/>
      <c r="H29" s="627">
        <f t="shared" si="12"/>
        <v>4101.6095743753785</v>
      </c>
      <c r="I29" s="56">
        <f t="shared" ca="1" si="0"/>
        <v>1915.7198129611222</v>
      </c>
      <c r="J29" s="293" t="s">
        <v>593</v>
      </c>
      <c r="K29" s="293"/>
      <c r="L29" s="488"/>
      <c r="M29" s="161">
        <f t="shared" si="5"/>
        <v>2007</v>
      </c>
      <c r="N29" s="164">
        <f t="shared" si="10"/>
        <v>39264</v>
      </c>
      <c r="O29" s="164">
        <f t="shared" si="11"/>
        <v>39441</v>
      </c>
      <c r="P29" s="690">
        <f t="shared" si="6"/>
        <v>39472</v>
      </c>
      <c r="Q29" s="165">
        <f>Assumptions!$B$29</f>
        <v>0.1</v>
      </c>
      <c r="R29" s="685">
        <f t="shared" ca="1" si="7"/>
        <v>0.46706537475665544</v>
      </c>
      <c r="S29" s="39"/>
      <c r="T29" s="627">
        <f t="shared" si="13"/>
        <v>2955.6249344181429</v>
      </c>
      <c r="U29" s="56">
        <f t="shared" ca="1" si="1"/>
        <v>1380.4700676341251</v>
      </c>
      <c r="V29" s="293" t="s">
        <v>593</v>
      </c>
    </row>
    <row r="30" spans="1:22">
      <c r="A30" s="161">
        <f t="shared" si="2"/>
        <v>2008</v>
      </c>
      <c r="B30" s="164">
        <f t="shared" si="8"/>
        <v>39448</v>
      </c>
      <c r="C30" s="164">
        <f t="shared" si="9"/>
        <v>39624</v>
      </c>
      <c r="D30" s="690">
        <f t="shared" si="3"/>
        <v>39654</v>
      </c>
      <c r="E30" s="165">
        <f>Assumptions!$B$29</f>
        <v>0.1</v>
      </c>
      <c r="F30" s="685">
        <f t="shared" ca="1" si="4"/>
        <v>0.44489844725675526</v>
      </c>
      <c r="G30" s="39"/>
      <c r="H30" s="627">
        <f t="shared" si="12"/>
        <v>3875.0661162147908</v>
      </c>
      <c r="I30" s="56">
        <f t="shared" ca="1" si="0"/>
        <v>1724.0108981212256</v>
      </c>
      <c r="J30" s="293"/>
      <c r="K30" s="293"/>
      <c r="L30" s="488"/>
      <c r="M30" s="161">
        <f t="shared" si="5"/>
        <v>2008</v>
      </c>
      <c r="N30" s="164">
        <f t="shared" si="10"/>
        <v>39448</v>
      </c>
      <c r="O30" s="164">
        <f t="shared" si="11"/>
        <v>39624</v>
      </c>
      <c r="P30" s="690">
        <f t="shared" si="6"/>
        <v>39654</v>
      </c>
      <c r="Q30" s="165">
        <f>Assumptions!$B$29</f>
        <v>0.1</v>
      </c>
      <c r="R30" s="685">
        <f t="shared" ca="1" si="7"/>
        <v>0.44489844725675526</v>
      </c>
      <c r="S30" s="39"/>
      <c r="T30" s="627">
        <f t="shared" si="13"/>
        <v>2672.0823581395171</v>
      </c>
      <c r="U30" s="56">
        <f t="shared" ca="1" si="1"/>
        <v>1188.8052920784401</v>
      </c>
      <c r="V30" s="293"/>
    </row>
    <row r="31" spans="1:22" ht="12.75" customHeight="1">
      <c r="A31" s="161">
        <f t="shared" si="2"/>
        <v>2008</v>
      </c>
      <c r="B31" s="164">
        <f t="shared" si="8"/>
        <v>39630</v>
      </c>
      <c r="C31" s="164">
        <f t="shared" si="9"/>
        <v>39807</v>
      </c>
      <c r="D31" s="690">
        <f t="shared" si="3"/>
        <v>39838</v>
      </c>
      <c r="E31" s="165">
        <f>Assumptions!$B$29</f>
        <v>0.1</v>
      </c>
      <c r="F31" s="685">
        <f t="shared" ca="1" si="4"/>
        <v>0.42355718649445978</v>
      </c>
      <c r="G31" s="39"/>
      <c r="H31" s="627">
        <f t="shared" si="12"/>
        <v>3875.0661162147908</v>
      </c>
      <c r="I31" s="56">
        <f t="shared" ca="1" si="0"/>
        <v>1641.31210166395</v>
      </c>
      <c r="J31" s="510" t="s">
        <v>594</v>
      </c>
      <c r="K31" s="293"/>
      <c r="L31" s="488"/>
      <c r="M31" s="161">
        <f t="shared" si="5"/>
        <v>2008</v>
      </c>
      <c r="N31" s="164">
        <f t="shared" si="10"/>
        <v>39630</v>
      </c>
      <c r="O31" s="164">
        <f t="shared" si="11"/>
        <v>39807</v>
      </c>
      <c r="P31" s="690">
        <f t="shared" si="6"/>
        <v>39838</v>
      </c>
      <c r="Q31" s="165">
        <f>Assumptions!$B$29</f>
        <v>0.1</v>
      </c>
      <c r="R31" s="685">
        <f t="shared" ca="1" si="7"/>
        <v>0.42355718649445978</v>
      </c>
      <c r="S31" s="39"/>
      <c r="T31" s="627">
        <f t="shared" si="13"/>
        <v>2672.0823581395171</v>
      </c>
      <c r="U31" s="56">
        <f t="shared" ca="1" si="1"/>
        <v>1131.7796856950554</v>
      </c>
      <c r="V31" s="510" t="s">
        <v>594</v>
      </c>
    </row>
    <row r="32" spans="1:22">
      <c r="A32" s="161">
        <f t="shared" si="2"/>
        <v>2009</v>
      </c>
      <c r="B32" s="164">
        <f t="shared" si="8"/>
        <v>39814</v>
      </c>
      <c r="C32" s="164">
        <f t="shared" si="9"/>
        <v>39989</v>
      </c>
      <c r="D32" s="690">
        <f t="shared" si="3"/>
        <v>40019</v>
      </c>
      <c r="E32" s="165">
        <f>Assumptions!$B$29</f>
        <v>0.1</v>
      </c>
      <c r="F32" s="685">
        <f t="shared" ca="1" si="4"/>
        <v>0.40356295969027073</v>
      </c>
      <c r="G32" s="39"/>
      <c r="H32" s="627">
        <f t="shared" si="12"/>
        <v>4355.5123537172449</v>
      </c>
      <c r="I32" s="56">
        <f t="shared" ca="1" si="0"/>
        <v>1757.7234564336686</v>
      </c>
      <c r="J32" s="293"/>
      <c r="K32" s="293"/>
      <c r="L32" s="488"/>
      <c r="M32" s="161">
        <f t="shared" si="5"/>
        <v>2009</v>
      </c>
      <c r="N32" s="164">
        <f t="shared" si="10"/>
        <v>39814</v>
      </c>
      <c r="O32" s="164">
        <f t="shared" si="11"/>
        <v>39989</v>
      </c>
      <c r="P32" s="690">
        <f t="shared" si="6"/>
        <v>40019</v>
      </c>
      <c r="Q32" s="165">
        <f>Assumptions!$B$29</f>
        <v>0.1</v>
      </c>
      <c r="R32" s="685">
        <f t="shared" ca="1" si="7"/>
        <v>0.40356295969027073</v>
      </c>
      <c r="S32" s="39"/>
      <c r="T32" s="627">
        <f t="shared" si="13"/>
        <v>2857.7160358991164</v>
      </c>
      <c r="U32" s="56">
        <f t="shared" ca="1" si="1"/>
        <v>1153.2683414017954</v>
      </c>
      <c r="V32" s="293"/>
    </row>
    <row r="33" spans="1:22">
      <c r="A33" s="161">
        <f t="shared" si="2"/>
        <v>2009</v>
      </c>
      <c r="B33" s="164">
        <f t="shared" si="8"/>
        <v>39995</v>
      </c>
      <c r="C33" s="164">
        <f t="shared" si="9"/>
        <v>40172</v>
      </c>
      <c r="D33" s="690">
        <f t="shared" si="3"/>
        <v>40203</v>
      </c>
      <c r="E33" s="165">
        <f>Assumptions!$B$29</f>
        <v>0.1</v>
      </c>
      <c r="F33" s="685">
        <f t="shared" ca="1" si="4"/>
        <v>0.38420451416217605</v>
      </c>
      <c r="G33" s="39"/>
      <c r="H33" s="627">
        <f t="shared" si="12"/>
        <v>4355.5123537172449</v>
      </c>
      <c r="I33" s="56">
        <f t="shared" ca="1" si="0"/>
        <v>1673.4075077872899</v>
      </c>
      <c r="J33" s="293" t="s">
        <v>595</v>
      </c>
      <c r="K33" s="293"/>
      <c r="L33" s="488"/>
      <c r="M33" s="161">
        <f t="shared" si="5"/>
        <v>2009</v>
      </c>
      <c r="N33" s="164">
        <f t="shared" si="10"/>
        <v>39995</v>
      </c>
      <c r="O33" s="164">
        <f t="shared" si="11"/>
        <v>40172</v>
      </c>
      <c r="P33" s="690">
        <f t="shared" si="6"/>
        <v>40203</v>
      </c>
      <c r="Q33" s="165">
        <f>Assumptions!$B$29</f>
        <v>0.1</v>
      </c>
      <c r="R33" s="685">
        <f t="shared" ca="1" si="7"/>
        <v>0.38420451416217605</v>
      </c>
      <c r="S33" s="39"/>
      <c r="T33" s="627">
        <f t="shared" si="13"/>
        <v>2857.7160358991164</v>
      </c>
      <c r="U33" s="56">
        <f t="shared" ca="1" si="1"/>
        <v>1097.9474011860796</v>
      </c>
      <c r="V33" s="293" t="s">
        <v>595</v>
      </c>
    </row>
    <row r="34" spans="1:22">
      <c r="A34" s="161">
        <f t="shared" si="2"/>
        <v>2010</v>
      </c>
      <c r="B34" s="164">
        <f t="shared" si="8"/>
        <v>40179</v>
      </c>
      <c r="C34" s="164">
        <f t="shared" si="9"/>
        <v>40354</v>
      </c>
      <c r="D34" s="690">
        <f t="shared" si="3"/>
        <v>40384</v>
      </c>
      <c r="E34" s="165">
        <f>Assumptions!$B$29</f>
        <v>0.1</v>
      </c>
      <c r="F34" s="685">
        <f t="shared" ca="1" si="4"/>
        <v>0.36606794974939805</v>
      </c>
      <c r="G34" s="39"/>
      <c r="H34" s="627">
        <f t="shared" si="12"/>
        <v>4541.4967785331046</v>
      </c>
      <c r="I34" s="56">
        <f t="shared" ca="1" si="0"/>
        <v>1662.4964145111096</v>
      </c>
      <c r="J34" s="293"/>
      <c r="K34" s="630"/>
      <c r="L34" s="488"/>
      <c r="M34" s="161">
        <f t="shared" si="5"/>
        <v>2010</v>
      </c>
      <c r="N34" s="164">
        <f t="shared" si="10"/>
        <v>40179</v>
      </c>
      <c r="O34" s="164">
        <f t="shared" si="11"/>
        <v>40354</v>
      </c>
      <c r="P34" s="690">
        <f t="shared" si="6"/>
        <v>40384</v>
      </c>
      <c r="Q34" s="165">
        <f>Assumptions!$B$29</f>
        <v>0.1</v>
      </c>
      <c r="R34" s="685">
        <f t="shared" ca="1" si="7"/>
        <v>0.36606794974939805</v>
      </c>
      <c r="S34" s="39"/>
      <c r="T34" s="627">
        <f t="shared" si="13"/>
        <v>2866.1245564875881</v>
      </c>
      <c r="U34" s="56">
        <f t="shared" ca="1" si="1"/>
        <v>1049.1963401198141</v>
      </c>
      <c r="V34" s="293"/>
    </row>
    <row r="35" spans="1:22">
      <c r="A35" s="161">
        <f t="shared" si="2"/>
        <v>2010</v>
      </c>
      <c r="B35" s="164">
        <f t="shared" si="8"/>
        <v>40360</v>
      </c>
      <c r="C35" s="164">
        <f t="shared" si="9"/>
        <v>40537</v>
      </c>
      <c r="D35" s="690">
        <f t="shared" si="3"/>
        <v>40568</v>
      </c>
      <c r="E35" s="165">
        <f>Assumptions!$B$29</f>
        <v>0.1</v>
      </c>
      <c r="F35" s="685">
        <f t="shared" ca="1" si="4"/>
        <v>0.34850809621317713</v>
      </c>
      <c r="G35" s="39">
        <f>IF(Tables!B22=10,Cashflow!$N$44,0)</f>
        <v>0</v>
      </c>
      <c r="H35" s="692">
        <f>IF(Tables!B21=10,0,INDEX(CashflowTable,MATCH("DISTRIBUTABLE CASHFLOW     (including equity injection)",CashflowColumn,0),MATCH(A35,CashflowRow,0))/2+G35)</f>
        <v>4541.4967785331046</v>
      </c>
      <c r="I35" s="56">
        <f t="shared" ca="1" si="0"/>
        <v>1582.7483962448491</v>
      </c>
      <c r="J35" s="293" t="s">
        <v>596</v>
      </c>
      <c r="K35" s="293"/>
      <c r="L35" s="488"/>
      <c r="M35" s="161">
        <f t="shared" si="5"/>
        <v>2010</v>
      </c>
      <c r="N35" s="164">
        <f t="shared" si="10"/>
        <v>40360</v>
      </c>
      <c r="O35" s="164">
        <f t="shared" si="11"/>
        <v>40537</v>
      </c>
      <c r="P35" s="690">
        <f t="shared" si="6"/>
        <v>40568</v>
      </c>
      <c r="Q35" s="165">
        <f>Assumptions!$B$29</f>
        <v>0.1</v>
      </c>
      <c r="R35" s="685">
        <f t="shared" ca="1" si="7"/>
        <v>0.34850809621317713</v>
      </c>
      <c r="S35" s="39">
        <f>IF(Tables!B22=10,Cashflow!$N$44,0)</f>
        <v>0</v>
      </c>
      <c r="T35" s="627">
        <f t="shared" si="13"/>
        <v>2866.1245564875881</v>
      </c>
      <c r="U35" s="56">
        <f t="shared" ca="1" si="1"/>
        <v>998.86761269132592</v>
      </c>
      <c r="V35" s="293" t="s">
        <v>596</v>
      </c>
    </row>
    <row r="36" spans="1:22">
      <c r="A36" s="161">
        <f t="shared" si="2"/>
        <v>2011</v>
      </c>
      <c r="B36" s="164">
        <f t="shared" si="8"/>
        <v>40544</v>
      </c>
      <c r="C36" s="164">
        <f t="shared" si="9"/>
        <v>40719</v>
      </c>
      <c r="D36" s="690">
        <f t="shared" si="3"/>
        <v>40749</v>
      </c>
      <c r="E36" s="165">
        <f>Assumptions!$B$29</f>
        <v>0.1</v>
      </c>
      <c r="F36" s="685">
        <f t="shared" ca="1" si="4"/>
        <v>0.33205659889246392</v>
      </c>
      <c r="G36" s="39"/>
      <c r="H36" s="627">
        <f t="shared" si="12"/>
        <v>4911.3861927029966</v>
      </c>
      <c r="I36" s="56">
        <f t="shared" ca="1" si="0"/>
        <v>1630.8581949963643</v>
      </c>
      <c r="J36" s="510"/>
      <c r="K36" s="293"/>
      <c r="L36" s="488"/>
      <c r="M36" s="161">
        <f t="shared" si="5"/>
        <v>2011</v>
      </c>
      <c r="N36" s="164">
        <f t="shared" si="10"/>
        <v>40544</v>
      </c>
      <c r="O36" s="164">
        <f t="shared" si="11"/>
        <v>40719</v>
      </c>
      <c r="P36" s="690">
        <f t="shared" si="6"/>
        <v>40749</v>
      </c>
      <c r="Q36" s="165">
        <f>Assumptions!$B$29</f>
        <v>0.1</v>
      </c>
      <c r="R36" s="685">
        <f t="shared" ca="1" si="7"/>
        <v>0.33205659889246392</v>
      </c>
      <c r="S36" s="39"/>
      <c r="T36" s="627">
        <f t="shared" si="13"/>
        <v>3003.1515477546845</v>
      </c>
      <c r="U36" s="56">
        <f t="shared" ca="1" si="1"/>
        <v>997.2162889060595</v>
      </c>
      <c r="V36" s="510"/>
    </row>
    <row r="37" spans="1:22">
      <c r="A37" s="161">
        <f t="shared" si="2"/>
        <v>2011</v>
      </c>
      <c r="B37" s="164">
        <f t="shared" si="8"/>
        <v>40725</v>
      </c>
      <c r="C37" s="164">
        <f t="shared" si="9"/>
        <v>40902</v>
      </c>
      <c r="D37" s="690">
        <f t="shared" si="3"/>
        <v>40933</v>
      </c>
      <c r="E37" s="165">
        <f>Assumptions!$B$29</f>
        <v>0.1</v>
      </c>
      <c r="F37" s="685">
        <f t="shared" ca="1" si="4"/>
        <v>0.31612823027598425</v>
      </c>
      <c r="G37" s="39"/>
      <c r="H37" s="627">
        <f t="shared" si="12"/>
        <v>4911.3861927029966</v>
      </c>
      <c r="I37" s="56">
        <f t="shared" ca="1" si="0"/>
        <v>1552.6278253011023</v>
      </c>
      <c r="J37" s="293" t="s">
        <v>597</v>
      </c>
      <c r="K37" s="293"/>
      <c r="L37" s="488"/>
      <c r="M37" s="161">
        <f t="shared" si="5"/>
        <v>2011</v>
      </c>
      <c r="N37" s="164">
        <f t="shared" si="10"/>
        <v>40725</v>
      </c>
      <c r="O37" s="164">
        <f t="shared" si="11"/>
        <v>40902</v>
      </c>
      <c r="P37" s="690">
        <f t="shared" si="6"/>
        <v>40933</v>
      </c>
      <c r="Q37" s="165">
        <f>Assumptions!$B$29</f>
        <v>0.1</v>
      </c>
      <c r="R37" s="685">
        <f t="shared" ca="1" si="7"/>
        <v>0.31612823027598425</v>
      </c>
      <c r="S37" s="39"/>
      <c r="T37" s="627">
        <f t="shared" si="13"/>
        <v>3003.1515477546845</v>
      </c>
      <c r="U37" s="56">
        <f t="shared" ca="1" si="1"/>
        <v>949.38098404227139</v>
      </c>
      <c r="V37" s="293" t="s">
        <v>597</v>
      </c>
    </row>
    <row r="38" spans="1:22">
      <c r="A38" s="161">
        <f t="shared" si="2"/>
        <v>2012</v>
      </c>
      <c r="B38" s="164">
        <f t="shared" si="8"/>
        <v>40909</v>
      </c>
      <c r="C38" s="164">
        <f t="shared" si="9"/>
        <v>41085</v>
      </c>
      <c r="D38" s="690">
        <f t="shared" si="3"/>
        <v>41115</v>
      </c>
      <c r="E38" s="165">
        <f>Assumptions!$B$29</f>
        <v>0.1</v>
      </c>
      <c r="F38" s="685">
        <f t="shared" ca="1" si="4"/>
        <v>0.30112478120881564</v>
      </c>
      <c r="G38" s="39"/>
      <c r="H38" s="627">
        <f t="shared" si="12"/>
        <v>5269.9635364617925</v>
      </c>
      <c r="I38" s="56">
        <f t="shared" ca="1" si="0"/>
        <v>1586.9166168954937</v>
      </c>
      <c r="J38" s="293"/>
      <c r="K38" s="293"/>
      <c r="L38" s="488"/>
      <c r="M38" s="161">
        <f t="shared" si="5"/>
        <v>2012</v>
      </c>
      <c r="N38" s="164">
        <f t="shared" si="10"/>
        <v>40909</v>
      </c>
      <c r="O38" s="164">
        <f t="shared" si="11"/>
        <v>41085</v>
      </c>
      <c r="P38" s="690">
        <f t="shared" si="6"/>
        <v>41115</v>
      </c>
      <c r="Q38" s="165">
        <f>Assumptions!$B$29</f>
        <v>0.1</v>
      </c>
      <c r="R38" s="685">
        <f t="shared" ca="1" si="7"/>
        <v>0.30112478120881564</v>
      </c>
      <c r="S38" s="39"/>
      <c r="T38" s="627">
        <f t="shared" si="13"/>
        <v>3141.7259758819509</v>
      </c>
      <c r="U38" s="56">
        <f t="shared" ca="1" si="1"/>
        <v>946.05154710550528</v>
      </c>
      <c r="V38" s="293"/>
    </row>
    <row r="39" spans="1:22">
      <c r="A39" s="161">
        <f t="shared" si="2"/>
        <v>2012</v>
      </c>
      <c r="B39" s="164">
        <f t="shared" si="8"/>
        <v>41091</v>
      </c>
      <c r="C39" s="164">
        <f t="shared" si="9"/>
        <v>41268</v>
      </c>
      <c r="D39" s="690">
        <f t="shared" si="3"/>
        <v>41299</v>
      </c>
      <c r="E39" s="165">
        <f>Assumptions!$B$29</f>
        <v>0.1</v>
      </c>
      <c r="F39" s="685">
        <f t="shared" ca="1" si="4"/>
        <v>0.28668017588957573</v>
      </c>
      <c r="G39" s="39"/>
      <c r="H39" s="627">
        <f t="shared" si="12"/>
        <v>5269.9635364617925</v>
      </c>
      <c r="I39" s="56">
        <f t="shared" ca="1" si="0"/>
        <v>1510.7940735645172</v>
      </c>
      <c r="J39" s="293" t="s">
        <v>598</v>
      </c>
      <c r="K39" s="293"/>
      <c r="L39" s="488"/>
      <c r="M39" s="161">
        <f t="shared" si="5"/>
        <v>2012</v>
      </c>
      <c r="N39" s="164">
        <f t="shared" si="10"/>
        <v>41091</v>
      </c>
      <c r="O39" s="164">
        <f t="shared" si="11"/>
        <v>41268</v>
      </c>
      <c r="P39" s="690">
        <f t="shared" si="6"/>
        <v>41299</v>
      </c>
      <c r="Q39" s="165">
        <f>Assumptions!$B$29</f>
        <v>0.1</v>
      </c>
      <c r="R39" s="685">
        <f t="shared" ca="1" si="7"/>
        <v>0.28668017588957573</v>
      </c>
      <c r="S39" s="39"/>
      <c r="T39" s="627">
        <f t="shared" si="13"/>
        <v>3141.7259758819509</v>
      </c>
      <c r="U39" s="56">
        <f t="shared" ca="1" si="1"/>
        <v>900.67055536268663</v>
      </c>
      <c r="V39" s="293" t="s">
        <v>598</v>
      </c>
    </row>
    <row r="40" spans="1:22">
      <c r="A40" s="161">
        <f t="shared" si="2"/>
        <v>2013</v>
      </c>
      <c r="B40" s="164">
        <f t="shared" si="8"/>
        <v>41275</v>
      </c>
      <c r="C40" s="164">
        <f t="shared" si="9"/>
        <v>41450</v>
      </c>
      <c r="D40" s="690">
        <f t="shared" si="3"/>
        <v>41480</v>
      </c>
      <c r="E40" s="165">
        <f>Assumptions!$B$29</f>
        <v>0.1</v>
      </c>
      <c r="F40" s="685">
        <f t="shared" ca="1" si="4"/>
        <v>0.27314729617517158</v>
      </c>
      <c r="G40" s="39"/>
      <c r="H40" s="627">
        <f t="shared" si="12"/>
        <v>5951.1006853170929</v>
      </c>
      <c r="I40" s="56">
        <f t="shared" ca="1" si="0"/>
        <v>1625.5270614605745</v>
      </c>
      <c r="J40" s="293"/>
      <c r="K40" s="293"/>
      <c r="L40" s="488"/>
      <c r="M40" s="161">
        <f t="shared" si="5"/>
        <v>2013</v>
      </c>
      <c r="N40" s="164">
        <f t="shared" si="10"/>
        <v>41275</v>
      </c>
      <c r="O40" s="164">
        <f t="shared" si="11"/>
        <v>41450</v>
      </c>
      <c r="P40" s="690">
        <f t="shared" si="6"/>
        <v>41480</v>
      </c>
      <c r="Q40" s="165">
        <f>Assumptions!$B$29</f>
        <v>0.1</v>
      </c>
      <c r="R40" s="685">
        <f t="shared" ca="1" si="7"/>
        <v>0.27314729617517158</v>
      </c>
      <c r="S40" s="39"/>
      <c r="T40" s="627">
        <f t="shared" si="13"/>
        <v>3495.1691460895049</v>
      </c>
      <c r="U40" s="56">
        <f t="shared" ca="1" si="1"/>
        <v>954.69600192923156</v>
      </c>
      <c r="V40" s="293"/>
    </row>
    <row r="41" spans="1:22">
      <c r="A41" s="161">
        <f t="shared" si="2"/>
        <v>2013</v>
      </c>
      <c r="B41" s="164">
        <f t="shared" si="8"/>
        <v>41456</v>
      </c>
      <c r="C41" s="164">
        <f t="shared" si="9"/>
        <v>41633</v>
      </c>
      <c r="D41" s="690">
        <f t="shared" si="3"/>
        <v>41664</v>
      </c>
      <c r="E41" s="165">
        <f>Assumptions!$B$29</f>
        <v>0.1</v>
      </c>
      <c r="F41" s="685">
        <f t="shared" ca="1" si="4"/>
        <v>0.26004473825406887</v>
      </c>
      <c r="G41" s="39"/>
      <c r="H41" s="627">
        <f t="shared" si="12"/>
        <v>5951.1006853170929</v>
      </c>
      <c r="I41" s="56">
        <f t="shared" ca="1" si="0"/>
        <v>1547.5524200368934</v>
      </c>
      <c r="J41" s="510" t="s">
        <v>599</v>
      </c>
      <c r="K41" s="293"/>
      <c r="L41" s="488"/>
      <c r="M41" s="161">
        <f t="shared" si="5"/>
        <v>2013</v>
      </c>
      <c r="N41" s="164">
        <f t="shared" si="10"/>
        <v>41456</v>
      </c>
      <c r="O41" s="164">
        <f t="shared" si="11"/>
        <v>41633</v>
      </c>
      <c r="P41" s="690">
        <f t="shared" si="6"/>
        <v>41664</v>
      </c>
      <c r="Q41" s="165">
        <f>Assumptions!$B$29</f>
        <v>0.1</v>
      </c>
      <c r="R41" s="685">
        <f t="shared" ca="1" si="7"/>
        <v>0.26004473825406887</v>
      </c>
      <c r="S41" s="39"/>
      <c r="T41" s="627">
        <f t="shared" si="13"/>
        <v>3495.1691460895049</v>
      </c>
      <c r="U41" s="56">
        <f t="shared" ca="1" si="1"/>
        <v>908.90034574854269</v>
      </c>
      <c r="V41" s="510" t="s">
        <v>599</v>
      </c>
    </row>
    <row r="42" spans="1:22">
      <c r="A42" s="161">
        <f t="shared" si="2"/>
        <v>2014</v>
      </c>
      <c r="B42" s="164">
        <f t="shared" si="8"/>
        <v>41640</v>
      </c>
      <c r="C42" s="164">
        <f t="shared" si="9"/>
        <v>41815</v>
      </c>
      <c r="D42" s="690">
        <f t="shared" si="3"/>
        <v>41845</v>
      </c>
      <c r="E42" s="165">
        <f>Assumptions!$B$29</f>
        <v>0.1</v>
      </c>
      <c r="F42" s="685">
        <f t="shared" ca="1" si="4"/>
        <v>0.24776919756753202</v>
      </c>
      <c r="G42" s="39"/>
      <c r="H42" s="627">
        <f t="shared" si="12"/>
        <v>8437.7483977704032</v>
      </c>
      <c r="I42" s="56">
        <f t="shared" ca="1" si="0"/>
        <v>2090.6141497923018</v>
      </c>
      <c r="J42" s="293"/>
      <c r="K42" s="293"/>
      <c r="L42" s="488"/>
      <c r="M42" s="161">
        <f t="shared" si="5"/>
        <v>2014</v>
      </c>
      <c r="N42" s="164">
        <f t="shared" si="10"/>
        <v>41640</v>
      </c>
      <c r="O42" s="164">
        <f t="shared" si="11"/>
        <v>41815</v>
      </c>
      <c r="P42" s="690">
        <f t="shared" si="6"/>
        <v>41845</v>
      </c>
      <c r="Q42" s="165">
        <f>Assumptions!$B$29</f>
        <v>0.1</v>
      </c>
      <c r="R42" s="685">
        <f t="shared" ca="1" si="7"/>
        <v>0.24776919756753202</v>
      </c>
      <c r="S42" s="39"/>
      <c r="T42" s="627">
        <f t="shared" si="13"/>
        <v>5821.2352449103819</v>
      </c>
      <c r="U42" s="56">
        <f t="shared" ca="1" si="1"/>
        <v>1442.322785483281</v>
      </c>
      <c r="V42" s="293"/>
    </row>
    <row r="43" spans="1:22" ht="12.75" customHeight="1">
      <c r="A43" s="161">
        <f t="shared" si="2"/>
        <v>2014</v>
      </c>
      <c r="B43" s="164">
        <f t="shared" si="8"/>
        <v>41821</v>
      </c>
      <c r="C43" s="164">
        <f t="shared" si="9"/>
        <v>41998</v>
      </c>
      <c r="D43" s="690">
        <f t="shared" si="3"/>
        <v>42029</v>
      </c>
      <c r="E43" s="165">
        <f>Assumptions!$B$29</f>
        <v>0.1</v>
      </c>
      <c r="F43" s="685">
        <f t="shared" ca="1" si="4"/>
        <v>0.23588399750275904</v>
      </c>
      <c r="G43" s="39"/>
      <c r="H43" s="627">
        <f t="shared" si="12"/>
        <v>8437.7483977704032</v>
      </c>
      <c r="I43" s="56">
        <f t="shared" ca="1" si="0"/>
        <v>1990.3298219885828</v>
      </c>
      <c r="J43" s="293" t="s">
        <v>600</v>
      </c>
      <c r="K43" s="293"/>
      <c r="L43" s="488"/>
      <c r="M43" s="161">
        <f t="shared" si="5"/>
        <v>2014</v>
      </c>
      <c r="N43" s="164">
        <f t="shared" si="10"/>
        <v>41821</v>
      </c>
      <c r="O43" s="164">
        <f t="shared" si="11"/>
        <v>41998</v>
      </c>
      <c r="P43" s="690">
        <f t="shared" si="6"/>
        <v>42029</v>
      </c>
      <c r="Q43" s="165">
        <f>Assumptions!$B$29</f>
        <v>0.1</v>
      </c>
      <c r="R43" s="685">
        <f t="shared" ca="1" si="7"/>
        <v>0.23588399750275904</v>
      </c>
      <c r="S43" s="39"/>
      <c r="T43" s="627">
        <f t="shared" si="13"/>
        <v>5821.2352449103819</v>
      </c>
      <c r="U43" s="56">
        <f t="shared" ca="1" si="1"/>
        <v>1373.1362399734135</v>
      </c>
      <c r="V43" s="293" t="s">
        <v>600</v>
      </c>
    </row>
    <row r="44" spans="1:22">
      <c r="A44" s="161">
        <f t="shared" si="2"/>
        <v>2015</v>
      </c>
      <c r="B44" s="164">
        <f t="shared" si="8"/>
        <v>42005</v>
      </c>
      <c r="C44" s="164">
        <f t="shared" si="9"/>
        <v>42180</v>
      </c>
      <c r="D44" s="690">
        <f t="shared" si="3"/>
        <v>42210</v>
      </c>
      <c r="E44" s="165">
        <f>Assumptions!$B$29</f>
        <v>0.1</v>
      </c>
      <c r="F44" s="685">
        <f t="shared" ca="1" si="4"/>
        <v>0.22474897655179088</v>
      </c>
      <c r="H44" s="627">
        <f t="shared" si="12"/>
        <v>8912.2138973061701</v>
      </c>
      <c r="I44" s="56">
        <f t="shared" ca="1" si="0"/>
        <v>2003.0109522302093</v>
      </c>
      <c r="J44" s="293"/>
      <c r="K44" s="691"/>
      <c r="M44" s="161">
        <f t="shared" si="5"/>
        <v>2015</v>
      </c>
      <c r="N44" s="164">
        <f t="shared" si="10"/>
        <v>42005</v>
      </c>
      <c r="O44" s="164">
        <f t="shared" si="11"/>
        <v>42180</v>
      </c>
      <c r="P44" s="690">
        <f t="shared" si="6"/>
        <v>42210</v>
      </c>
      <c r="Q44" s="165">
        <f>Assumptions!$B$29</f>
        <v>0.1</v>
      </c>
      <c r="R44" s="685">
        <f t="shared" ca="1" si="7"/>
        <v>0.22474897655179088</v>
      </c>
      <c r="S44" s="25"/>
      <c r="T44" s="627">
        <f t="shared" si="13"/>
        <v>2653.0758965518153</v>
      </c>
      <c r="U44" s="56">
        <f t="shared" ca="1" si="1"/>
        <v>596.27609246424549</v>
      </c>
      <c r="V44" s="293"/>
    </row>
    <row r="45" spans="1:22">
      <c r="A45" s="161">
        <f t="shared" si="2"/>
        <v>2015</v>
      </c>
      <c r="B45" s="164">
        <f t="shared" si="8"/>
        <v>42186</v>
      </c>
      <c r="C45" s="164">
        <f t="shared" si="9"/>
        <v>42363</v>
      </c>
      <c r="D45" s="690">
        <f t="shared" si="3"/>
        <v>42394</v>
      </c>
      <c r="E45" s="165">
        <f>Assumptions!$B$29</f>
        <v>0.1</v>
      </c>
      <c r="F45" s="685">
        <f t="shared" ca="1" si="4"/>
        <v>0.21396802969925502</v>
      </c>
      <c r="G45" s="39">
        <f>IF(Tables!B21=15,Cashflow!S44,0)</f>
        <v>66796.118745254571</v>
      </c>
      <c r="H45" s="627">
        <f t="shared" si="12"/>
        <v>75708.332642560737</v>
      </c>
      <c r="I45" s="56">
        <f t="shared" ca="1" si="0"/>
        <v>16199.162767344515</v>
      </c>
      <c r="J45" s="293" t="s">
        <v>601</v>
      </c>
      <c r="M45" s="161">
        <f t="shared" si="5"/>
        <v>2015</v>
      </c>
      <c r="N45" s="164">
        <f t="shared" si="10"/>
        <v>42186</v>
      </c>
      <c r="O45" s="164">
        <f t="shared" si="11"/>
        <v>42363</v>
      </c>
      <c r="P45" s="690">
        <f t="shared" si="6"/>
        <v>42394</v>
      </c>
      <c r="Q45" s="165">
        <f>Assumptions!$B$29</f>
        <v>0.1</v>
      </c>
      <c r="R45" s="685">
        <f t="shared" ca="1" si="7"/>
        <v>0.21396802969925502</v>
      </c>
      <c r="S45" s="39">
        <f>IF(Tables!B21=15,Cashflow!S44,0)</f>
        <v>66796.118745254571</v>
      </c>
      <c r="T45" s="627">
        <f t="shared" si="13"/>
        <v>69449.194641806389</v>
      </c>
      <c r="U45" s="56">
        <f t="shared" ca="1" si="1"/>
        <v>14859.907341707372</v>
      </c>
      <c r="V45" s="293" t="s">
        <v>601</v>
      </c>
    </row>
    <row r="46" spans="1:22">
      <c r="A46" s="161">
        <f t="shared" si="2"/>
        <v>2016</v>
      </c>
      <c r="B46" s="164">
        <f t="shared" si="8"/>
        <v>42370</v>
      </c>
      <c r="C46" s="164">
        <f t="shared" si="9"/>
        <v>42546</v>
      </c>
      <c r="D46" s="690">
        <f t="shared" si="3"/>
        <v>42576</v>
      </c>
      <c r="E46" s="165">
        <f>Assumptions!$B$29</f>
        <v>0.1</v>
      </c>
      <c r="F46" s="685">
        <f t="shared" ca="1" si="4"/>
        <v>0.20381310480440276</v>
      </c>
      <c r="G46" s="39"/>
      <c r="H46" s="627">
        <f t="shared" si="12"/>
        <v>2687.3391343216836</v>
      </c>
      <c r="I46" s="56">
        <f t="shared" ca="1" si="0"/>
        <v>547.71493262847832</v>
      </c>
      <c r="M46" s="161">
        <f t="shared" si="5"/>
        <v>2016</v>
      </c>
      <c r="N46" s="164">
        <f t="shared" si="10"/>
        <v>42370</v>
      </c>
      <c r="O46" s="164">
        <f t="shared" si="11"/>
        <v>42546</v>
      </c>
      <c r="P46" s="690">
        <f t="shared" si="6"/>
        <v>42576</v>
      </c>
      <c r="Q46" s="165">
        <f>Assumptions!$B$29</f>
        <v>0.1</v>
      </c>
      <c r="R46" s="685">
        <f t="shared" ca="1" si="7"/>
        <v>0.20381310480440276</v>
      </c>
      <c r="S46" s="39"/>
      <c r="T46" s="627">
        <f t="shared" si="13"/>
        <v>2687.3391343216836</v>
      </c>
      <c r="U46" s="56">
        <f t="shared" ca="1" si="1"/>
        <v>547.71493262847832</v>
      </c>
    </row>
    <row r="47" spans="1:22">
      <c r="A47" s="161">
        <f t="shared" si="2"/>
        <v>2016</v>
      </c>
      <c r="B47" s="164">
        <f t="shared" si="8"/>
        <v>42552</v>
      </c>
      <c r="C47" s="164">
        <f t="shared" si="9"/>
        <v>42729</v>
      </c>
      <c r="D47" s="690">
        <f t="shared" si="3"/>
        <v>42760</v>
      </c>
      <c r="E47" s="165">
        <f>Assumptions!$B$29</f>
        <v>0.1</v>
      </c>
      <c r="F47" s="685">
        <f t="shared" ca="1" si="4"/>
        <v>0.19403642735537222</v>
      </c>
      <c r="G47" s="39"/>
      <c r="H47" s="627">
        <f t="shared" si="12"/>
        <v>2687.3391343216836</v>
      </c>
      <c r="I47" s="56">
        <f t="shared" ca="1" si="0"/>
        <v>521.44168471605826</v>
      </c>
      <c r="J47" s="293" t="s">
        <v>602</v>
      </c>
      <c r="M47" s="161">
        <f t="shared" si="5"/>
        <v>2016</v>
      </c>
      <c r="N47" s="164">
        <f t="shared" si="10"/>
        <v>42552</v>
      </c>
      <c r="O47" s="164">
        <f t="shared" si="11"/>
        <v>42729</v>
      </c>
      <c r="P47" s="690">
        <f t="shared" si="6"/>
        <v>42760</v>
      </c>
      <c r="Q47" s="165">
        <f>Assumptions!$B$29</f>
        <v>0.1</v>
      </c>
      <c r="R47" s="685">
        <f t="shared" ca="1" si="7"/>
        <v>0.19403642735537222</v>
      </c>
      <c r="S47" s="39"/>
      <c r="T47" s="627">
        <f t="shared" si="13"/>
        <v>2687.3391343216836</v>
      </c>
      <c r="U47" s="56">
        <f t="shared" ca="1" si="1"/>
        <v>521.44168471605826</v>
      </c>
      <c r="V47" s="293" t="s">
        <v>602</v>
      </c>
    </row>
    <row r="48" spans="1:22">
      <c r="A48" s="161">
        <f t="shared" si="2"/>
        <v>2017</v>
      </c>
      <c r="B48" s="164">
        <f t="shared" si="8"/>
        <v>42736</v>
      </c>
      <c r="C48" s="164">
        <f t="shared" si="9"/>
        <v>42911</v>
      </c>
      <c r="D48" s="690">
        <f t="shared" si="3"/>
        <v>42941</v>
      </c>
      <c r="E48" s="165">
        <f>Assumptions!$B$29</f>
        <v>0.1</v>
      </c>
      <c r="F48" s="685">
        <f t="shared" ca="1" si="4"/>
        <v>0.1848768416830639</v>
      </c>
      <c r="G48" s="39"/>
      <c r="H48" s="627">
        <f t="shared" si="12"/>
        <v>2703.1161997308018</v>
      </c>
      <c r="I48" s="56">
        <f t="shared" ca="1" si="0"/>
        <v>499.74358570855679</v>
      </c>
      <c r="J48" s="293"/>
      <c r="M48" s="161">
        <f t="shared" si="5"/>
        <v>2017</v>
      </c>
      <c r="N48" s="164">
        <f t="shared" si="10"/>
        <v>42736</v>
      </c>
      <c r="O48" s="164">
        <f t="shared" si="11"/>
        <v>42911</v>
      </c>
      <c r="P48" s="690">
        <f t="shared" si="6"/>
        <v>42941</v>
      </c>
      <c r="Q48" s="165">
        <f>Assumptions!$B$29</f>
        <v>0.1</v>
      </c>
      <c r="R48" s="685">
        <f t="shared" ca="1" si="7"/>
        <v>0.1848768416830639</v>
      </c>
      <c r="S48" s="39"/>
      <c r="T48" s="627">
        <f t="shared" si="13"/>
        <v>2703.1161997308018</v>
      </c>
      <c r="U48" s="56">
        <f t="shared" ca="1" si="1"/>
        <v>499.74358570855679</v>
      </c>
      <c r="V48" s="293"/>
    </row>
    <row r="49" spans="1:22">
      <c r="A49" s="161">
        <f t="shared" si="2"/>
        <v>2017</v>
      </c>
      <c r="B49" s="164">
        <f t="shared" si="8"/>
        <v>42917</v>
      </c>
      <c r="C49" s="164">
        <f t="shared" si="9"/>
        <v>43094</v>
      </c>
      <c r="D49" s="690">
        <f t="shared" si="3"/>
        <v>43125</v>
      </c>
      <c r="E49" s="165">
        <f>Assumptions!$B$29</f>
        <v>0.1</v>
      </c>
      <c r="F49" s="685">
        <f t="shared" ca="1" si="4"/>
        <v>0.17600851473880091</v>
      </c>
      <c r="G49" s="39"/>
      <c r="H49" s="627">
        <f t="shared" si="12"/>
        <v>2703.1161997308018</v>
      </c>
      <c r="I49" s="56">
        <f t="shared" ca="1" si="0"/>
        <v>475.77146748101035</v>
      </c>
      <c r="J49" s="293" t="s">
        <v>603</v>
      </c>
      <c r="M49" s="161">
        <f t="shared" si="5"/>
        <v>2017</v>
      </c>
      <c r="N49" s="164">
        <f t="shared" si="10"/>
        <v>42917</v>
      </c>
      <c r="O49" s="164">
        <f t="shared" si="11"/>
        <v>43094</v>
      </c>
      <c r="P49" s="690">
        <f t="shared" si="6"/>
        <v>43125</v>
      </c>
      <c r="Q49" s="165">
        <f>Assumptions!$B$29</f>
        <v>0.1</v>
      </c>
      <c r="R49" s="685">
        <f t="shared" ca="1" si="7"/>
        <v>0.17600851473880091</v>
      </c>
      <c r="S49" s="39"/>
      <c r="T49" s="627">
        <f t="shared" si="13"/>
        <v>2703.1161997308018</v>
      </c>
      <c r="U49" s="56">
        <f t="shared" ca="1" si="1"/>
        <v>475.77146748101035</v>
      </c>
      <c r="V49" s="293" t="s">
        <v>603</v>
      </c>
    </row>
    <row r="50" spans="1:22">
      <c r="A50" s="161">
        <f t="shared" si="2"/>
        <v>2018</v>
      </c>
      <c r="B50" s="164">
        <f t="shared" si="8"/>
        <v>43101</v>
      </c>
      <c r="C50" s="164">
        <f t="shared" si="9"/>
        <v>43276</v>
      </c>
      <c r="D50" s="690">
        <f t="shared" si="3"/>
        <v>43306</v>
      </c>
      <c r="E50" s="165">
        <f>Assumptions!$B$29</f>
        <v>0.1</v>
      </c>
      <c r="F50" s="685">
        <f t="shared" ca="1" si="4"/>
        <v>0.16769994561196808</v>
      </c>
      <c r="G50" s="39"/>
      <c r="H50" s="627">
        <f t="shared" si="12"/>
        <v>2200.327463205153</v>
      </c>
      <c r="I50" s="56">
        <f t="shared" ca="1" si="0"/>
        <v>368.99479590802383</v>
      </c>
      <c r="J50" s="293"/>
      <c r="M50" s="161">
        <f t="shared" si="5"/>
        <v>2018</v>
      </c>
      <c r="N50" s="164">
        <f t="shared" si="10"/>
        <v>43101</v>
      </c>
      <c r="O50" s="164">
        <f t="shared" si="11"/>
        <v>43276</v>
      </c>
      <c r="P50" s="690">
        <f t="shared" si="6"/>
        <v>43306</v>
      </c>
      <c r="Q50" s="165">
        <f>Assumptions!$B$29</f>
        <v>0.1</v>
      </c>
      <c r="R50" s="685">
        <f t="shared" ca="1" si="7"/>
        <v>0.16769994561196808</v>
      </c>
      <c r="S50" s="39"/>
      <c r="T50" s="627">
        <f t="shared" si="13"/>
        <v>2200.327463205153</v>
      </c>
      <c r="U50" s="56">
        <f t="shared" ca="1" si="1"/>
        <v>368.99479590802383</v>
      </c>
      <c r="V50" s="293"/>
    </row>
    <row r="51" spans="1:22">
      <c r="A51" s="161">
        <f t="shared" si="2"/>
        <v>2018</v>
      </c>
      <c r="B51" s="164">
        <f t="shared" si="8"/>
        <v>43282</v>
      </c>
      <c r="C51" s="164">
        <f t="shared" si="9"/>
        <v>43459</v>
      </c>
      <c r="D51" s="690">
        <f t="shared" si="3"/>
        <v>43490</v>
      </c>
      <c r="E51" s="165">
        <f>Assumptions!$B$29</f>
        <v>0.1</v>
      </c>
      <c r="F51" s="685">
        <f t="shared" ca="1" si="4"/>
        <v>0.15965557438254382</v>
      </c>
      <c r="G51" s="39"/>
      <c r="H51" s="627">
        <f t="shared" si="12"/>
        <v>2200.327463205153</v>
      </c>
      <c r="I51" s="56">
        <f t="shared" ca="1" si="0"/>
        <v>351.29454496770427</v>
      </c>
      <c r="J51" s="510" t="s">
        <v>604</v>
      </c>
      <c r="M51" s="161">
        <f t="shared" si="5"/>
        <v>2018</v>
      </c>
      <c r="N51" s="164">
        <f t="shared" si="10"/>
        <v>43282</v>
      </c>
      <c r="O51" s="164">
        <f t="shared" si="11"/>
        <v>43459</v>
      </c>
      <c r="P51" s="690">
        <f t="shared" si="6"/>
        <v>43490</v>
      </c>
      <c r="Q51" s="165">
        <f>Assumptions!$B$29</f>
        <v>0.1</v>
      </c>
      <c r="R51" s="685">
        <f t="shared" ca="1" si="7"/>
        <v>0.15965557438254382</v>
      </c>
      <c r="S51" s="39"/>
      <c r="T51" s="627">
        <f t="shared" si="13"/>
        <v>2200.327463205153</v>
      </c>
      <c r="U51" s="56">
        <f t="shared" ca="1" si="1"/>
        <v>351.29454496770427</v>
      </c>
      <c r="V51" s="510" t="s">
        <v>604</v>
      </c>
    </row>
    <row r="52" spans="1:22">
      <c r="A52" s="161">
        <f t="shared" si="2"/>
        <v>2019</v>
      </c>
      <c r="B52" s="164">
        <f t="shared" si="8"/>
        <v>43466</v>
      </c>
      <c r="C52" s="164">
        <f t="shared" si="9"/>
        <v>43641</v>
      </c>
      <c r="D52" s="690">
        <f t="shared" si="3"/>
        <v>43671</v>
      </c>
      <c r="E52" s="165">
        <f>Assumptions!$B$29</f>
        <v>0.1</v>
      </c>
      <c r="F52" s="685">
        <f t="shared" ca="1" si="4"/>
        <v>0.15211895390591446</v>
      </c>
      <c r="G52" s="39"/>
      <c r="H52" s="627" t="e">
        <f t="shared" si="12"/>
        <v>#DIV/0!</v>
      </c>
      <c r="I52" s="56" t="e">
        <f t="shared" ca="1" si="0"/>
        <v>#DIV/0!</v>
      </c>
      <c r="J52" s="293"/>
      <c r="M52" s="161">
        <f t="shared" si="5"/>
        <v>2019</v>
      </c>
      <c r="N52" s="164">
        <f t="shared" si="10"/>
        <v>43466</v>
      </c>
      <c r="O52" s="164">
        <f t="shared" si="11"/>
        <v>43641</v>
      </c>
      <c r="P52" s="690">
        <f t="shared" si="6"/>
        <v>43671</v>
      </c>
      <c r="Q52" s="165">
        <f>Assumptions!$B$29</f>
        <v>0.1</v>
      </c>
      <c r="R52" s="685">
        <f t="shared" ca="1" si="7"/>
        <v>0.15211895390591446</v>
      </c>
      <c r="S52" s="39"/>
      <c r="T52" s="627" t="e">
        <f t="shared" si="13"/>
        <v>#DIV/0!</v>
      </c>
      <c r="U52" s="56" t="e">
        <f t="shared" ca="1" si="1"/>
        <v>#DIV/0!</v>
      </c>
      <c r="V52" s="293"/>
    </row>
    <row r="53" spans="1:22">
      <c r="A53" s="161">
        <f t="shared" si="2"/>
        <v>2019</v>
      </c>
      <c r="B53" s="164">
        <f t="shared" si="8"/>
        <v>43647</v>
      </c>
      <c r="C53" s="164">
        <f t="shared" si="9"/>
        <v>43824</v>
      </c>
      <c r="D53" s="690">
        <f t="shared" si="3"/>
        <v>43855</v>
      </c>
      <c r="E53" s="165">
        <f>Assumptions!$B$29</f>
        <v>0.1</v>
      </c>
      <c r="F53" s="685">
        <f t="shared" ca="1" si="4"/>
        <v>0.14482198471617891</v>
      </c>
      <c r="G53" s="39"/>
      <c r="H53" s="627" t="e">
        <f t="shared" si="12"/>
        <v>#DIV/0!</v>
      </c>
      <c r="I53" s="56" t="e">
        <f t="shared" ca="1" si="0"/>
        <v>#DIV/0!</v>
      </c>
      <c r="J53" s="293" t="s">
        <v>605</v>
      </c>
      <c r="M53" s="161">
        <f t="shared" si="5"/>
        <v>2019</v>
      </c>
      <c r="N53" s="164">
        <f t="shared" si="10"/>
        <v>43647</v>
      </c>
      <c r="O53" s="164">
        <f t="shared" si="11"/>
        <v>43824</v>
      </c>
      <c r="P53" s="690">
        <f t="shared" si="6"/>
        <v>43855</v>
      </c>
      <c r="Q53" s="165">
        <f>Assumptions!$B$29</f>
        <v>0.1</v>
      </c>
      <c r="R53" s="685">
        <f t="shared" ca="1" si="7"/>
        <v>0.14482198471617891</v>
      </c>
      <c r="S53" s="39"/>
      <c r="T53" s="627" t="e">
        <f t="shared" si="13"/>
        <v>#DIV/0!</v>
      </c>
      <c r="U53" s="56" t="e">
        <f t="shared" ca="1" si="1"/>
        <v>#DIV/0!</v>
      </c>
      <c r="V53" s="293" t="s">
        <v>605</v>
      </c>
    </row>
    <row r="54" spans="1:22">
      <c r="A54" s="161">
        <f t="shared" si="2"/>
        <v>2020</v>
      </c>
      <c r="B54" s="164">
        <f t="shared" si="8"/>
        <v>43831</v>
      </c>
      <c r="C54" s="164">
        <f t="shared" si="9"/>
        <v>44007</v>
      </c>
      <c r="D54" s="690">
        <f t="shared" si="3"/>
        <v>44037</v>
      </c>
      <c r="E54" s="165">
        <f>Assumptions!$B$29</f>
        <v>0.1</v>
      </c>
      <c r="F54" s="685">
        <f t="shared" ca="1" si="4"/>
        <v>0.13794873182889786</v>
      </c>
      <c r="G54" s="39">
        <f>IF(Tables!B21=20,Cashflow!X44,0)</f>
        <v>0</v>
      </c>
      <c r="H54" s="627" t="e">
        <f>INDEX(CashflowTable,MATCH("DISTRIBUTABLE CASHFLOW     (including equity injection)",CashflowColumn,0),MATCH(A54,CashflowRow,0))/IF(Tables!$B$21=20,1,2)+G54</f>
        <v>#DIV/0!</v>
      </c>
      <c r="I54" s="56" t="e">
        <f t="shared" ca="1" si="0"/>
        <v>#DIV/0!</v>
      </c>
      <c r="J54" s="293"/>
      <c r="K54" s="630"/>
      <c r="M54" s="161">
        <f t="shared" si="5"/>
        <v>2020</v>
      </c>
      <c r="N54" s="164">
        <f t="shared" si="10"/>
        <v>43831</v>
      </c>
      <c r="O54" s="164">
        <f t="shared" si="11"/>
        <v>44007</v>
      </c>
      <c r="P54" s="690">
        <f t="shared" si="6"/>
        <v>44037</v>
      </c>
      <c r="Q54" s="165">
        <f>Assumptions!$B$29</f>
        <v>0.1</v>
      </c>
      <c r="R54" s="685">
        <f t="shared" ca="1" si="7"/>
        <v>0.13794873182889786</v>
      </c>
      <c r="S54" s="39">
        <f>IF(Tables!N21=20,Cashflow!AJ44,0)</f>
        <v>0</v>
      </c>
      <c r="T54" s="627" t="e">
        <f t="shared" si="13"/>
        <v>#DIV/0!</v>
      </c>
      <c r="U54" s="56" t="e">
        <f t="shared" ca="1" si="1"/>
        <v>#DIV/0!</v>
      </c>
      <c r="V54" s="293"/>
    </row>
    <row r="55" spans="1:22" ht="12.75" customHeight="1" thickBot="1">
      <c r="A55" s="161">
        <f t="shared" si="2"/>
        <v>2020</v>
      </c>
      <c r="B55" s="164">
        <f t="shared" si="8"/>
        <v>44013</v>
      </c>
      <c r="C55" s="164">
        <f t="shared" si="9"/>
        <v>44190</v>
      </c>
      <c r="D55" s="690"/>
      <c r="E55" s="520"/>
      <c r="F55" s="685"/>
      <c r="G55" s="39">
        <f>IF(Tables!B22=20,Cashflow!X45,0)</f>
        <v>0</v>
      </c>
      <c r="H55" s="627" t="e">
        <f>INDEX(CashflowTable,MATCH("DISTRIBUTABLE CASHFLOW     (including equity injection)",CashflowColumn,0),MATCH(A55,CashflowRow,0))/IF(Tables!$B$21=20,1,2)+G55</f>
        <v>#DIV/0!</v>
      </c>
      <c r="I55" s="56" t="e">
        <f t="shared" si="0"/>
        <v>#DIV/0!</v>
      </c>
      <c r="J55" s="293" t="s">
        <v>606</v>
      </c>
      <c r="M55" s="161">
        <f t="shared" si="5"/>
        <v>2020</v>
      </c>
      <c r="N55" s="164">
        <f t="shared" si="10"/>
        <v>44013</v>
      </c>
      <c r="O55" s="164">
        <f t="shared" si="11"/>
        <v>44190</v>
      </c>
      <c r="P55" s="690"/>
      <c r="Q55" s="520"/>
      <c r="R55" s="685"/>
      <c r="S55" s="39">
        <f>IF(Tables!N22=20,Cashflow!AJ45,0)</f>
        <v>0</v>
      </c>
      <c r="T55" s="627" t="e">
        <f t="shared" si="13"/>
        <v>#DIV/0!</v>
      </c>
      <c r="U55" s="56" t="e">
        <f t="shared" si="1"/>
        <v>#DIV/0!</v>
      </c>
      <c r="V55" s="293" t="s">
        <v>606</v>
      </c>
    </row>
    <row r="56" spans="1:22">
      <c r="A56" s="454"/>
      <c r="B56" s="688"/>
      <c r="C56" s="688"/>
      <c r="D56" s="690"/>
      <c r="E56" s="686"/>
      <c r="F56" s="685"/>
      <c r="G56" s="39"/>
      <c r="H56" s="56"/>
      <c r="I56" s="56"/>
    </row>
    <row r="57" spans="1:22">
      <c r="A57" s="454"/>
      <c r="B57" s="688"/>
      <c r="C57" s="688"/>
      <c r="D57" s="690"/>
      <c r="E57" s="686"/>
      <c r="F57" s="685"/>
      <c r="G57" s="39"/>
      <c r="H57" s="56"/>
      <c r="I57" s="56"/>
    </row>
    <row r="58" spans="1:22">
      <c r="A58" s="501"/>
      <c r="B58" s="688"/>
      <c r="C58" s="688"/>
      <c r="D58" s="688"/>
      <c r="E58" s="686"/>
      <c r="F58" s="456"/>
      <c r="G58" s="456"/>
      <c r="H58" s="56"/>
      <c r="I58" s="56"/>
    </row>
    <row r="59" spans="1:22">
      <c r="A59" s="501"/>
      <c r="B59" s="688"/>
      <c r="C59" s="688"/>
      <c r="D59" s="688"/>
      <c r="E59" s="686"/>
      <c r="F59" s="456"/>
      <c r="G59" s="456"/>
      <c r="H59" s="56"/>
      <c r="I59" s="56"/>
    </row>
    <row r="60" spans="1:22">
      <c r="A60" s="501"/>
      <c r="B60" s="688"/>
      <c r="C60" s="688"/>
      <c r="D60" s="688"/>
      <c r="E60" s="686"/>
      <c r="F60" s="456"/>
      <c r="G60" s="456"/>
      <c r="H60" s="56"/>
      <c r="I60" s="56"/>
    </row>
    <row r="61" spans="1:22">
      <c r="A61" s="501"/>
      <c r="B61" s="688"/>
      <c r="C61" s="688"/>
      <c r="D61" s="688"/>
      <c r="E61" s="686"/>
      <c r="F61" s="456"/>
      <c r="G61" s="456"/>
      <c r="H61" s="56"/>
      <c r="I61" s="56"/>
    </row>
    <row r="62" spans="1:22">
      <c r="A62" s="501"/>
      <c r="B62" s="688"/>
      <c r="C62" s="688"/>
      <c r="D62" s="688"/>
      <c r="E62" s="686"/>
      <c r="F62" s="456"/>
      <c r="G62" s="456"/>
      <c r="H62" s="56"/>
      <c r="I62" s="56"/>
    </row>
    <row r="63" spans="1:22">
      <c r="A63" s="501"/>
      <c r="B63" s="688"/>
      <c r="C63" s="688"/>
      <c r="D63" s="688"/>
      <c r="E63" s="686"/>
      <c r="F63" s="456"/>
      <c r="G63" s="456"/>
      <c r="H63" s="56"/>
      <c r="I63" s="56"/>
    </row>
    <row r="64" spans="1:22">
      <c r="A64" s="501"/>
      <c r="B64" s="688"/>
      <c r="C64" s="688"/>
      <c r="D64" s="688"/>
      <c r="E64" s="686"/>
      <c r="F64" s="456"/>
      <c r="G64" s="456"/>
      <c r="H64" s="56"/>
      <c r="I64" s="56"/>
    </row>
    <row r="65" spans="1:11">
      <c r="A65" s="501"/>
      <c r="B65" s="688"/>
      <c r="C65" s="688"/>
      <c r="D65" s="688"/>
      <c r="E65" s="686"/>
      <c r="F65" s="456"/>
      <c r="G65" s="456"/>
      <c r="H65" s="56"/>
      <c r="I65" s="56"/>
    </row>
    <row r="66" spans="1:11">
      <c r="A66" s="501"/>
      <c r="B66" s="688"/>
      <c r="C66" s="688"/>
      <c r="D66" s="688"/>
      <c r="E66" s="686"/>
      <c r="F66" s="456"/>
      <c r="G66" s="456"/>
      <c r="H66" s="56"/>
      <c r="I66" s="56"/>
    </row>
    <row r="67" spans="1:11" ht="12.75" customHeight="1">
      <c r="A67" s="501"/>
      <c r="B67" s="688"/>
      <c r="C67" s="688"/>
      <c r="D67" s="688"/>
      <c r="E67" s="686"/>
      <c r="F67" s="456"/>
      <c r="G67" s="456"/>
      <c r="H67" s="56"/>
      <c r="I67" s="56"/>
    </row>
    <row r="68" spans="1:11">
      <c r="A68" s="501"/>
      <c r="B68" s="688"/>
      <c r="C68" s="688"/>
      <c r="D68" s="688"/>
      <c r="E68" s="686"/>
      <c r="F68" s="456"/>
      <c r="G68" s="456"/>
      <c r="H68" s="56"/>
      <c r="I68" s="56"/>
    </row>
    <row r="69" spans="1:11">
      <c r="A69" s="501"/>
      <c r="B69" s="688"/>
      <c r="C69" s="688"/>
      <c r="D69" s="688"/>
      <c r="E69" s="686"/>
      <c r="F69" s="456"/>
      <c r="G69" s="456"/>
      <c r="H69" s="56"/>
      <c r="I69" s="56"/>
    </row>
    <row r="70" spans="1:11">
      <c r="A70" s="501"/>
      <c r="B70" s="688"/>
      <c r="C70" s="688"/>
      <c r="D70" s="688"/>
      <c r="E70" s="686"/>
      <c r="F70" s="456"/>
      <c r="G70" s="456"/>
      <c r="H70" s="56"/>
      <c r="I70" s="56"/>
    </row>
    <row r="71" spans="1:11">
      <c r="A71" s="501"/>
      <c r="B71" s="688"/>
      <c r="C71" s="688"/>
      <c r="D71" s="688"/>
      <c r="E71" s="686"/>
      <c r="F71" s="456"/>
      <c r="G71" s="456"/>
      <c r="H71" s="56"/>
      <c r="I71" s="56"/>
    </row>
    <row r="72" spans="1:11">
      <c r="A72" s="501"/>
      <c r="B72" s="688"/>
      <c r="C72" s="688"/>
      <c r="D72" s="688"/>
      <c r="E72" s="686"/>
      <c r="F72" s="456"/>
      <c r="G72" s="456"/>
      <c r="H72" s="56"/>
      <c r="I72" s="56"/>
    </row>
    <row r="73" spans="1:11">
      <c r="A73" s="501"/>
      <c r="B73" s="688"/>
      <c r="C73" s="688"/>
      <c r="D73" s="688"/>
      <c r="E73" s="686"/>
      <c r="F73" s="456"/>
      <c r="G73" s="456"/>
      <c r="H73" s="56"/>
      <c r="I73" s="56"/>
    </row>
    <row r="74" spans="1:11">
      <c r="A74" s="501"/>
      <c r="B74" s="688"/>
      <c r="C74" s="688"/>
      <c r="D74" s="688"/>
      <c r="E74" s="686"/>
      <c r="F74" s="456"/>
      <c r="G74" s="456"/>
      <c r="H74" s="56"/>
      <c r="I74" s="56"/>
    </row>
    <row r="75" spans="1:11">
      <c r="A75" s="501"/>
      <c r="B75" s="688"/>
      <c r="C75" s="688"/>
      <c r="D75" s="688"/>
      <c r="E75" s="686"/>
      <c r="F75" s="456"/>
      <c r="G75" s="456"/>
      <c r="H75" s="56"/>
      <c r="I75" s="56"/>
    </row>
    <row r="76" spans="1:11">
      <c r="A76" s="501"/>
      <c r="B76" s="688"/>
      <c r="C76" s="688"/>
      <c r="D76" s="688"/>
      <c r="E76" s="686"/>
      <c r="F76" s="456"/>
      <c r="G76" s="456"/>
      <c r="H76" s="56"/>
      <c r="I76" s="56"/>
    </row>
    <row r="77" spans="1:11">
      <c r="A77" s="501"/>
      <c r="B77" s="688"/>
      <c r="C77" s="688"/>
      <c r="D77" s="688"/>
      <c r="E77" s="686"/>
      <c r="F77" s="456"/>
      <c r="G77" s="456"/>
      <c r="H77" s="56"/>
      <c r="I77" s="56"/>
    </row>
    <row r="78" spans="1:11">
      <c r="A78" s="501"/>
      <c r="B78" s="688"/>
      <c r="C78" s="688"/>
      <c r="D78" s="688"/>
      <c r="E78" s="686"/>
      <c r="F78" s="456"/>
      <c r="G78" s="456"/>
      <c r="H78" s="56"/>
      <c r="I78" s="56"/>
    </row>
    <row r="79" spans="1:11" ht="12.75" customHeight="1">
      <c r="A79" s="501"/>
      <c r="B79" s="688"/>
      <c r="C79" s="688"/>
      <c r="D79" s="688"/>
      <c r="E79" s="686"/>
      <c r="F79" s="456"/>
      <c r="G79" s="456"/>
      <c r="H79" s="56"/>
      <c r="I79" s="56"/>
    </row>
    <row r="80" spans="1:11">
      <c r="A80" s="501"/>
      <c r="B80" s="688"/>
      <c r="C80" s="688"/>
      <c r="D80" s="688"/>
      <c r="E80" s="686"/>
      <c r="F80" s="456"/>
      <c r="G80" s="456"/>
      <c r="H80" s="56"/>
      <c r="I80" s="56"/>
      <c r="J80" s="25"/>
      <c r="K80" s="25"/>
    </row>
    <row r="81" spans="1:11">
      <c r="A81" s="501"/>
      <c r="B81" s="688"/>
      <c r="C81" s="688"/>
      <c r="D81" s="688"/>
      <c r="E81" s="686"/>
      <c r="F81" s="456"/>
      <c r="G81" s="456"/>
      <c r="H81" s="56"/>
      <c r="I81" s="56"/>
      <c r="J81" s="25"/>
      <c r="K81" s="25"/>
    </row>
    <row r="82" spans="1:11">
      <c r="A82" s="501"/>
      <c r="B82" s="688"/>
      <c r="C82" s="688"/>
      <c r="D82" s="688"/>
      <c r="E82" s="686"/>
      <c r="F82" s="456"/>
      <c r="G82" s="456"/>
      <c r="H82" s="56"/>
      <c r="I82" s="56"/>
      <c r="J82" s="25"/>
      <c r="K82" s="25"/>
    </row>
    <row r="83" spans="1:11">
      <c r="A83" s="501"/>
      <c r="B83" s="688"/>
      <c r="C83" s="688"/>
      <c r="D83" s="688"/>
      <c r="E83" s="686"/>
      <c r="F83" s="456"/>
      <c r="G83" s="456"/>
      <c r="H83" s="56"/>
      <c r="I83" s="56"/>
      <c r="J83" s="25"/>
      <c r="K83" s="25"/>
    </row>
    <row r="84" spans="1:11">
      <c r="A84" s="501"/>
      <c r="B84" s="688"/>
      <c r="C84" s="688"/>
      <c r="D84" s="688"/>
      <c r="E84" s="686"/>
      <c r="F84" s="456"/>
      <c r="G84" s="456"/>
      <c r="H84" s="56"/>
      <c r="I84" s="56"/>
      <c r="J84" s="25"/>
      <c r="K84" s="25"/>
    </row>
    <row r="85" spans="1:11">
      <c r="A85" s="501"/>
      <c r="B85" s="688"/>
      <c r="C85" s="688"/>
      <c r="D85" s="688"/>
      <c r="E85" s="686"/>
      <c r="F85" s="456"/>
      <c r="G85" s="456"/>
      <c r="H85" s="56"/>
      <c r="I85" s="56"/>
      <c r="J85" s="25"/>
      <c r="K85" s="25"/>
    </row>
    <row r="86" spans="1:11">
      <c r="A86" s="501"/>
      <c r="B86" s="688"/>
      <c r="C86" s="688"/>
      <c r="D86" s="688"/>
      <c r="E86" s="686"/>
      <c r="F86" s="456"/>
      <c r="G86" s="456"/>
      <c r="H86" s="56"/>
      <c r="I86" s="56"/>
      <c r="J86" s="25"/>
      <c r="K86" s="25"/>
    </row>
    <row r="87" spans="1:11">
      <c r="A87" s="501"/>
      <c r="B87" s="688"/>
      <c r="C87" s="688"/>
      <c r="D87" s="688"/>
      <c r="E87" s="686"/>
      <c r="F87" s="456"/>
      <c r="G87" s="456"/>
      <c r="H87" s="56"/>
      <c r="I87" s="56"/>
    </row>
    <row r="88" spans="1:11">
      <c r="A88" s="501"/>
      <c r="B88" s="688"/>
      <c r="C88" s="688"/>
      <c r="D88" s="688"/>
      <c r="E88" s="686"/>
      <c r="F88" s="456"/>
      <c r="G88" s="456"/>
      <c r="H88" s="56"/>
      <c r="I88" s="56"/>
    </row>
    <row r="89" spans="1:11">
      <c r="A89" s="501"/>
      <c r="B89" s="688"/>
      <c r="C89" s="688"/>
      <c r="D89" s="688"/>
      <c r="E89" s="686"/>
      <c r="F89" s="456"/>
      <c r="G89" s="456"/>
      <c r="H89" s="56"/>
      <c r="I89" s="56"/>
    </row>
    <row r="90" spans="1:11">
      <c r="A90" s="501"/>
      <c r="B90" s="688"/>
      <c r="C90" s="688"/>
      <c r="D90" s="688"/>
      <c r="E90" s="686"/>
      <c r="F90" s="456"/>
      <c r="G90" s="456"/>
      <c r="H90" s="56"/>
      <c r="I90" s="56"/>
    </row>
    <row r="91" spans="1:11" ht="12.75" customHeight="1">
      <c r="A91" s="501"/>
      <c r="B91" s="688"/>
      <c r="C91" s="688"/>
      <c r="D91" s="688"/>
      <c r="E91" s="686"/>
      <c r="F91" s="456"/>
      <c r="G91" s="456"/>
      <c r="H91" s="56"/>
      <c r="I91" s="56"/>
    </row>
    <row r="92" spans="1:11">
      <c r="A92" s="501"/>
      <c r="B92" s="688"/>
      <c r="C92" s="688"/>
      <c r="D92" s="688"/>
      <c r="E92" s="686"/>
      <c r="F92" s="456"/>
      <c r="G92" s="456"/>
      <c r="H92" s="56"/>
      <c r="I92" s="56"/>
    </row>
    <row r="93" spans="1:11">
      <c r="A93" s="501"/>
      <c r="B93" s="688"/>
      <c r="C93" s="688"/>
      <c r="D93" s="688"/>
      <c r="E93" s="686"/>
      <c r="F93" s="456"/>
      <c r="G93" s="456"/>
      <c r="H93" s="56"/>
      <c r="I93" s="56"/>
    </row>
    <row r="94" spans="1:11">
      <c r="A94" s="501"/>
      <c r="B94" s="688"/>
      <c r="C94" s="688"/>
      <c r="D94" s="688"/>
      <c r="E94" s="686"/>
      <c r="F94" s="456"/>
      <c r="G94" s="456"/>
      <c r="H94" s="56"/>
      <c r="I94" s="56"/>
    </row>
    <row r="95" spans="1:11">
      <c r="A95" s="501"/>
      <c r="B95" s="688"/>
      <c r="C95" s="688"/>
      <c r="D95" s="688"/>
      <c r="E95" s="686"/>
      <c r="F95" s="456"/>
      <c r="G95" s="456"/>
      <c r="H95" s="56"/>
      <c r="I95" s="56"/>
    </row>
    <row r="96" spans="1:11">
      <c r="A96" s="501"/>
      <c r="B96" s="688"/>
      <c r="C96" s="688"/>
      <c r="D96" s="688"/>
      <c r="E96" s="686"/>
      <c r="F96" s="456"/>
      <c r="G96" s="456"/>
      <c r="H96" s="56"/>
      <c r="I96" s="56"/>
    </row>
    <row r="97" spans="1:9">
      <c r="A97" s="501"/>
      <c r="B97" s="688"/>
      <c r="C97" s="688"/>
      <c r="D97" s="688"/>
      <c r="E97" s="686"/>
      <c r="F97" s="456"/>
      <c r="G97" s="456"/>
      <c r="H97" s="56"/>
      <c r="I97" s="56"/>
    </row>
    <row r="98" spans="1:9">
      <c r="A98" s="501"/>
      <c r="B98" s="688"/>
      <c r="C98" s="688"/>
      <c r="D98" s="688"/>
      <c r="E98" s="686"/>
      <c r="F98" s="456"/>
      <c r="G98" s="456"/>
      <c r="H98" s="56"/>
      <c r="I98" s="56"/>
    </row>
    <row r="99" spans="1:9">
      <c r="A99" s="501"/>
      <c r="B99" s="688"/>
      <c r="C99" s="688"/>
      <c r="D99" s="688"/>
      <c r="E99" s="686"/>
      <c r="F99" s="456"/>
      <c r="G99" s="456"/>
      <c r="H99" s="56"/>
      <c r="I99" s="56"/>
    </row>
    <row r="100" spans="1:9">
      <c r="A100" s="501"/>
      <c r="B100" s="688"/>
      <c r="C100" s="688"/>
      <c r="D100" s="688"/>
      <c r="E100" s="686"/>
      <c r="F100" s="456"/>
      <c r="G100" s="456"/>
      <c r="H100" s="56"/>
      <c r="I100" s="56"/>
    </row>
    <row r="101" spans="1:9">
      <c r="A101" s="501"/>
      <c r="B101" s="688"/>
      <c r="C101" s="688"/>
      <c r="D101" s="688"/>
      <c r="E101" s="686"/>
      <c r="F101" s="456"/>
      <c r="G101" s="456"/>
      <c r="H101" s="56"/>
      <c r="I101" s="56"/>
    </row>
    <row r="102" spans="1:9">
      <c r="A102" s="501"/>
      <c r="B102" s="688"/>
      <c r="C102" s="688"/>
      <c r="D102" s="688"/>
      <c r="E102" s="686"/>
      <c r="F102" s="456"/>
      <c r="G102" s="456"/>
      <c r="H102" s="56"/>
      <c r="I102" s="56"/>
    </row>
    <row r="103" spans="1:9" ht="12.75" customHeight="1">
      <c r="A103" s="501"/>
      <c r="B103" s="688"/>
      <c r="C103" s="688"/>
      <c r="D103" s="688"/>
      <c r="E103" s="686"/>
      <c r="F103" s="456"/>
      <c r="G103" s="456"/>
      <c r="H103" s="56"/>
      <c r="I103" s="56"/>
    </row>
    <row r="104" spans="1:9">
      <c r="A104" s="501"/>
      <c r="B104" s="688"/>
      <c r="C104" s="688"/>
      <c r="D104" s="688"/>
      <c r="E104" s="686"/>
      <c r="F104" s="456"/>
      <c r="G104" s="456"/>
      <c r="H104" s="56"/>
      <c r="I104" s="56"/>
    </row>
    <row r="105" spans="1:9">
      <c r="A105" s="501"/>
      <c r="B105" s="688"/>
      <c r="C105" s="688"/>
      <c r="D105" s="688"/>
      <c r="E105" s="686"/>
      <c r="F105" s="456"/>
      <c r="G105" s="456"/>
      <c r="H105" s="56"/>
      <c r="I105" s="56"/>
    </row>
    <row r="106" spans="1:9">
      <c r="A106" s="501"/>
      <c r="B106" s="688"/>
      <c r="C106" s="688"/>
      <c r="D106" s="688"/>
      <c r="E106" s="686"/>
      <c r="F106" s="456"/>
      <c r="G106" s="456"/>
      <c r="H106" s="56"/>
      <c r="I106" s="56"/>
    </row>
    <row r="107" spans="1:9">
      <c r="A107" s="501"/>
      <c r="B107" s="688"/>
      <c r="C107" s="688"/>
      <c r="D107" s="688"/>
      <c r="E107" s="686"/>
      <c r="F107" s="456"/>
      <c r="G107" s="456"/>
      <c r="H107" s="56"/>
      <c r="I107" s="56"/>
    </row>
    <row r="108" spans="1:9">
      <c r="A108" s="501"/>
      <c r="B108" s="688"/>
      <c r="C108" s="688"/>
      <c r="D108" s="688"/>
      <c r="E108" s="686"/>
      <c r="F108" s="456"/>
      <c r="G108" s="456"/>
      <c r="H108" s="56"/>
      <c r="I108" s="56"/>
    </row>
    <row r="109" spans="1:9">
      <c r="A109" s="501"/>
      <c r="B109" s="688"/>
      <c r="C109" s="688"/>
      <c r="D109" s="688"/>
      <c r="E109" s="686"/>
      <c r="F109" s="456"/>
      <c r="G109" s="456"/>
      <c r="H109" s="56"/>
      <c r="I109" s="56"/>
    </row>
    <row r="110" spans="1:9">
      <c r="A110" s="501"/>
      <c r="B110" s="688"/>
      <c r="C110" s="688"/>
      <c r="D110" s="688"/>
      <c r="E110" s="686"/>
      <c r="F110" s="456"/>
      <c r="G110" s="456"/>
      <c r="H110" s="56"/>
      <c r="I110" s="56"/>
    </row>
    <row r="111" spans="1:9">
      <c r="A111" s="501"/>
      <c r="B111" s="688"/>
      <c r="C111" s="688"/>
      <c r="D111" s="688"/>
      <c r="E111" s="686"/>
      <c r="F111" s="456"/>
      <c r="G111" s="456"/>
      <c r="H111" s="56"/>
      <c r="I111" s="56"/>
    </row>
    <row r="112" spans="1:9">
      <c r="A112" s="501"/>
      <c r="B112" s="688"/>
      <c r="C112" s="688"/>
      <c r="D112" s="688"/>
      <c r="E112" s="686"/>
      <c r="F112" s="456"/>
      <c r="G112" s="456"/>
      <c r="H112" s="56"/>
      <c r="I112" s="56"/>
    </row>
    <row r="113" spans="1:9">
      <c r="A113" s="501"/>
      <c r="B113" s="688"/>
      <c r="C113" s="688"/>
      <c r="D113" s="688"/>
      <c r="E113" s="686"/>
      <c r="F113" s="456"/>
      <c r="G113" s="456"/>
      <c r="H113" s="56"/>
      <c r="I113" s="56"/>
    </row>
    <row r="114" spans="1:9">
      <c r="A114" s="501"/>
      <c r="B114" s="688"/>
      <c r="C114" s="688"/>
      <c r="D114" s="688"/>
      <c r="E114" s="686"/>
      <c r="F114" s="456"/>
      <c r="G114" s="456"/>
      <c r="H114" s="56"/>
      <c r="I114" s="56"/>
    </row>
    <row r="115" spans="1:9" ht="12.75" customHeight="1">
      <c r="A115" s="501"/>
      <c r="B115" s="688"/>
      <c r="C115" s="688"/>
      <c r="D115" s="688"/>
      <c r="E115" s="686"/>
      <c r="F115" s="456"/>
      <c r="G115" s="456"/>
      <c r="H115" s="56"/>
      <c r="I115" s="56"/>
    </row>
    <row r="116" spans="1:9">
      <c r="A116" s="501"/>
      <c r="B116" s="688"/>
      <c r="C116" s="688"/>
      <c r="D116" s="688"/>
      <c r="E116" s="686"/>
      <c r="F116" s="456"/>
      <c r="G116" s="456"/>
      <c r="H116" s="56"/>
      <c r="I116" s="56"/>
    </row>
    <row r="117" spans="1:9">
      <c r="A117" s="501"/>
      <c r="B117" s="688"/>
      <c r="C117" s="688"/>
      <c r="D117" s="688"/>
      <c r="E117" s="686"/>
      <c r="F117" s="456"/>
      <c r="G117" s="456"/>
      <c r="H117" s="56"/>
      <c r="I117" s="56"/>
    </row>
    <row r="118" spans="1:9">
      <c r="A118" s="501"/>
      <c r="B118" s="688"/>
      <c r="C118" s="688"/>
      <c r="D118" s="688"/>
      <c r="E118" s="686"/>
      <c r="F118" s="456"/>
      <c r="G118" s="456"/>
      <c r="H118" s="56"/>
      <c r="I118" s="56"/>
    </row>
    <row r="119" spans="1:9">
      <c r="A119" s="501"/>
      <c r="B119" s="688"/>
      <c r="C119" s="688"/>
      <c r="D119" s="688"/>
      <c r="E119" s="686"/>
      <c r="F119" s="456"/>
      <c r="G119" s="456"/>
      <c r="H119" s="56"/>
      <c r="I119" s="56"/>
    </row>
    <row r="120" spans="1:9">
      <c r="A120" s="501"/>
      <c r="B120" s="688"/>
      <c r="C120" s="688"/>
      <c r="D120" s="688"/>
      <c r="E120" s="686"/>
      <c r="F120" s="456"/>
      <c r="G120" s="456"/>
      <c r="H120" s="56"/>
      <c r="I120" s="56"/>
    </row>
    <row r="121" spans="1:9">
      <c r="A121" s="501"/>
      <c r="B121" s="688"/>
      <c r="C121" s="688"/>
      <c r="D121" s="688"/>
      <c r="E121" s="686"/>
      <c r="F121" s="456"/>
      <c r="G121" s="456"/>
      <c r="H121" s="56"/>
      <c r="I121" s="56"/>
    </row>
    <row r="122" spans="1:9">
      <c r="A122" s="501"/>
      <c r="B122" s="688"/>
      <c r="C122" s="688"/>
      <c r="D122" s="688"/>
      <c r="E122" s="686"/>
      <c r="F122" s="456"/>
      <c r="G122" s="456"/>
      <c r="H122" s="56"/>
      <c r="I122" s="56"/>
    </row>
    <row r="123" spans="1:9">
      <c r="A123" s="501"/>
      <c r="B123" s="688"/>
      <c r="C123" s="688"/>
      <c r="D123" s="688"/>
      <c r="E123" s="686"/>
      <c r="F123" s="456"/>
      <c r="G123" s="456"/>
      <c r="H123" s="56"/>
      <c r="I123" s="56"/>
    </row>
    <row r="124" spans="1:9">
      <c r="A124" s="501"/>
      <c r="B124" s="688"/>
      <c r="C124" s="688"/>
      <c r="D124" s="688"/>
      <c r="E124" s="686"/>
      <c r="F124" s="456"/>
      <c r="G124" s="456"/>
      <c r="H124" s="56"/>
      <c r="I124" s="56"/>
    </row>
    <row r="125" spans="1:9">
      <c r="A125" s="501"/>
      <c r="B125" s="688"/>
      <c r="C125" s="688"/>
      <c r="D125" s="688"/>
      <c r="E125" s="686"/>
      <c r="F125" s="456"/>
      <c r="G125" s="456"/>
      <c r="H125" s="56"/>
      <c r="I125" s="56"/>
    </row>
    <row r="126" spans="1:9">
      <c r="A126" s="501"/>
      <c r="B126" s="688"/>
      <c r="C126" s="688"/>
      <c r="D126" s="688"/>
      <c r="E126" s="686"/>
      <c r="F126" s="456"/>
      <c r="G126" s="456"/>
      <c r="H126" s="56"/>
      <c r="I126" s="56"/>
    </row>
    <row r="127" spans="1:9" ht="12.75" customHeight="1">
      <c r="A127" s="501"/>
      <c r="B127" s="688"/>
      <c r="C127" s="688"/>
      <c r="D127" s="688"/>
      <c r="E127" s="686"/>
      <c r="F127" s="456"/>
      <c r="G127" s="456"/>
      <c r="H127" s="56"/>
      <c r="I127" s="56"/>
    </row>
    <row r="128" spans="1:9">
      <c r="A128" s="501"/>
      <c r="B128" s="688"/>
      <c r="C128" s="688"/>
      <c r="D128" s="688"/>
      <c r="E128" s="686"/>
      <c r="F128" s="456"/>
      <c r="G128" s="456"/>
      <c r="H128" s="56"/>
      <c r="I128" s="56"/>
    </row>
    <row r="129" spans="1:9">
      <c r="A129" s="501"/>
      <c r="B129" s="688"/>
      <c r="C129" s="688"/>
      <c r="D129" s="688"/>
      <c r="E129" s="686"/>
      <c r="F129" s="456"/>
      <c r="G129" s="456"/>
      <c r="H129" s="56"/>
      <c r="I129" s="56"/>
    </row>
    <row r="130" spans="1:9">
      <c r="A130" s="501"/>
      <c r="B130" s="688"/>
      <c r="C130" s="688"/>
      <c r="D130" s="688"/>
      <c r="E130" s="686"/>
      <c r="F130" s="456"/>
      <c r="G130" s="456"/>
      <c r="H130" s="56"/>
      <c r="I130" s="56"/>
    </row>
    <row r="131" spans="1:9">
      <c r="A131" s="501"/>
      <c r="B131" s="688"/>
      <c r="C131" s="688"/>
      <c r="D131" s="688"/>
      <c r="E131" s="686"/>
      <c r="F131" s="456"/>
      <c r="G131" s="456"/>
      <c r="H131" s="56"/>
      <c r="I131" s="56"/>
    </row>
    <row r="132" spans="1:9">
      <c r="A132" s="501"/>
      <c r="B132" s="688"/>
      <c r="C132" s="688"/>
      <c r="D132" s="688"/>
      <c r="E132" s="686"/>
      <c r="F132" s="456"/>
      <c r="G132" s="456"/>
      <c r="H132" s="56"/>
      <c r="I132" s="56"/>
    </row>
    <row r="133" spans="1:9">
      <c r="A133" s="501"/>
      <c r="B133" s="688"/>
      <c r="C133" s="688"/>
      <c r="D133" s="688"/>
      <c r="E133" s="686"/>
      <c r="F133" s="456"/>
      <c r="G133" s="456"/>
      <c r="H133" s="56"/>
      <c r="I133" s="56"/>
    </row>
    <row r="134" spans="1:9">
      <c r="A134" s="501"/>
      <c r="B134" s="688"/>
      <c r="C134" s="688"/>
      <c r="D134" s="688"/>
      <c r="E134" s="686"/>
      <c r="F134" s="456"/>
      <c r="G134" s="456"/>
      <c r="H134" s="56"/>
      <c r="I134" s="56"/>
    </row>
    <row r="135" spans="1:9">
      <c r="A135" s="501"/>
      <c r="B135" s="688"/>
      <c r="C135" s="688"/>
      <c r="D135" s="688"/>
      <c r="E135" s="686"/>
      <c r="F135" s="456"/>
      <c r="G135" s="456"/>
      <c r="H135" s="56"/>
      <c r="I135" s="56"/>
    </row>
    <row r="136" spans="1:9">
      <c r="A136" s="501"/>
      <c r="B136" s="688"/>
      <c r="C136" s="688"/>
      <c r="D136" s="688"/>
      <c r="E136" s="686"/>
      <c r="F136" s="456"/>
      <c r="G136" s="456"/>
      <c r="H136" s="56"/>
      <c r="I136" s="56"/>
    </row>
    <row r="137" spans="1:9">
      <c r="A137" s="501"/>
      <c r="B137" s="688"/>
      <c r="C137" s="688"/>
      <c r="D137" s="688"/>
      <c r="E137" s="686"/>
      <c r="F137" s="456"/>
      <c r="G137" s="456"/>
      <c r="H137" s="56"/>
      <c r="I137" s="56"/>
    </row>
    <row r="138" spans="1:9">
      <c r="A138" s="501"/>
      <c r="B138" s="688"/>
      <c r="C138" s="688"/>
      <c r="D138" s="688"/>
      <c r="E138" s="686"/>
      <c r="F138" s="456"/>
      <c r="G138" s="456"/>
      <c r="H138" s="56"/>
      <c r="I138" s="56"/>
    </row>
    <row r="139" spans="1:9" ht="12.75" customHeight="1">
      <c r="A139" s="501"/>
      <c r="B139" s="688"/>
      <c r="C139" s="688"/>
      <c r="D139" s="688"/>
      <c r="E139" s="686"/>
      <c r="F139" s="456"/>
      <c r="G139" s="456"/>
      <c r="H139" s="56"/>
      <c r="I139" s="56"/>
    </row>
    <row r="140" spans="1:9">
      <c r="A140" s="501"/>
      <c r="B140" s="688"/>
      <c r="C140" s="688"/>
      <c r="D140" s="688"/>
      <c r="E140" s="686"/>
      <c r="F140" s="456"/>
      <c r="G140" s="456"/>
      <c r="H140" s="56"/>
      <c r="I140" s="56"/>
    </row>
    <row r="141" spans="1:9">
      <c r="A141" s="501"/>
      <c r="B141" s="688"/>
      <c r="C141" s="688"/>
      <c r="D141" s="688"/>
      <c r="E141" s="686"/>
      <c r="F141" s="456"/>
      <c r="G141" s="456"/>
      <c r="H141" s="56"/>
      <c r="I141" s="56"/>
    </row>
    <row r="142" spans="1:9">
      <c r="A142" s="501"/>
      <c r="B142" s="688"/>
      <c r="C142" s="688"/>
      <c r="D142" s="688"/>
      <c r="E142" s="686"/>
      <c r="F142" s="456"/>
      <c r="G142" s="456"/>
      <c r="H142" s="56"/>
      <c r="I142" s="56"/>
    </row>
    <row r="143" spans="1:9">
      <c r="A143" s="501"/>
      <c r="B143" s="688"/>
      <c r="C143" s="688"/>
      <c r="D143" s="688"/>
      <c r="E143" s="686"/>
      <c r="F143" s="456"/>
      <c r="G143" s="456"/>
      <c r="H143" s="56"/>
      <c r="I143" s="56"/>
    </row>
    <row r="144" spans="1:9">
      <c r="A144" s="501"/>
      <c r="B144" s="688"/>
      <c r="C144" s="688"/>
      <c r="D144" s="688"/>
      <c r="E144" s="686"/>
      <c r="F144" s="456"/>
      <c r="G144" s="456"/>
      <c r="H144" s="56"/>
      <c r="I144" s="56"/>
    </row>
    <row r="145" spans="1:9">
      <c r="A145" s="501"/>
      <c r="B145" s="688"/>
      <c r="C145" s="688"/>
      <c r="D145" s="688"/>
      <c r="E145" s="686"/>
      <c r="F145" s="456"/>
      <c r="G145" s="456"/>
      <c r="H145" s="56"/>
      <c r="I145" s="56"/>
    </row>
    <row r="146" spans="1:9">
      <c r="A146" s="501"/>
      <c r="B146" s="688"/>
      <c r="C146" s="688"/>
      <c r="D146" s="688"/>
      <c r="E146" s="686"/>
      <c r="F146" s="456"/>
      <c r="G146" s="456"/>
      <c r="H146" s="56"/>
      <c r="I146" s="56"/>
    </row>
    <row r="147" spans="1:9">
      <c r="A147" s="501"/>
      <c r="B147" s="688"/>
      <c r="C147" s="688"/>
      <c r="D147" s="688"/>
      <c r="E147" s="686"/>
      <c r="F147" s="456"/>
      <c r="G147" s="456"/>
      <c r="H147" s="56"/>
      <c r="I147" s="56"/>
    </row>
    <row r="148" spans="1:9">
      <c r="A148" s="501"/>
      <c r="B148" s="688"/>
      <c r="C148" s="688"/>
      <c r="D148" s="688"/>
      <c r="E148" s="686"/>
      <c r="F148" s="456"/>
      <c r="G148" s="456"/>
      <c r="H148" s="56"/>
      <c r="I148" s="56"/>
    </row>
    <row r="149" spans="1:9">
      <c r="A149" s="501"/>
      <c r="B149" s="688"/>
      <c r="C149" s="688"/>
      <c r="D149" s="688"/>
      <c r="E149" s="686"/>
      <c r="F149" s="456"/>
      <c r="G149" s="456"/>
      <c r="H149" s="56"/>
      <c r="I149" s="56"/>
    </row>
    <row r="150" spans="1:9">
      <c r="A150" s="501"/>
      <c r="B150" s="688"/>
      <c r="C150" s="688"/>
      <c r="D150" s="688"/>
      <c r="E150" s="686"/>
      <c r="F150" s="456"/>
      <c r="G150" s="456"/>
      <c r="H150" s="56"/>
      <c r="I150" s="56"/>
    </row>
    <row r="151" spans="1:9" ht="12.75" customHeight="1">
      <c r="A151" s="501"/>
      <c r="B151" s="688"/>
      <c r="C151" s="688"/>
      <c r="D151" s="688"/>
      <c r="E151" s="686"/>
      <c r="F151" s="456"/>
      <c r="G151" s="456"/>
      <c r="H151" s="56"/>
      <c r="I151" s="56"/>
    </row>
    <row r="152" spans="1:9">
      <c r="A152" s="501"/>
      <c r="B152" s="688"/>
      <c r="C152" s="688"/>
      <c r="D152" s="688"/>
      <c r="E152" s="686"/>
      <c r="F152" s="456"/>
      <c r="G152" s="456"/>
      <c r="H152" s="56"/>
      <c r="I152" s="56"/>
    </row>
    <row r="153" spans="1:9">
      <c r="A153" s="501"/>
      <c r="B153" s="688"/>
      <c r="C153" s="688"/>
      <c r="D153" s="688"/>
      <c r="E153" s="686"/>
      <c r="F153" s="456"/>
      <c r="G153" s="456"/>
      <c r="H153" s="56"/>
      <c r="I153" s="56"/>
    </row>
    <row r="154" spans="1:9">
      <c r="A154" s="501"/>
      <c r="B154" s="688"/>
      <c r="C154" s="688"/>
      <c r="D154" s="688"/>
      <c r="E154" s="686"/>
      <c r="F154" s="456"/>
      <c r="G154" s="456"/>
      <c r="H154" s="56"/>
      <c r="I154" s="56"/>
    </row>
    <row r="155" spans="1:9">
      <c r="A155" s="501"/>
      <c r="B155" s="688"/>
      <c r="C155" s="688"/>
      <c r="D155" s="688"/>
      <c r="E155" s="686"/>
      <c r="F155" s="456"/>
      <c r="G155" s="456"/>
      <c r="H155" s="56"/>
      <c r="I155" s="56"/>
    </row>
    <row r="156" spans="1:9">
      <c r="A156" s="501"/>
      <c r="B156" s="688"/>
      <c r="C156" s="688"/>
      <c r="D156" s="688"/>
      <c r="E156" s="686"/>
      <c r="F156" s="456"/>
      <c r="G156" s="456"/>
      <c r="H156" s="56"/>
      <c r="I156" s="56"/>
    </row>
    <row r="157" spans="1:9">
      <c r="A157" s="501"/>
      <c r="B157" s="688"/>
      <c r="C157" s="688"/>
      <c r="D157" s="688"/>
      <c r="E157" s="686"/>
      <c r="F157" s="456"/>
      <c r="G157" s="456"/>
      <c r="H157" s="56"/>
      <c r="I157" s="56"/>
    </row>
    <row r="158" spans="1:9">
      <c r="A158" s="501"/>
      <c r="B158" s="688"/>
      <c r="C158" s="688"/>
      <c r="D158" s="688"/>
      <c r="E158" s="686"/>
      <c r="F158" s="456"/>
      <c r="G158" s="456"/>
      <c r="H158" s="56"/>
      <c r="I158" s="56"/>
    </row>
    <row r="159" spans="1:9">
      <c r="A159" s="501"/>
      <c r="B159" s="688"/>
      <c r="C159" s="688"/>
      <c r="D159" s="688"/>
      <c r="E159" s="686"/>
      <c r="F159" s="456"/>
      <c r="G159" s="456"/>
      <c r="H159" s="56"/>
      <c r="I159" s="56"/>
    </row>
    <row r="160" spans="1:9">
      <c r="A160" s="501"/>
      <c r="B160" s="688"/>
      <c r="C160" s="688"/>
      <c r="D160" s="688"/>
      <c r="E160" s="686"/>
      <c r="F160" s="456"/>
      <c r="G160" s="456"/>
      <c r="H160" s="56"/>
      <c r="I160" s="56"/>
    </row>
    <row r="161" spans="1:9">
      <c r="A161" s="501"/>
      <c r="B161" s="688"/>
      <c r="C161" s="688"/>
      <c r="D161" s="688"/>
      <c r="E161" s="686"/>
      <c r="F161" s="456"/>
      <c r="G161" s="456"/>
      <c r="H161" s="56"/>
      <c r="I161" s="56"/>
    </row>
    <row r="162" spans="1:9">
      <c r="A162" s="501"/>
      <c r="B162" s="688"/>
      <c r="C162" s="688"/>
      <c r="D162" s="688"/>
      <c r="E162" s="686"/>
      <c r="F162" s="456"/>
      <c r="G162" s="456"/>
      <c r="H162" s="56"/>
      <c r="I162" s="56"/>
    </row>
    <row r="163" spans="1:9" ht="12.75" customHeight="1">
      <c r="A163" s="501"/>
      <c r="B163" s="688"/>
      <c r="C163" s="688"/>
      <c r="D163" s="688"/>
      <c r="E163" s="686"/>
      <c r="F163" s="456"/>
      <c r="G163" s="456"/>
      <c r="H163" s="56"/>
      <c r="I163" s="56"/>
    </row>
    <row r="164" spans="1:9">
      <c r="A164" s="501"/>
      <c r="B164" s="688"/>
      <c r="C164" s="688"/>
      <c r="D164" s="688"/>
      <c r="E164" s="686"/>
      <c r="F164" s="456"/>
      <c r="G164" s="456"/>
      <c r="H164" s="56"/>
      <c r="I164" s="56"/>
    </row>
    <row r="165" spans="1:9">
      <c r="A165" s="501"/>
      <c r="B165" s="688"/>
      <c r="C165" s="688"/>
      <c r="D165" s="688"/>
      <c r="E165" s="686"/>
      <c r="F165" s="456"/>
      <c r="G165" s="456"/>
      <c r="H165" s="56"/>
      <c r="I165" s="56"/>
    </row>
    <row r="166" spans="1:9">
      <c r="A166" s="501"/>
      <c r="B166" s="688"/>
      <c r="C166" s="688"/>
      <c r="D166" s="688"/>
      <c r="E166" s="686"/>
      <c r="F166" s="456"/>
      <c r="G166" s="456"/>
      <c r="H166" s="56"/>
      <c r="I166" s="56"/>
    </row>
    <row r="167" spans="1:9">
      <c r="A167" s="501"/>
      <c r="B167" s="688"/>
      <c r="C167" s="688"/>
      <c r="D167" s="688"/>
      <c r="E167" s="686"/>
      <c r="F167" s="456"/>
      <c r="G167" s="456"/>
      <c r="H167" s="56"/>
      <c r="I167" s="56"/>
    </row>
    <row r="168" spans="1:9">
      <c r="A168" s="501"/>
      <c r="B168" s="688"/>
      <c r="C168" s="688"/>
      <c r="D168" s="688"/>
      <c r="E168" s="686"/>
      <c r="F168" s="456"/>
      <c r="G168" s="456"/>
      <c r="H168" s="56"/>
      <c r="I168" s="56"/>
    </row>
    <row r="169" spans="1:9">
      <c r="A169" s="501"/>
      <c r="B169" s="688"/>
      <c r="C169" s="688"/>
      <c r="D169" s="688"/>
      <c r="E169" s="686"/>
      <c r="F169" s="456"/>
      <c r="G169" s="456"/>
      <c r="H169" s="56"/>
      <c r="I169" s="56"/>
    </row>
    <row r="170" spans="1:9">
      <c r="A170" s="501"/>
      <c r="B170" s="688"/>
      <c r="C170" s="688"/>
      <c r="D170" s="688"/>
      <c r="E170" s="686"/>
      <c r="F170" s="456"/>
      <c r="G170" s="456"/>
      <c r="H170" s="56"/>
      <c r="I170" s="56"/>
    </row>
    <row r="171" spans="1:9">
      <c r="A171" s="501"/>
      <c r="B171" s="688"/>
      <c r="C171" s="688"/>
      <c r="D171" s="688"/>
      <c r="E171" s="686"/>
      <c r="F171" s="456"/>
      <c r="G171" s="456"/>
      <c r="H171" s="56"/>
      <c r="I171" s="56"/>
    </row>
    <row r="172" spans="1:9">
      <c r="A172" s="501"/>
      <c r="B172" s="688"/>
      <c r="C172" s="688"/>
      <c r="D172" s="688"/>
      <c r="E172" s="686"/>
      <c r="F172" s="456"/>
      <c r="G172" s="456"/>
      <c r="H172" s="56"/>
      <c r="I172" s="56"/>
    </row>
    <row r="173" spans="1:9">
      <c r="A173" s="501"/>
      <c r="B173" s="688"/>
      <c r="C173" s="688"/>
      <c r="D173" s="688"/>
      <c r="E173" s="686"/>
      <c r="F173" s="456"/>
      <c r="G173" s="456"/>
      <c r="H173" s="56"/>
      <c r="I173" s="56"/>
    </row>
    <row r="174" spans="1:9">
      <c r="A174" s="501"/>
      <c r="B174" s="688"/>
      <c r="C174" s="688"/>
      <c r="D174" s="688"/>
      <c r="E174" s="686"/>
      <c r="F174" s="456"/>
      <c r="G174" s="456"/>
      <c r="H174" s="56"/>
      <c r="I174" s="56"/>
    </row>
    <row r="175" spans="1:9" ht="12.75" customHeight="1">
      <c r="A175" s="501"/>
      <c r="B175" s="688"/>
      <c r="C175" s="688"/>
      <c r="D175" s="688"/>
      <c r="E175" s="686"/>
      <c r="F175" s="456"/>
      <c r="G175" s="456"/>
      <c r="H175" s="56"/>
      <c r="I175" s="56"/>
    </row>
    <row r="176" spans="1:9">
      <c r="A176" s="501"/>
      <c r="B176" s="688"/>
      <c r="C176" s="688"/>
      <c r="D176" s="688"/>
      <c r="E176" s="686"/>
      <c r="F176" s="456"/>
      <c r="G176" s="456"/>
      <c r="H176" s="56"/>
      <c r="I176" s="56"/>
    </row>
    <row r="177" spans="1:9">
      <c r="A177" s="501"/>
      <c r="B177" s="688"/>
      <c r="C177" s="688"/>
      <c r="D177" s="688"/>
      <c r="E177" s="686"/>
      <c r="F177" s="456"/>
      <c r="G177" s="456"/>
      <c r="H177" s="56"/>
      <c r="I177" s="56"/>
    </row>
    <row r="178" spans="1:9">
      <c r="A178" s="501"/>
      <c r="B178" s="688"/>
      <c r="C178" s="688"/>
      <c r="D178" s="688"/>
      <c r="E178" s="686"/>
      <c r="F178" s="456"/>
      <c r="G178" s="456"/>
      <c r="H178" s="56"/>
      <c r="I178" s="56"/>
    </row>
    <row r="179" spans="1:9">
      <c r="A179" s="501"/>
      <c r="B179" s="688"/>
      <c r="C179" s="688"/>
      <c r="D179" s="688"/>
      <c r="E179" s="686"/>
      <c r="F179" s="456"/>
      <c r="G179" s="456"/>
      <c r="H179" s="56"/>
      <c r="I179" s="56"/>
    </row>
    <row r="180" spans="1:9">
      <c r="A180" s="501"/>
      <c r="B180" s="688"/>
      <c r="C180" s="688"/>
      <c r="D180" s="688"/>
      <c r="E180" s="686"/>
      <c r="F180" s="456"/>
      <c r="G180" s="456"/>
      <c r="H180" s="56"/>
      <c r="I180" s="56"/>
    </row>
    <row r="181" spans="1:9">
      <c r="A181" s="501"/>
      <c r="B181" s="688"/>
      <c r="C181" s="688"/>
      <c r="D181" s="688"/>
      <c r="E181" s="686"/>
      <c r="F181" s="456"/>
      <c r="G181" s="456"/>
      <c r="H181" s="56"/>
      <c r="I181" s="56"/>
    </row>
    <row r="182" spans="1:9">
      <c r="A182" s="501"/>
      <c r="B182" s="688"/>
      <c r="C182" s="688"/>
      <c r="D182" s="688"/>
      <c r="E182" s="686"/>
      <c r="F182" s="456"/>
      <c r="G182" s="456"/>
      <c r="H182" s="56"/>
      <c r="I182" s="56"/>
    </row>
    <row r="183" spans="1:9">
      <c r="A183" s="501"/>
      <c r="B183" s="688"/>
      <c r="C183" s="688"/>
      <c r="D183" s="688"/>
      <c r="E183" s="686"/>
      <c r="F183" s="456"/>
      <c r="G183" s="456"/>
      <c r="H183" s="56"/>
      <c r="I183" s="56"/>
    </row>
    <row r="184" spans="1:9">
      <c r="A184" s="501"/>
      <c r="B184" s="688"/>
      <c r="C184" s="688"/>
      <c r="D184" s="688"/>
      <c r="E184" s="686"/>
      <c r="F184" s="456"/>
      <c r="G184" s="456"/>
      <c r="H184" s="56"/>
      <c r="I184" s="56"/>
    </row>
    <row r="185" spans="1:9">
      <c r="A185" s="501"/>
      <c r="B185" s="688"/>
      <c r="C185" s="688"/>
      <c r="D185" s="688"/>
      <c r="E185" s="686"/>
      <c r="F185" s="456"/>
      <c r="G185" s="456"/>
      <c r="H185" s="56"/>
      <c r="I185" s="56"/>
    </row>
    <row r="186" spans="1:9">
      <c r="A186" s="501"/>
      <c r="B186" s="688"/>
      <c r="C186" s="688"/>
      <c r="D186" s="688"/>
      <c r="E186" s="686"/>
      <c r="F186" s="456"/>
      <c r="G186" s="456"/>
      <c r="H186" s="56"/>
      <c r="I186" s="56"/>
    </row>
    <row r="187" spans="1:9" ht="12.75" customHeight="1">
      <c r="A187" s="501"/>
      <c r="B187" s="688"/>
      <c r="C187" s="688"/>
      <c r="D187" s="688"/>
      <c r="E187" s="686"/>
      <c r="F187" s="456"/>
      <c r="G187" s="456"/>
      <c r="H187" s="56"/>
      <c r="I187" s="56"/>
    </row>
    <row r="188" spans="1:9">
      <c r="A188" s="501"/>
      <c r="B188" s="688"/>
      <c r="C188" s="688"/>
      <c r="D188" s="688"/>
      <c r="E188" s="686"/>
      <c r="F188" s="456"/>
      <c r="G188" s="456"/>
      <c r="H188" s="56"/>
      <c r="I188" s="56"/>
    </row>
    <row r="189" spans="1:9">
      <c r="A189" s="501"/>
      <c r="B189" s="688"/>
      <c r="C189" s="688"/>
      <c r="D189" s="688"/>
      <c r="E189" s="686"/>
      <c r="F189" s="456"/>
      <c r="G189" s="456"/>
      <c r="H189" s="56"/>
      <c r="I189" s="56"/>
    </row>
    <row r="190" spans="1:9">
      <c r="A190" s="501"/>
      <c r="B190" s="688"/>
      <c r="C190" s="688"/>
      <c r="D190" s="688"/>
      <c r="E190" s="686"/>
      <c r="F190" s="456"/>
      <c r="G190" s="456"/>
      <c r="H190" s="56"/>
      <c r="I190" s="56"/>
    </row>
    <row r="191" spans="1:9">
      <c r="A191" s="501"/>
      <c r="B191" s="688"/>
      <c r="C191" s="688"/>
      <c r="D191" s="688"/>
      <c r="E191" s="686"/>
      <c r="F191" s="456"/>
      <c r="G191" s="456"/>
      <c r="H191" s="56"/>
      <c r="I191" s="56"/>
    </row>
    <row r="192" spans="1:9">
      <c r="A192" s="501"/>
      <c r="B192" s="688"/>
      <c r="C192" s="688"/>
      <c r="D192" s="688"/>
      <c r="E192" s="686"/>
      <c r="F192" s="456"/>
      <c r="G192" s="456"/>
      <c r="H192" s="56"/>
      <c r="I192" s="56"/>
    </row>
    <row r="193" spans="1:9" ht="10.5" customHeight="1">
      <c r="A193" s="501"/>
      <c r="B193" s="688"/>
      <c r="C193" s="688"/>
      <c r="D193" s="688"/>
      <c r="E193" s="686"/>
      <c r="F193" s="456"/>
      <c r="G193" s="456"/>
      <c r="H193" s="56"/>
      <c r="I193" s="56"/>
    </row>
    <row r="194" spans="1:9">
      <c r="A194" s="501"/>
      <c r="B194" s="688"/>
      <c r="C194" s="688"/>
      <c r="D194" s="688"/>
      <c r="E194" s="686"/>
      <c r="F194" s="456"/>
      <c r="G194" s="456"/>
      <c r="H194" s="56"/>
      <c r="I194" s="56"/>
    </row>
    <row r="195" spans="1:9">
      <c r="A195" s="501"/>
      <c r="B195" s="688"/>
      <c r="C195" s="688"/>
      <c r="D195" s="688"/>
      <c r="E195" s="686"/>
      <c r="F195" s="456"/>
      <c r="G195" s="456"/>
      <c r="H195" s="56"/>
      <c r="I195" s="56"/>
    </row>
    <row r="196" spans="1:9">
      <c r="A196" s="501"/>
      <c r="B196" s="688"/>
      <c r="C196" s="688"/>
      <c r="D196" s="688"/>
      <c r="E196" s="686"/>
      <c r="F196" s="456"/>
      <c r="G196" s="456"/>
      <c r="H196" s="56"/>
      <c r="I196" s="56"/>
    </row>
    <row r="197" spans="1:9">
      <c r="A197" s="501"/>
      <c r="B197" s="688"/>
      <c r="C197" s="688"/>
      <c r="D197" s="688"/>
      <c r="E197" s="686"/>
      <c r="F197" s="456"/>
      <c r="G197" s="456"/>
      <c r="H197" s="56"/>
      <c r="I197" s="56"/>
    </row>
    <row r="198" spans="1:9">
      <c r="A198" s="501"/>
      <c r="B198" s="688"/>
      <c r="C198" s="688"/>
      <c r="D198" s="688"/>
      <c r="E198" s="686"/>
      <c r="F198" s="456"/>
      <c r="G198" s="456"/>
      <c r="H198" s="56"/>
      <c r="I198" s="56"/>
    </row>
    <row r="199" spans="1:9" ht="12.75" customHeight="1">
      <c r="A199" s="501"/>
      <c r="B199" s="688"/>
      <c r="C199" s="688"/>
      <c r="D199" s="688"/>
      <c r="E199" s="686"/>
      <c r="F199" s="456"/>
      <c r="G199" s="456"/>
      <c r="H199" s="56"/>
      <c r="I199" s="56"/>
    </row>
    <row r="200" spans="1:9">
      <c r="A200" s="501"/>
      <c r="B200" s="688"/>
      <c r="C200" s="688"/>
      <c r="D200" s="688"/>
      <c r="E200" s="686"/>
      <c r="F200" s="456"/>
      <c r="G200" s="456"/>
      <c r="H200" s="56"/>
      <c r="I200" s="56"/>
    </row>
    <row r="201" spans="1:9">
      <c r="A201" s="501"/>
      <c r="B201" s="688"/>
      <c r="C201" s="688"/>
      <c r="D201" s="688"/>
      <c r="E201" s="686"/>
      <c r="F201" s="456"/>
      <c r="G201" s="456"/>
      <c r="H201" s="56"/>
      <c r="I201" s="56"/>
    </row>
    <row r="202" spans="1:9">
      <c r="A202" s="501"/>
      <c r="B202" s="688"/>
      <c r="C202" s="688"/>
      <c r="D202" s="688"/>
      <c r="E202" s="686"/>
      <c r="F202" s="456"/>
      <c r="G202" s="456"/>
      <c r="H202" s="56"/>
      <c r="I202" s="56"/>
    </row>
    <row r="203" spans="1:9">
      <c r="A203" s="501"/>
      <c r="B203" s="688"/>
      <c r="C203" s="688"/>
      <c r="D203" s="688"/>
      <c r="E203" s="686"/>
      <c r="F203" s="456"/>
      <c r="G203" s="456"/>
      <c r="H203" s="56"/>
      <c r="I203" s="56"/>
    </row>
    <row r="204" spans="1:9">
      <c r="A204" s="501"/>
      <c r="B204" s="688"/>
      <c r="C204" s="688"/>
      <c r="D204" s="688"/>
      <c r="E204" s="686"/>
      <c r="F204" s="456"/>
      <c r="G204" s="456"/>
      <c r="H204" s="56"/>
      <c r="I204" s="56"/>
    </row>
    <row r="205" spans="1:9">
      <c r="A205" s="501"/>
      <c r="B205" s="688"/>
      <c r="C205" s="688"/>
      <c r="D205" s="688"/>
      <c r="E205" s="686"/>
      <c r="F205" s="456"/>
      <c r="G205" s="456"/>
      <c r="H205" s="56"/>
      <c r="I205" s="56"/>
    </row>
    <row r="206" spans="1:9">
      <c r="A206" s="501"/>
      <c r="B206" s="688"/>
      <c r="C206" s="688"/>
      <c r="D206" s="688"/>
      <c r="E206" s="686"/>
      <c r="F206" s="456"/>
      <c r="G206" s="456"/>
      <c r="H206" s="56"/>
      <c r="I206" s="56"/>
    </row>
    <row r="207" spans="1:9">
      <c r="A207" s="501"/>
      <c r="B207" s="688"/>
      <c r="C207" s="688"/>
      <c r="D207" s="688"/>
      <c r="E207" s="686"/>
      <c r="F207" s="456"/>
      <c r="G207" s="456"/>
      <c r="H207" s="56"/>
      <c r="I207" s="56"/>
    </row>
    <row r="208" spans="1:9">
      <c r="A208" s="501"/>
      <c r="B208" s="688"/>
      <c r="C208" s="688"/>
      <c r="D208" s="688"/>
      <c r="E208" s="686"/>
      <c r="F208" s="456"/>
      <c r="G208" s="456"/>
      <c r="H208" s="56"/>
      <c r="I208" s="56"/>
    </row>
    <row r="209" spans="1:9">
      <c r="A209" s="501"/>
      <c r="B209" s="688"/>
      <c r="C209" s="688"/>
      <c r="D209" s="688"/>
      <c r="E209" s="686"/>
      <c r="F209" s="456"/>
      <c r="G209" s="456"/>
      <c r="H209" s="56"/>
      <c r="I209" s="56"/>
    </row>
    <row r="210" spans="1:9">
      <c r="A210" s="501"/>
      <c r="B210" s="688"/>
      <c r="C210" s="688"/>
      <c r="D210" s="688"/>
      <c r="E210" s="686"/>
      <c r="F210" s="456"/>
      <c r="G210" s="456"/>
      <c r="H210" s="56"/>
      <c r="I210" s="56"/>
    </row>
    <row r="211" spans="1:9" ht="12.75" customHeight="1">
      <c r="A211" s="501"/>
      <c r="B211" s="688"/>
      <c r="C211" s="688"/>
      <c r="D211" s="688"/>
      <c r="E211" s="686"/>
      <c r="F211" s="456"/>
      <c r="G211" s="456"/>
      <c r="H211" s="56"/>
      <c r="I211" s="56"/>
    </row>
    <row r="212" spans="1:9">
      <c r="A212" s="501"/>
      <c r="B212" s="688"/>
      <c r="C212" s="688"/>
      <c r="D212" s="688"/>
      <c r="E212" s="686"/>
      <c r="F212" s="456"/>
      <c r="G212" s="456"/>
      <c r="H212" s="56"/>
      <c r="I212" s="56"/>
    </row>
    <row r="213" spans="1:9">
      <c r="A213" s="501"/>
      <c r="B213" s="688"/>
      <c r="C213" s="688"/>
      <c r="D213" s="688"/>
      <c r="E213" s="686"/>
      <c r="F213" s="456"/>
      <c r="G213" s="456"/>
      <c r="H213" s="56"/>
      <c r="I213" s="56"/>
    </row>
    <row r="214" spans="1:9">
      <c r="A214" s="501"/>
      <c r="B214" s="688"/>
      <c r="C214" s="688"/>
      <c r="D214" s="688"/>
      <c r="E214" s="686"/>
      <c r="F214" s="456"/>
      <c r="G214" s="456"/>
      <c r="H214" s="56"/>
      <c r="I214" s="56"/>
    </row>
    <row r="215" spans="1:9">
      <c r="A215" s="501"/>
      <c r="B215" s="688"/>
      <c r="C215" s="688"/>
      <c r="D215" s="688"/>
      <c r="E215" s="686"/>
      <c r="F215" s="456"/>
      <c r="G215" s="456"/>
      <c r="H215" s="56"/>
      <c r="I215" s="56"/>
    </row>
    <row r="216" spans="1:9">
      <c r="A216" s="501"/>
      <c r="B216" s="688"/>
      <c r="C216" s="688"/>
      <c r="D216" s="688"/>
      <c r="E216" s="686"/>
      <c r="F216" s="456"/>
      <c r="G216" s="456"/>
      <c r="H216" s="56"/>
      <c r="I216" s="56"/>
    </row>
    <row r="217" spans="1:9">
      <c r="A217" s="501"/>
      <c r="B217" s="688"/>
      <c r="C217" s="688"/>
      <c r="D217" s="688"/>
      <c r="E217" s="686"/>
      <c r="F217" s="456"/>
      <c r="G217" s="456"/>
      <c r="H217" s="56"/>
      <c r="I217" s="56"/>
    </row>
    <row r="218" spans="1:9">
      <c r="A218" s="501"/>
      <c r="B218" s="688"/>
      <c r="C218" s="688"/>
      <c r="D218" s="688"/>
      <c r="E218" s="686"/>
      <c r="F218" s="456"/>
      <c r="G218" s="456"/>
      <c r="H218" s="56"/>
      <c r="I218" s="56"/>
    </row>
    <row r="219" spans="1:9">
      <c r="A219" s="501"/>
      <c r="B219" s="688"/>
      <c r="C219" s="688"/>
      <c r="D219" s="688"/>
      <c r="E219" s="686"/>
      <c r="F219" s="456"/>
      <c r="G219" s="456"/>
      <c r="H219" s="56"/>
      <c r="I219" s="56"/>
    </row>
    <row r="220" spans="1:9">
      <c r="A220" s="501"/>
      <c r="B220" s="688"/>
      <c r="C220" s="688"/>
      <c r="D220" s="688"/>
      <c r="E220" s="686"/>
      <c r="F220" s="456"/>
      <c r="G220" s="456"/>
      <c r="H220" s="56"/>
      <c r="I220" s="56"/>
    </row>
    <row r="221" spans="1:9">
      <c r="A221" s="501"/>
      <c r="B221" s="688"/>
      <c r="C221" s="688"/>
      <c r="D221" s="688"/>
      <c r="E221" s="686"/>
      <c r="F221" s="456"/>
      <c r="G221" s="456"/>
      <c r="H221" s="56"/>
      <c r="I221" s="56"/>
    </row>
    <row r="222" spans="1:9">
      <c r="A222" s="501"/>
      <c r="B222" s="688"/>
      <c r="C222" s="688"/>
      <c r="D222" s="688"/>
      <c r="E222" s="686"/>
      <c r="F222" s="456"/>
      <c r="G222" s="456"/>
      <c r="H222" s="56"/>
      <c r="I222" s="56"/>
    </row>
    <row r="223" spans="1:9" ht="12.75" customHeight="1">
      <c r="A223" s="501"/>
      <c r="B223" s="688"/>
      <c r="C223" s="688"/>
      <c r="D223" s="688"/>
      <c r="E223" s="686"/>
      <c r="F223" s="456"/>
      <c r="G223" s="456"/>
      <c r="H223" s="56"/>
      <c r="I223" s="56"/>
    </row>
    <row r="224" spans="1:9">
      <c r="A224" s="501"/>
      <c r="B224" s="688"/>
      <c r="C224" s="688"/>
      <c r="D224" s="688"/>
      <c r="E224" s="686"/>
      <c r="F224" s="456"/>
      <c r="G224" s="456"/>
      <c r="H224" s="56"/>
      <c r="I224" s="56"/>
    </row>
    <row r="225" spans="1:9">
      <c r="A225" s="501"/>
      <c r="B225" s="688"/>
      <c r="C225" s="688"/>
      <c r="D225" s="688"/>
      <c r="E225" s="686"/>
      <c r="F225" s="456"/>
      <c r="G225" s="456"/>
      <c r="H225" s="56"/>
      <c r="I225" s="56"/>
    </row>
    <row r="226" spans="1:9">
      <c r="A226" s="501"/>
      <c r="B226" s="688"/>
      <c r="C226" s="688"/>
      <c r="D226" s="688"/>
      <c r="E226" s="686"/>
      <c r="F226" s="456"/>
      <c r="G226" s="456"/>
      <c r="H226" s="56"/>
      <c r="I226" s="56"/>
    </row>
    <row r="227" spans="1:9">
      <c r="A227" s="501"/>
      <c r="B227" s="688"/>
      <c r="C227" s="688"/>
      <c r="D227" s="688"/>
      <c r="E227" s="686"/>
      <c r="F227" s="456"/>
      <c r="G227" s="456"/>
      <c r="H227" s="56"/>
      <c r="I227" s="56"/>
    </row>
    <row r="228" spans="1:9">
      <c r="A228" s="501"/>
      <c r="B228" s="688"/>
      <c r="C228" s="688"/>
      <c r="D228" s="688"/>
      <c r="E228" s="686"/>
      <c r="F228" s="456"/>
      <c r="G228" s="456"/>
      <c r="H228" s="56"/>
      <c r="I228" s="56"/>
    </row>
    <row r="229" spans="1:9">
      <c r="A229" s="501"/>
      <c r="B229" s="688"/>
      <c r="C229" s="688"/>
      <c r="D229" s="688"/>
      <c r="E229" s="686"/>
      <c r="F229" s="456"/>
      <c r="G229" s="456"/>
      <c r="H229" s="56"/>
      <c r="I229" s="56"/>
    </row>
    <row r="230" spans="1:9">
      <c r="A230" s="501"/>
      <c r="B230" s="688"/>
      <c r="C230" s="688"/>
      <c r="D230" s="688"/>
      <c r="E230" s="686"/>
      <c r="F230" s="456"/>
      <c r="G230" s="456"/>
      <c r="H230" s="56"/>
      <c r="I230" s="56"/>
    </row>
    <row r="231" spans="1:9">
      <c r="A231" s="501"/>
      <c r="B231" s="688"/>
      <c r="C231" s="688"/>
      <c r="D231" s="688"/>
      <c r="E231" s="686"/>
      <c r="F231" s="456"/>
      <c r="G231" s="456"/>
      <c r="H231" s="56"/>
      <c r="I231" s="56"/>
    </row>
    <row r="232" spans="1:9">
      <c r="A232" s="501"/>
      <c r="B232" s="688"/>
      <c r="C232" s="688"/>
      <c r="D232" s="688"/>
      <c r="E232" s="686"/>
      <c r="F232" s="456"/>
      <c r="G232" s="456"/>
      <c r="H232" s="56"/>
      <c r="I232" s="56"/>
    </row>
    <row r="233" spans="1:9">
      <c r="A233" s="501"/>
      <c r="B233" s="688"/>
      <c r="C233" s="688"/>
      <c r="D233" s="688"/>
      <c r="E233" s="686"/>
      <c r="F233" s="456"/>
      <c r="G233" s="456"/>
      <c r="H233" s="56"/>
      <c r="I233" s="56"/>
    </row>
    <row r="234" spans="1:9">
      <c r="A234" s="501"/>
      <c r="B234" s="688"/>
      <c r="C234" s="688"/>
      <c r="D234" s="688"/>
      <c r="E234" s="686"/>
      <c r="F234" s="456"/>
      <c r="G234" s="456"/>
      <c r="H234" s="56"/>
      <c r="I234" s="56"/>
    </row>
    <row r="235" spans="1:9" ht="12.75" customHeight="1">
      <c r="A235" s="501"/>
      <c r="B235" s="688"/>
      <c r="C235" s="688"/>
      <c r="D235" s="688"/>
      <c r="E235" s="686"/>
      <c r="F235" s="456"/>
      <c r="G235" s="456"/>
      <c r="H235" s="56"/>
      <c r="I235" s="56"/>
    </row>
    <row r="236" spans="1:9">
      <c r="A236" s="501"/>
      <c r="B236" s="688"/>
      <c r="C236" s="688"/>
      <c r="D236" s="688"/>
      <c r="E236" s="686"/>
      <c r="F236" s="456"/>
      <c r="G236" s="456"/>
      <c r="H236" s="56"/>
      <c r="I236" s="56"/>
    </row>
    <row r="237" spans="1:9">
      <c r="A237" s="501"/>
      <c r="B237" s="688"/>
      <c r="C237" s="688"/>
      <c r="D237" s="688"/>
      <c r="E237" s="686"/>
      <c r="F237" s="456"/>
      <c r="G237" s="456"/>
      <c r="H237" s="56"/>
      <c r="I237" s="56"/>
    </row>
    <row r="238" spans="1:9">
      <c r="A238" s="501"/>
      <c r="B238" s="688"/>
      <c r="C238" s="688"/>
      <c r="D238" s="688"/>
      <c r="E238" s="686"/>
      <c r="F238" s="456"/>
      <c r="G238" s="456"/>
      <c r="H238" s="56"/>
      <c r="I238" s="56"/>
    </row>
    <row r="239" spans="1:9">
      <c r="A239" s="501"/>
      <c r="B239" s="688"/>
      <c r="C239" s="688"/>
      <c r="D239" s="688"/>
      <c r="E239" s="686"/>
      <c r="F239" s="456"/>
      <c r="G239" s="456"/>
      <c r="H239" s="56"/>
      <c r="I239" s="56"/>
    </row>
    <row r="240" spans="1:9">
      <c r="A240" s="501"/>
      <c r="B240" s="688"/>
      <c r="C240" s="688"/>
      <c r="D240" s="688"/>
      <c r="E240" s="686"/>
      <c r="F240" s="456"/>
      <c r="G240" s="456"/>
      <c r="H240" s="56"/>
      <c r="I240" s="56"/>
    </row>
    <row r="241" spans="1:9">
      <c r="A241" s="501"/>
      <c r="B241" s="688"/>
      <c r="C241" s="688"/>
      <c r="D241" s="688"/>
      <c r="E241" s="686"/>
      <c r="F241" s="456"/>
      <c r="G241" s="456"/>
      <c r="H241" s="56"/>
      <c r="I241" s="56"/>
    </row>
    <row r="242" spans="1:9">
      <c r="A242" s="501"/>
      <c r="B242" s="688"/>
      <c r="C242" s="688"/>
      <c r="D242" s="688"/>
      <c r="E242" s="686"/>
      <c r="F242" s="456"/>
      <c r="G242" s="456"/>
      <c r="H242" s="56"/>
      <c r="I242" s="56"/>
    </row>
    <row r="243" spans="1:9">
      <c r="A243" s="501"/>
      <c r="B243" s="688"/>
      <c r="C243" s="688"/>
      <c r="D243" s="688"/>
      <c r="E243" s="686"/>
      <c r="F243" s="456"/>
      <c r="G243" s="456"/>
      <c r="H243" s="56"/>
      <c r="I243" s="56"/>
    </row>
    <row r="244" spans="1:9">
      <c r="A244" s="501"/>
      <c r="B244" s="688"/>
      <c r="C244" s="688"/>
      <c r="D244" s="688"/>
      <c r="E244" s="686"/>
      <c r="F244" s="456"/>
      <c r="G244" s="456"/>
      <c r="H244" s="56"/>
      <c r="I244" s="56"/>
    </row>
    <row r="245" spans="1:9">
      <c r="A245" s="501"/>
      <c r="B245" s="688"/>
      <c r="C245" s="688"/>
      <c r="D245" s="688"/>
      <c r="E245" s="686"/>
      <c r="F245" s="456"/>
      <c r="G245" s="456"/>
      <c r="H245" s="56"/>
      <c r="I245" s="56"/>
    </row>
    <row r="246" spans="1:9">
      <c r="A246" s="501"/>
      <c r="B246" s="688"/>
      <c r="C246" s="688"/>
      <c r="D246" s="688"/>
      <c r="E246" s="686"/>
      <c r="F246" s="456"/>
      <c r="G246" s="456"/>
      <c r="H246" s="56"/>
      <c r="I246" s="56"/>
    </row>
    <row r="247" spans="1:9" ht="12.75" customHeight="1">
      <c r="A247" s="501"/>
      <c r="B247" s="688"/>
      <c r="C247" s="688"/>
      <c r="D247" s="688"/>
      <c r="E247" s="686"/>
      <c r="F247" s="456"/>
      <c r="G247" s="456"/>
      <c r="H247" s="56"/>
      <c r="I247" s="56"/>
    </row>
    <row r="248" spans="1:9">
      <c r="A248" s="501"/>
      <c r="B248" s="688"/>
      <c r="C248" s="688"/>
      <c r="D248" s="688"/>
      <c r="E248" s="686"/>
      <c r="F248" s="456"/>
      <c r="G248" s="456"/>
      <c r="H248" s="56"/>
      <c r="I248" s="56"/>
    </row>
    <row r="249" spans="1:9">
      <c r="A249" s="501"/>
      <c r="B249" s="688"/>
      <c r="C249" s="688"/>
      <c r="D249" s="688"/>
      <c r="E249" s="686"/>
      <c r="F249" s="456"/>
      <c r="G249" s="456"/>
      <c r="H249" s="56"/>
      <c r="I249" s="56"/>
    </row>
    <row r="250" spans="1:9">
      <c r="A250" s="501"/>
      <c r="B250" s="688"/>
      <c r="C250" s="688"/>
      <c r="D250" s="688"/>
      <c r="E250" s="686"/>
      <c r="F250" s="456"/>
      <c r="G250" s="456"/>
      <c r="H250" s="56"/>
      <c r="I250" s="56"/>
    </row>
    <row r="251" spans="1:9">
      <c r="A251" s="501"/>
      <c r="B251" s="688"/>
      <c r="C251" s="688"/>
      <c r="D251" s="688"/>
      <c r="E251" s="686"/>
      <c r="F251" s="456"/>
      <c r="G251" s="456"/>
      <c r="H251" s="56"/>
      <c r="I251" s="56"/>
    </row>
    <row r="252" spans="1:9">
      <c r="A252" s="501"/>
      <c r="B252" s="688"/>
      <c r="C252" s="688"/>
      <c r="D252" s="688"/>
      <c r="E252" s="686"/>
      <c r="F252" s="456"/>
      <c r="G252" s="456"/>
      <c r="H252" s="56"/>
      <c r="I252" s="56"/>
    </row>
    <row r="253" spans="1:9">
      <c r="A253" s="501"/>
      <c r="B253" s="688"/>
      <c r="C253" s="688"/>
      <c r="D253" s="688"/>
      <c r="E253" s="686"/>
      <c r="F253" s="456"/>
      <c r="G253" s="456"/>
      <c r="H253" s="56"/>
      <c r="I253" s="56"/>
    </row>
    <row r="254" spans="1:9">
      <c r="A254" s="501"/>
      <c r="B254" s="688"/>
      <c r="C254" s="688"/>
      <c r="D254" s="688"/>
      <c r="E254" s="686"/>
      <c r="F254" s="456"/>
      <c r="G254" s="456"/>
      <c r="H254" s="56"/>
      <c r="I254" s="56"/>
    </row>
    <row r="255" spans="1:9">
      <c r="A255" s="501"/>
      <c r="B255" s="688"/>
      <c r="C255" s="688"/>
      <c r="D255" s="688"/>
      <c r="E255" s="686"/>
      <c r="F255" s="456"/>
      <c r="G255" s="456"/>
      <c r="H255" s="56"/>
      <c r="I255" s="56"/>
    </row>
    <row r="256" spans="1:9">
      <c r="A256" s="501"/>
      <c r="B256" s="688"/>
      <c r="C256" s="688"/>
      <c r="D256" s="688"/>
      <c r="E256" s="686"/>
      <c r="F256" s="456"/>
      <c r="G256" s="456"/>
      <c r="H256" s="56"/>
      <c r="I256" s="56"/>
    </row>
    <row r="257" spans="1:9">
      <c r="A257" s="501"/>
      <c r="B257" s="688"/>
      <c r="C257" s="688"/>
      <c r="D257" s="688"/>
      <c r="E257" s="686"/>
      <c r="F257" s="456"/>
      <c r="G257" s="456"/>
      <c r="H257" s="56"/>
      <c r="I257" s="56"/>
    </row>
    <row r="258" spans="1:9">
      <c r="A258" s="501"/>
      <c r="B258" s="688"/>
      <c r="C258" s="688"/>
      <c r="D258" s="688"/>
      <c r="E258" s="686"/>
      <c r="F258" s="456"/>
      <c r="G258" s="456"/>
      <c r="H258" s="56"/>
      <c r="I258" s="56"/>
    </row>
    <row r="259" spans="1:9" ht="12.75" customHeight="1">
      <c r="A259" s="501"/>
      <c r="B259" s="688"/>
      <c r="C259" s="688"/>
      <c r="D259" s="688"/>
      <c r="E259" s="686"/>
      <c r="F259" s="456"/>
      <c r="G259" s="456"/>
      <c r="H259" s="687"/>
      <c r="I259" s="56"/>
    </row>
    <row r="260" spans="1:9">
      <c r="A260" s="501"/>
      <c r="B260" s="688"/>
      <c r="C260" s="688"/>
      <c r="D260" s="688"/>
      <c r="E260" s="686"/>
      <c r="F260" s="456"/>
      <c r="G260" s="456"/>
      <c r="H260" s="56"/>
      <c r="I260" s="56"/>
    </row>
    <row r="261" spans="1:9">
      <c r="A261" s="501"/>
      <c r="B261" s="688"/>
      <c r="C261" s="688"/>
      <c r="D261" s="688"/>
      <c r="E261" s="686"/>
      <c r="F261" s="456"/>
      <c r="G261" s="456"/>
      <c r="H261" s="56"/>
      <c r="I261" s="56"/>
    </row>
    <row r="262" spans="1:9">
      <c r="A262" s="501"/>
      <c r="B262" s="688"/>
      <c r="C262" s="688"/>
      <c r="D262" s="688"/>
      <c r="E262" s="686"/>
      <c r="F262" s="456"/>
      <c r="G262" s="456"/>
      <c r="H262" s="56"/>
      <c r="I262" s="56"/>
    </row>
    <row r="263" spans="1:9">
      <c r="A263" s="501"/>
      <c r="B263" s="688"/>
      <c r="C263" s="688"/>
      <c r="D263" s="688"/>
      <c r="E263" s="686"/>
      <c r="F263" s="456"/>
      <c r="G263" s="456"/>
      <c r="H263" s="56"/>
      <c r="I263" s="56"/>
    </row>
    <row r="264" spans="1:9">
      <c r="A264" s="501"/>
      <c r="B264" s="688"/>
      <c r="C264" s="688"/>
      <c r="D264" s="688"/>
      <c r="E264" s="686"/>
      <c r="F264" s="456"/>
      <c r="G264" s="456"/>
      <c r="H264" s="56"/>
      <c r="I264" s="56"/>
    </row>
    <row r="265" spans="1:9">
      <c r="A265" s="501"/>
      <c r="B265" s="688"/>
      <c r="C265" s="688"/>
      <c r="D265" s="688"/>
      <c r="E265" s="686"/>
      <c r="F265" s="456"/>
      <c r="G265" s="456"/>
      <c r="H265" s="56"/>
      <c r="I265" s="56"/>
    </row>
    <row r="266" spans="1:9">
      <c r="A266" s="501"/>
      <c r="B266" s="688"/>
      <c r="C266" s="688"/>
      <c r="D266" s="688"/>
      <c r="E266" s="686"/>
      <c r="F266" s="456"/>
      <c r="G266" s="456"/>
      <c r="H266" s="56"/>
      <c r="I266" s="56"/>
    </row>
    <row r="267" spans="1:9">
      <c r="A267" s="501"/>
      <c r="B267" s="688"/>
      <c r="C267" s="688"/>
      <c r="D267" s="688"/>
      <c r="E267" s="686"/>
      <c r="F267" s="456"/>
      <c r="G267" s="456"/>
      <c r="H267" s="56"/>
      <c r="I267" s="56"/>
    </row>
    <row r="268" spans="1:9">
      <c r="A268" s="501"/>
      <c r="B268" s="688"/>
      <c r="C268" s="688"/>
      <c r="D268" s="688"/>
      <c r="E268" s="686"/>
      <c r="F268" s="456"/>
      <c r="G268" s="456"/>
      <c r="H268" s="56"/>
      <c r="I268" s="56"/>
    </row>
    <row r="269" spans="1:9">
      <c r="A269" s="501"/>
      <c r="B269" s="688"/>
      <c r="C269" s="688"/>
      <c r="D269" s="688"/>
      <c r="E269" s="686"/>
      <c r="F269" s="456"/>
      <c r="G269" s="456"/>
      <c r="H269" s="56"/>
      <c r="I269" s="56"/>
    </row>
    <row r="270" spans="1:9">
      <c r="A270" s="501"/>
      <c r="B270" s="688"/>
      <c r="C270" s="688"/>
      <c r="D270" s="688"/>
      <c r="E270" s="686"/>
      <c r="F270" s="456"/>
      <c r="G270" s="456"/>
      <c r="H270" s="56"/>
      <c r="I270" s="56"/>
    </row>
    <row r="271" spans="1:9" ht="12.75" customHeight="1">
      <c r="A271" s="501"/>
      <c r="B271" s="688"/>
      <c r="C271" s="688"/>
      <c r="D271" s="688"/>
      <c r="E271" s="686"/>
      <c r="F271" s="456"/>
      <c r="G271" s="456"/>
      <c r="H271" s="56"/>
      <c r="I271" s="56"/>
    </row>
    <row r="272" spans="1:9">
      <c r="A272" s="501"/>
      <c r="B272" s="688"/>
      <c r="C272" s="688"/>
      <c r="D272" s="688"/>
      <c r="E272" s="686"/>
      <c r="F272" s="456"/>
      <c r="G272" s="456"/>
      <c r="H272" s="56"/>
      <c r="I272" s="56"/>
    </row>
    <row r="273" spans="1:9">
      <c r="A273" s="501"/>
      <c r="B273" s="688"/>
      <c r="C273" s="688"/>
      <c r="D273" s="688"/>
      <c r="E273" s="686"/>
      <c r="F273" s="456"/>
      <c r="G273" s="456"/>
      <c r="H273" s="56"/>
      <c r="I273" s="56"/>
    </row>
    <row r="274" spans="1:9">
      <c r="A274" s="501"/>
      <c r="B274" s="688"/>
      <c r="C274" s="688"/>
      <c r="D274" s="688"/>
      <c r="E274" s="686"/>
      <c r="F274" s="456"/>
      <c r="G274" s="456"/>
      <c r="H274" s="56"/>
      <c r="I274" s="56"/>
    </row>
    <row r="275" spans="1:9">
      <c r="A275" s="501"/>
      <c r="B275" s="688"/>
      <c r="C275" s="688"/>
      <c r="D275" s="688"/>
      <c r="E275" s="686"/>
      <c r="F275" s="456"/>
      <c r="G275" s="456"/>
      <c r="H275" s="56"/>
      <c r="I275" s="56"/>
    </row>
    <row r="276" spans="1:9">
      <c r="A276" s="501"/>
      <c r="B276" s="688"/>
      <c r="C276" s="688"/>
      <c r="D276" s="688"/>
      <c r="E276" s="686"/>
      <c r="F276" s="456"/>
      <c r="G276" s="456"/>
      <c r="H276" s="56"/>
      <c r="I276" s="56"/>
    </row>
    <row r="277" spans="1:9">
      <c r="A277" s="501"/>
      <c r="B277" s="688"/>
      <c r="C277" s="688"/>
      <c r="D277" s="688"/>
      <c r="E277" s="686"/>
      <c r="F277" s="456"/>
      <c r="G277" s="456"/>
      <c r="H277" s="56"/>
      <c r="I277" s="56"/>
    </row>
    <row r="278" spans="1:9">
      <c r="A278" s="501"/>
      <c r="B278" s="688"/>
      <c r="C278" s="688"/>
      <c r="D278" s="688"/>
      <c r="E278" s="686"/>
      <c r="F278" s="456"/>
      <c r="G278" s="456"/>
      <c r="H278" s="56"/>
      <c r="I278" s="56"/>
    </row>
    <row r="279" spans="1:9">
      <c r="A279" s="501"/>
      <c r="B279" s="688"/>
      <c r="C279" s="688"/>
      <c r="D279" s="688"/>
      <c r="E279" s="686"/>
      <c r="F279" s="456"/>
      <c r="G279" s="456"/>
      <c r="H279" s="56"/>
      <c r="I279" s="56"/>
    </row>
    <row r="280" spans="1:9">
      <c r="A280" s="501"/>
      <c r="B280" s="688"/>
      <c r="C280" s="688"/>
      <c r="D280" s="688"/>
      <c r="E280" s="686"/>
      <c r="F280" s="456"/>
      <c r="G280" s="456"/>
      <c r="H280" s="56"/>
      <c r="I280" s="56"/>
    </row>
    <row r="281" spans="1:9">
      <c r="A281" s="501"/>
      <c r="B281" s="688"/>
      <c r="C281" s="688"/>
      <c r="D281" s="688"/>
      <c r="E281" s="686"/>
      <c r="F281" s="456"/>
      <c r="G281" s="456"/>
      <c r="H281" s="56"/>
      <c r="I281" s="56"/>
    </row>
    <row r="282" spans="1:9">
      <c r="A282" s="501"/>
      <c r="B282" s="688"/>
      <c r="C282" s="688"/>
      <c r="D282" s="688"/>
      <c r="E282" s="686"/>
      <c r="F282" s="456"/>
      <c r="G282" s="456"/>
      <c r="H282" s="56"/>
      <c r="I282" s="56"/>
    </row>
    <row r="283" spans="1:9" ht="12.75" customHeight="1">
      <c r="A283" s="501"/>
      <c r="B283" s="688"/>
      <c r="C283" s="688"/>
      <c r="D283" s="688"/>
      <c r="E283" s="686"/>
      <c r="F283" s="456"/>
      <c r="G283" s="456"/>
      <c r="H283" s="56"/>
      <c r="I283" s="56"/>
    </row>
    <row r="284" spans="1:9">
      <c r="A284" s="501"/>
      <c r="B284" s="688"/>
      <c r="C284" s="688"/>
      <c r="D284" s="688"/>
      <c r="E284" s="686"/>
      <c r="F284" s="456"/>
      <c r="G284" s="456"/>
      <c r="H284" s="56"/>
      <c r="I284" s="56"/>
    </row>
    <row r="285" spans="1:9">
      <c r="A285" s="501"/>
      <c r="B285" s="688"/>
      <c r="C285" s="688"/>
      <c r="D285" s="688"/>
      <c r="E285" s="686"/>
      <c r="F285" s="456"/>
      <c r="G285" s="456"/>
      <c r="H285" s="56"/>
      <c r="I285" s="56"/>
    </row>
    <row r="286" spans="1:9">
      <c r="A286" s="501"/>
      <c r="B286" s="688"/>
      <c r="C286" s="688"/>
      <c r="D286" s="688"/>
      <c r="E286" s="686"/>
      <c r="F286" s="456"/>
      <c r="G286" s="456"/>
      <c r="H286" s="56"/>
      <c r="I286" s="56"/>
    </row>
    <row r="287" spans="1:9">
      <c r="A287" s="501"/>
      <c r="B287" s="688"/>
      <c r="C287" s="688"/>
      <c r="D287" s="688"/>
      <c r="E287" s="686"/>
      <c r="F287" s="456"/>
      <c r="G287" s="456"/>
      <c r="H287" s="56"/>
      <c r="I287" s="56"/>
    </row>
    <row r="288" spans="1:9">
      <c r="A288" s="501"/>
      <c r="B288" s="688"/>
      <c r="C288" s="688"/>
      <c r="D288" s="688"/>
      <c r="E288" s="686"/>
      <c r="F288" s="456"/>
      <c r="G288" s="456"/>
      <c r="H288" s="56"/>
      <c r="I288" s="56"/>
    </row>
    <row r="289" spans="1:9">
      <c r="A289" s="501"/>
      <c r="B289" s="688"/>
      <c r="C289" s="688"/>
      <c r="D289" s="688"/>
      <c r="E289" s="686"/>
      <c r="F289" s="456"/>
      <c r="G289" s="456"/>
      <c r="H289" s="56"/>
      <c r="I289" s="56"/>
    </row>
    <row r="290" spans="1:9">
      <c r="A290" s="501"/>
      <c r="B290" s="688"/>
      <c r="C290" s="688"/>
      <c r="D290" s="688"/>
      <c r="E290" s="686"/>
      <c r="F290" s="456"/>
      <c r="G290" s="456"/>
      <c r="H290" s="56"/>
      <c r="I290" s="56"/>
    </row>
    <row r="291" spans="1:9">
      <c r="A291" s="501"/>
      <c r="B291" s="688"/>
      <c r="C291" s="688"/>
      <c r="D291" s="688"/>
      <c r="E291" s="686"/>
      <c r="F291" s="456"/>
      <c r="G291" s="456"/>
      <c r="H291" s="56"/>
      <c r="I291" s="56"/>
    </row>
    <row r="292" spans="1:9">
      <c r="A292" s="501"/>
      <c r="B292" s="688"/>
      <c r="C292" s="688"/>
      <c r="D292" s="688"/>
      <c r="E292" s="686"/>
      <c r="F292" s="456"/>
      <c r="G292" s="456"/>
      <c r="H292" s="56"/>
      <c r="I292" s="56"/>
    </row>
    <row r="293" spans="1:9">
      <c r="A293" s="501"/>
      <c r="B293" s="688"/>
      <c r="C293" s="688"/>
      <c r="D293" s="688"/>
      <c r="E293" s="686"/>
      <c r="F293" s="456"/>
      <c r="G293" s="456"/>
      <c r="H293" s="56"/>
      <c r="I293" s="56"/>
    </row>
    <row r="294" spans="1:9">
      <c r="A294" s="501"/>
      <c r="B294" s="688"/>
      <c r="C294" s="688"/>
      <c r="D294" s="688"/>
      <c r="E294" s="686"/>
      <c r="F294" s="456"/>
      <c r="G294" s="456"/>
      <c r="H294" s="56"/>
      <c r="I294" s="56"/>
    </row>
    <row r="295" spans="1:9" ht="12.75" customHeight="1">
      <c r="A295" s="501"/>
      <c r="B295" s="688"/>
      <c r="C295" s="688"/>
      <c r="D295" s="688"/>
      <c r="E295" s="686"/>
      <c r="F295" s="456"/>
      <c r="G295" s="456"/>
      <c r="H295" s="56"/>
      <c r="I295" s="56"/>
    </row>
    <row r="296" spans="1:9">
      <c r="A296" s="501"/>
      <c r="B296" s="688"/>
      <c r="C296" s="688"/>
      <c r="D296" s="688"/>
      <c r="E296" s="686"/>
      <c r="F296" s="456"/>
      <c r="G296" s="456"/>
      <c r="H296" s="56"/>
      <c r="I296" s="56"/>
    </row>
    <row r="297" spans="1:9">
      <c r="A297" s="501"/>
      <c r="B297" s="688"/>
      <c r="C297" s="688"/>
      <c r="D297" s="688"/>
      <c r="E297" s="686"/>
      <c r="F297" s="456"/>
      <c r="G297" s="456"/>
      <c r="H297" s="56"/>
      <c r="I297" s="56"/>
    </row>
    <row r="298" spans="1:9">
      <c r="A298" s="501"/>
      <c r="B298" s="688"/>
      <c r="C298" s="688"/>
      <c r="D298" s="688"/>
      <c r="E298" s="686"/>
      <c r="F298" s="456"/>
      <c r="G298" s="456"/>
      <c r="H298" s="56"/>
      <c r="I298" s="56"/>
    </row>
    <row r="299" spans="1:9">
      <c r="A299" s="501"/>
      <c r="B299" s="688"/>
      <c r="C299" s="688"/>
      <c r="D299" s="688"/>
      <c r="E299" s="686"/>
      <c r="F299" s="456"/>
      <c r="G299" s="456"/>
      <c r="H299" s="56"/>
      <c r="I299" s="56"/>
    </row>
    <row r="300" spans="1:9">
      <c r="A300" s="501"/>
      <c r="B300" s="688"/>
      <c r="C300" s="688"/>
      <c r="D300" s="688"/>
      <c r="E300" s="686"/>
      <c r="F300" s="456"/>
      <c r="G300" s="456"/>
      <c r="H300" s="56"/>
      <c r="I300" s="56"/>
    </row>
    <row r="301" spans="1:9">
      <c r="A301" s="501"/>
      <c r="B301" s="688"/>
      <c r="C301" s="688"/>
      <c r="D301" s="688"/>
      <c r="E301" s="686"/>
      <c r="F301" s="456"/>
      <c r="G301" s="456"/>
      <c r="H301" s="56"/>
      <c r="I301" s="56"/>
    </row>
    <row r="302" spans="1:9">
      <c r="A302" s="501"/>
      <c r="B302" s="688"/>
      <c r="C302" s="688"/>
      <c r="D302" s="688"/>
      <c r="E302" s="686"/>
      <c r="F302" s="456"/>
      <c r="G302" s="456"/>
      <c r="H302" s="56"/>
      <c r="I302" s="56"/>
    </row>
    <row r="303" spans="1:9">
      <c r="A303" s="501"/>
      <c r="B303" s="688"/>
      <c r="C303" s="688"/>
      <c r="D303" s="688"/>
      <c r="E303" s="686"/>
      <c r="F303" s="456"/>
      <c r="G303" s="456"/>
      <c r="H303" s="56"/>
      <c r="I303" s="56"/>
    </row>
    <row r="304" spans="1:9">
      <c r="A304" s="501"/>
      <c r="B304" s="688"/>
      <c r="C304" s="688"/>
      <c r="D304" s="688"/>
      <c r="E304" s="686"/>
      <c r="F304" s="456"/>
      <c r="G304" s="456"/>
      <c r="H304" s="56"/>
      <c r="I304" s="56"/>
    </row>
    <row r="305" spans="1:9">
      <c r="A305" s="501"/>
      <c r="B305" s="688"/>
      <c r="C305" s="688"/>
      <c r="D305" s="688"/>
      <c r="E305" s="686"/>
      <c r="F305" s="456"/>
      <c r="G305" s="456"/>
      <c r="H305" s="56"/>
      <c r="I305" s="56"/>
    </row>
    <row r="306" spans="1:9">
      <c r="A306" s="501"/>
      <c r="B306" s="688"/>
      <c r="C306" s="688"/>
      <c r="D306" s="688"/>
      <c r="E306" s="686"/>
      <c r="F306" s="456"/>
      <c r="G306" s="456"/>
      <c r="H306" s="56"/>
      <c r="I306" s="56"/>
    </row>
    <row r="307" spans="1:9" ht="12.75" customHeight="1">
      <c r="A307" s="501"/>
      <c r="B307" s="688"/>
      <c r="C307" s="688"/>
      <c r="D307" s="688"/>
      <c r="E307" s="686"/>
      <c r="F307" s="456"/>
      <c r="G307" s="456"/>
      <c r="H307" s="56"/>
      <c r="I307" s="56"/>
    </row>
    <row r="308" spans="1:9">
      <c r="A308" s="501"/>
      <c r="B308" s="688"/>
      <c r="C308" s="688"/>
      <c r="D308" s="688"/>
      <c r="E308" s="686"/>
      <c r="F308" s="456"/>
      <c r="G308" s="456"/>
      <c r="H308" s="56"/>
      <c r="I308" s="56"/>
    </row>
    <row r="309" spans="1:9">
      <c r="A309" s="501"/>
      <c r="B309" s="688"/>
      <c r="C309" s="688"/>
      <c r="D309" s="688"/>
      <c r="E309" s="686"/>
      <c r="F309" s="456"/>
      <c r="G309" s="456"/>
      <c r="H309" s="56"/>
      <c r="I309" s="56"/>
    </row>
    <row r="310" spans="1:9">
      <c r="A310" s="501"/>
      <c r="B310" s="688"/>
      <c r="C310" s="688"/>
      <c r="D310" s="688"/>
      <c r="E310" s="686"/>
      <c r="F310" s="456"/>
      <c r="G310" s="456"/>
      <c r="H310" s="56"/>
      <c r="I310" s="56"/>
    </row>
    <row r="311" spans="1:9">
      <c r="A311" s="501"/>
      <c r="B311" s="688"/>
      <c r="C311" s="688"/>
      <c r="D311" s="688"/>
      <c r="E311" s="686"/>
      <c r="F311" s="456"/>
      <c r="G311" s="456"/>
      <c r="H311" s="56"/>
      <c r="I311" s="56"/>
    </row>
    <row r="312" spans="1:9">
      <c r="A312" s="501"/>
      <c r="B312" s="688"/>
      <c r="C312" s="688"/>
      <c r="D312" s="688"/>
      <c r="E312" s="686"/>
      <c r="F312" s="456"/>
      <c r="G312" s="456"/>
      <c r="H312" s="56"/>
      <c r="I312" s="56"/>
    </row>
    <row r="313" spans="1:9">
      <c r="A313" s="501"/>
      <c r="B313" s="688"/>
      <c r="C313" s="688"/>
      <c r="D313" s="688"/>
      <c r="E313" s="686"/>
      <c r="F313" s="456"/>
      <c r="G313" s="456"/>
      <c r="H313" s="56"/>
      <c r="I313" s="56"/>
    </row>
    <row r="314" spans="1:9">
      <c r="A314" s="501"/>
      <c r="B314" s="688"/>
      <c r="C314" s="688"/>
      <c r="D314" s="688"/>
      <c r="E314" s="686"/>
      <c r="F314" s="456"/>
      <c r="G314" s="456"/>
      <c r="H314" s="56"/>
      <c r="I314" s="56"/>
    </row>
    <row r="315" spans="1:9">
      <c r="A315" s="688"/>
      <c r="B315" s="688"/>
      <c r="C315" s="688"/>
      <c r="D315" s="688"/>
      <c r="E315" s="686"/>
      <c r="F315" s="456"/>
      <c r="G315" s="456"/>
      <c r="H315" s="56"/>
      <c r="I315" s="56"/>
    </row>
    <row r="316" spans="1:9">
      <c r="A316" s="688"/>
      <c r="B316" s="688"/>
      <c r="C316" s="688"/>
      <c r="D316" s="688"/>
      <c r="E316" s="686"/>
      <c r="F316" s="456"/>
      <c r="G316" s="456"/>
      <c r="H316" s="56"/>
      <c r="I316" s="56"/>
    </row>
    <row r="317" spans="1:9">
      <c r="A317" s="688"/>
      <c r="B317" s="688"/>
      <c r="C317" s="688"/>
      <c r="D317" s="688"/>
      <c r="E317" s="686"/>
      <c r="F317" s="456"/>
      <c r="G317" s="456"/>
      <c r="H317" s="56"/>
      <c r="I317" s="56"/>
    </row>
    <row r="318" spans="1:9">
      <c r="A318" s="688"/>
      <c r="B318" s="688"/>
      <c r="C318" s="688"/>
      <c r="D318" s="688"/>
      <c r="E318" s="686"/>
      <c r="F318" s="456"/>
      <c r="G318" s="456"/>
      <c r="H318" s="56"/>
      <c r="I318" s="56"/>
    </row>
    <row r="319" spans="1:9" ht="12.75" customHeight="1">
      <c r="A319" s="688"/>
      <c r="B319" s="688"/>
      <c r="C319" s="688"/>
      <c r="D319" s="688"/>
      <c r="E319" s="686"/>
      <c r="F319" s="456"/>
      <c r="G319" s="456"/>
      <c r="H319" s="56"/>
      <c r="I319" s="56"/>
    </row>
    <row r="320" spans="1:9">
      <c r="A320" s="688"/>
      <c r="B320" s="688"/>
      <c r="C320" s="688"/>
      <c r="D320" s="688"/>
      <c r="E320" s="686"/>
      <c r="F320" s="456"/>
      <c r="G320" s="456"/>
      <c r="H320" s="56"/>
      <c r="I320" s="56"/>
    </row>
    <row r="321" spans="1:2">
      <c r="A321" s="688"/>
      <c r="B321" s="688"/>
    </row>
    <row r="322" spans="1:2">
      <c r="A322" s="688"/>
      <c r="B322" s="688"/>
    </row>
    <row r="323" spans="1:2">
      <c r="A323" s="688"/>
      <c r="B323" s="688"/>
    </row>
    <row r="324" spans="1:2">
      <c r="A324" s="688"/>
      <c r="B324" s="688"/>
    </row>
    <row r="325" spans="1:2">
      <c r="A325" s="688"/>
      <c r="B325" s="688"/>
    </row>
    <row r="326" spans="1:2">
      <c r="A326" s="688"/>
      <c r="B326" s="688"/>
    </row>
    <row r="327" spans="1:2">
      <c r="A327" s="688"/>
      <c r="B327" s="688"/>
    </row>
    <row r="328" spans="1:2">
      <c r="A328" s="688"/>
      <c r="B328" s="688"/>
    </row>
    <row r="329" spans="1:2">
      <c r="A329" s="688"/>
      <c r="B329" s="688"/>
    </row>
    <row r="330" spans="1:2">
      <c r="A330" s="688"/>
      <c r="B330" s="688"/>
    </row>
    <row r="331" spans="1:2" ht="12.75" customHeight="1">
      <c r="A331" s="688"/>
      <c r="B331" s="688"/>
    </row>
    <row r="332" spans="1:2">
      <c r="A332" s="688"/>
      <c r="B332" s="688"/>
    </row>
    <row r="333" spans="1:2">
      <c r="A333" s="688"/>
      <c r="B333" s="688"/>
    </row>
    <row r="334" spans="1:2">
      <c r="A334" s="688"/>
      <c r="B334" s="688"/>
    </row>
    <row r="335" spans="1:2">
      <c r="A335" s="688"/>
      <c r="B335" s="688"/>
    </row>
    <row r="336" spans="1:2">
      <c r="A336" s="688"/>
      <c r="B336" s="688"/>
    </row>
    <row r="337" spans="1:2">
      <c r="A337" s="688"/>
      <c r="B337" s="688"/>
    </row>
    <row r="338" spans="1:2">
      <c r="A338" s="688"/>
      <c r="B338" s="688"/>
    </row>
    <row r="339" spans="1:2">
      <c r="A339" s="688"/>
      <c r="B339" s="688"/>
    </row>
    <row r="340" spans="1:2">
      <c r="A340" s="688"/>
      <c r="B340" s="688"/>
    </row>
    <row r="341" spans="1:2">
      <c r="A341" s="688"/>
      <c r="B341" s="688"/>
    </row>
    <row r="342" spans="1:2">
      <c r="A342" s="688"/>
      <c r="B342" s="688"/>
    </row>
    <row r="343" spans="1:2" ht="12.75" customHeight="1">
      <c r="A343" s="688"/>
      <c r="B343" s="688"/>
    </row>
    <row r="344" spans="1:2">
      <c r="A344" s="688"/>
      <c r="B344" s="688"/>
    </row>
    <row r="345" spans="1:2">
      <c r="A345" s="688"/>
      <c r="B345" s="688"/>
    </row>
    <row r="346" spans="1:2">
      <c r="A346" s="688"/>
      <c r="B346" s="688"/>
    </row>
    <row r="347" spans="1:2">
      <c r="A347" s="688"/>
      <c r="B347" s="688"/>
    </row>
    <row r="348" spans="1:2">
      <c r="A348" s="688"/>
      <c r="B348" s="688"/>
    </row>
    <row r="349" spans="1:2">
      <c r="A349" s="688"/>
      <c r="B349" s="688"/>
    </row>
    <row r="350" spans="1:2">
      <c r="A350" s="688"/>
      <c r="B350" s="688"/>
    </row>
    <row r="351" spans="1:2">
      <c r="A351" s="688"/>
      <c r="B351" s="688"/>
    </row>
    <row r="352" spans="1:2">
      <c r="A352" s="688"/>
      <c r="B352" s="688"/>
    </row>
    <row r="353" spans="1:2">
      <c r="A353" s="688"/>
      <c r="B353" s="688"/>
    </row>
    <row r="354" spans="1:2">
      <c r="A354" s="688"/>
      <c r="B354" s="688"/>
    </row>
    <row r="355" spans="1:2" ht="12.75" customHeight="1">
      <c r="A355" s="688"/>
    </row>
    <row r="356" spans="1:2">
      <c r="A356" s="688"/>
    </row>
    <row r="357" spans="1:2">
      <c r="A357" s="688"/>
    </row>
    <row r="358" spans="1:2">
      <c r="A358" s="688"/>
    </row>
    <row r="359" spans="1:2">
      <c r="A359" s="688"/>
    </row>
    <row r="360" spans="1:2">
      <c r="A360" s="688"/>
    </row>
    <row r="361" spans="1:2">
      <c r="A361" s="688"/>
    </row>
    <row r="362" spans="1:2">
      <c r="A362" s="688"/>
    </row>
    <row r="363" spans="1:2">
      <c r="A363" s="688"/>
    </row>
  </sheetData>
  <sheetCalcPr fullCalcOnLoad="1"/>
  <pageMargins left="0.75" right="0.75" top="0.48" bottom="0.26" header="0.5" footer="0.28999999999999998"/>
  <pageSetup paperSize="5" scale="85" orientation="portrait" horizontalDpi="300" r:id="rId1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D519"/>
  <sheetViews>
    <sheetView topLeftCell="A6" zoomScale="75" zoomScaleNormal="75" workbookViewId="0">
      <selection activeCell="I37" sqref="I37"/>
    </sheetView>
  </sheetViews>
  <sheetFormatPr defaultRowHeight="12.75"/>
  <cols>
    <col min="1" max="1" width="25.42578125" customWidth="1"/>
    <col min="3" max="3" width="3.5703125" customWidth="1"/>
    <col min="4" max="4" width="11" bestFit="1" customWidth="1"/>
    <col min="5" max="5" width="12.7109375" customWidth="1"/>
    <col min="6" max="7" width="9.28515625" customWidth="1"/>
    <col min="8" max="8" width="11.140625" customWidth="1"/>
    <col min="9" max="9" width="9.28515625" customWidth="1"/>
    <col min="10" max="10" width="10.5703125" customWidth="1"/>
    <col min="11" max="29" width="9.28515625" customWidth="1"/>
    <col min="30" max="30" width="11.140625" customWidth="1"/>
    <col min="31" max="35" width="11" customWidth="1"/>
    <col min="40" max="40" width="11.42578125" bestFit="1" customWidth="1"/>
  </cols>
  <sheetData>
    <row r="1" spans="1:32" ht="20.25">
      <c r="A1" s="229" t="s">
        <v>213</v>
      </c>
    </row>
    <row r="2" spans="1:32" ht="20.25">
      <c r="A2" s="229"/>
    </row>
    <row r="3" spans="1:32" ht="20.25">
      <c r="A3" s="229"/>
    </row>
    <row r="4" spans="1:32">
      <c r="A4" s="1" t="s">
        <v>371</v>
      </c>
      <c r="B4" s="228"/>
      <c r="C4" s="230"/>
      <c r="D4" s="403">
        <f>Assumptions!E48</f>
        <v>10</v>
      </c>
      <c r="F4" t="s">
        <v>386</v>
      </c>
      <c r="K4" s="20">
        <v>0.1</v>
      </c>
    </row>
    <row r="5" spans="1:32">
      <c r="A5" s="1" t="s">
        <v>385</v>
      </c>
      <c r="B5" s="228"/>
      <c r="C5" s="230"/>
      <c r="D5" s="403" t="str">
        <f>Assumptions!E50</f>
        <v>NO</v>
      </c>
      <c r="F5" s="1" t="s">
        <v>373</v>
      </c>
      <c r="K5">
        <v>3</v>
      </c>
    </row>
    <row r="6" spans="1:32">
      <c r="A6" s="1"/>
      <c r="B6" s="228"/>
      <c r="C6" s="230"/>
      <c r="D6" s="36"/>
    </row>
    <row r="7" spans="1:32">
      <c r="A7" s="1"/>
      <c r="B7" s="228"/>
      <c r="C7" s="230"/>
      <c r="D7" s="24"/>
    </row>
    <row r="8" spans="1:32">
      <c r="B8" s="228"/>
      <c r="C8" s="230"/>
      <c r="D8" s="403"/>
    </row>
    <row r="9" spans="1:32">
      <c r="A9" s="179" t="s">
        <v>157</v>
      </c>
      <c r="B9" s="179"/>
      <c r="C9" s="179"/>
      <c r="D9" s="232">
        <f>Assumptions!E30</f>
        <v>6.8822187428301346E-2</v>
      </c>
    </row>
    <row r="10" spans="1:32">
      <c r="A10" s="1" t="s">
        <v>374</v>
      </c>
      <c r="B10" s="228"/>
      <c r="C10" s="230"/>
      <c r="D10" s="24">
        <f>Assumptions!E34</f>
        <v>0.32477808497204419</v>
      </c>
      <c r="H10" s="340"/>
      <c r="I10" s="340"/>
      <c r="J10" s="340"/>
      <c r="K10" s="340"/>
      <c r="L10" s="340"/>
      <c r="M10" s="340"/>
      <c r="N10" s="20"/>
    </row>
    <row r="11" spans="1:32">
      <c r="A11" s="7" t="s">
        <v>375</v>
      </c>
      <c r="B11" s="412"/>
      <c r="C11" s="268"/>
      <c r="D11" s="514">
        <f>Assumptions!E33</f>
        <v>0.67522191502795581</v>
      </c>
      <c r="I11" s="17"/>
      <c r="J11" s="17"/>
      <c r="K11" s="17"/>
      <c r="L11" s="17"/>
      <c r="M11" s="17"/>
      <c r="N11" s="17"/>
    </row>
    <row r="12" spans="1:32">
      <c r="A12" s="17"/>
      <c r="B12" s="17"/>
      <c r="C12" s="17"/>
      <c r="D12" s="17"/>
      <c r="H12" s="296"/>
      <c r="I12" s="517"/>
      <c r="J12" s="517"/>
      <c r="K12" s="517"/>
      <c r="L12" s="517"/>
      <c r="M12" s="517"/>
      <c r="N12" s="517"/>
    </row>
    <row r="13" spans="1:32">
      <c r="A13" s="17"/>
      <c r="B13" s="412"/>
      <c r="C13" s="268"/>
      <c r="D13" s="17"/>
      <c r="E13" s="6"/>
      <c r="I13" s="17"/>
      <c r="J13" s="17"/>
      <c r="K13" s="17"/>
      <c r="L13" s="17"/>
      <c r="M13" s="17"/>
      <c r="N13" s="17"/>
      <c r="O13" s="6"/>
    </row>
    <row r="14" spans="1:32">
      <c r="A14" s="17"/>
      <c r="B14" s="412" t="s">
        <v>18</v>
      </c>
      <c r="C14" s="268"/>
      <c r="D14" s="268">
        <f>(Assumptions!E4+Assumptions!E5+Assumptions!E6+Assumptions!E7+Assumptions!E8)*Assumptions!E34</f>
        <v>58301.563589501595</v>
      </c>
      <c r="E14" s="9"/>
      <c r="F14" s="179"/>
      <c r="G14" s="179"/>
      <c r="H14" s="179"/>
      <c r="I14" s="515"/>
      <c r="J14" s="515"/>
      <c r="K14" s="515"/>
      <c r="L14" s="515"/>
      <c r="M14" s="515"/>
      <c r="N14" s="518"/>
      <c r="O14" s="9"/>
      <c r="AF14" s="231"/>
    </row>
    <row r="15" spans="1:32">
      <c r="A15" s="17"/>
      <c r="B15" s="25" t="s">
        <v>19</v>
      </c>
      <c r="C15" s="171"/>
      <c r="D15" s="268">
        <f>(Assumptions!E4+Assumptions!E5+Assumptions!E6+Assumptions!E7+Assumptions!E8)*Assumptions!E33</f>
        <v>121210.4364104984</v>
      </c>
      <c r="E15" s="6"/>
      <c r="F15" s="9"/>
      <c r="G15" s="9"/>
      <c r="H15" s="9"/>
      <c r="I15" s="25"/>
      <c r="J15" s="25"/>
      <c r="K15" s="25"/>
      <c r="L15" s="25"/>
      <c r="M15" s="25"/>
      <c r="N15" s="25"/>
      <c r="O15" s="6"/>
    </row>
    <row r="16" spans="1:32">
      <c r="A16" s="17"/>
      <c r="B16" s="25" t="s">
        <v>80</v>
      </c>
      <c r="C16" s="171"/>
      <c r="D16" s="268">
        <f>SUM(D14:D15)</f>
        <v>179512</v>
      </c>
      <c r="E16" s="230"/>
      <c r="F16" s="9"/>
      <c r="G16" s="9"/>
      <c r="H16" s="9"/>
      <c r="I16" s="25"/>
      <c r="J16" s="25"/>
      <c r="K16" s="25"/>
      <c r="L16" s="25"/>
      <c r="M16" s="25"/>
      <c r="N16" s="25"/>
      <c r="O16" s="9"/>
    </row>
    <row r="17" spans="1:56">
      <c r="A17" s="17"/>
      <c r="B17" s="25"/>
      <c r="C17" s="171"/>
      <c r="D17" s="268"/>
      <c r="E17" s="230"/>
      <c r="F17" s="9"/>
      <c r="G17" s="9"/>
      <c r="H17" s="9"/>
      <c r="I17" s="25"/>
      <c r="J17" s="25"/>
      <c r="K17" s="25"/>
      <c r="L17" s="25"/>
      <c r="M17" s="25"/>
      <c r="N17" s="25"/>
      <c r="O17" s="9"/>
      <c r="P17" s="326"/>
      <c r="Q17" s="326"/>
      <c r="R17" s="326"/>
      <c r="S17" s="326"/>
      <c r="T17" s="326"/>
      <c r="U17" s="326"/>
    </row>
    <row r="18" spans="1:56">
      <c r="A18" s="17"/>
      <c r="B18" s="25"/>
      <c r="C18" s="171"/>
      <c r="D18" s="268"/>
      <c r="E18" s="230"/>
      <c r="F18" s="9"/>
      <c r="G18" s="9"/>
      <c r="H18" s="9"/>
      <c r="I18" s="25"/>
      <c r="J18" s="25"/>
      <c r="K18" s="25"/>
      <c r="L18" s="25"/>
      <c r="M18" s="25"/>
      <c r="N18" s="25"/>
      <c r="O18" s="9"/>
      <c r="P18" s="326"/>
      <c r="Q18" s="326"/>
      <c r="R18" s="326"/>
      <c r="S18" s="326"/>
      <c r="T18" s="326"/>
      <c r="U18" s="326"/>
    </row>
    <row r="19" spans="1:56" ht="16.5" customHeight="1">
      <c r="A19" s="17"/>
      <c r="B19" s="25"/>
      <c r="C19" s="171"/>
      <c r="D19" s="554">
        <f t="shared" ref="D19:AA19" si="0">YEAR(D23)</f>
        <v>2000</v>
      </c>
      <c r="E19" s="554">
        <f t="shared" si="0"/>
        <v>2000</v>
      </c>
      <c r="F19" s="554">
        <f t="shared" si="0"/>
        <v>2000</v>
      </c>
      <c r="G19" s="554">
        <f t="shared" si="0"/>
        <v>2000</v>
      </c>
      <c r="H19" s="554">
        <f t="shared" si="0"/>
        <v>2000</v>
      </c>
      <c r="I19" s="554">
        <f t="shared" si="0"/>
        <v>2000</v>
      </c>
      <c r="J19" s="554">
        <f t="shared" si="0"/>
        <v>2000</v>
      </c>
      <c r="K19" s="554">
        <f t="shared" si="0"/>
        <v>2000</v>
      </c>
      <c r="L19" s="554">
        <f t="shared" si="0"/>
        <v>2000</v>
      </c>
      <c r="M19" s="554">
        <f t="shared" si="0"/>
        <v>2000</v>
      </c>
      <c r="N19" s="554">
        <f t="shared" si="0"/>
        <v>2001</v>
      </c>
      <c r="O19" s="554">
        <f t="shared" si="0"/>
        <v>2001</v>
      </c>
      <c r="P19" s="554">
        <f t="shared" si="0"/>
        <v>2001</v>
      </c>
      <c r="Q19" s="554">
        <f t="shared" si="0"/>
        <v>2001</v>
      </c>
      <c r="R19" s="554">
        <f t="shared" si="0"/>
        <v>2001</v>
      </c>
      <c r="S19" s="554">
        <f t="shared" si="0"/>
        <v>2001</v>
      </c>
      <c r="T19" s="554">
        <f t="shared" si="0"/>
        <v>2001</v>
      </c>
      <c r="U19" s="554">
        <f t="shared" si="0"/>
        <v>2001</v>
      </c>
      <c r="V19" s="554">
        <f t="shared" si="0"/>
        <v>2001</v>
      </c>
      <c r="W19" s="554">
        <f t="shared" si="0"/>
        <v>2001</v>
      </c>
      <c r="X19" s="554">
        <f t="shared" si="0"/>
        <v>2001</v>
      </c>
      <c r="Y19" s="554">
        <f t="shared" si="0"/>
        <v>2001</v>
      </c>
      <c r="Z19" s="554">
        <f t="shared" si="0"/>
        <v>2002</v>
      </c>
      <c r="AA19" s="554">
        <f t="shared" si="0"/>
        <v>2002</v>
      </c>
      <c r="AM19" s="214"/>
      <c r="AN19" s="214"/>
      <c r="AO19" s="214"/>
      <c r="AP19" s="214"/>
      <c r="AQ19" s="214"/>
      <c r="AR19" s="214"/>
      <c r="AS19" s="214"/>
      <c r="AT19" s="214"/>
      <c r="AU19" s="214"/>
      <c r="AV19" s="214"/>
      <c r="AW19" s="214"/>
      <c r="AX19" s="214"/>
      <c r="AY19" s="214"/>
      <c r="AZ19" s="214"/>
      <c r="BA19" s="214"/>
      <c r="BB19" s="214"/>
      <c r="BC19" s="214"/>
      <c r="BD19" s="214"/>
    </row>
    <row r="20" spans="1:56">
      <c r="A20" s="505" t="s">
        <v>361</v>
      </c>
      <c r="B20" s="25"/>
      <c r="C20" s="171"/>
      <c r="D20" s="171">
        <v>1</v>
      </c>
      <c r="E20" s="171">
        <f>IF(D20="EOC","EOC",IF(D20+1&lt;=$D$4,D20+1,"EOC"))</f>
        <v>2</v>
      </c>
      <c r="F20" s="171">
        <f t="shared" ref="F20:AA20" si="1">IF(E20="EOC","EOC",IF(E20+1&lt;=$D$4,E20+1,"EOC"))</f>
        <v>3</v>
      </c>
      <c r="G20" s="171">
        <f t="shared" si="1"/>
        <v>4</v>
      </c>
      <c r="H20" s="171">
        <f t="shared" si="1"/>
        <v>5</v>
      </c>
      <c r="I20" s="171">
        <f t="shared" si="1"/>
        <v>6</v>
      </c>
      <c r="J20" s="171">
        <f t="shared" si="1"/>
        <v>7</v>
      </c>
      <c r="K20" s="171">
        <f t="shared" si="1"/>
        <v>8</v>
      </c>
      <c r="L20" s="171">
        <f t="shared" si="1"/>
        <v>9</v>
      </c>
      <c r="M20" s="171">
        <f t="shared" si="1"/>
        <v>10</v>
      </c>
      <c r="N20" s="171" t="str">
        <f t="shared" si="1"/>
        <v>EOC</v>
      </c>
      <c r="O20" s="171" t="str">
        <f t="shared" si="1"/>
        <v>EOC</v>
      </c>
      <c r="P20" s="171" t="str">
        <f t="shared" si="1"/>
        <v>EOC</v>
      </c>
      <c r="Q20" s="171" t="str">
        <f t="shared" si="1"/>
        <v>EOC</v>
      </c>
      <c r="R20" s="171" t="str">
        <f t="shared" si="1"/>
        <v>EOC</v>
      </c>
      <c r="S20" s="171" t="str">
        <f t="shared" si="1"/>
        <v>EOC</v>
      </c>
      <c r="T20" s="171" t="str">
        <f t="shared" si="1"/>
        <v>EOC</v>
      </c>
      <c r="U20" s="171" t="str">
        <f t="shared" si="1"/>
        <v>EOC</v>
      </c>
      <c r="V20" s="171" t="str">
        <f t="shared" si="1"/>
        <v>EOC</v>
      </c>
      <c r="W20" s="171" t="str">
        <f t="shared" si="1"/>
        <v>EOC</v>
      </c>
      <c r="X20" s="171" t="str">
        <f t="shared" si="1"/>
        <v>EOC</v>
      </c>
      <c r="Y20" s="171" t="str">
        <f t="shared" si="1"/>
        <v>EOC</v>
      </c>
      <c r="Z20" s="171" t="str">
        <f t="shared" si="1"/>
        <v>EOC</v>
      </c>
      <c r="AA20" s="553" t="str">
        <f t="shared" si="1"/>
        <v>EOC</v>
      </c>
      <c r="AB20" s="171"/>
      <c r="AC20" s="171"/>
      <c r="AD20" s="171"/>
      <c r="AE20" s="171"/>
      <c r="AF20" s="171"/>
      <c r="AG20" s="171"/>
      <c r="AH20" s="171"/>
      <c r="AI20" s="171"/>
      <c r="AJ20" s="171"/>
      <c r="AK20" s="171"/>
      <c r="AL20" s="171"/>
      <c r="AM20" s="171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4"/>
      <c r="BA20" s="214"/>
      <c r="BB20" s="214"/>
      <c r="BC20" s="214"/>
      <c r="BD20" s="214"/>
    </row>
    <row r="21" spans="1:56" ht="16.5" customHeight="1">
      <c r="A21" s="17"/>
      <c r="B21" s="25"/>
      <c r="C21" s="171"/>
      <c r="D21" s="410"/>
      <c r="E21" s="410"/>
      <c r="F21" s="410"/>
      <c r="G21" s="410"/>
      <c r="H21" s="410"/>
      <c r="I21" s="410"/>
      <c r="J21" s="410"/>
      <c r="K21" s="410"/>
      <c r="L21" s="410"/>
      <c r="M21" s="410"/>
      <c r="N21" s="410"/>
      <c r="O21" s="410"/>
      <c r="P21" s="410"/>
      <c r="Q21" s="410"/>
      <c r="R21" s="410"/>
      <c r="S21" s="410"/>
      <c r="T21" s="410"/>
      <c r="U21" s="410"/>
      <c r="V21" s="410"/>
      <c r="W21" s="410"/>
      <c r="X21" s="410"/>
      <c r="Y21" s="410"/>
      <c r="Z21" s="410"/>
      <c r="AA21" s="410"/>
      <c r="AM21" s="214"/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214"/>
      <c r="AZ21" s="214"/>
      <c r="BA21" s="214"/>
      <c r="BB21" s="214"/>
      <c r="BC21" s="214"/>
      <c r="BD21" s="214"/>
    </row>
    <row r="22" spans="1:56" s="232" customFormat="1" ht="11.25">
      <c r="A22" s="53" t="s">
        <v>213</v>
      </c>
      <c r="B22" s="53"/>
      <c r="C22" s="53"/>
      <c r="D22" s="407">
        <f>Assumptions!E47</f>
        <v>36586</v>
      </c>
      <c r="E22" s="407">
        <f t="shared" ref="E22:AA22" si="2">EDATE(D22,1)</f>
        <v>36617</v>
      </c>
      <c r="F22" s="407">
        <f t="shared" si="2"/>
        <v>36647</v>
      </c>
      <c r="G22" s="407">
        <f t="shared" si="2"/>
        <v>36678</v>
      </c>
      <c r="H22" s="407">
        <f t="shared" si="2"/>
        <v>36708</v>
      </c>
      <c r="I22" s="407">
        <f t="shared" si="2"/>
        <v>36739</v>
      </c>
      <c r="J22" s="407">
        <f t="shared" si="2"/>
        <v>36770</v>
      </c>
      <c r="K22" s="407">
        <f t="shared" si="2"/>
        <v>36800</v>
      </c>
      <c r="L22" s="407">
        <f t="shared" si="2"/>
        <v>36831</v>
      </c>
      <c r="M22" s="407">
        <f t="shared" si="2"/>
        <v>36861</v>
      </c>
      <c r="N22" s="407">
        <f t="shared" si="2"/>
        <v>36892</v>
      </c>
      <c r="O22" s="407">
        <f t="shared" si="2"/>
        <v>36923</v>
      </c>
      <c r="P22" s="407">
        <f t="shared" si="2"/>
        <v>36951</v>
      </c>
      <c r="Q22" s="407">
        <f t="shared" si="2"/>
        <v>36982</v>
      </c>
      <c r="R22" s="407">
        <f t="shared" si="2"/>
        <v>37012</v>
      </c>
      <c r="S22" s="407">
        <f t="shared" si="2"/>
        <v>37043</v>
      </c>
      <c r="T22" s="407">
        <f t="shared" si="2"/>
        <v>37073</v>
      </c>
      <c r="U22" s="407">
        <f t="shared" si="2"/>
        <v>37104</v>
      </c>
      <c r="V22" s="407">
        <f t="shared" si="2"/>
        <v>37135</v>
      </c>
      <c r="W22" s="407">
        <f t="shared" si="2"/>
        <v>37165</v>
      </c>
      <c r="X22" s="407">
        <f t="shared" si="2"/>
        <v>37196</v>
      </c>
      <c r="Y22" s="407">
        <f t="shared" si="2"/>
        <v>37226</v>
      </c>
      <c r="Z22" s="407">
        <f t="shared" si="2"/>
        <v>37257</v>
      </c>
      <c r="AA22" s="407">
        <f t="shared" si="2"/>
        <v>37288</v>
      </c>
      <c r="AB22" s="407"/>
      <c r="AC22" s="407"/>
      <c r="AD22" s="407"/>
      <c r="AE22" s="407"/>
      <c r="AF22" s="407"/>
      <c r="AG22" s="407"/>
      <c r="AH22" s="407"/>
      <c r="AI22" s="407"/>
      <c r="AJ22" s="407"/>
      <c r="AK22" s="407"/>
      <c r="AL22" s="407"/>
      <c r="AM22" s="407"/>
      <c r="AN22" s="407"/>
      <c r="AO22" s="407"/>
    </row>
    <row r="23" spans="1:56" s="232" customFormat="1" ht="11.25">
      <c r="A23" s="53" t="s">
        <v>381</v>
      </c>
      <c r="B23" s="53"/>
      <c r="C23" s="53"/>
      <c r="D23" s="407">
        <f t="shared" ref="D23:AA23" si="3">EOMONTH(D22,0)</f>
        <v>36616</v>
      </c>
      <c r="E23" s="407">
        <f t="shared" si="3"/>
        <v>36646</v>
      </c>
      <c r="F23" s="407">
        <f t="shared" si="3"/>
        <v>36677</v>
      </c>
      <c r="G23" s="407">
        <f t="shared" si="3"/>
        <v>36707</v>
      </c>
      <c r="H23" s="407">
        <f t="shared" si="3"/>
        <v>36738</v>
      </c>
      <c r="I23" s="407">
        <f t="shared" si="3"/>
        <v>36769</v>
      </c>
      <c r="J23" s="407">
        <f t="shared" si="3"/>
        <v>36799</v>
      </c>
      <c r="K23" s="407">
        <f t="shared" si="3"/>
        <v>36830</v>
      </c>
      <c r="L23" s="407">
        <f t="shared" si="3"/>
        <v>36860</v>
      </c>
      <c r="M23" s="407">
        <f t="shared" si="3"/>
        <v>36891</v>
      </c>
      <c r="N23" s="407">
        <f t="shared" si="3"/>
        <v>36922</v>
      </c>
      <c r="O23" s="407">
        <f t="shared" si="3"/>
        <v>36950</v>
      </c>
      <c r="P23" s="407">
        <f t="shared" si="3"/>
        <v>36981</v>
      </c>
      <c r="Q23" s="407">
        <f t="shared" si="3"/>
        <v>37011</v>
      </c>
      <c r="R23" s="407">
        <f t="shared" si="3"/>
        <v>37042</v>
      </c>
      <c r="S23" s="407">
        <f t="shared" si="3"/>
        <v>37072</v>
      </c>
      <c r="T23" s="407">
        <f t="shared" si="3"/>
        <v>37103</v>
      </c>
      <c r="U23" s="407">
        <f t="shared" si="3"/>
        <v>37134</v>
      </c>
      <c r="V23" s="407">
        <f t="shared" si="3"/>
        <v>37164</v>
      </c>
      <c r="W23" s="407">
        <f t="shared" si="3"/>
        <v>37195</v>
      </c>
      <c r="X23" s="407">
        <f t="shared" si="3"/>
        <v>37225</v>
      </c>
      <c r="Y23" s="407">
        <f t="shared" si="3"/>
        <v>37256</v>
      </c>
      <c r="Z23" s="407">
        <f t="shared" si="3"/>
        <v>37287</v>
      </c>
      <c r="AA23" s="407">
        <f t="shared" si="3"/>
        <v>37315</v>
      </c>
      <c r="AB23" s="407"/>
      <c r="AC23" s="407"/>
      <c r="AD23" s="407"/>
      <c r="AE23" s="407"/>
      <c r="AF23" s="407"/>
      <c r="AG23" s="407"/>
      <c r="AH23" s="407"/>
      <c r="AI23" s="407"/>
      <c r="AJ23" s="407"/>
      <c r="AK23" s="407"/>
      <c r="AL23" s="407"/>
      <c r="AM23" s="407"/>
      <c r="AN23" s="407"/>
      <c r="AO23" s="407"/>
    </row>
    <row r="24" spans="1:56" ht="16.5" customHeight="1">
      <c r="A24" s="17"/>
      <c r="B24" s="25"/>
      <c r="C24" s="171"/>
      <c r="D24" s="410"/>
      <c r="E24" s="410"/>
      <c r="F24" s="410"/>
      <c r="G24" s="410"/>
      <c r="H24" s="410"/>
      <c r="I24" s="410"/>
      <c r="J24" s="410"/>
      <c r="K24" s="410"/>
      <c r="L24" s="410"/>
      <c r="M24" s="410"/>
      <c r="N24" s="410"/>
      <c r="O24" s="410"/>
      <c r="P24" s="410"/>
      <c r="Q24" s="410"/>
      <c r="R24" s="410"/>
      <c r="S24" s="410"/>
      <c r="T24" s="410"/>
      <c r="U24" s="410"/>
      <c r="V24" s="410"/>
      <c r="W24" s="410"/>
      <c r="X24" s="410"/>
      <c r="Y24" s="410"/>
      <c r="Z24" s="410"/>
      <c r="AA24" s="410"/>
      <c r="AM24" s="214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4"/>
      <c r="BA24" s="214"/>
      <c r="BB24" s="214"/>
      <c r="BC24" s="214"/>
      <c r="BD24" s="214"/>
    </row>
    <row r="25" spans="1:56">
      <c r="A25" s="513" t="s">
        <v>372</v>
      </c>
      <c r="B25" s="25"/>
      <c r="C25" s="171"/>
      <c r="D25" s="419">
        <v>0.1</v>
      </c>
      <c r="E25" s="417"/>
      <c r="F25" s="417"/>
      <c r="G25" s="417"/>
      <c r="H25" s="417"/>
      <c r="I25" s="417"/>
      <c r="J25" s="417"/>
      <c r="K25" s="417"/>
      <c r="L25" s="417"/>
      <c r="M25" s="417"/>
      <c r="N25" s="417"/>
      <c r="O25" s="417"/>
      <c r="P25" s="417"/>
      <c r="Q25" s="417"/>
      <c r="R25" s="417"/>
      <c r="S25" s="417"/>
      <c r="T25" s="417"/>
      <c r="U25" s="417"/>
      <c r="V25" s="417"/>
      <c r="W25" s="417"/>
      <c r="X25" s="417"/>
      <c r="Y25" s="417"/>
      <c r="Z25" s="417"/>
      <c r="AA25" s="418"/>
      <c r="AB25" s="171"/>
      <c r="AC25" s="171"/>
      <c r="AD25" s="171"/>
      <c r="AE25" s="171"/>
      <c r="AF25" s="171"/>
      <c r="AG25" s="171"/>
      <c r="AH25" s="171"/>
      <c r="AI25" s="171"/>
      <c r="AJ25" s="171"/>
      <c r="AK25" s="171"/>
      <c r="AL25" s="171"/>
      <c r="AM25" s="171"/>
      <c r="AN25" s="214"/>
      <c r="AO25" s="214"/>
      <c r="AP25" s="214"/>
      <c r="AQ25" s="214"/>
      <c r="AR25" s="214"/>
      <c r="AS25" s="214"/>
      <c r="AT25" s="214"/>
      <c r="AU25" s="214"/>
      <c r="AV25" s="214"/>
      <c r="AW25" s="214"/>
      <c r="AX25" s="214"/>
      <c r="AY25" s="214"/>
      <c r="AZ25" s="214"/>
      <c r="BA25" s="214"/>
      <c r="BB25" s="214"/>
      <c r="BC25" s="214"/>
      <c r="BD25" s="214"/>
    </row>
    <row r="26" spans="1:56">
      <c r="A26" s="513" t="s">
        <v>376</v>
      </c>
      <c r="B26" s="25"/>
      <c r="C26" s="171"/>
      <c r="D26" s="404">
        <f t="shared" ref="D26:AA26" si="4">IF(D20&lt;=$D$4,1/$D$4,0)</f>
        <v>0.1</v>
      </c>
      <c r="E26" s="404">
        <f t="shared" si="4"/>
        <v>0.1</v>
      </c>
      <c r="F26" s="404">
        <f t="shared" si="4"/>
        <v>0.1</v>
      </c>
      <c r="G26" s="404">
        <f t="shared" si="4"/>
        <v>0.1</v>
      </c>
      <c r="H26" s="404">
        <f t="shared" si="4"/>
        <v>0.1</v>
      </c>
      <c r="I26" s="404">
        <f t="shared" si="4"/>
        <v>0.1</v>
      </c>
      <c r="J26" s="404">
        <f t="shared" si="4"/>
        <v>0.1</v>
      </c>
      <c r="K26" s="404">
        <f t="shared" si="4"/>
        <v>0.1</v>
      </c>
      <c r="L26" s="404">
        <f t="shared" si="4"/>
        <v>0.1</v>
      </c>
      <c r="M26" s="404">
        <f t="shared" si="4"/>
        <v>0.1</v>
      </c>
      <c r="N26" s="404">
        <f t="shared" si="4"/>
        <v>0</v>
      </c>
      <c r="O26" s="404">
        <f t="shared" si="4"/>
        <v>0</v>
      </c>
      <c r="P26" s="404">
        <f t="shared" si="4"/>
        <v>0</v>
      </c>
      <c r="Q26" s="404">
        <f t="shared" si="4"/>
        <v>0</v>
      </c>
      <c r="R26" s="404">
        <f t="shared" si="4"/>
        <v>0</v>
      </c>
      <c r="S26" s="404">
        <f t="shared" si="4"/>
        <v>0</v>
      </c>
      <c r="T26" s="404">
        <f t="shared" si="4"/>
        <v>0</v>
      </c>
      <c r="U26" s="404">
        <f t="shared" si="4"/>
        <v>0</v>
      </c>
      <c r="V26" s="404">
        <f t="shared" si="4"/>
        <v>0</v>
      </c>
      <c r="W26" s="404">
        <f t="shared" si="4"/>
        <v>0</v>
      </c>
      <c r="X26" s="404">
        <f t="shared" si="4"/>
        <v>0</v>
      </c>
      <c r="Y26" s="404">
        <f t="shared" si="4"/>
        <v>0</v>
      </c>
      <c r="Z26" s="404">
        <f t="shared" si="4"/>
        <v>0</v>
      </c>
      <c r="AA26" s="405">
        <f t="shared" si="4"/>
        <v>0</v>
      </c>
      <c r="AB26" s="171"/>
      <c r="AC26" s="171"/>
      <c r="AD26" s="171"/>
      <c r="AE26" s="171"/>
      <c r="AF26" s="171"/>
      <c r="AG26" s="171"/>
      <c r="AH26" s="171"/>
      <c r="AI26" s="171"/>
      <c r="AJ26" s="171"/>
      <c r="AK26" s="171"/>
      <c r="AL26" s="171"/>
      <c r="AM26" s="171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214"/>
      <c r="AZ26" s="214"/>
      <c r="BA26" s="214"/>
      <c r="BB26" s="214"/>
      <c r="BC26" s="214"/>
      <c r="BD26" s="214"/>
    </row>
    <row r="27" spans="1:56">
      <c r="A27" s="17"/>
      <c r="B27" s="17"/>
      <c r="C27" s="17"/>
      <c r="D27" s="17"/>
      <c r="E27" s="63"/>
      <c r="I27" s="513"/>
      <c r="J27" s="513"/>
      <c r="K27" s="513"/>
      <c r="L27" s="513"/>
      <c r="M27" s="513"/>
      <c r="N27" s="513"/>
      <c r="P27" s="326"/>
      <c r="Q27" s="326"/>
      <c r="R27" s="326"/>
      <c r="S27" s="326"/>
      <c r="T27" s="326"/>
      <c r="U27" s="326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214"/>
      <c r="AX27" s="214"/>
      <c r="AY27" s="214"/>
      <c r="AZ27" s="214"/>
      <c r="BA27" s="214"/>
      <c r="BB27" s="214"/>
      <c r="BC27" s="214"/>
      <c r="BD27" s="214"/>
    </row>
    <row r="28" spans="1:56" ht="13.5" thickBot="1">
      <c r="A28" s="521" t="s">
        <v>379</v>
      </c>
      <c r="B28" s="511"/>
      <c r="C28" s="511"/>
      <c r="D28" s="522">
        <f>IF(Assumptions!$E$50="YES",Construction!D25,Construction!D26)</f>
        <v>0.1</v>
      </c>
      <c r="E28" s="522">
        <f>IF(Assumptions!$E$50="YES",Construction!E25,Construction!E26)</f>
        <v>0.1</v>
      </c>
      <c r="F28" s="522">
        <f>IF(Assumptions!$E$50="YES",Construction!F25,Construction!F26)</f>
        <v>0.1</v>
      </c>
      <c r="G28" s="522">
        <f>IF(Assumptions!$E$50="YES",Construction!G25,Construction!G26)</f>
        <v>0.1</v>
      </c>
      <c r="H28" s="522">
        <f>IF(Assumptions!$E$50="YES",Construction!H25,Construction!H26)</f>
        <v>0.1</v>
      </c>
      <c r="I28" s="522">
        <f>IF(Assumptions!$E$50="YES",Construction!I25,Construction!I26)</f>
        <v>0.1</v>
      </c>
      <c r="J28" s="522">
        <f>IF(Assumptions!$E$50="YES",Construction!J25,Construction!J26)</f>
        <v>0.1</v>
      </c>
      <c r="K28" s="522">
        <f>IF(Assumptions!$E$50="YES",Construction!K25,Construction!K26)</f>
        <v>0.1</v>
      </c>
      <c r="L28" s="522">
        <f>IF(Assumptions!$E$50="YES",Construction!L25,Construction!L26)</f>
        <v>0.1</v>
      </c>
      <c r="M28" s="522">
        <f>IF(Assumptions!$E$50="YES",Construction!M25,Construction!M26)</f>
        <v>0.1</v>
      </c>
      <c r="N28" s="522">
        <f>IF(Assumptions!$E$50="YES",Construction!N25,Construction!N26)</f>
        <v>0</v>
      </c>
      <c r="O28" s="522">
        <f>IF(Assumptions!$E$50="YES",Construction!O25,Construction!O26)</f>
        <v>0</v>
      </c>
      <c r="P28" s="522">
        <f>IF(Assumptions!$E$50="YES",Construction!P25,Construction!P26)</f>
        <v>0</v>
      </c>
      <c r="Q28" s="522">
        <f>IF(Assumptions!$E$50="YES",Construction!Q25,Construction!Q26)</f>
        <v>0</v>
      </c>
      <c r="R28" s="522">
        <f>IF(Assumptions!$E$50="YES",Construction!R25,Construction!R26)</f>
        <v>0</v>
      </c>
      <c r="S28" s="522">
        <f>IF(Assumptions!$E$50="YES",Construction!S25,Construction!S26)</f>
        <v>0</v>
      </c>
      <c r="T28" s="522">
        <f>IF(Assumptions!$E$50="YES",Construction!T25,Construction!T26)</f>
        <v>0</v>
      </c>
      <c r="U28" s="522">
        <f>IF(Assumptions!$E$50="YES",Construction!U25,Construction!U26)</f>
        <v>0</v>
      </c>
      <c r="V28" s="522">
        <f>IF(Assumptions!$E$50="YES",Construction!V25,Construction!V26)</f>
        <v>0</v>
      </c>
      <c r="W28" s="522">
        <f>IF(Assumptions!$E$50="YES",Construction!W25,Construction!W26)</f>
        <v>0</v>
      </c>
      <c r="X28" s="522">
        <f>IF(Assumptions!$E$50="YES",Construction!X25,Construction!X26)</f>
        <v>0</v>
      </c>
      <c r="Y28" s="522">
        <f>IF(Assumptions!$E$50="YES",Construction!Y25,Construction!Y26)</f>
        <v>0</v>
      </c>
      <c r="Z28" s="522">
        <f>IF(Assumptions!$E$50="YES",Construction!Z25,Construction!Z26)</f>
        <v>0</v>
      </c>
      <c r="AA28" s="522">
        <f>IF(Assumptions!$E$50="YES",Construction!AA25,Construction!AA26)</f>
        <v>0</v>
      </c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214"/>
      <c r="AZ28" s="214"/>
      <c r="BA28" s="214"/>
      <c r="BB28" s="214"/>
      <c r="BC28" s="214"/>
      <c r="BD28" s="214"/>
    </row>
    <row r="29" spans="1:56">
      <c r="A29" s="17" t="s">
        <v>380</v>
      </c>
      <c r="B29" s="17"/>
      <c r="C29" s="17"/>
      <c r="D29" s="516">
        <f>D28</f>
        <v>0.1</v>
      </c>
      <c r="E29" s="406">
        <f>D29+E28</f>
        <v>0.2</v>
      </c>
      <c r="F29" s="406">
        <f>E29+F28</f>
        <v>0.30000000000000004</v>
      </c>
      <c r="G29" s="406">
        <f>F29+G28</f>
        <v>0.4</v>
      </c>
      <c r="H29" s="406">
        <f>G29+H28</f>
        <v>0.5</v>
      </c>
      <c r="I29" s="516">
        <f>H29+I28</f>
        <v>0.6</v>
      </c>
      <c r="J29" s="516">
        <f t="shared" ref="J29:AA29" si="5">I29+J28</f>
        <v>0.7</v>
      </c>
      <c r="K29" s="516">
        <f t="shared" si="5"/>
        <v>0.79999999999999993</v>
      </c>
      <c r="L29" s="516">
        <f t="shared" si="5"/>
        <v>0.89999999999999991</v>
      </c>
      <c r="M29" s="516">
        <f t="shared" si="5"/>
        <v>0.99999999999999989</v>
      </c>
      <c r="N29" s="516">
        <f t="shared" si="5"/>
        <v>0.99999999999999989</v>
      </c>
      <c r="O29" s="406">
        <f t="shared" si="5"/>
        <v>0.99999999999999989</v>
      </c>
      <c r="P29" s="406">
        <f t="shared" si="5"/>
        <v>0.99999999999999989</v>
      </c>
      <c r="Q29" s="406">
        <f t="shared" si="5"/>
        <v>0.99999999999999989</v>
      </c>
      <c r="R29" s="406">
        <f t="shared" si="5"/>
        <v>0.99999999999999989</v>
      </c>
      <c r="S29" s="406">
        <f t="shared" si="5"/>
        <v>0.99999999999999989</v>
      </c>
      <c r="T29" s="406">
        <f t="shared" si="5"/>
        <v>0.99999999999999989</v>
      </c>
      <c r="U29" s="406">
        <f t="shared" si="5"/>
        <v>0.99999999999999989</v>
      </c>
      <c r="V29" s="406">
        <f t="shared" si="5"/>
        <v>0.99999999999999989</v>
      </c>
      <c r="W29" s="406">
        <f t="shared" si="5"/>
        <v>0.99999999999999989</v>
      </c>
      <c r="X29" s="406">
        <f t="shared" si="5"/>
        <v>0.99999999999999989</v>
      </c>
      <c r="Y29" s="406">
        <f t="shared" si="5"/>
        <v>0.99999999999999989</v>
      </c>
      <c r="Z29" s="406">
        <f t="shared" si="5"/>
        <v>0.99999999999999989</v>
      </c>
      <c r="AA29" s="406">
        <f t="shared" si="5"/>
        <v>0.99999999999999989</v>
      </c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  <c r="AX29" s="214"/>
      <c r="AY29" s="214"/>
      <c r="AZ29" s="214"/>
      <c r="BA29" s="214"/>
      <c r="BB29" s="214"/>
      <c r="BC29" s="214"/>
      <c r="BD29" s="214"/>
    </row>
    <row r="30" spans="1:56">
      <c r="A30" s="17"/>
      <c r="B30" s="17"/>
      <c r="C30" s="17"/>
      <c r="D30" s="17"/>
      <c r="E30" s="63"/>
      <c r="I30" s="513"/>
      <c r="J30" s="513"/>
      <c r="K30" s="513"/>
      <c r="L30" s="513"/>
      <c r="M30" s="513"/>
      <c r="N30" s="513"/>
      <c r="P30" s="326"/>
      <c r="Q30" s="326"/>
      <c r="R30" s="326"/>
      <c r="S30" s="326"/>
      <c r="T30" s="326"/>
      <c r="U30" s="326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214"/>
      <c r="AZ30" s="214"/>
      <c r="BA30" s="214"/>
      <c r="BB30" s="214"/>
      <c r="BC30" s="214"/>
      <c r="BD30" s="214"/>
    </row>
    <row r="31" spans="1:56">
      <c r="A31" s="17" t="s">
        <v>387</v>
      </c>
      <c r="B31" s="17"/>
      <c r="C31" s="17"/>
      <c r="D31" s="353">
        <f>$D$16*D28</f>
        <v>17951.2</v>
      </c>
      <c r="E31" s="231">
        <f t="shared" ref="E31:AA31" si="6">$D$16*E28</f>
        <v>17951.2</v>
      </c>
      <c r="F31" s="231">
        <f t="shared" si="6"/>
        <v>17951.2</v>
      </c>
      <c r="G31" s="231">
        <f t="shared" si="6"/>
        <v>17951.2</v>
      </c>
      <c r="H31" s="231">
        <f t="shared" si="6"/>
        <v>17951.2</v>
      </c>
      <c r="I31" s="519">
        <f t="shared" si="6"/>
        <v>17951.2</v>
      </c>
      <c r="J31" s="519">
        <f t="shared" si="6"/>
        <v>17951.2</v>
      </c>
      <c r="K31" s="519">
        <f t="shared" si="6"/>
        <v>17951.2</v>
      </c>
      <c r="L31" s="519">
        <f t="shared" si="6"/>
        <v>17951.2</v>
      </c>
      <c r="M31" s="519">
        <f t="shared" si="6"/>
        <v>17951.2</v>
      </c>
      <c r="N31" s="519">
        <f t="shared" si="6"/>
        <v>0</v>
      </c>
      <c r="O31" s="231">
        <f t="shared" si="6"/>
        <v>0</v>
      </c>
      <c r="P31" s="414">
        <f t="shared" si="6"/>
        <v>0</v>
      </c>
      <c r="Q31" s="414">
        <f t="shared" si="6"/>
        <v>0</v>
      </c>
      <c r="R31" s="414">
        <f t="shared" si="6"/>
        <v>0</v>
      </c>
      <c r="S31" s="414">
        <f t="shared" si="6"/>
        <v>0</v>
      </c>
      <c r="T31" s="414">
        <f t="shared" si="6"/>
        <v>0</v>
      </c>
      <c r="U31" s="414">
        <f t="shared" si="6"/>
        <v>0</v>
      </c>
      <c r="V31" s="231">
        <f t="shared" si="6"/>
        <v>0</v>
      </c>
      <c r="W31" s="231">
        <f t="shared" si="6"/>
        <v>0</v>
      </c>
      <c r="X31" s="231">
        <f t="shared" si="6"/>
        <v>0</v>
      </c>
      <c r="Y31" s="231">
        <f t="shared" si="6"/>
        <v>0</v>
      </c>
      <c r="Z31" s="231">
        <f t="shared" si="6"/>
        <v>0</v>
      </c>
      <c r="AA31" s="231">
        <f t="shared" si="6"/>
        <v>0</v>
      </c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214"/>
      <c r="AZ31" s="214"/>
      <c r="BA31" s="214"/>
      <c r="BB31" s="214"/>
      <c r="BC31" s="214"/>
      <c r="BD31" s="214"/>
    </row>
    <row r="32" spans="1:56">
      <c r="A32" s="17" t="s">
        <v>388</v>
      </c>
      <c r="B32" s="17"/>
      <c r="C32" s="17"/>
      <c r="D32" s="353">
        <f>D31</f>
        <v>17951.2</v>
      </c>
      <c r="E32" s="414">
        <f>D32+E31</f>
        <v>35902.400000000001</v>
      </c>
      <c r="F32" s="414">
        <f t="shared" ref="F32:AA32" si="7">E32+F31</f>
        <v>53853.600000000006</v>
      </c>
      <c r="G32" s="414">
        <f t="shared" si="7"/>
        <v>71804.800000000003</v>
      </c>
      <c r="H32" s="414">
        <f t="shared" si="7"/>
        <v>89756</v>
      </c>
      <c r="I32" s="519">
        <f t="shared" si="7"/>
        <v>107707.2</v>
      </c>
      <c r="J32" s="519">
        <f t="shared" si="7"/>
        <v>125658.4</v>
      </c>
      <c r="K32" s="519">
        <f t="shared" si="7"/>
        <v>143609.60000000001</v>
      </c>
      <c r="L32" s="519">
        <f t="shared" si="7"/>
        <v>161560.80000000002</v>
      </c>
      <c r="M32" s="519">
        <f t="shared" si="7"/>
        <v>179512.00000000003</v>
      </c>
      <c r="N32" s="519">
        <f t="shared" si="7"/>
        <v>179512.00000000003</v>
      </c>
      <c r="O32" s="414">
        <f t="shared" si="7"/>
        <v>179512.00000000003</v>
      </c>
      <c r="P32" s="414">
        <f t="shared" si="7"/>
        <v>179512.00000000003</v>
      </c>
      <c r="Q32" s="414">
        <f t="shared" si="7"/>
        <v>179512.00000000003</v>
      </c>
      <c r="R32" s="414">
        <f t="shared" si="7"/>
        <v>179512.00000000003</v>
      </c>
      <c r="S32" s="414">
        <f t="shared" si="7"/>
        <v>179512.00000000003</v>
      </c>
      <c r="T32" s="414">
        <f t="shared" si="7"/>
        <v>179512.00000000003</v>
      </c>
      <c r="U32" s="414">
        <f t="shared" si="7"/>
        <v>179512.00000000003</v>
      </c>
      <c r="V32" s="414">
        <f t="shared" si="7"/>
        <v>179512.00000000003</v>
      </c>
      <c r="W32" s="414">
        <f t="shared" si="7"/>
        <v>179512.00000000003</v>
      </c>
      <c r="X32" s="414">
        <f t="shared" si="7"/>
        <v>179512.00000000003</v>
      </c>
      <c r="Y32" s="414">
        <f t="shared" si="7"/>
        <v>179512.00000000003</v>
      </c>
      <c r="Z32" s="414">
        <f t="shared" si="7"/>
        <v>179512.00000000003</v>
      </c>
      <c r="AA32" s="414">
        <f t="shared" si="7"/>
        <v>179512.00000000003</v>
      </c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</row>
    <row r="33" spans="1:56">
      <c r="A33" s="17"/>
      <c r="B33" s="17"/>
      <c r="C33" s="17"/>
      <c r="D33" s="17"/>
      <c r="E33" s="63"/>
      <c r="I33" s="513"/>
      <c r="J33" s="513"/>
      <c r="K33" s="513"/>
      <c r="L33" s="513"/>
      <c r="M33" s="513"/>
      <c r="N33" s="513"/>
      <c r="P33" s="326"/>
      <c r="Q33" s="326"/>
      <c r="R33" s="326"/>
      <c r="S33" s="326"/>
      <c r="T33" s="326"/>
      <c r="U33" s="326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214"/>
      <c r="AZ33" s="214"/>
      <c r="BA33" s="214"/>
      <c r="BB33" s="214"/>
      <c r="BC33" s="214"/>
      <c r="BD33" s="214"/>
    </row>
    <row r="34" spans="1:56">
      <c r="A34" s="17"/>
      <c r="B34" s="17"/>
      <c r="C34" s="17"/>
      <c r="D34" s="17"/>
      <c r="G34" s="17"/>
      <c r="I34" s="513"/>
      <c r="J34" s="513"/>
      <c r="K34" s="513"/>
      <c r="L34" s="513"/>
      <c r="M34" s="513"/>
      <c r="N34" s="513"/>
      <c r="P34" s="326"/>
      <c r="Q34" s="326"/>
      <c r="R34" s="326"/>
      <c r="S34" s="326"/>
      <c r="T34" s="326"/>
      <c r="U34" s="326"/>
    </row>
    <row r="35" spans="1:56" s="232" customFormat="1" ht="11.25">
      <c r="A35" s="53"/>
      <c r="B35" s="53"/>
      <c r="C35" s="53"/>
      <c r="D35" s="290"/>
      <c r="E35" s="290"/>
      <c r="F35" s="290"/>
      <c r="G35" s="290"/>
      <c r="H35" s="290"/>
      <c r="I35" s="290"/>
      <c r="J35" s="290"/>
      <c r="K35" s="290"/>
      <c r="L35" s="290"/>
      <c r="M35" s="290"/>
      <c r="N35" s="290"/>
      <c r="O35" s="290"/>
      <c r="P35" s="290"/>
      <c r="Q35" s="290"/>
      <c r="R35" s="290"/>
      <c r="S35" s="290"/>
      <c r="T35" s="290"/>
      <c r="U35" s="290"/>
      <c r="V35" s="290"/>
      <c r="W35" s="290"/>
      <c r="X35" s="290"/>
      <c r="Y35" s="290"/>
      <c r="Z35" s="290"/>
      <c r="AA35" s="290"/>
      <c r="AB35" s="53"/>
      <c r="AC35" s="53"/>
    </row>
    <row r="36" spans="1:56" s="291" customFormat="1">
      <c r="A36" s="196" t="s">
        <v>217</v>
      </c>
      <c r="B36" s="196"/>
      <c r="C36" s="196"/>
      <c r="D36" s="289">
        <f t="shared" ref="D36:AA36" si="8">D23</f>
        <v>36616</v>
      </c>
      <c r="E36" s="289">
        <f t="shared" si="8"/>
        <v>36646</v>
      </c>
      <c r="F36" s="289">
        <f t="shared" si="8"/>
        <v>36677</v>
      </c>
      <c r="G36" s="289">
        <f t="shared" si="8"/>
        <v>36707</v>
      </c>
      <c r="H36" s="289">
        <f t="shared" si="8"/>
        <v>36738</v>
      </c>
      <c r="I36" s="289">
        <f t="shared" si="8"/>
        <v>36769</v>
      </c>
      <c r="J36" s="289">
        <f t="shared" si="8"/>
        <v>36799</v>
      </c>
      <c r="K36" s="289">
        <f t="shared" si="8"/>
        <v>36830</v>
      </c>
      <c r="L36" s="289">
        <f t="shared" si="8"/>
        <v>36860</v>
      </c>
      <c r="M36" s="289">
        <f t="shared" si="8"/>
        <v>36891</v>
      </c>
      <c r="N36" s="289">
        <f t="shared" si="8"/>
        <v>36922</v>
      </c>
      <c r="O36" s="289">
        <f t="shared" si="8"/>
        <v>36950</v>
      </c>
      <c r="P36" s="289">
        <f t="shared" si="8"/>
        <v>36981</v>
      </c>
      <c r="Q36" s="289">
        <f t="shared" si="8"/>
        <v>37011</v>
      </c>
      <c r="R36" s="289">
        <f t="shared" si="8"/>
        <v>37042</v>
      </c>
      <c r="S36" s="289">
        <f t="shared" si="8"/>
        <v>37072</v>
      </c>
      <c r="T36" s="289">
        <f t="shared" si="8"/>
        <v>37103</v>
      </c>
      <c r="U36" s="289">
        <f t="shared" si="8"/>
        <v>37134</v>
      </c>
      <c r="V36" s="289">
        <f t="shared" si="8"/>
        <v>37164</v>
      </c>
      <c r="W36" s="289">
        <f t="shared" si="8"/>
        <v>37195</v>
      </c>
      <c r="X36" s="289">
        <f t="shared" si="8"/>
        <v>37225</v>
      </c>
      <c r="Y36" s="289">
        <f t="shared" si="8"/>
        <v>37256</v>
      </c>
      <c r="Z36" s="289">
        <f t="shared" si="8"/>
        <v>37287</v>
      </c>
      <c r="AA36" s="552">
        <f t="shared" si="8"/>
        <v>37315</v>
      </c>
      <c r="AB36" s="289"/>
      <c r="AC36" s="289"/>
      <c r="AD36" s="196"/>
    </row>
    <row r="37" spans="1:56" s="232" customFormat="1" ht="11.25">
      <c r="A37" s="53" t="s">
        <v>215</v>
      </c>
      <c r="B37" s="53"/>
      <c r="C37" s="53"/>
      <c r="D37" s="409">
        <f>K4</f>
        <v>0.1</v>
      </c>
      <c r="E37" s="409">
        <f>IF($D$4-$K$5=E20,1,0)</f>
        <v>0</v>
      </c>
      <c r="F37" s="409">
        <v>0</v>
      </c>
      <c r="G37" s="409">
        <v>0.3</v>
      </c>
      <c r="H37" s="409">
        <v>0.3</v>
      </c>
      <c r="I37" s="409">
        <v>0.3</v>
      </c>
      <c r="J37" s="409">
        <v>0</v>
      </c>
      <c r="K37" s="409"/>
      <c r="L37" s="409"/>
      <c r="M37" s="409"/>
      <c r="N37" s="409"/>
      <c r="O37" s="409"/>
      <c r="P37" s="409"/>
      <c r="Q37" s="409"/>
      <c r="R37" s="409"/>
      <c r="S37" s="409"/>
      <c r="T37" s="409"/>
      <c r="U37" s="409"/>
      <c r="V37" s="409"/>
      <c r="W37" s="409"/>
      <c r="X37" s="409"/>
      <c r="Y37" s="409"/>
      <c r="Z37" s="409"/>
      <c r="AA37" s="415"/>
      <c r="AB37" s="53"/>
      <c r="AC37" s="53"/>
      <c r="AD37" s="53"/>
    </row>
    <row r="38" spans="1:56" s="232" customFormat="1" ht="11.25">
      <c r="A38" s="53" t="s">
        <v>214</v>
      </c>
      <c r="B38" s="53"/>
      <c r="C38" s="53"/>
      <c r="D38" s="290">
        <f>D37</f>
        <v>0.1</v>
      </c>
      <c r="E38" s="290">
        <f t="shared" ref="E38:AA38" si="9">D38+E37</f>
        <v>0.1</v>
      </c>
      <c r="F38" s="290">
        <f t="shared" si="9"/>
        <v>0.1</v>
      </c>
      <c r="G38" s="290">
        <f t="shared" si="9"/>
        <v>0.4</v>
      </c>
      <c r="H38" s="290">
        <f t="shared" si="9"/>
        <v>0.7</v>
      </c>
      <c r="I38" s="290">
        <f t="shared" si="9"/>
        <v>1</v>
      </c>
      <c r="J38" s="290">
        <f t="shared" si="9"/>
        <v>1</v>
      </c>
      <c r="K38" s="290">
        <f t="shared" si="9"/>
        <v>1</v>
      </c>
      <c r="L38" s="290">
        <f t="shared" si="9"/>
        <v>1</v>
      </c>
      <c r="M38" s="290">
        <f t="shared" si="9"/>
        <v>1</v>
      </c>
      <c r="N38" s="290">
        <f t="shared" si="9"/>
        <v>1</v>
      </c>
      <c r="O38" s="290">
        <f t="shared" si="9"/>
        <v>1</v>
      </c>
      <c r="P38" s="290">
        <f t="shared" si="9"/>
        <v>1</v>
      </c>
      <c r="Q38" s="290">
        <f t="shared" si="9"/>
        <v>1</v>
      </c>
      <c r="R38" s="290">
        <f t="shared" si="9"/>
        <v>1</v>
      </c>
      <c r="S38" s="290">
        <f t="shared" si="9"/>
        <v>1</v>
      </c>
      <c r="T38" s="290">
        <f t="shared" si="9"/>
        <v>1</v>
      </c>
      <c r="U38" s="290">
        <f t="shared" si="9"/>
        <v>1</v>
      </c>
      <c r="V38" s="290">
        <f t="shared" si="9"/>
        <v>1</v>
      </c>
      <c r="W38" s="290">
        <f t="shared" si="9"/>
        <v>1</v>
      </c>
      <c r="X38" s="290">
        <f t="shared" si="9"/>
        <v>1</v>
      </c>
      <c r="Y38" s="290">
        <f t="shared" si="9"/>
        <v>1</v>
      </c>
      <c r="Z38" s="290">
        <f t="shared" si="9"/>
        <v>1</v>
      </c>
      <c r="AA38" s="416">
        <f t="shared" si="9"/>
        <v>1</v>
      </c>
      <c r="AB38" s="53"/>
      <c r="AC38" s="53"/>
      <c r="AD38" s="53"/>
    </row>
    <row r="39" spans="1:56" s="232" customFormat="1" ht="11.25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</row>
    <row r="40" spans="1:56" s="232" customFormat="1" ht="12" thickBot="1">
      <c r="A40" s="523" t="s">
        <v>19</v>
      </c>
      <c r="B40" s="524"/>
      <c r="C40" s="524"/>
      <c r="D40" s="524"/>
      <c r="E40" s="524"/>
      <c r="F40" s="524"/>
      <c r="G40" s="524"/>
      <c r="H40" s="524"/>
      <c r="I40" s="524"/>
      <c r="J40" s="524"/>
      <c r="K40" s="524"/>
      <c r="L40" s="524"/>
      <c r="M40" s="524"/>
      <c r="N40" s="524"/>
      <c r="O40" s="524"/>
      <c r="P40" s="524"/>
      <c r="Q40" s="524"/>
      <c r="R40" s="524"/>
      <c r="S40" s="524"/>
      <c r="T40" s="524"/>
      <c r="U40" s="524"/>
      <c r="V40" s="524"/>
      <c r="W40" s="524"/>
      <c r="X40" s="524"/>
      <c r="Y40" s="524"/>
      <c r="Z40" s="524"/>
      <c r="AA40" s="524"/>
      <c r="AB40" s="53"/>
      <c r="AC40" s="53"/>
    </row>
    <row r="41" spans="1:56" s="232" customFormat="1" ht="11.25">
      <c r="A41" s="53" t="s">
        <v>382</v>
      </c>
      <c r="B41" s="53"/>
      <c r="C41" s="53"/>
      <c r="D41" s="39">
        <f>IF(D20="EOC",0,D15)</f>
        <v>121210.4364104984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</row>
    <row r="42" spans="1:56" s="232" customFormat="1" ht="11.25">
      <c r="A42" s="53" t="s">
        <v>216</v>
      </c>
      <c r="B42" s="53"/>
      <c r="C42" s="53"/>
      <c r="D42" s="268">
        <f t="shared" ref="D42:AA42" si="10">IF(D20="EOC",0,C44)</f>
        <v>0</v>
      </c>
      <c r="E42" s="230">
        <f t="shared" si="10"/>
        <v>12121.043641049841</v>
      </c>
      <c r="F42" s="230">
        <f t="shared" si="10"/>
        <v>12121.043641049841</v>
      </c>
      <c r="G42" s="230">
        <f t="shared" si="10"/>
        <v>12121.043641049841</v>
      </c>
      <c r="H42" s="230">
        <f t="shared" si="10"/>
        <v>48484.174564199362</v>
      </c>
      <c r="I42" s="268">
        <f t="shared" si="10"/>
        <v>84847.305487348873</v>
      </c>
      <c r="J42" s="268">
        <f t="shared" si="10"/>
        <v>121210.4364104984</v>
      </c>
      <c r="K42" s="268">
        <f t="shared" si="10"/>
        <v>121210.4364104984</v>
      </c>
      <c r="L42" s="268">
        <f t="shared" si="10"/>
        <v>121210.4364104984</v>
      </c>
      <c r="M42" s="268">
        <f t="shared" si="10"/>
        <v>121210.4364104984</v>
      </c>
      <c r="N42" s="268">
        <f t="shared" si="10"/>
        <v>0</v>
      </c>
      <c r="O42" s="230">
        <f t="shared" si="10"/>
        <v>0</v>
      </c>
      <c r="P42" s="230">
        <f t="shared" si="10"/>
        <v>0</v>
      </c>
      <c r="Q42" s="230">
        <f t="shared" si="10"/>
        <v>0</v>
      </c>
      <c r="R42" s="230">
        <f t="shared" si="10"/>
        <v>0</v>
      </c>
      <c r="S42" s="230">
        <f t="shared" si="10"/>
        <v>0</v>
      </c>
      <c r="T42" s="230">
        <f t="shared" si="10"/>
        <v>0</v>
      </c>
      <c r="U42" s="230">
        <f t="shared" si="10"/>
        <v>0</v>
      </c>
      <c r="V42" s="230">
        <f t="shared" si="10"/>
        <v>0</v>
      </c>
      <c r="W42" s="230">
        <f t="shared" si="10"/>
        <v>0</v>
      </c>
      <c r="X42" s="230">
        <f t="shared" si="10"/>
        <v>0</v>
      </c>
      <c r="Y42" s="230">
        <f t="shared" si="10"/>
        <v>0</v>
      </c>
      <c r="Z42" s="230">
        <f t="shared" si="10"/>
        <v>0</v>
      </c>
      <c r="AA42" s="230">
        <f t="shared" si="10"/>
        <v>0</v>
      </c>
      <c r="AB42" s="53"/>
      <c r="AC42" s="53"/>
    </row>
    <row r="43" spans="1:56" s="232" customFormat="1" ht="11.25">
      <c r="A43" s="53" t="s">
        <v>217</v>
      </c>
      <c r="B43" s="53"/>
      <c r="C43" s="53"/>
      <c r="D43" s="268">
        <f t="shared" ref="D43:AA43" si="11">IF(D20="EOC",0,IF(E20="EOC",MIN(D41,$D$41*D37),$D$41*D37))</f>
        <v>12121.043641049841</v>
      </c>
      <c r="E43" s="230">
        <f t="shared" si="11"/>
        <v>0</v>
      </c>
      <c r="F43" s="230">
        <f t="shared" si="11"/>
        <v>0</v>
      </c>
      <c r="G43" s="230">
        <f t="shared" si="11"/>
        <v>36363.130923149518</v>
      </c>
      <c r="H43" s="230">
        <f t="shared" si="11"/>
        <v>36363.130923149518</v>
      </c>
      <c r="I43" s="268">
        <f t="shared" si="11"/>
        <v>36363.130923149518</v>
      </c>
      <c r="J43" s="268">
        <f t="shared" si="11"/>
        <v>0</v>
      </c>
      <c r="K43" s="268">
        <f t="shared" si="11"/>
        <v>0</v>
      </c>
      <c r="L43" s="268">
        <f t="shared" si="11"/>
        <v>0</v>
      </c>
      <c r="M43" s="268">
        <f t="shared" si="11"/>
        <v>0</v>
      </c>
      <c r="N43" s="268">
        <f t="shared" si="11"/>
        <v>0</v>
      </c>
      <c r="O43" s="230">
        <f t="shared" si="11"/>
        <v>0</v>
      </c>
      <c r="P43" s="230">
        <f t="shared" si="11"/>
        <v>0</v>
      </c>
      <c r="Q43" s="230">
        <f t="shared" si="11"/>
        <v>0</v>
      </c>
      <c r="R43" s="230">
        <f t="shared" si="11"/>
        <v>0</v>
      </c>
      <c r="S43" s="230">
        <f t="shared" si="11"/>
        <v>0</v>
      </c>
      <c r="T43" s="230">
        <f t="shared" si="11"/>
        <v>0</v>
      </c>
      <c r="U43" s="230">
        <f t="shared" si="11"/>
        <v>0</v>
      </c>
      <c r="V43" s="230">
        <f t="shared" si="11"/>
        <v>0</v>
      </c>
      <c r="W43" s="230">
        <f t="shared" si="11"/>
        <v>0</v>
      </c>
      <c r="X43" s="230">
        <f t="shared" si="11"/>
        <v>0</v>
      </c>
      <c r="Y43" s="230">
        <f t="shared" si="11"/>
        <v>0</v>
      </c>
      <c r="Z43" s="230">
        <f t="shared" si="11"/>
        <v>0</v>
      </c>
      <c r="AA43" s="230">
        <f t="shared" si="11"/>
        <v>0</v>
      </c>
      <c r="AB43" s="53"/>
      <c r="AC43" s="53"/>
    </row>
    <row r="44" spans="1:56" s="232" customFormat="1" ht="11.25">
      <c r="A44" s="53" t="s">
        <v>218</v>
      </c>
      <c r="B44" s="53"/>
      <c r="C44" s="53"/>
      <c r="D44" s="329">
        <f>D42+D43</f>
        <v>12121.043641049841</v>
      </c>
      <c r="E44" s="329">
        <f t="shared" ref="E44:AA44" si="12">E42+E43</f>
        <v>12121.043641049841</v>
      </c>
      <c r="F44" s="329">
        <f t="shared" si="12"/>
        <v>12121.043641049841</v>
      </c>
      <c r="G44" s="329">
        <f t="shared" si="12"/>
        <v>48484.174564199362</v>
      </c>
      <c r="H44" s="329">
        <f t="shared" si="12"/>
        <v>84847.305487348873</v>
      </c>
      <c r="I44" s="329">
        <f t="shared" si="12"/>
        <v>121210.4364104984</v>
      </c>
      <c r="J44" s="329">
        <f t="shared" si="12"/>
        <v>121210.4364104984</v>
      </c>
      <c r="K44" s="329">
        <f t="shared" si="12"/>
        <v>121210.4364104984</v>
      </c>
      <c r="L44" s="329">
        <f t="shared" si="12"/>
        <v>121210.4364104984</v>
      </c>
      <c r="M44" s="329">
        <f t="shared" si="12"/>
        <v>121210.4364104984</v>
      </c>
      <c r="N44" s="329">
        <f t="shared" si="12"/>
        <v>0</v>
      </c>
      <c r="O44" s="329">
        <f t="shared" si="12"/>
        <v>0</v>
      </c>
      <c r="P44" s="329">
        <f t="shared" si="12"/>
        <v>0</v>
      </c>
      <c r="Q44" s="329">
        <f t="shared" si="12"/>
        <v>0</v>
      </c>
      <c r="R44" s="329">
        <f t="shared" si="12"/>
        <v>0</v>
      </c>
      <c r="S44" s="329">
        <f t="shared" si="12"/>
        <v>0</v>
      </c>
      <c r="T44" s="329">
        <f t="shared" si="12"/>
        <v>0</v>
      </c>
      <c r="U44" s="329">
        <f t="shared" si="12"/>
        <v>0</v>
      </c>
      <c r="V44" s="329">
        <f t="shared" si="12"/>
        <v>0</v>
      </c>
      <c r="W44" s="329">
        <f t="shared" si="12"/>
        <v>0</v>
      </c>
      <c r="X44" s="329">
        <f t="shared" si="12"/>
        <v>0</v>
      </c>
      <c r="Y44" s="329">
        <f t="shared" si="12"/>
        <v>0</v>
      </c>
      <c r="Z44" s="329">
        <f t="shared" si="12"/>
        <v>0</v>
      </c>
      <c r="AA44" s="329">
        <f t="shared" si="12"/>
        <v>0</v>
      </c>
      <c r="AB44" s="53"/>
      <c r="AC44" s="53"/>
    </row>
    <row r="45" spans="1:56" s="232" customFormat="1" ht="11.25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</row>
    <row r="46" spans="1:56" s="232" customFormat="1" ht="11.25">
      <c r="A46" s="408" t="s">
        <v>18</v>
      </c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</row>
    <row r="47" spans="1:56" s="232" customFormat="1" ht="11.25">
      <c r="A47" s="53" t="s">
        <v>383</v>
      </c>
      <c r="B47" s="53"/>
      <c r="C47" s="53"/>
      <c r="D47" s="329">
        <f>D14</f>
        <v>58301.563589501595</v>
      </c>
      <c r="E47" s="230">
        <f t="shared" ref="E47:M47" si="13">IF(E20="EOC",0,D47-D49)</f>
        <v>52471.407230551435</v>
      </c>
      <c r="F47" s="230">
        <f t="shared" si="13"/>
        <v>34520.20723055143</v>
      </c>
      <c r="G47" s="268">
        <f t="shared" si="13"/>
        <v>16569.00723055143</v>
      </c>
      <c r="H47" s="230">
        <f t="shared" si="13"/>
        <v>34980.938153700947</v>
      </c>
      <c r="I47" s="268">
        <f t="shared" si="13"/>
        <v>53392.86907685046</v>
      </c>
      <c r="J47" s="268">
        <f t="shared" si="13"/>
        <v>71804.799999999974</v>
      </c>
      <c r="K47" s="268">
        <f t="shared" si="13"/>
        <v>53853.599999999977</v>
      </c>
      <c r="L47" s="268">
        <f t="shared" si="13"/>
        <v>35902.39999999998</v>
      </c>
      <c r="M47" s="268">
        <f t="shared" si="13"/>
        <v>17951.199999999979</v>
      </c>
      <c r="N47" s="268">
        <f t="shared" ref="N47:AA47" si="14">IF(N20="EOC",0,M47-M49)</f>
        <v>0</v>
      </c>
      <c r="O47" s="230">
        <f t="shared" si="14"/>
        <v>0</v>
      </c>
      <c r="P47" s="230">
        <f t="shared" si="14"/>
        <v>0</v>
      </c>
      <c r="Q47" s="230">
        <f t="shared" si="14"/>
        <v>0</v>
      </c>
      <c r="R47" s="230">
        <f t="shared" si="14"/>
        <v>0</v>
      </c>
      <c r="S47" s="230">
        <f t="shared" si="14"/>
        <v>0</v>
      </c>
      <c r="T47" s="230">
        <f t="shared" si="14"/>
        <v>0</v>
      </c>
      <c r="U47" s="230">
        <f t="shared" si="14"/>
        <v>0</v>
      </c>
      <c r="V47" s="230">
        <f t="shared" si="14"/>
        <v>0</v>
      </c>
      <c r="W47" s="230">
        <f t="shared" si="14"/>
        <v>0</v>
      </c>
      <c r="X47" s="230">
        <f t="shared" si="14"/>
        <v>0</v>
      </c>
      <c r="Y47" s="230">
        <f t="shared" si="14"/>
        <v>0</v>
      </c>
      <c r="Z47" s="230">
        <f t="shared" si="14"/>
        <v>0</v>
      </c>
      <c r="AA47" s="230">
        <f t="shared" si="14"/>
        <v>0</v>
      </c>
      <c r="AB47" s="53"/>
      <c r="AC47" s="53"/>
    </row>
    <row r="48" spans="1:56" s="232" customFormat="1" ht="11.25">
      <c r="A48" s="53" t="s">
        <v>216</v>
      </c>
      <c r="B48" s="53"/>
      <c r="C48" s="53"/>
      <c r="D48" s="329">
        <v>0</v>
      </c>
      <c r="E48" s="329">
        <f>D50</f>
        <v>5830.1563589501602</v>
      </c>
      <c r="F48" s="329">
        <f>E50</f>
        <v>23781.356358950161</v>
      </c>
      <c r="G48" s="329">
        <f>F50</f>
        <v>41732.556358950162</v>
      </c>
      <c r="H48" s="329">
        <f>G50</f>
        <v>23320.625435800644</v>
      </c>
      <c r="I48" s="329">
        <f>H50</f>
        <v>4908.6945126511273</v>
      </c>
      <c r="J48" s="329">
        <f>IF(J20="EOC",0,I48)</f>
        <v>4908.6945126511273</v>
      </c>
      <c r="K48" s="329">
        <f t="shared" ref="K48:AA48" si="15">IF(K20="EOC",0,J48)</f>
        <v>4908.6945126511273</v>
      </c>
      <c r="L48" s="329">
        <f t="shared" si="15"/>
        <v>4908.6945126511273</v>
      </c>
      <c r="M48" s="329">
        <f t="shared" si="15"/>
        <v>4908.6945126511273</v>
      </c>
      <c r="N48" s="329">
        <f t="shared" si="15"/>
        <v>0</v>
      </c>
      <c r="O48" s="329">
        <f t="shared" si="15"/>
        <v>0</v>
      </c>
      <c r="P48" s="329">
        <f t="shared" si="15"/>
        <v>0</v>
      </c>
      <c r="Q48" s="329">
        <f t="shared" si="15"/>
        <v>0</v>
      </c>
      <c r="R48" s="329">
        <f t="shared" si="15"/>
        <v>0</v>
      </c>
      <c r="S48" s="329">
        <f t="shared" si="15"/>
        <v>0</v>
      </c>
      <c r="T48" s="329">
        <f t="shared" si="15"/>
        <v>0</v>
      </c>
      <c r="U48" s="329">
        <f t="shared" si="15"/>
        <v>0</v>
      </c>
      <c r="V48" s="329">
        <f t="shared" si="15"/>
        <v>0</v>
      </c>
      <c r="W48" s="329">
        <f t="shared" si="15"/>
        <v>0</v>
      </c>
      <c r="X48" s="329">
        <f t="shared" si="15"/>
        <v>0</v>
      </c>
      <c r="Y48" s="329">
        <f t="shared" si="15"/>
        <v>0</v>
      </c>
      <c r="Z48" s="329">
        <f t="shared" si="15"/>
        <v>0</v>
      </c>
      <c r="AA48" s="329">
        <f t="shared" si="15"/>
        <v>0</v>
      </c>
      <c r="AB48" s="53"/>
      <c r="AC48" s="53"/>
    </row>
    <row r="49" spans="1:47" s="232" customFormat="1" ht="11.25">
      <c r="A49" s="53" t="s">
        <v>384</v>
      </c>
      <c r="B49" s="53"/>
      <c r="C49" s="53"/>
      <c r="D49" s="329">
        <f t="shared" ref="D49:M49" si="16">D31-D43</f>
        <v>5830.1563589501602</v>
      </c>
      <c r="E49" s="329">
        <f t="shared" si="16"/>
        <v>17951.2</v>
      </c>
      <c r="F49" s="329">
        <f t="shared" si="16"/>
        <v>17951.2</v>
      </c>
      <c r="G49" s="329">
        <f t="shared" si="16"/>
        <v>-18411.930923149517</v>
      </c>
      <c r="H49" s="329">
        <f t="shared" si="16"/>
        <v>-18411.930923149517</v>
      </c>
      <c r="I49" s="329">
        <f t="shared" si="16"/>
        <v>-18411.930923149517</v>
      </c>
      <c r="J49" s="329">
        <f t="shared" si="16"/>
        <v>17951.2</v>
      </c>
      <c r="K49" s="329">
        <f t="shared" si="16"/>
        <v>17951.2</v>
      </c>
      <c r="L49" s="329">
        <f t="shared" si="16"/>
        <v>17951.2</v>
      </c>
      <c r="M49" s="329">
        <f t="shared" si="16"/>
        <v>17951.2</v>
      </c>
      <c r="N49" s="329">
        <f t="shared" ref="N49:AA49" si="17">N31-N43</f>
        <v>0</v>
      </c>
      <c r="O49" s="329">
        <f t="shared" si="17"/>
        <v>0</v>
      </c>
      <c r="P49" s="329">
        <f t="shared" si="17"/>
        <v>0</v>
      </c>
      <c r="Q49" s="329">
        <f t="shared" si="17"/>
        <v>0</v>
      </c>
      <c r="R49" s="329">
        <f t="shared" si="17"/>
        <v>0</v>
      </c>
      <c r="S49" s="329">
        <f t="shared" si="17"/>
        <v>0</v>
      </c>
      <c r="T49" s="329">
        <f t="shared" si="17"/>
        <v>0</v>
      </c>
      <c r="U49" s="329">
        <f t="shared" si="17"/>
        <v>0</v>
      </c>
      <c r="V49" s="329">
        <f t="shared" si="17"/>
        <v>0</v>
      </c>
      <c r="W49" s="329">
        <f t="shared" si="17"/>
        <v>0</v>
      </c>
      <c r="X49" s="329">
        <f t="shared" si="17"/>
        <v>0</v>
      </c>
      <c r="Y49" s="329">
        <f t="shared" si="17"/>
        <v>0</v>
      </c>
      <c r="Z49" s="329">
        <f t="shared" si="17"/>
        <v>0</v>
      </c>
      <c r="AA49" s="329">
        <f t="shared" si="17"/>
        <v>0</v>
      </c>
      <c r="AB49" s="53"/>
      <c r="AC49" s="53"/>
    </row>
    <row r="50" spans="1:47" s="232" customFormat="1" ht="11.25">
      <c r="A50" s="53" t="s">
        <v>218</v>
      </c>
      <c r="B50" s="53"/>
      <c r="C50" s="53"/>
      <c r="D50" s="329">
        <f>D48+D49</f>
        <v>5830.1563589501602</v>
      </c>
      <c r="E50" s="329">
        <f t="shared" ref="E50:AA50" si="18">E48+E49</f>
        <v>23781.356358950161</v>
      </c>
      <c r="F50" s="329">
        <f t="shared" si="18"/>
        <v>41732.556358950162</v>
      </c>
      <c r="G50" s="329">
        <f t="shared" si="18"/>
        <v>23320.625435800644</v>
      </c>
      <c r="H50" s="329">
        <f t="shared" si="18"/>
        <v>4908.6945126511273</v>
      </c>
      <c r="I50" s="329">
        <f t="shared" si="18"/>
        <v>-13503.23641049839</v>
      </c>
      <c r="J50" s="329">
        <f t="shared" si="18"/>
        <v>22859.894512651128</v>
      </c>
      <c r="K50" s="329">
        <f t="shared" si="18"/>
        <v>22859.894512651128</v>
      </c>
      <c r="L50" s="329">
        <f t="shared" si="18"/>
        <v>22859.894512651128</v>
      </c>
      <c r="M50" s="329">
        <f t="shared" si="18"/>
        <v>22859.894512651128</v>
      </c>
      <c r="N50" s="329">
        <f t="shared" si="18"/>
        <v>0</v>
      </c>
      <c r="O50" s="329">
        <f t="shared" si="18"/>
        <v>0</v>
      </c>
      <c r="P50" s="329">
        <f t="shared" si="18"/>
        <v>0</v>
      </c>
      <c r="Q50" s="329">
        <f t="shared" si="18"/>
        <v>0</v>
      </c>
      <c r="R50" s="329">
        <f t="shared" si="18"/>
        <v>0</v>
      </c>
      <c r="S50" s="329">
        <f t="shared" si="18"/>
        <v>0</v>
      </c>
      <c r="T50" s="329">
        <f t="shared" si="18"/>
        <v>0</v>
      </c>
      <c r="U50" s="329">
        <f t="shared" si="18"/>
        <v>0</v>
      </c>
      <c r="V50" s="329">
        <f t="shared" si="18"/>
        <v>0</v>
      </c>
      <c r="W50" s="329">
        <f t="shared" si="18"/>
        <v>0</v>
      </c>
      <c r="X50" s="329">
        <f t="shared" si="18"/>
        <v>0</v>
      </c>
      <c r="Y50" s="329">
        <f t="shared" si="18"/>
        <v>0</v>
      </c>
      <c r="Z50" s="329">
        <f t="shared" si="18"/>
        <v>0</v>
      </c>
      <c r="AA50" s="329">
        <f t="shared" si="18"/>
        <v>0</v>
      </c>
      <c r="AB50" s="53"/>
      <c r="AC50" s="53"/>
    </row>
    <row r="51" spans="1:47" s="232" customFormat="1" ht="11.2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</row>
    <row r="52" spans="1:47" s="232" customFormat="1" ht="12" thickBot="1">
      <c r="A52" s="524" t="s">
        <v>157</v>
      </c>
      <c r="B52" s="524"/>
      <c r="C52" s="524"/>
      <c r="D52" s="525">
        <f>IF(D20="EOC",0,D50*($D$9/12))</f>
        <v>33.437009472664236</v>
      </c>
      <c r="E52" s="525">
        <f t="shared" ref="E52:AA52" si="19">IF(E20="EOC",0,E50*($D$9/12))</f>
        <v>136.3904137195745</v>
      </c>
      <c r="F52" s="525">
        <f t="shared" si="19"/>
        <v>239.34381796648475</v>
      </c>
      <c r="G52" s="525">
        <f t="shared" si="19"/>
        <v>133.74803789065697</v>
      </c>
      <c r="H52" s="525">
        <f t="shared" si="19"/>
        <v>28.152257814829184</v>
      </c>
      <c r="I52" s="525">
        <f t="shared" si="19"/>
        <v>-77.443522260998606</v>
      </c>
      <c r="J52" s="525">
        <f t="shared" si="19"/>
        <v>131.10566206173945</v>
      </c>
      <c r="K52" s="525">
        <f t="shared" si="19"/>
        <v>131.10566206173945</v>
      </c>
      <c r="L52" s="525">
        <f t="shared" si="19"/>
        <v>131.10566206173945</v>
      </c>
      <c r="M52" s="525">
        <f t="shared" si="19"/>
        <v>131.10566206173945</v>
      </c>
      <c r="N52" s="525">
        <f t="shared" si="19"/>
        <v>0</v>
      </c>
      <c r="O52" s="525">
        <f t="shared" si="19"/>
        <v>0</v>
      </c>
      <c r="P52" s="525">
        <f t="shared" si="19"/>
        <v>0</v>
      </c>
      <c r="Q52" s="525">
        <f t="shared" si="19"/>
        <v>0</v>
      </c>
      <c r="R52" s="525">
        <f t="shared" si="19"/>
        <v>0</v>
      </c>
      <c r="S52" s="525">
        <f t="shared" si="19"/>
        <v>0</v>
      </c>
      <c r="T52" s="525">
        <f t="shared" si="19"/>
        <v>0</v>
      </c>
      <c r="U52" s="525">
        <f t="shared" si="19"/>
        <v>0</v>
      </c>
      <c r="V52" s="525">
        <f t="shared" si="19"/>
        <v>0</v>
      </c>
      <c r="W52" s="525">
        <f t="shared" si="19"/>
        <v>0</v>
      </c>
      <c r="X52" s="525">
        <f t="shared" si="19"/>
        <v>0</v>
      </c>
      <c r="Y52" s="525">
        <f t="shared" si="19"/>
        <v>0</v>
      </c>
      <c r="Z52" s="525">
        <f t="shared" si="19"/>
        <v>0</v>
      </c>
      <c r="AA52" s="525">
        <f t="shared" si="19"/>
        <v>0</v>
      </c>
      <c r="AB52" s="53"/>
      <c r="AC52" s="53"/>
    </row>
    <row r="53" spans="1:47" s="232" customFormat="1" ht="11.25">
      <c r="A53" s="53" t="s">
        <v>389</v>
      </c>
      <c r="B53" s="53"/>
      <c r="C53" s="53"/>
      <c r="D53" s="268">
        <f>D52</f>
        <v>33.437009472664236</v>
      </c>
      <c r="E53" s="268">
        <f>IF(E20="EOC",0,D53+E52)</f>
        <v>169.82742319223874</v>
      </c>
      <c r="F53" s="268">
        <f t="shared" ref="F53:AA53" si="20">IF(F20="EOC",0,E53+F52)</f>
        <v>409.17124115872349</v>
      </c>
      <c r="G53" s="268">
        <f t="shared" si="20"/>
        <v>542.91927904938052</v>
      </c>
      <c r="H53" s="268">
        <f t="shared" si="20"/>
        <v>571.07153686420975</v>
      </c>
      <c r="I53" s="268">
        <f t="shared" si="20"/>
        <v>493.62801460321111</v>
      </c>
      <c r="J53" s="268">
        <f t="shared" si="20"/>
        <v>624.73367666495051</v>
      </c>
      <c r="K53" s="268">
        <f t="shared" si="20"/>
        <v>755.8393387266899</v>
      </c>
      <c r="L53" s="268">
        <f t="shared" si="20"/>
        <v>886.9450007884293</v>
      </c>
      <c r="M53" s="268">
        <f t="shared" si="20"/>
        <v>1018.0506628501687</v>
      </c>
      <c r="N53" s="268">
        <f t="shared" si="20"/>
        <v>0</v>
      </c>
      <c r="O53" s="268">
        <f t="shared" si="20"/>
        <v>0</v>
      </c>
      <c r="P53" s="268">
        <f t="shared" si="20"/>
        <v>0</v>
      </c>
      <c r="Q53" s="268">
        <f t="shared" si="20"/>
        <v>0</v>
      </c>
      <c r="R53" s="268">
        <f t="shared" si="20"/>
        <v>0</v>
      </c>
      <c r="S53" s="268">
        <f t="shared" si="20"/>
        <v>0</v>
      </c>
      <c r="T53" s="268">
        <f t="shared" si="20"/>
        <v>0</v>
      </c>
      <c r="U53" s="268">
        <f t="shared" si="20"/>
        <v>0</v>
      </c>
      <c r="V53" s="268">
        <f t="shared" si="20"/>
        <v>0</v>
      </c>
      <c r="W53" s="268">
        <f t="shared" si="20"/>
        <v>0</v>
      </c>
      <c r="X53" s="268">
        <f t="shared" si="20"/>
        <v>0</v>
      </c>
      <c r="Y53" s="268">
        <f t="shared" si="20"/>
        <v>0</v>
      </c>
      <c r="Z53" s="268">
        <f t="shared" si="20"/>
        <v>0</v>
      </c>
      <c r="AA53" s="268">
        <f t="shared" si="20"/>
        <v>0</v>
      </c>
      <c r="AB53" s="53"/>
      <c r="AC53" s="53"/>
    </row>
    <row r="54" spans="1:47" s="232" customFormat="1" ht="11.25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</row>
    <row r="55" spans="1:47" s="232" customFormat="1" ht="11.25">
      <c r="A55" s="408" t="s">
        <v>390</v>
      </c>
      <c r="B55" s="53"/>
      <c r="C55" s="53"/>
      <c r="D55" s="268">
        <f>IF(E20="EOC",D$53*$D$11,0)</f>
        <v>0</v>
      </c>
      <c r="E55" s="268">
        <f t="shared" ref="E55:AA55" si="21">IF(F20="EOC",E53*$D$11,0)</f>
        <v>0</v>
      </c>
      <c r="F55" s="268">
        <f t="shared" si="21"/>
        <v>0</v>
      </c>
      <c r="G55" s="268">
        <f t="shared" si="21"/>
        <v>0</v>
      </c>
      <c r="H55" s="268">
        <f t="shared" si="21"/>
        <v>0</v>
      </c>
      <c r="I55" s="268">
        <f t="shared" si="21"/>
        <v>0</v>
      </c>
      <c r="J55" s="268">
        <f t="shared" si="21"/>
        <v>0</v>
      </c>
      <c r="K55" s="268">
        <f t="shared" si="21"/>
        <v>0</v>
      </c>
      <c r="L55" s="268">
        <f t="shared" si="21"/>
        <v>0</v>
      </c>
      <c r="M55" s="268">
        <f t="shared" si="21"/>
        <v>687.41011816517073</v>
      </c>
      <c r="N55" s="268">
        <f t="shared" si="21"/>
        <v>0</v>
      </c>
      <c r="O55" s="268">
        <f t="shared" si="21"/>
        <v>0</v>
      </c>
      <c r="P55" s="268">
        <f t="shared" si="21"/>
        <v>0</v>
      </c>
      <c r="Q55" s="268">
        <f t="shared" si="21"/>
        <v>0</v>
      </c>
      <c r="R55" s="268">
        <f t="shared" si="21"/>
        <v>0</v>
      </c>
      <c r="S55" s="268">
        <f t="shared" si="21"/>
        <v>0</v>
      </c>
      <c r="T55" s="268">
        <f t="shared" si="21"/>
        <v>0</v>
      </c>
      <c r="U55" s="268">
        <f t="shared" si="21"/>
        <v>0</v>
      </c>
      <c r="V55" s="268">
        <f t="shared" si="21"/>
        <v>0</v>
      </c>
      <c r="W55" s="268">
        <f t="shared" si="21"/>
        <v>0</v>
      </c>
      <c r="X55" s="268">
        <f t="shared" si="21"/>
        <v>0</v>
      </c>
      <c r="Y55" s="268">
        <f t="shared" si="21"/>
        <v>0</v>
      </c>
      <c r="Z55" s="268">
        <f t="shared" si="21"/>
        <v>0</v>
      </c>
      <c r="AA55" s="268">
        <f t="shared" si="21"/>
        <v>0</v>
      </c>
      <c r="AB55" s="53"/>
      <c r="AC55" s="53"/>
    </row>
    <row r="56" spans="1:47" s="232" customFormat="1" ht="11.25">
      <c r="A56" s="408" t="s">
        <v>524</v>
      </c>
      <c r="B56" s="53"/>
      <c r="C56" s="53"/>
      <c r="D56" s="268">
        <f>IF(E20="EOC",D$53*$D$10,0)</f>
        <v>0</v>
      </c>
      <c r="E56" s="268">
        <f t="shared" ref="E56:AA56" si="22">IF(F20="EOC",E$53*$D$10,0)</f>
        <v>0</v>
      </c>
      <c r="F56" s="268">
        <f t="shared" si="22"/>
        <v>0</v>
      </c>
      <c r="G56" s="268">
        <f t="shared" si="22"/>
        <v>0</v>
      </c>
      <c r="H56" s="268">
        <f t="shared" si="22"/>
        <v>0</v>
      </c>
      <c r="I56" s="268">
        <f t="shared" si="22"/>
        <v>0</v>
      </c>
      <c r="J56" s="268">
        <f t="shared" si="22"/>
        <v>0</v>
      </c>
      <c r="K56" s="268">
        <f t="shared" si="22"/>
        <v>0</v>
      </c>
      <c r="L56" s="268">
        <f t="shared" si="22"/>
        <v>0</v>
      </c>
      <c r="M56" s="268">
        <f t="shared" si="22"/>
        <v>330.64054468499802</v>
      </c>
      <c r="N56" s="268">
        <f t="shared" si="22"/>
        <v>0</v>
      </c>
      <c r="O56" s="268">
        <f t="shared" si="22"/>
        <v>0</v>
      </c>
      <c r="P56" s="268">
        <f t="shared" si="22"/>
        <v>0</v>
      </c>
      <c r="Q56" s="268">
        <f t="shared" si="22"/>
        <v>0</v>
      </c>
      <c r="R56" s="268">
        <f t="shared" si="22"/>
        <v>0</v>
      </c>
      <c r="S56" s="268">
        <f t="shared" si="22"/>
        <v>0</v>
      </c>
      <c r="T56" s="268">
        <f t="shared" si="22"/>
        <v>0</v>
      </c>
      <c r="U56" s="268">
        <f t="shared" si="22"/>
        <v>0</v>
      </c>
      <c r="V56" s="268">
        <f t="shared" si="22"/>
        <v>0</v>
      </c>
      <c r="W56" s="268">
        <f t="shared" si="22"/>
        <v>0</v>
      </c>
      <c r="X56" s="268">
        <f t="shared" si="22"/>
        <v>0</v>
      </c>
      <c r="Y56" s="268">
        <f t="shared" si="22"/>
        <v>0</v>
      </c>
      <c r="Z56" s="268">
        <f t="shared" si="22"/>
        <v>0</v>
      </c>
      <c r="AA56" s="268">
        <f t="shared" si="22"/>
        <v>0</v>
      </c>
      <c r="AB56" s="53"/>
      <c r="AC56" s="53"/>
    </row>
    <row r="57" spans="1:47" s="232" customFormat="1" ht="11.25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</row>
    <row r="58" spans="1:47">
      <c r="A58" s="17"/>
      <c r="B58" s="17"/>
      <c r="C58" s="17"/>
      <c r="D58" s="17"/>
      <c r="G58" s="17"/>
      <c r="I58" s="197"/>
      <c r="J58" s="513"/>
      <c r="K58" s="513"/>
      <c r="L58" s="513"/>
      <c r="M58" s="513"/>
      <c r="N58" s="513"/>
      <c r="P58" s="326"/>
      <c r="Q58" s="326"/>
      <c r="R58" s="326"/>
      <c r="S58" s="326"/>
      <c r="T58" s="326"/>
      <c r="U58" s="326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  <c r="AN58" s="214"/>
      <c r="AO58" s="214"/>
      <c r="AP58" s="214"/>
      <c r="AQ58" s="214"/>
      <c r="AR58" s="214"/>
      <c r="AS58" s="214"/>
      <c r="AT58" s="214"/>
      <c r="AU58" s="214"/>
    </row>
    <row r="59" spans="1:47" s="43" customFormat="1">
      <c r="A59" s="412"/>
      <c r="D59" s="268"/>
      <c r="E59" s="413"/>
      <c r="I59" s="197"/>
      <c r="J59" s="197"/>
      <c r="K59" s="486"/>
      <c r="L59" s="197"/>
      <c r="M59" s="197"/>
      <c r="N59" s="197"/>
      <c r="P59" s="197"/>
      <c r="Q59" s="197"/>
      <c r="R59" s="197"/>
      <c r="S59" s="197"/>
      <c r="T59" s="197"/>
      <c r="U59" s="197"/>
    </row>
    <row r="60" spans="1:47" s="43" customFormat="1" ht="18">
      <c r="A60" s="808" t="s">
        <v>700</v>
      </c>
      <c r="D60" s="268"/>
      <c r="E60" s="268"/>
      <c r="F60" s="268"/>
      <c r="G60" s="268"/>
      <c r="H60" s="268"/>
      <c r="I60" s="268"/>
      <c r="J60" s="268"/>
      <c r="K60" s="268"/>
      <c r="L60" s="268"/>
      <c r="M60" s="268"/>
      <c r="N60" s="268"/>
      <c r="O60" s="268"/>
      <c r="P60" s="268"/>
      <c r="Q60" s="268"/>
      <c r="R60" s="268"/>
      <c r="S60" s="268"/>
      <c r="T60" s="268"/>
      <c r="U60" s="268"/>
      <c r="V60" s="268"/>
      <c r="W60" s="268"/>
      <c r="X60" s="268"/>
      <c r="Y60" s="268"/>
      <c r="Z60" s="268"/>
      <c r="AA60" s="268"/>
      <c r="AB60" s="268"/>
      <c r="AC60" s="268"/>
    </row>
    <row r="61" spans="1:47" s="43" customFormat="1">
      <c r="A61" s="807" t="s">
        <v>702</v>
      </c>
      <c r="D61" s="171">
        <f>Assumptions!E55</f>
        <v>3</v>
      </c>
      <c r="E61" s="268"/>
      <c r="F61" s="268"/>
      <c r="G61" s="268"/>
      <c r="H61" s="268"/>
      <c r="I61" s="268"/>
      <c r="J61" s="268"/>
      <c r="K61" s="268"/>
      <c r="L61" s="268"/>
      <c r="M61" s="268"/>
      <c r="N61" s="268"/>
      <c r="O61" s="268"/>
      <c r="P61" s="268"/>
      <c r="Q61" s="268"/>
      <c r="R61" s="268"/>
      <c r="S61" s="268"/>
      <c r="T61" s="268"/>
      <c r="U61" s="268"/>
      <c r="V61" s="268"/>
      <c r="W61" s="268"/>
      <c r="X61" s="268"/>
      <c r="Y61" s="268"/>
      <c r="Z61" s="268"/>
      <c r="AA61" s="268"/>
      <c r="AB61" s="268"/>
      <c r="AC61" s="268"/>
    </row>
    <row r="62" spans="1:47" s="43" customFormat="1">
      <c r="A62" s="179" t="s">
        <v>157</v>
      </c>
      <c r="B62" s="179"/>
      <c r="C62" s="179"/>
      <c r="D62" s="232"/>
      <c r="E62"/>
      <c r="F62" s="268"/>
      <c r="G62" s="268"/>
      <c r="H62" s="268"/>
      <c r="I62" s="268"/>
      <c r="J62" s="268"/>
      <c r="K62" s="268"/>
      <c r="L62" s="268"/>
      <c r="M62" s="268"/>
      <c r="N62" s="268"/>
      <c r="O62" s="268"/>
      <c r="P62" s="268"/>
      <c r="Q62" s="268"/>
      <c r="R62" s="268"/>
      <c r="S62" s="268"/>
      <c r="T62" s="268"/>
      <c r="U62" s="268"/>
      <c r="V62" s="268"/>
      <c r="W62" s="268"/>
      <c r="X62" s="268"/>
      <c r="Y62" s="268"/>
      <c r="Z62" s="268"/>
      <c r="AA62" s="268"/>
      <c r="AB62" s="268"/>
      <c r="AC62" s="268"/>
    </row>
    <row r="63" spans="1:47" s="43" customFormat="1">
      <c r="A63" s="1" t="s">
        <v>374</v>
      </c>
      <c r="B63" s="228"/>
      <c r="C63" s="230"/>
      <c r="D63" s="24">
        <f>Assumptions!E37</f>
        <v>0</v>
      </c>
      <c r="E63"/>
      <c r="F63" s="268"/>
      <c r="G63" s="268"/>
      <c r="H63" s="268"/>
      <c r="I63" s="268"/>
      <c r="J63" s="268"/>
      <c r="K63" s="268"/>
      <c r="L63" s="268"/>
      <c r="M63" s="268"/>
      <c r="N63" s="268"/>
      <c r="O63" s="268"/>
      <c r="P63" s="268"/>
      <c r="Q63" s="268"/>
      <c r="R63" s="268"/>
      <c r="S63" s="268"/>
      <c r="T63" s="268"/>
      <c r="U63" s="268"/>
      <c r="V63" s="268"/>
      <c r="W63" s="268"/>
      <c r="X63" s="268"/>
      <c r="Y63" s="268"/>
      <c r="Z63" s="268"/>
      <c r="AA63" s="268"/>
      <c r="AB63" s="268"/>
      <c r="AC63" s="268"/>
    </row>
    <row r="64" spans="1:47" s="43" customFormat="1">
      <c r="A64" s="7" t="s">
        <v>375</v>
      </c>
      <c r="B64" s="412"/>
      <c r="C64" s="268"/>
      <c r="D64" s="514">
        <f>Assumptions!E36</f>
        <v>1</v>
      </c>
      <c r="E64"/>
      <c r="F64" s="268"/>
      <c r="G64" s="268"/>
      <c r="H64" s="268"/>
      <c r="I64" s="268"/>
      <c r="J64" s="268"/>
      <c r="K64" s="268"/>
      <c r="L64" s="268"/>
      <c r="M64" s="268"/>
      <c r="N64" s="268"/>
      <c r="O64" s="268"/>
      <c r="P64" s="268"/>
      <c r="Q64" s="268"/>
      <c r="R64" s="268"/>
      <c r="S64" s="268"/>
      <c r="T64" s="268"/>
      <c r="U64" s="268"/>
      <c r="V64" s="268"/>
      <c r="W64" s="268"/>
      <c r="X64" s="268"/>
      <c r="Y64" s="268"/>
      <c r="Z64" s="268"/>
      <c r="AA64" s="268"/>
      <c r="AB64" s="268"/>
      <c r="AC64" s="268"/>
    </row>
    <row r="65" spans="1:56" s="43" customFormat="1">
      <c r="A65" s="17"/>
      <c r="B65" s="17"/>
      <c r="C65" s="17"/>
      <c r="D65" s="17"/>
      <c r="E65"/>
      <c r="F65" s="268"/>
      <c r="G65" s="268"/>
      <c r="H65" s="268"/>
      <c r="I65" s="268"/>
      <c r="J65" s="268"/>
      <c r="K65" s="268"/>
      <c r="L65" s="268"/>
      <c r="M65" s="268"/>
      <c r="N65" s="268"/>
      <c r="O65" s="268"/>
      <c r="P65" s="268"/>
      <c r="Q65" s="268"/>
      <c r="R65" s="268"/>
      <c r="S65" s="268"/>
      <c r="T65" s="268"/>
      <c r="U65" s="268"/>
      <c r="V65" s="268"/>
      <c r="W65" s="268"/>
      <c r="X65" s="268"/>
      <c r="Y65" s="268"/>
      <c r="Z65" s="268"/>
      <c r="AA65" s="268"/>
      <c r="AB65" s="268"/>
      <c r="AC65" s="268"/>
    </row>
    <row r="66" spans="1:56" s="43" customFormat="1">
      <c r="A66" s="17"/>
      <c r="B66" s="412"/>
      <c r="C66" s="268"/>
      <c r="D66" s="17"/>
      <c r="E66" s="6"/>
      <c r="F66" s="268"/>
      <c r="G66" s="268"/>
      <c r="H66" s="268"/>
      <c r="I66" s="268"/>
      <c r="J66" s="268"/>
      <c r="K66" s="268"/>
      <c r="L66" s="268"/>
      <c r="M66" s="268"/>
      <c r="N66" s="268"/>
      <c r="O66" s="268"/>
      <c r="P66" s="268"/>
      <c r="Q66" s="268"/>
      <c r="R66" s="268"/>
      <c r="S66" s="268"/>
      <c r="T66" s="268"/>
      <c r="U66" s="268"/>
      <c r="V66" s="268"/>
      <c r="W66" s="268"/>
      <c r="X66" s="268"/>
      <c r="Y66" s="268"/>
      <c r="Z66" s="268"/>
      <c r="AA66" s="268"/>
      <c r="AB66" s="268"/>
      <c r="AC66" s="268"/>
    </row>
    <row r="67" spans="1:56" s="43" customFormat="1">
      <c r="A67" s="17"/>
      <c r="B67" s="412" t="s">
        <v>18</v>
      </c>
      <c r="C67" s="268"/>
      <c r="D67" s="268">
        <f>(Assumptions!$E$13+Assumptions!$E$14+Assumptions!$E$15)*D63</f>
        <v>0</v>
      </c>
      <c r="E67" s="9"/>
      <c r="F67" s="268"/>
      <c r="G67" s="268"/>
      <c r="H67" s="268"/>
      <c r="I67" s="268"/>
      <c r="J67" s="268"/>
      <c r="K67" s="268"/>
      <c r="L67" s="268"/>
      <c r="M67" s="268"/>
      <c r="N67" s="268"/>
      <c r="O67" s="268"/>
      <c r="P67" s="268"/>
      <c r="Q67" s="268"/>
      <c r="R67" s="268"/>
      <c r="S67" s="268"/>
      <c r="T67" s="268"/>
      <c r="U67" s="268"/>
      <c r="V67" s="268"/>
      <c r="W67" s="268"/>
      <c r="X67" s="268"/>
      <c r="Y67" s="268"/>
      <c r="Z67" s="268"/>
      <c r="AA67" s="268"/>
      <c r="AB67" s="268"/>
      <c r="AC67" s="268"/>
    </row>
    <row r="68" spans="1:56" s="43" customFormat="1">
      <c r="A68" s="17"/>
      <c r="B68" s="25" t="s">
        <v>19</v>
      </c>
      <c r="C68" s="171"/>
      <c r="D68" s="268">
        <f>(Assumptions!$E$13+Assumptions!$E$14+Assumptions!$E$15)*D64</f>
        <v>0</v>
      </c>
      <c r="E68" s="6"/>
      <c r="F68" s="268"/>
      <c r="G68" s="268"/>
      <c r="H68" s="268"/>
      <c r="I68" s="268"/>
      <c r="J68" s="268"/>
      <c r="K68" s="268"/>
      <c r="L68" s="268"/>
      <c r="M68" s="268"/>
      <c r="N68" s="268"/>
      <c r="O68" s="268"/>
      <c r="P68" s="268"/>
      <c r="Q68" s="268"/>
      <c r="R68" s="268"/>
      <c r="S68" s="268"/>
      <c r="T68" s="268"/>
      <c r="U68" s="268"/>
      <c r="V68" s="268"/>
      <c r="W68" s="268"/>
      <c r="X68" s="268"/>
      <c r="Y68" s="268"/>
      <c r="Z68" s="268"/>
      <c r="AA68" s="268"/>
      <c r="AB68" s="268"/>
      <c r="AC68" s="268"/>
    </row>
    <row r="69" spans="1:56" s="43" customFormat="1">
      <c r="A69" s="17"/>
      <c r="B69" s="25" t="s">
        <v>80</v>
      </c>
      <c r="C69" s="171"/>
      <c r="D69" s="268">
        <f>SUM(D67:D68)</f>
        <v>0</v>
      </c>
      <c r="E69" s="230"/>
      <c r="F69" s="268"/>
      <c r="G69" s="268"/>
      <c r="H69" s="268"/>
      <c r="I69" s="268"/>
      <c r="J69" s="268"/>
      <c r="K69" s="268"/>
      <c r="L69" s="268"/>
      <c r="M69" s="268"/>
      <c r="N69" s="268"/>
      <c r="O69" s="268"/>
      <c r="P69" s="268"/>
      <c r="Q69" s="268"/>
      <c r="R69" s="268"/>
      <c r="S69" s="268"/>
      <c r="T69" s="268"/>
      <c r="U69" s="268"/>
      <c r="V69" s="268"/>
      <c r="W69" s="268"/>
      <c r="X69" s="268"/>
      <c r="Y69" s="268"/>
      <c r="Z69" s="268"/>
      <c r="AA69" s="268"/>
      <c r="AB69" s="268"/>
      <c r="AC69" s="268"/>
    </row>
    <row r="70" spans="1:56" s="43" customFormat="1" ht="15.75">
      <c r="A70" s="800"/>
      <c r="D70" s="268"/>
      <c r="E70" s="268"/>
      <c r="F70" s="268"/>
      <c r="G70" s="268"/>
      <c r="H70" s="268"/>
      <c r="I70" s="268"/>
      <c r="J70" s="268"/>
      <c r="K70" s="268"/>
      <c r="L70" s="268"/>
      <c r="M70" s="268"/>
      <c r="N70" s="268"/>
      <c r="O70" s="268"/>
      <c r="P70" s="268"/>
      <c r="Q70" s="268"/>
      <c r="R70" s="268"/>
      <c r="S70" s="268"/>
      <c r="T70" s="268"/>
      <c r="U70" s="268"/>
      <c r="V70" s="268"/>
      <c r="W70" s="268"/>
      <c r="X70" s="268"/>
      <c r="Y70" s="268"/>
      <c r="Z70" s="268"/>
      <c r="AA70" s="268"/>
      <c r="AB70" s="268"/>
      <c r="AC70" s="268"/>
    </row>
    <row r="71" spans="1:56" ht="16.5" customHeight="1">
      <c r="A71" s="17"/>
      <c r="B71" s="25"/>
      <c r="C71" s="171"/>
      <c r="D71" s="554">
        <f t="shared" ref="D71:AA71" si="23">YEAR(D77)</f>
        <v>2003</v>
      </c>
      <c r="E71" s="554">
        <f t="shared" si="23"/>
        <v>2003</v>
      </c>
      <c r="F71" s="554">
        <f t="shared" si="23"/>
        <v>2003</v>
      </c>
      <c r="G71" s="554">
        <f t="shared" si="23"/>
        <v>2004</v>
      </c>
      <c r="H71" s="554">
        <f t="shared" si="23"/>
        <v>2004</v>
      </c>
      <c r="I71" s="554">
        <f t="shared" si="23"/>
        <v>2004</v>
      </c>
      <c r="J71" s="554">
        <f t="shared" si="23"/>
        <v>2004</v>
      </c>
      <c r="K71" s="554">
        <f t="shared" si="23"/>
        <v>2004</v>
      </c>
      <c r="L71" s="554">
        <f t="shared" si="23"/>
        <v>2004</v>
      </c>
      <c r="M71" s="554">
        <f t="shared" si="23"/>
        <v>2004</v>
      </c>
      <c r="N71" s="554">
        <f t="shared" si="23"/>
        <v>2004</v>
      </c>
      <c r="O71" s="554">
        <f t="shared" si="23"/>
        <v>2004</v>
      </c>
      <c r="P71" s="554">
        <f t="shared" si="23"/>
        <v>2004</v>
      </c>
      <c r="Q71" s="554">
        <f t="shared" si="23"/>
        <v>2004</v>
      </c>
      <c r="R71" s="554">
        <f t="shared" si="23"/>
        <v>2004</v>
      </c>
      <c r="S71" s="554">
        <f t="shared" si="23"/>
        <v>2005</v>
      </c>
      <c r="T71" s="554">
        <f t="shared" si="23"/>
        <v>2005</v>
      </c>
      <c r="U71" s="554">
        <f t="shared" si="23"/>
        <v>2005</v>
      </c>
      <c r="V71" s="554">
        <f t="shared" si="23"/>
        <v>2005</v>
      </c>
      <c r="W71" s="554">
        <f t="shared" si="23"/>
        <v>2005</v>
      </c>
      <c r="X71" s="554">
        <f t="shared" si="23"/>
        <v>2005</v>
      </c>
      <c r="Y71" s="554">
        <f t="shared" si="23"/>
        <v>2005</v>
      </c>
      <c r="Z71" s="554">
        <f t="shared" si="23"/>
        <v>2005</v>
      </c>
      <c r="AA71" s="554">
        <f t="shared" si="23"/>
        <v>2005</v>
      </c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</row>
    <row r="72" spans="1:56">
      <c r="A72" s="505" t="s">
        <v>361</v>
      </c>
      <c r="B72" s="25"/>
      <c r="C72" s="171"/>
      <c r="D72" s="171">
        <v>1</v>
      </c>
      <c r="E72" s="171">
        <f>IF(D72="EOC","EOC",IF(D72+1&lt;=$D$61,D72+1,"EOC"))</f>
        <v>2</v>
      </c>
      <c r="F72" s="171">
        <f t="shared" ref="F72:AA72" si="24">IF(E72="EOC","EOC",IF(E72+1&lt;=$D$61,E72+1,"EOC"))</f>
        <v>3</v>
      </c>
      <c r="G72" s="171" t="str">
        <f t="shared" si="24"/>
        <v>EOC</v>
      </c>
      <c r="H72" s="171" t="str">
        <f t="shared" si="24"/>
        <v>EOC</v>
      </c>
      <c r="I72" s="171" t="str">
        <f t="shared" si="24"/>
        <v>EOC</v>
      </c>
      <c r="J72" s="171" t="str">
        <f t="shared" si="24"/>
        <v>EOC</v>
      </c>
      <c r="K72" s="171" t="str">
        <f t="shared" si="24"/>
        <v>EOC</v>
      </c>
      <c r="L72" s="171" t="str">
        <f t="shared" si="24"/>
        <v>EOC</v>
      </c>
      <c r="M72" s="171" t="str">
        <f t="shared" si="24"/>
        <v>EOC</v>
      </c>
      <c r="N72" s="171" t="str">
        <f t="shared" si="24"/>
        <v>EOC</v>
      </c>
      <c r="O72" s="171" t="str">
        <f t="shared" si="24"/>
        <v>EOC</v>
      </c>
      <c r="P72" s="171" t="str">
        <f t="shared" si="24"/>
        <v>EOC</v>
      </c>
      <c r="Q72" s="171" t="str">
        <f t="shared" si="24"/>
        <v>EOC</v>
      </c>
      <c r="R72" s="171" t="str">
        <f t="shared" si="24"/>
        <v>EOC</v>
      </c>
      <c r="S72" s="171" t="str">
        <f t="shared" si="24"/>
        <v>EOC</v>
      </c>
      <c r="T72" s="171" t="str">
        <f t="shared" si="24"/>
        <v>EOC</v>
      </c>
      <c r="U72" s="171" t="str">
        <f t="shared" si="24"/>
        <v>EOC</v>
      </c>
      <c r="V72" s="171" t="str">
        <f t="shared" si="24"/>
        <v>EOC</v>
      </c>
      <c r="W72" s="171" t="str">
        <f t="shared" si="24"/>
        <v>EOC</v>
      </c>
      <c r="X72" s="171" t="str">
        <f t="shared" si="24"/>
        <v>EOC</v>
      </c>
      <c r="Y72" s="171" t="str">
        <f t="shared" si="24"/>
        <v>EOC</v>
      </c>
      <c r="Z72" s="171" t="str">
        <f t="shared" si="24"/>
        <v>EOC</v>
      </c>
      <c r="AA72" s="171" t="str">
        <f t="shared" si="24"/>
        <v>EOC</v>
      </c>
      <c r="AB72" s="171"/>
      <c r="AC72" s="171"/>
      <c r="AD72" s="171"/>
      <c r="AE72" s="171"/>
      <c r="AF72" s="171"/>
      <c r="AG72" s="171"/>
      <c r="AH72" s="171"/>
      <c r="AI72" s="171"/>
      <c r="AJ72" s="171"/>
      <c r="AK72" s="171"/>
      <c r="AL72" s="171"/>
      <c r="AM72" s="171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</row>
    <row r="73" spans="1:56">
      <c r="A73" s="505" t="s">
        <v>157</v>
      </c>
      <c r="B73" s="25"/>
      <c r="C73" s="171"/>
      <c r="D73" s="53">
        <f>INDEX('Int Curves'!$A$3:$F$324,MATCH(Construction!D76,'Int Curves'!$A$3:$A$324,0),MATCH("Interest Rate Curve",'Int Curves'!$A$3:$F$3,0))+0.015</f>
        <v>7.8434197769736994E-2</v>
      </c>
      <c r="E73" s="53">
        <f>INDEX('Int Curves'!$A$3:$F$324,MATCH(Construction!E76,'Int Curves'!$A$3:$A$324,0),MATCH("Interest Rate Curve",'Int Curves'!$A$3:$F$3,0))+0.015</f>
        <v>7.8453838221216904E-2</v>
      </c>
      <c r="F73" s="53">
        <f>INDEX('Int Curves'!$A$3:$F$324,MATCH(Construction!F76,'Int Curves'!$A$3:$A$324,0),MATCH("Interest Rate Curve",'Int Curves'!$A$3:$F$3,0))+0.015</f>
        <v>7.8472845109867795E-2</v>
      </c>
      <c r="G73" s="53">
        <f>INDEX('Int Curves'!$A$3:$F$324,MATCH(Construction!G76,'Int Curves'!$A$3:$A$324,0),MATCH("Interest Rate Curve",'Int Curves'!$A$3:$F$3,0))+0.015</f>
        <v>7.8492485561599504E-2</v>
      </c>
      <c r="H73" s="53">
        <f>INDEX('Int Curves'!$A$3:$F$324,MATCH(Construction!H76,'Int Curves'!$A$3:$A$324,0),MATCH("Interest Rate Curve",'Int Curves'!$A$3:$F$3,0))+0.015</f>
        <v>7.8512126013459499E-2</v>
      </c>
      <c r="I73" s="53">
        <f>INDEX('Int Curves'!$A$3:$F$324,MATCH(Construction!I76,'Int Curves'!$A$3:$A$324,0),MATCH("Interest Rate Curve",'Int Curves'!$A$3:$F$3,0))+0.015</f>
        <v>7.8530499339508494E-2</v>
      </c>
      <c r="J73" s="53">
        <f>INDEX('Int Curves'!$A$3:$F$324,MATCH(Construction!J76,'Int Curves'!$A$3:$A$324,0),MATCH("Interest Rate Curve",'Int Curves'!$A$3:$F$3,0))+0.015</f>
        <v>7.8550139791615403E-2</v>
      </c>
      <c r="K73" s="53">
        <f>INDEX('Int Curves'!$A$3:$F$324,MATCH(Construction!K76,'Int Curves'!$A$3:$A$324,0),MATCH("Interest Rate Curve",'Int Curves'!$A$3:$F$3,0))+0.015</f>
        <v>7.8569146680873905E-2</v>
      </c>
      <c r="L73" s="53">
        <f>INDEX('Int Curves'!$A$3:$F$324,MATCH(Construction!L76,'Int Curves'!$A$3:$A$324,0),MATCH("Interest Rate Curve",'Int Curves'!$A$3:$F$3,0))+0.015</f>
        <v>7.8588787133232599E-2</v>
      </c>
      <c r="M73" s="53">
        <f>INDEX('Int Curves'!$A$3:$F$324,MATCH(Construction!M76,'Int Curves'!$A$3:$A$324,0),MATCH("Interest Rate Curve",'Int Curves'!$A$3:$F$3,0))+0.015</f>
        <v>7.8607794022734406E-2</v>
      </c>
      <c r="N73" s="53">
        <f>INDEX('Int Curves'!$A$3:$F$324,MATCH(Construction!N76,'Int Curves'!$A$3:$A$324,0),MATCH("Interest Rate Curve",'Int Curves'!$A$3:$F$3,0))+0.015</f>
        <v>7.8627434475345398E-2</v>
      </c>
      <c r="O73" s="53">
        <f>INDEX('Int Curves'!$A$3:$F$324,MATCH(Construction!O76,'Int Curves'!$A$3:$A$324,0),MATCH("Interest Rate Curve",'Int Curves'!$A$3:$F$3,0))+0.015</f>
        <v>7.8647074928084204E-2</v>
      </c>
      <c r="P73" s="53">
        <f>INDEX('Int Curves'!$A$3:$F$324,MATCH(Construction!P76,'Int Curves'!$A$3:$A$324,0),MATCH("Interest Rate Curve",'Int Curves'!$A$3:$F$3,0))+0.015</f>
        <v>7.8666081817953301E-2</v>
      </c>
      <c r="Q73" s="53">
        <f>INDEX('Int Curves'!$A$3:$F$324,MATCH(Construction!Q76,'Int Curves'!$A$3:$A$324,0),MATCH("Interest Rate Curve",'Int Curves'!$A$3:$F$3,0))+0.015</f>
        <v>7.8685722270943906E-2</v>
      </c>
      <c r="R73" s="53">
        <f>INDEX('Int Curves'!$A$3:$F$324,MATCH(Construction!R76,'Int Curves'!$A$3:$A$324,0),MATCH("Interest Rate Curve",'Int Curves'!$A$3:$F$3,0))+0.015</f>
        <v>7.8704729161056405E-2</v>
      </c>
      <c r="S73" s="53">
        <f>INDEX('Int Curves'!$A$3:$F$324,MATCH(Construction!S76,'Int Curves'!$A$3:$A$324,0),MATCH("Interest Rate Curve",'Int Curves'!$A$3:$F$3,0))+0.015</f>
        <v>7.8724369614298795E-2</v>
      </c>
      <c r="T73" s="53">
        <f>INDEX('Int Curves'!$A$3:$F$324,MATCH(Construction!T76,'Int Curves'!$A$3:$A$324,0),MATCH("Interest Rate Curve",'Int Curves'!$A$3:$F$3,0))+0.015</f>
        <v>7.8744010067669193E-2</v>
      </c>
      <c r="U73" s="53">
        <f>INDEX('Int Curves'!$A$3:$F$324,MATCH(Construction!U76,'Int Curves'!$A$3:$A$324,0),MATCH("Interest Rate Curve",'Int Curves'!$A$3:$F$3,0))+0.015</f>
        <v>7.8761749832113301E-2</v>
      </c>
      <c r="V73" s="53">
        <f>INDEX('Int Curves'!$A$3:$F$324,MATCH(Construction!V76,'Int Curves'!$A$3:$A$324,0),MATCH("Interest Rate Curve",'Int Curves'!$A$3:$F$3,0))+0.015</f>
        <v>7.8780176632680901E-2</v>
      </c>
      <c r="W73" s="53">
        <f>INDEX('Int Curves'!$A$3:$F$324,MATCH(Construction!W76,'Int Curves'!$A$3:$A$324,0),MATCH("Interest Rate Curve",'Int Curves'!$A$3:$F$3,0))+0.015</f>
        <v>7.8787046992879903E-2</v>
      </c>
      <c r="X73" s="53">
        <f>INDEX('Int Curves'!$A$3:$F$324,MATCH(Construction!X76,'Int Curves'!$A$3:$A$324,0),MATCH("Interest Rate Curve",'Int Curves'!$A$3:$F$3,0))+0.015</f>
        <v>7.87941463651015E-2</v>
      </c>
      <c r="Y73" s="53">
        <f>INDEX('Int Curves'!$A$3:$F$324,MATCH(Construction!Y76,'Int Curves'!$A$3:$A$324,0),MATCH("Interest Rate Curve",'Int Curves'!$A$3:$F$3,0))+0.015</f>
        <v>7.8801016725331602E-2</v>
      </c>
      <c r="Z73" s="53">
        <f>INDEX('Int Curves'!$A$3:$F$324,MATCH(Construction!Z76,'Int Curves'!$A$3:$A$324,0),MATCH("Interest Rate Curve",'Int Curves'!$A$3:$F$3,0))+0.015</f>
        <v>7.8808116097586506E-2</v>
      </c>
      <c r="AA73" s="53">
        <f>INDEX('Int Curves'!$A$3:$F$324,MATCH(Construction!AA76,'Int Curves'!$A$3:$A$324,0),MATCH("Interest Rate Curve",'Int Curves'!$A$3:$F$3,0))+0.015</f>
        <v>7.8815215469857897E-2</v>
      </c>
      <c r="AB73" s="171"/>
      <c r="AC73" s="171"/>
      <c r="AD73" s="171"/>
      <c r="AE73" s="171"/>
      <c r="AF73" s="171"/>
      <c r="AG73" s="171"/>
      <c r="AH73" s="171"/>
      <c r="AI73" s="171"/>
      <c r="AJ73" s="171"/>
      <c r="AK73" s="171"/>
      <c r="AL73" s="171"/>
      <c r="AM73" s="171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</row>
    <row r="74" spans="1:56">
      <c r="A74" s="505"/>
      <c r="B74" s="25"/>
      <c r="C74" s="171"/>
      <c r="D74" s="171"/>
      <c r="E74" s="171"/>
      <c r="F74" s="171"/>
      <c r="G74" s="171"/>
      <c r="H74" s="171"/>
      <c r="I74" s="171"/>
      <c r="J74" s="171"/>
      <c r="K74" s="171"/>
      <c r="L74" s="171"/>
      <c r="M74" s="171"/>
      <c r="N74" s="171"/>
      <c r="O74" s="171"/>
      <c r="P74" s="171"/>
      <c r="Q74" s="171"/>
      <c r="R74" s="171"/>
      <c r="S74" s="171"/>
      <c r="T74" s="171"/>
      <c r="U74" s="171"/>
      <c r="V74" s="171"/>
      <c r="W74" s="171"/>
      <c r="X74" s="171"/>
      <c r="Y74" s="171"/>
      <c r="Z74" s="171"/>
      <c r="AA74" s="171"/>
      <c r="AB74" s="171"/>
      <c r="AC74" s="171"/>
      <c r="AD74" s="171"/>
      <c r="AE74" s="171"/>
      <c r="AF74" s="171"/>
      <c r="AG74" s="171"/>
      <c r="AH74" s="171"/>
      <c r="AI74" s="171"/>
      <c r="AJ74" s="171"/>
      <c r="AK74" s="171"/>
      <c r="AL74" s="171"/>
      <c r="AM74" s="171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</row>
    <row r="75" spans="1:56" ht="16.5" customHeight="1">
      <c r="A75" s="17"/>
      <c r="B75" s="25"/>
      <c r="C75" s="171"/>
      <c r="D75" s="410"/>
      <c r="E75" s="410"/>
      <c r="F75" s="410"/>
      <c r="G75" s="410"/>
      <c r="H75" s="410"/>
      <c r="I75" s="410"/>
      <c r="J75" s="410"/>
      <c r="K75" s="410"/>
      <c r="L75" s="410"/>
      <c r="M75" s="410"/>
      <c r="N75" s="410"/>
      <c r="O75" s="410"/>
      <c r="P75" s="410"/>
      <c r="Q75" s="410"/>
      <c r="R75" s="410"/>
      <c r="S75" s="410"/>
      <c r="T75" s="410"/>
      <c r="U75" s="410"/>
      <c r="V75" s="410"/>
      <c r="W75" s="410"/>
      <c r="X75" s="410"/>
      <c r="Y75" s="410"/>
      <c r="Z75" s="410"/>
      <c r="AA75" s="410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</row>
    <row r="76" spans="1:56" s="232" customFormat="1" ht="11.25">
      <c r="A76" s="53" t="s">
        <v>213</v>
      </c>
      <c r="B76" s="53"/>
      <c r="C76" s="53"/>
      <c r="D76" s="407">
        <f>Assumptions!E54</f>
        <v>37895</v>
      </c>
      <c r="E76" s="407">
        <f t="shared" ref="E76:AA76" si="25">EDATE(D76,1)</f>
        <v>37926</v>
      </c>
      <c r="F76" s="407">
        <f t="shared" si="25"/>
        <v>37956</v>
      </c>
      <c r="G76" s="407">
        <f t="shared" si="25"/>
        <v>37987</v>
      </c>
      <c r="H76" s="407">
        <f t="shared" si="25"/>
        <v>38018</v>
      </c>
      <c r="I76" s="407">
        <f t="shared" si="25"/>
        <v>38047</v>
      </c>
      <c r="J76" s="407">
        <f t="shared" si="25"/>
        <v>38078</v>
      </c>
      <c r="K76" s="407">
        <f t="shared" si="25"/>
        <v>38108</v>
      </c>
      <c r="L76" s="407">
        <f t="shared" si="25"/>
        <v>38139</v>
      </c>
      <c r="M76" s="407">
        <f t="shared" si="25"/>
        <v>38169</v>
      </c>
      <c r="N76" s="407">
        <f t="shared" si="25"/>
        <v>38200</v>
      </c>
      <c r="O76" s="407">
        <f t="shared" si="25"/>
        <v>38231</v>
      </c>
      <c r="P76" s="407">
        <f t="shared" si="25"/>
        <v>38261</v>
      </c>
      <c r="Q76" s="407">
        <f t="shared" si="25"/>
        <v>38292</v>
      </c>
      <c r="R76" s="407">
        <f t="shared" si="25"/>
        <v>38322</v>
      </c>
      <c r="S76" s="407">
        <f t="shared" si="25"/>
        <v>38353</v>
      </c>
      <c r="T76" s="407">
        <f t="shared" si="25"/>
        <v>38384</v>
      </c>
      <c r="U76" s="407">
        <f t="shared" si="25"/>
        <v>38412</v>
      </c>
      <c r="V76" s="407">
        <f t="shared" si="25"/>
        <v>38443</v>
      </c>
      <c r="W76" s="407">
        <f t="shared" si="25"/>
        <v>38473</v>
      </c>
      <c r="X76" s="407">
        <f t="shared" si="25"/>
        <v>38504</v>
      </c>
      <c r="Y76" s="407">
        <f t="shared" si="25"/>
        <v>38534</v>
      </c>
      <c r="Z76" s="407">
        <f t="shared" si="25"/>
        <v>38565</v>
      </c>
      <c r="AA76" s="407">
        <f t="shared" si="25"/>
        <v>38596</v>
      </c>
      <c r="AB76" s="407"/>
      <c r="AC76" s="407"/>
      <c r="AD76" s="407"/>
      <c r="AE76" s="407"/>
      <c r="AF76" s="407"/>
      <c r="AG76" s="407"/>
      <c r="AH76" s="407"/>
      <c r="AI76" s="407"/>
      <c r="AJ76" s="407"/>
      <c r="AK76" s="407"/>
      <c r="AL76" s="407"/>
      <c r="AM76" s="407"/>
      <c r="AN76" s="407"/>
      <c r="AO76" s="407"/>
    </row>
    <row r="77" spans="1:56" s="232" customFormat="1" ht="11.25">
      <c r="A77" s="53" t="s">
        <v>381</v>
      </c>
      <c r="B77" s="53"/>
      <c r="C77" s="53"/>
      <c r="D77" s="407">
        <f t="shared" ref="D77:AA77" si="26">EOMONTH(D76,0)</f>
        <v>37925</v>
      </c>
      <c r="E77" s="407">
        <f t="shared" si="26"/>
        <v>37955</v>
      </c>
      <c r="F77" s="407">
        <f t="shared" si="26"/>
        <v>37986</v>
      </c>
      <c r="G77" s="407">
        <f t="shared" si="26"/>
        <v>38017</v>
      </c>
      <c r="H77" s="407">
        <f t="shared" si="26"/>
        <v>38046</v>
      </c>
      <c r="I77" s="407">
        <f t="shared" si="26"/>
        <v>38077</v>
      </c>
      <c r="J77" s="407">
        <f t="shared" si="26"/>
        <v>38107</v>
      </c>
      <c r="K77" s="407">
        <f t="shared" si="26"/>
        <v>38138</v>
      </c>
      <c r="L77" s="407">
        <f t="shared" si="26"/>
        <v>38168</v>
      </c>
      <c r="M77" s="407">
        <f t="shared" si="26"/>
        <v>38199</v>
      </c>
      <c r="N77" s="407">
        <f t="shared" si="26"/>
        <v>38230</v>
      </c>
      <c r="O77" s="407">
        <f t="shared" si="26"/>
        <v>38260</v>
      </c>
      <c r="P77" s="407">
        <f t="shared" si="26"/>
        <v>38291</v>
      </c>
      <c r="Q77" s="407">
        <f t="shared" si="26"/>
        <v>38321</v>
      </c>
      <c r="R77" s="407">
        <f t="shared" si="26"/>
        <v>38352</v>
      </c>
      <c r="S77" s="407">
        <f t="shared" si="26"/>
        <v>38383</v>
      </c>
      <c r="T77" s="407">
        <f t="shared" si="26"/>
        <v>38411</v>
      </c>
      <c r="U77" s="407">
        <f t="shared" si="26"/>
        <v>38442</v>
      </c>
      <c r="V77" s="407">
        <f t="shared" si="26"/>
        <v>38472</v>
      </c>
      <c r="W77" s="407">
        <f t="shared" si="26"/>
        <v>38503</v>
      </c>
      <c r="X77" s="407">
        <f t="shared" si="26"/>
        <v>38533</v>
      </c>
      <c r="Y77" s="407">
        <f t="shared" si="26"/>
        <v>38564</v>
      </c>
      <c r="Z77" s="407">
        <f t="shared" si="26"/>
        <v>38595</v>
      </c>
      <c r="AA77" s="407">
        <f t="shared" si="26"/>
        <v>38625</v>
      </c>
      <c r="AB77" s="407"/>
      <c r="AC77" s="407"/>
      <c r="AD77" s="407"/>
      <c r="AE77" s="407"/>
      <c r="AF77" s="407"/>
      <c r="AG77" s="407"/>
      <c r="AH77" s="407"/>
      <c r="AI77" s="407"/>
      <c r="AJ77" s="407"/>
      <c r="AK77" s="407"/>
      <c r="AL77" s="407"/>
      <c r="AM77" s="407"/>
      <c r="AN77" s="407"/>
      <c r="AO77" s="407"/>
    </row>
    <row r="78" spans="1:56" ht="16.5" customHeight="1">
      <c r="A78" s="17"/>
      <c r="B78" s="25"/>
      <c r="C78" s="171"/>
      <c r="D78" s="410"/>
      <c r="E78" s="410"/>
      <c r="F78" s="410"/>
      <c r="G78" s="410"/>
      <c r="H78" s="410"/>
      <c r="I78" s="410"/>
      <c r="J78" s="410"/>
      <c r="K78" s="410"/>
      <c r="L78" s="410"/>
      <c r="M78" s="410"/>
      <c r="N78" s="410"/>
      <c r="O78" s="410"/>
      <c r="P78" s="410"/>
      <c r="Q78" s="410"/>
      <c r="R78" s="410"/>
      <c r="S78" s="410"/>
      <c r="T78" s="410"/>
      <c r="U78" s="410"/>
      <c r="V78" s="410"/>
      <c r="W78" s="410"/>
      <c r="X78" s="410"/>
      <c r="Y78" s="410"/>
      <c r="Z78" s="410"/>
      <c r="AA78" s="410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</row>
    <row r="79" spans="1:56">
      <c r="A79" s="513" t="s">
        <v>372</v>
      </c>
      <c r="B79" s="25"/>
      <c r="C79" s="171"/>
      <c r="D79" s="419"/>
      <c r="E79" s="417"/>
      <c r="F79" s="417"/>
      <c r="G79" s="417"/>
      <c r="H79" s="417"/>
      <c r="I79" s="417"/>
      <c r="J79" s="417"/>
      <c r="K79" s="417"/>
      <c r="L79" s="417"/>
      <c r="M79" s="417"/>
      <c r="N79" s="417"/>
      <c r="O79" s="417"/>
      <c r="P79" s="417"/>
      <c r="Q79" s="417"/>
      <c r="R79" s="417"/>
      <c r="S79" s="417"/>
      <c r="T79" s="417"/>
      <c r="U79" s="417"/>
      <c r="V79" s="417"/>
      <c r="W79" s="417"/>
      <c r="X79" s="417"/>
      <c r="Y79" s="417"/>
      <c r="Z79" s="417"/>
      <c r="AA79" s="418"/>
      <c r="AB79" s="171"/>
      <c r="AC79" s="171"/>
      <c r="AD79" s="171"/>
      <c r="AE79" s="171"/>
      <c r="AF79" s="171"/>
      <c r="AG79" s="171"/>
      <c r="AH79" s="171"/>
      <c r="AI79" s="171"/>
      <c r="AJ79" s="171"/>
      <c r="AK79" s="171"/>
      <c r="AL79" s="171"/>
      <c r="AM79" s="171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</row>
    <row r="80" spans="1:56">
      <c r="A80" s="513" t="s">
        <v>376</v>
      </c>
      <c r="B80" s="25"/>
      <c r="C80" s="171"/>
      <c r="D80" s="404">
        <f>IF(D72&lt;=$D$61,1/$D$61,0)</f>
        <v>0.33333333333333331</v>
      </c>
      <c r="E80" s="404">
        <f t="shared" ref="E80:AA80" si="27">IF(E72&lt;=$D$61,1/$D$61,0)</f>
        <v>0.33333333333333331</v>
      </c>
      <c r="F80" s="404">
        <f t="shared" si="27"/>
        <v>0.33333333333333331</v>
      </c>
      <c r="G80" s="404">
        <f t="shared" si="27"/>
        <v>0</v>
      </c>
      <c r="H80" s="404">
        <f t="shared" si="27"/>
        <v>0</v>
      </c>
      <c r="I80" s="404">
        <f t="shared" si="27"/>
        <v>0</v>
      </c>
      <c r="J80" s="404">
        <f t="shared" si="27"/>
        <v>0</v>
      </c>
      <c r="K80" s="404">
        <f t="shared" si="27"/>
        <v>0</v>
      </c>
      <c r="L80" s="404">
        <f t="shared" si="27"/>
        <v>0</v>
      </c>
      <c r="M80" s="404">
        <f t="shared" si="27"/>
        <v>0</v>
      </c>
      <c r="N80" s="404">
        <f t="shared" si="27"/>
        <v>0</v>
      </c>
      <c r="O80" s="404">
        <f t="shared" si="27"/>
        <v>0</v>
      </c>
      <c r="P80" s="404">
        <f t="shared" si="27"/>
        <v>0</v>
      </c>
      <c r="Q80" s="404">
        <f t="shared" si="27"/>
        <v>0</v>
      </c>
      <c r="R80" s="404">
        <f t="shared" si="27"/>
        <v>0</v>
      </c>
      <c r="S80" s="404">
        <f t="shared" si="27"/>
        <v>0</v>
      </c>
      <c r="T80" s="404">
        <f t="shared" si="27"/>
        <v>0</v>
      </c>
      <c r="U80" s="404">
        <f t="shared" si="27"/>
        <v>0</v>
      </c>
      <c r="V80" s="404">
        <f t="shared" si="27"/>
        <v>0</v>
      </c>
      <c r="W80" s="404">
        <f t="shared" si="27"/>
        <v>0</v>
      </c>
      <c r="X80" s="404">
        <f t="shared" si="27"/>
        <v>0</v>
      </c>
      <c r="Y80" s="404">
        <f t="shared" si="27"/>
        <v>0</v>
      </c>
      <c r="Z80" s="404">
        <f t="shared" si="27"/>
        <v>0</v>
      </c>
      <c r="AA80" s="404">
        <f t="shared" si="27"/>
        <v>0</v>
      </c>
      <c r="AB80" s="171"/>
      <c r="AC80" s="171"/>
      <c r="AD80" s="171"/>
      <c r="AE80" s="171"/>
      <c r="AF80" s="171"/>
      <c r="AG80" s="171"/>
      <c r="AH80" s="171"/>
      <c r="AI80" s="171"/>
      <c r="AJ80" s="171"/>
      <c r="AK80" s="171"/>
      <c r="AL80" s="171"/>
      <c r="AM80" s="171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</row>
    <row r="81" spans="1:56">
      <c r="A81" s="17"/>
      <c r="B81" s="17"/>
      <c r="C81" s="17"/>
      <c r="D81" s="17"/>
      <c r="E81" s="63"/>
      <c r="I81" s="513"/>
      <c r="J81" s="513"/>
      <c r="K81" s="513"/>
      <c r="L81" s="513"/>
      <c r="M81" s="513"/>
      <c r="N81" s="513"/>
      <c r="P81" s="326"/>
      <c r="Q81" s="326"/>
      <c r="R81" s="326"/>
      <c r="S81" s="326"/>
      <c r="T81" s="326"/>
      <c r="U81" s="326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</row>
    <row r="82" spans="1:56" ht="13.5" thickBot="1">
      <c r="A82" s="521" t="s">
        <v>379</v>
      </c>
      <c r="B82" s="511"/>
      <c r="C82" s="511"/>
      <c r="D82" s="522">
        <f>IF(Assumptions!$E$50="YES",Construction!D79,Construction!D80)</f>
        <v>0.33333333333333331</v>
      </c>
      <c r="E82" s="522">
        <f>IF(Assumptions!$E$50="YES",Construction!E79,Construction!E80)</f>
        <v>0.33333333333333331</v>
      </c>
      <c r="F82" s="522">
        <f>IF(Assumptions!$E$50="YES",Construction!F79,Construction!F80)</f>
        <v>0.33333333333333331</v>
      </c>
      <c r="G82" s="522">
        <f>IF(Assumptions!$E$50="YES",Construction!G79,Construction!G80)</f>
        <v>0</v>
      </c>
      <c r="H82" s="522">
        <f>IF(Assumptions!$E$50="YES",Construction!H79,Construction!H80)</f>
        <v>0</v>
      </c>
      <c r="I82" s="522">
        <f>IF(Assumptions!$E$50="YES",Construction!I79,Construction!I80)</f>
        <v>0</v>
      </c>
      <c r="J82" s="522">
        <f>IF(Assumptions!$E$50="YES",Construction!J79,Construction!J80)</f>
        <v>0</v>
      </c>
      <c r="K82" s="522">
        <f>IF(Assumptions!$E$50="YES",Construction!K79,Construction!K80)</f>
        <v>0</v>
      </c>
      <c r="L82" s="522">
        <f>IF(Assumptions!$E$50="YES",Construction!L79,Construction!L80)</f>
        <v>0</v>
      </c>
      <c r="M82" s="522">
        <f>IF(Assumptions!$E$50="YES",Construction!M79,Construction!M80)</f>
        <v>0</v>
      </c>
      <c r="N82" s="522">
        <f>IF(Assumptions!$E$50="YES",Construction!N79,Construction!N80)</f>
        <v>0</v>
      </c>
      <c r="O82" s="522">
        <f>IF(Assumptions!$E$50="YES",Construction!O79,Construction!O80)</f>
        <v>0</v>
      </c>
      <c r="P82" s="522">
        <f>IF(Assumptions!$E$50="YES",Construction!P79,Construction!P80)</f>
        <v>0</v>
      </c>
      <c r="Q82" s="522">
        <f>IF(Assumptions!$E$50="YES",Construction!Q79,Construction!Q80)</f>
        <v>0</v>
      </c>
      <c r="R82" s="522">
        <f>IF(Assumptions!$E$50="YES",Construction!R79,Construction!R80)</f>
        <v>0</v>
      </c>
      <c r="S82" s="522">
        <f>IF(Assumptions!$E$50="YES",Construction!S79,Construction!S80)</f>
        <v>0</v>
      </c>
      <c r="T82" s="522">
        <f>IF(Assumptions!$E$50="YES",Construction!T79,Construction!T80)</f>
        <v>0</v>
      </c>
      <c r="U82" s="522">
        <f>IF(Assumptions!$E$50="YES",Construction!U79,Construction!U80)</f>
        <v>0</v>
      </c>
      <c r="V82" s="522">
        <f>IF(Assumptions!$E$50="YES",Construction!V79,Construction!V80)</f>
        <v>0</v>
      </c>
      <c r="W82" s="522">
        <f>IF(Assumptions!$E$50="YES",Construction!W79,Construction!W80)</f>
        <v>0</v>
      </c>
      <c r="X82" s="522">
        <f>IF(Assumptions!$E$50="YES",Construction!X79,Construction!X80)</f>
        <v>0</v>
      </c>
      <c r="Y82" s="522">
        <f>IF(Assumptions!$E$50="YES",Construction!Y79,Construction!Y80)</f>
        <v>0</v>
      </c>
      <c r="Z82" s="522">
        <f>IF(Assumptions!$E$50="YES",Construction!Z79,Construction!Z80)</f>
        <v>0</v>
      </c>
      <c r="AA82" s="522">
        <f>IF(Assumptions!$E$50="YES",Construction!AA79,Construction!AA80)</f>
        <v>0</v>
      </c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</row>
    <row r="83" spans="1:56">
      <c r="A83" s="17" t="s">
        <v>380</v>
      </c>
      <c r="B83" s="17"/>
      <c r="C83" s="17"/>
      <c r="D83" s="516">
        <f>D82</f>
        <v>0.33333333333333331</v>
      </c>
      <c r="E83" s="406">
        <f t="shared" ref="E83:AA83" si="28">D83+E82</f>
        <v>0.66666666666666663</v>
      </c>
      <c r="F83" s="406">
        <f t="shared" si="28"/>
        <v>1</v>
      </c>
      <c r="G83" s="406">
        <f t="shared" si="28"/>
        <v>1</v>
      </c>
      <c r="H83" s="406">
        <f t="shared" si="28"/>
        <v>1</v>
      </c>
      <c r="I83" s="516">
        <f t="shared" si="28"/>
        <v>1</v>
      </c>
      <c r="J83" s="516">
        <f t="shared" si="28"/>
        <v>1</v>
      </c>
      <c r="K83" s="516">
        <f t="shared" si="28"/>
        <v>1</v>
      </c>
      <c r="L83" s="516">
        <f t="shared" si="28"/>
        <v>1</v>
      </c>
      <c r="M83" s="516">
        <f t="shared" si="28"/>
        <v>1</v>
      </c>
      <c r="N83" s="516">
        <f t="shared" si="28"/>
        <v>1</v>
      </c>
      <c r="O83" s="406">
        <f t="shared" si="28"/>
        <v>1</v>
      </c>
      <c r="P83" s="406">
        <f t="shared" si="28"/>
        <v>1</v>
      </c>
      <c r="Q83" s="406">
        <f t="shared" si="28"/>
        <v>1</v>
      </c>
      <c r="R83" s="406">
        <f t="shared" si="28"/>
        <v>1</v>
      </c>
      <c r="S83" s="406">
        <f t="shared" si="28"/>
        <v>1</v>
      </c>
      <c r="T83" s="406">
        <f t="shared" si="28"/>
        <v>1</v>
      </c>
      <c r="U83" s="406">
        <f t="shared" si="28"/>
        <v>1</v>
      </c>
      <c r="V83" s="406">
        <f t="shared" si="28"/>
        <v>1</v>
      </c>
      <c r="W83" s="406">
        <f t="shared" si="28"/>
        <v>1</v>
      </c>
      <c r="X83" s="406">
        <f t="shared" si="28"/>
        <v>1</v>
      </c>
      <c r="Y83" s="406">
        <f t="shared" si="28"/>
        <v>1</v>
      </c>
      <c r="Z83" s="406">
        <f t="shared" si="28"/>
        <v>1</v>
      </c>
      <c r="AA83" s="406">
        <f t="shared" si="28"/>
        <v>1</v>
      </c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</row>
    <row r="84" spans="1:56">
      <c r="A84" s="17"/>
      <c r="B84" s="17"/>
      <c r="C84" s="17"/>
      <c r="D84" s="17"/>
      <c r="E84" s="63"/>
      <c r="I84" s="513"/>
      <c r="J84" s="513"/>
      <c r="K84" s="513"/>
      <c r="L84" s="513"/>
      <c r="M84" s="513"/>
      <c r="N84" s="513"/>
      <c r="P84" s="326"/>
      <c r="Q84" s="326"/>
      <c r="R84" s="326"/>
      <c r="S84" s="326"/>
      <c r="T84" s="326"/>
      <c r="U84" s="326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</row>
    <row r="85" spans="1:56">
      <c r="A85" s="17" t="s">
        <v>387</v>
      </c>
      <c r="B85" s="17"/>
      <c r="C85" s="17"/>
      <c r="D85" s="353">
        <f>$D$69*D82</f>
        <v>0</v>
      </c>
      <c r="E85" s="353">
        <f t="shared" ref="E85:AA85" si="29">$D$69*E82</f>
        <v>0</v>
      </c>
      <c r="F85" s="353">
        <f t="shared" si="29"/>
        <v>0</v>
      </c>
      <c r="G85" s="353">
        <f t="shared" si="29"/>
        <v>0</v>
      </c>
      <c r="H85" s="353">
        <f t="shared" si="29"/>
        <v>0</v>
      </c>
      <c r="I85" s="353">
        <f t="shared" si="29"/>
        <v>0</v>
      </c>
      <c r="J85" s="353">
        <f t="shared" si="29"/>
        <v>0</v>
      </c>
      <c r="K85" s="353">
        <f t="shared" si="29"/>
        <v>0</v>
      </c>
      <c r="L85" s="353">
        <f t="shared" si="29"/>
        <v>0</v>
      </c>
      <c r="M85" s="353">
        <f t="shared" si="29"/>
        <v>0</v>
      </c>
      <c r="N85" s="353">
        <f t="shared" si="29"/>
        <v>0</v>
      </c>
      <c r="O85" s="353">
        <f t="shared" si="29"/>
        <v>0</v>
      </c>
      <c r="P85" s="353">
        <f t="shared" si="29"/>
        <v>0</v>
      </c>
      <c r="Q85" s="353">
        <f t="shared" si="29"/>
        <v>0</v>
      </c>
      <c r="R85" s="353">
        <f t="shared" si="29"/>
        <v>0</v>
      </c>
      <c r="S85" s="353">
        <f t="shared" si="29"/>
        <v>0</v>
      </c>
      <c r="T85" s="353">
        <f t="shared" si="29"/>
        <v>0</v>
      </c>
      <c r="U85" s="353">
        <f t="shared" si="29"/>
        <v>0</v>
      </c>
      <c r="V85" s="353">
        <f t="shared" si="29"/>
        <v>0</v>
      </c>
      <c r="W85" s="353">
        <f t="shared" si="29"/>
        <v>0</v>
      </c>
      <c r="X85" s="353">
        <f t="shared" si="29"/>
        <v>0</v>
      </c>
      <c r="Y85" s="353">
        <f t="shared" si="29"/>
        <v>0</v>
      </c>
      <c r="Z85" s="353">
        <f t="shared" si="29"/>
        <v>0</v>
      </c>
      <c r="AA85" s="353">
        <f t="shared" si="29"/>
        <v>0</v>
      </c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</row>
    <row r="86" spans="1:56">
      <c r="A86" s="17" t="s">
        <v>388</v>
      </c>
      <c r="B86" s="17"/>
      <c r="C86" s="17"/>
      <c r="D86" s="353">
        <f>D85</f>
        <v>0</v>
      </c>
      <c r="E86" s="414">
        <f t="shared" ref="E86:AA86" si="30">D86+E85</f>
        <v>0</v>
      </c>
      <c r="F86" s="414">
        <f t="shared" si="30"/>
        <v>0</v>
      </c>
      <c r="G86" s="414">
        <f t="shared" si="30"/>
        <v>0</v>
      </c>
      <c r="H86" s="414">
        <f t="shared" si="30"/>
        <v>0</v>
      </c>
      <c r="I86" s="519">
        <f t="shared" si="30"/>
        <v>0</v>
      </c>
      <c r="J86" s="519">
        <f t="shared" si="30"/>
        <v>0</v>
      </c>
      <c r="K86" s="519">
        <f t="shared" si="30"/>
        <v>0</v>
      </c>
      <c r="L86" s="519">
        <f t="shared" si="30"/>
        <v>0</v>
      </c>
      <c r="M86" s="519">
        <f t="shared" si="30"/>
        <v>0</v>
      </c>
      <c r="N86" s="519">
        <f t="shared" si="30"/>
        <v>0</v>
      </c>
      <c r="O86" s="414">
        <f t="shared" si="30"/>
        <v>0</v>
      </c>
      <c r="P86" s="414">
        <f t="shared" si="30"/>
        <v>0</v>
      </c>
      <c r="Q86" s="414">
        <f t="shared" si="30"/>
        <v>0</v>
      </c>
      <c r="R86" s="414">
        <f t="shared" si="30"/>
        <v>0</v>
      </c>
      <c r="S86" s="414">
        <f t="shared" si="30"/>
        <v>0</v>
      </c>
      <c r="T86" s="414">
        <f t="shared" si="30"/>
        <v>0</v>
      </c>
      <c r="U86" s="414">
        <f t="shared" si="30"/>
        <v>0</v>
      </c>
      <c r="V86" s="414">
        <f t="shared" si="30"/>
        <v>0</v>
      </c>
      <c r="W86" s="414">
        <f t="shared" si="30"/>
        <v>0</v>
      </c>
      <c r="X86" s="414">
        <f t="shared" si="30"/>
        <v>0</v>
      </c>
      <c r="Y86" s="414">
        <f t="shared" si="30"/>
        <v>0</v>
      </c>
      <c r="Z86" s="414">
        <f t="shared" si="30"/>
        <v>0</v>
      </c>
      <c r="AA86" s="414">
        <f t="shared" si="30"/>
        <v>0</v>
      </c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</row>
    <row r="87" spans="1:56">
      <c r="A87" s="17"/>
      <c r="B87" s="17"/>
      <c r="C87" s="17"/>
      <c r="D87" s="17"/>
      <c r="E87" s="63"/>
      <c r="I87" s="513"/>
      <c r="J87" s="513"/>
      <c r="K87" s="513"/>
      <c r="L87" s="513"/>
      <c r="M87" s="513"/>
      <c r="N87" s="513"/>
      <c r="P87" s="326"/>
      <c r="Q87" s="326"/>
      <c r="R87" s="326"/>
      <c r="S87" s="326"/>
      <c r="T87" s="326"/>
      <c r="U87" s="326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</row>
    <row r="88" spans="1:56">
      <c r="A88" s="17"/>
      <c r="B88" s="17"/>
      <c r="C88" s="17"/>
      <c r="D88" s="17"/>
      <c r="G88" s="17"/>
      <c r="I88" s="513"/>
      <c r="J88" s="513"/>
      <c r="K88" s="513"/>
      <c r="L88" s="513"/>
      <c r="M88" s="513"/>
      <c r="N88" s="513"/>
      <c r="P88" s="326"/>
      <c r="Q88" s="326"/>
      <c r="R88" s="326"/>
      <c r="S88" s="326"/>
      <c r="T88" s="326"/>
      <c r="U88" s="326"/>
    </row>
    <row r="89" spans="1:56" s="232" customFormat="1" ht="11.25">
      <c r="A89" s="53"/>
      <c r="B89" s="53"/>
      <c r="C89" s="53"/>
      <c r="D89" s="290"/>
      <c r="E89" s="290"/>
      <c r="F89" s="290"/>
      <c r="G89" s="290"/>
      <c r="H89" s="290"/>
      <c r="I89" s="290"/>
      <c r="J89" s="290"/>
      <c r="K89" s="290"/>
      <c r="L89" s="290"/>
      <c r="M89" s="290"/>
      <c r="N89" s="290"/>
      <c r="O89" s="290"/>
      <c r="P89" s="290"/>
      <c r="Q89" s="290"/>
      <c r="R89" s="290"/>
      <c r="S89" s="290"/>
      <c r="T89" s="290"/>
      <c r="U89" s="290"/>
      <c r="V89" s="290"/>
      <c r="W89" s="290"/>
      <c r="X89" s="290"/>
      <c r="Y89" s="290"/>
      <c r="Z89" s="290"/>
      <c r="AA89" s="290"/>
      <c r="AB89" s="53"/>
      <c r="AC89" s="53"/>
    </row>
    <row r="90" spans="1:56" s="291" customFormat="1">
      <c r="A90" s="196" t="s">
        <v>217</v>
      </c>
      <c r="B90" s="196"/>
      <c r="C90" s="196"/>
      <c r="D90" s="289">
        <f t="shared" ref="D90:AA90" si="31">D77</f>
        <v>37925</v>
      </c>
      <c r="E90" s="289">
        <f t="shared" si="31"/>
        <v>37955</v>
      </c>
      <c r="F90" s="289">
        <f t="shared" si="31"/>
        <v>37986</v>
      </c>
      <c r="G90" s="289">
        <f t="shared" si="31"/>
        <v>38017</v>
      </c>
      <c r="H90" s="289">
        <f t="shared" si="31"/>
        <v>38046</v>
      </c>
      <c r="I90" s="289">
        <f t="shared" si="31"/>
        <v>38077</v>
      </c>
      <c r="J90" s="289">
        <f t="shared" si="31"/>
        <v>38107</v>
      </c>
      <c r="K90" s="289">
        <f t="shared" si="31"/>
        <v>38138</v>
      </c>
      <c r="L90" s="289">
        <f t="shared" si="31"/>
        <v>38168</v>
      </c>
      <c r="M90" s="289">
        <f t="shared" si="31"/>
        <v>38199</v>
      </c>
      <c r="N90" s="289">
        <f t="shared" si="31"/>
        <v>38230</v>
      </c>
      <c r="O90" s="289">
        <f t="shared" si="31"/>
        <v>38260</v>
      </c>
      <c r="P90" s="289">
        <f t="shared" si="31"/>
        <v>38291</v>
      </c>
      <c r="Q90" s="289">
        <f t="shared" si="31"/>
        <v>38321</v>
      </c>
      <c r="R90" s="289">
        <f t="shared" si="31"/>
        <v>38352</v>
      </c>
      <c r="S90" s="289">
        <f t="shared" si="31"/>
        <v>38383</v>
      </c>
      <c r="T90" s="289">
        <f t="shared" si="31"/>
        <v>38411</v>
      </c>
      <c r="U90" s="289">
        <f t="shared" si="31"/>
        <v>38442</v>
      </c>
      <c r="V90" s="289">
        <f t="shared" si="31"/>
        <v>38472</v>
      </c>
      <c r="W90" s="289">
        <f t="shared" si="31"/>
        <v>38503</v>
      </c>
      <c r="X90" s="289">
        <f t="shared" si="31"/>
        <v>38533</v>
      </c>
      <c r="Y90" s="289">
        <f t="shared" si="31"/>
        <v>38564</v>
      </c>
      <c r="Z90" s="289">
        <f t="shared" si="31"/>
        <v>38595</v>
      </c>
      <c r="AA90" s="552">
        <f t="shared" si="31"/>
        <v>38625</v>
      </c>
      <c r="AB90" s="289"/>
      <c r="AC90" s="289"/>
      <c r="AD90" s="196"/>
    </row>
    <row r="91" spans="1:56" s="232" customFormat="1" ht="11.25">
      <c r="A91" s="53" t="s">
        <v>215</v>
      </c>
      <c r="B91" s="53"/>
      <c r="C91" s="53"/>
      <c r="D91" s="409">
        <f>D80</f>
        <v>0.33333333333333331</v>
      </c>
      <c r="E91" s="409">
        <f t="shared" ref="E91:J91" si="32">E80</f>
        <v>0.33333333333333331</v>
      </c>
      <c r="F91" s="409">
        <f t="shared" si="32"/>
        <v>0.33333333333333331</v>
      </c>
      <c r="G91" s="409">
        <f t="shared" si="32"/>
        <v>0</v>
      </c>
      <c r="H91" s="409">
        <f t="shared" si="32"/>
        <v>0</v>
      </c>
      <c r="I91" s="409">
        <f t="shared" si="32"/>
        <v>0</v>
      </c>
      <c r="J91" s="409">
        <f t="shared" si="32"/>
        <v>0</v>
      </c>
      <c r="K91" s="409"/>
      <c r="L91" s="409"/>
      <c r="M91" s="409"/>
      <c r="N91" s="409"/>
      <c r="O91" s="409"/>
      <c r="P91" s="409"/>
      <c r="Q91" s="409"/>
      <c r="R91" s="409"/>
      <c r="S91" s="409"/>
      <c r="T91" s="409"/>
      <c r="U91" s="409"/>
      <c r="V91" s="409"/>
      <c r="W91" s="409"/>
      <c r="X91" s="409"/>
      <c r="Y91" s="409"/>
      <c r="Z91" s="409"/>
      <c r="AA91" s="415"/>
      <c r="AB91" s="53"/>
      <c r="AC91" s="53"/>
      <c r="AD91" s="53"/>
    </row>
    <row r="92" spans="1:56" s="232" customFormat="1" ht="11.25">
      <c r="A92" s="53" t="s">
        <v>214</v>
      </c>
      <c r="B92" s="53"/>
      <c r="C92" s="53"/>
      <c r="D92" s="290">
        <f>D91</f>
        <v>0.33333333333333331</v>
      </c>
      <c r="E92" s="290">
        <f t="shared" ref="E92:AA92" si="33">D92+E91</f>
        <v>0.66666666666666663</v>
      </c>
      <c r="F92" s="290">
        <f t="shared" si="33"/>
        <v>1</v>
      </c>
      <c r="G92" s="290">
        <f t="shared" si="33"/>
        <v>1</v>
      </c>
      <c r="H92" s="290">
        <f t="shared" si="33"/>
        <v>1</v>
      </c>
      <c r="I92" s="290">
        <f t="shared" si="33"/>
        <v>1</v>
      </c>
      <c r="J92" s="290">
        <f t="shared" si="33"/>
        <v>1</v>
      </c>
      <c r="K92" s="290">
        <f t="shared" si="33"/>
        <v>1</v>
      </c>
      <c r="L92" s="290">
        <f t="shared" si="33"/>
        <v>1</v>
      </c>
      <c r="M92" s="290">
        <f t="shared" si="33"/>
        <v>1</v>
      </c>
      <c r="N92" s="290">
        <f t="shared" si="33"/>
        <v>1</v>
      </c>
      <c r="O92" s="290">
        <f t="shared" si="33"/>
        <v>1</v>
      </c>
      <c r="P92" s="290">
        <f t="shared" si="33"/>
        <v>1</v>
      </c>
      <c r="Q92" s="290">
        <f t="shared" si="33"/>
        <v>1</v>
      </c>
      <c r="R92" s="290">
        <f t="shared" si="33"/>
        <v>1</v>
      </c>
      <c r="S92" s="290">
        <f t="shared" si="33"/>
        <v>1</v>
      </c>
      <c r="T92" s="290">
        <f t="shared" si="33"/>
        <v>1</v>
      </c>
      <c r="U92" s="290">
        <f t="shared" si="33"/>
        <v>1</v>
      </c>
      <c r="V92" s="290">
        <f t="shared" si="33"/>
        <v>1</v>
      </c>
      <c r="W92" s="290">
        <f t="shared" si="33"/>
        <v>1</v>
      </c>
      <c r="X92" s="290">
        <f t="shared" si="33"/>
        <v>1</v>
      </c>
      <c r="Y92" s="290">
        <f t="shared" si="33"/>
        <v>1</v>
      </c>
      <c r="Z92" s="290">
        <f t="shared" si="33"/>
        <v>1</v>
      </c>
      <c r="AA92" s="416">
        <f t="shared" si="33"/>
        <v>1</v>
      </c>
      <c r="AB92" s="53"/>
      <c r="AC92" s="53"/>
      <c r="AD92" s="53"/>
    </row>
    <row r="93" spans="1:56" s="232" customFormat="1" ht="11.25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</row>
    <row r="94" spans="1:56" s="232" customFormat="1" ht="12" thickBot="1">
      <c r="A94" s="523" t="s">
        <v>19</v>
      </c>
      <c r="B94" s="524"/>
      <c r="C94" s="524"/>
      <c r="D94" s="524"/>
      <c r="E94" s="524"/>
      <c r="F94" s="524"/>
      <c r="G94" s="524"/>
      <c r="H94" s="524"/>
      <c r="I94" s="524"/>
      <c r="J94" s="524"/>
      <c r="K94" s="524"/>
      <c r="L94" s="524"/>
      <c r="M94" s="524"/>
      <c r="N94" s="524"/>
      <c r="O94" s="524"/>
      <c r="P94" s="524"/>
      <c r="Q94" s="524"/>
      <c r="R94" s="524"/>
      <c r="S94" s="524"/>
      <c r="T94" s="524"/>
      <c r="U94" s="524"/>
      <c r="V94" s="524"/>
      <c r="W94" s="524"/>
      <c r="X94" s="524"/>
      <c r="Y94" s="524"/>
      <c r="Z94" s="524"/>
      <c r="AA94" s="524"/>
      <c r="AB94" s="53"/>
      <c r="AC94" s="53"/>
    </row>
    <row r="95" spans="1:56" s="232" customFormat="1" ht="11.25">
      <c r="A95" s="53" t="s">
        <v>382</v>
      </c>
      <c r="B95" s="53"/>
      <c r="C95" s="53"/>
      <c r="D95" s="39">
        <f>IF(D72="EOC",0,D68)</f>
        <v>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</row>
    <row r="96" spans="1:56" s="232" customFormat="1" ht="11.25">
      <c r="A96" s="53" t="s">
        <v>216</v>
      </c>
      <c r="B96" s="53"/>
      <c r="C96" s="53"/>
      <c r="D96" s="268">
        <f t="shared" ref="D96:AA96" si="34">IF(D72="EOC",0,C98)</f>
        <v>0</v>
      </c>
      <c r="E96" s="230">
        <f t="shared" si="34"/>
        <v>0</v>
      </c>
      <c r="F96" s="230">
        <f t="shared" si="34"/>
        <v>0</v>
      </c>
      <c r="G96" s="230">
        <f t="shared" si="34"/>
        <v>0</v>
      </c>
      <c r="H96" s="230">
        <f t="shared" si="34"/>
        <v>0</v>
      </c>
      <c r="I96" s="268">
        <f t="shared" si="34"/>
        <v>0</v>
      </c>
      <c r="J96" s="268">
        <f t="shared" si="34"/>
        <v>0</v>
      </c>
      <c r="K96" s="268">
        <f t="shared" si="34"/>
        <v>0</v>
      </c>
      <c r="L96" s="268">
        <f t="shared" si="34"/>
        <v>0</v>
      </c>
      <c r="M96" s="268">
        <f t="shared" si="34"/>
        <v>0</v>
      </c>
      <c r="N96" s="268">
        <f t="shared" si="34"/>
        <v>0</v>
      </c>
      <c r="O96" s="230">
        <f t="shared" si="34"/>
        <v>0</v>
      </c>
      <c r="P96" s="230">
        <f t="shared" si="34"/>
        <v>0</v>
      </c>
      <c r="Q96" s="230">
        <f t="shared" si="34"/>
        <v>0</v>
      </c>
      <c r="R96" s="230">
        <f t="shared" si="34"/>
        <v>0</v>
      </c>
      <c r="S96" s="230">
        <f t="shared" si="34"/>
        <v>0</v>
      </c>
      <c r="T96" s="230">
        <f t="shared" si="34"/>
        <v>0</v>
      </c>
      <c r="U96" s="230">
        <f t="shared" si="34"/>
        <v>0</v>
      </c>
      <c r="V96" s="230">
        <f t="shared" si="34"/>
        <v>0</v>
      </c>
      <c r="W96" s="230">
        <f t="shared" si="34"/>
        <v>0</v>
      </c>
      <c r="X96" s="230">
        <f t="shared" si="34"/>
        <v>0</v>
      </c>
      <c r="Y96" s="230">
        <f t="shared" si="34"/>
        <v>0</v>
      </c>
      <c r="Z96" s="230">
        <f t="shared" si="34"/>
        <v>0</v>
      </c>
      <c r="AA96" s="230">
        <f t="shared" si="34"/>
        <v>0</v>
      </c>
      <c r="AB96" s="53"/>
      <c r="AC96" s="53"/>
    </row>
    <row r="97" spans="1:29" s="232" customFormat="1" ht="11.25">
      <c r="A97" s="53" t="s">
        <v>217</v>
      </c>
      <c r="B97" s="53"/>
      <c r="C97" s="53"/>
      <c r="D97" s="268">
        <f>IF(D72="EOC",0,IF(E72="EOC",MIN(D95,$D$95*D91),$D$95*D91))</f>
        <v>0</v>
      </c>
      <c r="E97" s="268">
        <f>IF(E72="EOC",0,IF(F72="EOC",MIN(E95,$D$95*E91),$D$95*E91))</f>
        <v>0</v>
      </c>
      <c r="F97" s="268">
        <f>IF(F72="EOC",0,IF(G72="EOC",MIN(F95,$D$95*F91),$D$95*F91))</f>
        <v>0</v>
      </c>
      <c r="G97" s="268">
        <f t="shared" ref="G97:AA97" si="35">IF(G72="EOC",0,IF(H72="EOC",MIN(G95,$D$95*G91),$D$95*G91))</f>
        <v>0</v>
      </c>
      <c r="H97" s="268">
        <f t="shared" si="35"/>
        <v>0</v>
      </c>
      <c r="I97" s="268">
        <f t="shared" si="35"/>
        <v>0</v>
      </c>
      <c r="J97" s="268">
        <f t="shared" si="35"/>
        <v>0</v>
      </c>
      <c r="K97" s="268">
        <f t="shared" si="35"/>
        <v>0</v>
      </c>
      <c r="L97" s="268">
        <f t="shared" si="35"/>
        <v>0</v>
      </c>
      <c r="M97" s="268">
        <f t="shared" si="35"/>
        <v>0</v>
      </c>
      <c r="N97" s="268">
        <f t="shared" si="35"/>
        <v>0</v>
      </c>
      <c r="O97" s="268">
        <f t="shared" si="35"/>
        <v>0</v>
      </c>
      <c r="P97" s="268">
        <f t="shared" si="35"/>
        <v>0</v>
      </c>
      <c r="Q97" s="268">
        <f t="shared" si="35"/>
        <v>0</v>
      </c>
      <c r="R97" s="268">
        <f t="shared" si="35"/>
        <v>0</v>
      </c>
      <c r="S97" s="268">
        <f t="shared" si="35"/>
        <v>0</v>
      </c>
      <c r="T97" s="268">
        <f t="shared" si="35"/>
        <v>0</v>
      </c>
      <c r="U97" s="268">
        <f t="shared" si="35"/>
        <v>0</v>
      </c>
      <c r="V97" s="268">
        <f t="shared" si="35"/>
        <v>0</v>
      </c>
      <c r="W97" s="268">
        <f t="shared" si="35"/>
        <v>0</v>
      </c>
      <c r="X97" s="268">
        <f t="shared" si="35"/>
        <v>0</v>
      </c>
      <c r="Y97" s="268">
        <f t="shared" si="35"/>
        <v>0</v>
      </c>
      <c r="Z97" s="268">
        <f t="shared" si="35"/>
        <v>0</v>
      </c>
      <c r="AA97" s="268">
        <f t="shared" si="35"/>
        <v>0</v>
      </c>
      <c r="AB97" s="53"/>
      <c r="AC97" s="53"/>
    </row>
    <row r="98" spans="1:29" s="232" customFormat="1" ht="11.25">
      <c r="A98" s="53" t="s">
        <v>218</v>
      </c>
      <c r="B98" s="53"/>
      <c r="C98" s="53"/>
      <c r="D98" s="329">
        <f t="shared" ref="D98:AA98" si="36">D96+D97</f>
        <v>0</v>
      </c>
      <c r="E98" s="329">
        <f t="shared" si="36"/>
        <v>0</v>
      </c>
      <c r="F98" s="329">
        <f t="shared" si="36"/>
        <v>0</v>
      </c>
      <c r="G98" s="329">
        <f t="shared" si="36"/>
        <v>0</v>
      </c>
      <c r="H98" s="329">
        <f t="shared" si="36"/>
        <v>0</v>
      </c>
      <c r="I98" s="329">
        <f t="shared" si="36"/>
        <v>0</v>
      </c>
      <c r="J98" s="329">
        <f t="shared" si="36"/>
        <v>0</v>
      </c>
      <c r="K98" s="329">
        <f t="shared" si="36"/>
        <v>0</v>
      </c>
      <c r="L98" s="329">
        <f t="shared" si="36"/>
        <v>0</v>
      </c>
      <c r="M98" s="329">
        <f t="shared" si="36"/>
        <v>0</v>
      </c>
      <c r="N98" s="329">
        <f t="shared" si="36"/>
        <v>0</v>
      </c>
      <c r="O98" s="329">
        <f t="shared" si="36"/>
        <v>0</v>
      </c>
      <c r="P98" s="329">
        <f t="shared" si="36"/>
        <v>0</v>
      </c>
      <c r="Q98" s="329">
        <f t="shared" si="36"/>
        <v>0</v>
      </c>
      <c r="R98" s="329">
        <f t="shared" si="36"/>
        <v>0</v>
      </c>
      <c r="S98" s="329">
        <f t="shared" si="36"/>
        <v>0</v>
      </c>
      <c r="T98" s="329">
        <f t="shared" si="36"/>
        <v>0</v>
      </c>
      <c r="U98" s="329">
        <f t="shared" si="36"/>
        <v>0</v>
      </c>
      <c r="V98" s="329">
        <f t="shared" si="36"/>
        <v>0</v>
      </c>
      <c r="W98" s="329">
        <f t="shared" si="36"/>
        <v>0</v>
      </c>
      <c r="X98" s="329">
        <f t="shared" si="36"/>
        <v>0</v>
      </c>
      <c r="Y98" s="329">
        <f t="shared" si="36"/>
        <v>0</v>
      </c>
      <c r="Z98" s="329">
        <f t="shared" si="36"/>
        <v>0</v>
      </c>
      <c r="AA98" s="329">
        <f t="shared" si="36"/>
        <v>0</v>
      </c>
      <c r="AB98" s="53"/>
      <c r="AC98" s="53"/>
    </row>
    <row r="99" spans="1:29" s="232" customFormat="1" ht="11.25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</row>
    <row r="100" spans="1:29" s="232" customFormat="1" ht="11.25">
      <c r="A100" s="408" t="s">
        <v>18</v>
      </c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</row>
    <row r="101" spans="1:29" s="232" customFormat="1" ht="11.25">
      <c r="A101" s="53" t="s">
        <v>383</v>
      </c>
      <c r="B101" s="53"/>
      <c r="C101" s="53"/>
      <c r="D101" s="329">
        <f>D67</f>
        <v>0</v>
      </c>
      <c r="E101" s="230">
        <f t="shared" ref="E101:AA101" si="37">IF(E72="EOC",0,D101-D103)</f>
        <v>0</v>
      </c>
      <c r="F101" s="230">
        <f t="shared" si="37"/>
        <v>0</v>
      </c>
      <c r="G101" s="268">
        <f t="shared" si="37"/>
        <v>0</v>
      </c>
      <c r="H101" s="230">
        <f t="shared" si="37"/>
        <v>0</v>
      </c>
      <c r="I101" s="268">
        <f t="shared" si="37"/>
        <v>0</v>
      </c>
      <c r="J101" s="268">
        <f t="shared" si="37"/>
        <v>0</v>
      </c>
      <c r="K101" s="268">
        <f t="shared" si="37"/>
        <v>0</v>
      </c>
      <c r="L101" s="268">
        <f t="shared" si="37"/>
        <v>0</v>
      </c>
      <c r="M101" s="268">
        <f t="shared" si="37"/>
        <v>0</v>
      </c>
      <c r="N101" s="268">
        <f t="shared" si="37"/>
        <v>0</v>
      </c>
      <c r="O101" s="230">
        <f t="shared" si="37"/>
        <v>0</v>
      </c>
      <c r="P101" s="230">
        <f t="shared" si="37"/>
        <v>0</v>
      </c>
      <c r="Q101" s="230">
        <f t="shared" si="37"/>
        <v>0</v>
      </c>
      <c r="R101" s="230">
        <f t="shared" si="37"/>
        <v>0</v>
      </c>
      <c r="S101" s="230">
        <f t="shared" si="37"/>
        <v>0</v>
      </c>
      <c r="T101" s="230">
        <f t="shared" si="37"/>
        <v>0</v>
      </c>
      <c r="U101" s="230">
        <f t="shared" si="37"/>
        <v>0</v>
      </c>
      <c r="V101" s="230">
        <f t="shared" si="37"/>
        <v>0</v>
      </c>
      <c r="W101" s="230">
        <f t="shared" si="37"/>
        <v>0</v>
      </c>
      <c r="X101" s="230">
        <f t="shared" si="37"/>
        <v>0</v>
      </c>
      <c r="Y101" s="230">
        <f t="shared" si="37"/>
        <v>0</v>
      </c>
      <c r="Z101" s="230">
        <f t="shared" si="37"/>
        <v>0</v>
      </c>
      <c r="AA101" s="230">
        <f t="shared" si="37"/>
        <v>0</v>
      </c>
      <c r="AB101" s="53"/>
      <c r="AC101" s="53"/>
    </row>
    <row r="102" spans="1:29" s="232" customFormat="1" ht="11.25">
      <c r="A102" s="53" t="s">
        <v>216</v>
      </c>
      <c r="B102" s="53"/>
      <c r="C102" s="53"/>
      <c r="D102" s="329">
        <v>0</v>
      </c>
      <c r="E102" s="329">
        <f>D104</f>
        <v>0</v>
      </c>
      <c r="F102" s="329">
        <f>E104</f>
        <v>0</v>
      </c>
      <c r="G102" s="329">
        <f>F104</f>
        <v>0</v>
      </c>
      <c r="H102" s="329">
        <f>G104</f>
        <v>0</v>
      </c>
      <c r="I102" s="329">
        <f>H104</f>
        <v>0</v>
      </c>
      <c r="J102" s="329">
        <f>IF(J72="EOC",0,I102)</f>
        <v>0</v>
      </c>
      <c r="K102" s="329">
        <f t="shared" ref="K102:AA102" si="38">IF(K72="EOC",0,J102)</f>
        <v>0</v>
      </c>
      <c r="L102" s="329">
        <f t="shared" si="38"/>
        <v>0</v>
      </c>
      <c r="M102" s="329">
        <f t="shared" si="38"/>
        <v>0</v>
      </c>
      <c r="N102" s="329">
        <f t="shared" si="38"/>
        <v>0</v>
      </c>
      <c r="O102" s="329">
        <f t="shared" si="38"/>
        <v>0</v>
      </c>
      <c r="P102" s="329">
        <f t="shared" si="38"/>
        <v>0</v>
      </c>
      <c r="Q102" s="329">
        <f t="shared" si="38"/>
        <v>0</v>
      </c>
      <c r="R102" s="329">
        <f t="shared" si="38"/>
        <v>0</v>
      </c>
      <c r="S102" s="329">
        <f t="shared" si="38"/>
        <v>0</v>
      </c>
      <c r="T102" s="329">
        <f t="shared" si="38"/>
        <v>0</v>
      </c>
      <c r="U102" s="329">
        <f t="shared" si="38"/>
        <v>0</v>
      </c>
      <c r="V102" s="329">
        <f t="shared" si="38"/>
        <v>0</v>
      </c>
      <c r="W102" s="329">
        <f t="shared" si="38"/>
        <v>0</v>
      </c>
      <c r="X102" s="329">
        <f t="shared" si="38"/>
        <v>0</v>
      </c>
      <c r="Y102" s="329">
        <f t="shared" si="38"/>
        <v>0</v>
      </c>
      <c r="Z102" s="329">
        <f t="shared" si="38"/>
        <v>0</v>
      </c>
      <c r="AA102" s="329">
        <f t="shared" si="38"/>
        <v>0</v>
      </c>
      <c r="AB102" s="53"/>
      <c r="AC102" s="53"/>
    </row>
    <row r="103" spans="1:29" s="232" customFormat="1" ht="11.25">
      <c r="A103" s="53" t="s">
        <v>384</v>
      </c>
      <c r="B103" s="53"/>
      <c r="C103" s="53"/>
      <c r="D103" s="329">
        <f t="shared" ref="D103:AA103" si="39">D85-D97</f>
        <v>0</v>
      </c>
      <c r="E103" s="329">
        <f t="shared" si="39"/>
        <v>0</v>
      </c>
      <c r="F103" s="329">
        <f t="shared" si="39"/>
        <v>0</v>
      </c>
      <c r="G103" s="329">
        <f t="shared" si="39"/>
        <v>0</v>
      </c>
      <c r="H103" s="329">
        <f t="shared" si="39"/>
        <v>0</v>
      </c>
      <c r="I103" s="329">
        <f t="shared" si="39"/>
        <v>0</v>
      </c>
      <c r="J103" s="329">
        <f t="shared" si="39"/>
        <v>0</v>
      </c>
      <c r="K103" s="329">
        <f t="shared" si="39"/>
        <v>0</v>
      </c>
      <c r="L103" s="329">
        <f t="shared" si="39"/>
        <v>0</v>
      </c>
      <c r="M103" s="329">
        <f t="shared" si="39"/>
        <v>0</v>
      </c>
      <c r="N103" s="329">
        <f t="shared" si="39"/>
        <v>0</v>
      </c>
      <c r="O103" s="329">
        <f t="shared" si="39"/>
        <v>0</v>
      </c>
      <c r="P103" s="329">
        <f t="shared" si="39"/>
        <v>0</v>
      </c>
      <c r="Q103" s="329">
        <f t="shared" si="39"/>
        <v>0</v>
      </c>
      <c r="R103" s="329">
        <f t="shared" si="39"/>
        <v>0</v>
      </c>
      <c r="S103" s="329">
        <f t="shared" si="39"/>
        <v>0</v>
      </c>
      <c r="T103" s="329">
        <f t="shared" si="39"/>
        <v>0</v>
      </c>
      <c r="U103" s="329">
        <f t="shared" si="39"/>
        <v>0</v>
      </c>
      <c r="V103" s="329">
        <f t="shared" si="39"/>
        <v>0</v>
      </c>
      <c r="W103" s="329">
        <f t="shared" si="39"/>
        <v>0</v>
      </c>
      <c r="X103" s="329">
        <f t="shared" si="39"/>
        <v>0</v>
      </c>
      <c r="Y103" s="329">
        <f t="shared" si="39"/>
        <v>0</v>
      </c>
      <c r="Z103" s="329">
        <f t="shared" si="39"/>
        <v>0</v>
      </c>
      <c r="AA103" s="329">
        <f t="shared" si="39"/>
        <v>0</v>
      </c>
      <c r="AB103" s="53"/>
      <c r="AC103" s="53"/>
    </row>
    <row r="104" spans="1:29" s="232" customFormat="1" ht="11.25">
      <c r="A104" s="53" t="s">
        <v>218</v>
      </c>
      <c r="B104" s="53"/>
      <c r="C104" s="53"/>
      <c r="D104" s="329">
        <f t="shared" ref="D104:AA104" si="40">D102+D103</f>
        <v>0</v>
      </c>
      <c r="E104" s="329">
        <f t="shared" si="40"/>
        <v>0</v>
      </c>
      <c r="F104" s="329">
        <f t="shared" si="40"/>
        <v>0</v>
      </c>
      <c r="G104" s="329">
        <f t="shared" si="40"/>
        <v>0</v>
      </c>
      <c r="H104" s="329">
        <f t="shared" si="40"/>
        <v>0</v>
      </c>
      <c r="I104" s="329">
        <f t="shared" si="40"/>
        <v>0</v>
      </c>
      <c r="J104" s="329">
        <f t="shared" si="40"/>
        <v>0</v>
      </c>
      <c r="K104" s="329">
        <f t="shared" si="40"/>
        <v>0</v>
      </c>
      <c r="L104" s="329">
        <f t="shared" si="40"/>
        <v>0</v>
      </c>
      <c r="M104" s="329">
        <f t="shared" si="40"/>
        <v>0</v>
      </c>
      <c r="N104" s="329">
        <f t="shared" si="40"/>
        <v>0</v>
      </c>
      <c r="O104" s="329">
        <f t="shared" si="40"/>
        <v>0</v>
      </c>
      <c r="P104" s="329">
        <f t="shared" si="40"/>
        <v>0</v>
      </c>
      <c r="Q104" s="329">
        <f t="shared" si="40"/>
        <v>0</v>
      </c>
      <c r="R104" s="329">
        <f t="shared" si="40"/>
        <v>0</v>
      </c>
      <c r="S104" s="329">
        <f t="shared" si="40"/>
        <v>0</v>
      </c>
      <c r="T104" s="329">
        <f t="shared" si="40"/>
        <v>0</v>
      </c>
      <c r="U104" s="329">
        <f t="shared" si="40"/>
        <v>0</v>
      </c>
      <c r="V104" s="329">
        <f t="shared" si="40"/>
        <v>0</v>
      </c>
      <c r="W104" s="329">
        <f t="shared" si="40"/>
        <v>0</v>
      </c>
      <c r="X104" s="329">
        <f t="shared" si="40"/>
        <v>0</v>
      </c>
      <c r="Y104" s="329">
        <f t="shared" si="40"/>
        <v>0</v>
      </c>
      <c r="Z104" s="329">
        <f t="shared" si="40"/>
        <v>0</v>
      </c>
      <c r="AA104" s="329">
        <f t="shared" si="40"/>
        <v>0</v>
      </c>
      <c r="AB104" s="53"/>
      <c r="AC104" s="53"/>
    </row>
    <row r="105" spans="1:29" s="232" customFormat="1" ht="11.2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</row>
    <row r="106" spans="1:29" s="232" customFormat="1" ht="12" thickBot="1">
      <c r="A106" s="524" t="s">
        <v>157</v>
      </c>
      <c r="B106" s="524"/>
      <c r="C106" s="524"/>
      <c r="D106" s="525">
        <f>IF(D72="EOC",0,D104*(D73/12))</f>
        <v>0</v>
      </c>
      <c r="E106" s="525">
        <f t="shared" ref="E106:AA106" si="41">IF(E72="EOC",0,E104*(E73/12))</f>
        <v>0</v>
      </c>
      <c r="F106" s="525">
        <f t="shared" si="41"/>
        <v>0</v>
      </c>
      <c r="G106" s="525">
        <f t="shared" si="41"/>
        <v>0</v>
      </c>
      <c r="H106" s="525">
        <f t="shared" si="41"/>
        <v>0</v>
      </c>
      <c r="I106" s="525">
        <f t="shared" si="41"/>
        <v>0</v>
      </c>
      <c r="J106" s="525">
        <f t="shared" si="41"/>
        <v>0</v>
      </c>
      <c r="K106" s="525">
        <f t="shared" si="41"/>
        <v>0</v>
      </c>
      <c r="L106" s="525">
        <f t="shared" si="41"/>
        <v>0</v>
      </c>
      <c r="M106" s="525">
        <f t="shared" si="41"/>
        <v>0</v>
      </c>
      <c r="N106" s="525">
        <f t="shared" si="41"/>
        <v>0</v>
      </c>
      <c r="O106" s="525">
        <f t="shared" si="41"/>
        <v>0</v>
      </c>
      <c r="P106" s="525">
        <f t="shared" si="41"/>
        <v>0</v>
      </c>
      <c r="Q106" s="525">
        <f t="shared" si="41"/>
        <v>0</v>
      </c>
      <c r="R106" s="525">
        <f t="shared" si="41"/>
        <v>0</v>
      </c>
      <c r="S106" s="525">
        <f t="shared" si="41"/>
        <v>0</v>
      </c>
      <c r="T106" s="525">
        <f t="shared" si="41"/>
        <v>0</v>
      </c>
      <c r="U106" s="525">
        <f t="shared" si="41"/>
        <v>0</v>
      </c>
      <c r="V106" s="525">
        <f t="shared" si="41"/>
        <v>0</v>
      </c>
      <c r="W106" s="525">
        <f t="shared" si="41"/>
        <v>0</v>
      </c>
      <c r="X106" s="525">
        <f t="shared" si="41"/>
        <v>0</v>
      </c>
      <c r="Y106" s="525">
        <f t="shared" si="41"/>
        <v>0</v>
      </c>
      <c r="Z106" s="525">
        <f t="shared" si="41"/>
        <v>0</v>
      </c>
      <c r="AA106" s="525">
        <f t="shared" si="41"/>
        <v>0</v>
      </c>
      <c r="AB106" s="53"/>
      <c r="AC106" s="53"/>
    </row>
    <row r="107" spans="1:29" s="232" customFormat="1" ht="11.25">
      <c r="A107" s="53" t="s">
        <v>389</v>
      </c>
      <c r="B107" s="53"/>
      <c r="C107" s="53"/>
      <c r="D107" s="268">
        <f>D106</f>
        <v>0</v>
      </c>
      <c r="E107" s="268">
        <f t="shared" ref="E107:AA107" si="42">IF(E72="EOC",0,D107+E106)</f>
        <v>0</v>
      </c>
      <c r="F107" s="268">
        <f t="shared" si="42"/>
        <v>0</v>
      </c>
      <c r="G107" s="268">
        <f t="shared" si="42"/>
        <v>0</v>
      </c>
      <c r="H107" s="268">
        <f t="shared" si="42"/>
        <v>0</v>
      </c>
      <c r="I107" s="268">
        <f t="shared" si="42"/>
        <v>0</v>
      </c>
      <c r="J107" s="268">
        <f t="shared" si="42"/>
        <v>0</v>
      </c>
      <c r="K107" s="268">
        <f t="shared" si="42"/>
        <v>0</v>
      </c>
      <c r="L107" s="268">
        <f t="shared" si="42"/>
        <v>0</v>
      </c>
      <c r="M107" s="268">
        <f t="shared" si="42"/>
        <v>0</v>
      </c>
      <c r="N107" s="268">
        <f t="shared" si="42"/>
        <v>0</v>
      </c>
      <c r="O107" s="268">
        <f t="shared" si="42"/>
        <v>0</v>
      </c>
      <c r="P107" s="268">
        <f t="shared" si="42"/>
        <v>0</v>
      </c>
      <c r="Q107" s="268">
        <f t="shared" si="42"/>
        <v>0</v>
      </c>
      <c r="R107" s="268">
        <f t="shared" si="42"/>
        <v>0</v>
      </c>
      <c r="S107" s="268">
        <f t="shared" si="42"/>
        <v>0</v>
      </c>
      <c r="T107" s="268">
        <f t="shared" si="42"/>
        <v>0</v>
      </c>
      <c r="U107" s="268">
        <f t="shared" si="42"/>
        <v>0</v>
      </c>
      <c r="V107" s="268">
        <f t="shared" si="42"/>
        <v>0</v>
      </c>
      <c r="W107" s="268">
        <f t="shared" si="42"/>
        <v>0</v>
      </c>
      <c r="X107" s="268">
        <f t="shared" si="42"/>
        <v>0</v>
      </c>
      <c r="Y107" s="268">
        <f t="shared" si="42"/>
        <v>0</v>
      </c>
      <c r="Z107" s="268">
        <f t="shared" si="42"/>
        <v>0</v>
      </c>
      <c r="AA107" s="268">
        <f t="shared" si="42"/>
        <v>0</v>
      </c>
      <c r="AB107" s="53"/>
      <c r="AC107" s="53"/>
    </row>
    <row r="108" spans="1:29" s="232" customFormat="1" ht="11.25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</row>
    <row r="109" spans="1:29" s="232" customFormat="1" ht="11.25">
      <c r="A109" s="408" t="s">
        <v>390</v>
      </c>
      <c r="B109" s="53"/>
      <c r="C109" s="53"/>
      <c r="D109" s="268">
        <f>IF(E72="EOC",D107*$D$64,0)</f>
        <v>0</v>
      </c>
      <c r="E109" s="268">
        <f t="shared" ref="E109:AA109" si="43">IF(F72="EOC",E107*$D$64,0)</f>
        <v>0</v>
      </c>
      <c r="F109" s="268">
        <f t="shared" si="43"/>
        <v>0</v>
      </c>
      <c r="G109" s="268">
        <f t="shared" si="43"/>
        <v>0</v>
      </c>
      <c r="H109" s="268">
        <f t="shared" si="43"/>
        <v>0</v>
      </c>
      <c r="I109" s="268">
        <f t="shared" si="43"/>
        <v>0</v>
      </c>
      <c r="J109" s="268">
        <f t="shared" si="43"/>
        <v>0</v>
      </c>
      <c r="K109" s="268">
        <f t="shared" si="43"/>
        <v>0</v>
      </c>
      <c r="L109" s="268">
        <f t="shared" si="43"/>
        <v>0</v>
      </c>
      <c r="M109" s="268">
        <f t="shared" si="43"/>
        <v>0</v>
      </c>
      <c r="N109" s="268">
        <f t="shared" si="43"/>
        <v>0</v>
      </c>
      <c r="O109" s="268">
        <f t="shared" si="43"/>
        <v>0</v>
      </c>
      <c r="P109" s="268">
        <f t="shared" si="43"/>
        <v>0</v>
      </c>
      <c r="Q109" s="268">
        <f t="shared" si="43"/>
        <v>0</v>
      </c>
      <c r="R109" s="268">
        <f t="shared" si="43"/>
        <v>0</v>
      </c>
      <c r="S109" s="268">
        <f t="shared" si="43"/>
        <v>0</v>
      </c>
      <c r="T109" s="268">
        <f t="shared" si="43"/>
        <v>0</v>
      </c>
      <c r="U109" s="268">
        <f t="shared" si="43"/>
        <v>0</v>
      </c>
      <c r="V109" s="268">
        <f t="shared" si="43"/>
        <v>0</v>
      </c>
      <c r="W109" s="268">
        <f t="shared" si="43"/>
        <v>0</v>
      </c>
      <c r="X109" s="268">
        <f t="shared" si="43"/>
        <v>0</v>
      </c>
      <c r="Y109" s="268">
        <f t="shared" si="43"/>
        <v>0</v>
      </c>
      <c r="Z109" s="268">
        <f t="shared" si="43"/>
        <v>0</v>
      </c>
      <c r="AA109" s="268">
        <f t="shared" si="43"/>
        <v>0</v>
      </c>
      <c r="AB109" s="53"/>
      <c r="AC109" s="53"/>
    </row>
    <row r="110" spans="1:29" s="232" customFormat="1" ht="11.25">
      <c r="A110" s="408" t="s">
        <v>524</v>
      </c>
      <c r="B110" s="53"/>
      <c r="C110" s="53"/>
      <c r="D110" s="268">
        <f>IF(E72="EOC",D107*$D$63,0)</f>
        <v>0</v>
      </c>
      <c r="E110" s="268">
        <f t="shared" ref="E110:AA110" si="44">IF(F72="EOC",E107*$D$63,0)</f>
        <v>0</v>
      </c>
      <c r="F110" s="268">
        <f t="shared" si="44"/>
        <v>0</v>
      </c>
      <c r="G110" s="268">
        <f t="shared" si="44"/>
        <v>0</v>
      </c>
      <c r="H110" s="268">
        <f t="shared" si="44"/>
        <v>0</v>
      </c>
      <c r="I110" s="268">
        <f t="shared" si="44"/>
        <v>0</v>
      </c>
      <c r="J110" s="268">
        <f t="shared" si="44"/>
        <v>0</v>
      </c>
      <c r="K110" s="268">
        <f t="shared" si="44"/>
        <v>0</v>
      </c>
      <c r="L110" s="268">
        <f t="shared" si="44"/>
        <v>0</v>
      </c>
      <c r="M110" s="268">
        <f t="shared" si="44"/>
        <v>0</v>
      </c>
      <c r="N110" s="268">
        <f t="shared" si="44"/>
        <v>0</v>
      </c>
      <c r="O110" s="268">
        <f t="shared" si="44"/>
        <v>0</v>
      </c>
      <c r="P110" s="268">
        <f t="shared" si="44"/>
        <v>0</v>
      </c>
      <c r="Q110" s="268">
        <f t="shared" si="44"/>
        <v>0</v>
      </c>
      <c r="R110" s="268">
        <f t="shared" si="44"/>
        <v>0</v>
      </c>
      <c r="S110" s="268">
        <f t="shared" si="44"/>
        <v>0</v>
      </c>
      <c r="T110" s="268">
        <f t="shared" si="44"/>
        <v>0</v>
      </c>
      <c r="U110" s="268">
        <f t="shared" si="44"/>
        <v>0</v>
      </c>
      <c r="V110" s="268">
        <f t="shared" si="44"/>
        <v>0</v>
      </c>
      <c r="W110" s="268">
        <f t="shared" si="44"/>
        <v>0</v>
      </c>
      <c r="X110" s="268">
        <f t="shared" si="44"/>
        <v>0</v>
      </c>
      <c r="Y110" s="268">
        <f t="shared" si="44"/>
        <v>0</v>
      </c>
      <c r="Z110" s="268">
        <f t="shared" si="44"/>
        <v>0</v>
      </c>
      <c r="AA110" s="268">
        <f t="shared" si="44"/>
        <v>0</v>
      </c>
      <c r="AB110" s="53"/>
      <c r="AC110" s="53"/>
    </row>
    <row r="111" spans="1:29">
      <c r="A111" s="17"/>
      <c r="B111" s="17"/>
      <c r="C111" s="17"/>
      <c r="D111" s="17"/>
      <c r="G111" s="17"/>
      <c r="I111" s="513"/>
      <c r="J111" s="513"/>
      <c r="K111" s="513"/>
      <c r="L111" s="513"/>
      <c r="M111" s="513"/>
      <c r="N111" s="513"/>
      <c r="P111" s="326"/>
      <c r="Q111" s="326"/>
      <c r="R111" s="326"/>
      <c r="S111" s="326"/>
      <c r="T111" s="326"/>
      <c r="U111" s="326"/>
    </row>
    <row r="112" spans="1:29">
      <c r="A112" s="17"/>
      <c r="B112" s="17"/>
      <c r="C112" s="17"/>
      <c r="D112" s="17"/>
      <c r="G112" s="17"/>
      <c r="I112" s="513"/>
      <c r="J112" s="513"/>
      <c r="K112" s="513"/>
      <c r="L112" s="513"/>
      <c r="M112" s="513"/>
      <c r="N112" s="513"/>
      <c r="P112" s="326"/>
      <c r="Q112" s="326"/>
      <c r="R112" s="326"/>
      <c r="S112" s="326"/>
      <c r="T112" s="326"/>
      <c r="U112" s="326"/>
    </row>
    <row r="113" spans="1:21">
      <c r="A113" s="17"/>
      <c r="B113" s="17"/>
      <c r="C113" s="17"/>
      <c r="D113" s="17"/>
      <c r="G113" s="17"/>
      <c r="I113" s="513"/>
      <c r="J113" s="513"/>
      <c r="K113" s="513"/>
      <c r="L113" s="513"/>
      <c r="M113" s="513"/>
      <c r="N113" s="513"/>
      <c r="P113" s="326"/>
      <c r="Q113" s="326"/>
      <c r="R113" s="326"/>
      <c r="S113" s="326"/>
      <c r="T113" s="326"/>
      <c r="U113" s="326"/>
    </row>
    <row r="114" spans="1:21">
      <c r="A114" s="17"/>
      <c r="B114" s="17"/>
      <c r="C114" s="17"/>
      <c r="D114" s="17"/>
      <c r="G114" s="17"/>
      <c r="I114" s="513"/>
      <c r="J114" s="513"/>
      <c r="K114" s="513"/>
      <c r="L114" s="513"/>
      <c r="M114" s="513"/>
      <c r="N114" s="513"/>
      <c r="P114" s="326"/>
      <c r="Q114" s="326"/>
      <c r="R114" s="326"/>
      <c r="S114" s="326"/>
      <c r="T114" s="326"/>
      <c r="U114" s="326"/>
    </row>
    <row r="115" spans="1:21">
      <c r="A115" s="17"/>
      <c r="B115" s="17"/>
      <c r="C115" s="17"/>
      <c r="D115" s="17"/>
      <c r="G115" s="17"/>
      <c r="I115" s="513"/>
      <c r="J115" s="513"/>
      <c r="K115" s="513"/>
      <c r="L115" s="513"/>
      <c r="M115" s="513"/>
      <c r="N115" s="513"/>
      <c r="P115" s="326"/>
      <c r="Q115" s="326"/>
      <c r="R115" s="326"/>
      <c r="S115" s="326"/>
      <c r="T115" s="326"/>
      <c r="U115" s="326"/>
    </row>
    <row r="116" spans="1:21">
      <c r="A116" s="17"/>
      <c r="B116" s="17"/>
      <c r="C116" s="17"/>
      <c r="D116" s="17"/>
      <c r="G116" s="17"/>
      <c r="I116" s="513"/>
      <c r="J116" s="513"/>
      <c r="K116" s="513"/>
      <c r="L116" s="513"/>
      <c r="M116" s="513"/>
      <c r="N116" s="513"/>
      <c r="P116" s="326"/>
      <c r="Q116" s="326"/>
      <c r="R116" s="326"/>
      <c r="S116" s="326"/>
      <c r="T116" s="326"/>
      <c r="U116" s="326"/>
    </row>
    <row r="117" spans="1:21">
      <c r="A117" s="17"/>
      <c r="B117" s="17"/>
      <c r="C117" s="17"/>
      <c r="D117" s="17"/>
      <c r="G117" s="17"/>
      <c r="I117" s="513"/>
      <c r="J117" s="513"/>
      <c r="K117" s="513"/>
      <c r="L117" s="513"/>
      <c r="M117" s="513"/>
      <c r="N117" s="513"/>
      <c r="P117" s="326"/>
      <c r="Q117" s="326"/>
      <c r="R117" s="326"/>
      <c r="S117" s="326"/>
      <c r="T117" s="326"/>
      <c r="U117" s="326"/>
    </row>
    <row r="118" spans="1:21">
      <c r="A118" s="17"/>
      <c r="B118" s="17"/>
      <c r="C118" s="17"/>
      <c r="D118" s="17"/>
      <c r="G118" s="17"/>
      <c r="I118" s="513"/>
      <c r="J118" s="513"/>
      <c r="K118" s="513"/>
      <c r="L118" s="513"/>
      <c r="M118" s="513"/>
      <c r="N118" s="513"/>
      <c r="P118" s="326"/>
      <c r="Q118" s="326"/>
      <c r="R118" s="326"/>
      <c r="S118" s="326"/>
      <c r="T118" s="326"/>
      <c r="U118" s="326"/>
    </row>
    <row r="119" spans="1:21">
      <c r="A119" s="17"/>
      <c r="B119" s="17"/>
      <c r="C119" s="17"/>
      <c r="D119" s="17"/>
      <c r="G119" s="17"/>
      <c r="I119" s="513"/>
      <c r="J119" s="513"/>
      <c r="K119" s="513"/>
      <c r="L119" s="513"/>
      <c r="M119" s="513"/>
      <c r="N119" s="513"/>
      <c r="P119" s="326"/>
      <c r="Q119" s="326"/>
      <c r="R119" s="326"/>
      <c r="S119" s="326"/>
      <c r="T119" s="326"/>
      <c r="U119" s="326"/>
    </row>
    <row r="120" spans="1:21">
      <c r="A120" s="17"/>
      <c r="B120" s="17"/>
      <c r="C120" s="17"/>
      <c r="D120" s="17"/>
      <c r="G120" s="17"/>
      <c r="I120" s="513"/>
      <c r="J120" s="513"/>
      <c r="K120" s="513"/>
      <c r="L120" s="513"/>
      <c r="M120" s="513"/>
      <c r="N120" s="513"/>
      <c r="P120" s="326"/>
      <c r="Q120" s="326"/>
      <c r="R120" s="326"/>
      <c r="S120" s="326"/>
      <c r="T120" s="326"/>
      <c r="U120" s="326"/>
    </row>
    <row r="121" spans="1:21">
      <c r="A121" s="17"/>
      <c r="B121" s="17"/>
      <c r="C121" s="17"/>
      <c r="D121" s="17"/>
      <c r="G121" s="17"/>
      <c r="I121" s="513"/>
      <c r="J121" s="513"/>
      <c r="K121" s="513"/>
      <c r="L121" s="513"/>
      <c r="M121" s="513"/>
      <c r="N121" s="513"/>
      <c r="P121" s="326"/>
      <c r="Q121" s="326"/>
      <c r="R121" s="326"/>
      <c r="S121" s="326"/>
      <c r="T121" s="326"/>
      <c r="U121" s="326"/>
    </row>
    <row r="122" spans="1:21">
      <c r="A122" s="17"/>
      <c r="B122" s="17"/>
      <c r="C122" s="17"/>
      <c r="D122" s="17"/>
      <c r="G122" s="17"/>
      <c r="I122" s="513"/>
      <c r="J122" s="513"/>
      <c r="K122" s="513"/>
      <c r="L122" s="513"/>
      <c r="M122" s="513"/>
      <c r="N122" s="513"/>
      <c r="P122" s="326"/>
      <c r="Q122" s="326"/>
      <c r="R122" s="326"/>
      <c r="S122" s="326"/>
      <c r="T122" s="326"/>
      <c r="U122" s="326"/>
    </row>
    <row r="123" spans="1:21">
      <c r="A123" s="17"/>
      <c r="B123" s="17"/>
      <c r="C123" s="17"/>
      <c r="D123" s="17"/>
      <c r="G123" s="17"/>
      <c r="I123" s="513"/>
      <c r="J123" s="513"/>
      <c r="K123" s="513"/>
      <c r="L123" s="513"/>
      <c r="M123" s="513"/>
      <c r="N123" s="513"/>
      <c r="P123" s="326"/>
      <c r="Q123" s="326"/>
      <c r="R123" s="326"/>
      <c r="S123" s="326"/>
      <c r="T123" s="326"/>
      <c r="U123" s="326"/>
    </row>
    <row r="124" spans="1:21">
      <c r="A124" s="17"/>
      <c r="B124" s="17"/>
      <c r="C124" s="17"/>
      <c r="D124" s="17"/>
      <c r="G124" s="17"/>
      <c r="I124" s="513"/>
      <c r="J124" s="513"/>
      <c r="K124" s="513"/>
      <c r="L124" s="513"/>
      <c r="M124" s="513"/>
      <c r="N124" s="513"/>
      <c r="P124" s="326"/>
      <c r="Q124" s="326"/>
      <c r="R124" s="326"/>
      <c r="S124" s="326"/>
      <c r="T124" s="326"/>
      <c r="U124" s="326"/>
    </row>
    <row r="125" spans="1:21">
      <c r="A125" s="17"/>
      <c r="B125" s="17"/>
      <c r="C125" s="17"/>
      <c r="D125" s="17"/>
      <c r="G125" s="17"/>
      <c r="I125" s="513"/>
      <c r="J125" s="513"/>
      <c r="K125" s="513"/>
      <c r="L125" s="513"/>
      <c r="M125" s="513"/>
      <c r="N125" s="513"/>
      <c r="P125" s="326"/>
      <c r="Q125" s="326"/>
      <c r="R125" s="326"/>
      <c r="S125" s="326"/>
      <c r="T125" s="326"/>
      <c r="U125" s="326"/>
    </row>
    <row r="126" spans="1:21">
      <c r="A126" s="17"/>
      <c r="B126" s="17"/>
      <c r="C126" s="17"/>
      <c r="D126" s="17"/>
      <c r="G126" s="17"/>
      <c r="I126" s="513"/>
      <c r="J126" s="513"/>
      <c r="K126" s="513"/>
      <c r="L126" s="513"/>
      <c r="M126" s="513"/>
      <c r="N126" s="513"/>
      <c r="P126" s="326"/>
      <c r="Q126" s="326"/>
      <c r="R126" s="326"/>
      <c r="S126" s="326"/>
      <c r="T126" s="326"/>
      <c r="U126" s="326"/>
    </row>
    <row r="127" spans="1:21">
      <c r="A127" s="17"/>
      <c r="B127" s="17"/>
      <c r="C127" s="17"/>
      <c r="D127" s="17"/>
      <c r="G127" s="17"/>
      <c r="I127" s="513"/>
      <c r="J127" s="513"/>
      <c r="K127" s="513"/>
      <c r="L127" s="513"/>
      <c r="M127" s="513"/>
      <c r="N127" s="513"/>
      <c r="P127" s="326"/>
      <c r="Q127" s="326"/>
      <c r="R127" s="326"/>
      <c r="S127" s="326"/>
      <c r="T127" s="326"/>
      <c r="U127" s="326"/>
    </row>
    <row r="128" spans="1:21">
      <c r="A128" s="17"/>
      <c r="B128" s="17"/>
      <c r="C128" s="17"/>
      <c r="D128" s="17"/>
      <c r="G128" s="17"/>
      <c r="I128" s="513"/>
      <c r="J128" s="513"/>
      <c r="K128" s="513"/>
      <c r="L128" s="513"/>
      <c r="M128" s="513"/>
      <c r="N128" s="513"/>
      <c r="P128" s="326"/>
      <c r="Q128" s="326"/>
      <c r="R128" s="326"/>
      <c r="S128" s="326"/>
      <c r="T128" s="326"/>
      <c r="U128" s="326"/>
    </row>
    <row r="129" spans="1:21">
      <c r="A129" s="17"/>
      <c r="B129" s="17"/>
      <c r="C129" s="17"/>
      <c r="D129" s="17"/>
      <c r="G129" s="17"/>
      <c r="I129" s="513"/>
      <c r="J129" s="513"/>
      <c r="K129" s="513"/>
      <c r="L129" s="513"/>
      <c r="M129" s="513"/>
      <c r="N129" s="513"/>
      <c r="P129" s="326"/>
      <c r="Q129" s="326"/>
      <c r="R129" s="326"/>
      <c r="S129" s="326"/>
      <c r="T129" s="326"/>
      <c r="U129" s="326"/>
    </row>
    <row r="130" spans="1:21">
      <c r="A130" s="17"/>
      <c r="B130" s="17"/>
      <c r="C130" s="17"/>
      <c r="D130" s="17"/>
      <c r="G130" s="17"/>
      <c r="I130" s="513"/>
      <c r="J130" s="513"/>
      <c r="K130" s="513"/>
      <c r="L130" s="513"/>
      <c r="M130" s="513"/>
      <c r="N130" s="513"/>
      <c r="P130" s="326"/>
      <c r="Q130" s="326"/>
      <c r="R130" s="326"/>
      <c r="S130" s="326"/>
      <c r="T130" s="326"/>
      <c r="U130" s="326"/>
    </row>
    <row r="131" spans="1:21">
      <c r="A131" s="17"/>
      <c r="B131" s="17"/>
      <c r="C131" s="17"/>
      <c r="D131" s="17"/>
      <c r="G131" s="17"/>
      <c r="I131" s="513"/>
      <c r="J131" s="513"/>
      <c r="K131" s="513"/>
      <c r="L131" s="513"/>
      <c r="M131" s="513"/>
      <c r="N131" s="513"/>
      <c r="P131" s="326"/>
      <c r="Q131" s="326"/>
      <c r="R131" s="326"/>
      <c r="S131" s="326"/>
      <c r="T131" s="326"/>
      <c r="U131" s="326"/>
    </row>
    <row r="132" spans="1:21">
      <c r="A132" s="17"/>
      <c r="B132" s="17"/>
      <c r="C132" s="17"/>
      <c r="D132" s="17"/>
      <c r="G132" s="17"/>
      <c r="I132" s="513"/>
      <c r="J132" s="513"/>
      <c r="K132" s="513"/>
      <c r="L132" s="513"/>
      <c r="M132" s="513"/>
      <c r="N132" s="513"/>
      <c r="P132" s="326"/>
      <c r="Q132" s="326"/>
      <c r="R132" s="326"/>
      <c r="S132" s="326"/>
      <c r="T132" s="326"/>
      <c r="U132" s="326"/>
    </row>
    <row r="133" spans="1:21">
      <c r="A133" s="17"/>
      <c r="B133" s="17"/>
      <c r="C133" s="17"/>
      <c r="D133" s="17"/>
      <c r="G133" s="17"/>
      <c r="I133" s="513"/>
      <c r="J133" s="513"/>
      <c r="K133" s="513"/>
      <c r="L133" s="513"/>
      <c r="M133" s="513"/>
      <c r="N133" s="513"/>
      <c r="P133" s="326"/>
      <c r="Q133" s="326"/>
      <c r="R133" s="326"/>
      <c r="S133" s="326"/>
      <c r="T133" s="326"/>
      <c r="U133" s="326"/>
    </row>
    <row r="134" spans="1:21">
      <c r="A134" s="17"/>
      <c r="B134" s="17"/>
      <c r="C134" s="17"/>
      <c r="D134" s="17"/>
      <c r="G134" s="17"/>
      <c r="I134" s="513"/>
      <c r="J134" s="513"/>
      <c r="K134" s="513"/>
      <c r="L134" s="513"/>
      <c r="M134" s="513"/>
      <c r="N134" s="513"/>
      <c r="P134" s="326"/>
      <c r="Q134" s="326"/>
      <c r="R134" s="326"/>
      <c r="S134" s="326"/>
      <c r="T134" s="326"/>
      <c r="U134" s="326"/>
    </row>
    <row r="135" spans="1:21">
      <c r="A135" s="17"/>
      <c r="B135" s="17"/>
      <c r="C135" s="17"/>
      <c r="D135" s="17"/>
      <c r="G135" s="17"/>
      <c r="I135" s="513"/>
      <c r="J135" s="513"/>
      <c r="K135" s="513"/>
      <c r="L135" s="513"/>
      <c r="M135" s="513"/>
      <c r="N135" s="513"/>
      <c r="P135" s="326"/>
      <c r="Q135" s="326"/>
      <c r="R135" s="326"/>
      <c r="S135" s="326"/>
      <c r="T135" s="326"/>
      <c r="U135" s="326"/>
    </row>
    <row r="136" spans="1:21">
      <c r="A136" s="17"/>
      <c r="B136" s="17"/>
      <c r="C136" s="17"/>
      <c r="D136" s="17"/>
      <c r="G136" s="17"/>
      <c r="I136" s="513"/>
      <c r="J136" s="513"/>
      <c r="K136" s="513"/>
      <c r="L136" s="513"/>
      <c r="M136" s="513"/>
      <c r="N136" s="513"/>
      <c r="P136" s="326"/>
      <c r="Q136" s="326"/>
      <c r="R136" s="326"/>
      <c r="S136" s="326"/>
      <c r="T136" s="326"/>
      <c r="U136" s="326"/>
    </row>
    <row r="137" spans="1:21">
      <c r="A137" s="17"/>
      <c r="B137" s="17"/>
      <c r="C137" s="17"/>
      <c r="D137" s="17"/>
      <c r="G137" s="17"/>
      <c r="I137" s="513"/>
      <c r="J137" s="513"/>
      <c r="K137" s="513"/>
      <c r="L137" s="513"/>
      <c r="M137" s="513"/>
      <c r="N137" s="513"/>
      <c r="P137" s="326"/>
      <c r="Q137" s="326"/>
      <c r="R137" s="326"/>
      <c r="S137" s="326"/>
      <c r="T137" s="326"/>
      <c r="U137" s="326"/>
    </row>
    <row r="138" spans="1:21">
      <c r="A138" s="17"/>
      <c r="B138" s="17"/>
      <c r="C138" s="17"/>
      <c r="D138" s="17"/>
      <c r="G138" s="17"/>
      <c r="I138" s="513"/>
      <c r="J138" s="513"/>
      <c r="K138" s="513"/>
      <c r="L138" s="513"/>
      <c r="M138" s="513"/>
      <c r="N138" s="513"/>
      <c r="P138" s="326"/>
      <c r="Q138" s="326"/>
      <c r="R138" s="326"/>
      <c r="S138" s="326"/>
      <c r="T138" s="326"/>
      <c r="U138" s="326"/>
    </row>
    <row r="139" spans="1:21">
      <c r="A139" s="17"/>
      <c r="B139" s="17"/>
      <c r="C139" s="17"/>
      <c r="D139" s="17"/>
      <c r="G139" s="17"/>
      <c r="I139" s="513"/>
      <c r="J139" s="513"/>
      <c r="K139" s="513"/>
      <c r="L139" s="513"/>
      <c r="M139" s="513"/>
      <c r="N139" s="513"/>
      <c r="P139" s="326"/>
      <c r="Q139" s="326"/>
      <c r="R139" s="326"/>
      <c r="S139" s="326"/>
      <c r="T139" s="326"/>
      <c r="U139" s="326"/>
    </row>
    <row r="140" spans="1:21">
      <c r="A140" s="17"/>
      <c r="B140" s="17"/>
      <c r="C140" s="17"/>
      <c r="D140" s="17"/>
      <c r="G140" s="17"/>
      <c r="I140" s="513"/>
      <c r="J140" s="513"/>
      <c r="K140" s="513"/>
      <c r="L140" s="513"/>
      <c r="M140" s="513"/>
      <c r="N140" s="513"/>
      <c r="P140" s="326"/>
      <c r="Q140" s="326"/>
      <c r="R140" s="326"/>
      <c r="S140" s="326"/>
      <c r="T140" s="326"/>
      <c r="U140" s="326"/>
    </row>
    <row r="141" spans="1:21">
      <c r="A141" s="17"/>
      <c r="B141" s="17"/>
      <c r="C141" s="17"/>
      <c r="D141" s="17"/>
      <c r="G141" s="17"/>
      <c r="I141" s="513"/>
      <c r="J141" s="513"/>
      <c r="K141" s="513"/>
      <c r="L141" s="513"/>
      <c r="M141" s="513"/>
      <c r="N141" s="513"/>
      <c r="P141" s="326"/>
      <c r="Q141" s="326"/>
      <c r="R141" s="326"/>
      <c r="S141" s="326"/>
      <c r="T141" s="326"/>
      <c r="U141" s="326"/>
    </row>
    <row r="142" spans="1:21">
      <c r="A142" s="17"/>
      <c r="B142" s="17"/>
      <c r="C142" s="17"/>
      <c r="D142" s="17"/>
      <c r="G142" s="17"/>
      <c r="I142" s="513"/>
      <c r="J142" s="513"/>
      <c r="K142" s="513"/>
      <c r="L142" s="513"/>
      <c r="M142" s="513"/>
      <c r="N142" s="513"/>
      <c r="P142" s="326"/>
      <c r="Q142" s="326"/>
      <c r="R142" s="326"/>
      <c r="S142" s="326"/>
      <c r="T142" s="326"/>
      <c r="U142" s="326"/>
    </row>
    <row r="143" spans="1:21">
      <c r="A143" s="17"/>
      <c r="B143" s="17"/>
      <c r="C143" s="17"/>
      <c r="D143" s="17"/>
      <c r="G143" s="17"/>
      <c r="I143" s="513"/>
      <c r="J143" s="513"/>
      <c r="K143" s="513"/>
      <c r="L143" s="513"/>
      <c r="M143" s="513"/>
      <c r="N143" s="513"/>
      <c r="P143" s="326"/>
      <c r="Q143" s="326"/>
      <c r="R143" s="326"/>
      <c r="S143" s="326"/>
      <c r="T143" s="326"/>
      <c r="U143" s="326"/>
    </row>
    <row r="144" spans="1:21">
      <c r="A144" s="17"/>
      <c r="B144" s="17"/>
      <c r="C144" s="17"/>
      <c r="D144" s="17"/>
      <c r="G144" s="17"/>
      <c r="I144" s="513"/>
      <c r="J144" s="513"/>
      <c r="K144" s="513"/>
      <c r="L144" s="513"/>
      <c r="M144" s="513"/>
      <c r="N144" s="513"/>
      <c r="P144" s="326"/>
      <c r="Q144" s="326"/>
      <c r="R144" s="326"/>
      <c r="S144" s="326"/>
      <c r="T144" s="326"/>
      <c r="U144" s="326"/>
    </row>
    <row r="145" spans="1:21">
      <c r="A145" s="17"/>
      <c r="B145" s="17"/>
      <c r="C145" s="17"/>
      <c r="D145" s="17"/>
      <c r="G145" s="17"/>
      <c r="I145" s="513"/>
      <c r="J145" s="513"/>
      <c r="K145" s="513"/>
      <c r="L145" s="513"/>
      <c r="M145" s="513"/>
      <c r="N145" s="513"/>
      <c r="P145" s="326"/>
      <c r="Q145" s="326"/>
      <c r="R145" s="326"/>
      <c r="S145" s="326"/>
      <c r="T145" s="326"/>
      <c r="U145" s="326"/>
    </row>
    <row r="146" spans="1:21">
      <c r="A146" s="17"/>
      <c r="B146" s="17"/>
      <c r="C146" s="17"/>
      <c r="D146" s="17"/>
      <c r="G146" s="17"/>
      <c r="I146" s="513"/>
      <c r="J146" s="513"/>
      <c r="K146" s="513"/>
      <c r="L146" s="513"/>
      <c r="M146" s="513"/>
      <c r="N146" s="513"/>
      <c r="P146" s="326"/>
      <c r="Q146" s="326"/>
      <c r="R146" s="326"/>
      <c r="S146" s="326"/>
      <c r="T146" s="326"/>
      <c r="U146" s="326"/>
    </row>
    <row r="147" spans="1:21">
      <c r="A147" s="17"/>
      <c r="B147" s="17"/>
      <c r="C147" s="17"/>
      <c r="D147" s="17"/>
      <c r="G147" s="17"/>
      <c r="I147" s="513"/>
      <c r="J147" s="513"/>
      <c r="K147" s="513"/>
      <c r="L147" s="513"/>
      <c r="M147" s="513"/>
      <c r="N147" s="513"/>
      <c r="P147" s="326"/>
      <c r="Q147" s="326"/>
      <c r="R147" s="326"/>
      <c r="S147" s="326"/>
      <c r="T147" s="326"/>
      <c r="U147" s="326"/>
    </row>
    <row r="148" spans="1:21">
      <c r="A148" s="17"/>
      <c r="B148" s="17"/>
      <c r="C148" s="17"/>
      <c r="D148" s="17"/>
      <c r="G148" s="17"/>
      <c r="I148" s="513"/>
      <c r="J148" s="513"/>
      <c r="K148" s="513"/>
      <c r="L148" s="513"/>
      <c r="M148" s="513"/>
      <c r="N148" s="513"/>
      <c r="P148" s="326"/>
      <c r="Q148" s="326"/>
      <c r="R148" s="326"/>
      <c r="S148" s="326"/>
      <c r="T148" s="326"/>
      <c r="U148" s="326"/>
    </row>
    <row r="149" spans="1:21">
      <c r="A149" s="17"/>
      <c r="B149" s="17"/>
      <c r="C149" s="17"/>
      <c r="D149" s="17"/>
      <c r="G149" s="17"/>
      <c r="I149" s="513"/>
      <c r="J149" s="513"/>
      <c r="K149" s="513"/>
      <c r="L149" s="513"/>
      <c r="M149" s="513"/>
      <c r="N149" s="513"/>
      <c r="P149" s="326"/>
      <c r="Q149" s="326"/>
      <c r="R149" s="326"/>
      <c r="S149" s="326"/>
      <c r="T149" s="326"/>
      <c r="U149" s="326"/>
    </row>
    <row r="150" spans="1:21">
      <c r="A150" s="17"/>
      <c r="B150" s="17"/>
      <c r="C150" s="17"/>
      <c r="D150" s="17"/>
      <c r="G150" s="17"/>
      <c r="I150" s="513"/>
      <c r="J150" s="513"/>
      <c r="K150" s="513"/>
      <c r="L150" s="513"/>
      <c r="M150" s="513"/>
      <c r="N150" s="513"/>
      <c r="P150" s="326"/>
      <c r="Q150" s="326"/>
      <c r="R150" s="326"/>
      <c r="S150" s="326"/>
      <c r="T150" s="326"/>
      <c r="U150" s="326"/>
    </row>
    <row r="151" spans="1:21">
      <c r="A151" s="17"/>
      <c r="B151" s="17"/>
      <c r="C151" s="17"/>
      <c r="D151" s="17"/>
      <c r="G151" s="17"/>
      <c r="I151" s="513"/>
      <c r="J151" s="513"/>
      <c r="K151" s="513"/>
      <c r="L151" s="513"/>
      <c r="M151" s="513"/>
      <c r="N151" s="513"/>
      <c r="P151" s="326"/>
      <c r="Q151" s="326"/>
      <c r="R151" s="326"/>
      <c r="S151" s="326"/>
      <c r="T151" s="326"/>
      <c r="U151" s="326"/>
    </row>
    <row r="152" spans="1:21">
      <c r="A152" s="17"/>
      <c r="B152" s="17"/>
      <c r="C152" s="17"/>
      <c r="D152" s="17"/>
      <c r="G152" s="17"/>
      <c r="I152" s="513"/>
      <c r="J152" s="513"/>
      <c r="K152" s="513"/>
      <c r="L152" s="513"/>
      <c r="M152" s="513"/>
      <c r="N152" s="513"/>
      <c r="P152" s="326"/>
      <c r="Q152" s="326"/>
      <c r="R152" s="326"/>
      <c r="S152" s="326"/>
      <c r="T152" s="326"/>
      <c r="U152" s="326"/>
    </row>
    <row r="153" spans="1:21">
      <c r="A153" s="17"/>
      <c r="B153" s="17"/>
      <c r="C153" s="17"/>
      <c r="D153" s="17"/>
      <c r="G153" s="17"/>
      <c r="I153" s="513"/>
      <c r="J153" s="513"/>
      <c r="K153" s="513"/>
      <c r="L153" s="513"/>
      <c r="M153" s="513"/>
      <c r="N153" s="513"/>
      <c r="P153" s="326"/>
      <c r="Q153" s="326"/>
      <c r="R153" s="326"/>
      <c r="S153" s="326"/>
      <c r="T153" s="326"/>
      <c r="U153" s="326"/>
    </row>
    <row r="154" spans="1:21">
      <c r="A154" s="17"/>
      <c r="B154" s="17"/>
      <c r="C154" s="17"/>
      <c r="D154" s="17"/>
      <c r="G154" s="17"/>
      <c r="I154" s="513"/>
      <c r="J154" s="513"/>
      <c r="K154" s="513"/>
      <c r="L154" s="513"/>
      <c r="M154" s="513"/>
      <c r="N154" s="513"/>
      <c r="P154" s="326"/>
      <c r="Q154" s="326"/>
      <c r="R154" s="326"/>
      <c r="S154" s="326"/>
      <c r="T154" s="326"/>
      <c r="U154" s="326"/>
    </row>
    <row r="155" spans="1:21">
      <c r="A155" s="17"/>
      <c r="B155" s="17"/>
      <c r="C155" s="17"/>
      <c r="D155" s="17"/>
      <c r="G155" s="17"/>
      <c r="I155" s="513"/>
      <c r="J155" s="513"/>
      <c r="K155" s="513"/>
      <c r="L155" s="513"/>
      <c r="M155" s="513"/>
      <c r="N155" s="513"/>
      <c r="P155" s="326"/>
      <c r="Q155" s="326"/>
      <c r="R155" s="326"/>
      <c r="S155" s="326"/>
      <c r="T155" s="326"/>
      <c r="U155" s="326"/>
    </row>
    <row r="156" spans="1:21">
      <c r="A156" s="17"/>
      <c r="B156" s="17"/>
      <c r="C156" s="17"/>
      <c r="D156" s="17"/>
      <c r="G156" s="17"/>
      <c r="I156" s="513"/>
      <c r="J156" s="513"/>
      <c r="K156" s="513"/>
      <c r="L156" s="513"/>
      <c r="M156" s="513"/>
      <c r="N156" s="513"/>
      <c r="P156" s="326"/>
      <c r="Q156" s="326"/>
      <c r="R156" s="326"/>
      <c r="S156" s="326"/>
      <c r="T156" s="326"/>
      <c r="U156" s="326"/>
    </row>
    <row r="157" spans="1:21">
      <c r="A157" s="17"/>
      <c r="B157" s="17"/>
      <c r="C157" s="17"/>
      <c r="D157" s="17"/>
      <c r="G157" s="17"/>
      <c r="I157" s="513"/>
      <c r="J157" s="513"/>
      <c r="K157" s="513"/>
      <c r="L157" s="513"/>
      <c r="M157" s="513"/>
      <c r="N157" s="513"/>
      <c r="P157" s="326"/>
      <c r="Q157" s="326"/>
      <c r="R157" s="326"/>
      <c r="S157" s="326"/>
      <c r="T157" s="326"/>
      <c r="U157" s="326"/>
    </row>
    <row r="158" spans="1:21">
      <c r="A158" s="17"/>
      <c r="B158" s="17"/>
      <c r="C158" s="17"/>
      <c r="D158" s="17"/>
      <c r="G158" s="17"/>
      <c r="I158" s="513"/>
      <c r="J158" s="513"/>
      <c r="K158" s="513"/>
      <c r="L158" s="513"/>
      <c r="M158" s="513"/>
      <c r="N158" s="513"/>
      <c r="P158" s="326"/>
      <c r="Q158" s="326"/>
      <c r="R158" s="326"/>
      <c r="S158" s="326"/>
      <c r="T158" s="326"/>
      <c r="U158" s="326"/>
    </row>
    <row r="159" spans="1:21">
      <c r="A159" s="17"/>
      <c r="B159" s="17"/>
      <c r="C159" s="17"/>
      <c r="D159" s="17"/>
      <c r="G159" s="17"/>
      <c r="I159" s="513"/>
      <c r="J159" s="513"/>
      <c r="K159" s="513"/>
      <c r="L159" s="513"/>
      <c r="M159" s="513"/>
      <c r="N159" s="513"/>
      <c r="P159" s="326"/>
      <c r="Q159" s="326"/>
      <c r="R159" s="326"/>
      <c r="S159" s="326"/>
      <c r="T159" s="326"/>
      <c r="U159" s="326"/>
    </row>
    <row r="160" spans="1:21">
      <c r="A160" s="17"/>
      <c r="B160" s="17"/>
      <c r="C160" s="17"/>
      <c r="D160" s="17"/>
      <c r="G160" s="17"/>
      <c r="I160" s="513"/>
      <c r="J160" s="513"/>
      <c r="K160" s="513"/>
      <c r="L160" s="513"/>
      <c r="M160" s="513"/>
      <c r="N160" s="513"/>
      <c r="P160" s="326"/>
      <c r="Q160" s="326"/>
      <c r="R160" s="326"/>
      <c r="S160" s="326"/>
      <c r="T160" s="326"/>
      <c r="U160" s="326"/>
    </row>
    <row r="161" spans="1:21">
      <c r="A161" s="17"/>
      <c r="B161" s="17"/>
      <c r="C161" s="17"/>
      <c r="D161" s="17"/>
      <c r="G161" s="17"/>
      <c r="I161" s="513"/>
      <c r="J161" s="513"/>
      <c r="K161" s="513"/>
      <c r="L161" s="513"/>
      <c r="M161" s="513"/>
      <c r="N161" s="513"/>
      <c r="P161" s="326"/>
      <c r="Q161" s="326"/>
      <c r="R161" s="326"/>
      <c r="S161" s="326"/>
      <c r="T161" s="326"/>
      <c r="U161" s="326"/>
    </row>
    <row r="162" spans="1:21">
      <c r="A162" s="17"/>
      <c r="B162" s="17"/>
      <c r="C162" s="17"/>
      <c r="D162" s="17"/>
      <c r="G162" s="17"/>
      <c r="I162" s="513"/>
      <c r="J162" s="513"/>
      <c r="K162" s="513"/>
      <c r="L162" s="513"/>
      <c r="M162" s="513"/>
      <c r="N162" s="513"/>
      <c r="P162" s="326"/>
      <c r="Q162" s="326"/>
      <c r="R162" s="326"/>
      <c r="S162" s="326"/>
      <c r="T162" s="326"/>
      <c r="U162" s="326"/>
    </row>
    <row r="163" spans="1:21">
      <c r="A163" s="17"/>
      <c r="B163" s="17"/>
      <c r="C163" s="17"/>
      <c r="D163" s="17"/>
      <c r="G163" s="17"/>
      <c r="I163" s="513"/>
      <c r="J163" s="513"/>
      <c r="K163" s="513"/>
      <c r="L163" s="513"/>
      <c r="M163" s="513"/>
      <c r="N163" s="513"/>
      <c r="P163" s="326"/>
      <c r="Q163" s="326"/>
      <c r="R163" s="326"/>
      <c r="S163" s="326"/>
      <c r="T163" s="326"/>
      <c r="U163" s="326"/>
    </row>
    <row r="164" spans="1:21">
      <c r="A164" s="17"/>
      <c r="B164" s="17"/>
      <c r="C164" s="17"/>
      <c r="D164" s="17"/>
      <c r="G164" s="17"/>
      <c r="I164" s="513"/>
      <c r="J164" s="513"/>
      <c r="K164" s="513"/>
      <c r="L164" s="513"/>
      <c r="M164" s="513"/>
      <c r="N164" s="513"/>
      <c r="P164" s="326"/>
      <c r="Q164" s="326"/>
      <c r="R164" s="326"/>
      <c r="S164" s="326"/>
      <c r="T164" s="326"/>
      <c r="U164" s="326"/>
    </row>
    <row r="165" spans="1:21">
      <c r="A165" s="17"/>
      <c r="B165" s="17"/>
      <c r="C165" s="17"/>
      <c r="D165" s="17"/>
      <c r="G165" s="17"/>
      <c r="I165" s="513"/>
      <c r="J165" s="513"/>
      <c r="K165" s="513"/>
      <c r="L165" s="513"/>
      <c r="M165" s="513"/>
      <c r="N165" s="513"/>
      <c r="P165" s="326"/>
      <c r="Q165" s="326"/>
      <c r="R165" s="326"/>
      <c r="S165" s="326"/>
      <c r="T165" s="326"/>
      <c r="U165" s="326"/>
    </row>
    <row r="166" spans="1:21">
      <c r="A166" s="17"/>
      <c r="B166" s="17"/>
      <c r="C166" s="17"/>
      <c r="D166" s="17"/>
      <c r="G166" s="17"/>
      <c r="I166" s="513"/>
      <c r="J166" s="513"/>
      <c r="K166" s="513"/>
      <c r="L166" s="513"/>
      <c r="M166" s="513"/>
      <c r="N166" s="513"/>
      <c r="P166" s="326"/>
      <c r="Q166" s="326"/>
      <c r="R166" s="326"/>
      <c r="S166" s="326"/>
      <c r="T166" s="326"/>
      <c r="U166" s="326"/>
    </row>
    <row r="167" spans="1:21">
      <c r="A167" s="17"/>
      <c r="B167" s="17"/>
      <c r="C167" s="17"/>
      <c r="D167" s="17"/>
      <c r="G167" s="17"/>
      <c r="I167" s="513"/>
      <c r="J167" s="513"/>
      <c r="K167" s="513"/>
      <c r="L167" s="513"/>
      <c r="M167" s="513"/>
      <c r="N167" s="513"/>
      <c r="P167" s="326"/>
      <c r="Q167" s="326"/>
      <c r="R167" s="326"/>
      <c r="S167" s="326"/>
      <c r="T167" s="326"/>
      <c r="U167" s="326"/>
    </row>
    <row r="168" spans="1:21">
      <c r="A168" s="17"/>
      <c r="B168" s="17"/>
      <c r="C168" s="17"/>
      <c r="D168" s="17"/>
      <c r="G168" s="17"/>
      <c r="I168" s="513"/>
      <c r="J168" s="513"/>
      <c r="K168" s="513"/>
      <c r="L168" s="513"/>
      <c r="M168" s="513"/>
      <c r="N168" s="513"/>
      <c r="P168" s="326"/>
      <c r="Q168" s="326"/>
      <c r="R168" s="326"/>
      <c r="S168" s="326"/>
      <c r="T168" s="326"/>
      <c r="U168" s="326"/>
    </row>
    <row r="169" spans="1:21">
      <c r="A169" s="17"/>
      <c r="B169" s="17"/>
      <c r="C169" s="17"/>
      <c r="D169" s="17"/>
      <c r="G169" s="17"/>
      <c r="I169" s="513"/>
      <c r="J169" s="513"/>
      <c r="K169" s="513"/>
      <c r="L169" s="513"/>
      <c r="M169" s="513"/>
      <c r="N169" s="513"/>
      <c r="P169" s="326"/>
      <c r="Q169" s="326"/>
      <c r="R169" s="326"/>
      <c r="S169" s="326"/>
      <c r="T169" s="326"/>
      <c r="U169" s="326"/>
    </row>
    <row r="170" spans="1:21">
      <c r="A170" s="17"/>
      <c r="B170" s="17"/>
      <c r="C170" s="17"/>
      <c r="D170" s="17"/>
      <c r="G170" s="17"/>
      <c r="I170" s="513"/>
      <c r="J170" s="513"/>
      <c r="K170" s="513"/>
      <c r="L170" s="513"/>
      <c r="M170" s="513"/>
      <c r="N170" s="513"/>
      <c r="P170" s="326"/>
      <c r="Q170" s="326"/>
      <c r="R170" s="326"/>
      <c r="S170" s="326"/>
      <c r="T170" s="326"/>
      <c r="U170" s="326"/>
    </row>
    <row r="171" spans="1:21">
      <c r="A171" s="17"/>
      <c r="B171" s="17"/>
      <c r="C171" s="17"/>
      <c r="D171" s="17"/>
      <c r="G171" s="17"/>
      <c r="I171" s="513"/>
      <c r="J171" s="513"/>
      <c r="K171" s="513"/>
      <c r="L171" s="513"/>
      <c r="M171" s="513"/>
      <c r="N171" s="513"/>
      <c r="P171" s="326"/>
      <c r="Q171" s="326"/>
      <c r="R171" s="326"/>
      <c r="S171" s="326"/>
      <c r="T171" s="326"/>
      <c r="U171" s="326"/>
    </row>
    <row r="172" spans="1:21">
      <c r="A172" s="17"/>
      <c r="B172" s="17"/>
      <c r="C172" s="17"/>
      <c r="D172" s="17"/>
      <c r="G172" s="17"/>
      <c r="I172" s="513"/>
      <c r="J172" s="513"/>
      <c r="K172" s="513"/>
      <c r="L172" s="513"/>
      <c r="M172" s="513"/>
      <c r="N172" s="513"/>
      <c r="P172" s="326"/>
      <c r="Q172" s="326"/>
      <c r="R172" s="326"/>
      <c r="S172" s="326"/>
      <c r="T172" s="326"/>
      <c r="U172" s="326"/>
    </row>
    <row r="173" spans="1:21">
      <c r="A173" s="17"/>
      <c r="B173" s="17"/>
      <c r="C173" s="17"/>
      <c r="D173" s="17"/>
      <c r="G173" s="17"/>
      <c r="I173" s="513"/>
      <c r="J173" s="513"/>
      <c r="K173" s="513"/>
      <c r="L173" s="513"/>
      <c r="M173" s="513"/>
      <c r="N173" s="513"/>
      <c r="P173" s="326"/>
      <c r="Q173" s="326"/>
      <c r="R173" s="326"/>
      <c r="S173" s="326"/>
      <c r="T173" s="326"/>
      <c r="U173" s="326"/>
    </row>
    <row r="174" spans="1:21">
      <c r="A174" s="17"/>
      <c r="B174" s="17"/>
      <c r="C174" s="17"/>
      <c r="D174" s="17"/>
      <c r="G174" s="17"/>
      <c r="I174" s="513"/>
      <c r="J174" s="513"/>
      <c r="K174" s="513"/>
      <c r="L174" s="513"/>
      <c r="M174" s="513"/>
      <c r="N174" s="513"/>
      <c r="P174" s="326"/>
      <c r="Q174" s="326"/>
      <c r="R174" s="326"/>
      <c r="S174" s="326"/>
      <c r="T174" s="326"/>
      <c r="U174" s="326"/>
    </row>
    <row r="175" spans="1:21">
      <c r="A175" s="17"/>
      <c r="B175" s="17"/>
      <c r="C175" s="17"/>
      <c r="D175" s="17"/>
      <c r="G175" s="17"/>
      <c r="I175" s="513"/>
      <c r="J175" s="513"/>
      <c r="K175" s="513"/>
      <c r="L175" s="513"/>
      <c r="M175" s="513"/>
      <c r="N175" s="513"/>
      <c r="P175" s="326"/>
      <c r="Q175" s="326"/>
      <c r="R175" s="326"/>
      <c r="S175" s="326"/>
      <c r="T175" s="326"/>
      <c r="U175" s="326"/>
    </row>
    <row r="176" spans="1:21">
      <c r="A176" s="17"/>
      <c r="B176" s="17"/>
      <c r="C176" s="17"/>
      <c r="D176" s="17"/>
      <c r="G176" s="17"/>
      <c r="I176" s="513"/>
      <c r="J176" s="513"/>
      <c r="K176" s="513"/>
      <c r="L176" s="513"/>
      <c r="M176" s="513"/>
      <c r="N176" s="513"/>
      <c r="P176" s="326"/>
      <c r="Q176" s="326"/>
      <c r="R176" s="326"/>
      <c r="S176" s="326"/>
      <c r="T176" s="326"/>
      <c r="U176" s="326"/>
    </row>
    <row r="177" spans="1:21">
      <c r="A177" s="17"/>
      <c r="B177" s="17"/>
      <c r="C177" s="17"/>
      <c r="D177" s="17"/>
      <c r="G177" s="17"/>
      <c r="I177" s="513"/>
      <c r="J177" s="513"/>
      <c r="K177" s="513"/>
      <c r="L177" s="513"/>
      <c r="M177" s="513"/>
      <c r="N177" s="513"/>
      <c r="P177" s="326"/>
      <c r="Q177" s="326"/>
      <c r="R177" s="326"/>
      <c r="S177" s="326"/>
      <c r="T177" s="326"/>
      <c r="U177" s="326"/>
    </row>
    <row r="178" spans="1:21">
      <c r="A178" s="17"/>
      <c r="B178" s="17"/>
      <c r="C178" s="17"/>
      <c r="D178" s="17"/>
      <c r="G178" s="17"/>
      <c r="I178" s="513"/>
      <c r="J178" s="513"/>
      <c r="K178" s="513"/>
      <c r="L178" s="513"/>
      <c r="M178" s="513"/>
      <c r="N178" s="513"/>
      <c r="P178" s="326"/>
      <c r="Q178" s="326"/>
      <c r="R178" s="326"/>
      <c r="S178" s="326"/>
      <c r="T178" s="326"/>
      <c r="U178" s="326"/>
    </row>
    <row r="179" spans="1:21">
      <c r="A179" s="17"/>
      <c r="B179" s="17"/>
      <c r="C179" s="17"/>
      <c r="D179" s="17"/>
      <c r="G179" s="17"/>
      <c r="I179" s="513"/>
      <c r="J179" s="513"/>
      <c r="K179" s="513"/>
      <c r="L179" s="513"/>
      <c r="M179" s="513"/>
      <c r="N179" s="513"/>
      <c r="P179" s="326"/>
      <c r="Q179" s="326"/>
      <c r="R179" s="326"/>
      <c r="S179" s="326"/>
      <c r="T179" s="326"/>
      <c r="U179" s="326"/>
    </row>
    <row r="180" spans="1:21">
      <c r="A180" s="17"/>
      <c r="B180" s="17"/>
      <c r="C180" s="17"/>
      <c r="D180" s="17"/>
      <c r="G180" s="17"/>
      <c r="I180" s="513"/>
      <c r="J180" s="513"/>
      <c r="K180" s="513"/>
      <c r="L180" s="513"/>
      <c r="M180" s="513"/>
      <c r="N180" s="513"/>
      <c r="P180" s="326"/>
      <c r="Q180" s="326"/>
      <c r="R180" s="326"/>
      <c r="S180" s="326"/>
      <c r="T180" s="326"/>
      <c r="U180" s="326"/>
    </row>
    <row r="181" spans="1:21">
      <c r="A181" s="17"/>
      <c r="B181" s="17"/>
      <c r="C181" s="17"/>
      <c r="D181" s="17"/>
      <c r="G181" s="17"/>
      <c r="I181" s="513"/>
      <c r="J181" s="513"/>
      <c r="K181" s="513"/>
      <c r="L181" s="513"/>
      <c r="M181" s="513"/>
      <c r="N181" s="513"/>
      <c r="P181" s="326"/>
      <c r="Q181" s="326"/>
      <c r="R181" s="326"/>
      <c r="S181" s="326"/>
      <c r="T181" s="326"/>
      <c r="U181" s="326"/>
    </row>
    <row r="182" spans="1:21">
      <c r="A182" s="17"/>
      <c r="B182" s="17"/>
      <c r="C182" s="17"/>
      <c r="D182" s="17"/>
      <c r="G182" s="17"/>
      <c r="I182" s="513"/>
      <c r="J182" s="513"/>
      <c r="K182" s="513"/>
      <c r="L182" s="513"/>
      <c r="M182" s="513"/>
      <c r="N182" s="513"/>
      <c r="P182" s="326"/>
      <c r="Q182" s="326"/>
      <c r="R182" s="326"/>
      <c r="S182" s="326"/>
      <c r="T182" s="326"/>
      <c r="U182" s="326"/>
    </row>
    <row r="183" spans="1:21">
      <c r="A183" s="17"/>
      <c r="B183" s="17"/>
      <c r="C183" s="17"/>
      <c r="D183" s="17"/>
      <c r="G183" s="17"/>
      <c r="I183" s="513"/>
      <c r="J183" s="513"/>
      <c r="K183" s="513"/>
      <c r="L183" s="513"/>
      <c r="M183" s="513"/>
      <c r="N183" s="513"/>
      <c r="P183" s="326"/>
      <c r="Q183" s="326"/>
      <c r="R183" s="326"/>
      <c r="S183" s="326"/>
      <c r="T183" s="326"/>
      <c r="U183" s="326"/>
    </row>
    <row r="184" spans="1:21">
      <c r="A184" s="17"/>
      <c r="B184" s="17"/>
      <c r="C184" s="17"/>
      <c r="D184" s="17"/>
      <c r="G184" s="17"/>
      <c r="I184" s="513"/>
      <c r="J184" s="513"/>
      <c r="K184" s="513"/>
      <c r="L184" s="513"/>
      <c r="M184" s="513"/>
      <c r="N184" s="513"/>
      <c r="P184" s="326"/>
      <c r="Q184" s="326"/>
      <c r="R184" s="326"/>
      <c r="S184" s="326"/>
      <c r="T184" s="326"/>
      <c r="U184" s="326"/>
    </row>
    <row r="185" spans="1:21">
      <c r="A185" s="17"/>
      <c r="B185" s="17"/>
      <c r="C185" s="17"/>
      <c r="D185" s="17"/>
      <c r="G185" s="17"/>
      <c r="I185" s="513"/>
      <c r="J185" s="513"/>
      <c r="K185" s="513"/>
      <c r="L185" s="513"/>
      <c r="M185" s="513"/>
      <c r="N185" s="513"/>
      <c r="P185" s="326"/>
      <c r="Q185" s="326"/>
      <c r="R185" s="326"/>
      <c r="S185" s="326"/>
      <c r="T185" s="326"/>
      <c r="U185" s="326"/>
    </row>
    <row r="186" spans="1:21">
      <c r="A186" s="17"/>
      <c r="B186" s="17"/>
      <c r="C186" s="17"/>
      <c r="D186" s="17"/>
      <c r="G186" s="17"/>
      <c r="I186" s="513"/>
      <c r="J186" s="513"/>
      <c r="K186" s="513"/>
      <c r="L186" s="513"/>
      <c r="M186" s="513"/>
      <c r="N186" s="513"/>
      <c r="P186" s="326"/>
      <c r="Q186" s="326"/>
      <c r="R186" s="326"/>
      <c r="S186" s="326"/>
      <c r="T186" s="326"/>
      <c r="U186" s="326"/>
    </row>
    <row r="187" spans="1:21">
      <c r="A187" s="17"/>
      <c r="B187" s="17"/>
      <c r="C187" s="17"/>
      <c r="D187" s="17"/>
      <c r="G187" s="17"/>
      <c r="I187" s="513"/>
      <c r="J187" s="513"/>
      <c r="K187" s="513"/>
      <c r="L187" s="513"/>
      <c r="M187" s="513"/>
      <c r="N187" s="513"/>
      <c r="P187" s="326"/>
      <c r="Q187" s="326"/>
      <c r="R187" s="326"/>
      <c r="S187" s="326"/>
      <c r="T187" s="326"/>
      <c r="U187" s="326"/>
    </row>
    <row r="188" spans="1:21">
      <c r="A188" s="17"/>
      <c r="B188" s="17"/>
      <c r="C188" s="17"/>
      <c r="D188" s="17"/>
      <c r="G188" s="17"/>
      <c r="I188" s="513"/>
      <c r="J188" s="513"/>
      <c r="K188" s="513"/>
      <c r="L188" s="513"/>
      <c r="M188" s="513"/>
      <c r="N188" s="513"/>
      <c r="P188" s="326"/>
      <c r="Q188" s="326"/>
      <c r="R188" s="326"/>
      <c r="S188" s="326"/>
      <c r="T188" s="326"/>
      <c r="U188" s="326"/>
    </row>
    <row r="189" spans="1:21">
      <c r="A189" s="17"/>
      <c r="B189" s="17"/>
      <c r="C189" s="17"/>
      <c r="D189" s="17"/>
      <c r="G189" s="17"/>
      <c r="I189" s="513"/>
      <c r="J189" s="513"/>
      <c r="K189" s="513"/>
      <c r="L189" s="513"/>
      <c r="M189" s="513"/>
      <c r="N189" s="513"/>
      <c r="P189" s="326"/>
      <c r="Q189" s="326"/>
      <c r="R189" s="326"/>
      <c r="S189" s="326"/>
      <c r="T189" s="326"/>
      <c r="U189" s="326"/>
    </row>
    <row r="190" spans="1:21">
      <c r="A190" s="17"/>
      <c r="B190" s="17"/>
      <c r="C190" s="17"/>
      <c r="D190" s="17"/>
      <c r="G190" s="17"/>
      <c r="I190" s="513"/>
      <c r="J190" s="513"/>
      <c r="K190" s="513"/>
      <c r="L190" s="513"/>
      <c r="M190" s="513"/>
      <c r="N190" s="513"/>
      <c r="P190" s="326"/>
      <c r="Q190" s="326"/>
      <c r="R190" s="326"/>
      <c r="S190" s="326"/>
      <c r="T190" s="326"/>
      <c r="U190" s="326"/>
    </row>
    <row r="191" spans="1:21">
      <c r="A191" s="17"/>
      <c r="B191" s="17"/>
      <c r="C191" s="17"/>
      <c r="D191" s="17"/>
      <c r="G191" s="17"/>
      <c r="I191" s="513"/>
      <c r="J191" s="513"/>
      <c r="K191" s="513"/>
      <c r="L191" s="513"/>
      <c r="M191" s="513"/>
      <c r="N191" s="513"/>
      <c r="P191" s="326"/>
      <c r="Q191" s="326"/>
      <c r="R191" s="326"/>
      <c r="S191" s="326"/>
      <c r="T191" s="326"/>
      <c r="U191" s="326"/>
    </row>
    <row r="192" spans="1:21">
      <c r="A192" s="17"/>
      <c r="B192" s="17"/>
      <c r="C192" s="17"/>
      <c r="D192" s="17"/>
      <c r="G192" s="17"/>
      <c r="I192" s="513"/>
      <c r="J192" s="513"/>
      <c r="K192" s="513"/>
      <c r="L192" s="513"/>
      <c r="M192" s="513"/>
      <c r="N192" s="513"/>
      <c r="P192" s="326"/>
      <c r="Q192" s="326"/>
      <c r="R192" s="326"/>
      <c r="S192" s="326"/>
      <c r="T192" s="326"/>
      <c r="U192" s="326"/>
    </row>
    <row r="193" spans="1:21">
      <c r="A193" s="17"/>
      <c r="B193" s="17"/>
      <c r="C193" s="17"/>
      <c r="D193" s="17"/>
      <c r="G193" s="17"/>
      <c r="I193" s="513"/>
      <c r="J193" s="513"/>
      <c r="K193" s="513"/>
      <c r="L193" s="513"/>
      <c r="M193" s="513"/>
      <c r="N193" s="513"/>
      <c r="P193" s="326"/>
      <c r="Q193" s="326"/>
      <c r="R193" s="326"/>
      <c r="S193" s="326"/>
      <c r="T193" s="326"/>
      <c r="U193" s="326"/>
    </row>
    <row r="194" spans="1:21">
      <c r="A194" s="17"/>
      <c r="B194" s="17"/>
      <c r="C194" s="17"/>
      <c r="D194" s="17"/>
      <c r="G194" s="17"/>
      <c r="I194" s="513"/>
      <c r="J194" s="513"/>
      <c r="K194" s="513"/>
      <c r="L194" s="513"/>
      <c r="M194" s="513"/>
      <c r="N194" s="513"/>
      <c r="P194" s="326"/>
      <c r="Q194" s="326"/>
      <c r="R194" s="326"/>
      <c r="S194" s="326"/>
      <c r="T194" s="326"/>
      <c r="U194" s="326"/>
    </row>
    <row r="195" spans="1:21">
      <c r="A195" s="17"/>
      <c r="B195" s="17"/>
      <c r="C195" s="17"/>
      <c r="D195" s="17"/>
      <c r="G195" s="17"/>
      <c r="I195" s="513"/>
      <c r="J195" s="513"/>
      <c r="K195" s="513"/>
      <c r="L195" s="513"/>
      <c r="M195" s="513"/>
      <c r="N195" s="513"/>
      <c r="P195" s="326"/>
      <c r="Q195" s="326"/>
      <c r="R195" s="326"/>
      <c r="S195" s="326"/>
      <c r="T195" s="326"/>
      <c r="U195" s="326"/>
    </row>
    <row r="196" spans="1:21">
      <c r="A196" s="17"/>
      <c r="B196" s="17"/>
      <c r="C196" s="17"/>
      <c r="D196" s="17"/>
      <c r="G196" s="17"/>
      <c r="I196" s="513"/>
      <c r="J196" s="513"/>
      <c r="K196" s="513"/>
      <c r="L196" s="513"/>
      <c r="M196" s="513"/>
      <c r="N196" s="513"/>
      <c r="P196" s="326"/>
      <c r="Q196" s="326"/>
      <c r="R196" s="326"/>
      <c r="S196" s="326"/>
      <c r="T196" s="326"/>
      <c r="U196" s="326"/>
    </row>
    <row r="197" spans="1:21">
      <c r="A197" s="17"/>
      <c r="B197" s="17"/>
      <c r="C197" s="17"/>
      <c r="D197" s="17"/>
      <c r="G197" s="17"/>
      <c r="I197" s="513"/>
      <c r="J197" s="513"/>
      <c r="K197" s="513"/>
      <c r="L197" s="513"/>
      <c r="M197" s="513"/>
      <c r="N197" s="513"/>
      <c r="P197" s="326"/>
      <c r="Q197" s="326"/>
      <c r="R197" s="326"/>
      <c r="S197" s="326"/>
      <c r="T197" s="326"/>
      <c r="U197" s="326"/>
    </row>
    <row r="198" spans="1:21">
      <c r="A198" s="17"/>
      <c r="B198" s="17"/>
      <c r="C198" s="17"/>
      <c r="D198" s="17"/>
      <c r="G198" s="17"/>
      <c r="I198" s="513"/>
      <c r="J198" s="513"/>
      <c r="K198" s="513"/>
      <c r="L198" s="513"/>
      <c r="M198" s="513"/>
      <c r="N198" s="513"/>
      <c r="P198" s="326"/>
      <c r="Q198" s="326"/>
      <c r="R198" s="326"/>
      <c r="S198" s="326"/>
      <c r="T198" s="326"/>
      <c r="U198" s="326"/>
    </row>
    <row r="199" spans="1:21">
      <c r="A199" s="17"/>
      <c r="B199" s="17"/>
      <c r="C199" s="17"/>
      <c r="D199" s="17"/>
      <c r="G199" s="17"/>
      <c r="I199" s="513"/>
      <c r="J199" s="513"/>
      <c r="K199" s="513"/>
      <c r="L199" s="513"/>
      <c r="M199" s="513"/>
      <c r="N199" s="513"/>
      <c r="P199" s="326"/>
      <c r="Q199" s="326"/>
      <c r="R199" s="326"/>
      <c r="S199" s="326"/>
      <c r="T199" s="326"/>
      <c r="U199" s="326"/>
    </row>
    <row r="200" spans="1:21">
      <c r="A200" s="17"/>
      <c r="B200" s="17"/>
      <c r="C200" s="17"/>
      <c r="D200" s="17"/>
      <c r="G200" s="17"/>
      <c r="I200" s="513"/>
      <c r="J200" s="513"/>
      <c r="K200" s="513"/>
      <c r="L200" s="513"/>
      <c r="M200" s="513"/>
      <c r="N200" s="513"/>
      <c r="P200" s="326"/>
      <c r="Q200" s="326"/>
      <c r="R200" s="326"/>
      <c r="S200" s="326"/>
      <c r="T200" s="326"/>
      <c r="U200" s="326"/>
    </row>
    <row r="201" spans="1:21">
      <c r="A201" s="17"/>
      <c r="B201" s="17"/>
      <c r="C201" s="17"/>
      <c r="D201" s="17"/>
      <c r="G201" s="17"/>
      <c r="I201" s="513"/>
      <c r="J201" s="513"/>
      <c r="K201" s="513"/>
      <c r="L201" s="513"/>
      <c r="M201" s="513"/>
      <c r="N201" s="513"/>
      <c r="P201" s="326"/>
      <c r="Q201" s="326"/>
      <c r="R201" s="326"/>
      <c r="S201" s="326"/>
      <c r="T201" s="326"/>
      <c r="U201" s="326"/>
    </row>
    <row r="202" spans="1:21">
      <c r="A202" s="17"/>
      <c r="B202" s="17"/>
      <c r="C202" s="17"/>
      <c r="D202" s="17"/>
      <c r="G202" s="17"/>
      <c r="I202" s="513"/>
      <c r="J202" s="513"/>
      <c r="K202" s="513"/>
      <c r="L202" s="513"/>
      <c r="M202" s="513"/>
      <c r="N202" s="513"/>
      <c r="P202" s="326"/>
      <c r="Q202" s="326"/>
      <c r="R202" s="326"/>
      <c r="S202" s="326"/>
      <c r="T202" s="326"/>
      <c r="U202" s="326"/>
    </row>
    <row r="203" spans="1:21">
      <c r="A203" s="17"/>
      <c r="B203" s="17"/>
      <c r="C203" s="17"/>
      <c r="D203" s="17"/>
      <c r="G203" s="17"/>
      <c r="I203" s="513"/>
      <c r="J203" s="513"/>
      <c r="K203" s="513"/>
      <c r="L203" s="513"/>
      <c r="M203" s="513"/>
      <c r="N203" s="513"/>
      <c r="P203" s="326"/>
      <c r="Q203" s="326"/>
      <c r="R203" s="326"/>
      <c r="S203" s="326"/>
      <c r="T203" s="326"/>
      <c r="U203" s="326"/>
    </row>
    <row r="204" spans="1:21">
      <c r="A204" s="17"/>
      <c r="B204" s="17"/>
      <c r="C204" s="17"/>
      <c r="D204" s="17"/>
      <c r="G204" s="17"/>
      <c r="I204" s="513"/>
      <c r="J204" s="513"/>
      <c r="K204" s="513"/>
      <c r="L204" s="513"/>
      <c r="M204" s="513"/>
      <c r="N204" s="513"/>
      <c r="P204" s="326"/>
      <c r="Q204" s="326"/>
      <c r="R204" s="326"/>
      <c r="S204" s="326"/>
      <c r="T204" s="326"/>
      <c r="U204" s="326"/>
    </row>
    <row r="205" spans="1:21">
      <c r="A205" s="17"/>
      <c r="B205" s="17"/>
      <c r="C205" s="17"/>
      <c r="D205" s="17"/>
      <c r="G205" s="17"/>
      <c r="I205" s="513"/>
      <c r="J205" s="513"/>
      <c r="K205" s="513"/>
      <c r="L205" s="513"/>
      <c r="M205" s="513"/>
      <c r="N205" s="513"/>
      <c r="P205" s="326"/>
      <c r="Q205" s="326"/>
      <c r="R205" s="326"/>
      <c r="S205" s="326"/>
      <c r="T205" s="326"/>
      <c r="U205" s="326"/>
    </row>
    <row r="206" spans="1:21">
      <c r="A206" s="17"/>
      <c r="B206" s="17"/>
      <c r="C206" s="17"/>
      <c r="D206" s="17"/>
      <c r="G206" s="17"/>
      <c r="I206" s="513"/>
      <c r="J206" s="513"/>
      <c r="K206" s="513"/>
      <c r="L206" s="513"/>
      <c r="M206" s="513"/>
      <c r="N206" s="513"/>
      <c r="P206" s="326"/>
      <c r="Q206" s="326"/>
      <c r="R206" s="326"/>
      <c r="S206" s="326"/>
      <c r="T206" s="326"/>
      <c r="U206" s="326"/>
    </row>
    <row r="207" spans="1:21">
      <c r="A207" s="17"/>
      <c r="B207" s="17"/>
      <c r="C207" s="17"/>
      <c r="D207" s="17"/>
      <c r="G207" s="17"/>
      <c r="I207" s="513"/>
      <c r="J207" s="513"/>
      <c r="K207" s="513"/>
      <c r="L207" s="513"/>
      <c r="M207" s="513"/>
      <c r="N207" s="513"/>
      <c r="P207" s="326"/>
      <c r="Q207" s="326"/>
      <c r="R207" s="326"/>
      <c r="S207" s="326"/>
      <c r="T207" s="326"/>
      <c r="U207" s="326"/>
    </row>
    <row r="208" spans="1:21">
      <c r="A208" s="17"/>
      <c r="B208" s="17"/>
      <c r="C208" s="17"/>
      <c r="D208" s="17"/>
      <c r="G208" s="17"/>
      <c r="I208" s="513"/>
      <c r="J208" s="513"/>
      <c r="K208" s="513"/>
      <c r="L208" s="513"/>
      <c r="M208" s="513"/>
      <c r="N208" s="513"/>
      <c r="P208" s="326"/>
      <c r="Q208" s="326"/>
      <c r="R208" s="326"/>
      <c r="S208" s="326"/>
      <c r="T208" s="326"/>
      <c r="U208" s="326"/>
    </row>
    <row r="209" spans="1:21">
      <c r="A209" s="17"/>
      <c r="B209" s="17"/>
      <c r="C209" s="17"/>
      <c r="D209" s="17"/>
      <c r="G209" s="17"/>
      <c r="I209" s="513"/>
      <c r="J209" s="513"/>
      <c r="K209" s="513"/>
      <c r="L209" s="513"/>
      <c r="M209" s="513"/>
      <c r="N209" s="513"/>
      <c r="P209" s="326"/>
      <c r="Q209" s="326"/>
      <c r="R209" s="326"/>
      <c r="S209" s="326"/>
      <c r="T209" s="326"/>
      <c r="U209" s="326"/>
    </row>
    <row r="210" spans="1:21">
      <c r="A210" s="17"/>
      <c r="B210" s="17"/>
      <c r="C210" s="17"/>
      <c r="D210" s="17"/>
      <c r="G210" s="17"/>
      <c r="I210" s="513"/>
      <c r="J210" s="513"/>
      <c r="K210" s="513"/>
      <c r="L210" s="513"/>
      <c r="M210" s="513"/>
      <c r="N210" s="513"/>
      <c r="P210" s="326"/>
      <c r="Q210" s="326"/>
      <c r="R210" s="326"/>
      <c r="S210" s="326"/>
      <c r="T210" s="326"/>
      <c r="U210" s="326"/>
    </row>
    <row r="211" spans="1:21">
      <c r="A211" s="17"/>
      <c r="B211" s="17"/>
      <c r="C211" s="17"/>
      <c r="D211" s="17"/>
      <c r="G211" s="17"/>
      <c r="I211" s="513"/>
      <c r="J211" s="513"/>
      <c r="K211" s="513"/>
      <c r="L211" s="513"/>
      <c r="M211" s="513"/>
      <c r="N211" s="513"/>
      <c r="P211" s="326"/>
      <c r="Q211" s="326"/>
      <c r="R211" s="326"/>
      <c r="S211" s="326"/>
      <c r="T211" s="326"/>
      <c r="U211" s="326"/>
    </row>
    <row r="212" spans="1:21">
      <c r="A212" s="17"/>
      <c r="B212" s="17"/>
      <c r="C212" s="17"/>
      <c r="D212" s="17"/>
      <c r="G212" s="17"/>
      <c r="I212" s="513"/>
      <c r="J212" s="513"/>
      <c r="K212" s="513"/>
      <c r="L212" s="513"/>
      <c r="M212" s="513"/>
      <c r="N212" s="513"/>
      <c r="P212" s="326"/>
      <c r="Q212" s="326"/>
      <c r="R212" s="326"/>
      <c r="S212" s="326"/>
      <c r="T212" s="326"/>
      <c r="U212" s="326"/>
    </row>
    <row r="213" spans="1:21">
      <c r="A213" s="17"/>
      <c r="B213" s="17"/>
      <c r="C213" s="17"/>
      <c r="D213" s="17"/>
      <c r="G213" s="17"/>
      <c r="I213" s="513"/>
      <c r="J213" s="513"/>
      <c r="K213" s="513"/>
      <c r="L213" s="513"/>
      <c r="M213" s="513"/>
      <c r="N213" s="513"/>
      <c r="P213" s="326"/>
      <c r="Q213" s="326"/>
      <c r="R213" s="326"/>
      <c r="S213" s="326"/>
      <c r="T213" s="326"/>
      <c r="U213" s="326"/>
    </row>
    <row r="214" spans="1:21">
      <c r="A214" s="17"/>
      <c r="B214" s="17"/>
      <c r="C214" s="17"/>
      <c r="D214" s="17"/>
      <c r="G214" s="17"/>
      <c r="I214" s="513"/>
      <c r="J214" s="513"/>
      <c r="K214" s="513"/>
      <c r="L214" s="513"/>
      <c r="M214" s="513"/>
      <c r="N214" s="513"/>
      <c r="P214" s="326"/>
      <c r="Q214" s="326"/>
      <c r="R214" s="326"/>
      <c r="S214" s="326"/>
      <c r="T214" s="326"/>
      <c r="U214" s="326"/>
    </row>
    <row r="215" spans="1:21">
      <c r="A215" s="17"/>
      <c r="B215" s="17"/>
      <c r="C215" s="17"/>
      <c r="D215" s="17"/>
      <c r="G215" s="17"/>
      <c r="I215" s="513"/>
      <c r="J215" s="513"/>
      <c r="K215" s="513"/>
      <c r="L215" s="513"/>
      <c r="M215" s="513"/>
      <c r="N215" s="513"/>
      <c r="P215" s="326"/>
      <c r="Q215" s="326"/>
      <c r="R215" s="326"/>
      <c r="S215" s="326"/>
      <c r="T215" s="326"/>
      <c r="U215" s="326"/>
    </row>
    <row r="216" spans="1:21">
      <c r="A216" s="17"/>
      <c r="B216" s="17"/>
      <c r="C216" s="17"/>
      <c r="D216" s="17"/>
      <c r="G216" s="17"/>
      <c r="I216" s="513"/>
      <c r="J216" s="513"/>
      <c r="K216" s="513"/>
      <c r="L216" s="513"/>
      <c r="M216" s="513"/>
      <c r="N216" s="513"/>
      <c r="P216" s="326"/>
      <c r="Q216" s="326"/>
      <c r="R216" s="326"/>
      <c r="S216" s="326"/>
      <c r="T216" s="326"/>
      <c r="U216" s="326"/>
    </row>
    <row r="217" spans="1:21">
      <c r="A217" s="17"/>
      <c r="B217" s="17"/>
      <c r="C217" s="17"/>
      <c r="D217" s="17"/>
      <c r="G217" s="17"/>
      <c r="I217" s="513"/>
      <c r="J217" s="513"/>
      <c r="K217" s="513"/>
      <c r="L217" s="513"/>
      <c r="M217" s="513"/>
      <c r="N217" s="513"/>
      <c r="P217" s="326"/>
      <c r="Q217" s="326"/>
      <c r="R217" s="326"/>
      <c r="S217" s="326"/>
      <c r="T217" s="326"/>
      <c r="U217" s="326"/>
    </row>
    <row r="218" spans="1:21">
      <c r="A218" s="17"/>
      <c r="B218" s="17"/>
      <c r="C218" s="17"/>
      <c r="D218" s="17"/>
      <c r="G218" s="17"/>
      <c r="I218" s="513"/>
      <c r="J218" s="513"/>
      <c r="K218" s="513"/>
      <c r="L218" s="513"/>
      <c r="M218" s="513"/>
      <c r="N218" s="513"/>
      <c r="P218" s="326"/>
      <c r="Q218" s="326"/>
      <c r="R218" s="326"/>
      <c r="S218" s="326"/>
      <c r="T218" s="326"/>
      <c r="U218" s="326"/>
    </row>
    <row r="219" spans="1:21">
      <c r="A219" s="17"/>
      <c r="B219" s="17"/>
      <c r="C219" s="17"/>
      <c r="D219" s="17"/>
      <c r="G219" s="17"/>
      <c r="I219" s="513"/>
      <c r="J219" s="513"/>
      <c r="K219" s="513"/>
      <c r="L219" s="513"/>
      <c r="M219" s="513"/>
      <c r="N219" s="513"/>
      <c r="P219" s="326"/>
      <c r="Q219" s="326"/>
      <c r="R219" s="326"/>
      <c r="S219" s="326"/>
      <c r="T219" s="326"/>
      <c r="U219" s="326"/>
    </row>
    <row r="220" spans="1:21">
      <c r="A220" s="17"/>
      <c r="B220" s="17"/>
      <c r="C220" s="17"/>
      <c r="D220" s="17"/>
      <c r="G220" s="17"/>
      <c r="I220" s="513"/>
      <c r="J220" s="513"/>
      <c r="K220" s="513"/>
      <c r="L220" s="513"/>
      <c r="M220" s="513"/>
      <c r="N220" s="513"/>
      <c r="P220" s="326"/>
      <c r="Q220" s="326"/>
      <c r="R220" s="326"/>
      <c r="S220" s="326"/>
      <c r="T220" s="326"/>
      <c r="U220" s="326"/>
    </row>
    <row r="221" spans="1:21">
      <c r="A221" s="17"/>
      <c r="B221" s="17"/>
      <c r="C221" s="17"/>
      <c r="D221" s="17"/>
      <c r="G221" s="17"/>
      <c r="I221" s="513"/>
      <c r="J221" s="513"/>
      <c r="K221" s="513"/>
      <c r="L221" s="513"/>
      <c r="M221" s="513"/>
      <c r="N221" s="513"/>
      <c r="P221" s="326"/>
      <c r="Q221" s="326"/>
      <c r="R221" s="326"/>
      <c r="S221" s="326"/>
      <c r="T221" s="326"/>
      <c r="U221" s="326"/>
    </row>
    <row r="222" spans="1:21">
      <c r="A222" s="17"/>
      <c r="B222" s="17"/>
      <c r="C222" s="17"/>
      <c r="D222" s="17"/>
      <c r="G222" s="17"/>
      <c r="I222" s="513"/>
      <c r="J222" s="513"/>
      <c r="K222" s="513"/>
      <c r="L222" s="513"/>
      <c r="M222" s="513"/>
      <c r="N222" s="513"/>
      <c r="P222" s="326"/>
      <c r="Q222" s="326"/>
      <c r="R222" s="326"/>
      <c r="S222" s="326"/>
      <c r="T222" s="326"/>
      <c r="U222" s="326"/>
    </row>
    <row r="223" spans="1:21">
      <c r="A223" s="17"/>
      <c r="B223" s="17"/>
      <c r="C223" s="17"/>
      <c r="D223" s="17"/>
      <c r="G223" s="17"/>
      <c r="I223" s="513"/>
      <c r="J223" s="513"/>
      <c r="K223" s="513"/>
      <c r="L223" s="513"/>
      <c r="M223" s="513"/>
      <c r="N223" s="513"/>
      <c r="P223" s="326"/>
      <c r="Q223" s="326"/>
      <c r="R223" s="326"/>
      <c r="S223" s="326"/>
      <c r="T223" s="326"/>
      <c r="U223" s="326"/>
    </row>
    <row r="224" spans="1:21">
      <c r="A224" s="17"/>
      <c r="B224" s="17"/>
      <c r="C224" s="17"/>
      <c r="D224" s="17"/>
      <c r="G224" s="17"/>
      <c r="I224" s="513"/>
      <c r="J224" s="513"/>
      <c r="K224" s="513"/>
      <c r="L224" s="513"/>
      <c r="M224" s="513"/>
      <c r="N224" s="513"/>
      <c r="P224" s="326"/>
      <c r="Q224" s="326"/>
      <c r="R224" s="326"/>
      <c r="S224" s="326"/>
      <c r="T224" s="326"/>
      <c r="U224" s="326"/>
    </row>
    <row r="225" spans="1:21">
      <c r="A225" s="17"/>
      <c r="B225" s="17"/>
      <c r="C225" s="17"/>
      <c r="D225" s="17"/>
      <c r="G225" s="17"/>
      <c r="I225" s="513"/>
      <c r="J225" s="513"/>
      <c r="K225" s="513"/>
      <c r="L225" s="513"/>
      <c r="M225" s="513"/>
      <c r="N225" s="513"/>
      <c r="P225" s="326"/>
      <c r="Q225" s="326"/>
      <c r="R225" s="326"/>
      <c r="S225" s="326"/>
      <c r="T225" s="326"/>
      <c r="U225" s="326"/>
    </row>
    <row r="226" spans="1:21">
      <c r="A226" s="17"/>
      <c r="B226" s="17"/>
      <c r="C226" s="17"/>
      <c r="D226" s="17"/>
      <c r="G226" s="17"/>
      <c r="I226" s="513"/>
      <c r="J226" s="513"/>
      <c r="K226" s="513"/>
      <c r="L226" s="513"/>
      <c r="M226" s="513"/>
      <c r="N226" s="513"/>
      <c r="P226" s="326"/>
      <c r="Q226" s="326"/>
      <c r="R226" s="326"/>
      <c r="S226" s="326"/>
      <c r="T226" s="326"/>
      <c r="U226" s="326"/>
    </row>
    <row r="227" spans="1:21">
      <c r="A227" s="17"/>
      <c r="B227" s="17"/>
      <c r="C227" s="17"/>
      <c r="D227" s="17"/>
      <c r="G227" s="17"/>
      <c r="I227" s="513"/>
      <c r="J227" s="513"/>
      <c r="K227" s="513"/>
      <c r="L227" s="513"/>
      <c r="M227" s="513"/>
      <c r="N227" s="513"/>
      <c r="P227" s="326"/>
      <c r="Q227" s="326"/>
      <c r="R227" s="326"/>
      <c r="S227" s="326"/>
      <c r="T227" s="326"/>
      <c r="U227" s="326"/>
    </row>
    <row r="228" spans="1:21">
      <c r="A228" s="17"/>
      <c r="B228" s="17"/>
      <c r="C228" s="17"/>
      <c r="D228" s="17"/>
      <c r="G228" s="17"/>
      <c r="I228" s="513"/>
      <c r="J228" s="513"/>
      <c r="K228" s="513"/>
      <c r="L228" s="513"/>
      <c r="M228" s="513"/>
      <c r="N228" s="513"/>
      <c r="P228" s="326"/>
      <c r="Q228" s="326"/>
      <c r="R228" s="326"/>
      <c r="S228" s="326"/>
      <c r="T228" s="326"/>
      <c r="U228" s="326"/>
    </row>
    <row r="229" spans="1:21">
      <c r="A229" s="17"/>
      <c r="B229" s="17"/>
      <c r="C229" s="17"/>
      <c r="D229" s="17"/>
      <c r="G229" s="17"/>
      <c r="I229" s="513"/>
      <c r="J229" s="513"/>
      <c r="K229" s="513"/>
      <c r="L229" s="513"/>
      <c r="M229" s="513"/>
      <c r="N229" s="513"/>
      <c r="P229" s="326"/>
      <c r="Q229" s="326"/>
      <c r="R229" s="326"/>
      <c r="S229" s="326"/>
      <c r="T229" s="326"/>
      <c r="U229" s="326"/>
    </row>
    <row r="230" spans="1:21">
      <c r="A230" s="17"/>
      <c r="B230" s="17"/>
      <c r="C230" s="17"/>
      <c r="D230" s="17"/>
      <c r="G230" s="17"/>
      <c r="I230" s="513"/>
      <c r="J230" s="513"/>
      <c r="K230" s="513"/>
      <c r="L230" s="513"/>
      <c r="M230" s="513"/>
      <c r="N230" s="513"/>
      <c r="P230" s="326"/>
      <c r="Q230" s="326"/>
      <c r="R230" s="326"/>
      <c r="S230" s="326"/>
      <c r="T230" s="326"/>
      <c r="U230" s="326"/>
    </row>
    <row r="231" spans="1:21">
      <c r="A231" s="17"/>
      <c r="B231" s="17"/>
      <c r="C231" s="17"/>
      <c r="D231" s="17"/>
      <c r="G231" s="17"/>
      <c r="I231" s="513"/>
      <c r="J231" s="513"/>
      <c r="K231" s="513"/>
      <c r="L231" s="513"/>
      <c r="M231" s="513"/>
      <c r="N231" s="513"/>
      <c r="P231" s="326"/>
      <c r="Q231" s="326"/>
      <c r="R231" s="326"/>
      <c r="S231" s="326"/>
      <c r="T231" s="326"/>
      <c r="U231" s="326"/>
    </row>
    <row r="232" spans="1:21">
      <c r="A232" s="17"/>
      <c r="B232" s="17"/>
      <c r="C232" s="17"/>
      <c r="D232" s="17"/>
      <c r="G232" s="17"/>
      <c r="I232" s="513"/>
      <c r="J232" s="513"/>
      <c r="K232" s="513"/>
      <c r="L232" s="513"/>
      <c r="M232" s="513"/>
      <c r="N232" s="513"/>
      <c r="P232" s="326"/>
      <c r="Q232" s="326"/>
      <c r="R232" s="326"/>
      <c r="S232" s="326"/>
      <c r="T232" s="326"/>
      <c r="U232" s="326"/>
    </row>
    <row r="233" spans="1:21">
      <c r="A233" s="17"/>
      <c r="B233" s="17"/>
      <c r="C233" s="17"/>
      <c r="D233" s="17"/>
      <c r="G233" s="17"/>
      <c r="I233" s="513"/>
      <c r="J233" s="513"/>
      <c r="K233" s="513"/>
      <c r="L233" s="513"/>
      <c r="M233" s="513"/>
      <c r="N233" s="513"/>
      <c r="P233" s="326"/>
      <c r="Q233" s="326"/>
      <c r="R233" s="326"/>
      <c r="S233" s="326"/>
      <c r="T233" s="326"/>
      <c r="U233" s="326"/>
    </row>
    <row r="234" spans="1:21">
      <c r="A234" s="17"/>
      <c r="B234" s="17"/>
      <c r="C234" s="17"/>
      <c r="D234" s="17"/>
      <c r="G234" s="17"/>
      <c r="I234" s="513"/>
      <c r="J234" s="513"/>
      <c r="K234" s="513"/>
      <c r="L234" s="513"/>
      <c r="M234" s="513"/>
      <c r="N234" s="513"/>
      <c r="P234" s="326"/>
      <c r="Q234" s="326"/>
      <c r="R234" s="326"/>
      <c r="S234" s="326"/>
      <c r="T234" s="326"/>
      <c r="U234" s="326"/>
    </row>
    <row r="235" spans="1:21">
      <c r="A235" s="17"/>
      <c r="B235" s="17"/>
      <c r="C235" s="17"/>
      <c r="D235" s="17"/>
      <c r="G235" s="17"/>
      <c r="I235" s="513"/>
      <c r="J235" s="513"/>
      <c r="K235" s="513"/>
      <c r="L235" s="513"/>
      <c r="M235" s="513"/>
      <c r="N235" s="513"/>
      <c r="P235" s="326"/>
      <c r="Q235" s="326"/>
      <c r="R235" s="326"/>
      <c r="S235" s="326"/>
      <c r="T235" s="326"/>
      <c r="U235" s="326"/>
    </row>
    <row r="236" spans="1:21">
      <c r="A236" s="17"/>
      <c r="B236" s="17"/>
      <c r="C236" s="17"/>
      <c r="D236" s="17"/>
      <c r="G236" s="17"/>
      <c r="I236" s="513"/>
      <c r="J236" s="513"/>
      <c r="K236" s="513"/>
      <c r="L236" s="513"/>
      <c r="M236" s="513"/>
      <c r="N236" s="513"/>
      <c r="P236" s="326"/>
      <c r="Q236" s="326"/>
      <c r="R236" s="326"/>
      <c r="S236" s="326"/>
      <c r="T236" s="326"/>
      <c r="U236" s="326"/>
    </row>
    <row r="237" spans="1:21">
      <c r="A237" s="17"/>
      <c r="B237" s="17"/>
      <c r="C237" s="17"/>
      <c r="D237" s="17"/>
      <c r="G237" s="17"/>
      <c r="I237" s="513"/>
      <c r="J237" s="513"/>
      <c r="K237" s="513"/>
      <c r="L237" s="513"/>
      <c r="M237" s="513"/>
      <c r="N237" s="513"/>
      <c r="P237" s="326"/>
      <c r="Q237" s="326"/>
      <c r="R237" s="326"/>
      <c r="S237" s="326"/>
      <c r="T237" s="326"/>
      <c r="U237" s="326"/>
    </row>
    <row r="238" spans="1:21">
      <c r="A238" s="17"/>
      <c r="B238" s="17"/>
      <c r="C238" s="17"/>
      <c r="D238" s="17"/>
      <c r="G238" s="17"/>
      <c r="I238" s="513"/>
      <c r="J238" s="513"/>
      <c r="K238" s="513"/>
      <c r="L238" s="513"/>
      <c r="M238" s="513"/>
      <c r="N238" s="513"/>
      <c r="P238" s="326"/>
      <c r="Q238" s="326"/>
      <c r="R238" s="326"/>
      <c r="S238" s="326"/>
      <c r="T238" s="326"/>
      <c r="U238" s="326"/>
    </row>
    <row r="239" spans="1:21">
      <c r="A239" s="17"/>
      <c r="B239" s="17"/>
      <c r="C239" s="17"/>
      <c r="D239" s="17"/>
      <c r="G239" s="17"/>
      <c r="I239" s="513"/>
      <c r="J239" s="513"/>
      <c r="K239" s="513"/>
      <c r="L239" s="513"/>
      <c r="M239" s="513"/>
      <c r="N239" s="513"/>
      <c r="P239" s="326"/>
      <c r="Q239" s="326"/>
      <c r="R239" s="326"/>
      <c r="S239" s="326"/>
      <c r="T239" s="326"/>
      <c r="U239" s="326"/>
    </row>
    <row r="240" spans="1:21">
      <c r="A240" s="17"/>
      <c r="B240" s="17"/>
      <c r="C240" s="17"/>
      <c r="D240" s="17"/>
      <c r="G240" s="17"/>
      <c r="I240" s="513"/>
      <c r="J240" s="513"/>
      <c r="K240" s="513"/>
      <c r="L240" s="513"/>
      <c r="M240" s="513"/>
      <c r="N240" s="513"/>
      <c r="P240" s="326"/>
      <c r="Q240" s="326"/>
      <c r="R240" s="326"/>
      <c r="S240" s="326"/>
      <c r="T240" s="326"/>
      <c r="U240" s="326"/>
    </row>
    <row r="241" spans="1:21">
      <c r="A241" s="17"/>
      <c r="B241" s="17"/>
      <c r="C241" s="17"/>
      <c r="D241" s="17"/>
      <c r="G241" s="17"/>
      <c r="I241" s="513"/>
      <c r="J241" s="513"/>
      <c r="K241" s="513"/>
      <c r="L241" s="513"/>
      <c r="M241" s="513"/>
      <c r="N241" s="513"/>
      <c r="P241" s="326"/>
      <c r="Q241" s="326"/>
      <c r="R241" s="326"/>
      <c r="S241" s="326"/>
      <c r="T241" s="326"/>
      <c r="U241" s="326"/>
    </row>
    <row r="242" spans="1:21">
      <c r="A242" s="17"/>
      <c r="B242" s="17"/>
      <c r="C242" s="17"/>
      <c r="D242" s="17"/>
      <c r="G242" s="17"/>
      <c r="I242" s="513"/>
      <c r="J242" s="513"/>
      <c r="K242" s="513"/>
      <c r="L242" s="513"/>
      <c r="M242" s="513"/>
      <c r="N242" s="513"/>
      <c r="P242" s="326"/>
      <c r="Q242" s="326"/>
      <c r="R242" s="326"/>
      <c r="S242" s="326"/>
      <c r="T242" s="326"/>
      <c r="U242" s="326"/>
    </row>
    <row r="243" spans="1:21">
      <c r="A243" s="17"/>
      <c r="B243" s="17"/>
      <c r="C243" s="17"/>
      <c r="D243" s="17"/>
      <c r="G243" s="17"/>
      <c r="I243" s="513"/>
      <c r="J243" s="513"/>
      <c r="K243" s="513"/>
      <c r="L243" s="513"/>
      <c r="M243" s="513"/>
      <c r="N243" s="513"/>
      <c r="P243" s="326"/>
      <c r="Q243" s="326"/>
      <c r="R243" s="326"/>
      <c r="S243" s="326"/>
      <c r="T243" s="326"/>
      <c r="U243" s="326"/>
    </row>
    <row r="244" spans="1:21">
      <c r="A244" s="17"/>
      <c r="B244" s="17"/>
      <c r="C244" s="17"/>
      <c r="D244" s="17"/>
      <c r="G244" s="17"/>
      <c r="I244" s="513"/>
      <c r="J244" s="513"/>
      <c r="K244" s="513"/>
      <c r="L244" s="513"/>
      <c r="M244" s="513"/>
      <c r="N244" s="513"/>
      <c r="P244" s="326"/>
      <c r="Q244" s="326"/>
      <c r="R244" s="326"/>
      <c r="S244" s="326"/>
      <c r="T244" s="326"/>
      <c r="U244" s="326"/>
    </row>
    <row r="245" spans="1:21">
      <c r="A245" s="17"/>
      <c r="B245" s="17"/>
      <c r="C245" s="17"/>
      <c r="D245" s="17"/>
      <c r="G245" s="17"/>
      <c r="I245" s="513"/>
      <c r="J245" s="513"/>
      <c r="K245" s="513"/>
      <c r="L245" s="513"/>
      <c r="M245" s="513"/>
      <c r="N245" s="513"/>
      <c r="P245" s="326"/>
      <c r="Q245" s="326"/>
      <c r="R245" s="326"/>
      <c r="S245" s="326"/>
      <c r="T245" s="326"/>
      <c r="U245" s="326"/>
    </row>
    <row r="246" spans="1:21">
      <c r="A246" s="17"/>
      <c r="B246" s="17"/>
      <c r="C246" s="17"/>
      <c r="D246" s="17"/>
      <c r="G246" s="17"/>
      <c r="I246" s="513"/>
      <c r="J246" s="513"/>
      <c r="K246" s="513"/>
      <c r="L246" s="513"/>
      <c r="M246" s="513"/>
      <c r="N246" s="513"/>
      <c r="P246" s="326"/>
      <c r="Q246" s="326"/>
      <c r="R246" s="326"/>
      <c r="S246" s="326"/>
      <c r="T246" s="326"/>
      <c r="U246" s="326"/>
    </row>
    <row r="247" spans="1:21">
      <c r="A247" s="17"/>
      <c r="B247" s="17"/>
      <c r="C247" s="17"/>
      <c r="D247" s="17"/>
      <c r="G247" s="17"/>
      <c r="I247" s="513"/>
      <c r="J247" s="513"/>
      <c r="K247" s="513"/>
      <c r="L247" s="513"/>
      <c r="M247" s="513"/>
      <c r="N247" s="513"/>
      <c r="P247" s="326"/>
      <c r="Q247" s="326"/>
      <c r="R247" s="326"/>
      <c r="S247" s="326"/>
      <c r="T247" s="326"/>
      <c r="U247" s="326"/>
    </row>
    <row r="248" spans="1:21">
      <c r="A248" s="17"/>
      <c r="B248" s="17"/>
      <c r="C248" s="17"/>
      <c r="D248" s="17"/>
      <c r="G248" s="17"/>
      <c r="I248" s="513"/>
      <c r="J248" s="513"/>
      <c r="K248" s="513"/>
      <c r="L248" s="513"/>
      <c r="M248" s="513"/>
      <c r="N248" s="513"/>
      <c r="P248" s="326"/>
      <c r="Q248" s="326"/>
      <c r="R248" s="326"/>
      <c r="S248" s="326"/>
      <c r="T248" s="326"/>
      <c r="U248" s="326"/>
    </row>
    <row r="249" spans="1:21">
      <c r="A249" s="17"/>
      <c r="B249" s="17"/>
      <c r="C249" s="17"/>
      <c r="D249" s="17"/>
      <c r="G249" s="17"/>
      <c r="I249" s="513"/>
      <c r="J249" s="513"/>
      <c r="K249" s="513"/>
      <c r="L249" s="513"/>
      <c r="M249" s="513"/>
      <c r="N249" s="513"/>
      <c r="P249" s="326"/>
      <c r="Q249" s="326"/>
      <c r="R249" s="326"/>
      <c r="S249" s="326"/>
      <c r="T249" s="326"/>
      <c r="U249" s="326"/>
    </row>
    <row r="250" spans="1:21">
      <c r="A250" s="17"/>
      <c r="B250" s="17"/>
      <c r="C250" s="17"/>
      <c r="D250" s="17"/>
      <c r="G250" s="17"/>
      <c r="I250" s="513"/>
      <c r="J250" s="513"/>
      <c r="K250" s="513"/>
      <c r="L250" s="513"/>
      <c r="M250" s="513"/>
      <c r="N250" s="513"/>
      <c r="P250" s="326"/>
      <c r="Q250" s="326"/>
      <c r="R250" s="326"/>
      <c r="S250" s="326"/>
      <c r="T250" s="326"/>
      <c r="U250" s="326"/>
    </row>
    <row r="251" spans="1:21">
      <c r="A251" s="17"/>
      <c r="B251" s="17"/>
      <c r="C251" s="17"/>
      <c r="D251" s="17"/>
      <c r="G251" s="17"/>
      <c r="I251" s="513"/>
      <c r="J251" s="513"/>
      <c r="K251" s="513"/>
      <c r="L251" s="513"/>
      <c r="M251" s="513"/>
      <c r="N251" s="513"/>
      <c r="P251" s="326"/>
      <c r="Q251" s="326"/>
      <c r="R251" s="326"/>
      <c r="S251" s="326"/>
      <c r="T251" s="326"/>
      <c r="U251" s="326"/>
    </row>
    <row r="252" spans="1:21">
      <c r="A252" s="17"/>
      <c r="B252" s="17"/>
      <c r="C252" s="17"/>
      <c r="D252" s="17"/>
      <c r="G252" s="17"/>
      <c r="I252" s="513"/>
      <c r="J252" s="513"/>
      <c r="K252" s="513"/>
      <c r="L252" s="513"/>
      <c r="M252" s="513"/>
      <c r="N252" s="513"/>
      <c r="P252" s="326"/>
      <c r="Q252" s="326"/>
      <c r="R252" s="326"/>
      <c r="S252" s="326"/>
      <c r="T252" s="326"/>
      <c r="U252" s="326"/>
    </row>
    <row r="253" spans="1:21">
      <c r="A253" s="17"/>
      <c r="B253" s="17"/>
      <c r="C253" s="17"/>
      <c r="D253" s="17"/>
      <c r="G253" s="17"/>
      <c r="I253" s="513"/>
      <c r="J253" s="513"/>
      <c r="K253" s="513"/>
      <c r="L253" s="513"/>
      <c r="M253" s="513"/>
      <c r="N253" s="513"/>
      <c r="P253" s="326"/>
      <c r="Q253" s="326"/>
      <c r="R253" s="326"/>
      <c r="S253" s="326"/>
      <c r="T253" s="326"/>
      <c r="U253" s="326"/>
    </row>
    <row r="254" spans="1:21">
      <c r="A254" s="17"/>
      <c r="B254" s="17"/>
      <c r="C254" s="17"/>
      <c r="D254" s="17"/>
      <c r="G254" s="17"/>
      <c r="I254" s="513"/>
      <c r="J254" s="513"/>
      <c r="K254" s="513"/>
      <c r="L254" s="513"/>
      <c r="M254" s="513"/>
      <c r="N254" s="513"/>
      <c r="P254" s="326"/>
      <c r="Q254" s="326"/>
      <c r="R254" s="326"/>
      <c r="S254" s="326"/>
      <c r="T254" s="326"/>
      <c r="U254" s="326"/>
    </row>
    <row r="255" spans="1:21">
      <c r="A255" s="17"/>
      <c r="B255" s="17"/>
      <c r="C255" s="17"/>
      <c r="D255" s="17"/>
      <c r="G255" s="17"/>
      <c r="I255" s="513"/>
      <c r="J255" s="513"/>
      <c r="K255" s="513"/>
      <c r="L255" s="513"/>
      <c r="M255" s="513"/>
      <c r="N255" s="513"/>
      <c r="P255" s="326"/>
      <c r="Q255" s="326"/>
      <c r="R255" s="326"/>
      <c r="S255" s="326"/>
      <c r="T255" s="326"/>
      <c r="U255" s="326"/>
    </row>
    <row r="256" spans="1:21">
      <c r="A256" s="17"/>
      <c r="B256" s="17"/>
      <c r="C256" s="17"/>
      <c r="D256" s="17"/>
      <c r="G256" s="17"/>
      <c r="I256" s="513"/>
      <c r="J256" s="513"/>
      <c r="K256" s="513"/>
      <c r="L256" s="513"/>
      <c r="M256" s="513"/>
      <c r="N256" s="513"/>
      <c r="P256" s="326"/>
      <c r="Q256" s="326"/>
      <c r="R256" s="326"/>
      <c r="S256" s="326"/>
      <c r="T256" s="326"/>
      <c r="U256" s="326"/>
    </row>
    <row r="257" spans="1:21">
      <c r="A257" s="17"/>
      <c r="B257" s="17"/>
      <c r="C257" s="17"/>
      <c r="D257" s="17"/>
      <c r="G257" s="17"/>
      <c r="I257" s="513"/>
      <c r="J257" s="513"/>
      <c r="K257" s="513"/>
      <c r="L257" s="513"/>
      <c r="M257" s="513"/>
      <c r="N257" s="513"/>
      <c r="P257" s="326"/>
      <c r="Q257" s="326"/>
      <c r="R257" s="326"/>
      <c r="S257" s="326"/>
      <c r="T257" s="326"/>
      <c r="U257" s="326"/>
    </row>
    <row r="258" spans="1:21">
      <c r="A258" s="17"/>
      <c r="B258" s="17"/>
      <c r="C258" s="17"/>
      <c r="D258" s="17"/>
      <c r="G258" s="17"/>
      <c r="I258" s="513"/>
      <c r="J258" s="513"/>
      <c r="K258" s="513"/>
      <c r="L258" s="513"/>
      <c r="M258" s="513"/>
      <c r="N258" s="513"/>
      <c r="P258" s="326"/>
      <c r="Q258" s="326"/>
      <c r="R258" s="326"/>
      <c r="S258" s="326"/>
      <c r="T258" s="326"/>
      <c r="U258" s="326"/>
    </row>
    <row r="259" spans="1:21">
      <c r="A259" s="17"/>
      <c r="B259" s="17"/>
      <c r="C259" s="17"/>
      <c r="D259" s="17"/>
      <c r="G259" s="17"/>
      <c r="I259" s="513"/>
      <c r="J259" s="513"/>
      <c r="K259" s="513"/>
      <c r="L259" s="513"/>
      <c r="M259" s="513"/>
      <c r="N259" s="513"/>
      <c r="P259" s="326"/>
      <c r="Q259" s="326"/>
      <c r="R259" s="326"/>
      <c r="S259" s="326"/>
      <c r="T259" s="326"/>
      <c r="U259" s="326"/>
    </row>
    <row r="260" spans="1:21">
      <c r="A260" s="17"/>
      <c r="B260" s="17"/>
      <c r="C260" s="17"/>
      <c r="D260" s="17"/>
      <c r="G260" s="17"/>
      <c r="I260" s="513"/>
      <c r="J260" s="513"/>
      <c r="K260" s="513"/>
      <c r="L260" s="513"/>
      <c r="M260" s="513"/>
      <c r="N260" s="513"/>
      <c r="P260" s="326"/>
      <c r="Q260" s="326"/>
      <c r="R260" s="326"/>
      <c r="S260" s="326"/>
      <c r="T260" s="326"/>
      <c r="U260" s="326"/>
    </row>
    <row r="261" spans="1:21">
      <c r="A261" s="17"/>
      <c r="B261" s="17"/>
      <c r="C261" s="17"/>
      <c r="D261" s="17"/>
      <c r="G261" s="17"/>
      <c r="I261" s="513"/>
      <c r="J261" s="513"/>
      <c r="K261" s="513"/>
      <c r="L261" s="513"/>
      <c r="M261" s="513"/>
      <c r="N261" s="513"/>
      <c r="P261" s="326"/>
      <c r="Q261" s="326"/>
      <c r="R261" s="326"/>
      <c r="S261" s="326"/>
      <c r="T261" s="326"/>
      <c r="U261" s="326"/>
    </row>
    <row r="262" spans="1:21">
      <c r="A262" s="17"/>
      <c r="B262" s="17"/>
      <c r="C262" s="17"/>
      <c r="D262" s="17"/>
      <c r="I262" s="513"/>
      <c r="J262" s="513"/>
      <c r="K262" s="513"/>
      <c r="L262" s="513"/>
      <c r="M262" s="513"/>
      <c r="N262" s="513"/>
      <c r="P262" s="326"/>
      <c r="Q262" s="326"/>
      <c r="R262" s="326"/>
      <c r="S262" s="326"/>
      <c r="T262" s="326"/>
      <c r="U262" s="326"/>
    </row>
    <row r="263" spans="1:21">
      <c r="A263" s="17"/>
      <c r="B263" s="17"/>
      <c r="C263" s="17"/>
      <c r="D263" s="17"/>
      <c r="I263" s="513"/>
      <c r="J263" s="513"/>
      <c r="K263" s="513"/>
      <c r="L263" s="513"/>
      <c r="M263" s="513"/>
      <c r="N263" s="513"/>
      <c r="P263" s="326"/>
      <c r="Q263" s="326"/>
      <c r="R263" s="326"/>
      <c r="S263" s="326"/>
      <c r="T263" s="326"/>
      <c r="U263" s="326"/>
    </row>
    <row r="264" spans="1:21">
      <c r="A264" s="17"/>
      <c r="B264" s="17"/>
      <c r="C264" s="17"/>
      <c r="D264" s="17"/>
      <c r="I264" s="513"/>
      <c r="J264" s="513"/>
      <c r="K264" s="513"/>
      <c r="L264" s="513"/>
      <c r="M264" s="513"/>
      <c r="N264" s="513"/>
      <c r="P264" s="326"/>
      <c r="Q264" s="326"/>
      <c r="R264" s="326"/>
      <c r="S264" s="326"/>
      <c r="T264" s="326"/>
      <c r="U264" s="326"/>
    </row>
    <row r="265" spans="1:21">
      <c r="A265" s="17"/>
      <c r="B265" s="17"/>
      <c r="C265" s="17"/>
      <c r="D265" s="17"/>
      <c r="I265" s="513"/>
      <c r="J265" s="513"/>
      <c r="K265" s="513"/>
      <c r="L265" s="513"/>
      <c r="M265" s="513"/>
      <c r="N265" s="513"/>
      <c r="P265" s="326"/>
      <c r="Q265" s="326"/>
      <c r="R265" s="326"/>
      <c r="S265" s="326"/>
      <c r="T265" s="326"/>
      <c r="U265" s="326"/>
    </row>
    <row r="266" spans="1:21">
      <c r="A266" s="17"/>
      <c r="B266" s="17"/>
      <c r="C266" s="17"/>
      <c r="D266" s="17"/>
      <c r="I266" s="513"/>
      <c r="J266" s="513"/>
      <c r="K266" s="513"/>
      <c r="L266" s="513"/>
      <c r="M266" s="513"/>
      <c r="N266" s="513"/>
      <c r="P266" s="326"/>
      <c r="Q266" s="326"/>
      <c r="R266" s="326"/>
      <c r="S266" s="326"/>
      <c r="T266" s="326"/>
      <c r="U266" s="326"/>
    </row>
    <row r="267" spans="1:21">
      <c r="A267" s="17"/>
      <c r="B267" s="17"/>
      <c r="C267" s="17"/>
      <c r="D267" s="17"/>
      <c r="I267" s="513"/>
      <c r="J267" s="513"/>
      <c r="K267" s="513"/>
      <c r="L267" s="513"/>
      <c r="M267" s="513"/>
      <c r="N267" s="513"/>
      <c r="P267" s="326"/>
      <c r="Q267" s="326"/>
      <c r="R267" s="326"/>
      <c r="S267" s="326"/>
      <c r="T267" s="326"/>
      <c r="U267" s="326"/>
    </row>
    <row r="268" spans="1:21">
      <c r="A268" s="17"/>
      <c r="B268" s="17"/>
      <c r="C268" s="17"/>
      <c r="D268" s="17"/>
      <c r="I268" s="513"/>
      <c r="J268" s="513"/>
      <c r="K268" s="513"/>
      <c r="L268" s="513"/>
      <c r="M268" s="513"/>
      <c r="N268" s="513"/>
      <c r="P268" s="326"/>
      <c r="Q268" s="326"/>
      <c r="R268" s="326"/>
      <c r="S268" s="326"/>
      <c r="T268" s="326"/>
      <c r="U268" s="326"/>
    </row>
    <row r="269" spans="1:21">
      <c r="A269" s="17"/>
      <c r="B269" s="17"/>
      <c r="C269" s="17"/>
      <c r="D269" s="17"/>
      <c r="I269" s="513"/>
      <c r="J269" s="513"/>
      <c r="K269" s="513"/>
      <c r="L269" s="513"/>
      <c r="M269" s="513"/>
      <c r="N269" s="513"/>
      <c r="P269" s="326"/>
      <c r="Q269" s="326"/>
      <c r="R269" s="326"/>
      <c r="S269" s="326"/>
      <c r="T269" s="326"/>
      <c r="U269" s="326"/>
    </row>
    <row r="270" spans="1:21">
      <c r="A270" s="17"/>
      <c r="B270" s="17"/>
      <c r="C270" s="17"/>
      <c r="D270" s="17"/>
      <c r="I270" s="513"/>
      <c r="J270" s="513"/>
      <c r="K270" s="513"/>
      <c r="L270" s="513"/>
      <c r="M270" s="513"/>
      <c r="N270" s="513"/>
      <c r="P270" s="326"/>
      <c r="Q270" s="326"/>
      <c r="R270" s="326"/>
      <c r="S270" s="326"/>
      <c r="T270" s="326"/>
      <c r="U270" s="326"/>
    </row>
    <row r="271" spans="1:21">
      <c r="A271" s="17"/>
      <c r="B271" s="17"/>
      <c r="C271" s="17"/>
      <c r="D271" s="17"/>
      <c r="I271" s="513"/>
      <c r="J271" s="513"/>
      <c r="K271" s="513"/>
      <c r="L271" s="513"/>
      <c r="M271" s="513"/>
      <c r="N271" s="513"/>
      <c r="P271" s="326"/>
      <c r="Q271" s="326"/>
      <c r="R271" s="326"/>
      <c r="S271" s="326"/>
      <c r="T271" s="326"/>
      <c r="U271" s="326"/>
    </row>
    <row r="272" spans="1:21">
      <c r="A272" s="17"/>
      <c r="B272" s="17"/>
      <c r="C272" s="17"/>
      <c r="D272" s="17"/>
      <c r="I272" s="513"/>
      <c r="J272" s="513"/>
      <c r="K272" s="513"/>
      <c r="L272" s="513"/>
      <c r="M272" s="513"/>
      <c r="N272" s="513"/>
      <c r="P272" s="326"/>
      <c r="Q272" s="326"/>
      <c r="R272" s="326"/>
      <c r="S272" s="326"/>
      <c r="T272" s="326"/>
      <c r="U272" s="326"/>
    </row>
    <row r="273" spans="1:21">
      <c r="A273" s="17"/>
      <c r="B273" s="17"/>
      <c r="C273" s="17"/>
      <c r="D273" s="17"/>
      <c r="I273" s="513"/>
      <c r="J273" s="513"/>
      <c r="K273" s="513"/>
      <c r="L273" s="513"/>
      <c r="M273" s="513"/>
      <c r="N273" s="513"/>
      <c r="P273" s="326"/>
      <c r="Q273" s="326"/>
      <c r="R273" s="326"/>
      <c r="S273" s="326"/>
      <c r="T273" s="326"/>
      <c r="U273" s="326"/>
    </row>
    <row r="274" spans="1:21">
      <c r="A274" s="17"/>
      <c r="B274" s="17"/>
      <c r="C274" s="17"/>
      <c r="D274" s="17"/>
      <c r="I274" s="513"/>
      <c r="J274" s="513"/>
      <c r="K274" s="513"/>
      <c r="L274" s="513"/>
      <c r="M274" s="513"/>
      <c r="N274" s="513"/>
      <c r="P274" s="326"/>
      <c r="Q274" s="326"/>
      <c r="R274" s="326"/>
      <c r="S274" s="326"/>
      <c r="T274" s="326"/>
      <c r="U274" s="326"/>
    </row>
    <row r="275" spans="1:21">
      <c r="A275" s="17"/>
      <c r="B275" s="17"/>
      <c r="C275" s="17"/>
      <c r="D275" s="17"/>
      <c r="I275" s="513"/>
      <c r="J275" s="513"/>
      <c r="K275" s="513"/>
      <c r="L275" s="513"/>
      <c r="M275" s="513"/>
      <c r="N275" s="513"/>
      <c r="P275" s="326"/>
      <c r="Q275" s="326"/>
      <c r="R275" s="326"/>
      <c r="S275" s="326"/>
      <c r="T275" s="326"/>
      <c r="U275" s="326"/>
    </row>
    <row r="276" spans="1:21">
      <c r="A276" s="17"/>
      <c r="B276" s="17"/>
      <c r="C276" s="17"/>
      <c r="D276" s="17"/>
      <c r="I276" s="513"/>
      <c r="J276" s="513"/>
      <c r="K276" s="513"/>
      <c r="L276" s="513"/>
      <c r="M276" s="513"/>
      <c r="N276" s="513"/>
      <c r="P276" s="326"/>
      <c r="Q276" s="326"/>
      <c r="R276" s="326"/>
      <c r="S276" s="326"/>
      <c r="T276" s="326"/>
      <c r="U276" s="326"/>
    </row>
    <row r="277" spans="1:21">
      <c r="A277" s="17"/>
      <c r="B277" s="17"/>
      <c r="C277" s="17"/>
      <c r="D277" s="17"/>
      <c r="I277" s="513"/>
      <c r="J277" s="513"/>
      <c r="K277" s="513"/>
      <c r="L277" s="513"/>
      <c r="M277" s="513"/>
      <c r="N277" s="513"/>
      <c r="P277" s="326"/>
      <c r="Q277" s="326"/>
      <c r="R277" s="326"/>
      <c r="S277" s="326"/>
      <c r="T277" s="326"/>
      <c r="U277" s="326"/>
    </row>
    <row r="278" spans="1:21">
      <c r="A278" s="17"/>
      <c r="B278" s="17"/>
      <c r="C278" s="17"/>
      <c r="D278" s="17"/>
      <c r="I278" s="513"/>
      <c r="J278" s="513"/>
      <c r="K278" s="513"/>
      <c r="L278" s="513"/>
      <c r="M278" s="513"/>
      <c r="N278" s="513"/>
      <c r="P278" s="326"/>
      <c r="Q278" s="326"/>
      <c r="R278" s="326"/>
      <c r="S278" s="326"/>
      <c r="T278" s="326"/>
      <c r="U278" s="326"/>
    </row>
    <row r="279" spans="1:21">
      <c r="A279" s="17"/>
      <c r="B279" s="17"/>
      <c r="C279" s="17"/>
      <c r="D279" s="17"/>
      <c r="I279" s="513"/>
      <c r="J279" s="513"/>
      <c r="K279" s="513"/>
      <c r="L279" s="513"/>
      <c r="M279" s="513"/>
      <c r="N279" s="513"/>
      <c r="P279" s="326"/>
      <c r="Q279" s="326"/>
      <c r="R279" s="326"/>
      <c r="S279" s="326"/>
      <c r="T279" s="326"/>
      <c r="U279" s="326"/>
    </row>
    <row r="280" spans="1:21">
      <c r="A280" s="17"/>
      <c r="B280" s="17"/>
      <c r="C280" s="17"/>
      <c r="D280" s="17"/>
      <c r="I280" s="513"/>
      <c r="J280" s="513"/>
      <c r="K280" s="513"/>
      <c r="L280" s="513"/>
      <c r="M280" s="513"/>
      <c r="N280" s="513"/>
      <c r="P280" s="326"/>
      <c r="Q280" s="326"/>
      <c r="R280" s="326"/>
      <c r="S280" s="326"/>
      <c r="T280" s="326"/>
      <c r="U280" s="326"/>
    </row>
    <row r="281" spans="1:21">
      <c r="A281" s="17"/>
      <c r="B281" s="17"/>
      <c r="C281" s="17"/>
      <c r="D281" s="17"/>
      <c r="I281" s="513"/>
      <c r="J281" s="513"/>
      <c r="K281" s="513"/>
      <c r="L281" s="513"/>
      <c r="M281" s="513"/>
      <c r="N281" s="513"/>
      <c r="P281" s="326"/>
      <c r="Q281" s="326"/>
      <c r="R281" s="326"/>
      <c r="S281" s="326"/>
      <c r="T281" s="326"/>
      <c r="U281" s="326"/>
    </row>
    <row r="282" spans="1:21">
      <c r="A282" s="17"/>
      <c r="B282" s="17"/>
      <c r="C282" s="17"/>
      <c r="D282" s="17"/>
      <c r="I282" s="513"/>
      <c r="J282" s="513"/>
      <c r="K282" s="513"/>
      <c r="L282" s="513"/>
      <c r="M282" s="513"/>
      <c r="N282" s="513"/>
      <c r="P282" s="326"/>
      <c r="Q282" s="326"/>
      <c r="R282" s="326"/>
      <c r="S282" s="326"/>
      <c r="T282" s="326"/>
      <c r="U282" s="326"/>
    </row>
    <row r="283" spans="1:21">
      <c r="A283" s="17"/>
      <c r="B283" s="17"/>
      <c r="C283" s="17"/>
      <c r="D283" s="17"/>
      <c r="I283" s="513"/>
      <c r="J283" s="513"/>
      <c r="K283" s="513"/>
      <c r="L283" s="513"/>
      <c r="M283" s="513"/>
      <c r="N283" s="513"/>
      <c r="P283" s="326"/>
      <c r="Q283" s="326"/>
      <c r="R283" s="326"/>
      <c r="S283" s="326"/>
      <c r="T283" s="326"/>
      <c r="U283" s="326"/>
    </row>
    <row r="284" spans="1:21">
      <c r="A284" s="17"/>
      <c r="B284" s="17"/>
      <c r="C284" s="17"/>
      <c r="D284" s="17"/>
      <c r="I284" s="513"/>
      <c r="J284" s="513"/>
      <c r="K284" s="513"/>
      <c r="L284" s="513"/>
      <c r="M284" s="513"/>
      <c r="N284" s="513"/>
      <c r="P284" s="326"/>
      <c r="Q284" s="326"/>
      <c r="R284" s="326"/>
      <c r="S284" s="326"/>
      <c r="T284" s="326"/>
      <c r="U284" s="326"/>
    </row>
    <row r="285" spans="1:21">
      <c r="A285" s="17"/>
      <c r="B285" s="17"/>
      <c r="C285" s="17"/>
      <c r="D285" s="17"/>
      <c r="I285" s="513"/>
      <c r="J285" s="513"/>
      <c r="K285" s="513"/>
      <c r="L285" s="513"/>
      <c r="M285" s="513"/>
      <c r="N285" s="513"/>
      <c r="P285" s="326"/>
      <c r="Q285" s="326"/>
      <c r="R285" s="326"/>
      <c r="S285" s="326"/>
      <c r="T285" s="326"/>
      <c r="U285" s="326"/>
    </row>
    <row r="286" spans="1:21">
      <c r="A286" s="17"/>
      <c r="B286" s="17"/>
      <c r="C286" s="17"/>
      <c r="D286" s="17"/>
      <c r="I286" s="513"/>
      <c r="J286" s="513"/>
      <c r="K286" s="513"/>
      <c r="L286" s="513"/>
      <c r="M286" s="513"/>
      <c r="N286" s="513"/>
      <c r="P286" s="326"/>
      <c r="Q286" s="326"/>
      <c r="R286" s="326"/>
      <c r="S286" s="326"/>
      <c r="T286" s="326"/>
      <c r="U286" s="326"/>
    </row>
    <row r="287" spans="1:21">
      <c r="A287" s="17"/>
      <c r="B287" s="17"/>
      <c r="C287" s="17"/>
      <c r="D287" s="17"/>
      <c r="I287" s="513"/>
      <c r="J287" s="513"/>
      <c r="K287" s="513"/>
      <c r="L287" s="513"/>
      <c r="M287" s="513"/>
      <c r="N287" s="513"/>
      <c r="P287" s="326"/>
      <c r="Q287" s="326"/>
      <c r="R287" s="326"/>
      <c r="S287" s="326"/>
      <c r="T287" s="326"/>
      <c r="U287" s="326"/>
    </row>
    <row r="288" spans="1:21">
      <c r="A288" s="17"/>
      <c r="B288" s="17"/>
      <c r="C288" s="17"/>
      <c r="D288" s="17"/>
      <c r="I288" s="513"/>
      <c r="J288" s="513"/>
      <c r="K288" s="513"/>
      <c r="L288" s="513"/>
      <c r="M288" s="513"/>
      <c r="N288" s="513"/>
      <c r="P288" s="326"/>
      <c r="Q288" s="326"/>
      <c r="R288" s="326"/>
      <c r="S288" s="326"/>
      <c r="T288" s="326"/>
      <c r="U288" s="326"/>
    </row>
    <row r="289" spans="1:21">
      <c r="A289" s="17"/>
      <c r="B289" s="17"/>
      <c r="C289" s="17"/>
      <c r="D289" s="17"/>
      <c r="I289" s="513"/>
      <c r="J289" s="513"/>
      <c r="K289" s="513"/>
      <c r="L289" s="513"/>
      <c r="M289" s="513"/>
      <c r="N289" s="513"/>
      <c r="P289" s="326"/>
      <c r="Q289" s="326"/>
      <c r="R289" s="326"/>
      <c r="S289" s="326"/>
      <c r="T289" s="326"/>
      <c r="U289" s="326"/>
    </row>
    <row r="290" spans="1:21">
      <c r="A290" s="17"/>
      <c r="B290" s="17"/>
      <c r="C290" s="17"/>
      <c r="D290" s="17"/>
      <c r="I290" s="513"/>
      <c r="J290" s="513"/>
      <c r="K290" s="513"/>
      <c r="L290" s="513"/>
      <c r="M290" s="513"/>
      <c r="N290" s="513"/>
      <c r="P290" s="326"/>
      <c r="Q290" s="326"/>
      <c r="R290" s="326"/>
      <c r="S290" s="326"/>
      <c r="T290" s="326"/>
      <c r="U290" s="326"/>
    </row>
    <row r="291" spans="1:21">
      <c r="A291" s="17"/>
      <c r="B291" s="17"/>
      <c r="C291" s="17"/>
      <c r="D291" s="17"/>
      <c r="I291" s="513"/>
      <c r="J291" s="513"/>
      <c r="K291" s="513"/>
      <c r="L291" s="513"/>
      <c r="M291" s="513"/>
      <c r="N291" s="513"/>
      <c r="P291" s="326"/>
      <c r="Q291" s="326"/>
      <c r="R291" s="326"/>
      <c r="S291" s="326"/>
      <c r="T291" s="326"/>
      <c r="U291" s="326"/>
    </row>
    <row r="292" spans="1:21">
      <c r="A292" s="17"/>
      <c r="B292" s="17"/>
      <c r="C292" s="17"/>
      <c r="D292" s="17"/>
      <c r="I292" s="513"/>
      <c r="J292" s="513"/>
      <c r="K292" s="513"/>
      <c r="L292" s="513"/>
      <c r="M292" s="513"/>
      <c r="N292" s="513"/>
      <c r="P292" s="326"/>
      <c r="Q292" s="326"/>
      <c r="R292" s="326"/>
      <c r="S292" s="326"/>
      <c r="T292" s="326"/>
      <c r="U292" s="326"/>
    </row>
    <row r="293" spans="1:21">
      <c r="A293" s="17"/>
      <c r="B293" s="17"/>
      <c r="C293" s="17"/>
      <c r="D293" s="17"/>
      <c r="I293" s="513"/>
      <c r="J293" s="513"/>
      <c r="K293" s="513"/>
      <c r="L293" s="513"/>
      <c r="M293" s="513"/>
      <c r="N293" s="513"/>
      <c r="P293" s="326"/>
      <c r="Q293" s="326"/>
      <c r="R293" s="326"/>
      <c r="S293" s="326"/>
      <c r="T293" s="326"/>
      <c r="U293" s="326"/>
    </row>
    <row r="294" spans="1:21">
      <c r="A294" s="17"/>
      <c r="B294" s="17"/>
      <c r="C294" s="17"/>
      <c r="D294" s="17"/>
      <c r="I294" s="513"/>
      <c r="J294" s="513"/>
      <c r="K294" s="513"/>
      <c r="L294" s="513"/>
      <c r="M294" s="513"/>
      <c r="N294" s="513"/>
      <c r="P294" s="326"/>
      <c r="Q294" s="326"/>
      <c r="R294" s="326"/>
      <c r="S294" s="326"/>
      <c r="T294" s="326"/>
      <c r="U294" s="326"/>
    </row>
    <row r="295" spans="1:21">
      <c r="A295" s="17"/>
      <c r="B295" s="17"/>
      <c r="C295" s="17"/>
      <c r="D295" s="17"/>
      <c r="I295" s="513"/>
      <c r="J295" s="513"/>
      <c r="K295" s="513"/>
      <c r="L295" s="513"/>
      <c r="M295" s="513"/>
      <c r="N295" s="513"/>
      <c r="P295" s="326"/>
      <c r="Q295" s="326"/>
      <c r="R295" s="326"/>
      <c r="S295" s="326"/>
      <c r="T295" s="326"/>
      <c r="U295" s="326"/>
    </row>
    <row r="296" spans="1:21">
      <c r="A296" s="17"/>
      <c r="B296" s="17"/>
      <c r="C296" s="17"/>
      <c r="D296" s="17"/>
      <c r="I296" s="513"/>
      <c r="J296" s="513"/>
      <c r="K296" s="513"/>
      <c r="L296" s="513"/>
      <c r="M296" s="513"/>
      <c r="N296" s="513"/>
      <c r="P296" s="326"/>
      <c r="Q296" s="326"/>
      <c r="R296" s="326"/>
      <c r="S296" s="326"/>
      <c r="T296" s="326"/>
      <c r="U296" s="326"/>
    </row>
    <row r="297" spans="1:21">
      <c r="A297" s="17"/>
      <c r="B297" s="17"/>
      <c r="C297" s="17"/>
      <c r="D297" s="17"/>
      <c r="I297" s="513"/>
      <c r="J297" s="513"/>
      <c r="K297" s="513"/>
      <c r="L297" s="513"/>
      <c r="M297" s="513"/>
      <c r="N297" s="513"/>
      <c r="P297" s="326"/>
      <c r="Q297" s="326"/>
      <c r="R297" s="326"/>
      <c r="S297" s="326"/>
      <c r="T297" s="326"/>
      <c r="U297" s="326"/>
    </row>
    <row r="298" spans="1:21">
      <c r="A298" s="17"/>
      <c r="B298" s="17"/>
      <c r="C298" s="17"/>
      <c r="D298" s="17"/>
      <c r="I298" s="513"/>
      <c r="J298" s="513"/>
      <c r="K298" s="513"/>
      <c r="L298" s="513"/>
      <c r="M298" s="513"/>
      <c r="N298" s="513"/>
      <c r="P298" s="326"/>
      <c r="Q298" s="326"/>
      <c r="R298" s="326"/>
      <c r="S298" s="326"/>
      <c r="T298" s="326"/>
      <c r="U298" s="326"/>
    </row>
    <row r="299" spans="1:21">
      <c r="A299" s="17"/>
      <c r="B299" s="17"/>
      <c r="C299" s="17"/>
      <c r="D299" s="17"/>
      <c r="I299" s="513"/>
      <c r="J299" s="513"/>
      <c r="K299" s="513"/>
      <c r="L299" s="513"/>
      <c r="M299" s="513"/>
      <c r="N299" s="513"/>
      <c r="P299" s="326"/>
      <c r="Q299" s="326"/>
      <c r="R299" s="326"/>
      <c r="S299" s="326"/>
      <c r="T299" s="326"/>
      <c r="U299" s="326"/>
    </row>
    <row r="300" spans="1:21">
      <c r="A300" s="17"/>
      <c r="B300" s="17"/>
      <c r="C300" s="17"/>
      <c r="D300" s="17"/>
      <c r="I300" s="513"/>
      <c r="J300" s="513"/>
      <c r="K300" s="513"/>
      <c r="L300" s="513"/>
      <c r="M300" s="513"/>
      <c r="N300" s="513"/>
      <c r="P300" s="326"/>
      <c r="Q300" s="326"/>
      <c r="R300" s="326"/>
      <c r="S300" s="326"/>
      <c r="T300" s="326"/>
      <c r="U300" s="326"/>
    </row>
    <row r="301" spans="1:21">
      <c r="A301" s="17"/>
      <c r="B301" s="17"/>
      <c r="C301" s="17"/>
      <c r="D301" s="17"/>
      <c r="I301" s="513"/>
      <c r="J301" s="513"/>
      <c r="K301" s="513"/>
      <c r="L301" s="513"/>
      <c r="M301" s="513"/>
      <c r="N301" s="513"/>
      <c r="P301" s="326"/>
      <c r="Q301" s="326"/>
      <c r="R301" s="326"/>
      <c r="S301" s="326"/>
      <c r="T301" s="326"/>
      <c r="U301" s="326"/>
    </row>
    <row r="302" spans="1:21">
      <c r="A302" s="17"/>
      <c r="B302" s="17"/>
      <c r="C302" s="17"/>
      <c r="D302" s="17"/>
      <c r="I302" s="513"/>
      <c r="J302" s="513"/>
      <c r="K302" s="513"/>
      <c r="L302" s="513"/>
      <c r="M302" s="513"/>
      <c r="N302" s="513"/>
      <c r="P302" s="326"/>
      <c r="Q302" s="326"/>
      <c r="R302" s="326"/>
      <c r="S302" s="326"/>
      <c r="T302" s="326"/>
      <c r="U302" s="326"/>
    </row>
    <row r="303" spans="1:21">
      <c r="A303" s="17"/>
      <c r="B303" s="17"/>
      <c r="C303" s="17"/>
      <c r="D303" s="17"/>
      <c r="I303" s="513"/>
      <c r="J303" s="513"/>
      <c r="K303" s="513"/>
      <c r="L303" s="513"/>
      <c r="M303" s="513"/>
      <c r="N303" s="513"/>
      <c r="P303" s="326"/>
      <c r="Q303" s="326"/>
      <c r="R303" s="326"/>
      <c r="S303" s="326"/>
      <c r="T303" s="326"/>
      <c r="U303" s="326"/>
    </row>
    <row r="304" spans="1:21">
      <c r="A304" s="17"/>
      <c r="B304" s="17"/>
      <c r="C304" s="17"/>
      <c r="D304" s="17"/>
      <c r="I304" s="513"/>
      <c r="J304" s="513"/>
      <c r="K304" s="513"/>
      <c r="L304" s="513"/>
      <c r="M304" s="513"/>
      <c r="N304" s="513"/>
      <c r="P304" s="326"/>
      <c r="Q304" s="326"/>
      <c r="R304" s="326"/>
      <c r="S304" s="326"/>
      <c r="T304" s="326"/>
      <c r="U304" s="326"/>
    </row>
    <row r="305" spans="1:21">
      <c r="A305" s="17"/>
      <c r="B305" s="17"/>
      <c r="C305" s="17"/>
      <c r="D305" s="17"/>
      <c r="I305" s="513"/>
      <c r="J305" s="513"/>
      <c r="K305" s="513"/>
      <c r="L305" s="513"/>
      <c r="M305" s="513"/>
      <c r="N305" s="513"/>
      <c r="P305" s="326"/>
      <c r="Q305" s="326"/>
      <c r="R305" s="326"/>
      <c r="S305" s="326"/>
      <c r="T305" s="326"/>
      <c r="U305" s="326"/>
    </row>
    <row r="306" spans="1:21">
      <c r="A306" s="17"/>
      <c r="B306" s="17"/>
      <c r="C306" s="17"/>
      <c r="D306" s="17"/>
      <c r="I306" s="513"/>
      <c r="J306" s="513"/>
      <c r="K306" s="513"/>
      <c r="L306" s="513"/>
      <c r="M306" s="513"/>
      <c r="N306" s="513"/>
      <c r="P306" s="326"/>
      <c r="Q306" s="326"/>
      <c r="R306" s="326"/>
      <c r="S306" s="326"/>
      <c r="T306" s="326"/>
      <c r="U306" s="326"/>
    </row>
    <row r="307" spans="1:21">
      <c r="A307" s="17"/>
      <c r="B307" s="17"/>
      <c r="C307" s="17"/>
      <c r="D307" s="17"/>
      <c r="I307" s="513"/>
      <c r="J307" s="513"/>
      <c r="K307" s="513"/>
      <c r="L307" s="513"/>
      <c r="M307" s="513"/>
      <c r="N307" s="513"/>
      <c r="P307" s="326"/>
      <c r="Q307" s="326"/>
      <c r="R307" s="326"/>
      <c r="S307" s="326"/>
      <c r="T307" s="326"/>
      <c r="U307" s="326"/>
    </row>
    <row r="308" spans="1:21">
      <c r="A308" s="17"/>
      <c r="B308" s="17"/>
      <c r="C308" s="17"/>
      <c r="D308" s="17"/>
      <c r="I308" s="513"/>
      <c r="J308" s="513"/>
      <c r="K308" s="513"/>
      <c r="L308" s="513"/>
      <c r="M308" s="513"/>
      <c r="N308" s="513"/>
      <c r="P308" s="326"/>
      <c r="Q308" s="326"/>
      <c r="R308" s="326"/>
      <c r="S308" s="326"/>
      <c r="T308" s="326"/>
      <c r="U308" s="326"/>
    </row>
    <row r="309" spans="1:21">
      <c r="A309" s="17"/>
      <c r="B309" s="17"/>
      <c r="C309" s="17"/>
      <c r="D309" s="17"/>
      <c r="I309" s="513"/>
      <c r="J309" s="513"/>
      <c r="K309" s="513"/>
      <c r="L309" s="513"/>
      <c r="M309" s="513"/>
      <c r="N309" s="513"/>
      <c r="P309" s="326"/>
      <c r="Q309" s="326"/>
      <c r="R309" s="326"/>
      <c r="S309" s="326"/>
      <c r="T309" s="326"/>
      <c r="U309" s="326"/>
    </row>
    <row r="310" spans="1:21">
      <c r="A310" s="17"/>
      <c r="B310" s="17"/>
      <c r="C310" s="17"/>
      <c r="D310" s="17"/>
      <c r="I310" s="513"/>
      <c r="J310" s="513"/>
      <c r="K310" s="513"/>
      <c r="L310" s="513"/>
      <c r="M310" s="513"/>
      <c r="N310" s="513"/>
      <c r="P310" s="326"/>
      <c r="Q310" s="326"/>
      <c r="R310" s="326"/>
      <c r="S310" s="326"/>
      <c r="T310" s="326"/>
      <c r="U310" s="326"/>
    </row>
    <row r="311" spans="1:21">
      <c r="A311" s="17"/>
      <c r="B311" s="17"/>
      <c r="C311" s="17"/>
      <c r="D311" s="17"/>
      <c r="I311" s="513"/>
      <c r="J311" s="513"/>
      <c r="K311" s="513"/>
      <c r="L311" s="513"/>
      <c r="M311" s="513"/>
      <c r="N311" s="513"/>
      <c r="P311" s="326"/>
      <c r="Q311" s="326"/>
      <c r="R311" s="326"/>
      <c r="S311" s="326"/>
      <c r="T311" s="326"/>
      <c r="U311" s="326"/>
    </row>
    <row r="312" spans="1:21">
      <c r="A312" s="17"/>
      <c r="B312" s="17"/>
      <c r="C312" s="17"/>
      <c r="D312" s="17"/>
      <c r="I312" s="513"/>
      <c r="J312" s="513"/>
      <c r="K312" s="513"/>
      <c r="L312" s="513"/>
      <c r="M312" s="513"/>
      <c r="N312" s="513"/>
      <c r="P312" s="326"/>
      <c r="Q312" s="326"/>
      <c r="R312" s="326"/>
      <c r="S312" s="326"/>
      <c r="T312" s="326"/>
      <c r="U312" s="326"/>
    </row>
    <row r="313" spans="1:21">
      <c r="A313" s="17"/>
      <c r="B313" s="17"/>
      <c r="C313" s="17"/>
      <c r="D313" s="17"/>
      <c r="I313" s="513"/>
      <c r="J313" s="513"/>
      <c r="K313" s="513"/>
      <c r="L313" s="513"/>
      <c r="M313" s="513"/>
      <c r="N313" s="513"/>
      <c r="P313" s="326"/>
      <c r="Q313" s="326"/>
      <c r="R313" s="326"/>
      <c r="S313" s="326"/>
      <c r="T313" s="326"/>
      <c r="U313" s="326"/>
    </row>
    <row r="314" spans="1:21">
      <c r="A314" s="17"/>
      <c r="B314" s="17"/>
      <c r="C314" s="17"/>
      <c r="D314" s="17"/>
      <c r="I314" s="17"/>
      <c r="J314" s="17"/>
      <c r="K314" s="17"/>
      <c r="L314" s="17"/>
      <c r="M314" s="17"/>
      <c r="N314" s="17"/>
      <c r="P314" s="326"/>
      <c r="Q314" s="326"/>
      <c r="R314" s="326"/>
      <c r="S314" s="326"/>
      <c r="T314" s="326"/>
      <c r="U314" s="326"/>
    </row>
    <row r="315" spans="1:21">
      <c r="A315" s="17"/>
      <c r="B315" s="17"/>
      <c r="C315" s="17"/>
      <c r="D315" s="17"/>
      <c r="I315" s="17"/>
      <c r="J315" s="17"/>
      <c r="K315" s="17"/>
      <c r="L315" s="17"/>
      <c r="M315" s="17"/>
      <c r="N315" s="17"/>
      <c r="P315" s="326"/>
      <c r="Q315" s="326"/>
      <c r="R315" s="326"/>
      <c r="S315" s="326"/>
      <c r="T315" s="326"/>
      <c r="U315" s="326"/>
    </row>
    <row r="316" spans="1:21">
      <c r="A316" s="17"/>
      <c r="B316" s="17"/>
      <c r="C316" s="17"/>
      <c r="D316" s="17"/>
      <c r="I316" s="17"/>
      <c r="J316" s="17"/>
      <c r="K316" s="17"/>
      <c r="L316" s="17"/>
      <c r="M316" s="17"/>
      <c r="N316" s="17"/>
      <c r="P316" s="326"/>
      <c r="Q316" s="326"/>
      <c r="R316" s="326"/>
      <c r="S316" s="326"/>
      <c r="T316" s="326"/>
      <c r="U316" s="326"/>
    </row>
    <row r="317" spans="1:21">
      <c r="A317" s="17"/>
      <c r="B317" s="17"/>
      <c r="C317" s="17"/>
      <c r="D317" s="17"/>
      <c r="I317" s="17"/>
      <c r="J317" s="17"/>
      <c r="K317" s="17"/>
      <c r="L317" s="17"/>
      <c r="M317" s="17"/>
      <c r="N317" s="17"/>
      <c r="P317" s="326"/>
      <c r="Q317" s="326"/>
      <c r="R317" s="326"/>
      <c r="S317" s="326"/>
      <c r="T317" s="326"/>
      <c r="U317" s="326"/>
    </row>
    <row r="318" spans="1:21">
      <c r="A318" s="17"/>
      <c r="B318" s="17"/>
      <c r="C318" s="17"/>
      <c r="D318" s="17"/>
      <c r="I318" s="17"/>
      <c r="J318" s="17"/>
      <c r="K318" s="17"/>
      <c r="L318" s="17"/>
      <c r="M318" s="17"/>
      <c r="N318" s="17"/>
      <c r="P318" s="326"/>
      <c r="Q318" s="326"/>
      <c r="R318" s="326"/>
      <c r="S318" s="326"/>
      <c r="T318" s="326"/>
      <c r="U318" s="326"/>
    </row>
    <row r="319" spans="1:21">
      <c r="A319" s="17"/>
      <c r="B319" s="17"/>
      <c r="C319" s="17"/>
      <c r="D319" s="17"/>
      <c r="I319" s="17"/>
      <c r="J319" s="17"/>
      <c r="K319" s="17"/>
      <c r="L319" s="17"/>
      <c r="M319" s="17"/>
      <c r="N319" s="17"/>
      <c r="P319" s="326"/>
      <c r="Q319" s="326"/>
      <c r="R319" s="326"/>
      <c r="S319" s="326"/>
      <c r="T319" s="326"/>
      <c r="U319" s="326"/>
    </row>
    <row r="320" spans="1:21">
      <c r="A320" s="17"/>
      <c r="B320" s="17"/>
      <c r="C320" s="17"/>
      <c r="D320" s="17"/>
      <c r="I320" s="17"/>
      <c r="J320" s="17"/>
      <c r="K320" s="17"/>
      <c r="L320" s="17"/>
      <c r="M320" s="17"/>
      <c r="N320" s="17"/>
      <c r="P320" s="326"/>
      <c r="Q320" s="326"/>
      <c r="R320" s="326"/>
      <c r="S320" s="326"/>
      <c r="T320" s="326"/>
      <c r="U320" s="326"/>
    </row>
    <row r="321" spans="1:21">
      <c r="A321" s="17"/>
      <c r="B321" s="17"/>
      <c r="C321" s="17"/>
      <c r="D321" s="17"/>
      <c r="I321" s="17"/>
      <c r="J321" s="17"/>
      <c r="K321" s="17"/>
      <c r="L321" s="17"/>
      <c r="M321" s="17"/>
      <c r="N321" s="17"/>
      <c r="P321" s="326"/>
      <c r="Q321" s="326"/>
      <c r="R321" s="326"/>
      <c r="S321" s="326"/>
      <c r="T321" s="326"/>
      <c r="U321" s="326"/>
    </row>
    <row r="322" spans="1:21">
      <c r="A322" s="17"/>
      <c r="B322" s="17"/>
      <c r="C322" s="17"/>
      <c r="D322" s="17"/>
      <c r="I322" s="17"/>
      <c r="J322" s="17"/>
      <c r="K322" s="17"/>
      <c r="L322" s="17"/>
      <c r="M322" s="17"/>
      <c r="N322" s="17"/>
      <c r="P322" s="326"/>
      <c r="Q322" s="326"/>
      <c r="R322" s="326"/>
      <c r="S322" s="326"/>
      <c r="T322" s="326"/>
      <c r="U322" s="326"/>
    </row>
    <row r="323" spans="1:21">
      <c r="A323" s="17"/>
      <c r="B323" s="17"/>
      <c r="C323" s="17"/>
      <c r="D323" s="17"/>
      <c r="I323" s="17"/>
      <c r="J323" s="17"/>
      <c r="K323" s="17"/>
      <c r="L323" s="17"/>
      <c r="M323" s="17"/>
      <c r="N323" s="17"/>
      <c r="P323" s="326"/>
      <c r="Q323" s="326"/>
      <c r="R323" s="326"/>
      <c r="S323" s="326"/>
      <c r="T323" s="326"/>
      <c r="U323" s="326"/>
    </row>
    <row r="324" spans="1:21">
      <c r="A324" s="17"/>
      <c r="B324" s="17"/>
      <c r="C324" s="17"/>
      <c r="I324" s="17"/>
      <c r="J324" s="17"/>
      <c r="K324" s="17"/>
      <c r="L324" s="17"/>
      <c r="M324" s="17"/>
      <c r="N324" s="17"/>
      <c r="P324" s="326"/>
      <c r="Q324" s="326"/>
      <c r="R324" s="326"/>
      <c r="S324" s="326"/>
      <c r="T324" s="326"/>
      <c r="U324" s="326"/>
    </row>
    <row r="325" spans="1:21">
      <c r="A325" s="17"/>
      <c r="B325" s="17"/>
      <c r="C325" s="17"/>
      <c r="I325" s="17"/>
      <c r="J325" s="17"/>
      <c r="K325" s="17"/>
      <c r="L325" s="17"/>
      <c r="M325" s="17"/>
      <c r="N325" s="17"/>
      <c r="P325" s="326"/>
      <c r="Q325" s="326"/>
      <c r="R325" s="326"/>
      <c r="S325" s="326"/>
      <c r="T325" s="326"/>
      <c r="U325" s="326"/>
    </row>
    <row r="326" spans="1:21">
      <c r="A326" s="17"/>
      <c r="B326" s="17"/>
      <c r="C326" s="17"/>
      <c r="I326" s="17"/>
      <c r="J326" s="17"/>
      <c r="K326" s="17"/>
      <c r="L326" s="17"/>
      <c r="M326" s="17"/>
      <c r="N326" s="17"/>
      <c r="P326" s="326"/>
      <c r="Q326" s="326"/>
      <c r="R326" s="326"/>
      <c r="S326" s="326"/>
      <c r="T326" s="326"/>
      <c r="U326" s="326"/>
    </row>
    <row r="327" spans="1:21">
      <c r="A327" s="17"/>
      <c r="B327" s="17"/>
      <c r="C327" s="17"/>
      <c r="I327" s="17"/>
      <c r="J327" s="17"/>
      <c r="K327" s="17"/>
      <c r="L327" s="17"/>
      <c r="M327" s="17"/>
      <c r="N327" s="17"/>
      <c r="P327" s="326"/>
      <c r="Q327" s="326"/>
      <c r="R327" s="326"/>
      <c r="S327" s="326"/>
      <c r="T327" s="326"/>
      <c r="U327" s="326"/>
    </row>
    <row r="328" spans="1:21">
      <c r="A328" s="17"/>
      <c r="B328" s="17"/>
      <c r="C328" s="17"/>
      <c r="I328" s="17"/>
      <c r="J328" s="17"/>
      <c r="K328" s="17"/>
      <c r="L328" s="17"/>
      <c r="M328" s="17"/>
      <c r="N328" s="17"/>
      <c r="P328" s="326"/>
      <c r="Q328" s="326"/>
      <c r="R328" s="326"/>
      <c r="S328" s="326"/>
      <c r="T328" s="326"/>
      <c r="U328" s="326"/>
    </row>
    <row r="329" spans="1:21">
      <c r="A329" s="17"/>
      <c r="B329" s="17"/>
      <c r="C329" s="17"/>
      <c r="I329" s="17"/>
      <c r="J329" s="17"/>
      <c r="K329" s="17"/>
      <c r="L329" s="17"/>
      <c r="M329" s="17"/>
      <c r="N329" s="17"/>
      <c r="P329" s="326"/>
      <c r="Q329" s="326"/>
      <c r="R329" s="326"/>
      <c r="S329" s="326"/>
      <c r="T329" s="326"/>
      <c r="U329" s="326"/>
    </row>
    <row r="330" spans="1:21">
      <c r="A330" s="17"/>
      <c r="B330" s="17"/>
      <c r="C330" s="17"/>
      <c r="I330" s="17"/>
      <c r="J330" s="17"/>
      <c r="K330" s="17"/>
      <c r="L330" s="17"/>
      <c r="M330" s="17"/>
      <c r="N330" s="17"/>
      <c r="P330" s="326"/>
      <c r="Q330" s="326"/>
      <c r="R330" s="326"/>
      <c r="S330" s="326"/>
      <c r="T330" s="326"/>
      <c r="U330" s="326"/>
    </row>
    <row r="331" spans="1:21">
      <c r="A331" s="17"/>
      <c r="B331" s="17"/>
      <c r="C331" s="17"/>
      <c r="I331" s="17"/>
      <c r="J331" s="17"/>
      <c r="K331" s="17"/>
      <c r="L331" s="17"/>
      <c r="M331" s="17"/>
      <c r="N331" s="17"/>
      <c r="P331" s="326"/>
      <c r="Q331" s="326"/>
      <c r="R331" s="326"/>
      <c r="S331" s="326"/>
      <c r="T331" s="326"/>
      <c r="U331" s="326"/>
    </row>
    <row r="332" spans="1:21">
      <c r="A332" s="17"/>
      <c r="B332" s="17"/>
      <c r="C332" s="17"/>
      <c r="I332" s="17"/>
      <c r="J332" s="17"/>
      <c r="K332" s="17"/>
      <c r="L332" s="17"/>
      <c r="M332" s="17"/>
      <c r="N332" s="17"/>
      <c r="P332" s="326"/>
      <c r="Q332" s="326"/>
      <c r="R332" s="326"/>
      <c r="S332" s="326"/>
      <c r="T332" s="326"/>
      <c r="U332" s="326"/>
    </row>
    <row r="333" spans="1:21">
      <c r="A333" s="17"/>
      <c r="B333" s="17"/>
      <c r="C333" s="17"/>
      <c r="I333" s="17"/>
      <c r="J333" s="17"/>
      <c r="K333" s="17"/>
      <c r="L333" s="17"/>
      <c r="M333" s="17"/>
      <c r="N333" s="17"/>
      <c r="P333" s="326"/>
      <c r="Q333" s="326"/>
      <c r="R333" s="326"/>
      <c r="S333" s="326"/>
      <c r="T333" s="326"/>
      <c r="U333" s="326"/>
    </row>
    <row r="334" spans="1:21">
      <c r="A334" s="17"/>
      <c r="B334" s="17"/>
      <c r="C334" s="17"/>
      <c r="I334" s="17"/>
      <c r="J334" s="17"/>
      <c r="K334" s="17"/>
      <c r="L334" s="17"/>
      <c r="M334" s="17"/>
      <c r="N334" s="17"/>
      <c r="P334" s="326"/>
      <c r="Q334" s="326"/>
      <c r="R334" s="326"/>
      <c r="S334" s="326"/>
      <c r="T334" s="326"/>
      <c r="U334" s="326"/>
    </row>
    <row r="335" spans="1:21">
      <c r="A335" s="17"/>
      <c r="B335" s="17"/>
      <c r="C335" s="17"/>
      <c r="I335" s="17"/>
      <c r="J335" s="17"/>
      <c r="K335" s="17"/>
      <c r="L335" s="17"/>
      <c r="M335" s="17"/>
      <c r="N335" s="17"/>
      <c r="P335" s="326"/>
      <c r="Q335" s="326"/>
      <c r="R335" s="326"/>
      <c r="S335" s="326"/>
      <c r="T335" s="326"/>
      <c r="U335" s="326"/>
    </row>
    <row r="336" spans="1:21">
      <c r="A336" s="17"/>
      <c r="B336" s="17"/>
      <c r="C336" s="17"/>
      <c r="I336" s="17"/>
      <c r="J336" s="17"/>
      <c r="K336" s="17"/>
      <c r="L336" s="17"/>
      <c r="M336" s="17"/>
      <c r="N336" s="17"/>
      <c r="P336" s="326"/>
      <c r="Q336" s="326"/>
      <c r="R336" s="326"/>
      <c r="S336" s="326"/>
      <c r="T336" s="326"/>
      <c r="U336" s="326"/>
    </row>
    <row r="337" spans="1:21">
      <c r="A337" s="17"/>
      <c r="B337" s="17"/>
      <c r="C337" s="17"/>
      <c r="I337" s="17"/>
      <c r="J337" s="17"/>
      <c r="K337" s="17"/>
      <c r="L337" s="17"/>
      <c r="M337" s="17"/>
      <c r="N337" s="17"/>
      <c r="P337" s="326"/>
      <c r="Q337" s="326"/>
      <c r="R337" s="326"/>
      <c r="S337" s="326"/>
      <c r="T337" s="326"/>
      <c r="U337" s="326"/>
    </row>
    <row r="338" spans="1:21">
      <c r="A338" s="17"/>
      <c r="B338" s="17"/>
      <c r="C338" s="17"/>
      <c r="I338" s="17"/>
      <c r="J338" s="17"/>
      <c r="K338" s="17"/>
      <c r="L338" s="17"/>
      <c r="M338" s="17"/>
      <c r="N338" s="17"/>
      <c r="P338" s="326"/>
      <c r="Q338" s="326"/>
      <c r="R338" s="326"/>
      <c r="S338" s="326"/>
      <c r="T338" s="326"/>
      <c r="U338" s="326"/>
    </row>
    <row r="339" spans="1:21">
      <c r="A339" s="17"/>
      <c r="B339" s="17"/>
      <c r="C339" s="17"/>
      <c r="I339" s="17"/>
      <c r="J339" s="17"/>
      <c r="K339" s="17"/>
      <c r="L339" s="17"/>
      <c r="M339" s="17"/>
      <c r="N339" s="17"/>
      <c r="P339" s="326"/>
      <c r="Q339" s="326"/>
      <c r="R339" s="326"/>
      <c r="S339" s="326"/>
      <c r="T339" s="326"/>
      <c r="U339" s="326"/>
    </row>
    <row r="340" spans="1:21">
      <c r="A340" s="17"/>
      <c r="B340" s="17"/>
      <c r="C340" s="17"/>
      <c r="I340" s="17"/>
      <c r="J340" s="17"/>
      <c r="K340" s="17"/>
      <c r="L340" s="17"/>
      <c r="M340" s="17"/>
      <c r="N340" s="17"/>
      <c r="P340" s="326"/>
      <c r="Q340" s="326"/>
      <c r="R340" s="326"/>
      <c r="S340" s="326"/>
      <c r="T340" s="326"/>
      <c r="U340" s="326"/>
    </row>
    <row r="341" spans="1:21">
      <c r="A341" s="17"/>
      <c r="B341" s="17"/>
      <c r="C341" s="17"/>
      <c r="I341" s="17"/>
      <c r="J341" s="17"/>
      <c r="K341" s="17"/>
      <c r="L341" s="17"/>
      <c r="M341" s="17"/>
      <c r="N341" s="17"/>
      <c r="P341" s="326"/>
      <c r="Q341" s="326"/>
      <c r="R341" s="326"/>
      <c r="S341" s="326"/>
      <c r="T341" s="326"/>
      <c r="U341" s="326"/>
    </row>
    <row r="342" spans="1:21">
      <c r="A342" s="17"/>
      <c r="B342" s="17"/>
      <c r="C342" s="17"/>
      <c r="I342" s="17"/>
      <c r="J342" s="17"/>
      <c r="K342" s="17"/>
      <c r="L342" s="17"/>
      <c r="M342" s="17"/>
      <c r="N342" s="17"/>
      <c r="P342" s="326"/>
      <c r="Q342" s="326"/>
      <c r="R342" s="326"/>
      <c r="S342" s="326"/>
      <c r="T342" s="326"/>
      <c r="U342" s="326"/>
    </row>
    <row r="343" spans="1:21">
      <c r="A343" s="17"/>
      <c r="B343" s="17"/>
      <c r="C343" s="17"/>
      <c r="I343" s="17"/>
      <c r="J343" s="17"/>
      <c r="K343" s="17"/>
      <c r="L343" s="17"/>
      <c r="M343" s="17"/>
      <c r="N343" s="17"/>
      <c r="P343" s="326"/>
      <c r="Q343" s="326"/>
      <c r="R343" s="326"/>
      <c r="S343" s="326"/>
      <c r="T343" s="326"/>
      <c r="U343" s="326"/>
    </row>
    <row r="344" spans="1:21">
      <c r="A344" s="17"/>
      <c r="B344" s="17"/>
      <c r="C344" s="17"/>
      <c r="I344" s="17"/>
      <c r="J344" s="17"/>
      <c r="K344" s="17"/>
      <c r="L344" s="17"/>
      <c r="M344" s="17"/>
      <c r="N344" s="17"/>
      <c r="P344" s="326"/>
      <c r="Q344" s="326"/>
      <c r="R344" s="326"/>
      <c r="S344" s="326"/>
      <c r="T344" s="326"/>
      <c r="U344" s="326"/>
    </row>
    <row r="345" spans="1:21">
      <c r="A345" s="17"/>
      <c r="B345" s="17"/>
      <c r="C345" s="17"/>
      <c r="I345" s="17"/>
      <c r="J345" s="17"/>
      <c r="K345" s="17"/>
      <c r="L345" s="17"/>
      <c r="M345" s="17"/>
      <c r="N345" s="17"/>
      <c r="P345" s="326"/>
      <c r="Q345" s="326"/>
      <c r="R345" s="326"/>
      <c r="S345" s="326"/>
      <c r="T345" s="326"/>
      <c r="U345" s="326"/>
    </row>
    <row r="346" spans="1:21">
      <c r="A346" s="17"/>
      <c r="B346" s="17"/>
      <c r="C346" s="17"/>
      <c r="I346" s="17"/>
      <c r="J346" s="17"/>
      <c r="K346" s="17"/>
      <c r="L346" s="17"/>
      <c r="M346" s="17"/>
      <c r="N346" s="17"/>
      <c r="P346" s="326"/>
      <c r="Q346" s="326"/>
      <c r="R346" s="326"/>
      <c r="S346" s="326"/>
      <c r="T346" s="326"/>
      <c r="U346" s="326"/>
    </row>
    <row r="347" spans="1:21">
      <c r="A347" s="17"/>
      <c r="B347" s="17"/>
      <c r="C347" s="17"/>
      <c r="I347" s="17"/>
      <c r="J347" s="17"/>
      <c r="K347" s="17"/>
      <c r="L347" s="17"/>
      <c r="M347" s="17"/>
      <c r="N347" s="17"/>
      <c r="P347" s="326"/>
      <c r="Q347" s="326"/>
      <c r="R347" s="326"/>
      <c r="S347" s="326"/>
      <c r="T347" s="326"/>
      <c r="U347" s="326"/>
    </row>
    <row r="348" spans="1:21">
      <c r="A348" s="17"/>
      <c r="B348" s="17"/>
      <c r="C348" s="17"/>
      <c r="I348" s="17"/>
      <c r="J348" s="17"/>
      <c r="K348" s="17"/>
      <c r="L348" s="17"/>
      <c r="M348" s="17"/>
      <c r="N348" s="17"/>
      <c r="P348" s="326"/>
      <c r="Q348" s="326"/>
      <c r="R348" s="326"/>
      <c r="S348" s="326"/>
      <c r="T348" s="326"/>
      <c r="U348" s="326"/>
    </row>
    <row r="349" spans="1:21">
      <c r="A349" s="17"/>
      <c r="B349" s="17"/>
      <c r="C349" s="17"/>
      <c r="I349" s="17"/>
      <c r="J349" s="17"/>
      <c r="K349" s="17"/>
      <c r="L349" s="17"/>
      <c r="M349" s="17"/>
      <c r="N349" s="17"/>
      <c r="P349" s="326"/>
      <c r="Q349" s="326"/>
      <c r="R349" s="326"/>
      <c r="S349" s="326"/>
      <c r="T349" s="326"/>
      <c r="U349" s="326"/>
    </row>
    <row r="350" spans="1:21">
      <c r="A350" s="17"/>
      <c r="B350" s="17"/>
      <c r="C350" s="17"/>
      <c r="I350" s="17"/>
      <c r="J350" s="17"/>
      <c r="K350" s="17"/>
      <c r="L350" s="17"/>
      <c r="M350" s="17"/>
      <c r="N350" s="17"/>
      <c r="P350" s="326"/>
      <c r="Q350" s="326"/>
      <c r="R350" s="326"/>
      <c r="S350" s="326"/>
      <c r="T350" s="326"/>
      <c r="U350" s="326"/>
    </row>
    <row r="351" spans="1:21">
      <c r="A351" s="17"/>
      <c r="B351" s="17"/>
      <c r="C351" s="17"/>
      <c r="I351" s="17"/>
      <c r="J351" s="17"/>
      <c r="K351" s="17"/>
      <c r="L351" s="17"/>
      <c r="M351" s="17"/>
      <c r="N351" s="17"/>
      <c r="P351" s="326"/>
      <c r="Q351" s="326"/>
      <c r="R351" s="326"/>
      <c r="S351" s="326"/>
      <c r="T351" s="326"/>
      <c r="U351" s="326"/>
    </row>
    <row r="352" spans="1:21">
      <c r="A352" s="17"/>
      <c r="B352" s="17"/>
      <c r="C352" s="17"/>
      <c r="I352" s="17"/>
      <c r="J352" s="17"/>
      <c r="K352" s="17"/>
      <c r="L352" s="17"/>
      <c r="M352" s="17"/>
      <c r="N352" s="17"/>
      <c r="P352" s="326"/>
      <c r="Q352" s="326"/>
      <c r="R352" s="326"/>
      <c r="S352" s="326"/>
      <c r="T352" s="326"/>
      <c r="U352" s="326"/>
    </row>
    <row r="353" spans="1:21">
      <c r="A353" s="17"/>
      <c r="B353" s="17"/>
      <c r="C353" s="17"/>
      <c r="I353" s="17"/>
      <c r="J353" s="17"/>
      <c r="K353" s="17"/>
      <c r="L353" s="17"/>
      <c r="M353" s="17"/>
      <c r="N353" s="17"/>
      <c r="P353" s="326"/>
      <c r="Q353" s="326"/>
      <c r="R353" s="326"/>
      <c r="S353" s="326"/>
      <c r="T353" s="326"/>
      <c r="U353" s="326"/>
    </row>
    <row r="354" spans="1:21">
      <c r="A354" s="17"/>
      <c r="B354" s="17"/>
      <c r="C354" s="17"/>
      <c r="I354" s="17"/>
      <c r="J354" s="17"/>
      <c r="K354" s="17"/>
      <c r="L354" s="17"/>
      <c r="M354" s="17"/>
      <c r="N354" s="17"/>
      <c r="P354" s="326"/>
      <c r="Q354" s="326"/>
      <c r="R354" s="326"/>
      <c r="S354" s="326"/>
      <c r="T354" s="326"/>
      <c r="U354" s="326"/>
    </row>
    <row r="355" spans="1:21">
      <c r="A355" s="17"/>
      <c r="B355" s="17"/>
      <c r="C355" s="17"/>
      <c r="I355" s="17"/>
      <c r="J355" s="17"/>
      <c r="K355" s="17"/>
      <c r="L355" s="17"/>
      <c r="M355" s="17"/>
      <c r="N355" s="17"/>
      <c r="P355" s="326"/>
      <c r="Q355" s="326"/>
      <c r="R355" s="326"/>
      <c r="S355" s="326"/>
      <c r="T355" s="326"/>
      <c r="U355" s="326"/>
    </row>
    <row r="356" spans="1:21">
      <c r="A356" s="17"/>
      <c r="B356" s="17"/>
      <c r="C356" s="17"/>
      <c r="I356" s="17"/>
      <c r="J356" s="17"/>
      <c r="K356" s="17"/>
      <c r="L356" s="17"/>
      <c r="M356" s="17"/>
      <c r="N356" s="17"/>
      <c r="P356" s="326"/>
      <c r="Q356" s="326"/>
      <c r="R356" s="326"/>
      <c r="S356" s="326"/>
      <c r="T356" s="326"/>
      <c r="U356" s="326"/>
    </row>
    <row r="357" spans="1:21">
      <c r="A357" s="17"/>
      <c r="B357" s="17"/>
      <c r="C357" s="17"/>
      <c r="I357" s="17"/>
      <c r="J357" s="17"/>
      <c r="K357" s="17"/>
      <c r="L357" s="17"/>
      <c r="M357" s="17"/>
      <c r="N357" s="17"/>
      <c r="P357" s="326"/>
      <c r="Q357" s="326"/>
      <c r="R357" s="326"/>
      <c r="S357" s="326"/>
      <c r="T357" s="326"/>
      <c r="U357" s="326"/>
    </row>
    <row r="358" spans="1:21">
      <c r="A358" s="17"/>
      <c r="B358" s="17"/>
      <c r="C358" s="17"/>
      <c r="I358" s="17"/>
      <c r="J358" s="17"/>
      <c r="K358" s="17"/>
      <c r="L358" s="17"/>
      <c r="M358" s="17"/>
      <c r="N358" s="17"/>
      <c r="P358" s="326"/>
      <c r="Q358" s="326"/>
      <c r="R358" s="326"/>
      <c r="S358" s="326"/>
      <c r="T358" s="326"/>
      <c r="U358" s="326"/>
    </row>
    <row r="359" spans="1:21">
      <c r="A359" s="17"/>
      <c r="B359" s="17"/>
      <c r="C359" s="17"/>
      <c r="I359" s="17"/>
      <c r="J359" s="17"/>
      <c r="K359" s="17"/>
      <c r="L359" s="17"/>
      <c r="M359" s="17"/>
      <c r="N359" s="17"/>
      <c r="P359" s="326"/>
      <c r="Q359" s="326"/>
      <c r="R359" s="326"/>
      <c r="S359" s="326"/>
      <c r="T359" s="326"/>
      <c r="U359" s="326"/>
    </row>
    <row r="360" spans="1:21">
      <c r="A360" s="17"/>
      <c r="B360" s="17"/>
      <c r="C360" s="17"/>
      <c r="I360" s="17"/>
      <c r="J360" s="17"/>
      <c r="K360" s="17"/>
      <c r="L360" s="17"/>
      <c r="M360" s="17"/>
      <c r="N360" s="17"/>
      <c r="P360" s="326"/>
      <c r="Q360" s="326"/>
      <c r="R360" s="326"/>
      <c r="S360" s="326"/>
      <c r="T360" s="326"/>
      <c r="U360" s="326"/>
    </row>
    <row r="361" spans="1:21">
      <c r="A361" s="17"/>
      <c r="B361" s="17"/>
      <c r="C361" s="17"/>
      <c r="I361" s="17"/>
      <c r="J361" s="17"/>
      <c r="K361" s="17"/>
      <c r="L361" s="17"/>
      <c r="M361" s="17"/>
      <c r="N361" s="17"/>
      <c r="P361" s="326"/>
      <c r="Q361" s="326"/>
      <c r="R361" s="326"/>
      <c r="S361" s="326"/>
      <c r="T361" s="326"/>
      <c r="U361" s="326"/>
    </row>
    <row r="362" spans="1:21">
      <c r="A362" s="17"/>
      <c r="B362" s="17"/>
      <c r="C362" s="17"/>
      <c r="I362" s="17"/>
      <c r="J362" s="17"/>
      <c r="K362" s="17"/>
      <c r="L362" s="17"/>
      <c r="M362" s="17"/>
      <c r="N362" s="17"/>
      <c r="P362" s="326"/>
      <c r="Q362" s="326"/>
      <c r="R362" s="326"/>
      <c r="S362" s="326"/>
      <c r="T362" s="326"/>
      <c r="U362" s="326"/>
    </row>
    <row r="363" spans="1:21">
      <c r="A363" s="17"/>
      <c r="B363" s="17"/>
      <c r="C363" s="17"/>
      <c r="I363" s="17"/>
      <c r="J363" s="17"/>
      <c r="K363" s="17"/>
      <c r="L363" s="17"/>
      <c r="M363" s="17"/>
      <c r="N363" s="17"/>
      <c r="P363" s="326"/>
      <c r="Q363" s="326"/>
      <c r="R363" s="326"/>
      <c r="S363" s="326"/>
      <c r="T363" s="326"/>
      <c r="U363" s="326"/>
    </row>
    <row r="364" spans="1:21">
      <c r="A364" s="17"/>
      <c r="B364" s="17"/>
      <c r="C364" s="17"/>
      <c r="I364" s="17"/>
      <c r="J364" s="17"/>
      <c r="K364" s="17"/>
      <c r="L364" s="17"/>
      <c r="M364" s="17"/>
      <c r="N364" s="17"/>
      <c r="P364" s="326"/>
      <c r="Q364" s="326"/>
      <c r="R364" s="326"/>
      <c r="S364" s="326"/>
      <c r="T364" s="326"/>
      <c r="U364" s="326"/>
    </row>
    <row r="365" spans="1:21">
      <c r="A365" s="17"/>
      <c r="B365" s="17"/>
      <c r="C365" s="17"/>
      <c r="I365" s="17"/>
      <c r="J365" s="17"/>
      <c r="K365" s="17"/>
      <c r="L365" s="17"/>
      <c r="M365" s="17"/>
      <c r="N365" s="17"/>
      <c r="P365" s="326"/>
      <c r="Q365" s="326"/>
      <c r="R365" s="326"/>
      <c r="S365" s="326"/>
      <c r="T365" s="326"/>
      <c r="U365" s="326"/>
    </row>
    <row r="366" spans="1:21">
      <c r="A366" s="17"/>
      <c r="B366" s="17"/>
      <c r="C366" s="17"/>
      <c r="I366" s="17"/>
      <c r="J366" s="17"/>
      <c r="K366" s="17"/>
      <c r="L366" s="17"/>
      <c r="M366" s="17"/>
      <c r="N366" s="17"/>
      <c r="P366" s="326"/>
      <c r="Q366" s="326"/>
      <c r="R366" s="326"/>
      <c r="S366" s="326"/>
      <c r="T366" s="326"/>
      <c r="U366" s="326"/>
    </row>
    <row r="367" spans="1:21">
      <c r="A367" s="17"/>
      <c r="B367" s="17"/>
      <c r="C367" s="17"/>
      <c r="I367" s="17"/>
      <c r="J367" s="17"/>
      <c r="K367" s="17"/>
      <c r="L367" s="17"/>
      <c r="M367" s="17"/>
      <c r="N367" s="17"/>
      <c r="P367" s="326"/>
      <c r="Q367" s="326"/>
      <c r="R367" s="326"/>
      <c r="S367" s="326"/>
      <c r="T367" s="326"/>
      <c r="U367" s="326"/>
    </row>
    <row r="368" spans="1:21">
      <c r="A368" s="17"/>
      <c r="B368" s="17"/>
      <c r="C368" s="17"/>
      <c r="I368" s="17"/>
      <c r="J368" s="17"/>
      <c r="K368" s="17"/>
      <c r="L368" s="17"/>
      <c r="M368" s="17"/>
      <c r="N368" s="17"/>
      <c r="P368" s="326"/>
      <c r="Q368" s="326"/>
      <c r="R368" s="326"/>
      <c r="S368" s="326"/>
      <c r="T368" s="326"/>
      <c r="U368" s="326"/>
    </row>
    <row r="369" spans="1:21">
      <c r="A369" s="17"/>
      <c r="B369" s="17"/>
      <c r="C369" s="17"/>
      <c r="I369" s="17"/>
      <c r="J369" s="17"/>
      <c r="K369" s="17"/>
      <c r="L369" s="17"/>
      <c r="M369" s="17"/>
      <c r="N369" s="17"/>
      <c r="P369" s="326"/>
      <c r="Q369" s="326"/>
      <c r="R369" s="326"/>
      <c r="S369" s="326"/>
      <c r="T369" s="326"/>
      <c r="U369" s="326"/>
    </row>
    <row r="370" spans="1:21">
      <c r="A370" s="17"/>
      <c r="B370" s="17"/>
      <c r="C370" s="17"/>
      <c r="I370" s="17"/>
      <c r="J370" s="17"/>
      <c r="K370" s="17"/>
      <c r="L370" s="17"/>
      <c r="M370" s="17"/>
      <c r="N370" s="17"/>
      <c r="P370" s="326"/>
      <c r="Q370" s="326"/>
      <c r="R370" s="326"/>
      <c r="S370" s="326"/>
      <c r="T370" s="326"/>
      <c r="U370" s="326"/>
    </row>
    <row r="371" spans="1:21">
      <c r="A371" s="17"/>
      <c r="B371" s="17"/>
      <c r="C371" s="17"/>
      <c r="I371" s="17"/>
      <c r="J371" s="17"/>
      <c r="K371" s="17"/>
      <c r="L371" s="17"/>
      <c r="M371" s="17"/>
      <c r="N371" s="17"/>
      <c r="P371" s="326"/>
      <c r="Q371" s="326"/>
      <c r="R371" s="326"/>
      <c r="S371" s="326"/>
      <c r="T371" s="326"/>
      <c r="U371" s="326"/>
    </row>
    <row r="372" spans="1:21">
      <c r="A372" s="17"/>
      <c r="B372" s="17"/>
      <c r="C372" s="17"/>
      <c r="I372" s="17"/>
      <c r="J372" s="17"/>
      <c r="K372" s="17"/>
      <c r="L372" s="17"/>
      <c r="M372" s="17"/>
      <c r="N372" s="17"/>
      <c r="P372" s="326"/>
      <c r="Q372" s="326"/>
      <c r="R372" s="326"/>
      <c r="S372" s="326"/>
      <c r="T372" s="326"/>
      <c r="U372" s="326"/>
    </row>
    <row r="373" spans="1:21">
      <c r="A373" s="17"/>
      <c r="B373" s="17"/>
      <c r="C373" s="17"/>
      <c r="I373" s="17"/>
      <c r="J373" s="17"/>
      <c r="K373" s="17"/>
      <c r="L373" s="17"/>
      <c r="M373" s="17"/>
      <c r="N373" s="17"/>
      <c r="P373" s="326"/>
      <c r="Q373" s="326"/>
      <c r="R373" s="326"/>
      <c r="S373" s="326"/>
      <c r="T373" s="326"/>
      <c r="U373" s="326"/>
    </row>
    <row r="374" spans="1:21">
      <c r="A374" s="17"/>
      <c r="B374" s="17"/>
      <c r="C374" s="17"/>
      <c r="I374" s="17"/>
      <c r="J374" s="17"/>
      <c r="K374" s="17"/>
      <c r="L374" s="17"/>
      <c r="M374" s="17"/>
      <c r="N374" s="17"/>
      <c r="P374" s="326"/>
      <c r="Q374" s="326"/>
      <c r="R374" s="326"/>
      <c r="S374" s="326"/>
      <c r="T374" s="326"/>
      <c r="U374" s="326"/>
    </row>
    <row r="375" spans="1:21">
      <c r="A375" s="17"/>
      <c r="B375" s="17"/>
      <c r="C375" s="17"/>
      <c r="I375" s="17"/>
      <c r="J375" s="17"/>
      <c r="K375" s="17"/>
      <c r="L375" s="17"/>
      <c r="M375" s="17"/>
      <c r="N375" s="17"/>
      <c r="P375" s="326"/>
      <c r="Q375" s="326"/>
      <c r="R375" s="326"/>
      <c r="S375" s="326"/>
      <c r="T375" s="326"/>
      <c r="U375" s="326"/>
    </row>
    <row r="376" spans="1:21">
      <c r="A376" s="17"/>
      <c r="B376" s="17"/>
      <c r="C376" s="17"/>
      <c r="I376" s="17"/>
      <c r="J376" s="17"/>
      <c r="K376" s="17"/>
      <c r="L376" s="17"/>
      <c r="M376" s="17"/>
      <c r="N376" s="17"/>
      <c r="P376" s="326"/>
      <c r="Q376" s="326"/>
      <c r="R376" s="326"/>
      <c r="S376" s="326"/>
      <c r="T376" s="326"/>
      <c r="U376" s="326"/>
    </row>
    <row r="377" spans="1:21">
      <c r="A377" s="17"/>
      <c r="B377" s="17"/>
      <c r="C377" s="17"/>
      <c r="I377" s="17"/>
      <c r="J377" s="17"/>
      <c r="K377" s="17"/>
      <c r="L377" s="17"/>
      <c r="M377" s="17"/>
      <c r="N377" s="17"/>
      <c r="P377" s="326"/>
      <c r="Q377" s="326"/>
      <c r="R377" s="326"/>
      <c r="S377" s="326"/>
      <c r="T377" s="326"/>
      <c r="U377" s="326"/>
    </row>
    <row r="378" spans="1:21">
      <c r="A378" s="17"/>
      <c r="B378" s="17"/>
      <c r="C378" s="17"/>
      <c r="I378" s="17"/>
      <c r="J378" s="17"/>
      <c r="K378" s="17"/>
      <c r="L378" s="17"/>
      <c r="M378" s="17"/>
      <c r="N378" s="17"/>
      <c r="P378" s="326"/>
      <c r="Q378" s="326"/>
      <c r="R378" s="326"/>
      <c r="S378" s="326"/>
      <c r="T378" s="326"/>
      <c r="U378" s="326"/>
    </row>
    <row r="379" spans="1:21">
      <c r="A379" s="17"/>
      <c r="B379" s="17"/>
      <c r="C379" s="17"/>
      <c r="I379" s="17"/>
      <c r="J379" s="17"/>
      <c r="K379" s="17"/>
      <c r="L379" s="17"/>
      <c r="M379" s="17"/>
      <c r="N379" s="17"/>
      <c r="P379" s="326"/>
      <c r="Q379" s="326"/>
      <c r="R379" s="326"/>
      <c r="S379" s="326"/>
      <c r="T379" s="326"/>
      <c r="U379" s="326"/>
    </row>
    <row r="380" spans="1:21">
      <c r="A380" s="17"/>
      <c r="B380" s="17"/>
      <c r="C380" s="17"/>
      <c r="I380" s="17"/>
      <c r="J380" s="17"/>
      <c r="K380" s="17"/>
      <c r="L380" s="17"/>
      <c r="M380" s="17"/>
      <c r="N380" s="17"/>
      <c r="P380" s="326"/>
      <c r="Q380" s="326"/>
      <c r="R380" s="326"/>
      <c r="S380" s="326"/>
      <c r="T380" s="326"/>
      <c r="U380" s="326"/>
    </row>
    <row r="381" spans="1:21">
      <c r="A381" s="17"/>
      <c r="B381" s="17"/>
      <c r="C381" s="17"/>
      <c r="I381" s="17"/>
      <c r="J381" s="17"/>
      <c r="K381" s="17"/>
      <c r="L381" s="17"/>
      <c r="M381" s="17"/>
      <c r="N381" s="17"/>
      <c r="P381" s="326"/>
      <c r="Q381" s="326"/>
      <c r="R381" s="326"/>
      <c r="S381" s="326"/>
      <c r="T381" s="326"/>
      <c r="U381" s="326"/>
    </row>
    <row r="382" spans="1:21">
      <c r="A382" s="17"/>
      <c r="B382" s="17"/>
      <c r="C382" s="17"/>
      <c r="I382" s="17"/>
      <c r="J382" s="17"/>
      <c r="K382" s="17"/>
      <c r="L382" s="17"/>
      <c r="M382" s="17"/>
      <c r="N382" s="17"/>
      <c r="P382" s="326"/>
      <c r="Q382" s="326"/>
      <c r="R382" s="326"/>
      <c r="S382" s="326"/>
      <c r="T382" s="326"/>
      <c r="U382" s="326"/>
    </row>
    <row r="383" spans="1:21">
      <c r="A383" s="17"/>
      <c r="B383" s="17"/>
      <c r="C383" s="17"/>
      <c r="I383" s="17"/>
      <c r="J383" s="17"/>
      <c r="K383" s="17"/>
      <c r="L383" s="17"/>
      <c r="M383" s="17"/>
      <c r="N383" s="17"/>
      <c r="P383" s="326"/>
      <c r="Q383" s="326"/>
      <c r="R383" s="326"/>
      <c r="S383" s="326"/>
      <c r="T383" s="326"/>
      <c r="U383" s="326"/>
    </row>
    <row r="384" spans="1:21">
      <c r="A384" s="17"/>
      <c r="B384" s="17"/>
      <c r="C384" s="17"/>
      <c r="I384" s="17"/>
      <c r="J384" s="17"/>
      <c r="K384" s="17"/>
      <c r="L384" s="17"/>
      <c r="M384" s="17"/>
      <c r="N384" s="17"/>
      <c r="P384" s="326"/>
      <c r="Q384" s="326"/>
      <c r="R384" s="326"/>
      <c r="S384" s="326"/>
      <c r="T384" s="326"/>
      <c r="U384" s="326"/>
    </row>
    <row r="385" spans="1:14">
      <c r="A385" s="17"/>
      <c r="B385" s="17"/>
      <c r="C385" s="17"/>
      <c r="I385" s="17"/>
      <c r="J385" s="17"/>
      <c r="K385" s="17"/>
      <c r="L385" s="17"/>
      <c r="M385" s="17"/>
      <c r="N385" s="17"/>
    </row>
    <row r="386" spans="1:14">
      <c r="A386" s="17"/>
      <c r="B386" s="17"/>
      <c r="C386" s="17"/>
      <c r="I386" s="17"/>
      <c r="J386" s="17"/>
      <c r="K386" s="17"/>
      <c r="L386" s="17"/>
      <c r="M386" s="17"/>
      <c r="N386" s="17"/>
    </row>
    <row r="387" spans="1:14">
      <c r="A387" s="17"/>
      <c r="B387" s="17"/>
      <c r="C387" s="17"/>
      <c r="I387" s="17"/>
      <c r="J387" s="17"/>
      <c r="K387" s="17"/>
      <c r="L387" s="17"/>
      <c r="M387" s="17"/>
      <c r="N387" s="17"/>
    </row>
    <row r="388" spans="1:14">
      <c r="A388" s="17"/>
      <c r="B388" s="17"/>
      <c r="C388" s="17"/>
      <c r="I388" s="17"/>
      <c r="J388" s="17"/>
      <c r="K388" s="17"/>
      <c r="L388" s="17"/>
      <c r="M388" s="17"/>
      <c r="N388" s="17"/>
    </row>
    <row r="389" spans="1:14">
      <c r="A389" s="17"/>
      <c r="B389" s="17"/>
      <c r="C389" s="17"/>
      <c r="I389" s="17"/>
      <c r="J389" s="17"/>
      <c r="K389" s="17"/>
      <c r="L389" s="17"/>
      <c r="M389" s="17"/>
      <c r="N389" s="17"/>
    </row>
    <row r="390" spans="1:14">
      <c r="A390" s="17"/>
      <c r="B390" s="17"/>
      <c r="C390" s="17"/>
      <c r="I390" s="17"/>
      <c r="J390" s="17"/>
      <c r="K390" s="17"/>
      <c r="L390" s="17"/>
      <c r="M390" s="17"/>
      <c r="N390" s="17"/>
    </row>
    <row r="391" spans="1:14">
      <c r="A391" s="17"/>
      <c r="B391" s="17"/>
      <c r="C391" s="17"/>
      <c r="I391" s="17"/>
      <c r="J391" s="17"/>
      <c r="K391" s="17"/>
      <c r="L391" s="17"/>
      <c r="M391" s="17"/>
      <c r="N391" s="17"/>
    </row>
    <row r="392" spans="1:14">
      <c r="A392" s="17"/>
      <c r="B392" s="17"/>
      <c r="C392" s="17"/>
      <c r="I392" s="17"/>
      <c r="J392" s="17"/>
      <c r="K392" s="17"/>
      <c r="L392" s="17"/>
      <c r="M392" s="17"/>
      <c r="N392" s="17"/>
    </row>
    <row r="393" spans="1:14">
      <c r="A393" s="17"/>
      <c r="B393" s="17"/>
      <c r="C393" s="17"/>
      <c r="I393" s="17"/>
      <c r="J393" s="17"/>
      <c r="K393" s="17"/>
      <c r="L393" s="17"/>
      <c r="M393" s="17"/>
      <c r="N393" s="17"/>
    </row>
    <row r="394" spans="1:14">
      <c r="A394" s="17"/>
      <c r="B394" s="17"/>
      <c r="C394" s="17"/>
      <c r="I394" s="17"/>
      <c r="J394" s="17"/>
      <c r="K394" s="17"/>
      <c r="L394" s="17"/>
      <c r="M394" s="17"/>
      <c r="N394" s="17"/>
    </row>
    <row r="395" spans="1:14">
      <c r="A395" s="17"/>
      <c r="B395" s="17"/>
      <c r="C395" s="17"/>
      <c r="I395" s="17"/>
      <c r="J395" s="17"/>
      <c r="K395" s="17"/>
      <c r="L395" s="17"/>
      <c r="M395" s="17"/>
      <c r="N395" s="17"/>
    </row>
    <row r="396" spans="1:14">
      <c r="A396" s="17"/>
      <c r="B396" s="17"/>
      <c r="C396" s="17"/>
      <c r="I396" s="17"/>
      <c r="J396" s="17"/>
      <c r="K396" s="17"/>
      <c r="L396" s="17"/>
      <c r="M396" s="17"/>
      <c r="N396" s="17"/>
    </row>
    <row r="397" spans="1:14">
      <c r="A397" s="17"/>
      <c r="B397" s="17"/>
      <c r="C397" s="17"/>
      <c r="I397" s="17"/>
      <c r="J397" s="17"/>
      <c r="K397" s="17"/>
      <c r="L397" s="17"/>
      <c r="M397" s="17"/>
      <c r="N397" s="17"/>
    </row>
    <row r="398" spans="1:14">
      <c r="A398" s="17"/>
      <c r="B398" s="17"/>
      <c r="C398" s="17"/>
      <c r="I398" s="17"/>
      <c r="J398" s="17"/>
      <c r="K398" s="17"/>
      <c r="L398" s="17"/>
      <c r="M398" s="17"/>
      <c r="N398" s="17"/>
    </row>
    <row r="399" spans="1:14">
      <c r="A399" s="17"/>
      <c r="B399" s="17"/>
      <c r="C399" s="17"/>
      <c r="I399" s="17"/>
      <c r="J399" s="17"/>
      <c r="K399" s="17"/>
      <c r="L399" s="17"/>
      <c r="M399" s="17"/>
      <c r="N399" s="17"/>
    </row>
    <row r="400" spans="1:14">
      <c r="A400" s="17"/>
      <c r="B400" s="17"/>
      <c r="C400" s="17"/>
      <c r="I400" s="17"/>
      <c r="J400" s="17"/>
      <c r="K400" s="17"/>
      <c r="L400" s="17"/>
      <c r="M400" s="17"/>
      <c r="N400" s="17"/>
    </row>
    <row r="401" spans="1:14">
      <c r="A401" s="17"/>
      <c r="B401" s="17"/>
      <c r="C401" s="17"/>
      <c r="I401" s="17"/>
      <c r="J401" s="17"/>
      <c r="K401" s="17"/>
      <c r="L401" s="17"/>
      <c r="M401" s="17"/>
      <c r="N401" s="17"/>
    </row>
    <row r="402" spans="1:14">
      <c r="A402" s="17"/>
      <c r="B402" s="17"/>
      <c r="C402" s="17"/>
      <c r="I402" s="17"/>
      <c r="J402" s="17"/>
      <c r="K402" s="17"/>
      <c r="L402" s="17"/>
      <c r="M402" s="17"/>
      <c r="N402" s="17"/>
    </row>
    <row r="403" spans="1:14">
      <c r="A403" s="17"/>
      <c r="B403" s="17"/>
      <c r="C403" s="17"/>
      <c r="I403" s="17"/>
      <c r="J403" s="17"/>
      <c r="K403" s="17"/>
      <c r="L403" s="17"/>
      <c r="M403" s="17"/>
      <c r="N403" s="17"/>
    </row>
    <row r="404" spans="1:14">
      <c r="A404" s="17"/>
      <c r="B404" s="17"/>
      <c r="C404" s="17"/>
      <c r="I404" s="17"/>
      <c r="J404" s="17"/>
      <c r="K404" s="17"/>
      <c r="L404" s="17"/>
      <c r="M404" s="17"/>
      <c r="N404" s="17"/>
    </row>
    <row r="405" spans="1:14">
      <c r="A405" s="17"/>
      <c r="B405" s="17"/>
      <c r="C405" s="17"/>
      <c r="I405" s="17"/>
      <c r="J405" s="17"/>
      <c r="K405" s="17"/>
      <c r="L405" s="17"/>
      <c r="M405" s="17"/>
      <c r="N405" s="17"/>
    </row>
    <row r="406" spans="1:14">
      <c r="A406" s="17"/>
      <c r="B406" s="17"/>
      <c r="C406" s="17"/>
      <c r="I406" s="17"/>
      <c r="J406" s="17"/>
      <c r="K406" s="17"/>
      <c r="L406" s="17"/>
      <c r="M406" s="17"/>
      <c r="N406" s="17"/>
    </row>
    <row r="407" spans="1:14">
      <c r="A407" s="17"/>
      <c r="B407" s="17"/>
      <c r="C407" s="17"/>
      <c r="I407" s="17"/>
      <c r="J407" s="17"/>
      <c r="K407" s="17"/>
      <c r="L407" s="17"/>
      <c r="M407" s="17"/>
      <c r="N407" s="17"/>
    </row>
    <row r="408" spans="1:14">
      <c r="A408" s="17"/>
      <c r="B408" s="17"/>
      <c r="C408" s="17"/>
      <c r="I408" s="17"/>
      <c r="J408" s="17"/>
      <c r="K408" s="17"/>
      <c r="L408" s="17"/>
      <c r="M408" s="17"/>
      <c r="N408" s="17"/>
    </row>
    <row r="409" spans="1:14">
      <c r="A409" s="17"/>
      <c r="B409" s="17"/>
      <c r="C409" s="17"/>
      <c r="I409" s="17"/>
      <c r="J409" s="17"/>
      <c r="K409" s="17"/>
      <c r="L409" s="17"/>
      <c r="M409" s="17"/>
      <c r="N409" s="17"/>
    </row>
    <row r="410" spans="1:14">
      <c r="A410" s="17"/>
      <c r="B410" s="17"/>
      <c r="C410" s="17"/>
      <c r="I410" s="17"/>
      <c r="J410" s="17"/>
      <c r="K410" s="17"/>
      <c r="L410" s="17"/>
      <c r="M410" s="17"/>
      <c r="N410" s="17"/>
    </row>
    <row r="411" spans="1:14">
      <c r="A411" s="17"/>
      <c r="B411" s="17"/>
      <c r="C411" s="17"/>
      <c r="I411" s="17"/>
      <c r="J411" s="17"/>
      <c r="K411" s="17"/>
      <c r="L411" s="17"/>
      <c r="M411" s="17"/>
      <c r="N411" s="17"/>
    </row>
    <row r="412" spans="1:14">
      <c r="A412" s="17"/>
      <c r="B412" s="17"/>
      <c r="C412" s="17"/>
      <c r="I412" s="17"/>
      <c r="J412" s="17"/>
      <c r="K412" s="17"/>
      <c r="L412" s="17"/>
      <c r="M412" s="17"/>
      <c r="N412" s="17"/>
    </row>
    <row r="413" spans="1:14">
      <c r="A413" s="17"/>
      <c r="B413" s="17"/>
      <c r="C413" s="17"/>
      <c r="I413" s="17"/>
      <c r="J413" s="17"/>
      <c r="K413" s="17"/>
      <c r="L413" s="17"/>
      <c r="M413" s="17"/>
      <c r="N413" s="17"/>
    </row>
    <row r="414" spans="1:14">
      <c r="A414" s="17"/>
      <c r="B414" s="17"/>
      <c r="C414" s="17"/>
      <c r="I414" s="17"/>
      <c r="J414" s="17"/>
      <c r="K414" s="17"/>
      <c r="L414" s="17"/>
      <c r="M414" s="17"/>
      <c r="N414" s="17"/>
    </row>
    <row r="415" spans="1:14">
      <c r="A415" s="17"/>
      <c r="B415" s="17"/>
      <c r="C415" s="17"/>
      <c r="I415" s="17"/>
      <c r="J415" s="17"/>
      <c r="K415" s="17"/>
      <c r="L415" s="17"/>
      <c r="M415" s="17"/>
      <c r="N415" s="17"/>
    </row>
    <row r="416" spans="1:14">
      <c r="A416" s="17"/>
      <c r="B416" s="17"/>
      <c r="C416" s="17"/>
      <c r="I416" s="17"/>
      <c r="J416" s="17"/>
      <c r="K416" s="17"/>
      <c r="L416" s="17"/>
      <c r="M416" s="17"/>
      <c r="N416" s="17"/>
    </row>
    <row r="417" spans="1:14">
      <c r="A417" s="17"/>
      <c r="B417" s="17"/>
      <c r="C417" s="17"/>
      <c r="I417" s="17"/>
      <c r="J417" s="17"/>
      <c r="K417" s="17"/>
      <c r="L417" s="17"/>
      <c r="M417" s="17"/>
      <c r="N417" s="17"/>
    </row>
    <row r="418" spans="1:14">
      <c r="A418" s="17"/>
      <c r="B418" s="17"/>
      <c r="C418" s="17"/>
      <c r="I418" s="17"/>
      <c r="J418" s="17"/>
      <c r="K418" s="17"/>
      <c r="L418" s="17"/>
      <c r="M418" s="17"/>
      <c r="N418" s="17"/>
    </row>
    <row r="419" spans="1:14">
      <c r="A419" s="17"/>
      <c r="B419" s="17"/>
      <c r="C419" s="17"/>
      <c r="I419" s="17"/>
      <c r="J419" s="17"/>
      <c r="K419" s="17"/>
      <c r="L419" s="17"/>
      <c r="M419" s="17"/>
      <c r="N419" s="17"/>
    </row>
    <row r="420" spans="1:14">
      <c r="A420" s="17"/>
      <c r="B420" s="17"/>
      <c r="C420" s="17"/>
    </row>
    <row r="421" spans="1:14">
      <c r="A421" s="17"/>
      <c r="B421" s="17"/>
      <c r="C421" s="17"/>
    </row>
    <row r="422" spans="1:14">
      <c r="A422" s="17"/>
      <c r="B422" s="17"/>
      <c r="C422" s="17"/>
    </row>
    <row r="423" spans="1:14">
      <c r="A423" s="17"/>
      <c r="B423" s="17"/>
      <c r="C423" s="17"/>
    </row>
    <row r="424" spans="1:14">
      <c r="A424" s="17"/>
      <c r="B424" s="17"/>
      <c r="C424" s="17"/>
    </row>
    <row r="425" spans="1:14">
      <c r="A425" s="17"/>
      <c r="B425" s="17"/>
      <c r="C425" s="17"/>
    </row>
    <row r="426" spans="1:14">
      <c r="A426" s="17"/>
      <c r="B426" s="17"/>
      <c r="C426" s="17"/>
    </row>
    <row r="427" spans="1:14">
      <c r="A427" s="17"/>
      <c r="B427" s="17"/>
      <c r="C427" s="17"/>
    </row>
    <row r="428" spans="1:14">
      <c r="A428" s="17"/>
      <c r="B428" s="17"/>
      <c r="C428" s="17"/>
    </row>
    <row r="429" spans="1:14">
      <c r="A429" s="17"/>
      <c r="B429" s="17"/>
      <c r="C429" s="17"/>
    </row>
    <row r="430" spans="1:14">
      <c r="A430" s="17"/>
      <c r="B430" s="17"/>
      <c r="C430" s="17"/>
    </row>
    <row r="431" spans="1:14">
      <c r="A431" s="17"/>
      <c r="B431" s="17"/>
      <c r="C431" s="17"/>
    </row>
    <row r="432" spans="1:14">
      <c r="A432" s="17"/>
      <c r="B432" s="17"/>
      <c r="C432" s="17"/>
    </row>
    <row r="433" spans="1:3">
      <c r="A433" s="17"/>
      <c r="B433" s="17"/>
      <c r="C433" s="17"/>
    </row>
    <row r="434" spans="1:3">
      <c r="A434" s="17"/>
      <c r="B434" s="17"/>
      <c r="C434" s="17"/>
    </row>
    <row r="435" spans="1:3">
      <c r="A435" s="17"/>
      <c r="B435" s="17"/>
      <c r="C435" s="17"/>
    </row>
    <row r="436" spans="1:3">
      <c r="A436" s="17"/>
      <c r="B436" s="17"/>
      <c r="C436" s="17"/>
    </row>
    <row r="437" spans="1:3">
      <c r="A437" s="17"/>
      <c r="B437" s="17"/>
      <c r="C437" s="17"/>
    </row>
    <row r="438" spans="1:3">
      <c r="A438" s="17"/>
      <c r="B438" s="17"/>
      <c r="C438" s="17"/>
    </row>
    <row r="439" spans="1:3">
      <c r="A439" s="17"/>
      <c r="B439" s="17"/>
      <c r="C439" s="17"/>
    </row>
    <row r="440" spans="1:3">
      <c r="A440" s="17"/>
      <c r="B440" s="17"/>
      <c r="C440" s="17"/>
    </row>
    <row r="441" spans="1:3">
      <c r="A441" s="17"/>
      <c r="B441" s="17"/>
      <c r="C441" s="17"/>
    </row>
    <row r="442" spans="1:3">
      <c r="A442" s="17"/>
      <c r="B442" s="17"/>
      <c r="C442" s="17"/>
    </row>
    <row r="443" spans="1:3">
      <c r="A443" s="17"/>
      <c r="B443" s="17"/>
      <c r="C443" s="17"/>
    </row>
    <row r="444" spans="1:3">
      <c r="A444" s="17"/>
      <c r="B444" s="17"/>
      <c r="C444" s="17"/>
    </row>
    <row r="445" spans="1:3">
      <c r="A445" s="17"/>
      <c r="B445" s="17"/>
      <c r="C445" s="17"/>
    </row>
    <row r="446" spans="1:3">
      <c r="A446" s="17"/>
      <c r="B446" s="17"/>
      <c r="C446" s="17"/>
    </row>
    <row r="447" spans="1:3">
      <c r="A447" s="17"/>
      <c r="B447" s="17"/>
      <c r="C447" s="17"/>
    </row>
    <row r="448" spans="1:3">
      <c r="A448" s="17"/>
      <c r="B448" s="17"/>
      <c r="C448" s="17"/>
    </row>
    <row r="449" spans="1:3">
      <c r="A449" s="17"/>
      <c r="B449" s="17"/>
      <c r="C449" s="17"/>
    </row>
    <row r="450" spans="1:3">
      <c r="A450" s="17"/>
      <c r="B450" s="17"/>
      <c r="C450" s="17"/>
    </row>
    <row r="451" spans="1:3">
      <c r="A451" s="17"/>
      <c r="B451" s="17"/>
      <c r="C451" s="17"/>
    </row>
    <row r="452" spans="1:3">
      <c r="A452" s="17"/>
      <c r="B452" s="17"/>
      <c r="C452" s="17"/>
    </row>
    <row r="453" spans="1:3">
      <c r="A453" s="17"/>
      <c r="B453" s="17"/>
      <c r="C453" s="17"/>
    </row>
    <row r="454" spans="1:3">
      <c r="A454" s="17"/>
      <c r="B454" s="17"/>
      <c r="C454" s="17"/>
    </row>
    <row r="455" spans="1:3">
      <c r="A455" s="17"/>
      <c r="B455" s="17"/>
      <c r="C455" s="17"/>
    </row>
    <row r="456" spans="1:3">
      <c r="A456" s="17"/>
      <c r="B456" s="17"/>
      <c r="C456" s="17"/>
    </row>
    <row r="457" spans="1:3">
      <c r="A457" s="17"/>
      <c r="B457" s="17"/>
      <c r="C457" s="17"/>
    </row>
    <row r="458" spans="1:3">
      <c r="A458" s="17"/>
      <c r="B458" s="17"/>
      <c r="C458" s="17"/>
    </row>
    <row r="459" spans="1:3">
      <c r="A459" s="17"/>
      <c r="B459" s="17"/>
      <c r="C459" s="17"/>
    </row>
    <row r="460" spans="1:3">
      <c r="A460" s="17"/>
      <c r="B460" s="17"/>
      <c r="C460" s="17"/>
    </row>
    <row r="461" spans="1:3">
      <c r="A461" s="17"/>
      <c r="B461" s="17"/>
      <c r="C461" s="17"/>
    </row>
    <row r="462" spans="1:3">
      <c r="A462" s="17"/>
      <c r="B462" s="17"/>
      <c r="C462" s="17"/>
    </row>
    <row r="463" spans="1:3">
      <c r="A463" s="17"/>
      <c r="B463" s="17"/>
      <c r="C463" s="17"/>
    </row>
    <row r="464" spans="1:3">
      <c r="A464" s="17"/>
      <c r="B464" s="17"/>
      <c r="C464" s="17"/>
    </row>
    <row r="465" spans="1:3">
      <c r="A465" s="17"/>
      <c r="B465" s="17"/>
      <c r="C465" s="17"/>
    </row>
    <row r="466" spans="1:3">
      <c r="A466" s="17"/>
      <c r="B466" s="17"/>
      <c r="C466" s="17"/>
    </row>
    <row r="467" spans="1:3">
      <c r="A467" s="17"/>
      <c r="B467" s="17"/>
      <c r="C467" s="17"/>
    </row>
    <row r="468" spans="1:3">
      <c r="A468" s="17"/>
      <c r="B468" s="17"/>
      <c r="C468" s="17"/>
    </row>
    <row r="469" spans="1:3">
      <c r="A469" s="17"/>
      <c r="B469" s="17"/>
      <c r="C469" s="17"/>
    </row>
    <row r="470" spans="1:3">
      <c r="A470" s="17"/>
      <c r="B470" s="17"/>
      <c r="C470" s="17"/>
    </row>
    <row r="471" spans="1:3">
      <c r="A471" s="17"/>
      <c r="B471" s="17"/>
      <c r="C471" s="17"/>
    </row>
    <row r="472" spans="1:3">
      <c r="A472" s="17"/>
      <c r="B472" s="17"/>
      <c r="C472" s="17"/>
    </row>
    <row r="473" spans="1:3">
      <c r="A473" s="17"/>
      <c r="B473" s="17"/>
      <c r="C473" s="17"/>
    </row>
    <row r="474" spans="1:3">
      <c r="A474" s="17"/>
      <c r="B474" s="17"/>
      <c r="C474" s="17"/>
    </row>
    <row r="475" spans="1:3">
      <c r="A475" s="17"/>
      <c r="B475" s="17"/>
      <c r="C475" s="17"/>
    </row>
    <row r="476" spans="1:3">
      <c r="A476" s="17"/>
      <c r="B476" s="17"/>
      <c r="C476" s="17"/>
    </row>
    <row r="477" spans="1:3">
      <c r="A477" s="17"/>
      <c r="B477" s="17"/>
      <c r="C477" s="17"/>
    </row>
    <row r="478" spans="1:3">
      <c r="A478" s="17"/>
      <c r="B478" s="17"/>
      <c r="C478" s="17"/>
    </row>
    <row r="479" spans="1:3">
      <c r="A479" s="17"/>
      <c r="B479" s="17"/>
      <c r="C479" s="17"/>
    </row>
    <row r="480" spans="1:3">
      <c r="A480" s="17"/>
      <c r="B480" s="17"/>
      <c r="C480" s="17"/>
    </row>
    <row r="481" spans="1:3">
      <c r="A481" s="17"/>
      <c r="B481" s="17"/>
      <c r="C481" s="17"/>
    </row>
    <row r="482" spans="1:3">
      <c r="A482" s="17"/>
      <c r="B482" s="17"/>
      <c r="C482" s="17"/>
    </row>
    <row r="483" spans="1:3">
      <c r="A483" s="17"/>
      <c r="B483" s="17"/>
      <c r="C483" s="17"/>
    </row>
    <row r="484" spans="1:3">
      <c r="A484" s="17"/>
      <c r="B484" s="17"/>
      <c r="C484" s="17"/>
    </row>
    <row r="485" spans="1:3">
      <c r="A485" s="17"/>
      <c r="B485" s="17"/>
      <c r="C485" s="17"/>
    </row>
    <row r="486" spans="1:3">
      <c r="A486" s="17"/>
      <c r="B486" s="17"/>
      <c r="C486" s="17"/>
    </row>
    <row r="487" spans="1:3">
      <c r="A487" s="17"/>
      <c r="B487" s="17"/>
      <c r="C487" s="17"/>
    </row>
    <row r="488" spans="1:3">
      <c r="A488" s="17"/>
      <c r="B488" s="17"/>
      <c r="C488" s="17"/>
    </row>
    <row r="489" spans="1:3">
      <c r="A489" s="17"/>
      <c r="B489" s="17"/>
      <c r="C489" s="17"/>
    </row>
    <row r="490" spans="1:3">
      <c r="A490" s="17"/>
      <c r="B490" s="17"/>
      <c r="C490" s="17"/>
    </row>
    <row r="491" spans="1:3">
      <c r="A491" s="17"/>
      <c r="B491" s="17"/>
      <c r="C491" s="17"/>
    </row>
    <row r="492" spans="1:3">
      <c r="A492" s="17"/>
      <c r="B492" s="17"/>
      <c r="C492" s="17"/>
    </row>
    <row r="493" spans="1:3">
      <c r="A493" s="17"/>
      <c r="B493" s="17"/>
      <c r="C493" s="17"/>
    </row>
    <row r="494" spans="1:3">
      <c r="A494" s="17"/>
      <c r="B494" s="17"/>
      <c r="C494" s="17"/>
    </row>
    <row r="495" spans="1:3">
      <c r="A495" s="17"/>
      <c r="B495" s="17"/>
      <c r="C495" s="17"/>
    </row>
    <row r="496" spans="1:3">
      <c r="A496" s="17"/>
      <c r="B496" s="17"/>
      <c r="C496" s="17"/>
    </row>
    <row r="497" spans="1:3">
      <c r="A497" s="17"/>
      <c r="B497" s="17"/>
      <c r="C497" s="17"/>
    </row>
    <row r="498" spans="1:3">
      <c r="A498" s="17"/>
      <c r="B498" s="17"/>
      <c r="C498" s="17"/>
    </row>
    <row r="499" spans="1:3">
      <c r="A499" s="17"/>
      <c r="B499" s="17"/>
      <c r="C499" s="17"/>
    </row>
    <row r="500" spans="1:3">
      <c r="A500" s="17"/>
      <c r="B500" s="17"/>
      <c r="C500" s="17"/>
    </row>
    <row r="501" spans="1:3">
      <c r="A501" s="17"/>
      <c r="B501" s="17"/>
      <c r="C501" s="17"/>
    </row>
    <row r="502" spans="1:3">
      <c r="A502" s="17"/>
      <c r="B502" s="17"/>
      <c r="C502" s="17"/>
    </row>
    <row r="503" spans="1:3">
      <c r="A503" s="17"/>
      <c r="B503" s="17"/>
      <c r="C503" s="17"/>
    </row>
    <row r="504" spans="1:3">
      <c r="A504" s="17"/>
      <c r="B504" s="17"/>
      <c r="C504" s="17"/>
    </row>
    <row r="505" spans="1:3">
      <c r="A505" s="17"/>
      <c r="B505" s="17"/>
      <c r="C505" s="17"/>
    </row>
    <row r="506" spans="1:3">
      <c r="A506" s="17"/>
      <c r="B506" s="17"/>
      <c r="C506" s="17"/>
    </row>
    <row r="507" spans="1:3">
      <c r="A507" s="17"/>
      <c r="B507" s="17"/>
      <c r="C507" s="17"/>
    </row>
    <row r="508" spans="1:3">
      <c r="A508" s="17"/>
      <c r="B508" s="17"/>
      <c r="C508" s="17"/>
    </row>
    <row r="509" spans="1:3">
      <c r="A509" s="17"/>
      <c r="B509" s="17"/>
      <c r="C509" s="17"/>
    </row>
    <row r="510" spans="1:3">
      <c r="A510" s="17"/>
      <c r="B510" s="17"/>
      <c r="C510" s="17"/>
    </row>
    <row r="511" spans="1:3">
      <c r="A511" s="17"/>
      <c r="B511" s="17"/>
      <c r="C511" s="17"/>
    </row>
    <row r="512" spans="1:3">
      <c r="A512" s="17"/>
      <c r="B512" s="17"/>
      <c r="C512" s="17"/>
    </row>
    <row r="513" spans="1:3">
      <c r="A513" s="17"/>
      <c r="B513" s="17"/>
      <c r="C513" s="17"/>
    </row>
    <row r="514" spans="1:3">
      <c r="A514" s="17"/>
      <c r="B514" s="17"/>
      <c r="C514" s="17"/>
    </row>
    <row r="515" spans="1:3">
      <c r="A515" s="17"/>
      <c r="B515" s="17"/>
      <c r="C515" s="17"/>
    </row>
    <row r="516" spans="1:3">
      <c r="A516" s="17"/>
      <c r="B516" s="17"/>
      <c r="C516" s="17"/>
    </row>
    <row r="517" spans="1:3">
      <c r="A517" s="17"/>
      <c r="B517" s="17"/>
      <c r="C517" s="17"/>
    </row>
    <row r="518" spans="1:3">
      <c r="A518" s="17"/>
      <c r="B518" s="17"/>
      <c r="C518" s="17"/>
    </row>
    <row r="519" spans="1:3">
      <c r="A519" s="17"/>
      <c r="B519" s="17"/>
      <c r="C519" s="17"/>
    </row>
  </sheetData>
  <pageMargins left="0.75" right="0.75" top="1" bottom="1" header="0.5" footer="0.5"/>
  <pageSetup paperSize="5" scale="55" orientation="landscape" horizontalDpi="1200" r:id="rId1"/>
  <headerFooter alignWithMargins="0">
    <oddHeader>&amp;L&amp;"Arial,Bold"&amp;16Construction Schedule</oddHeader>
    <oddFooter>&amp;LI:CES\IS\KChaney\Power\Omers\New Models\&amp;F
&amp;D
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IV794"/>
  <sheetViews>
    <sheetView topLeftCell="G1" workbookViewId="0">
      <selection activeCell="E14" sqref="E14:S14"/>
    </sheetView>
  </sheetViews>
  <sheetFormatPr defaultRowHeight="10.5" customHeight="1"/>
  <cols>
    <col min="1" max="1" width="6.140625" customWidth="1"/>
    <col min="2" max="2" width="35.5703125" customWidth="1"/>
    <col min="3" max="3" width="6.5703125" customWidth="1"/>
    <col min="4" max="4" width="12.140625" bestFit="1" customWidth="1"/>
    <col min="5" max="5" width="10.42578125" bestFit="1" customWidth="1"/>
    <col min="6" max="6" width="10.28515625" bestFit="1" customWidth="1"/>
    <col min="7" max="7" width="9.5703125" bestFit="1" customWidth="1"/>
    <col min="8" max="8" width="11.5703125" customWidth="1"/>
    <col min="19" max="19" width="10.42578125" customWidth="1"/>
    <col min="25" max="29" width="9.140625" style="43"/>
  </cols>
  <sheetData>
    <row r="1" spans="1:29" ht="10.5" customHeight="1">
      <c r="F1" t="str">
        <f>IF(Tables!$B$21=2,"EOC","")</f>
        <v/>
      </c>
      <c r="I1" t="str">
        <f>IF(Tables!$B$21=5,"EOC","")</f>
        <v/>
      </c>
      <c r="N1" t="str">
        <f>IF(Tables!$B$21=10,"EOC","")</f>
        <v/>
      </c>
      <c r="S1" t="str">
        <f>IF(Tables!$B$21=15,"EOC","")</f>
        <v>EOC</v>
      </c>
    </row>
    <row r="2" spans="1:29" ht="15.75" customHeight="1" thickBot="1">
      <c r="D2" s="116">
        <f>Cashflow!C3</f>
        <v>36891</v>
      </c>
      <c r="E2" s="116">
        <f t="shared" ref="E2:X2" si="0">EOMONTH(D2,12)</f>
        <v>37256</v>
      </c>
      <c r="F2" s="116">
        <f t="shared" si="0"/>
        <v>37621</v>
      </c>
      <c r="G2" s="116">
        <f t="shared" si="0"/>
        <v>37986</v>
      </c>
      <c r="H2" s="116">
        <f t="shared" si="0"/>
        <v>38352</v>
      </c>
      <c r="I2" s="116">
        <f t="shared" si="0"/>
        <v>38717</v>
      </c>
      <c r="J2" s="116">
        <f t="shared" si="0"/>
        <v>39082</v>
      </c>
      <c r="K2" s="116">
        <f t="shared" si="0"/>
        <v>39447</v>
      </c>
      <c r="L2" s="116">
        <f t="shared" si="0"/>
        <v>39813</v>
      </c>
      <c r="M2" s="116">
        <f t="shared" si="0"/>
        <v>40178</v>
      </c>
      <c r="N2" s="116">
        <f t="shared" si="0"/>
        <v>40543</v>
      </c>
      <c r="O2" s="116">
        <f t="shared" si="0"/>
        <v>40908</v>
      </c>
      <c r="P2" s="116">
        <f t="shared" si="0"/>
        <v>41274</v>
      </c>
      <c r="Q2" s="116">
        <f t="shared" si="0"/>
        <v>41639</v>
      </c>
      <c r="R2" s="116">
        <f t="shared" si="0"/>
        <v>42004</v>
      </c>
      <c r="S2" s="116">
        <f t="shared" si="0"/>
        <v>42369</v>
      </c>
      <c r="T2" s="116">
        <f t="shared" si="0"/>
        <v>42735</v>
      </c>
      <c r="U2" s="116">
        <f t="shared" si="0"/>
        <v>43100</v>
      </c>
      <c r="V2" s="116">
        <f t="shared" si="0"/>
        <v>43465</v>
      </c>
      <c r="W2" s="116">
        <f t="shared" si="0"/>
        <v>43830</v>
      </c>
      <c r="X2" s="605">
        <f t="shared" si="0"/>
        <v>44196</v>
      </c>
      <c r="Y2" s="49"/>
      <c r="Z2" s="49"/>
      <c r="AA2" s="49"/>
      <c r="AB2" s="49"/>
      <c r="AC2" s="49"/>
    </row>
    <row r="3" spans="1:29" ht="15" customHeight="1" thickTop="1">
      <c r="B3" s="30" t="s">
        <v>91</v>
      </c>
      <c r="C3" s="30"/>
      <c r="D3" s="62">
        <f>YEAR(D2)</f>
        <v>2000</v>
      </c>
      <c r="E3" s="62">
        <f t="shared" ref="E3:X3" si="1">YEAR(E2)</f>
        <v>2001</v>
      </c>
      <c r="F3" s="62">
        <f t="shared" si="1"/>
        <v>2002</v>
      </c>
      <c r="G3" s="62">
        <f t="shared" si="1"/>
        <v>2003</v>
      </c>
      <c r="H3" s="62">
        <f t="shared" si="1"/>
        <v>2004</v>
      </c>
      <c r="I3" s="62">
        <f t="shared" si="1"/>
        <v>2005</v>
      </c>
      <c r="J3" s="62">
        <f t="shared" si="1"/>
        <v>2006</v>
      </c>
      <c r="K3" s="62">
        <f t="shared" si="1"/>
        <v>2007</v>
      </c>
      <c r="L3" s="62">
        <f t="shared" si="1"/>
        <v>2008</v>
      </c>
      <c r="M3" s="62">
        <f t="shared" si="1"/>
        <v>2009</v>
      </c>
      <c r="N3" s="62">
        <f t="shared" si="1"/>
        <v>2010</v>
      </c>
      <c r="O3" s="62">
        <f t="shared" si="1"/>
        <v>2011</v>
      </c>
      <c r="P3" s="62">
        <f t="shared" si="1"/>
        <v>2012</v>
      </c>
      <c r="Q3" s="62">
        <f t="shared" si="1"/>
        <v>2013</v>
      </c>
      <c r="R3" s="62">
        <f t="shared" si="1"/>
        <v>2014</v>
      </c>
      <c r="S3" s="62">
        <f t="shared" si="1"/>
        <v>2015</v>
      </c>
      <c r="T3" s="62">
        <f t="shared" si="1"/>
        <v>2016</v>
      </c>
      <c r="U3" s="62">
        <f t="shared" si="1"/>
        <v>2017</v>
      </c>
      <c r="V3" s="62">
        <f t="shared" si="1"/>
        <v>2018</v>
      </c>
      <c r="W3" s="62">
        <f t="shared" si="1"/>
        <v>2019</v>
      </c>
      <c r="X3" s="62">
        <f t="shared" si="1"/>
        <v>2020</v>
      </c>
      <c r="Y3" s="502"/>
      <c r="Z3" s="502"/>
      <c r="AA3" s="502"/>
      <c r="AB3" s="502"/>
    </row>
    <row r="4" spans="1:29" ht="10.5" customHeight="1">
      <c r="B4" s="1"/>
      <c r="C4" s="696"/>
      <c r="D4" s="1"/>
      <c r="E4" s="1"/>
      <c r="F4" s="1"/>
      <c r="G4" s="1"/>
      <c r="H4" s="1"/>
      <c r="I4" s="1"/>
      <c r="J4" s="1"/>
      <c r="K4" s="1"/>
      <c r="L4" s="1"/>
      <c r="M4" s="7"/>
      <c r="N4" s="7"/>
      <c r="O4" s="7"/>
      <c r="P4" s="7"/>
      <c r="Q4" s="7"/>
      <c r="R4" s="7"/>
      <c r="S4" s="7"/>
      <c r="T4" s="7"/>
      <c r="U4" s="7"/>
      <c r="V4" s="1"/>
      <c r="W4" s="1"/>
      <c r="X4" s="1"/>
      <c r="Y4" s="25"/>
      <c r="Z4" s="25"/>
      <c r="AA4" s="25"/>
      <c r="AB4" s="25"/>
    </row>
    <row r="5" spans="1:29" ht="10.5" customHeight="1">
      <c r="B5" s="710" t="s">
        <v>436</v>
      </c>
      <c r="C5" s="92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25"/>
      <c r="Z5" s="25"/>
      <c r="AA5" s="25"/>
      <c r="AB5" s="25"/>
    </row>
    <row r="6" spans="1:29" ht="10.5" customHeight="1">
      <c r="B6" s="96" t="s">
        <v>462</v>
      </c>
      <c r="C6" s="67"/>
      <c r="D6" s="61">
        <f>Assumptions!$B$6</f>
        <v>324</v>
      </c>
      <c r="E6" s="61">
        <f>Assumptions!$B$6</f>
        <v>324</v>
      </c>
      <c r="F6" s="61">
        <f>Assumptions!$B$6</f>
        <v>324</v>
      </c>
      <c r="G6" s="61">
        <f>Assumptions!$B$6</f>
        <v>324</v>
      </c>
      <c r="H6" s="61">
        <f>Tables!$C$36</f>
        <v>324</v>
      </c>
      <c r="I6" s="61">
        <f>Tables!$C$36</f>
        <v>324</v>
      </c>
      <c r="J6" s="61">
        <f>Tables!$C$36</f>
        <v>324</v>
      </c>
      <c r="K6" s="61">
        <f>Tables!$C$36</f>
        <v>324</v>
      </c>
      <c r="L6" s="61">
        <f>Tables!$C$36</f>
        <v>324</v>
      </c>
      <c r="M6" s="61">
        <f>Tables!$C$36</f>
        <v>324</v>
      </c>
      <c r="N6" s="61">
        <f>Tables!$C$36</f>
        <v>324</v>
      </c>
      <c r="O6" s="61">
        <f>Tables!$C$36</f>
        <v>324</v>
      </c>
      <c r="P6" s="61">
        <f>Tables!$C$36</f>
        <v>324</v>
      </c>
      <c r="Q6" s="61">
        <f>Tables!$C$36</f>
        <v>324</v>
      </c>
      <c r="R6" s="61">
        <f>Tables!$C$36</f>
        <v>324</v>
      </c>
      <c r="S6" s="61">
        <f>Tables!$C$36</f>
        <v>324</v>
      </c>
      <c r="T6" s="61" t="str">
        <f>IF(Tables!$B$21=15,"",Tables!$C$36)</f>
        <v/>
      </c>
      <c r="U6" s="61" t="str">
        <f>IF(Tables!$B$21=15,"",Tables!$C$36)</f>
        <v/>
      </c>
      <c r="V6" s="61" t="str">
        <f>IF(Tables!$B$21=15,"",Tables!$C$36)</f>
        <v/>
      </c>
      <c r="W6" s="61" t="str">
        <f>IF(Tables!$B$21=15,"",Tables!$C$36)</f>
        <v/>
      </c>
      <c r="X6" s="61" t="str">
        <f>IF(Tables!$B$21=15,"",Tables!$C$36)</f>
        <v/>
      </c>
      <c r="Y6" s="383"/>
      <c r="Z6" s="383"/>
      <c r="AA6" s="383"/>
      <c r="AB6" s="383"/>
    </row>
    <row r="7" spans="1:29" s="214" customFormat="1" ht="10.5" customHeight="1">
      <c r="A7"/>
      <c r="B7" s="98" t="s">
        <v>458</v>
      </c>
      <c r="C7" s="78"/>
      <c r="D7" s="51">
        <f>Assumptions!$B$14*'Operational Detail'!D19/Assumptions!$B$15</f>
        <v>6.2500000000000003E-3</v>
      </c>
      <c r="E7" s="51">
        <f>Assumptions!$B$14*'Operational Detail'!E19/Assumptions!$B$15</f>
        <v>8.8299999999999993E-3</v>
      </c>
      <c r="F7" s="51">
        <f>Assumptions!$B$14*'Operational Detail'!F19/Assumptions!$B$15</f>
        <v>1.1599999999999999E-2</v>
      </c>
      <c r="G7" s="51">
        <f>Assumptions!$B$14*'Operational Detail'!G19/Assumptions!$B$15</f>
        <v>1.439E-2</v>
      </c>
      <c r="H7" s="51">
        <f>Assumptions!$B$14*'Operational Detail'!H19/Assumptions!$B$15</f>
        <v>1.6980000000000002E-2</v>
      </c>
      <c r="I7" s="51">
        <f>Assumptions!$B$14*'Operational Detail'!I19/Assumptions!$B$15</f>
        <v>1.9570000000000001E-2</v>
      </c>
      <c r="J7" s="51">
        <f>Assumptions!$B$14*'Operational Detail'!J19/Assumptions!$B$15</f>
        <v>2.16E-3</v>
      </c>
      <c r="K7" s="51">
        <f>Assumptions!$B$14*'Operational Detail'!K19/Assumptions!$B$15</f>
        <v>4.7400000000000003E-3</v>
      </c>
      <c r="L7" s="51">
        <f>Assumptions!$B$14*'Operational Detail'!L19/Assumptions!$B$15</f>
        <v>7.3200000000000001E-3</v>
      </c>
      <c r="M7" s="51">
        <f>Assumptions!$B$14*'Operational Detail'!M19/Assumptions!$B$15</f>
        <v>9.9100000000000004E-3</v>
      </c>
      <c r="N7" s="51">
        <f>Assumptions!$B$14*'Operational Detail'!N19/Assumptions!$B$15</f>
        <v>1.2500000000000001E-2</v>
      </c>
      <c r="O7" s="51">
        <f>Assumptions!$B$14*'Operational Detail'!O19/Assumptions!$B$15</f>
        <v>1.5089999999999999E-2</v>
      </c>
      <c r="P7" s="51">
        <f>Assumptions!$B$14*'Operational Detail'!P19/Assumptions!$B$15</f>
        <v>1.7569999999999999E-2</v>
      </c>
      <c r="Q7" s="51">
        <f>Assumptions!$B$14*'Operational Detail'!Q19/Assumptions!$B$15</f>
        <v>5.0000000000000002E-5</v>
      </c>
      <c r="R7" s="51">
        <f>Assumptions!$B$14*'Operational Detail'!R19/Assumptions!$B$15</f>
        <v>2.5300000000000001E-3</v>
      </c>
      <c r="S7" s="51">
        <f>Assumptions!$B$14*'Operational Detail'!S19/Assumptions!$B$15</f>
        <v>5.0200000000000002E-3</v>
      </c>
      <c r="T7" s="51" t="str">
        <f>IF($S$1="EOC","",Assumptions!$B$14*'Operational Detail'!T19/Assumptions!$B$15)</f>
        <v/>
      </c>
      <c r="U7" s="51" t="str">
        <f>IF($S$1="EOC","",Assumptions!$B$14*'Operational Detail'!U19/Assumptions!$B$15)</f>
        <v/>
      </c>
      <c r="V7" s="51" t="str">
        <f>IF($S$1="EOC","",Assumptions!$B$14*'Operational Detail'!V19/Assumptions!$B$15)</f>
        <v/>
      </c>
      <c r="W7" s="51" t="str">
        <f>IF($S$1="EOC","",Assumptions!$B$14*'Operational Detail'!W19/Assumptions!$B$15)</f>
        <v/>
      </c>
      <c r="X7" s="51" t="str">
        <f>IF($S$1="EOC","",Assumptions!$B$14*'Operational Detail'!X19/Assumptions!$B$15)</f>
        <v/>
      </c>
      <c r="Y7" s="51"/>
      <c r="Z7" s="51"/>
      <c r="AA7" s="51"/>
      <c r="AB7" s="51"/>
      <c r="AC7" s="43"/>
    </row>
    <row r="8" spans="1:29" ht="10.5" customHeight="1">
      <c r="B8" s="96" t="s">
        <v>755</v>
      </c>
      <c r="C8" s="67"/>
      <c r="D8" s="27">
        <f>SUMIF('Monthly Table'!$C:$C,YEAR('Operational Detail'!D$2),'Monthly Table'!$BJ:$BJ)</f>
        <v>0</v>
      </c>
      <c r="E8" s="27">
        <f>SUMIF('Monthly Table'!$C:$C,YEAR('Operational Detail'!E2),'Monthly Table'!$BJ:$BJ)</f>
        <v>520</v>
      </c>
      <c r="F8" s="27">
        <f>SUMIF('Monthly Table'!$C:$C,YEAR('Operational Detail'!F2),'Monthly Table'!$BJ:$BJ)</f>
        <v>672</v>
      </c>
      <c r="G8" s="27">
        <f>SUMIF('Monthly Table'!$C:$C,YEAR('Operational Detail'!G2),'Monthly Table'!$BJ:$BJ)</f>
        <v>680</v>
      </c>
      <c r="H8" s="27">
        <f>IF(Tables!$B$21=3,0,SUMIF('Monthly Table'!$C:$C,YEAR('Operational Detail'!H2),'Monthly Table'!$BJ:$BJ))</f>
        <v>520</v>
      </c>
      <c r="I8" s="27">
        <f>IF(Tables!$B$21=3,0,SUMIF('Monthly Table'!$C:$C,YEAR('Operational Detail'!I2),'Monthly Table'!$BJ:$BJ))</f>
        <v>520</v>
      </c>
      <c r="J8" s="27">
        <f>IF(Tables!$B$21=3,0,SUMIF('Monthly Table'!$C:$C,YEAR('Operational Detail'!J2),'Monthly Table'!$BJ:$BJ))</f>
        <v>520</v>
      </c>
      <c r="K8" s="27">
        <f>IF(Tables!$B$21=3,0,SUMIF('Monthly Table'!$C:$C,YEAR('Operational Detail'!K2),'Monthly Table'!$BJ:$BJ))</f>
        <v>520</v>
      </c>
      <c r="L8" s="27">
        <f>IF(Tables!$B$21=3,0,SUMIF('Monthly Table'!$C:$C,YEAR('Operational Detail'!L2),'Monthly Table'!$BJ:$BJ))</f>
        <v>512</v>
      </c>
      <c r="M8" s="27">
        <f>IF(Tables!$B$21=3,0,SUMIF('Monthly Table'!$C:$C,YEAR('Operational Detail'!M2),'Monthly Table'!$BJ:$BJ))</f>
        <v>528</v>
      </c>
      <c r="N8" s="27">
        <f>IF(Tables!$B$21=3,0,SUMIF('Monthly Table'!$C:$C,YEAR('Operational Detail'!N2),'Monthly Table'!$BJ:$BJ))</f>
        <v>520</v>
      </c>
      <c r="O8" s="27">
        <f>IF(Tables!$B$21=3,0,SUMIF('Monthly Table'!$C:$C,YEAR('Operational Detail'!O2),'Monthly Table'!$BJ:$BJ))</f>
        <v>520</v>
      </c>
      <c r="P8" s="27">
        <f>IF(Tables!$B$21=3,0,SUMIF('Monthly Table'!$C:$C,YEAR('Operational Detail'!P2),'Monthly Table'!$BJ:$BJ))</f>
        <v>520</v>
      </c>
      <c r="Q8" s="27">
        <f>IF(Tables!$B$21=3,0,SUMIF('Monthly Table'!$C:$C,YEAR('Operational Detail'!Q2),'Monthly Table'!$BJ:$BJ))</f>
        <v>512</v>
      </c>
      <c r="R8" s="27">
        <f>IF(Tables!$B$21=3,0,SUMIF('Monthly Table'!$C:$C,YEAR('Operational Detail'!R2),'Monthly Table'!$BJ:$BJ))</f>
        <v>512</v>
      </c>
      <c r="S8" s="27">
        <f>IF(Tables!$B$21=3,0,SUMIF('Monthly Table'!$C:$C,YEAR('Operational Detail'!S2),'Monthly Table'!$BJ:$BJ))</f>
        <v>528</v>
      </c>
      <c r="T8" s="27" t="str">
        <f>IF($S$1="EOC","",SUMIF('Monthly Table'!$C:$C,YEAR('Operational Detail'!T2),'Monthly Table'!$BJ:$BJ))</f>
        <v/>
      </c>
      <c r="U8" s="27" t="str">
        <f>IF($S$1="EOC","",SUMIF('Monthly Table'!$C:$C,YEAR('Operational Detail'!U2),'Monthly Table'!$BJ:$BJ))</f>
        <v/>
      </c>
      <c r="V8" s="27" t="str">
        <f>IF($S$1="EOC","",SUMIF('Monthly Table'!$C:$C,YEAR('Operational Detail'!V2),'Monthly Table'!$BJ:$BJ))</f>
        <v/>
      </c>
      <c r="W8" s="27" t="str">
        <f>IF($S$1="EOC","",SUMIF('Monthly Table'!$C:$C,YEAR('Operational Detail'!W2),'Monthly Table'!$BJ:$BJ))</f>
        <v/>
      </c>
      <c r="X8" s="27" t="str">
        <f>IF($S$1="EOC","",SUMIF('Monthly Table'!$C:$C,YEAR('Operational Detail'!X2),'Monthly Table'!$BJ:$BJ))</f>
        <v/>
      </c>
      <c r="Y8" s="54"/>
      <c r="Z8" s="54"/>
      <c r="AA8" s="54"/>
      <c r="AB8" s="54"/>
    </row>
    <row r="9" spans="1:29" ht="10.5" customHeight="1">
      <c r="B9" s="96" t="s">
        <v>754</v>
      </c>
      <c r="C9" s="67"/>
      <c r="D9" s="27">
        <f>SUMIF('Monthly Table'!$C:$C,YEAR('Operational Detail'!D$2),'Monthly Table'!$BO:$BO)</f>
        <v>0</v>
      </c>
      <c r="E9" s="27">
        <f>SUMIF('Monthly Table'!$C:$C,YEAR('Operational Detail'!E$2),'Monthly Table'!$BO:$BO)</f>
        <v>0</v>
      </c>
      <c r="F9" s="27">
        <f>SUMIF('Monthly Table'!$C:$C,YEAR('Operational Detail'!F$2),'Monthly Table'!$BO:$BO)</f>
        <v>0</v>
      </c>
      <c r="G9" s="27">
        <f>SUMIF('Monthly Table'!$C:$C,YEAR('Operational Detail'!G$2),'Monthly Table'!$BO:$BO)</f>
        <v>0</v>
      </c>
      <c r="H9" s="27">
        <f>SUMIF('Monthly Table'!$C:$C,YEAR('Operational Detail'!H$2),'Monthly Table'!$BO:$BO)</f>
        <v>0</v>
      </c>
      <c r="I9" s="27">
        <f>SUMIF('Monthly Table'!$C:$C,YEAR('Operational Detail'!I$2),'Monthly Table'!$BO:$BO)</f>
        <v>0</v>
      </c>
      <c r="J9" s="27">
        <f>SUMIF('Monthly Table'!$C:$C,YEAR('Operational Detail'!J$2),'Monthly Table'!$BO:$BO)</f>
        <v>0</v>
      </c>
      <c r="K9" s="27">
        <f>SUMIF('Monthly Table'!$C:$C,YEAR('Operational Detail'!K$2),'Monthly Table'!$BO:$BO)</f>
        <v>0</v>
      </c>
      <c r="L9" s="27">
        <f>SUMIF('Monthly Table'!$C:$C,YEAR('Operational Detail'!L$2),'Monthly Table'!$BO:$BO)</f>
        <v>0</v>
      </c>
      <c r="M9" s="27">
        <f>SUMIF('Monthly Table'!$C:$C,YEAR('Operational Detail'!M$2),'Monthly Table'!$BO:$BO)</f>
        <v>0</v>
      </c>
      <c r="N9" s="27">
        <f>SUMIF('Monthly Table'!$C:$C,YEAR('Operational Detail'!N$2),'Monthly Table'!$BO:$BO)</f>
        <v>0</v>
      </c>
      <c r="O9" s="27">
        <f>SUMIF('Monthly Table'!$C:$C,YEAR('Operational Detail'!O$2),'Monthly Table'!$BO:$BO)</f>
        <v>0</v>
      </c>
      <c r="P9" s="27">
        <f>SUMIF('Monthly Table'!$C:$C,YEAR('Operational Detail'!P$2),'Monthly Table'!$BO:$BO)</f>
        <v>0</v>
      </c>
      <c r="Q9" s="27">
        <f>SUMIF('Monthly Table'!$C:$C,YEAR('Operational Detail'!Q$2),'Monthly Table'!$BO:$BO)</f>
        <v>0</v>
      </c>
      <c r="R9" s="27">
        <f>SUMIF('Monthly Table'!$C:$C,YEAR('Operational Detail'!R$2),'Monthly Table'!$BO:$BO)</f>
        <v>0</v>
      </c>
      <c r="S9" s="27">
        <f>SUMIF('Monthly Table'!$C:$C,YEAR('Operational Detail'!S$2),'Monthly Table'!$BO:$BO)</f>
        <v>0</v>
      </c>
      <c r="T9" s="27" t="str">
        <f>IF($S$1="EOC","",SUMIF('Monthly Table'!$C:$C,YEAR('Operational Detail'!T$2),'Monthly Table'!$BO:$BO))</f>
        <v/>
      </c>
      <c r="U9" s="27" t="str">
        <f>IF($S$1="EOC","",SUMIF('Monthly Table'!$C:$C,YEAR('Operational Detail'!U$2),'Monthly Table'!$BO:$BO))</f>
        <v/>
      </c>
      <c r="V9" s="27" t="str">
        <f>IF($S$1="EOC","",SUMIF('Monthly Table'!$C:$C,YEAR('Operational Detail'!V$2),'Monthly Table'!$BO:$BO))</f>
        <v/>
      </c>
      <c r="W9" s="27" t="str">
        <f>IF($S$1="EOC","",SUMIF('Monthly Table'!$C:$C,YEAR('Operational Detail'!W$2),'Monthly Table'!$BO:$BO))</f>
        <v/>
      </c>
      <c r="X9" s="27" t="str">
        <f>IF($S$1="EOC","",SUMIF('Monthly Table'!$C:$C,YEAR('Operational Detail'!X$2),'Monthly Table'!$BO:$BO))</f>
        <v/>
      </c>
      <c r="Y9" s="54"/>
      <c r="Z9" s="54"/>
      <c r="AA9" s="54"/>
      <c r="AB9" s="54"/>
    </row>
    <row r="10" spans="1:29" ht="10.5" customHeight="1">
      <c r="B10" s="96" t="s">
        <v>756</v>
      </c>
      <c r="C10" s="67"/>
      <c r="D10" s="27">
        <f>SUMIF('Monthly Table'!$C:$C,YEAR('Operational Detail'!D$2),'Monthly Table'!$BL:$BL)</f>
        <v>0</v>
      </c>
      <c r="E10" s="27">
        <f>SUMIF('Monthly Table'!$C:$C,YEAR('Operational Detail'!E$2),'Monthly Table'!$BL:$BL)</f>
        <v>64</v>
      </c>
      <c r="F10" s="27">
        <f>SUMIF('Monthly Table'!$C:$C,YEAR('Operational Detail'!F$2),'Monthly Table'!$BL:$BL)</f>
        <v>72</v>
      </c>
      <c r="G10" s="27">
        <f>SUMIF('Monthly Table'!$C:$C,YEAR('Operational Detail'!G$2),'Monthly Table'!$BL:$BL)</f>
        <v>72</v>
      </c>
      <c r="H10" s="27">
        <f>IF(Tables!$B$21=3,0,SUMIF('Monthly Table'!$C:$C,YEAR('Operational Detail'!H$2),'Monthly Table'!$BL:$BL))</f>
        <v>72</v>
      </c>
      <c r="I10" s="27">
        <f>IF(Tables!$B$21=3,0,SUMIF('Monthly Table'!$C:$C,YEAR('Operational Detail'!I$2),'Monthly Table'!$BL:$BL))</f>
        <v>72</v>
      </c>
      <c r="J10" s="27">
        <f>IF(Tables!$B$21=3,0,SUMIF('Monthly Table'!$C:$C,YEAR('Operational Detail'!J$2),'Monthly Table'!$BL:$BL))</f>
        <v>72</v>
      </c>
      <c r="K10" s="27">
        <f>IF(Tables!$B$21=3,0,SUMIF('Monthly Table'!$C:$C,YEAR('Operational Detail'!K$2),'Monthly Table'!$BL:$BL))</f>
        <v>64</v>
      </c>
      <c r="L10" s="27">
        <f>IF(Tables!$B$21=3,0,SUMIF('Monthly Table'!$C:$C,YEAR('Operational Detail'!L$2),'Monthly Table'!$BL:$BL))</f>
        <v>72</v>
      </c>
      <c r="M10" s="27">
        <f>IF(Tables!$B$21=3,0,SUMIF('Monthly Table'!$C:$C,YEAR('Operational Detail'!M$2),'Monthly Table'!$BL:$BL))</f>
        <v>64</v>
      </c>
      <c r="N10" s="27">
        <f>IF(Tables!$B$21=3,0,SUMIF('Monthly Table'!$C:$C,YEAR('Operational Detail'!N$2),'Monthly Table'!$BL:$BL))</f>
        <v>72</v>
      </c>
      <c r="O10" s="27">
        <f>IF(Tables!$B$21=3,0,SUMIF('Monthly Table'!$C:$C,YEAR('Operational Detail'!O$2),'Monthly Table'!$BL:$BL))</f>
        <v>72</v>
      </c>
      <c r="P10" s="27">
        <f>IF(Tables!$B$21=3,0,SUMIF('Monthly Table'!$C:$C,YEAR('Operational Detail'!P$2),'Monthly Table'!$BL:$BL))</f>
        <v>64</v>
      </c>
      <c r="Q10" s="27">
        <f>IF(Tables!$B$21=3,0,SUMIF('Monthly Table'!$C:$C,YEAR('Operational Detail'!Q$2),'Monthly Table'!$BL:$BL))</f>
        <v>72</v>
      </c>
      <c r="R10" s="27">
        <f>IF(Tables!$B$21=3,0,SUMIF('Monthly Table'!$C:$C,YEAR('Operational Detail'!R$2),'Monthly Table'!$BL:$BL))</f>
        <v>72</v>
      </c>
      <c r="S10" s="27">
        <f>IF(Tables!$B$21=3,0,SUMIF('Monthly Table'!$C:$C,YEAR('Operational Detail'!S$2),'Monthly Table'!$BL:$BL))</f>
        <v>64</v>
      </c>
      <c r="T10" s="27" t="str">
        <f>IF(Tables!$B$21=15,"",SUMIF('Monthly Table'!$C:$C,YEAR('Operational Detail'!T$2),'Monthly Table'!$BL:$BL))</f>
        <v/>
      </c>
      <c r="U10" s="27" t="str">
        <f>IF(Tables!$B$21=15,"",SUMIF('Monthly Table'!$C:$C,YEAR('Operational Detail'!U$2),'Monthly Table'!$BL:$BL))</f>
        <v/>
      </c>
      <c r="V10" s="27" t="str">
        <f>IF(Tables!$B$21=15,"",SUMIF('Monthly Table'!$C:$C,YEAR('Operational Detail'!V$2),'Monthly Table'!$BL:$BL))</f>
        <v/>
      </c>
      <c r="W10" s="27" t="str">
        <f>IF(Tables!$B$21=15,"",SUMIF('Monthly Table'!$C:$C,YEAR('Operational Detail'!W$2),'Monthly Table'!$BL:$BL))</f>
        <v/>
      </c>
      <c r="X10" s="27" t="str">
        <f>IF(Tables!$B$21=15,"",SUMIF('Monthly Table'!$C:$C,YEAR('Operational Detail'!X$2),'Monthly Table'!$BL:$BL))</f>
        <v/>
      </c>
      <c r="Y10" s="54"/>
      <c r="Z10" s="54"/>
      <c r="AA10" s="54"/>
      <c r="AB10" s="54"/>
    </row>
    <row r="11" spans="1:29" ht="10.5" customHeight="1">
      <c r="B11" s="96" t="s">
        <v>753</v>
      </c>
      <c r="C11" s="67"/>
      <c r="D11" s="27">
        <f>SUMIF('Monthly Table'!$C:$C,YEAR('Operational Detail'!D$2),'Monthly Table'!$BP:$BP)</f>
        <v>0</v>
      </c>
      <c r="E11" s="27">
        <f>SUMIF('Monthly Table'!$C:$C,YEAR('Operational Detail'!E$2),'Monthly Table'!$BP:$BP)</f>
        <v>0</v>
      </c>
      <c r="F11" s="27">
        <f>SUMIF('Monthly Table'!$C:$C,YEAR('Operational Detail'!F$2),'Monthly Table'!$BP:$BP)</f>
        <v>0</v>
      </c>
      <c r="G11" s="27">
        <f>SUMIF('Monthly Table'!$C:$C,YEAR('Operational Detail'!G$2),'Monthly Table'!$BP:$BP)</f>
        <v>0</v>
      </c>
      <c r="H11" s="27">
        <f>IF(Tables!$B$21=3,0,SUMIF('Monthly Table'!$C:$C,YEAR('Operational Detail'!H$2),'Monthly Table'!$BP:$BP))</f>
        <v>0</v>
      </c>
      <c r="I11" s="27">
        <f>IF(Tables!$B$21=3,0,SUMIF('Monthly Table'!$C:$C,YEAR('Operational Detail'!I$2),'Monthly Table'!$BP:$BP))</f>
        <v>0</v>
      </c>
      <c r="J11" s="27">
        <f>IF(Tables!$B$21=3,0,SUMIF('Monthly Table'!$C:$C,YEAR('Operational Detail'!J$2),'Monthly Table'!$BP:$BP))</f>
        <v>0</v>
      </c>
      <c r="K11" s="27">
        <f>IF(Tables!$B$21=3,0,SUMIF('Monthly Table'!$C:$C,YEAR('Operational Detail'!K$2),'Monthly Table'!$BP:$BP))</f>
        <v>0</v>
      </c>
      <c r="L11" s="27">
        <f>IF(Tables!$B$21=3,0,SUMIF('Monthly Table'!$C:$C,YEAR('Operational Detail'!L$2),'Monthly Table'!$BP:$BP))</f>
        <v>0</v>
      </c>
      <c r="M11" s="27">
        <f>IF(Tables!$B$21=3,0,SUMIF('Monthly Table'!$C:$C,YEAR('Operational Detail'!M$2),'Monthly Table'!$BP:$BP))</f>
        <v>0</v>
      </c>
      <c r="N11" s="27">
        <f>IF(Tables!$B$21=3,0,SUMIF('Monthly Table'!$C:$C,YEAR('Operational Detail'!N$2),'Monthly Table'!$BP:$BP))</f>
        <v>0</v>
      </c>
      <c r="O11" s="27">
        <f>IF(Tables!$B$21=3,0,SUMIF('Monthly Table'!$C:$C,YEAR('Operational Detail'!O$2),'Monthly Table'!$BP:$BP))</f>
        <v>0</v>
      </c>
      <c r="P11" s="27">
        <f>IF(Tables!$B$21=3,0,SUMIF('Monthly Table'!$C:$C,YEAR('Operational Detail'!P$2),'Monthly Table'!$BP:$BP))</f>
        <v>0</v>
      </c>
      <c r="Q11" s="27">
        <f>IF(Tables!$B$21=3,0,SUMIF('Monthly Table'!$C:$C,YEAR('Operational Detail'!Q$2),'Monthly Table'!$BP:$BP))</f>
        <v>0</v>
      </c>
      <c r="R11" s="27">
        <f>IF(Tables!$B$21=3,0,SUMIF('Monthly Table'!$C:$C,YEAR('Operational Detail'!R$2),'Monthly Table'!$BP:$BP))</f>
        <v>0</v>
      </c>
      <c r="S11" s="27">
        <f>IF(Tables!$B$21=3,0,SUMIF('Monthly Table'!$C:$C,YEAR('Operational Detail'!S$2),'Monthly Table'!$BP:$BP))</f>
        <v>0</v>
      </c>
      <c r="T11" s="27" t="str">
        <f>IF(Tables!$B$21=15,"",SUMIF('Monthly Table'!$C:$C,YEAR('Operational Detail'!T$2),'Monthly Table'!$BP:$BP))</f>
        <v/>
      </c>
      <c r="U11" s="27" t="str">
        <f>IF(Tables!$B$21=15,"",SUMIF('Monthly Table'!$C:$C,YEAR('Operational Detail'!U$2),'Monthly Table'!$BP:$BP))</f>
        <v/>
      </c>
      <c r="V11" s="27" t="str">
        <f>IF(Tables!$B$21=15,"",SUMIF('Monthly Table'!$C:$C,YEAR('Operational Detail'!V$2),'Monthly Table'!$BP:$BP))</f>
        <v/>
      </c>
      <c r="W11" s="27" t="str">
        <f>IF(Tables!$B$21=15,"",SUMIF('Monthly Table'!$C:$C,YEAR('Operational Detail'!W$2),'Monthly Table'!$BP:$BP))</f>
        <v/>
      </c>
      <c r="X11" s="27" t="str">
        <f>IF(Tables!$B$21=15,"",SUMIF('Monthly Table'!$C:$C,YEAR('Operational Detail'!X$2),'Monthly Table'!$BP:$BP))</f>
        <v/>
      </c>
      <c r="Y11" s="54"/>
      <c r="Z11" s="54"/>
      <c r="AA11" s="54"/>
      <c r="AB11" s="54"/>
    </row>
    <row r="12" spans="1:29" ht="10.5" customHeight="1">
      <c r="B12" s="96" t="s">
        <v>776</v>
      </c>
      <c r="C12" s="67"/>
      <c r="D12" s="27">
        <f>SUMIF('Monthly Table'!$C:$C,YEAR('Operational Detail'!D$2),'Monthly Table'!$BM:$BM)</f>
        <v>0</v>
      </c>
      <c r="E12" s="27">
        <f>SUMIF('Monthly Table'!$C:$C,YEAR('Operational Detail'!E$2),'Monthly Table'!$BM:$BM)</f>
        <v>80</v>
      </c>
      <c r="F12" s="27">
        <f>SUMIF('Monthly Table'!$C:$C,YEAR('Operational Detail'!F$2),'Monthly Table'!$BM:$BM)</f>
        <v>72</v>
      </c>
      <c r="G12" s="27">
        <f>SUMIF('Monthly Table'!$C:$C,YEAR('Operational Detail'!G$2),'Monthly Table'!$BM:$BM)</f>
        <v>80</v>
      </c>
      <c r="H12" s="27">
        <f>IF(Tables!$B$21=3,0,SUMIF('Monthly Table'!$C:$C,YEAR('Operational Detail'!H$2),'Monthly Table'!$BM:$BM))</f>
        <v>80</v>
      </c>
      <c r="I12" s="27">
        <f>IF(Tables!$B$21=3,0,SUMIF('Monthly Table'!$C:$C,YEAR('Operational Detail'!I$2),'Monthly Table'!$BM:$BM))</f>
        <v>80</v>
      </c>
      <c r="J12" s="27">
        <f>IF(Tables!$B$21=3,0,SUMIF('Monthly Table'!$C:$C,YEAR('Operational Detail'!J$2),'Monthly Table'!$BM:$BM))</f>
        <v>80</v>
      </c>
      <c r="K12" s="27">
        <f>IF(Tables!$B$21=3,0,SUMIF('Monthly Table'!$C:$C,YEAR('Operational Detail'!K$2),'Monthly Table'!$BM:$BM))</f>
        <v>80</v>
      </c>
      <c r="L12" s="27">
        <f>IF(Tables!$B$21=3,0,SUMIF('Monthly Table'!$C:$C,YEAR('Operational Detail'!L$2),'Monthly Table'!$BM:$BM))</f>
        <v>80</v>
      </c>
      <c r="M12" s="27">
        <f>IF(Tables!$B$21=3,0,SUMIF('Monthly Table'!$C:$C,YEAR('Operational Detail'!M$2),'Monthly Table'!$BM:$BM))</f>
        <v>80</v>
      </c>
      <c r="N12" s="27">
        <f>IF(Tables!$B$21=3,0,SUMIF('Monthly Table'!$C:$C,YEAR('Operational Detail'!N$2),'Monthly Table'!$BM:$BM))</f>
        <v>80</v>
      </c>
      <c r="O12" s="27">
        <f>IF(Tables!$B$21=3,0,SUMIF('Monthly Table'!$C:$C,YEAR('Operational Detail'!O$2),'Monthly Table'!$BM:$BM))</f>
        <v>80</v>
      </c>
      <c r="P12" s="27">
        <f>IF(Tables!$B$21=3,0,SUMIF('Monthly Table'!$C:$C,YEAR('Operational Detail'!P$2),'Monthly Table'!$BM:$BM))</f>
        <v>0</v>
      </c>
      <c r="Q12" s="27">
        <f>IF(Tables!$B$21=3,0,SUMIF('Monthly Table'!$C:$C,YEAR('Operational Detail'!Q$2),'Monthly Table'!$BM:$BM))</f>
        <v>0</v>
      </c>
      <c r="R12" s="27">
        <f>IF(Tables!$B$21=3,0,SUMIF('Monthly Table'!$C:$C,YEAR('Operational Detail'!R$2),'Monthly Table'!$BM:$BM))</f>
        <v>0</v>
      </c>
      <c r="S12" s="27">
        <f>IF(Tables!$B$21=3,0,SUMIF('Monthly Table'!$C:$C,YEAR('Operational Detail'!S$2),'Monthly Table'!$BM:$BM))</f>
        <v>0</v>
      </c>
      <c r="T12" s="27" t="str">
        <f>IF(Tables!$B$21=15,"",SUMIF('Monthly Table'!$C:$C,YEAR('Operational Detail'!T$2),'Monthly Table'!$BM:$BM))</f>
        <v/>
      </c>
      <c r="U12" s="27" t="str">
        <f>IF(Tables!$B$21=15,"",SUMIF('Monthly Table'!$C:$C,YEAR('Operational Detail'!U$2),'Monthly Table'!$BM:$BM))</f>
        <v/>
      </c>
      <c r="V12" s="27" t="str">
        <f>IF(Tables!$B$21=15,"",SUMIF('Monthly Table'!$C:$C,YEAR('Operational Detail'!V$2),'Monthly Table'!$BM:$BM))</f>
        <v/>
      </c>
      <c r="W12" s="27" t="str">
        <f>IF(Tables!$B$21=15,"",SUMIF('Monthly Table'!$C:$C,YEAR('Operational Detail'!W$2),'Monthly Table'!$BM:$BM))</f>
        <v/>
      </c>
      <c r="X12" s="27" t="str">
        <f>IF(Tables!$B$21=15,"",SUMIF('Monthly Table'!$C:$C,YEAR('Operational Detail'!X$2),'Monthly Table'!$BM:$BM))</f>
        <v/>
      </c>
      <c r="Y12" s="54"/>
      <c r="Z12" s="54"/>
      <c r="AA12" s="54"/>
      <c r="AB12" s="54"/>
    </row>
    <row r="13" spans="1:29" s="214" customFormat="1" ht="10.5" customHeight="1">
      <c r="B13" s="98"/>
      <c r="C13" s="78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43"/>
    </row>
    <row r="14" spans="1:29" s="214" customFormat="1" ht="10.5" customHeight="1">
      <c r="B14" s="98" t="s">
        <v>618</v>
      </c>
      <c r="C14" s="78"/>
      <c r="D14" s="278">
        <f>SUM(D8:D13)</f>
        <v>0</v>
      </c>
      <c r="E14" s="278">
        <f t="shared" ref="E14:X14" si="2">SUM(E8:E13)</f>
        <v>664</v>
      </c>
      <c r="F14" s="278">
        <f t="shared" si="2"/>
        <v>816</v>
      </c>
      <c r="G14" s="278">
        <f t="shared" si="2"/>
        <v>832</v>
      </c>
      <c r="H14" s="278">
        <f t="shared" si="2"/>
        <v>672</v>
      </c>
      <c r="I14" s="278">
        <f t="shared" si="2"/>
        <v>672</v>
      </c>
      <c r="J14" s="278">
        <f t="shared" si="2"/>
        <v>672</v>
      </c>
      <c r="K14" s="278">
        <f t="shared" si="2"/>
        <v>664</v>
      </c>
      <c r="L14" s="278">
        <f t="shared" si="2"/>
        <v>664</v>
      </c>
      <c r="M14" s="278">
        <f t="shared" si="2"/>
        <v>672</v>
      </c>
      <c r="N14" s="278">
        <f t="shared" si="2"/>
        <v>672</v>
      </c>
      <c r="O14" s="278">
        <f t="shared" si="2"/>
        <v>672</v>
      </c>
      <c r="P14" s="278">
        <f t="shared" si="2"/>
        <v>584</v>
      </c>
      <c r="Q14" s="278">
        <f t="shared" si="2"/>
        <v>584</v>
      </c>
      <c r="R14" s="278">
        <f t="shared" si="2"/>
        <v>584</v>
      </c>
      <c r="S14" s="278">
        <f t="shared" si="2"/>
        <v>592</v>
      </c>
      <c r="T14" s="278">
        <f t="shared" si="2"/>
        <v>0</v>
      </c>
      <c r="U14" s="278">
        <f t="shared" si="2"/>
        <v>0</v>
      </c>
      <c r="V14" s="278">
        <f t="shared" si="2"/>
        <v>0</v>
      </c>
      <c r="W14" s="278">
        <f t="shared" si="2"/>
        <v>0</v>
      </c>
      <c r="X14" s="278">
        <f t="shared" si="2"/>
        <v>0</v>
      </c>
      <c r="Y14" s="54"/>
      <c r="Z14" s="54"/>
      <c r="AA14" s="54"/>
      <c r="AB14" s="54"/>
      <c r="AC14" s="43"/>
    </row>
    <row r="15" spans="1:29" ht="10.5" customHeight="1">
      <c r="B15" s="98"/>
      <c r="C15" s="78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</row>
    <row r="16" spans="1:29" ht="10.5" customHeight="1">
      <c r="B16" s="96"/>
      <c r="C16" s="6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54"/>
      <c r="Z16" s="54"/>
      <c r="AA16" s="54"/>
      <c r="AB16" s="54"/>
    </row>
    <row r="17" spans="1:29" ht="10.5" customHeight="1">
      <c r="B17" s="96" t="s">
        <v>533</v>
      </c>
      <c r="C17" s="67"/>
      <c r="D17" s="744">
        <f>Assumptions!B17</f>
        <v>5000</v>
      </c>
      <c r="E17" s="27">
        <f>((Tables!$I$10*Tables!$B$30)*1)+E14</f>
        <v>2064</v>
      </c>
      <c r="F17" s="27">
        <f>IF(Tables!$B$21=2,(Tables!$I$10*Tables!$B$30)*1,(Tables!$I$10*Tables!$B$30))+F14</f>
        <v>2216</v>
      </c>
      <c r="G17" s="27">
        <f>IF(G14&gt;0,Tables!$I$10*Tables!$B$30,0)+G14</f>
        <v>2232</v>
      </c>
      <c r="H17" s="27">
        <f>IF(H14&gt;0,Tables!$I$10*Tables!$S$36,0)+H14</f>
        <v>2072</v>
      </c>
      <c r="I17" s="27">
        <f>IF(Tables!$B$21=5,(Tables!$I$10*Tables!$S$36)*1,IF(I14&gt;0,(Tables!$I$10*Tables!$S$36),0))+I14</f>
        <v>2072</v>
      </c>
      <c r="J17" s="27">
        <f>IF(J14&gt;0,Tables!$I$10*Tables!$S$36,0)+J14</f>
        <v>2072</v>
      </c>
      <c r="K17" s="27">
        <f>IF(K14&gt;0,Tables!$I$10*Tables!$S$36,0)+K14</f>
        <v>2064</v>
      </c>
      <c r="L17" s="27">
        <f>IF(L14&gt;0,Tables!$I$10*Tables!$S$36,0)+L14</f>
        <v>2064</v>
      </c>
      <c r="M17" s="27">
        <f>IF(M14&gt;0,Tables!$I$10*Tables!$S$36,0)+M14</f>
        <v>2072</v>
      </c>
      <c r="N17" s="27">
        <f>IF(Tables!$B$21=10,(Tables!$I$10*Tables!$S$36)*1,IF(N14&gt;0,(Tables!$I$10*Tables!$S$36),0))+N14</f>
        <v>2072</v>
      </c>
      <c r="O17" s="27">
        <f>IF(O14&gt;0,Tables!$I$10*Tables!$S$36,0)+O14</f>
        <v>2072</v>
      </c>
      <c r="P17" s="27">
        <f>IF(P14&gt;0,Tables!$I$10*Tables!$S$36,0)+P14</f>
        <v>1984</v>
      </c>
      <c r="Q17" s="27">
        <f>IF(Q14&gt;0,Tables!$I$10*Tables!$S$36,0)+Q14</f>
        <v>1984</v>
      </c>
      <c r="R17" s="27">
        <f>IF(R14&gt;0,Tables!$I$10*Tables!$S$36,0)+R14</f>
        <v>1984</v>
      </c>
      <c r="S17" s="27">
        <f>IF(Tables!$B$21=15,(Tables!$I$10*Tables!$S$36)*1,IF(S14&gt;0,(Tables!$I$10*Tables!$S$36),0))+S14</f>
        <v>1992</v>
      </c>
      <c r="T17" s="27">
        <f>IF(T14&gt;0,Tables!$I$10*Tables!$S$36,0)+T14</f>
        <v>0</v>
      </c>
      <c r="U17" s="27">
        <f>IF(U14&gt;0,Tables!$I$10*Tables!$S$36,0)+U14</f>
        <v>0</v>
      </c>
      <c r="V17" s="27">
        <f>IF(V14&gt;0,Tables!$I$10*Tables!$S$36,0)+V14</f>
        <v>0</v>
      </c>
      <c r="W17" s="27">
        <f>IF(W14&gt;0,Tables!$I$10*Tables!$S$36,0)+W14</f>
        <v>0</v>
      </c>
      <c r="X17" s="27">
        <f>IF(Tables!$B$21=20,(Tables!$I$10*Tables!$S$36)*0.25,IF(X14&gt;0,(Tables!$I$10*Tables!$S$36),0))+X14</f>
        <v>0</v>
      </c>
      <c r="Y17" s="54"/>
      <c r="Z17" s="54"/>
      <c r="AA17" s="54"/>
      <c r="AB17" s="54"/>
    </row>
    <row r="18" spans="1:29" ht="10.5" customHeight="1">
      <c r="B18" s="96" t="s">
        <v>534</v>
      </c>
      <c r="C18" s="67"/>
      <c r="D18" s="27">
        <f>D17</f>
        <v>5000</v>
      </c>
      <c r="E18" s="27">
        <f>D18+E17</f>
        <v>7064</v>
      </c>
      <c r="F18" s="27">
        <f t="shared" ref="F18:X18" si="3">E18+F17</f>
        <v>9280</v>
      </c>
      <c r="G18" s="27">
        <f t="shared" si="3"/>
        <v>11512</v>
      </c>
      <c r="H18" s="27">
        <f t="shared" si="3"/>
        <v>13584</v>
      </c>
      <c r="I18" s="27">
        <f t="shared" si="3"/>
        <v>15656</v>
      </c>
      <c r="J18" s="27">
        <f t="shared" si="3"/>
        <v>17728</v>
      </c>
      <c r="K18" s="27">
        <f t="shared" si="3"/>
        <v>19792</v>
      </c>
      <c r="L18" s="27">
        <f t="shared" si="3"/>
        <v>21856</v>
      </c>
      <c r="M18" s="27">
        <f t="shared" si="3"/>
        <v>23928</v>
      </c>
      <c r="N18" s="27">
        <f t="shared" si="3"/>
        <v>26000</v>
      </c>
      <c r="O18" s="27">
        <f t="shared" si="3"/>
        <v>28072</v>
      </c>
      <c r="P18" s="27">
        <f t="shared" si="3"/>
        <v>30056</v>
      </c>
      <c r="Q18" s="27">
        <f t="shared" si="3"/>
        <v>32040</v>
      </c>
      <c r="R18" s="27">
        <f t="shared" si="3"/>
        <v>34024</v>
      </c>
      <c r="S18" s="27">
        <f t="shared" si="3"/>
        <v>36016</v>
      </c>
      <c r="T18" s="27">
        <f>IF(T14=0,0,S18+T17)</f>
        <v>0</v>
      </c>
      <c r="U18" s="27">
        <f t="shared" si="3"/>
        <v>0</v>
      </c>
      <c r="V18" s="27">
        <f t="shared" si="3"/>
        <v>0</v>
      </c>
      <c r="W18" s="27">
        <f t="shared" si="3"/>
        <v>0</v>
      </c>
      <c r="X18" s="27">
        <f t="shared" si="3"/>
        <v>0</v>
      </c>
      <c r="Y18" s="54"/>
      <c r="Z18" s="54"/>
      <c r="AA18" s="54"/>
      <c r="AB18" s="54"/>
    </row>
    <row r="19" spans="1:29" s="214" customFormat="1" ht="10.5" customHeight="1">
      <c r="A19"/>
      <c r="B19" s="98" t="s">
        <v>459</v>
      </c>
      <c r="C19" s="78"/>
      <c r="D19" s="54">
        <f>IF(SUM(D18:D18)&lt;Assumptions!$B$15,SUM('Operational Detail'!D18:D18),SUM('Operational Detail'!D18:D18)-FLOOR(SUM(D18:D18),Assumptions!$B$15))</f>
        <v>5000</v>
      </c>
      <c r="E19" s="54">
        <f>IF(SUM(E18:E18)&lt;Assumptions!$B$15,SUM('Operational Detail'!E18:E18),SUM('Operational Detail'!E18:E18)-FLOOR(SUM(E18:E18),Assumptions!$B$15))</f>
        <v>7064</v>
      </c>
      <c r="F19" s="54">
        <f>IF(SUM(F18:F18)&lt;Assumptions!$B$15,SUM('Operational Detail'!F18:F18),SUM('Operational Detail'!F18:F18)-FLOOR(SUM(F18:F18),Assumptions!$B$15))</f>
        <v>9280</v>
      </c>
      <c r="G19" s="54">
        <f>IF(SUM(G18:G18)&lt;Assumptions!$B$15,SUM('Operational Detail'!G18:G18),SUM('Operational Detail'!G18:G18)-FLOOR(SUM(G18:G18),Assumptions!$B$15))</f>
        <v>11512</v>
      </c>
      <c r="H19" s="54">
        <f>IF(SUM(H18:H18)&lt;Assumptions!$B$15,SUM('Operational Detail'!H18:H18),SUM('Operational Detail'!H18:H18)-FLOOR(SUM(H18:H18),Assumptions!$B$15))</f>
        <v>13584</v>
      </c>
      <c r="I19" s="54">
        <f>IF(SUM(I18:I18)&lt;Assumptions!$B$15,SUM('Operational Detail'!I18:I18),SUM('Operational Detail'!I18:I18)-FLOOR(SUM(I18:I18),Assumptions!$B$15))</f>
        <v>15656</v>
      </c>
      <c r="J19" s="54">
        <f>IF(SUM(J18:J18)&lt;Assumptions!$B$15,SUM('Operational Detail'!J18:J18),SUM('Operational Detail'!J18:J18)-FLOOR(SUM(J18:J18),Assumptions!$B$15))</f>
        <v>1728</v>
      </c>
      <c r="K19" s="54">
        <f>IF(SUM(K18:K18)&lt;Assumptions!$B$15,SUM('Operational Detail'!K18:K18),SUM('Operational Detail'!K18:K18)-FLOOR(SUM(K18:K18),Assumptions!$B$15))</f>
        <v>3792</v>
      </c>
      <c r="L19" s="54">
        <f>IF(SUM(L18:L18)&lt;Assumptions!$B$15,SUM('Operational Detail'!L18:L18),SUM('Operational Detail'!L18:L18)-FLOOR(SUM(L18:L18),Assumptions!$B$15))</f>
        <v>5856</v>
      </c>
      <c r="M19" s="54">
        <f>IF(SUM(M18:M18)&lt;Assumptions!$B$15,SUM('Operational Detail'!M18:M18),SUM('Operational Detail'!M18:M18)-FLOOR(SUM(M18:M18),Assumptions!$B$15))</f>
        <v>7928</v>
      </c>
      <c r="N19" s="54">
        <f>IF(SUM(N18:N18)&lt;Assumptions!$B$15,SUM('Operational Detail'!N18:N18),SUM('Operational Detail'!N18:N18)-FLOOR(SUM(N18:N18),Assumptions!$B$15))</f>
        <v>10000</v>
      </c>
      <c r="O19" s="54">
        <f>IF(SUM(O18:O18)&lt;Assumptions!$B$15,SUM('Operational Detail'!O18:O18),SUM('Operational Detail'!O18:O18)-FLOOR(SUM(O18:O18),Assumptions!$B$15))</f>
        <v>12072</v>
      </c>
      <c r="P19" s="54">
        <f>IF(SUM(P18:P18)&lt;Assumptions!$B$15,SUM('Operational Detail'!P18:P18),SUM('Operational Detail'!P18:P18)-FLOOR(SUM(P18:P18),Assumptions!$B$15))</f>
        <v>14056</v>
      </c>
      <c r="Q19" s="54">
        <f>IF(SUM(Q18:Q18)&lt;Assumptions!$B$15,SUM('Operational Detail'!Q18:Q18),SUM('Operational Detail'!Q18:Q18)-FLOOR(SUM(Q18:Q18),Assumptions!$B$15))</f>
        <v>40</v>
      </c>
      <c r="R19" s="54">
        <f>IF(SUM(R18:R18)&lt;Assumptions!$B$15,SUM('Operational Detail'!R18:R18),SUM('Operational Detail'!R18:R18)-FLOOR(SUM(R18:R18),Assumptions!$B$15))</f>
        <v>2024</v>
      </c>
      <c r="S19" s="54">
        <f>IF(SUM(S18:S18)&lt;Assumptions!$B$15,SUM('Operational Detail'!S18:S18),SUM('Operational Detail'!S18:S18)-FLOOR(SUM(S18:S18),Assumptions!$B$15))</f>
        <v>4016</v>
      </c>
      <c r="T19" s="54">
        <f>IF(SUM(T18:T18)&lt;Assumptions!$B$15,SUM('Operational Detail'!T18:T18),SUM('Operational Detail'!T18:T18)-FLOOR(SUM(T18:T18),Assumptions!$B$15))</f>
        <v>0</v>
      </c>
      <c r="U19" s="54">
        <f>IF(SUM(U18:U18)&lt;Assumptions!$B$15,SUM('Operational Detail'!U18:U18),SUM('Operational Detail'!U18:U18)-FLOOR(SUM(U18:U18),Assumptions!$B$15))</f>
        <v>0</v>
      </c>
      <c r="V19" s="54">
        <f>IF(SUM(V18:V18)&lt;Assumptions!$B$15,SUM('Operational Detail'!V18:V18),SUM('Operational Detail'!V18:V18)-FLOOR(SUM(V18:V18),Assumptions!$B$15))</f>
        <v>0</v>
      </c>
      <c r="W19" s="54">
        <f>IF(SUM(W18:W18)&lt;Assumptions!$B$15,SUM('Operational Detail'!W18:W18),SUM('Operational Detail'!W18:W18)-FLOOR(SUM(W18:W18),Assumptions!$B$15))</f>
        <v>0</v>
      </c>
      <c r="X19" s="54">
        <f>IF(SUM(X18:X18)&lt;Assumptions!$B$15,SUM('Operational Detail'!X18:X18),SUM('Operational Detail'!X18:X18)-FLOOR(SUM(X18:X18),Assumptions!$B$15))</f>
        <v>0</v>
      </c>
      <c r="Y19" s="54"/>
      <c r="Z19" s="54"/>
      <c r="AA19" s="54"/>
      <c r="AB19" s="54"/>
      <c r="AC19" s="43"/>
    </row>
    <row r="20" spans="1:29" ht="10.5" customHeight="1">
      <c r="B20" s="96"/>
      <c r="C20" s="6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54"/>
      <c r="Z20" s="54"/>
      <c r="AA20" s="54"/>
      <c r="AB20" s="54"/>
    </row>
    <row r="21" spans="1:29" ht="10.5" customHeight="1">
      <c r="B21" s="96" t="s">
        <v>619</v>
      </c>
      <c r="C21" s="67"/>
      <c r="D21" s="709">
        <f>+D$14*(1-D$7)*D$6</f>
        <v>0</v>
      </c>
      <c r="E21" s="709">
        <f>+E$14*(1-E$7)*E$6</f>
        <v>213236.34912</v>
      </c>
      <c r="F21" s="709">
        <f t="shared" ref="F21:S21" si="4">+F$14*(1-F$7)*F$6</f>
        <v>261317.14559999999</v>
      </c>
      <c r="G21" s="709">
        <f t="shared" si="4"/>
        <v>265688.91648000001</v>
      </c>
      <c r="H21" s="709">
        <f t="shared" si="4"/>
        <v>214030.97855999999</v>
      </c>
      <c r="I21" s="709">
        <f t="shared" si="4"/>
        <v>213467.06304000001</v>
      </c>
      <c r="J21" s="709">
        <f t="shared" si="4"/>
        <v>217257.70751999997</v>
      </c>
      <c r="K21" s="709">
        <f t="shared" si="4"/>
        <v>214116.25536000001</v>
      </c>
      <c r="L21" s="709">
        <f t="shared" si="4"/>
        <v>213561.20447999999</v>
      </c>
      <c r="M21" s="709">
        <f t="shared" si="4"/>
        <v>215570.31552000003</v>
      </c>
      <c r="N21" s="709">
        <f t="shared" si="4"/>
        <v>215006.4</v>
      </c>
      <c r="O21" s="709">
        <f t="shared" si="4"/>
        <v>214442.48447999998</v>
      </c>
      <c r="P21" s="709">
        <f t="shared" si="4"/>
        <v>185891.47488000002</v>
      </c>
      <c r="Q21" s="709">
        <f t="shared" si="4"/>
        <v>189206.53920000003</v>
      </c>
      <c r="R21" s="709">
        <f t="shared" si="4"/>
        <v>188737.28352</v>
      </c>
      <c r="S21" s="709">
        <f t="shared" si="4"/>
        <v>190845.12383999999</v>
      </c>
      <c r="T21" s="709">
        <f>IF(T14=0,0,+T$14*(1-T$7)*T$6)</f>
        <v>0</v>
      </c>
      <c r="U21" s="709">
        <f>IF(U14=0,0,+U$14*(1-U$7)*U$6)</f>
        <v>0</v>
      </c>
      <c r="V21" s="709">
        <f>IF(V14=0,0,+V$14*(1-V$7)*V$6)</f>
        <v>0</v>
      </c>
      <c r="W21" s="709">
        <f>IF(W14=0,0,+W$14*(1-W$7)*W$6)</f>
        <v>0</v>
      </c>
      <c r="X21" s="709">
        <f>IF(X14=0,0,+X$14*(1-X$7)*X$6)</f>
        <v>0</v>
      </c>
      <c r="Y21" s="54"/>
      <c r="Z21" s="54"/>
      <c r="AA21" s="54"/>
      <c r="AB21" s="54"/>
    </row>
    <row r="22" spans="1:29" ht="10.5" customHeight="1">
      <c r="B22" s="67"/>
      <c r="C22" s="6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25"/>
      <c r="Z22" s="25"/>
      <c r="AA22" s="25"/>
      <c r="AB22" s="25"/>
    </row>
    <row r="23" spans="1:29" ht="10.5" customHeight="1">
      <c r="B23" s="710" t="s">
        <v>457</v>
      </c>
      <c r="C23" s="6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25"/>
      <c r="Z23" s="25"/>
      <c r="AA23" s="25"/>
      <c r="AB23" s="25"/>
    </row>
    <row r="24" spans="1:29" ht="10.5" customHeight="1">
      <c r="B24" s="92" t="s">
        <v>764</v>
      </c>
      <c r="C24" s="6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25"/>
      <c r="Z24" s="25"/>
      <c r="AA24" s="25"/>
      <c r="AB24" s="25"/>
    </row>
    <row r="25" spans="1:29" s="214" customFormat="1" ht="10.5" customHeight="1">
      <c r="B25" s="98" t="s">
        <v>455</v>
      </c>
      <c r="C25" s="78"/>
      <c r="D25" s="55">
        <f>IF(D$21=0,0,SUMIF('Monthly Table'!$CR:$CR,YEAR('Operational Detail'!D$2),'Monthly Table'!$AL:$AL)/COUNTIF('Monthly Table'!$CR:$CR,YEAR(D$2)))</f>
        <v>0</v>
      </c>
      <c r="E25" s="55">
        <f>IF(E21=0,0,SUMIF('Monthly Table'!$CR:$CR,YEAR('Operational Detail'!E$2),'Monthly Table'!$AL:$AL)/COUNTIF('Monthly Table'!$CR:$CR,YEAR(E$2)))</f>
        <v>170.64579427613936</v>
      </c>
      <c r="F25" s="55">
        <f>IF(F21=0,0,SUMIF('Monthly Table'!$CR:$CR,YEAR('Operational Detail'!F$2),'Monthly Table'!$AL:$AL)/COUNTIF('Monthly Table'!$CR:$CR,YEAR(F$2)))</f>
        <v>111.18989700647056</v>
      </c>
      <c r="G25" s="55">
        <f>IF(G21=0,0,SUMIF('Monthly Table'!$CR:$CR,YEAR('Operational Detail'!G$2),'Monthly Table'!$AL:$AL)/COUNTIF('Monthly Table'!$CR:$CR,YEAR(G$2)))</f>
        <v>99.644153743705289</v>
      </c>
      <c r="H25" s="55">
        <f>IF(H21=0,0,SUMIF('Monthly Table'!$CR:$CR,YEAR('Operational Detail'!H$2),'Monthly Table'!$AL:$AL)/COUNTIF('Monthly Table'!$CR:$CR,YEAR(H$2)))</f>
        <v>105.74147988005178</v>
      </c>
      <c r="I25" s="55">
        <f>IF(I21=0,0,SUMIF('Monthly Table'!$CR:$CR,YEAR('Operational Detail'!I$2),'Monthly Table'!$AL:$AL)/COUNTIF('Monthly Table'!$CR:$CR,YEAR(I$2)))</f>
        <v>100.81740673431993</v>
      </c>
      <c r="J25" s="55">
        <f>IF(J21=0,0,SUMIF('Monthly Table'!$CR:$CR,YEAR('Operational Detail'!J$2),'Monthly Table'!$AL:$AL)/COUNTIF('Monthly Table'!$CR:$CR,YEAR(J$2)))</f>
        <v>105.09974795941743</v>
      </c>
      <c r="K25" s="55">
        <f>IF(K21=0,0,SUMIF('Monthly Table'!$CR:$CR,YEAR('Operational Detail'!K$2),'Monthly Table'!$AL:$AL)/COUNTIF('Monthly Table'!$CR:$CR,YEAR(K$2)))</f>
        <v>109.39510790596148</v>
      </c>
      <c r="L25" s="55">
        <f>IF(L21=0,0,SUMIF('Monthly Table'!$CR:$CR,YEAR('Operational Detail'!L$2),'Monthly Table'!$AL:$AL)/COUNTIF('Monthly Table'!$CR:$CR,YEAR(L$2)))</f>
        <v>113.70276718764062</v>
      </c>
      <c r="M25" s="55">
        <f>IF(M21=0,0,SUMIF('Monthly Table'!$CR:$CR,YEAR('Operational Detail'!M$2),'Monthly Table'!$AL:$AL)/COUNTIF('Monthly Table'!$CR:$CR,YEAR(M$2)))</f>
        <v>118.02207159964603</v>
      </c>
      <c r="N25" s="55">
        <f>IF(N21=0,0,SUMIF('Monthly Table'!$CR:$CR,YEAR('Operational Detail'!N$2),'Monthly Table'!$AL:$AL)/COUNTIF('Monthly Table'!$CR:$CR,YEAR(N$2)))</f>
        <v>122.35242405246231</v>
      </c>
      <c r="O25" s="55">
        <f>IF(O21=0,0,SUMIF('Monthly Table'!$CR:$CR,YEAR('Operational Detail'!O$2),'Monthly Table'!$AL:$AL)/COUNTIF('Monthly Table'!$CR:$CR,YEAR(O$2)))</f>
        <v>126.69327775258084</v>
      </c>
      <c r="P25" s="55">
        <f>IF(P21=0,0,SUMIF('Monthly Table'!$CR:$CR,YEAR('Operational Detail'!P$2),'Monthly Table'!$AL:$AL)/COUNTIF('Monthly Table'!$CR:$CR,YEAR(P$2)))</f>
        <v>131.04413040162393</v>
      </c>
      <c r="Q25" s="55">
        <f>IF(Q21=0,0,SUMIF('Monthly Table'!$CR:$CR,YEAR('Operational Detail'!Q$2),'Monthly Table'!$AL:$AL)/COUNTIF('Monthly Table'!$CR:$CR,YEAR(Q$2)))</f>
        <v>135.4045192333522</v>
      </c>
      <c r="R25" s="55">
        <f>IF(R21=0,0,SUMIF('Monthly Table'!$CR:$CR,YEAR('Operational Detail'!R$2),'Monthly Table'!$AL:$AL)/COUNTIF('Monthly Table'!$CR:$CR,YEAR(R$2)))</f>
        <v>139.77401674473651</v>
      </c>
      <c r="S25" s="55">
        <f>IF(S21=0,0,SUMIF('Monthly Table'!$CR:$CR,YEAR('Operational Detail'!S$2),'Monthly Table'!$AL:$AL)/COUNTIF('Monthly Table'!$CR:$CR,YEAR(S$2)))</f>
        <v>144.15222700562325</v>
      </c>
      <c r="T25" s="55">
        <f>IF(T21=0,0,SUMIF('Monthly Table'!$CR:$CR,YEAR('Operational Detail'!T$2),'Monthly Table'!$AL:$AL)/COUNTIF('Monthly Table'!$CR:$CR,YEAR(T$2)))</f>
        <v>0</v>
      </c>
      <c r="U25" s="55">
        <f>IF(U21=0,0,SUMIF('Monthly Table'!$CR:$CR,YEAR('Operational Detail'!U$2),'Monthly Table'!$AL:$AL)/COUNTIF('Monthly Table'!$CR:$CR,YEAR(U$2)))</f>
        <v>0</v>
      </c>
      <c r="V25" s="55">
        <f>IF(V21=0,0,SUMIF('Monthly Table'!$CR:$CR,YEAR('Operational Detail'!V$2),'Monthly Table'!$AL:$AL)/COUNTIF('Monthly Table'!$CR:$CR,YEAR(V$2)))</f>
        <v>0</v>
      </c>
      <c r="W25" s="55">
        <f>IF(W21=0,0,SUMIF('Monthly Table'!$CR:$CR,YEAR('Operational Detail'!W$2),'Monthly Table'!$AL:$AL)/COUNTIF('Monthly Table'!$CR:$CR,YEAR(W$2)))</f>
        <v>0</v>
      </c>
      <c r="X25" s="55">
        <f>IF(X21=0,0,SUMIF('Monthly Table'!$CR:$CR,YEAR('Operational Detail'!X$2),'Monthly Table'!$AL:$AL)/COUNTIF('Monthly Table'!$CR:$CR,YEAR(X$2)))</f>
        <v>0</v>
      </c>
      <c r="Y25" s="55"/>
      <c r="Z25" s="55"/>
      <c r="AA25" s="55"/>
      <c r="AB25" s="55"/>
      <c r="AC25" s="43"/>
    </row>
    <row r="26" spans="1:29" s="214" customFormat="1" ht="10.5" customHeight="1">
      <c r="B26" s="98" t="s">
        <v>454</v>
      </c>
      <c r="C26" s="78"/>
      <c r="D26" s="55">
        <f>INDEX(fxcurve,MATCH(D$3,FX!$F$2:$F$28,0),MATCH("Annual Average",FX!$F$2:$G$2,0))</f>
        <v>1.448419756899828</v>
      </c>
      <c r="E26" s="55">
        <f>INDEX(fxcurve,MATCH(E3,FX!$F$2:$F$28,0),MATCH("Annual Average",FX!$F$2:$G$2,0))</f>
        <v>1.4371112386416593</v>
      </c>
      <c r="F26" s="55">
        <f>INDEX(fxcurve,MATCH(F3,FX!$F$2:$F$28,0),MATCH("Annual Average",FX!$F$2:$G$2,0))</f>
        <v>1.4262562557458309</v>
      </c>
      <c r="G26" s="55">
        <f>INDEX(fxcurve,MATCH(G$3,FX!$F$2:$F$28,0),MATCH("Annual Average",FX!$F$2:$G$2,0))</f>
        <v>1.4140742774701416</v>
      </c>
      <c r="H26" s="55">
        <f>INDEX(fxcurve,MATCH(H3,FX!$F$2:$F$28,0),MATCH("Annual Average",FX!$F$2:$G$2,0))</f>
        <v>1.4001862851214766</v>
      </c>
      <c r="I26" s="55">
        <f>INDEX(fxcurve,MATCH(I3,FX!$F$2:$F$28,0),MATCH("Annual Average",FX!$F$2:$G$2,0))</f>
        <v>1.3825442094226041</v>
      </c>
      <c r="J26" s="55">
        <f>INDEX(fxcurve,MATCH(J3,FX!$F$2:$F$28,0),MATCH("Annual Average",FX!$F$2:$G$2,0))</f>
        <v>1.3691933935263132</v>
      </c>
      <c r="K26" s="55">
        <f>INDEX(fxcurve,MATCH(K3,FX!$F$2:$F$28,0),MATCH("Annual Average",FX!$F$2:$G$2,0))</f>
        <v>1.3567243341672643</v>
      </c>
      <c r="L26" s="55">
        <f>INDEX(fxcurve,MATCH(L3,FX!$F$2:$F$28,0),MATCH("Annual Average",FX!$F$2:$G$2,0))</f>
        <v>1.3458119116935789</v>
      </c>
      <c r="M26" s="55">
        <f>INDEX(fxcurve,MATCH(M3,FX!$F$2:$F$28,0),MATCH("Annual Average",FX!$F$2:$G$2,0))</f>
        <v>1.3355676432082113</v>
      </c>
      <c r="N26" s="55">
        <f>INDEX(fxcurve,MATCH(N3,FX!$F$2:$F$28,0),MATCH("Annual Average",FX!$F$2:$G$2,0))</f>
        <v>1.3256144653012283</v>
      </c>
      <c r="O26" s="55">
        <f>INDEX(fxcurve,MATCH(O3,FX!$F$2:$F$28,0),MATCH("Annual Average",FX!$F$2:$G$2,0))</f>
        <v>1.3153109772453393</v>
      </c>
      <c r="P26" s="55">
        <f>INDEX(fxcurve,MATCH(P3,FX!$F$2:$F$28,0),MATCH("Annual Average",FX!$F$2:$G$2,0))</f>
        <v>1.3052784236635901</v>
      </c>
      <c r="Q26" s="55">
        <f>INDEX(fxcurve,MATCH(Q3,FX!$F$2:$F$28,0),MATCH("Annual Average",FX!$F$2:$G$2,0))</f>
        <v>1.2955998053801068</v>
      </c>
      <c r="R26" s="55">
        <f>INDEX(fxcurve,MATCH(R3,FX!$F$2:$F$28,0),MATCH("Annual Average",FX!$F$2:$G$2,0))</f>
        <v>1.2862545492810176</v>
      </c>
      <c r="S26" s="55">
        <f>INDEX(fxcurve,MATCH(S3,FX!$F$2:$F$28,0),MATCH("Annual Average",FX!$F$2:$G$2,0))</f>
        <v>1.2774996255124191</v>
      </c>
      <c r="T26" s="55">
        <f>INDEX(fxcurve,MATCH(T3,FX!$F$2:$F$28,0),MATCH("Annual Average",FX!$F$2:$G$2,0))</f>
        <v>1.2699034289925668</v>
      </c>
      <c r="U26" s="55">
        <f>INDEX(fxcurve,MATCH(U3,FX!$F$2:$F$28,0),MATCH("Annual Average",FX!$F$2:$G$2,0))</f>
        <v>1.2628110343846066</v>
      </c>
      <c r="V26" s="55">
        <f>INDEX(fxcurve,MATCH(V3,FX!$F$2:$F$28,0),MATCH("Annual Average",FX!$F$2:$G$2,0))</f>
        <v>1.256154552542575</v>
      </c>
      <c r="W26" s="55">
        <f>INDEX(fxcurve,MATCH(W3,FX!$F$2:$F$28,0),MATCH("Annual Average",FX!$F$2:$G$2,0))</f>
        <v>1.2499240862579284</v>
      </c>
      <c r="X26" s="55">
        <f>INDEX(fxcurve,MATCH(X3,FX!$F$2:$F$28,0),MATCH("Annual Average",FX!$F$2:$G$2,0))</f>
        <v>1.2422839673732373</v>
      </c>
      <c r="Y26" s="55"/>
      <c r="Z26" s="55"/>
      <c r="AA26" s="55"/>
      <c r="AB26" s="55"/>
      <c r="AC26" s="43"/>
    </row>
    <row r="27" spans="1:29" s="214" customFormat="1" ht="10.5" customHeight="1">
      <c r="B27" s="98" t="s">
        <v>456</v>
      </c>
      <c r="C27" s="78"/>
      <c r="D27" s="55">
        <f>D25*D26</f>
        <v>0</v>
      </c>
      <c r="E27" s="55">
        <f t="shared" ref="E27:X27" si="5">E25*E26</f>
        <v>245.23698878117241</v>
      </c>
      <c r="F27" s="55">
        <f t="shared" si="5"/>
        <v>158.58528618121326</v>
      </c>
      <c r="G27" s="55">
        <f t="shared" si="5"/>
        <v>140.90423470925376</v>
      </c>
      <c r="H27" s="55">
        <f t="shared" si="5"/>
        <v>148.05776989649706</v>
      </c>
      <c r="I27" s="55">
        <f t="shared" si="5"/>
        <v>139.38452188953747</v>
      </c>
      <c r="J27" s="55">
        <f t="shared" si="5"/>
        <v>143.90188056731495</v>
      </c>
      <c r="K27" s="55">
        <f t="shared" si="5"/>
        <v>148.41900493487162</v>
      </c>
      <c r="L27" s="55">
        <f t="shared" si="5"/>
        <v>153.02253847364855</v>
      </c>
      <c r="M27" s="55">
        <f t="shared" si="5"/>
        <v>157.62646001289002</v>
      </c>
      <c r="N27" s="55">
        <f t="shared" si="5"/>
        <v>162.19214318861398</v>
      </c>
      <c r="O27" s="55">
        <f t="shared" si="5"/>
        <v>166.64105897116232</v>
      </c>
      <c r="P27" s="55">
        <f t="shared" si="5"/>
        <v>171.04907596099764</v>
      </c>
      <c r="Q27" s="55">
        <f t="shared" si="5"/>
        <v>175.43006876631804</v>
      </c>
      <c r="R27" s="55">
        <f t="shared" si="5"/>
        <v>179.78496490919846</v>
      </c>
      <c r="S27" s="55">
        <f t="shared" si="5"/>
        <v>184.15441601646492</v>
      </c>
      <c r="T27" s="55">
        <f t="shared" si="5"/>
        <v>0</v>
      </c>
      <c r="U27" s="55">
        <f t="shared" si="5"/>
        <v>0</v>
      </c>
      <c r="V27" s="55">
        <f t="shared" si="5"/>
        <v>0</v>
      </c>
      <c r="W27" s="55">
        <f t="shared" si="5"/>
        <v>0</v>
      </c>
      <c r="X27" s="55">
        <f t="shared" si="5"/>
        <v>0</v>
      </c>
      <c r="Y27" s="55"/>
      <c r="Z27" s="55"/>
      <c r="AA27" s="55"/>
      <c r="AB27" s="55"/>
      <c r="AC27" s="43"/>
    </row>
    <row r="28" spans="1:29" s="214" customFormat="1" ht="10.5" customHeight="1">
      <c r="B28" s="98"/>
      <c r="C28" s="78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43"/>
    </row>
    <row r="29" spans="1:29" s="214" customFormat="1" ht="10.5" customHeight="1">
      <c r="B29" s="199" t="s">
        <v>757</v>
      </c>
      <c r="C29" s="78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43"/>
    </row>
    <row r="30" spans="1:29" s="214" customFormat="1" ht="10.5" customHeight="1">
      <c r="B30" s="98" t="s">
        <v>455</v>
      </c>
      <c r="C30" s="78"/>
      <c r="D30" s="55">
        <f>IF(D$21=0,0,SUMIF('Monthly Table'!$CS:$CS,YEAR('Operational Detail'!D$2),'Monthly Table'!$AQ:$AQ)/COUNTIF('Monthly Table'!$CS:$CS,YEAR(D$2)))</f>
        <v>0</v>
      </c>
      <c r="E30" s="55" t="e">
        <f>IF(E$21=0,0,SUMIF('Monthly Table'!$CS:$CS,YEAR('Operational Detail'!E$2),'Monthly Table'!$AQ:$AQ)/COUNTIF('Monthly Table'!$CS:$CS,YEAR(E$2)))</f>
        <v>#DIV/0!</v>
      </c>
      <c r="F30" s="55" t="e">
        <f>IF(F$21=0,0,SUMIF('Monthly Table'!$CS:$CS,YEAR('Operational Detail'!F$2),'Monthly Table'!$AQ:$AQ)/COUNTIF('Monthly Table'!$CS:$CS,YEAR(F$2)))</f>
        <v>#DIV/0!</v>
      </c>
      <c r="G30" s="55" t="e">
        <f>IF(G$21=0,0,SUMIF('Monthly Table'!$CS:$CS,YEAR('Operational Detail'!G$2),'Monthly Table'!$AQ:$AQ)/COUNTIF('Monthly Table'!$CS:$CS,YEAR(G$2)))</f>
        <v>#DIV/0!</v>
      </c>
      <c r="H30" s="55" t="e">
        <f>IF(H$21=0,0,SUMIF('Monthly Table'!$CS:$CS,YEAR('Operational Detail'!H$2),'Monthly Table'!$AQ:$AQ)/COUNTIF('Monthly Table'!$CS:$CS,YEAR(H$2)))</f>
        <v>#DIV/0!</v>
      </c>
      <c r="I30" s="55" t="e">
        <f>IF(I$21=0,0,SUMIF('Monthly Table'!$CS:$CS,YEAR('Operational Detail'!I$2),'Monthly Table'!$AQ:$AQ)/COUNTIF('Monthly Table'!$CS:$CS,YEAR(I$2)))</f>
        <v>#DIV/0!</v>
      </c>
      <c r="J30" s="55" t="e">
        <f>IF(J$21=0,0,SUMIF('Monthly Table'!$CS:$CS,YEAR('Operational Detail'!J$2),'Monthly Table'!$AQ:$AQ)/COUNTIF('Monthly Table'!$CS:$CS,YEAR(J$2)))</f>
        <v>#DIV/0!</v>
      </c>
      <c r="K30" s="55" t="e">
        <f>IF(K$21=0,0,SUMIF('Monthly Table'!$CS:$CS,YEAR('Operational Detail'!K$2),'Monthly Table'!$AQ:$AQ)/COUNTIF('Monthly Table'!$CS:$CS,YEAR(K$2)))</f>
        <v>#DIV/0!</v>
      </c>
      <c r="L30" s="55" t="e">
        <f>IF(L$21=0,0,SUMIF('Monthly Table'!$CS:$CS,YEAR('Operational Detail'!L$2),'Monthly Table'!$AQ:$AQ)/COUNTIF('Monthly Table'!$CS:$CS,YEAR(L$2)))</f>
        <v>#DIV/0!</v>
      </c>
      <c r="M30" s="55" t="e">
        <f>IF(M$21=0,0,SUMIF('Monthly Table'!$CS:$CS,YEAR('Operational Detail'!M$2),'Monthly Table'!$AQ:$AQ)/COUNTIF('Monthly Table'!$CS:$CS,YEAR(M$2)))</f>
        <v>#DIV/0!</v>
      </c>
      <c r="N30" s="55" t="e">
        <f>IF(N$21=0,0,SUMIF('Monthly Table'!$CS:$CS,YEAR('Operational Detail'!N$2),'Monthly Table'!$AQ:$AQ)/COUNTIF('Monthly Table'!$CS:$CS,YEAR(N$2)))</f>
        <v>#DIV/0!</v>
      </c>
      <c r="O30" s="55" t="e">
        <f>IF(O$21=0,0,SUMIF('Monthly Table'!$CS:$CS,YEAR('Operational Detail'!O$2),'Monthly Table'!$AQ:$AQ)/COUNTIF('Monthly Table'!$CS:$CS,YEAR(O$2)))</f>
        <v>#DIV/0!</v>
      </c>
      <c r="P30" s="55" t="e">
        <f>IF(P$21=0,0,SUMIF('Monthly Table'!$CS:$CS,YEAR('Operational Detail'!P$2),'Monthly Table'!$AQ:$AQ)/COUNTIF('Monthly Table'!$CS:$CS,YEAR(P$2)))</f>
        <v>#DIV/0!</v>
      </c>
      <c r="Q30" s="55" t="e">
        <f>IF(Q$21=0,0,SUMIF('Monthly Table'!$CS:$CS,YEAR('Operational Detail'!Q$2),'Monthly Table'!$AQ:$AQ)/COUNTIF('Monthly Table'!$CS:$CS,YEAR(Q$2)))</f>
        <v>#DIV/0!</v>
      </c>
      <c r="R30" s="55" t="e">
        <f>IF(R$21=0,0,SUMIF('Monthly Table'!$CS:$CS,YEAR('Operational Detail'!R$2),'Monthly Table'!$AQ:$AQ)/COUNTIF('Monthly Table'!$CS:$CS,YEAR(R$2)))</f>
        <v>#DIV/0!</v>
      </c>
      <c r="S30" s="55" t="e">
        <f>IF(S$21=0,0,SUMIF('Monthly Table'!$CS:$CS,YEAR('Operational Detail'!S$2),'Monthly Table'!$AQ:$AQ)/COUNTIF('Monthly Table'!$CS:$CS,YEAR(S$2)))</f>
        <v>#DIV/0!</v>
      </c>
      <c r="T30" s="55">
        <f>IF(T$21=0,0,SUMIF('Monthly Table'!$CS:$CS,YEAR('Operational Detail'!T$2),'Monthly Table'!$AQ:$AQ)/COUNTIF('Monthly Table'!$CS:$CS,YEAR(T$2)))</f>
        <v>0</v>
      </c>
      <c r="U30" s="55">
        <f>IF(U$21=0,0,SUMIF('Monthly Table'!$CS:$CS,YEAR('Operational Detail'!U$2),'Monthly Table'!$AQ:$AQ)/COUNTIF('Monthly Table'!$CS:$CS,YEAR(U$2)))</f>
        <v>0</v>
      </c>
      <c r="V30" s="55">
        <f>IF(V$21=0,0,SUMIF('Monthly Table'!$CS:$CS,YEAR('Operational Detail'!V$2),'Monthly Table'!$AQ:$AQ)/COUNTIF('Monthly Table'!$CS:$CS,YEAR(V$2)))</f>
        <v>0</v>
      </c>
      <c r="W30" s="55">
        <f>IF(W$21=0,0,SUMIF('Monthly Table'!$CS:$CS,YEAR('Operational Detail'!W$2),'Monthly Table'!$AQ:$AQ)/COUNTIF('Monthly Table'!$CS:$CS,YEAR(W$2)))</f>
        <v>0</v>
      </c>
      <c r="X30" s="55">
        <f>IF(X$21=0,0,SUMIF('Monthly Table'!$CS:$CS,YEAR('Operational Detail'!X$2),'Monthly Table'!$AQ:$AQ)/COUNTIF('Monthly Table'!$CS:$CS,YEAR(X$2)))</f>
        <v>0</v>
      </c>
      <c r="Y30" s="55"/>
      <c r="Z30" s="55"/>
      <c r="AA30" s="55"/>
      <c r="AB30" s="55"/>
      <c r="AC30" s="43"/>
    </row>
    <row r="31" spans="1:29" s="214" customFormat="1" ht="10.5" customHeight="1">
      <c r="B31" s="98" t="s">
        <v>454</v>
      </c>
      <c r="C31" s="78"/>
      <c r="D31" s="55">
        <f>INDEX(fxcurve,MATCH(D$3,FX!$F$2:$F$28,0),MATCH("Annual Average",FX!$F$2:$G$2,0))</f>
        <v>1.448419756899828</v>
      </c>
      <c r="E31" s="55">
        <f>INDEX(fxcurve,MATCH(E$3,FX!$F$2:$F$28,0),MATCH("Annual Average",FX!$F$2:$G$2,0))</f>
        <v>1.4371112386416593</v>
      </c>
      <c r="F31" s="55">
        <f>INDEX(fxcurve,MATCH(F$3,FX!$F$2:$F$28,0),MATCH("Annual Average",FX!$F$2:$G$2,0))</f>
        <v>1.4262562557458309</v>
      </c>
      <c r="G31" s="55">
        <f>INDEX(fxcurve,MATCH(G$3,FX!$F$2:$F$28,0),MATCH("Annual Average",FX!$F$2:$G$2,0))</f>
        <v>1.4140742774701416</v>
      </c>
      <c r="H31" s="55">
        <f>INDEX(fxcurve,MATCH(H$3,FX!$F$2:$F$28,0),MATCH("Annual Average",FX!$F$2:$G$2,0))</f>
        <v>1.4001862851214766</v>
      </c>
      <c r="I31" s="55">
        <f>INDEX(fxcurve,MATCH(I$3,FX!$F$2:$F$28,0),MATCH("Annual Average",FX!$F$2:$G$2,0))</f>
        <v>1.3825442094226041</v>
      </c>
      <c r="J31" s="55">
        <f>INDEX(fxcurve,MATCH(J$3,FX!$F$2:$F$28,0),MATCH("Annual Average",FX!$F$2:$G$2,0))</f>
        <v>1.3691933935263132</v>
      </c>
      <c r="K31" s="55">
        <f>INDEX(fxcurve,MATCH(K$3,FX!$F$2:$F$28,0),MATCH("Annual Average",FX!$F$2:$G$2,0))</f>
        <v>1.3567243341672643</v>
      </c>
      <c r="L31" s="55">
        <f>INDEX(fxcurve,MATCH(L$3,FX!$F$2:$F$28,0),MATCH("Annual Average",FX!$F$2:$G$2,0))</f>
        <v>1.3458119116935789</v>
      </c>
      <c r="M31" s="55">
        <f>INDEX(fxcurve,MATCH(M$3,FX!$F$2:$F$28,0),MATCH("Annual Average",FX!$F$2:$G$2,0))</f>
        <v>1.3355676432082113</v>
      </c>
      <c r="N31" s="55">
        <f>INDEX(fxcurve,MATCH(N$3,FX!$F$2:$F$28,0),MATCH("Annual Average",FX!$F$2:$G$2,0))</f>
        <v>1.3256144653012283</v>
      </c>
      <c r="O31" s="55">
        <f>INDEX(fxcurve,MATCH(O$3,FX!$F$2:$F$28,0),MATCH("Annual Average",FX!$F$2:$G$2,0))</f>
        <v>1.3153109772453393</v>
      </c>
      <c r="P31" s="55">
        <f>INDEX(fxcurve,MATCH(P$3,FX!$F$2:$F$28,0),MATCH("Annual Average",FX!$F$2:$G$2,0))</f>
        <v>1.3052784236635901</v>
      </c>
      <c r="Q31" s="55">
        <f>INDEX(fxcurve,MATCH(Q$3,FX!$F$2:$F$28,0),MATCH("Annual Average",FX!$F$2:$G$2,0))</f>
        <v>1.2955998053801068</v>
      </c>
      <c r="R31" s="55">
        <f>INDEX(fxcurve,MATCH(R$3,FX!$F$2:$F$28,0),MATCH("Annual Average",FX!$F$2:$G$2,0))</f>
        <v>1.2862545492810176</v>
      </c>
      <c r="S31" s="55">
        <f>INDEX(fxcurve,MATCH(S$3,FX!$F$2:$F$28,0),MATCH("Annual Average",FX!$F$2:$G$2,0))</f>
        <v>1.2774996255124191</v>
      </c>
      <c r="T31" s="55">
        <f>INDEX(fxcurve,MATCH(T$3,FX!$F$2:$F$28,0),MATCH("Annual Average",FX!$F$2:$G$2,0))</f>
        <v>1.2699034289925668</v>
      </c>
      <c r="U31" s="55">
        <f>INDEX(fxcurve,MATCH(U$3,FX!$F$2:$F$28,0),MATCH("Annual Average",FX!$F$2:$G$2,0))</f>
        <v>1.2628110343846066</v>
      </c>
      <c r="V31" s="55">
        <f>INDEX(fxcurve,MATCH(V$3,FX!$F$2:$F$28,0),MATCH("Annual Average",FX!$F$2:$G$2,0))</f>
        <v>1.256154552542575</v>
      </c>
      <c r="W31" s="55">
        <f>INDEX(fxcurve,MATCH(W$3,FX!$F$2:$F$28,0),MATCH("Annual Average",FX!$F$2:$G$2,0))</f>
        <v>1.2499240862579284</v>
      </c>
      <c r="X31" s="55">
        <f>INDEX(fxcurve,MATCH(X$3,FX!$F$2:$F$28,0),MATCH("Annual Average",FX!$F$2:$G$2,0))</f>
        <v>1.2422839673732373</v>
      </c>
      <c r="Y31" s="55"/>
      <c r="Z31" s="55"/>
      <c r="AA31" s="55"/>
      <c r="AB31" s="55"/>
      <c r="AC31" s="43"/>
    </row>
    <row r="32" spans="1:29" s="214" customFormat="1" ht="10.5" customHeight="1">
      <c r="B32" s="98" t="s">
        <v>456</v>
      </c>
      <c r="C32" s="78"/>
      <c r="D32" s="55">
        <f>D30*D31</f>
        <v>0</v>
      </c>
      <c r="E32" s="55" t="e">
        <f t="shared" ref="E32:X32" si="6">E30*E31</f>
        <v>#DIV/0!</v>
      </c>
      <c r="F32" s="55" t="e">
        <f t="shared" si="6"/>
        <v>#DIV/0!</v>
      </c>
      <c r="G32" s="55" t="e">
        <f t="shared" si="6"/>
        <v>#DIV/0!</v>
      </c>
      <c r="H32" s="55" t="e">
        <f t="shared" si="6"/>
        <v>#DIV/0!</v>
      </c>
      <c r="I32" s="55" t="e">
        <f t="shared" si="6"/>
        <v>#DIV/0!</v>
      </c>
      <c r="J32" s="55" t="e">
        <f t="shared" si="6"/>
        <v>#DIV/0!</v>
      </c>
      <c r="K32" s="55" t="e">
        <f t="shared" si="6"/>
        <v>#DIV/0!</v>
      </c>
      <c r="L32" s="55" t="e">
        <f t="shared" si="6"/>
        <v>#DIV/0!</v>
      </c>
      <c r="M32" s="55" t="e">
        <f t="shared" si="6"/>
        <v>#DIV/0!</v>
      </c>
      <c r="N32" s="55" t="e">
        <f t="shared" si="6"/>
        <v>#DIV/0!</v>
      </c>
      <c r="O32" s="55" t="e">
        <f t="shared" si="6"/>
        <v>#DIV/0!</v>
      </c>
      <c r="P32" s="55" t="e">
        <f t="shared" si="6"/>
        <v>#DIV/0!</v>
      </c>
      <c r="Q32" s="55" t="e">
        <f t="shared" si="6"/>
        <v>#DIV/0!</v>
      </c>
      <c r="R32" s="55" t="e">
        <f t="shared" si="6"/>
        <v>#DIV/0!</v>
      </c>
      <c r="S32" s="55" t="e">
        <f t="shared" si="6"/>
        <v>#DIV/0!</v>
      </c>
      <c r="T32" s="55">
        <f t="shared" si="6"/>
        <v>0</v>
      </c>
      <c r="U32" s="55">
        <f t="shared" si="6"/>
        <v>0</v>
      </c>
      <c r="V32" s="55">
        <f t="shared" si="6"/>
        <v>0</v>
      </c>
      <c r="W32" s="55">
        <f t="shared" si="6"/>
        <v>0</v>
      </c>
      <c r="X32" s="55">
        <f t="shared" si="6"/>
        <v>0</v>
      </c>
      <c r="Y32" s="55"/>
      <c r="Z32" s="55"/>
      <c r="AA32" s="55"/>
      <c r="AB32" s="55"/>
      <c r="AC32" s="43"/>
    </row>
    <row r="33" spans="2:29" s="214" customFormat="1" ht="10.5" customHeight="1">
      <c r="B33" s="98"/>
      <c r="C33" s="78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43"/>
    </row>
    <row r="34" spans="2:29" s="214" customFormat="1" ht="10.5" customHeight="1">
      <c r="B34" s="199" t="s">
        <v>760</v>
      </c>
      <c r="C34" s="78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43"/>
    </row>
    <row r="35" spans="2:29" s="214" customFormat="1" ht="10.5" customHeight="1">
      <c r="B35" s="98" t="s">
        <v>455</v>
      </c>
      <c r="C35" s="78"/>
      <c r="D35" s="55">
        <f>IF(D$10=0,0,SUMIF('Monthly Table'!$CT:$CT,YEAR('Operational Detail'!D$2),'Monthly Table'!$AU:$AU)/COUNTIF('Monthly Table'!$CT:$CT,YEAR(D$2)))</f>
        <v>0</v>
      </c>
      <c r="E35" s="55">
        <f>IF(E$10=0,0,SUMIF('Monthly Table'!$CT:$CT,YEAR('Operational Detail'!E$2),'Monthly Table'!$AU:$AU)/COUNTIF('Monthly Table'!$CT:$CT,YEAR(E$2)))</f>
        <v>60.645684807108339</v>
      </c>
      <c r="F35" s="55">
        <f>IF(F$10=0,0,SUMIF('Monthly Table'!$CT:$CT,YEAR('Operational Detail'!F$2),'Monthly Table'!$AU:$AU)/COUNTIF('Monthly Table'!$CT:$CT,YEAR(F$2)))</f>
        <v>59.093116779004191</v>
      </c>
      <c r="G35" s="55">
        <f>IF(G$10=0,0,SUMIF('Monthly Table'!$CT:$CT,YEAR('Operational Detail'!G$2),'Monthly Table'!$AU:$AU)/COUNTIF('Monthly Table'!$CT:$CT,YEAR(G$2)))</f>
        <v>58.279677730686792</v>
      </c>
      <c r="H35" s="55">
        <f>IF(H$10=0,0,SUMIF('Monthly Table'!$CT:$CT,YEAR('Operational Detail'!H$2),'Monthly Table'!$AU:$AU)/COUNTIF('Monthly Table'!$CT:$CT,YEAR(H$2)))</f>
        <v>57.467073542215282</v>
      </c>
      <c r="I35" s="55">
        <f>IF(I$10=0,0,SUMIF('Monthly Table'!$CT:$CT,YEAR('Operational Detail'!I$2),'Monthly Table'!$AU:$AU)/COUNTIF('Monthly Table'!$CT:$CT,YEAR(I$2)))</f>
        <v>57.063614949680812</v>
      </c>
      <c r="J35" s="55">
        <f>IF(J$10=0,0,SUMIF('Monthly Table'!$CT:$CT,YEAR('Operational Detail'!J$2),'Monthly Table'!$AU:$AU)/COUNTIF('Monthly Table'!$CT:$CT,YEAR(J$2)))</f>
        <v>57.36889112495728</v>
      </c>
      <c r="K35" s="55">
        <f>IF(K$10=0,0,SUMIF('Monthly Table'!$CT:$CT,YEAR('Operational Detail'!K$2),'Monthly Table'!$AU:$AU)/COUNTIF('Monthly Table'!$CT:$CT,YEAR(K$2)))</f>
        <v>57.658384631337071</v>
      </c>
      <c r="L35" s="55">
        <f>IF(L$10=0,0,SUMIF('Monthly Table'!$CT:$CT,YEAR('Operational Detail'!L$2),'Monthly Table'!$AU:$AU)/COUNTIF('Monthly Table'!$CT:$CT,YEAR(L$2)))</f>
        <v>57.933424862663777</v>
      </c>
      <c r="M35" s="55">
        <f>IF(M$10=0,0,SUMIF('Monthly Table'!$CT:$CT,YEAR('Operational Detail'!M$2),'Monthly Table'!$AU:$AU)/COUNTIF('Monthly Table'!$CT:$CT,YEAR(M$2)))</f>
        <v>58.19518897750487</v>
      </c>
      <c r="N35" s="55">
        <f>IF(N$10=0,0,SUMIF('Monthly Table'!$CT:$CT,YEAR('Operational Detail'!N$2),'Monthly Table'!$AU:$AU)/COUNTIF('Monthly Table'!$CT:$CT,YEAR(N$2)))</f>
        <v>58.444723612178493</v>
      </c>
      <c r="O35" s="55">
        <f>IF(O$10=0,0,SUMIF('Monthly Table'!$CT:$CT,YEAR('Operational Detail'!O$2),'Monthly Table'!$AU:$AU)/COUNTIF('Monthly Table'!$CT:$CT,YEAR(O$2)))</f>
        <v>58.682962930789074</v>
      </c>
      <c r="P35" s="55">
        <f>IF(P$10=0,0,SUMIF('Monthly Table'!$CT:$CT,YEAR('Operational Detail'!P$2),'Monthly Table'!$AU:$AU)/COUNTIF('Monthly Table'!$CT:$CT,YEAR(P$2)))</f>
        <v>58.910743718712112</v>
      </c>
      <c r="Q35" s="55">
        <f>IF(Q$10=0,0,SUMIF('Monthly Table'!$CT:$CT,YEAR('Operational Detail'!Q$2),'Monthly Table'!$AU:$AU)/COUNTIF('Monthly Table'!$CT:$CT,YEAR(Q$2)))</f>
        <v>59.128818073931754</v>
      </c>
      <c r="R35" s="55">
        <f>IF(R$10=0,0,SUMIF('Monthly Table'!$CT:$CT,YEAR('Operational Detail'!R$2),'Monthly Table'!$AU:$AU)/COUNTIF('Monthly Table'!$CT:$CT,YEAR(R$2)))</f>
        <v>59.337864134456694</v>
      </c>
      <c r="S35" s="55">
        <f>IF(S$10=0,0,SUMIF('Monthly Table'!$CT:$CT,YEAR('Operational Detail'!S$2),'Monthly Table'!$AU:$AU)/COUNTIF('Monthly Table'!$CT:$CT,YEAR(S$2)))</f>
        <v>59.538495190582609</v>
      </c>
      <c r="T35" s="55" t="e">
        <f>IF(T$10=0,0,SUMIF('Monthly Table'!$CT:$CT,YEAR('Operational Detail'!T$2),'Monthly Table'!$AU:$AU)/COUNTIF('Monthly Table'!$CT:$CT,YEAR(T$2)))</f>
        <v>#DIV/0!</v>
      </c>
      <c r="U35" s="55" t="e">
        <f>IF(U$10=0,0,SUMIF('Monthly Table'!$CT:$CT,YEAR('Operational Detail'!U$2),'Monthly Table'!$AU:$AU)/COUNTIF('Monthly Table'!$CT:$CT,YEAR(U$2)))</f>
        <v>#DIV/0!</v>
      </c>
      <c r="V35" s="55" t="e">
        <f>IF(V$10=0,0,SUMIF('Monthly Table'!$CT:$CT,YEAR('Operational Detail'!V$2),'Monthly Table'!$AU:$AU)/COUNTIF('Monthly Table'!$CT:$CT,YEAR(V$2)))</f>
        <v>#DIV/0!</v>
      </c>
      <c r="W35" s="55" t="e">
        <f>IF(W$10=0,0,SUMIF('Monthly Table'!$CT:$CT,YEAR('Operational Detail'!W$2),'Monthly Table'!$AU:$AU)/COUNTIF('Monthly Table'!$CT:$CT,YEAR(W$2)))</f>
        <v>#DIV/0!</v>
      </c>
      <c r="X35" s="55" t="e">
        <f>IF(X$10=0,0,SUMIF('Monthly Table'!$CT:$CT,YEAR('Operational Detail'!X$2),'Monthly Table'!$AU:$AU)/COUNTIF('Monthly Table'!$CT:$CT,YEAR(X$2)))</f>
        <v>#DIV/0!</v>
      </c>
      <c r="Y35" s="55"/>
      <c r="Z35" s="55"/>
      <c r="AA35" s="55"/>
      <c r="AB35" s="55"/>
      <c r="AC35" s="43"/>
    </row>
    <row r="36" spans="2:29" s="214" customFormat="1" ht="10.5" customHeight="1">
      <c r="B36" s="98" t="s">
        <v>454</v>
      </c>
      <c r="C36" s="78"/>
      <c r="D36" s="55">
        <f>INDEX(fxcurve,MATCH(D$3,FX!$F$2:$F$28,0),MATCH("Annual Average",FX!$F$2:$G$2,0))</f>
        <v>1.448419756899828</v>
      </c>
      <c r="E36" s="55">
        <f>INDEX(fxcurve,MATCH(E$3,FX!$F$2:$F$28,0),MATCH("Annual Average",FX!$F$2:$G$2,0))</f>
        <v>1.4371112386416593</v>
      </c>
      <c r="F36" s="55">
        <f>INDEX(fxcurve,MATCH(F$3,FX!$F$2:$F$28,0),MATCH("Annual Average",FX!$F$2:$G$2,0))</f>
        <v>1.4262562557458309</v>
      </c>
      <c r="G36" s="55">
        <f>INDEX(fxcurve,MATCH(G$3,FX!$F$2:$F$28,0),MATCH("Annual Average",FX!$F$2:$G$2,0))</f>
        <v>1.4140742774701416</v>
      </c>
      <c r="H36" s="55">
        <f>INDEX(fxcurve,MATCH(H$3,FX!$F$2:$F$28,0),MATCH("Annual Average",FX!$F$2:$G$2,0))</f>
        <v>1.4001862851214766</v>
      </c>
      <c r="I36" s="55">
        <f>INDEX(fxcurve,MATCH(I$3,FX!$F$2:$F$28,0),MATCH("Annual Average",FX!$F$2:$G$2,0))</f>
        <v>1.3825442094226041</v>
      </c>
      <c r="J36" s="55">
        <f>INDEX(fxcurve,MATCH(J$3,FX!$F$2:$F$28,0),MATCH("Annual Average",FX!$F$2:$G$2,0))</f>
        <v>1.3691933935263132</v>
      </c>
      <c r="K36" s="55">
        <f>INDEX(fxcurve,MATCH(K$3,FX!$F$2:$F$28,0),MATCH("Annual Average",FX!$F$2:$G$2,0))</f>
        <v>1.3567243341672643</v>
      </c>
      <c r="L36" s="55">
        <f>INDEX(fxcurve,MATCH(L$3,FX!$F$2:$F$28,0),MATCH("Annual Average",FX!$F$2:$G$2,0))</f>
        <v>1.3458119116935789</v>
      </c>
      <c r="M36" s="55">
        <f>INDEX(fxcurve,MATCH(M$3,FX!$F$2:$F$28,0),MATCH("Annual Average",FX!$F$2:$G$2,0))</f>
        <v>1.3355676432082113</v>
      </c>
      <c r="N36" s="55">
        <f>INDEX(fxcurve,MATCH(N$3,FX!$F$2:$F$28,0),MATCH("Annual Average",FX!$F$2:$G$2,0))</f>
        <v>1.3256144653012283</v>
      </c>
      <c r="O36" s="55">
        <f>INDEX(fxcurve,MATCH(O$3,FX!$F$2:$F$28,0),MATCH("Annual Average",FX!$F$2:$G$2,0))</f>
        <v>1.3153109772453393</v>
      </c>
      <c r="P36" s="55">
        <f>INDEX(fxcurve,MATCH(P$3,FX!$F$2:$F$28,0),MATCH("Annual Average",FX!$F$2:$G$2,0))</f>
        <v>1.3052784236635901</v>
      </c>
      <c r="Q36" s="55">
        <f>INDEX(fxcurve,MATCH(Q$3,FX!$F$2:$F$28,0),MATCH("Annual Average",FX!$F$2:$G$2,0))</f>
        <v>1.2955998053801068</v>
      </c>
      <c r="R36" s="55">
        <f>INDEX(fxcurve,MATCH(R$3,FX!$F$2:$F$28,0),MATCH("Annual Average",FX!$F$2:$G$2,0))</f>
        <v>1.2862545492810176</v>
      </c>
      <c r="S36" s="55">
        <f>INDEX(fxcurve,MATCH(S$3,FX!$F$2:$F$28,0),MATCH("Annual Average",FX!$F$2:$G$2,0))</f>
        <v>1.2774996255124191</v>
      </c>
      <c r="T36" s="55">
        <f>INDEX(fxcurve,MATCH(T$3,FX!$F$2:$F$28,0),MATCH("Annual Average",FX!$F$2:$G$2,0))</f>
        <v>1.2699034289925668</v>
      </c>
      <c r="U36" s="55">
        <f>INDEX(fxcurve,MATCH(U$3,FX!$F$2:$F$28,0),MATCH("Annual Average",FX!$F$2:$G$2,0))</f>
        <v>1.2628110343846066</v>
      </c>
      <c r="V36" s="55">
        <f>INDEX(fxcurve,MATCH(V$3,FX!$F$2:$F$28,0),MATCH("Annual Average",FX!$F$2:$G$2,0))</f>
        <v>1.256154552542575</v>
      </c>
      <c r="W36" s="55">
        <f>INDEX(fxcurve,MATCH(W$3,FX!$F$2:$F$28,0),MATCH("Annual Average",FX!$F$2:$G$2,0))</f>
        <v>1.2499240862579284</v>
      </c>
      <c r="X36" s="55">
        <f>INDEX(fxcurve,MATCH(X$3,FX!$F$2:$F$28,0),MATCH("Annual Average",FX!$F$2:$G$2,0))</f>
        <v>1.2422839673732373</v>
      </c>
      <c r="Y36" s="55"/>
      <c r="Z36" s="55"/>
      <c r="AA36" s="55"/>
      <c r="AB36" s="55"/>
      <c r="AC36" s="43"/>
    </row>
    <row r="37" spans="2:29" s="214" customFormat="1" ht="10.5" customHeight="1">
      <c r="B37" s="98" t="s">
        <v>456</v>
      </c>
      <c r="C37" s="78"/>
      <c r="D37" s="55">
        <f>D35*D36</f>
        <v>0</v>
      </c>
      <c r="E37" s="55">
        <f t="shared" ref="E37:S37" si="7">E35*E36</f>
        <v>87.154595211415128</v>
      </c>
      <c r="F37" s="55">
        <f t="shared" si="7"/>
        <v>84.28192747757366</v>
      </c>
      <c r="G37" s="55">
        <f t="shared" si="7"/>
        <v>82.411793178213628</v>
      </c>
      <c r="H37" s="55">
        <f t="shared" si="7"/>
        <v>80.464608219877107</v>
      </c>
      <c r="I37" s="55">
        <f t="shared" si="7"/>
        <v>78.892970417402353</v>
      </c>
      <c r="J37" s="55">
        <f t="shared" si="7"/>
        <v>78.54910672222185</v>
      </c>
      <c r="K37" s="55">
        <f t="shared" si="7"/>
        <v>78.226533498110811</v>
      </c>
      <c r="L37" s="55">
        <f t="shared" si="7"/>
        <v>77.967493265377854</v>
      </c>
      <c r="M37" s="55">
        <f t="shared" si="7"/>
        <v>77.723611388742654</v>
      </c>
      <c r="N37" s="55">
        <f t="shared" si="7"/>
        <v>77.475171040836059</v>
      </c>
      <c r="O37" s="55">
        <f t="shared" si="7"/>
        <v>77.186345320148192</v>
      </c>
      <c r="P37" s="55">
        <f t="shared" si="7"/>
        <v>76.894922698010291</v>
      </c>
      <c r="Q37" s="55">
        <f t="shared" si="7"/>
        <v>76.607285188941717</v>
      </c>
      <c r="R37" s="55">
        <f t="shared" si="7"/>
        <v>76.323597687563847</v>
      </c>
      <c r="S37" s="55">
        <f t="shared" si="7"/>
        <v>76.060405309542247</v>
      </c>
      <c r="T37" s="55" t="e">
        <f>T35*T36</f>
        <v>#DIV/0!</v>
      </c>
      <c r="U37" s="55" t="e">
        <f>U35*U36</f>
        <v>#DIV/0!</v>
      </c>
      <c r="V37" s="55" t="e">
        <f>V35*V36</f>
        <v>#DIV/0!</v>
      </c>
      <c r="W37" s="55" t="e">
        <f>W35*W36</f>
        <v>#DIV/0!</v>
      </c>
      <c r="X37" s="55" t="e">
        <f>X35*X36</f>
        <v>#DIV/0!</v>
      </c>
      <c r="Y37" s="55"/>
      <c r="Z37" s="55"/>
      <c r="AA37" s="55"/>
      <c r="AB37" s="55"/>
      <c r="AC37" s="43"/>
    </row>
    <row r="38" spans="2:29" s="214" customFormat="1" ht="10.5" customHeight="1">
      <c r="B38" s="98"/>
      <c r="C38" s="78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43"/>
    </row>
    <row r="39" spans="2:29" s="214" customFormat="1" ht="10.5" customHeight="1">
      <c r="B39" s="199" t="s">
        <v>761</v>
      </c>
      <c r="C39" s="78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43"/>
    </row>
    <row r="40" spans="2:29" s="214" customFormat="1" ht="10.5" customHeight="1">
      <c r="B40" s="98" t="s">
        <v>455</v>
      </c>
      <c r="C40" s="78"/>
      <c r="D40" s="55">
        <f>IF(D$11=0,0,SUMIF('Monthly Table'!$CU:$CU,YEAR('Operational Detail'!D$2),'Monthly Table'!$AX:$AX)/COUNTIF('Monthly Table'!$CU:$CU,YEAR(D$2)))</f>
        <v>0</v>
      </c>
      <c r="E40" s="55">
        <f>IF(E$11=0,0,SUMIF('Monthly Table'!$CU:$CU,YEAR('Operational Detail'!E$2),'Monthly Table'!$AX:$AX)/COUNTIF('Monthly Table'!$CU:$CU,YEAR(E$2)))</f>
        <v>0</v>
      </c>
      <c r="F40" s="55">
        <f>IF(F$11=0,0,SUMIF('Monthly Table'!$CU:$CU,YEAR('Operational Detail'!F$2),'Monthly Table'!$AX:$AX)/COUNTIF('Monthly Table'!$CU:$CU,YEAR(F$2)))</f>
        <v>0</v>
      </c>
      <c r="G40" s="55">
        <f>IF(G$11=0,0,SUMIF('Monthly Table'!$CU:$CU,YEAR('Operational Detail'!G$2),'Monthly Table'!$AX:$AX)/COUNTIF('Monthly Table'!$CU:$CU,YEAR(G$2)))</f>
        <v>0</v>
      </c>
      <c r="H40" s="55">
        <f>IF(H$11=0,0,SUMIF('Monthly Table'!$CU:$CU,YEAR('Operational Detail'!H$2),'Monthly Table'!$AX:$AX)/COUNTIF('Monthly Table'!$CU:$CU,YEAR(H$2)))</f>
        <v>0</v>
      </c>
      <c r="I40" s="55">
        <f>IF(I$11=0,0,SUMIF('Monthly Table'!$CU:$CU,YEAR('Operational Detail'!I$2),'Monthly Table'!$AX:$AX)/COUNTIF('Monthly Table'!$CU:$CU,YEAR(I$2)))</f>
        <v>0</v>
      </c>
      <c r="J40" s="55">
        <f>IF(J$11=0,0,SUMIF('Monthly Table'!$CU:$CU,YEAR('Operational Detail'!J$2),'Monthly Table'!$AX:$AX)/COUNTIF('Monthly Table'!$CU:$CU,YEAR(J$2)))</f>
        <v>0</v>
      </c>
      <c r="K40" s="55">
        <f>IF(K$11=0,0,SUMIF('Monthly Table'!$CU:$CU,YEAR('Operational Detail'!K$2),'Monthly Table'!$AX:$AX)/COUNTIF('Monthly Table'!$CU:$CU,YEAR(K$2)))</f>
        <v>0</v>
      </c>
      <c r="L40" s="55">
        <f>IF(L$11=0,0,SUMIF('Monthly Table'!$CU:$CU,YEAR('Operational Detail'!L$2),'Monthly Table'!$AX:$AX)/COUNTIF('Monthly Table'!$CU:$CU,YEAR(L$2)))</f>
        <v>0</v>
      </c>
      <c r="M40" s="55">
        <f>IF(M$11=0,0,SUMIF('Monthly Table'!$CU:$CU,YEAR('Operational Detail'!M$2),'Monthly Table'!$AX:$AX)/COUNTIF('Monthly Table'!$CU:$CU,YEAR(M$2)))</f>
        <v>0</v>
      </c>
      <c r="N40" s="55">
        <f>IF(N$11=0,0,SUMIF('Monthly Table'!$CU:$CU,YEAR('Operational Detail'!N$2),'Monthly Table'!$AX:$AX)/COUNTIF('Monthly Table'!$CU:$CU,YEAR(N$2)))</f>
        <v>0</v>
      </c>
      <c r="O40" s="55">
        <f>IF(O$11=0,0,SUMIF('Monthly Table'!$CU:$CU,YEAR('Operational Detail'!O$2),'Monthly Table'!$AX:$AX)/COUNTIF('Monthly Table'!$CU:$CU,YEAR(O$2)))</f>
        <v>0</v>
      </c>
      <c r="P40" s="55">
        <f>IF(P$11=0,0,SUMIF('Monthly Table'!$CU:$CU,YEAR('Operational Detail'!P$2),'Monthly Table'!$AX:$AX)/COUNTIF('Monthly Table'!$CU:$CU,YEAR(P$2)))</f>
        <v>0</v>
      </c>
      <c r="Q40" s="55">
        <f>IF(Q$11=0,0,SUMIF('Monthly Table'!$CU:$CU,YEAR('Operational Detail'!Q$2),'Monthly Table'!$AX:$AX)/COUNTIF('Monthly Table'!$CU:$CU,YEAR(Q$2)))</f>
        <v>0</v>
      </c>
      <c r="R40" s="55">
        <f>IF(R$11=0,0,SUMIF('Monthly Table'!$CU:$CU,YEAR('Operational Detail'!R$2),'Monthly Table'!$AX:$AX)/COUNTIF('Monthly Table'!$CU:$CU,YEAR(R$2)))</f>
        <v>0</v>
      </c>
      <c r="S40" s="55">
        <f>IF(S$11=0,0,SUMIF('Monthly Table'!$CU:$CU,YEAR('Operational Detail'!S$2),'Monthly Table'!$AX:$AX)/COUNTIF('Monthly Table'!$CU:$CU,YEAR(S$2)))</f>
        <v>0</v>
      </c>
      <c r="T40" s="55" t="e">
        <f>IF(T$11=0,0,SUMIF('Monthly Table'!$CU:$CU,YEAR('Operational Detail'!T$2),'Monthly Table'!$AX:$AX)/COUNTIF('Monthly Table'!$CU:$CU,YEAR(T$2)))</f>
        <v>#DIV/0!</v>
      </c>
      <c r="U40" s="55" t="e">
        <f>IF(U$11=0,0,SUMIF('Monthly Table'!$CU:$CU,YEAR('Operational Detail'!U$2),'Monthly Table'!$AX:$AX)/COUNTIF('Monthly Table'!$CU:$CU,YEAR(U$2)))</f>
        <v>#DIV/0!</v>
      </c>
      <c r="V40" s="55" t="e">
        <f>IF(V$11=0,0,SUMIF('Monthly Table'!$CU:$CU,YEAR('Operational Detail'!V$2),'Monthly Table'!$AX:$AX)/COUNTIF('Monthly Table'!$CU:$CU,YEAR(V$2)))</f>
        <v>#DIV/0!</v>
      </c>
      <c r="W40" s="55" t="e">
        <f>IF(W$11=0,0,SUMIF('Monthly Table'!$CU:$CU,YEAR('Operational Detail'!W$2),'Monthly Table'!$AX:$AX)/COUNTIF('Monthly Table'!$CU:$CU,YEAR(W$2)))</f>
        <v>#DIV/0!</v>
      </c>
      <c r="X40" s="55" t="e">
        <f>IF(X$11=0,0,SUMIF('Monthly Table'!$CU:$CU,YEAR('Operational Detail'!X$2),'Monthly Table'!$AX:$AX)/COUNTIF('Monthly Table'!$CU:$CU,YEAR(X$2)))</f>
        <v>#DIV/0!</v>
      </c>
      <c r="Y40" s="55"/>
      <c r="Z40" s="55"/>
      <c r="AA40" s="55"/>
      <c r="AB40" s="55"/>
      <c r="AC40" s="43"/>
    </row>
    <row r="41" spans="2:29" s="214" customFormat="1" ht="10.5" customHeight="1">
      <c r="B41" s="98" t="s">
        <v>454</v>
      </c>
      <c r="C41" s="78"/>
      <c r="D41" s="55">
        <f>INDEX(fxcurve,MATCH(D$3,FX!$F$2:$F$28,0),MATCH("Annual Average",FX!$F$2:$G$2,0))</f>
        <v>1.448419756899828</v>
      </c>
      <c r="E41" s="55">
        <f>INDEX(fxcurve,MATCH(E$3,FX!$F$2:$F$28,0),MATCH("Annual Average",FX!$F$2:$G$2,0))</f>
        <v>1.4371112386416593</v>
      </c>
      <c r="F41" s="55">
        <f>INDEX(fxcurve,MATCH(F$3,FX!$F$2:$F$28,0),MATCH("Annual Average",FX!$F$2:$G$2,0))</f>
        <v>1.4262562557458309</v>
      </c>
      <c r="G41" s="55">
        <f>INDEX(fxcurve,MATCH(G$3,FX!$F$2:$F$28,0),MATCH("Annual Average",FX!$F$2:$G$2,0))</f>
        <v>1.4140742774701416</v>
      </c>
      <c r="H41" s="55">
        <f>INDEX(fxcurve,MATCH(H$3,FX!$F$2:$F$28,0),MATCH("Annual Average",FX!$F$2:$G$2,0))</f>
        <v>1.4001862851214766</v>
      </c>
      <c r="I41" s="55">
        <f>INDEX(fxcurve,MATCH(I$3,FX!$F$2:$F$28,0),MATCH("Annual Average",FX!$F$2:$G$2,0))</f>
        <v>1.3825442094226041</v>
      </c>
      <c r="J41" s="55">
        <f>INDEX(fxcurve,MATCH(J$3,FX!$F$2:$F$28,0),MATCH("Annual Average",FX!$F$2:$G$2,0))</f>
        <v>1.3691933935263132</v>
      </c>
      <c r="K41" s="55">
        <f>INDEX(fxcurve,MATCH(K$3,FX!$F$2:$F$28,0),MATCH("Annual Average",FX!$F$2:$G$2,0))</f>
        <v>1.3567243341672643</v>
      </c>
      <c r="L41" s="55">
        <f>INDEX(fxcurve,MATCH(L$3,FX!$F$2:$F$28,0),MATCH("Annual Average",FX!$F$2:$G$2,0))</f>
        <v>1.3458119116935789</v>
      </c>
      <c r="M41" s="55">
        <f>INDEX(fxcurve,MATCH(M$3,FX!$F$2:$F$28,0),MATCH("Annual Average",FX!$F$2:$G$2,0))</f>
        <v>1.3355676432082113</v>
      </c>
      <c r="N41" s="55">
        <f>INDEX(fxcurve,MATCH(N$3,FX!$F$2:$F$28,0),MATCH("Annual Average",FX!$F$2:$G$2,0))</f>
        <v>1.3256144653012283</v>
      </c>
      <c r="O41" s="55">
        <f>INDEX(fxcurve,MATCH(O$3,FX!$F$2:$F$28,0),MATCH("Annual Average",FX!$F$2:$G$2,0))</f>
        <v>1.3153109772453393</v>
      </c>
      <c r="P41" s="55">
        <f>INDEX(fxcurve,MATCH(P$3,FX!$F$2:$F$28,0),MATCH("Annual Average",FX!$F$2:$G$2,0))</f>
        <v>1.3052784236635901</v>
      </c>
      <c r="Q41" s="55">
        <f>INDEX(fxcurve,MATCH(Q$3,FX!$F$2:$F$28,0),MATCH("Annual Average",FX!$F$2:$G$2,0))</f>
        <v>1.2955998053801068</v>
      </c>
      <c r="R41" s="55">
        <f>INDEX(fxcurve,MATCH(R$3,FX!$F$2:$F$28,0),MATCH("Annual Average",FX!$F$2:$G$2,0))</f>
        <v>1.2862545492810176</v>
      </c>
      <c r="S41" s="55">
        <f>INDEX(fxcurve,MATCH(S$3,FX!$F$2:$F$28,0),MATCH("Annual Average",FX!$F$2:$G$2,0))</f>
        <v>1.2774996255124191</v>
      </c>
      <c r="T41" s="55">
        <f>INDEX(fxcurve,MATCH(T$3,FX!$F$2:$F$28,0),MATCH("Annual Average",FX!$F$2:$G$2,0))</f>
        <v>1.2699034289925668</v>
      </c>
      <c r="U41" s="55">
        <f>INDEX(fxcurve,MATCH(U$3,FX!$F$2:$F$28,0),MATCH("Annual Average",FX!$F$2:$G$2,0))</f>
        <v>1.2628110343846066</v>
      </c>
      <c r="V41" s="55">
        <f>INDEX(fxcurve,MATCH(V$3,FX!$F$2:$F$28,0),MATCH("Annual Average",FX!$F$2:$G$2,0))</f>
        <v>1.256154552542575</v>
      </c>
      <c r="W41" s="55">
        <f>INDEX(fxcurve,MATCH(W$3,FX!$F$2:$F$28,0),MATCH("Annual Average",FX!$F$2:$G$2,0))</f>
        <v>1.2499240862579284</v>
      </c>
      <c r="X41" s="55">
        <f>INDEX(fxcurve,MATCH(X$3,FX!$F$2:$F$28,0),MATCH("Annual Average",FX!$F$2:$G$2,0))</f>
        <v>1.2422839673732373</v>
      </c>
      <c r="Y41" s="55"/>
      <c r="Z41" s="55"/>
      <c r="AA41" s="55"/>
      <c r="AB41" s="55"/>
      <c r="AC41" s="43"/>
    </row>
    <row r="42" spans="2:29" s="214" customFormat="1" ht="10.5" customHeight="1">
      <c r="B42" s="98" t="s">
        <v>456</v>
      </c>
      <c r="C42" s="78"/>
      <c r="D42" s="55">
        <f>D40*D41</f>
        <v>0</v>
      </c>
      <c r="E42" s="55">
        <f t="shared" ref="E42:S42" si="8">E40*E41</f>
        <v>0</v>
      </c>
      <c r="F42" s="55">
        <f t="shared" si="8"/>
        <v>0</v>
      </c>
      <c r="G42" s="55">
        <f t="shared" si="8"/>
        <v>0</v>
      </c>
      <c r="H42" s="55">
        <f t="shared" si="8"/>
        <v>0</v>
      </c>
      <c r="I42" s="55">
        <f t="shared" si="8"/>
        <v>0</v>
      </c>
      <c r="J42" s="55">
        <f t="shared" si="8"/>
        <v>0</v>
      </c>
      <c r="K42" s="55">
        <f t="shared" si="8"/>
        <v>0</v>
      </c>
      <c r="L42" s="55">
        <f t="shared" si="8"/>
        <v>0</v>
      </c>
      <c r="M42" s="55">
        <f t="shared" si="8"/>
        <v>0</v>
      </c>
      <c r="N42" s="55">
        <f t="shared" si="8"/>
        <v>0</v>
      </c>
      <c r="O42" s="55">
        <f t="shared" si="8"/>
        <v>0</v>
      </c>
      <c r="P42" s="55">
        <f t="shared" si="8"/>
        <v>0</v>
      </c>
      <c r="Q42" s="55">
        <f t="shared" si="8"/>
        <v>0</v>
      </c>
      <c r="R42" s="55">
        <f t="shared" si="8"/>
        <v>0</v>
      </c>
      <c r="S42" s="55">
        <f t="shared" si="8"/>
        <v>0</v>
      </c>
      <c r="T42" s="55" t="e">
        <f>T40*T41</f>
        <v>#DIV/0!</v>
      </c>
      <c r="U42" s="55" t="e">
        <f>U40*U41</f>
        <v>#DIV/0!</v>
      </c>
      <c r="V42" s="55" t="e">
        <f>V40*V41</f>
        <v>#DIV/0!</v>
      </c>
      <c r="W42" s="55" t="e">
        <f>W40*W41</f>
        <v>#DIV/0!</v>
      </c>
      <c r="X42" s="55" t="e">
        <f>X40*X41</f>
        <v>#DIV/0!</v>
      </c>
      <c r="Y42" s="55"/>
      <c r="Z42" s="55"/>
      <c r="AA42" s="55"/>
      <c r="AB42" s="55"/>
      <c r="AC42" s="43"/>
    </row>
    <row r="43" spans="2:29" s="214" customFormat="1" ht="10.5" customHeight="1">
      <c r="B43" s="98"/>
      <c r="C43" s="78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43"/>
    </row>
    <row r="44" spans="2:29" s="214" customFormat="1" ht="10.5" customHeight="1">
      <c r="B44" s="199" t="s">
        <v>779</v>
      </c>
      <c r="C44" s="78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43"/>
    </row>
    <row r="45" spans="2:29" s="214" customFormat="1" ht="10.5" customHeight="1">
      <c r="B45" s="98" t="s">
        <v>455</v>
      </c>
      <c r="C45" s="78"/>
      <c r="D45" s="55">
        <f>IF(D$12=0,0,SUMIF('Monthly Table'!$CV:$CV,YEAR('Operational Detail'!D$2),'Monthly Table'!$BB:$BB)/COUNTIF('Monthly Table'!$CV:$CV,YEAR(D$2)))</f>
        <v>0</v>
      </c>
      <c r="E45" s="55">
        <f>IF(E$12=0,0,SUMIF('Monthly Table'!$CV:$CV,YEAR('Operational Detail'!E$2),'Monthly Table'!$BB:$BB)/COUNTIF('Monthly Table'!$CV:$CV,YEAR(E$2)))</f>
        <v>53.714744820896613</v>
      </c>
      <c r="F45" s="55">
        <f>IF(F$12=0,0,SUMIF('Monthly Table'!$CV:$CV,YEAR('Operational Detail'!F$2),'Monthly Table'!$BB:$BB)/COUNTIF('Monthly Table'!$CV:$CV,YEAR(F$2)))</f>
        <v>52.339613256104357</v>
      </c>
      <c r="G45" s="55">
        <f>IF(G$12=0,0,SUMIF('Monthly Table'!$CV:$CV,YEAR('Operational Detail'!G$2),'Monthly Table'!$BB:$BB)/COUNTIF('Monthly Table'!$CV:$CV,YEAR(G$2)))</f>
        <v>51.619138731878998</v>
      </c>
      <c r="H45" s="55">
        <f>IF(H$12=0,0,SUMIF('Monthly Table'!$CV:$CV,YEAR('Operational Detail'!H$2),'Monthly Table'!$BB:$BB)/COUNTIF('Monthly Table'!$CV:$CV,YEAR(H$2)))</f>
        <v>50.899403654882683</v>
      </c>
      <c r="I45" s="55">
        <f>IF(I$12=0,0,SUMIF('Monthly Table'!$CV:$CV,YEAR('Operational Detail'!I$2),'Monthly Table'!$BB:$BB)/COUNTIF('Monthly Table'!$CV:$CV,YEAR(I$2)))</f>
        <v>50.542054646248076</v>
      </c>
      <c r="J45" s="55">
        <f>IF(J$12=0,0,SUMIF('Monthly Table'!$CV:$CV,YEAR('Operational Detail'!J$2),'Monthly Table'!$BB:$BB)/COUNTIF('Monthly Table'!$CV:$CV,YEAR(J$2)))</f>
        <v>50.81244209272559</v>
      </c>
      <c r="K45" s="55">
        <f>IF(K$12=0,0,SUMIF('Monthly Table'!$CV:$CV,YEAR('Operational Detail'!K$2),'Monthly Table'!$BB:$BB)/COUNTIF('Monthly Table'!$CV:$CV,YEAR(K$2)))</f>
        <v>51.06885060508646</v>
      </c>
      <c r="L45" s="55">
        <f>IF(L$12=0,0,SUMIF('Monthly Table'!$CV:$CV,YEAR('Operational Detail'!L$2),'Monthly Table'!$BB:$BB)/COUNTIF('Monthly Table'!$CV:$CV,YEAR(L$2)))</f>
        <v>51.312457646348903</v>
      </c>
      <c r="M45" s="55">
        <f>IF(M$12=0,0,SUMIF('Monthly Table'!$CV:$CV,YEAR('Operational Detail'!M$2),'Monthly Table'!$BB:$BB)/COUNTIF('Monthly Table'!$CV:$CV,YEAR(M$2)))</f>
        <v>51.544305842583782</v>
      </c>
      <c r="N45" s="55">
        <f>IF(N$12=0,0,SUMIF('Monthly Table'!$CV:$CV,YEAR('Operational Detail'!N$2),'Monthly Table'!$BB:$BB)/COUNTIF('Monthly Table'!$CV:$CV,YEAR(N$2)))</f>
        <v>51.765322214451004</v>
      </c>
      <c r="O45" s="55">
        <f>IF(O$12=0,0,SUMIF('Monthly Table'!$CV:$CV,YEAR('Operational Detail'!O$2),'Monthly Table'!$BB:$BB)/COUNTIF('Monthly Table'!$CV:$CV,YEAR(O$2)))</f>
        <v>51.976334164372481</v>
      </c>
      <c r="P45" s="55">
        <f>IF(P$12=0,0,SUMIF('Monthly Table'!$CV:$CV,YEAR('Operational Detail'!P$2),'Monthly Table'!$BB:$BB)/COUNTIF('Monthly Table'!$CV:$CV,YEAR(P$2)))</f>
        <v>0</v>
      </c>
      <c r="Q45" s="55">
        <f>IF(Q$12=0,0,SUMIF('Monthly Table'!$CV:$CV,YEAR('Operational Detail'!Q$2),'Monthly Table'!$BB:$BB)/COUNTIF('Monthly Table'!$CV:$CV,YEAR(Q$2)))</f>
        <v>0</v>
      </c>
      <c r="R45" s="55">
        <f>IF(R$12=0,0,SUMIF('Monthly Table'!$CV:$CV,YEAR('Operational Detail'!R$2),'Monthly Table'!$BB:$BB)/COUNTIF('Monthly Table'!$CV:$CV,YEAR(R$2)))</f>
        <v>0</v>
      </c>
      <c r="S45" s="55">
        <f>IF(S$12=0,0,SUMIF('Monthly Table'!$CV:$CV,YEAR('Operational Detail'!S$2),'Monthly Table'!$BB:$BB)/COUNTIF('Monthly Table'!$CV:$CV,YEAR(S$2)))</f>
        <v>0</v>
      </c>
      <c r="T45" s="55">
        <f>IF(T$12=0,0,SUMIF('Monthly Table'!$CV:$CV,YEAR('Operational Detail'!T$2),'Monthly Table'!$BB:$BB)/COUNTIF('Monthly Table'!$CV:$CV,YEAR(T$2)))</f>
        <v>28.156363438130384</v>
      </c>
      <c r="U45" s="55">
        <f>IF(U$12=0,0,SUMIF('Monthly Table'!$CV:$CV,YEAR('Operational Detail'!U$2),'Monthly Table'!$BB:$BB)/COUNTIF('Monthly Table'!$CV:$CV,YEAR(U$2)))</f>
        <v>28.191530844230073</v>
      </c>
      <c r="V45" s="55">
        <f>IF(V$12=0,0,SUMIF('Monthly Table'!$CV:$CV,YEAR('Operational Detail'!V$2),'Monthly Table'!$BB:$BB)/COUNTIF('Monthly Table'!$CV:$CV,YEAR(V$2)))</f>
        <v>31.08996080063601</v>
      </c>
      <c r="W45" s="55" t="e">
        <f>IF(W$12=0,0,SUMIF('Monthly Table'!$CV:$CV,YEAR('Operational Detail'!W$2),'Monthly Table'!$BB:$BB)/COUNTIF('Monthly Table'!$CV:$CV,YEAR(W$2)))</f>
        <v>#DIV/0!</v>
      </c>
      <c r="X45" s="55" t="e">
        <f>IF(X$12=0,0,SUMIF('Monthly Table'!$CV:$CV,YEAR('Operational Detail'!X$2),'Monthly Table'!$BB:$BB)/COUNTIF('Monthly Table'!$CV:$CV,YEAR(X$2)))</f>
        <v>#DIV/0!</v>
      </c>
      <c r="Y45" s="55"/>
      <c r="Z45" s="55"/>
      <c r="AA45" s="55"/>
      <c r="AB45" s="55"/>
      <c r="AC45" s="43"/>
    </row>
    <row r="46" spans="2:29" s="214" customFormat="1" ht="10.5" customHeight="1">
      <c r="B46" s="98" t="s">
        <v>454</v>
      </c>
      <c r="C46" s="78"/>
      <c r="D46" s="55">
        <f>INDEX(fxcurve,MATCH(D$3,FX!$F$2:$F$28,0),MATCH("Annual Average",FX!$F$2:$G$2,0))</f>
        <v>1.448419756899828</v>
      </c>
      <c r="E46" s="55">
        <f>INDEX(fxcurve,MATCH(E$3,FX!$F$2:$F$28,0),MATCH("Annual Average",FX!$F$2:$G$2,0))</f>
        <v>1.4371112386416593</v>
      </c>
      <c r="F46" s="55">
        <f>INDEX(fxcurve,MATCH(F$3,FX!$F$2:$F$28,0),MATCH("Annual Average",FX!$F$2:$G$2,0))</f>
        <v>1.4262562557458309</v>
      </c>
      <c r="G46" s="55">
        <f>INDEX(fxcurve,MATCH(G$3,FX!$F$2:$F$28,0),MATCH("Annual Average",FX!$F$2:$G$2,0))</f>
        <v>1.4140742774701416</v>
      </c>
      <c r="H46" s="55">
        <f>INDEX(fxcurve,MATCH(H$3,FX!$F$2:$F$28,0),MATCH("Annual Average",FX!$F$2:$G$2,0))</f>
        <v>1.4001862851214766</v>
      </c>
      <c r="I46" s="55">
        <f>INDEX(fxcurve,MATCH(I$3,FX!$F$2:$F$28,0),MATCH("Annual Average",FX!$F$2:$G$2,0))</f>
        <v>1.3825442094226041</v>
      </c>
      <c r="J46" s="55">
        <f>INDEX(fxcurve,MATCH(J$3,FX!$F$2:$F$28,0),MATCH("Annual Average",FX!$F$2:$G$2,0))</f>
        <v>1.3691933935263132</v>
      </c>
      <c r="K46" s="55">
        <f>INDEX(fxcurve,MATCH(K$3,FX!$F$2:$F$28,0),MATCH("Annual Average",FX!$F$2:$G$2,0))</f>
        <v>1.3567243341672643</v>
      </c>
      <c r="L46" s="55">
        <f>INDEX(fxcurve,MATCH(L$3,FX!$F$2:$F$28,0),MATCH("Annual Average",FX!$F$2:$G$2,0))</f>
        <v>1.3458119116935789</v>
      </c>
      <c r="M46" s="55">
        <f>INDEX(fxcurve,MATCH(M$3,FX!$F$2:$F$28,0),MATCH("Annual Average",FX!$F$2:$G$2,0))</f>
        <v>1.3355676432082113</v>
      </c>
      <c r="N46" s="55">
        <f>INDEX(fxcurve,MATCH(N$3,FX!$F$2:$F$28,0),MATCH("Annual Average",FX!$F$2:$G$2,0))</f>
        <v>1.3256144653012283</v>
      </c>
      <c r="O46" s="55">
        <f>INDEX(fxcurve,MATCH(O$3,FX!$F$2:$F$28,0),MATCH("Annual Average",FX!$F$2:$G$2,0))</f>
        <v>1.3153109772453393</v>
      </c>
      <c r="P46" s="55">
        <f>INDEX(fxcurve,MATCH(P$3,FX!$F$2:$F$28,0),MATCH("Annual Average",FX!$F$2:$G$2,0))</f>
        <v>1.3052784236635901</v>
      </c>
      <c r="Q46" s="55">
        <f>INDEX(fxcurve,MATCH(Q$3,FX!$F$2:$F$28,0),MATCH("Annual Average",FX!$F$2:$G$2,0))</f>
        <v>1.2955998053801068</v>
      </c>
      <c r="R46" s="55">
        <f>INDEX(fxcurve,MATCH(R$3,FX!$F$2:$F$28,0),MATCH("Annual Average",FX!$F$2:$G$2,0))</f>
        <v>1.2862545492810176</v>
      </c>
      <c r="S46" s="55">
        <f>INDEX(fxcurve,MATCH(S$3,FX!$F$2:$F$28,0),MATCH("Annual Average",FX!$F$2:$G$2,0))</f>
        <v>1.2774996255124191</v>
      </c>
      <c r="T46" s="55">
        <f>INDEX(fxcurve,MATCH(T$3,FX!$F$2:$F$28,0),MATCH("Annual Average",FX!$F$2:$G$2,0))</f>
        <v>1.2699034289925668</v>
      </c>
      <c r="U46" s="55">
        <f>INDEX(fxcurve,MATCH(U$3,FX!$F$2:$F$28,0),MATCH("Annual Average",FX!$F$2:$G$2,0))</f>
        <v>1.2628110343846066</v>
      </c>
      <c r="V46" s="55">
        <f>INDEX(fxcurve,MATCH(V$3,FX!$F$2:$F$28,0),MATCH("Annual Average",FX!$F$2:$G$2,0))</f>
        <v>1.256154552542575</v>
      </c>
      <c r="W46" s="55">
        <f>INDEX(fxcurve,MATCH(W$3,FX!$F$2:$F$28,0),MATCH("Annual Average",FX!$F$2:$G$2,0))</f>
        <v>1.2499240862579284</v>
      </c>
      <c r="X46" s="55">
        <f>INDEX(fxcurve,MATCH(X$3,FX!$F$2:$F$28,0),MATCH("Annual Average",FX!$F$2:$G$2,0))</f>
        <v>1.2422839673732373</v>
      </c>
      <c r="Y46" s="55"/>
      <c r="Z46" s="55"/>
      <c r="AA46" s="55"/>
      <c r="AB46" s="55"/>
      <c r="AC46" s="43"/>
    </row>
    <row r="47" spans="2:29" s="214" customFormat="1" ht="10.5" customHeight="1">
      <c r="B47" s="98" t="s">
        <v>456</v>
      </c>
      <c r="C47" s="78"/>
      <c r="D47" s="55">
        <f>D45*D46</f>
        <v>0</v>
      </c>
      <c r="E47" s="55">
        <f t="shared" ref="E47:S47" si="9">E45*E46</f>
        <v>77.194063462879384</v>
      </c>
      <c r="F47" s="55">
        <f t="shared" si="9"/>
        <v>74.649700829836263</v>
      </c>
      <c r="G47" s="55">
        <f t="shared" si="9"/>
        <v>72.993296305912793</v>
      </c>
      <c r="H47" s="55">
        <f t="shared" si="9"/>
        <v>71.268646918428686</v>
      </c>
      <c r="I47" s="55">
        <f t="shared" si="9"/>
        <v>69.876624983491098</v>
      </c>
      <c r="J47" s="55">
        <f t="shared" si="9"/>
        <v>69.572060022298231</v>
      </c>
      <c r="K47" s="55">
        <f t="shared" si="9"/>
        <v>69.286352333873424</v>
      </c>
      <c r="L47" s="55">
        <f t="shared" si="9"/>
        <v>69.056916718728615</v>
      </c>
      <c r="M47" s="55">
        <f t="shared" si="9"/>
        <v>68.840907074982852</v>
      </c>
      <c r="N47" s="55">
        <f t="shared" si="9"/>
        <v>68.620859928455261</v>
      </c>
      <c r="O47" s="55">
        <f t="shared" si="9"/>
        <v>68.365042883371089</v>
      </c>
      <c r="P47" s="55">
        <f t="shared" si="9"/>
        <v>0</v>
      </c>
      <c r="Q47" s="55">
        <f t="shared" si="9"/>
        <v>0</v>
      </c>
      <c r="R47" s="55">
        <f t="shared" si="9"/>
        <v>0</v>
      </c>
      <c r="S47" s="55">
        <f t="shared" si="9"/>
        <v>0</v>
      </c>
      <c r="T47" s="55">
        <f>T45*T46</f>
        <v>35.755862478042715</v>
      </c>
      <c r="U47" s="55">
        <f>U45*U46</f>
        <v>35.600576226287721</v>
      </c>
      <c r="V47" s="55">
        <f>V45*V46</f>
        <v>39.053795798089126</v>
      </c>
      <c r="W47" s="55" t="e">
        <f>W45*W46</f>
        <v>#DIV/0!</v>
      </c>
      <c r="X47" s="55" t="e">
        <f>X45*X46</f>
        <v>#DIV/0!</v>
      </c>
      <c r="Y47" s="55"/>
      <c r="Z47" s="55"/>
      <c r="AA47" s="55"/>
      <c r="AB47" s="55"/>
      <c r="AC47" s="43"/>
    </row>
    <row r="48" spans="2:29" s="214" customFormat="1" ht="10.5" customHeight="1">
      <c r="B48" s="98"/>
      <c r="C48" s="78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43"/>
    </row>
    <row r="49" spans="2:29" ht="10.5" customHeight="1">
      <c r="B49" s="92" t="s">
        <v>765</v>
      </c>
      <c r="C49" s="67"/>
      <c r="D49" s="39">
        <f>SUMIF('Monthly Table'!$C$11:$C$244,YEAR('Operational Detail'!D$2),'Monthly Table'!$BU$11:$BU$244)</f>
        <v>0</v>
      </c>
      <c r="E49" s="39">
        <f>SUMIF('Monthly Table'!$C$11:$C$244,YEAR('Operational Detail'!E$2),'Monthly Table'!$BU$11:$BU$244)</f>
        <v>41200.535779510887</v>
      </c>
      <c r="F49" s="39">
        <f>SUMIF('Monthly Table'!$C$11:$C$244,YEAR('Operational Detail'!F$2),'Monthly Table'!$BU$11:$BU$244)</f>
        <v>34816.909442680248</v>
      </c>
      <c r="G49" s="39">
        <f>SUMIF('Monthly Table'!$C$11:$C$244,YEAR('Operational Detail'!G$2),'Monthly Table'!$BU$11:$BU$244)</f>
        <v>30723.56395036164</v>
      </c>
      <c r="H49" s="39">
        <f>SUMIF('Monthly Table'!$C$11:$C$244,YEAR('Operational Detail'!H$2),'Monthly Table'!$BU$11:$BU$244)</f>
        <v>24445.993555296343</v>
      </c>
      <c r="I49" s="39">
        <f>SUMIF('Monthly Table'!$C$11:$C$244,YEAR('Operational Detail'!I$2),'Monthly Table'!$BU$11:$BU$244)</f>
        <v>22954.032509544068</v>
      </c>
      <c r="J49" s="39">
        <f>SUMIF('Monthly Table'!$C$11:$C$244,YEAR('Operational Detail'!J$2),'Monthly Table'!$BU$11:$BU$244)</f>
        <v>24122.169608452721</v>
      </c>
      <c r="K49" s="39">
        <f>SUMIF('Monthly Table'!$C$11:$C$244,YEAR('Operational Detail'!K$2),'Monthly Table'!$BU$11:$BU$244)</f>
        <v>24995.905452001381</v>
      </c>
      <c r="L49" s="39">
        <f>SUMIF('Monthly Table'!$C$11:$C$244,YEAR('Operational Detail'!L$2),'Monthly Table'!$BU$11:$BU$244)</f>
        <v>25252.424542824807</v>
      </c>
      <c r="M49" s="39">
        <f>SUMIF('Monthly Table'!$C$11:$C$244,YEAR('Operational Detail'!M$2),'Monthly Table'!$BU$11:$BU$244)</f>
        <v>26687.231007920775</v>
      </c>
      <c r="N49" s="39">
        <f>SUMIF('Monthly Table'!$C$11:$C$244,YEAR('Operational Detail'!N$2),'Monthly Table'!$BU$11:$BU$244)</f>
        <v>26901.326261020615</v>
      </c>
      <c r="O49" s="39">
        <f>SUMIF('Monthly Table'!$C$11:$C$244,YEAR('Operational Detail'!O$2),'Monthly Table'!$BU$11:$BU$244)</f>
        <v>27563.887026344346</v>
      </c>
      <c r="P49" s="39">
        <f>SUMIF('Monthly Table'!$C$11:$C$244,YEAR('Operational Detail'!P$2),'Monthly Table'!$BU$11:$BU$244)</f>
        <v>28457.398202263939</v>
      </c>
      <c r="Q49" s="39">
        <f>SUMIF('Monthly Table'!$C$11:$C$244,YEAR('Operational Detail'!Q$2),'Monthly Table'!$BU$11:$BU$244)</f>
        <v>29424.470452638525</v>
      </c>
      <c r="R49" s="39">
        <f>SUMIF('Monthly Table'!$C$11:$C$244,YEAR('Operational Detail'!R$2),'Monthly Table'!$BU$11:$BU$244)</f>
        <v>29824.199989105116</v>
      </c>
      <c r="S49" s="39">
        <f>SUMIF('Monthly Table'!$C$11:$C$244,YEAR('Operational Detail'!S$2),'Monthly Table'!$BU$11:$BU$244)</f>
        <v>31333.403049254164</v>
      </c>
      <c r="T49" s="39">
        <f>SUMIF('Monthly Table'!$C$11:$C$244,YEAR('Operational Detail'!T$2),'Monthly Table'!$BU$11:$BU$244)</f>
        <v>0</v>
      </c>
      <c r="U49" s="39">
        <f>SUMIF('Monthly Table'!$C$11:$C$244,YEAR('Operational Detail'!U$2),'Monthly Table'!$BU$11:$BU$244)</f>
        <v>0</v>
      </c>
      <c r="V49" s="39">
        <f>SUMIF('Monthly Table'!$C$11:$C$244,YEAR('Operational Detail'!V$2),'Monthly Table'!$BU$11:$BU$244)</f>
        <v>0</v>
      </c>
      <c r="W49" s="39">
        <f>SUMIF('Monthly Table'!$C$11:$C$244,YEAR('Operational Detail'!W$2),'Monthly Table'!$BU$11:$BU$244)</f>
        <v>0</v>
      </c>
      <c r="X49" s="39">
        <f>SUMIF('Monthly Table'!$C$11:$C$244,YEAR('Operational Detail'!X$2),'Monthly Table'!$BU$11:$BU$244)</f>
        <v>0</v>
      </c>
      <c r="Y49" s="25"/>
      <c r="Z49" s="25"/>
      <c r="AA49" s="25"/>
      <c r="AB49" s="25"/>
    </row>
    <row r="50" spans="2:29" ht="10.5" customHeight="1">
      <c r="B50" s="92" t="s">
        <v>762</v>
      </c>
      <c r="C50" s="67"/>
      <c r="D50" s="39">
        <f>SUMIF('Monthly Table'!$C$11:$C$244,YEAR('Operational Detail'!D$2),'Monthly Table'!$BY$11:$BY$244)</f>
        <v>0</v>
      </c>
      <c r="E50" s="39">
        <f>SUMIF('Monthly Table'!$C$11:$C$244,YEAR('Operational Detail'!E$2),'Monthly Table'!$BY$11:$BY$244)</f>
        <v>0</v>
      </c>
      <c r="F50" s="39">
        <f>SUMIF('Monthly Table'!$C$11:$C$244,YEAR('Operational Detail'!F$2),'Monthly Table'!$BY$11:$BY$244)</f>
        <v>0</v>
      </c>
      <c r="G50" s="39">
        <f>SUMIF('Monthly Table'!$C$11:$C$244,YEAR('Operational Detail'!G$2),'Monthly Table'!$BY$11:$BY$244)</f>
        <v>0</v>
      </c>
      <c r="H50" s="39">
        <f>SUMIF('Monthly Table'!$C$11:$C$244,YEAR('Operational Detail'!H$2),'Monthly Table'!$BY$11:$BY$244)</f>
        <v>0</v>
      </c>
      <c r="I50" s="39">
        <f>SUMIF('Monthly Table'!$C$11:$C$244,YEAR('Operational Detail'!I$2),'Monthly Table'!$BY$11:$BY$244)</f>
        <v>0</v>
      </c>
      <c r="J50" s="39">
        <f>SUMIF('Monthly Table'!$C$11:$C$244,YEAR('Operational Detail'!J$2),'Monthly Table'!$BY$11:$BY$244)</f>
        <v>0</v>
      </c>
      <c r="K50" s="39">
        <f>SUMIF('Monthly Table'!$C$11:$C$244,YEAR('Operational Detail'!K$2),'Monthly Table'!$BY$11:$BY$244)</f>
        <v>0</v>
      </c>
      <c r="L50" s="39">
        <f>SUMIF('Monthly Table'!$C$11:$C$244,YEAR('Operational Detail'!L$2),'Monthly Table'!$BY$11:$BY$244)</f>
        <v>0</v>
      </c>
      <c r="M50" s="39">
        <f>SUMIF('Monthly Table'!$C$11:$C$244,YEAR('Operational Detail'!M$2),'Monthly Table'!$BY$11:$BY$244)</f>
        <v>0</v>
      </c>
      <c r="N50" s="39">
        <f>SUMIF('Monthly Table'!$C$11:$C$244,YEAR('Operational Detail'!N$2),'Monthly Table'!$BY$11:$BY$244)</f>
        <v>0</v>
      </c>
      <c r="O50" s="39">
        <f>SUMIF('Monthly Table'!$C$11:$C$244,YEAR('Operational Detail'!O$2),'Monthly Table'!$BY$11:$BY$244)</f>
        <v>0</v>
      </c>
      <c r="P50" s="39">
        <f>SUMIF('Monthly Table'!$C$11:$C$244,YEAR('Operational Detail'!P$2),'Monthly Table'!$BY$11:$BY$244)</f>
        <v>0</v>
      </c>
      <c r="Q50" s="39">
        <f>SUMIF('Monthly Table'!$C$11:$C$244,YEAR('Operational Detail'!Q$2),'Monthly Table'!$BY$11:$BY$244)</f>
        <v>0</v>
      </c>
      <c r="R50" s="39">
        <f>SUMIF('Monthly Table'!$C$11:$C$244,YEAR('Operational Detail'!R$2),'Monthly Table'!$BY$11:$BY$244)</f>
        <v>0</v>
      </c>
      <c r="S50" s="39">
        <f>SUMIF('Monthly Table'!$C$11:$C$244,YEAR('Operational Detail'!S$2),'Monthly Table'!$BY$11:$BY$244)</f>
        <v>0</v>
      </c>
      <c r="T50" s="39">
        <f>SUMIF('Monthly Table'!$C$11:$C$244,YEAR('Operational Detail'!T$2),'Monthly Table'!$BY$11:$BY$244)</f>
        <v>0</v>
      </c>
      <c r="U50" s="39">
        <f>SUMIF('Monthly Table'!$C$11:$C$244,YEAR('Operational Detail'!U$2),'Monthly Table'!$BY$11:$BY$244)</f>
        <v>0</v>
      </c>
      <c r="V50" s="39">
        <f>SUMIF('Monthly Table'!$C$11:$C$244,YEAR('Operational Detail'!V$2),'Monthly Table'!$BY$11:$BY$244)</f>
        <v>0</v>
      </c>
      <c r="W50" s="39" t="e">
        <f>SUMIF('Monthly Table'!$C$11:$C$244,YEAR('Operational Detail'!W$2),'Monthly Table'!$BY$11:$BY$244)</f>
        <v>#DIV/0!</v>
      </c>
      <c r="X50" s="39" t="e">
        <f>SUMIF('Monthly Table'!$C$11:$C$244,YEAR('Operational Detail'!X$2),'Monthly Table'!$BY$11:$BY$244)</f>
        <v>#DIV/0!</v>
      </c>
      <c r="Y50" s="25"/>
      <c r="Z50" s="25"/>
      <c r="AA50" s="25"/>
      <c r="AB50" s="25"/>
    </row>
    <row r="51" spans="2:29" ht="10.5" customHeight="1">
      <c r="B51" s="92" t="s">
        <v>763</v>
      </c>
      <c r="C51" s="67"/>
      <c r="D51" s="39">
        <f>SUMIF('Monthly Table'!$C$11:$C$244,YEAR('Operational Detail'!D$2),'Monthly Table'!$CC$11:$CC$244)</f>
        <v>0</v>
      </c>
      <c r="E51" s="39">
        <f>SUMIF('Monthly Table'!$C$11:$C$244,YEAR('Operational Detail'!E$2),'Monthly Table'!$CC$11:$CC$244)</f>
        <v>1789.7636578728939</v>
      </c>
      <c r="F51" s="39">
        <f>SUMIF('Monthly Table'!$C$11:$C$244,YEAR('Operational Detail'!F$2),'Monthly Table'!$CC$11:$CC$244)</f>
        <v>1942.0551838602037</v>
      </c>
      <c r="G51" s="39">
        <f>SUMIF('Monthly Table'!$C$11:$C$244,YEAR('Operational Detail'!G$2),'Monthly Table'!$CC$11:$CC$244)</f>
        <v>1893.4144376860152</v>
      </c>
      <c r="H51" s="39">
        <f>IF(H10=0,0,SUMIF('Monthly Table'!$C$11:$C$244,YEAR('Operational Detail'!H$2),'Monthly Table'!$CC$11:$CC$244))</f>
        <v>1843.6583750504162</v>
      </c>
      <c r="I51" s="39">
        <f>IF(I10=0,0,SUMIF('Monthly Table'!$C$11:$C$244,YEAR('Operational Detail'!I$2),'Monthly Table'!$CC$11:$CC$244))</f>
        <v>1802.6412956177724</v>
      </c>
      <c r="J51" s="39">
        <f>IF(J10=0,0,SUMIF('Monthly Table'!$C$11:$C$244,YEAR('Operational Detail'!J$2),'Monthly Table'!$CC$11:$CC$244))</f>
        <v>1827.0882548983154</v>
      </c>
      <c r="K51" s="39">
        <f>IF(K10=0,0,SUMIF('Monthly Table'!$C$11:$C$244,YEAR('Operational Detail'!K$2),'Monthly Table'!$CC$11:$CC$244))</f>
        <v>1613.2132115244749</v>
      </c>
      <c r="L51" s="39">
        <f>IF(L10=0,0,SUMIF('Monthly Table'!$C$11:$C$244,YEAR('Operational Detail'!L$2),'Monthly Table'!$CC$11:$CC$244))</f>
        <v>1804.2503894825418</v>
      </c>
      <c r="M51" s="39">
        <f>IF(M10=0,0,SUMIF('Monthly Table'!$C$11:$C$244,YEAR('Operational Detail'!M$2),'Monthly Table'!$CC$11:$CC$244))</f>
        <v>1594.5767682276326</v>
      </c>
      <c r="N51" s="39">
        <f>IF(N10=0,0,SUMIF('Monthly Table'!$C$11:$C$244,YEAR('Operational Detail'!N$2),'Monthly Table'!$CC$11:$CC$244))</f>
        <v>1783.6988364509516</v>
      </c>
      <c r="O51" s="39">
        <f>IF(O10=0,0,SUMIF('Monthly Table'!$C$11:$C$244,YEAR('Operational Detail'!O$2),'Monthly Table'!$CC$11:$CC$244))</f>
        <v>1772.3513371588451</v>
      </c>
      <c r="P51" s="39">
        <f>IF(P10=0,0,SUMIF('Monthly Table'!$C$11:$C$244,YEAR('Operational Detail'!P$2),'Monthly Table'!$CC$11:$CC$244))</f>
        <v>1565.4868399128752</v>
      </c>
      <c r="Q51" s="39">
        <f>IF(Q10=0,0,SUMIF('Monthly Table'!$C$11:$C$244,YEAR('Operational Detail'!Q$2),'Monthly Table'!$CC$11:$CC$244))</f>
        <v>1785.8489447222155</v>
      </c>
      <c r="R51" s="39">
        <f>IF(R10=0,0,SUMIF('Monthly Table'!$C$11:$C$244,YEAR('Operational Detail'!R$2),'Monthly Table'!$CC$11:$CC$244))</f>
        <v>1774.8540142338816</v>
      </c>
      <c r="S51" s="39">
        <f>IF(S10=0,0,SUMIF('Monthly Table'!$C$11:$C$244,YEAR('Operational Detail'!S$2),'Monthly Table'!$CC$11:$CC$244))</f>
        <v>1568.3061001495057</v>
      </c>
      <c r="T51" s="39">
        <f>IF(T10=0,0,SUMIF('Monthly Table'!$C$11:$C$244,YEAR('Operational Detail'!T$2),'Monthly Table'!$CC$11:$CC$244))</f>
        <v>0</v>
      </c>
      <c r="U51" s="39">
        <f>IF(U10=0,0,SUMIF('Monthly Table'!$C$11:$C$244,YEAR('Operational Detail'!U$2),'Monthly Table'!$CC$11:$CC$244))</f>
        <v>0</v>
      </c>
      <c r="V51" s="39">
        <f>IF(V10=0,0,SUMIF('Monthly Table'!$C$11:$C$244,YEAR('Operational Detail'!V$2),'Monthly Table'!$CC$11:$CC$244))</f>
        <v>0</v>
      </c>
      <c r="W51" s="39" t="e">
        <f>IF(W10=0,0,SUMIF('Monthly Table'!$C$11:$C$244,YEAR('Operational Detail'!W$2),'Monthly Table'!$CC$11:$CC$244))</f>
        <v>#DIV/0!</v>
      </c>
      <c r="X51" s="39" t="e">
        <f>IF(X10=0,0,SUMIF('Monthly Table'!$C$11:$C$244,YEAR('Operational Detail'!X$2),'Monthly Table'!$CC$11:$CC$244))</f>
        <v>#DIV/0!</v>
      </c>
      <c r="Y51" s="25"/>
      <c r="Z51" s="25"/>
      <c r="AA51" s="25"/>
      <c r="AB51" s="25"/>
    </row>
    <row r="52" spans="2:29" ht="10.5" customHeight="1">
      <c r="B52" s="92" t="s">
        <v>766</v>
      </c>
      <c r="C52" s="67"/>
      <c r="D52" s="39">
        <f>SUMIF('Monthly Table'!$C$11:$C$244,YEAR('Operational Detail'!D$2),'Monthly Table'!$CF$11:$CF$244)</f>
        <v>0</v>
      </c>
      <c r="E52" s="39">
        <f>SUMIF('Monthly Table'!$C$11:$C$244,YEAR('Operational Detail'!E$2),'Monthly Table'!$CF$11:$CF$244)</f>
        <v>0</v>
      </c>
      <c r="F52" s="39">
        <f>SUMIF('Monthly Table'!$C$11:$C$244,YEAR('Operational Detail'!F$2),'Monthly Table'!$CF$11:$CF$244)</f>
        <v>0</v>
      </c>
      <c r="G52" s="39">
        <f>SUMIF('Monthly Table'!$C$11:$C$244,YEAR('Operational Detail'!G$2),'Monthly Table'!$CF$11:$CF$244)</f>
        <v>0</v>
      </c>
      <c r="H52" s="39">
        <f>SUMIF('Monthly Table'!$C$11:$C$244,YEAR('Operational Detail'!H$2),'Monthly Table'!$CF$11:$CF$244)</f>
        <v>0</v>
      </c>
      <c r="I52" s="39">
        <f>SUMIF('Monthly Table'!$C$11:$C$244,YEAR('Operational Detail'!I$2),'Monthly Table'!$CF$11:$CF$244)</f>
        <v>0</v>
      </c>
      <c r="J52" s="39">
        <f>SUMIF('Monthly Table'!$C$11:$C$244,YEAR('Operational Detail'!J$2),'Monthly Table'!$CF$11:$CF$244)</f>
        <v>0</v>
      </c>
      <c r="K52" s="39">
        <f>SUMIF('Monthly Table'!$C$11:$C$244,YEAR('Operational Detail'!K$2),'Monthly Table'!$CF$11:$CF$244)</f>
        <v>0</v>
      </c>
      <c r="L52" s="39">
        <f>SUMIF('Monthly Table'!$C$11:$C$244,YEAR('Operational Detail'!L$2),'Monthly Table'!$CF$11:$CF$244)</f>
        <v>0</v>
      </c>
      <c r="M52" s="39">
        <f>SUMIF('Monthly Table'!$C$11:$C$244,YEAR('Operational Detail'!M$2),'Monthly Table'!$CF$11:$CF$244)</f>
        <v>0</v>
      </c>
      <c r="N52" s="39">
        <f>SUMIF('Monthly Table'!$C$11:$C$244,YEAR('Operational Detail'!N$2),'Monthly Table'!$CF$11:$CF$244)</f>
        <v>0</v>
      </c>
      <c r="O52" s="39">
        <f>SUMIF('Monthly Table'!$C$11:$C$244,YEAR('Operational Detail'!O$2),'Monthly Table'!$CF$11:$CF$244)</f>
        <v>0</v>
      </c>
      <c r="P52" s="39">
        <f>SUMIF('Monthly Table'!$C$11:$C$244,YEAR('Operational Detail'!P$2),'Monthly Table'!$CF$11:$CF$244)</f>
        <v>0</v>
      </c>
      <c r="Q52" s="39">
        <f>SUMIF('Monthly Table'!$C$11:$C$244,YEAR('Operational Detail'!Q$2),'Monthly Table'!$CF$11:$CF$244)</f>
        <v>0</v>
      </c>
      <c r="R52" s="39">
        <f>SUMIF('Monthly Table'!$C$11:$C$244,YEAR('Operational Detail'!R$2),'Monthly Table'!$CF$11:$CF$244)</f>
        <v>0</v>
      </c>
      <c r="S52" s="39">
        <f>SUMIF('Monthly Table'!$C$11:$C$244,YEAR('Operational Detail'!S$2),'Monthly Table'!$CF$11:$CF$244)</f>
        <v>0</v>
      </c>
      <c r="T52" s="39">
        <f>SUMIF('Monthly Table'!$C$11:$C$244,YEAR('Operational Detail'!T$2),'Monthly Table'!$CF$11:$CF$244)</f>
        <v>0</v>
      </c>
      <c r="U52" s="39">
        <f>SUMIF('Monthly Table'!$C$11:$C$244,YEAR('Operational Detail'!U$2),'Monthly Table'!$CF$11:$CF$244)</f>
        <v>0</v>
      </c>
      <c r="V52" s="39">
        <f>SUMIF('Monthly Table'!$C$11:$C$244,YEAR('Operational Detail'!V$2),'Monthly Table'!$CF$11:$CF$244)</f>
        <v>0</v>
      </c>
      <c r="W52" s="39" t="e">
        <f>SUMIF('Monthly Table'!$C$11:$C$244,YEAR('Operational Detail'!W$2),'Monthly Table'!$CF$11:$CF$244)</f>
        <v>#DIV/0!</v>
      </c>
      <c r="X52" s="39" t="e">
        <f>SUMIF('Monthly Table'!$C$11:$C$244,YEAR('Operational Detail'!X$2),'Monthly Table'!$CF$11:$CF$244)</f>
        <v>#DIV/0!</v>
      </c>
      <c r="Y52" s="25"/>
      <c r="Z52" s="25"/>
      <c r="AA52" s="25"/>
      <c r="AB52" s="25"/>
    </row>
    <row r="53" spans="2:29" ht="10.5" customHeight="1">
      <c r="B53" s="92" t="s">
        <v>780</v>
      </c>
      <c r="C53" s="67"/>
      <c r="D53" s="39">
        <f>SUMIF('Monthly Table'!$C$11:$C$244,YEAR('Operational Detail'!D$2),'Monthly Table'!$CJ$11:$CJ$244)</f>
        <v>0</v>
      </c>
      <c r="E53" s="39">
        <f>SUMIF('Monthly Table'!$C$11:$C$244,YEAR('Operational Detail'!E$2),'Monthly Table'!$CJ$11:$CJ$244)</f>
        <v>1981.6615351863497</v>
      </c>
      <c r="F53" s="39">
        <f>SUMIF('Monthly Table'!$C$11:$C$244,YEAR('Operational Detail'!F$2),'Monthly Table'!$CJ$11:$CJ$244)</f>
        <v>1720.2504086155109</v>
      </c>
      <c r="G53" s="39">
        <f>SUMIF('Monthly Table'!$C$11:$C$244,YEAR('Operational Detail'!G$2),'Monthly Table'!$CJ$11:$CJ$244)</f>
        <v>1863.4341909843813</v>
      </c>
      <c r="H53" s="39">
        <f>SUMIF('Monthly Table'!$C$11:$C$244,YEAR('Operational Detail'!H$2),'Monthly Table'!$CJ$11:$CJ$244)</f>
        <v>1814.2798082220065</v>
      </c>
      <c r="I53" s="39">
        <f>SUMIF('Monthly Table'!$C$11:$C$244,YEAR('Operational Detail'!I$2),'Monthly Table'!$CJ$11:$CJ$244)</f>
        <v>1774.0912612486018</v>
      </c>
      <c r="J53" s="39">
        <f>SUMIF('Monthly Table'!$C$11:$C$244,YEAR('Operational Detail'!J$2),'Monthly Table'!$CJ$11:$CJ$244)</f>
        <v>1798.150866524682</v>
      </c>
      <c r="K53" s="39">
        <f>SUMIF('Monthly Table'!$C$11:$C$244,YEAR('Operational Detail'!K$2),'Monthly Table'!$CJ$11:$CJ$244)</f>
        <v>1786.1809829904862</v>
      </c>
      <c r="L53" s="39">
        <f>SUMIF('Monthly Table'!$C$11:$C$244,YEAR('Operational Detail'!L$2),'Monthly Table'!$CJ$11:$CJ$244)</f>
        <v>1775.6765884660911</v>
      </c>
      <c r="M53" s="39">
        <f>SUMIF('Monthly Table'!$C$11:$C$244,YEAR('Operational Detail'!M$2),'Monthly Table'!$CJ$11:$CJ$244)</f>
        <v>1765.5633009929084</v>
      </c>
      <c r="N53" s="39">
        <f>SUMIF('Monthly Table'!$C$11:$C$244,YEAR('Operational Detail'!N$2),'Monthly Table'!$CJ$11:$CJ$244)</f>
        <v>1755.3203971570438</v>
      </c>
      <c r="O53" s="39">
        <f>SUMIF('Monthly Table'!$C$11:$C$244,YEAR('Operational Detail'!O$2),'Monthly Table'!$CJ$11:$CJ$244)</f>
        <v>1744.2694734038196</v>
      </c>
      <c r="P53" s="39">
        <f>SUMIF('Monthly Table'!$C$11:$C$244,YEAR('Operational Detail'!P$2),'Monthly Table'!$CJ$11:$CJ$244)</f>
        <v>0</v>
      </c>
      <c r="Q53" s="39">
        <f>SUMIF('Monthly Table'!$C$11:$C$244,YEAR('Operational Detail'!Q$2),'Monthly Table'!$CJ$11:$CJ$244)</f>
        <v>0</v>
      </c>
      <c r="R53" s="39">
        <f>SUMIF('Monthly Table'!$C$11:$C$244,YEAR('Operational Detail'!R$2),'Monthly Table'!$CJ$11:$CJ$244)</f>
        <v>0</v>
      </c>
      <c r="S53" s="39">
        <f>SUMIF('Monthly Table'!$C$11:$C$244,YEAR('Operational Detail'!S$2),'Monthly Table'!$CJ$11:$CJ$244)</f>
        <v>0</v>
      </c>
      <c r="T53" s="39">
        <f>SUMIF('Monthly Table'!$C$11:$C$244,YEAR('Operational Detail'!T$2),'Monthly Table'!$CJ$11:$CJ$244)</f>
        <v>5379.6218034406056</v>
      </c>
      <c r="U53" s="39">
        <f>SUMIF('Monthly Table'!$C$11:$C$244,YEAR('Operational Detail'!U$2),'Monthly Table'!$CJ$11:$CJ$244)</f>
        <v>5411.2121855488167</v>
      </c>
      <c r="V53" s="39">
        <f>SUMIF('Monthly Table'!$C$11:$C$244,YEAR('Operational Detail'!V$2),'Monthly Table'!$CJ$11:$CJ$244)</f>
        <v>4404.7032420598316</v>
      </c>
      <c r="W53" s="39" t="e">
        <f>SUMIF('Monthly Table'!$C$11:$C$244,YEAR('Operational Detail'!W$2),'Monthly Table'!$CJ$11:$CJ$244)</f>
        <v>#DIV/0!</v>
      </c>
      <c r="X53" s="39" t="e">
        <f>SUMIF('Monthly Table'!$C$11:$C$244,YEAR('Operational Detail'!X$2),'Monthly Table'!$CJ$11:$CJ$244)</f>
        <v>#DIV/0!</v>
      </c>
      <c r="Y53" s="25"/>
      <c r="Z53" s="25"/>
      <c r="AA53" s="25"/>
      <c r="AB53" s="25"/>
    </row>
    <row r="54" spans="2:29" ht="10.5" customHeight="1">
      <c r="B54" s="67"/>
      <c r="C54" s="6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25"/>
      <c r="Z54" s="25"/>
      <c r="AA54" s="25"/>
      <c r="AB54" s="25"/>
    </row>
    <row r="55" spans="2:29" ht="10.5" customHeight="1" thickBot="1">
      <c r="B55" s="114" t="s">
        <v>767</v>
      </c>
      <c r="C55" s="67"/>
      <c r="D55" s="466">
        <f>SUM(D49:D54)</f>
        <v>0</v>
      </c>
      <c r="E55" s="466">
        <f t="shared" ref="E55:X55" si="10">SUM(E49:E54)</f>
        <v>44971.96097257013</v>
      </c>
      <c r="F55" s="466">
        <f t="shared" si="10"/>
        <v>38479.215035155961</v>
      </c>
      <c r="G55" s="466">
        <f t="shared" si="10"/>
        <v>34480.41257903204</v>
      </c>
      <c r="H55" s="466">
        <f t="shared" si="10"/>
        <v>28103.931738568768</v>
      </c>
      <c r="I55" s="466">
        <f t="shared" si="10"/>
        <v>26530.765066410444</v>
      </c>
      <c r="J55" s="466">
        <f t="shared" si="10"/>
        <v>27747.408729875715</v>
      </c>
      <c r="K55" s="466">
        <f t="shared" si="10"/>
        <v>28395.299646516341</v>
      </c>
      <c r="L55" s="466">
        <f t="shared" si="10"/>
        <v>28832.351520773442</v>
      </c>
      <c r="M55" s="466">
        <f t="shared" si="10"/>
        <v>30047.371077141313</v>
      </c>
      <c r="N55" s="466">
        <f t="shared" si="10"/>
        <v>30440.345494628611</v>
      </c>
      <c r="O55" s="466">
        <f t="shared" si="10"/>
        <v>31080.507836907011</v>
      </c>
      <c r="P55" s="466">
        <f t="shared" si="10"/>
        <v>30022.885042176815</v>
      </c>
      <c r="Q55" s="466">
        <f t="shared" si="10"/>
        <v>31210.319397360741</v>
      </c>
      <c r="R55" s="466">
        <f t="shared" si="10"/>
        <v>31599.054003338999</v>
      </c>
      <c r="S55" s="466">
        <f t="shared" si="10"/>
        <v>32901.709149403672</v>
      </c>
      <c r="T55" s="466">
        <f t="shared" si="10"/>
        <v>5379.6218034406056</v>
      </c>
      <c r="U55" s="466">
        <f t="shared" si="10"/>
        <v>5411.2121855488167</v>
      </c>
      <c r="V55" s="466">
        <f t="shared" si="10"/>
        <v>4404.7032420598316</v>
      </c>
      <c r="W55" s="466" t="e">
        <f t="shared" si="10"/>
        <v>#DIV/0!</v>
      </c>
      <c r="X55" s="466" t="e">
        <f t="shared" si="10"/>
        <v>#DIV/0!</v>
      </c>
      <c r="Y55" s="39"/>
      <c r="Z55" s="39"/>
      <c r="AA55" s="39"/>
      <c r="AB55" s="39"/>
    </row>
    <row r="56" spans="2:29" ht="10.5" customHeight="1" thickTop="1">
      <c r="B56" s="67"/>
      <c r="C56" s="6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25"/>
      <c r="Z56" s="25"/>
      <c r="AA56" s="25"/>
      <c r="AB56" s="25"/>
    </row>
    <row r="57" spans="2:29" ht="10.5" customHeight="1">
      <c r="B57" s="67"/>
      <c r="C57" s="6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25"/>
      <c r="Z57" s="25"/>
      <c r="AA57" s="25"/>
      <c r="AB57" s="25"/>
    </row>
    <row r="58" spans="2:29" ht="10.5" customHeight="1">
      <c r="B58" s="92" t="s">
        <v>692</v>
      </c>
      <c r="C58" s="6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25"/>
      <c r="Z58" s="25"/>
      <c r="AA58" s="25"/>
      <c r="AB58" s="25"/>
    </row>
    <row r="59" spans="2:29" ht="10.5" customHeight="1">
      <c r="B59" s="67" t="s">
        <v>694</v>
      </c>
      <c r="C59" s="67"/>
      <c r="D59" s="55">
        <f>Assumptions!$B$49</f>
        <v>0</v>
      </c>
      <c r="E59" s="55">
        <f>Assumptions!$B$49</f>
        <v>0</v>
      </c>
      <c r="F59" s="55">
        <f>Assumptions!$B$49</f>
        <v>0</v>
      </c>
      <c r="G59" s="55">
        <f>Assumptions!$B$49</f>
        <v>0</v>
      </c>
      <c r="H59" s="55">
        <f>Assumptions!$B$49</f>
        <v>0</v>
      </c>
      <c r="I59" s="55">
        <f>Assumptions!$B$49</f>
        <v>0</v>
      </c>
      <c r="J59" s="55">
        <f>Assumptions!$B$49</f>
        <v>0</v>
      </c>
      <c r="K59" s="55">
        <f>Assumptions!$B$49</f>
        <v>0</v>
      </c>
      <c r="L59" s="55">
        <f>Assumptions!$B$49</f>
        <v>0</v>
      </c>
      <c r="M59" s="55">
        <f>Assumptions!$B$49</f>
        <v>0</v>
      </c>
      <c r="N59" s="55">
        <f>Assumptions!$B$49</f>
        <v>0</v>
      </c>
      <c r="O59" s="55">
        <f>Assumptions!$B$49</f>
        <v>0</v>
      </c>
      <c r="P59" s="55">
        <f>Assumptions!$B$49</f>
        <v>0</v>
      </c>
      <c r="Q59" s="55">
        <f>Assumptions!$B$49</f>
        <v>0</v>
      </c>
      <c r="R59" s="55">
        <f>Assumptions!$B$49</f>
        <v>0</v>
      </c>
      <c r="S59" s="55">
        <f>Assumptions!$B$49</f>
        <v>0</v>
      </c>
      <c r="T59" s="55">
        <f>Assumptions!$B$49</f>
        <v>0</v>
      </c>
      <c r="U59" s="55">
        <f>Assumptions!$B$49</f>
        <v>0</v>
      </c>
      <c r="V59" s="55">
        <f>Assumptions!$B$49</f>
        <v>0</v>
      </c>
      <c r="W59" s="55">
        <f>Assumptions!$B$49</f>
        <v>0</v>
      </c>
      <c r="X59" s="55">
        <f>Assumptions!$B$49</f>
        <v>0</v>
      </c>
      <c r="Y59" s="25"/>
      <c r="Z59" s="25"/>
      <c r="AA59" s="25"/>
      <c r="AB59" s="25"/>
    </row>
    <row r="60" spans="2:29" ht="10.5" customHeight="1">
      <c r="B60" s="67"/>
      <c r="C60" s="67"/>
      <c r="D60" s="676">
        <f t="shared" ref="D60:X60" si="11">(D21*D59)/1000</f>
        <v>0</v>
      </c>
      <c r="E60" s="676">
        <f t="shared" si="11"/>
        <v>0</v>
      </c>
      <c r="F60" s="676">
        <f t="shared" si="11"/>
        <v>0</v>
      </c>
      <c r="G60" s="676">
        <f t="shared" si="11"/>
        <v>0</v>
      </c>
      <c r="H60" s="676">
        <f t="shared" si="11"/>
        <v>0</v>
      </c>
      <c r="I60" s="676">
        <f t="shared" si="11"/>
        <v>0</v>
      </c>
      <c r="J60" s="676">
        <f t="shared" si="11"/>
        <v>0</v>
      </c>
      <c r="K60" s="676">
        <f t="shared" si="11"/>
        <v>0</v>
      </c>
      <c r="L60" s="676">
        <f t="shared" si="11"/>
        <v>0</v>
      </c>
      <c r="M60" s="676">
        <f t="shared" si="11"/>
        <v>0</v>
      </c>
      <c r="N60" s="676">
        <f t="shared" si="11"/>
        <v>0</v>
      </c>
      <c r="O60" s="676">
        <f t="shared" si="11"/>
        <v>0</v>
      </c>
      <c r="P60" s="676">
        <f t="shared" si="11"/>
        <v>0</v>
      </c>
      <c r="Q60" s="676">
        <f t="shared" si="11"/>
        <v>0</v>
      </c>
      <c r="R60" s="676">
        <f t="shared" si="11"/>
        <v>0</v>
      </c>
      <c r="S60" s="676">
        <f t="shared" si="11"/>
        <v>0</v>
      </c>
      <c r="T60" s="676">
        <f t="shared" si="11"/>
        <v>0</v>
      </c>
      <c r="U60" s="676">
        <f t="shared" si="11"/>
        <v>0</v>
      </c>
      <c r="V60" s="676">
        <f t="shared" si="11"/>
        <v>0</v>
      </c>
      <c r="W60" s="676">
        <f t="shared" si="11"/>
        <v>0</v>
      </c>
      <c r="X60" s="676">
        <f t="shared" si="11"/>
        <v>0</v>
      </c>
      <c r="Y60" s="25"/>
      <c r="Z60" s="25"/>
      <c r="AA60" s="25"/>
      <c r="AB60" s="25"/>
    </row>
    <row r="61" spans="2:29" ht="10.5" customHeight="1">
      <c r="B61" s="67"/>
      <c r="C61" s="6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25"/>
      <c r="Z61" s="25"/>
      <c r="AA61" s="25"/>
      <c r="AB61" s="25"/>
    </row>
    <row r="62" spans="2:29" ht="10.5" customHeight="1">
      <c r="B62" s="67"/>
      <c r="C62" s="6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25"/>
      <c r="Z62" s="25"/>
      <c r="AA62" s="25"/>
      <c r="AB62" s="25"/>
    </row>
    <row r="63" spans="2:29" s="214" customFormat="1" ht="10.5" customHeight="1">
      <c r="B63" s="98" t="s">
        <v>697</v>
      </c>
      <c r="C63" s="78"/>
      <c r="D63" s="39">
        <f>Assumptions!$B$53*'Operational Detail'!D26</f>
        <v>14484.197568998281</v>
      </c>
      <c r="E63" s="39">
        <f>Assumptions!$B$53*'Operational Detail'!E26</f>
        <v>14371.112386416593</v>
      </c>
      <c r="F63" s="39">
        <f>Assumptions!$B$53*'Operational Detail'!F26</f>
        <v>14262.56255745831</v>
      </c>
      <c r="G63" s="39">
        <f>Assumptions!$B$53*'Operational Detail'!G26</f>
        <v>14140.742774701415</v>
      </c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25"/>
      <c r="Z63" s="25"/>
      <c r="AA63" s="25"/>
      <c r="AB63" s="25"/>
      <c r="AC63" s="43"/>
    </row>
    <row r="64" spans="2:29" s="214" customFormat="1" ht="10.5" customHeight="1">
      <c r="B64" s="98" t="s">
        <v>543</v>
      </c>
      <c r="C64" s="78"/>
      <c r="D64" s="609">
        <v>0</v>
      </c>
      <c r="E64" s="609">
        <f>Assumptions!$B$52</f>
        <v>0</v>
      </c>
      <c r="F64" s="609">
        <f>Assumptions!$B$52</f>
        <v>0</v>
      </c>
      <c r="G64" s="609">
        <f>Assumptions!$B$52</f>
        <v>0</v>
      </c>
      <c r="H64" s="609"/>
      <c r="I64" s="609"/>
      <c r="J64" s="609"/>
      <c r="K64" s="609"/>
      <c r="L64" s="609"/>
      <c r="M64" s="609"/>
      <c r="N64" s="609"/>
      <c r="O64" s="609"/>
      <c r="P64" s="609"/>
      <c r="Q64" s="609"/>
      <c r="R64" s="609"/>
      <c r="S64" s="609"/>
      <c r="T64" s="609"/>
      <c r="U64" s="609"/>
      <c r="V64" s="609"/>
      <c r="W64" s="609"/>
      <c r="X64" s="609"/>
      <c r="Y64" s="25"/>
      <c r="Z64" s="25"/>
      <c r="AA64" s="25"/>
      <c r="AB64" s="25"/>
      <c r="AC64" s="43"/>
    </row>
    <row r="65" spans="2:256" s="214" customFormat="1" ht="10.5" customHeight="1">
      <c r="B65" s="78"/>
      <c r="C65" s="78"/>
      <c r="D65" s="646">
        <f t="shared" ref="D65:S65" si="12">(D63*D64*D6)/1000</f>
        <v>0</v>
      </c>
      <c r="E65" s="646">
        <f t="shared" si="12"/>
        <v>0</v>
      </c>
      <c r="F65" s="646">
        <f t="shared" si="12"/>
        <v>0</v>
      </c>
      <c r="G65" s="646">
        <f t="shared" si="12"/>
        <v>0</v>
      </c>
      <c r="H65" s="646">
        <f t="shared" si="12"/>
        <v>0</v>
      </c>
      <c r="I65" s="646">
        <f t="shared" si="12"/>
        <v>0</v>
      </c>
      <c r="J65" s="646">
        <f t="shared" si="12"/>
        <v>0</v>
      </c>
      <c r="K65" s="646">
        <f t="shared" si="12"/>
        <v>0</v>
      </c>
      <c r="L65" s="646">
        <f t="shared" si="12"/>
        <v>0</v>
      </c>
      <c r="M65" s="646">
        <f t="shared" si="12"/>
        <v>0</v>
      </c>
      <c r="N65" s="646">
        <f t="shared" si="12"/>
        <v>0</v>
      </c>
      <c r="O65" s="646">
        <f t="shared" si="12"/>
        <v>0</v>
      </c>
      <c r="P65" s="646">
        <f t="shared" si="12"/>
        <v>0</v>
      </c>
      <c r="Q65" s="646">
        <f t="shared" si="12"/>
        <v>0</v>
      </c>
      <c r="R65" s="646">
        <f t="shared" si="12"/>
        <v>0</v>
      </c>
      <c r="S65" s="646">
        <f t="shared" si="12"/>
        <v>0</v>
      </c>
      <c r="T65" s="646">
        <f>IF(Tables!$B$21=15,0,(T63*T64*T6)/1000)</f>
        <v>0</v>
      </c>
      <c r="U65" s="646">
        <f>IF(Tables!$B$21=15,0,(U63*U64*U6)/1000)</f>
        <v>0</v>
      </c>
      <c r="V65" s="646">
        <f>IF(Tables!$B$21=15,0,(V63*V64*V6)/1000)</f>
        <v>0</v>
      </c>
      <c r="W65" s="646">
        <f>IF(Tables!$B$21=15,0,(W63*W64*W6)/1000)</f>
        <v>0</v>
      </c>
      <c r="X65" s="646">
        <f>IF(Tables!$B$21=15,0,(X63*X64*X6)/1000)</f>
        <v>0</v>
      </c>
      <c r="Y65" s="25"/>
      <c r="Z65" s="25"/>
      <c r="AA65" s="25"/>
      <c r="AB65" s="25"/>
      <c r="AC65" s="43"/>
    </row>
    <row r="66" spans="2:256" ht="10.5" customHeight="1">
      <c r="B66" s="67"/>
      <c r="C66" s="6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25"/>
      <c r="Z66" s="25"/>
      <c r="AA66" s="25"/>
      <c r="AB66" s="25"/>
    </row>
    <row r="67" spans="2:256" ht="10.5" customHeight="1" thickBot="1">
      <c r="B67" s="114" t="s">
        <v>620</v>
      </c>
      <c r="C67" s="67"/>
      <c r="D67" s="467">
        <f>D55+D60+D65</f>
        <v>0</v>
      </c>
      <c r="E67" s="467">
        <f>E55+E60+E65</f>
        <v>44971.96097257013</v>
      </c>
      <c r="F67" s="467">
        <f t="shared" ref="F67:X67" si="13">F55+F60+F65</f>
        <v>38479.215035155961</v>
      </c>
      <c r="G67" s="467">
        <f t="shared" si="13"/>
        <v>34480.41257903204</v>
      </c>
      <c r="H67" s="467">
        <f t="shared" si="13"/>
        <v>28103.931738568768</v>
      </c>
      <c r="I67" s="467">
        <f t="shared" si="13"/>
        <v>26530.765066410444</v>
      </c>
      <c r="J67" s="467">
        <f t="shared" si="13"/>
        <v>27747.408729875715</v>
      </c>
      <c r="K67" s="467">
        <f t="shared" si="13"/>
        <v>28395.299646516341</v>
      </c>
      <c r="L67" s="467">
        <f t="shared" si="13"/>
        <v>28832.351520773442</v>
      </c>
      <c r="M67" s="467">
        <f t="shared" si="13"/>
        <v>30047.371077141313</v>
      </c>
      <c r="N67" s="467">
        <f t="shared" si="13"/>
        <v>30440.345494628611</v>
      </c>
      <c r="O67" s="467">
        <f t="shared" si="13"/>
        <v>31080.507836907011</v>
      </c>
      <c r="P67" s="467">
        <f t="shared" si="13"/>
        <v>30022.885042176815</v>
      </c>
      <c r="Q67" s="467">
        <f t="shared" si="13"/>
        <v>31210.319397360741</v>
      </c>
      <c r="R67" s="467">
        <f t="shared" si="13"/>
        <v>31599.054003338999</v>
      </c>
      <c r="S67" s="467">
        <f t="shared" si="13"/>
        <v>32901.709149403672</v>
      </c>
      <c r="T67" s="467">
        <f t="shared" si="13"/>
        <v>5379.6218034406056</v>
      </c>
      <c r="U67" s="467">
        <f t="shared" si="13"/>
        <v>5411.2121855488167</v>
      </c>
      <c r="V67" s="467">
        <f t="shared" si="13"/>
        <v>4404.7032420598316</v>
      </c>
      <c r="W67" s="467" t="e">
        <f t="shared" si="13"/>
        <v>#DIV/0!</v>
      </c>
      <c r="X67" s="467" t="e">
        <f t="shared" si="13"/>
        <v>#DIV/0!</v>
      </c>
      <c r="Y67" s="25"/>
      <c r="Z67" s="25"/>
      <c r="AA67" s="25"/>
      <c r="AB67" s="25"/>
    </row>
    <row r="68" spans="2:256" ht="10.5" customHeight="1" thickTop="1">
      <c r="B68" s="67"/>
      <c r="C68" s="6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25"/>
      <c r="Z68" s="25"/>
      <c r="AA68" s="25"/>
      <c r="AB68" s="25"/>
    </row>
    <row r="69" spans="2:256" ht="10.5" customHeight="1">
      <c r="B69" s="92" t="s">
        <v>784</v>
      </c>
      <c r="C69" s="6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25"/>
      <c r="Z69" s="25"/>
      <c r="AA69" s="25"/>
      <c r="AB69" s="25"/>
    </row>
    <row r="70" spans="2:256" ht="10.5" customHeight="1">
      <c r="B70" s="67" t="s">
        <v>538</v>
      </c>
      <c r="C70" s="67"/>
      <c r="D70" s="39">
        <f>IF(D21=0,0,IF(Assumptions!$B$47="Yes",SUMIF('Monthly Table'!$C$11:$C$244,YEAR('Operational Detail'!D$2),'Monthly Table'!$AD$11:$AD$244)/1000,0))</f>
        <v>0</v>
      </c>
      <c r="E70" s="39">
        <f>IF(E21=0,0,IF(Assumptions!$B$47="Yes",SUMIF('Monthly Table'!$C$11:$C$244,YEAR('Operational Detail'!E$2),'Monthly Table'!$AD$11:$AD$244)/1000,0))</f>
        <v>3404.6300738321984</v>
      </c>
      <c r="F70" s="39">
        <f>IF(F21=0,0,IF(Assumptions!$B$47="Yes",SUMIF('Monthly Table'!$C$11:$C$244,YEAR('Operational Detail'!F$2),'Monthly Table'!$AD$11:$AD$244)/1000,0))</f>
        <v>3490.9919066865541</v>
      </c>
      <c r="G70" s="39">
        <f>IF(G21=0,0,IF(Assumptions!$B$47="Yes",SUMIF('Monthly Table'!$C$11:$C$244,YEAR('Operational Detail'!G$2),'Monthly Table'!$AD$11:$AD$244)/1000,0))</f>
        <v>3223.4514377388223</v>
      </c>
      <c r="H70" s="39">
        <f>IF(H21=0,0,IF(Assumptions!$B$47="Yes",SUMIF('Monthly Table'!$C$11:$C$244,YEAR('Operational Detail'!H$2),'Monthly Table'!$AD$11:$AD$244)/1000,0))</f>
        <v>2388.8760486759538</v>
      </c>
      <c r="I70" s="39">
        <f>IF(I21=0,0,IF(Assumptions!$B$47="Yes",SUMIF('Monthly Table'!$C$11:$C$244,YEAR('Operational Detail'!I$2),'Monthly Table'!$AD$11:$AD$244)/1000,0))</f>
        <v>1940.6025811807256</v>
      </c>
      <c r="J70" s="39">
        <f>IF(J21=0,0,IF(Assumptions!$B$47="Yes",SUMIF('Monthly Table'!$C$11:$C$244,YEAR('Operational Detail'!J$2),'Monthly Table'!$AD$11:$AD$244)/1000,0))</f>
        <v>1850.663176794844</v>
      </c>
      <c r="K70" s="39">
        <f>IF(K21=0,0,IF(Assumptions!$B$47="Yes",SUMIF('Monthly Table'!$C$11:$C$244,YEAR('Operational Detail'!K$2),'Monthly Table'!$AD$11:$AD$244)/1000,0))</f>
        <v>1826.5722871637877</v>
      </c>
      <c r="L70" s="39">
        <f>IF(L21=0,0,IF(Assumptions!$B$47="Yes",SUMIF('Monthly Table'!$C$11:$C$244,YEAR('Operational Detail'!L$2),'Monthly Table'!$AD$11:$AD$244)/1000,0))</f>
        <v>1093.9883230269854</v>
      </c>
      <c r="M70" s="39">
        <f>IF(M21=0,0,IF(Assumptions!$B$47="Yes",SUMIF('Monthly Table'!$C$11:$C$244,YEAR('Operational Detail'!M$2),'Monthly Table'!$AD$11:$AD$244)/1000,0))</f>
        <v>976.14661728724684</v>
      </c>
      <c r="N70" s="39">
        <f>IF(N21=0,0,IF(Assumptions!$B$47="Yes",SUMIF('Monthly Table'!$C$11:$C$244,YEAR('Operational Detail'!N$2),'Monthly Table'!$AD$11:$AD$244)/1000,0))</f>
        <v>1016.4296438507955</v>
      </c>
      <c r="O70" s="39">
        <f>IF(O21=0,0,IF(Assumptions!$B$47="Yes",SUMIF('Monthly Table'!$C$11:$C$244,YEAR('Operational Detail'!O$2),'Monthly Table'!$AD$11:$AD$244)/1000,0))</f>
        <v>1024.9244119970383</v>
      </c>
      <c r="P70" s="39">
        <f>IF(P21=0,0,IF(Assumptions!$B$47="Yes",SUMIF('Monthly Table'!$C$11:$C$244,YEAR('Operational Detail'!P$2),'Monthly Table'!$AD$11:$AD$244)/1000,0))</f>
        <v>992.03906543953769</v>
      </c>
      <c r="Q70" s="39">
        <f>IF(Q21=0,0,IF(Assumptions!$B$47="Yes",SUMIF('Monthly Table'!$C$11:$C$244,YEAR('Operational Detail'!Q$2),'Monthly Table'!$AD$11:$AD$244)/1000,0))</f>
        <v>987.59046851615869</v>
      </c>
      <c r="R70" s="39">
        <f>IF(R21=0,0,IF(Assumptions!$B$47="Yes",SUMIF('Monthly Table'!$C$11:$C$244,YEAR('Operational Detail'!R$2),'Monthly Table'!$AD$11:$AD$244)/1000,0))</f>
        <v>1056.6764239639688</v>
      </c>
      <c r="S70" s="39">
        <f>IF(S21=0,0,IF(Assumptions!$B$47="Yes",SUMIF('Monthly Table'!$C$11:$C$244,YEAR('Operational Detail'!S$2),'Monthly Table'!$AD$11:$AD$244)/1000,0))</f>
        <v>995.60190243004274</v>
      </c>
      <c r="T70" s="39">
        <f>IF(T21=0,0,IF(Assumptions!$B$47="Yes",SUMIF('Monthly Table'!$C$11:$C$244,YEAR('Operational Detail'!T$2),'Monthly Table'!$AD$11:$AD$244)/1000,0))</f>
        <v>0</v>
      </c>
      <c r="U70" s="39">
        <f>IF(U21=0,0,IF(Assumptions!$B$47="Yes",SUMIF('Monthly Table'!$C$11:$C$244,YEAR('Operational Detail'!U$2),'Monthly Table'!$AD$11:$AD$244)/1000,0))</f>
        <v>0</v>
      </c>
      <c r="V70" s="39">
        <f>IF(V21=0,0,IF(Assumptions!$B$47="Yes",SUMIF('Monthly Table'!$C$11:$C$244,YEAR('Operational Detail'!V$2),'Monthly Table'!$AD$11:$AD$244)/1000,0))</f>
        <v>0</v>
      </c>
      <c r="W70" s="39">
        <f>IF(W21=0,0,IF(Assumptions!$B$47="Yes",SUMIF('Monthly Table'!$C$11:$C$244,YEAR('Operational Detail'!W$2),'Monthly Table'!$AD$11:$AD$244)/1000,0))</f>
        <v>0</v>
      </c>
      <c r="X70" s="39">
        <f>IF(X21=0,0,IF(Assumptions!$B$47="Yes",SUMIF('Monthly Table'!$C$11:$C$244,YEAR('Operational Detail'!X$2),'Monthly Table'!$AD$11:$AD$244)/1000,0))</f>
        <v>0</v>
      </c>
      <c r="Y70" s="25"/>
      <c r="Z70" s="25"/>
      <c r="AA70" s="25"/>
      <c r="AB70" s="25"/>
    </row>
    <row r="71" spans="2:256" ht="10.5" customHeight="1" thickBot="1">
      <c r="B71" s="67" t="s">
        <v>785</v>
      </c>
      <c r="C71" s="67"/>
      <c r="D71" s="466">
        <f>IF(D14=0,0,IF(Assumptions!$B$47="Yes",SUMIF('Monthly Table'!$C$11:$C$244,YEAR('Operational Detail'!D$2),'Monthly Table'!$AE$11:$AE$244)/1000,0))</f>
        <v>0</v>
      </c>
      <c r="E71" s="466">
        <f>IF(E14=0,0,IF(Assumptions!$B$47="Yes",SUMIF('Monthly Table'!$C$11:$C$244,YEAR('Operational Detail'!E$2),'Monthly Table'!$AE$11:$AE$244)/1000,0))</f>
        <v>4890.2202465737955</v>
      </c>
      <c r="F71" s="466">
        <f>IF(F14=0,0,IF(Assumptions!$B$47="Yes",SUMIF('Monthly Table'!$C$11:$C$244,YEAR('Operational Detail'!F$2),'Monthly Table'!$AE$11:$AE$244)/1000,0))</f>
        <v>4977.7609812689379</v>
      </c>
      <c r="G71" s="466">
        <f>IF(G14=0,0,IF(Assumptions!$B$47="Yes",SUMIF('Monthly Table'!$C$11:$C$244,YEAR('Operational Detail'!G$2),'Monthly Table'!$AE$11:$AE$244)/1000,0))</f>
        <v>4556.6596999173862</v>
      </c>
      <c r="H71" s="466">
        <f>IF(H14=0,0,IF(Assumptions!$B$47="Yes",SUMIF('Monthly Table'!$C$11:$C$244,YEAR('Operational Detail'!H$2),'Monthly Table'!$AE$11:$AE$244)/1000,0))</f>
        <v>3343.4143452400758</v>
      </c>
      <c r="I71" s="466">
        <f>IF(I14=0,0,IF(Assumptions!$B$47="Yes",SUMIF('Monthly Table'!$C$11:$C$244,YEAR('Operational Detail'!I$2),'Monthly Table'!$AE$11:$AE$244)/1000,0))</f>
        <v>2681.3976140018767</v>
      </c>
      <c r="J71" s="466">
        <f>IF(J14=0,0,IF(Assumptions!$B$47="Yes",SUMIF('Monthly Table'!$C$11:$C$244,YEAR('Operational Detail'!J$2),'Monthly Table'!$AE$11:$AE$244)/1000,0))</f>
        <v>2532.999027408619</v>
      </c>
      <c r="K71" s="466">
        <f>IF(K14=0,0,IF(Assumptions!$B$47="Yes",SUMIF('Monthly Table'!$C$11:$C$244,YEAR('Operational Detail'!K$2),'Monthly Table'!$AE$11:$AE$244)/1000,0))</f>
        <v>2477.4111646408805</v>
      </c>
      <c r="L71" s="466">
        <f>IF(L14=0,0,IF(Assumptions!$B$47="Yes",SUMIF('Monthly Table'!$C$11:$C$244,YEAR('Operational Detail'!L$2),'Monthly Table'!$AE$11:$AE$244)/1000,0))</f>
        <v>1471.7091350601165</v>
      </c>
      <c r="M71" s="466">
        <f>IF(M14=0,0,IF(Assumptions!$B$47="Yes",SUMIF('Monthly Table'!$C$11:$C$244,YEAR('Operational Detail'!M$2),'Monthly Table'!$AE$11:$AE$244)/1000,0))</f>
        <v>1303.1772148367384</v>
      </c>
      <c r="N71" s="466">
        <f>IF(N14=0,0,IF(Assumptions!$B$47="Yes",SUMIF('Monthly Table'!$C$11:$C$244,YEAR('Operational Detail'!N$2),'Monthly Table'!$AE$11:$AE$244)/1000,0))</f>
        <v>1346.855245392062</v>
      </c>
      <c r="O71" s="466">
        <f>IF(O14=0,0,IF(Assumptions!$B$47="Yes",SUMIF('Monthly Table'!$C$11:$C$244,YEAR('Operational Detail'!O$2),'Monthly Table'!$AE$11:$AE$244)/1000,0))</f>
        <v>1347.5746558932369</v>
      </c>
      <c r="P71" s="466">
        <f>IF(P14=0,0,IF(Assumptions!$B$47="Yes",SUMIF('Monthly Table'!$C$11:$C$244,YEAR('Operational Detail'!P$2),'Monthly Table'!$AE$11:$AE$244)/1000,0))</f>
        <v>1294.4548600930925</v>
      </c>
      <c r="Q71" s="466">
        <f>IF(Q14=0,0,IF(Assumptions!$B$47="Yes",SUMIF('Monthly Table'!$C$11:$C$244,YEAR('Operational Detail'!Q$2),'Monthly Table'!$AE$11:$AE$244)/1000,0))</f>
        <v>1279.1055735337507</v>
      </c>
      <c r="R71" s="466">
        <f>IF(R14=0,0,IF(Assumptions!$B$47="Yes",SUMIF('Monthly Table'!$C$11:$C$244,YEAR('Operational Detail'!R$2),'Monthly Table'!$AE$11:$AE$244)/1000,0))</f>
        <v>1358.7399936129955</v>
      </c>
      <c r="S71" s="466">
        <f>IF(S14=0,0,IF(Assumptions!$B$47="Yes",SUMIF('Monthly Table'!$C$11:$C$244,YEAR('Operational Detail'!S$2),'Monthly Table'!$AE$11:$AE$244)/1000,0))</f>
        <v>1271.5213303996923</v>
      </c>
      <c r="T71" s="466">
        <f>IF(T14=0,0,IF(Assumptions!$B$47="Yes",SUMIF('Monthly Table'!$C$11:$C$244,YEAR('Operational Detail'!T$2),'Monthly Table'!$AE$11:$AE$244)/1000,0))</f>
        <v>0</v>
      </c>
      <c r="U71" s="466">
        <f>IF(U14=0,0,IF(Assumptions!$B$47="Yes",SUMIF('Monthly Table'!$C$11:$C$244,YEAR('Operational Detail'!U$2),'Monthly Table'!$AE$11:$AE$244)/1000,0))</f>
        <v>0</v>
      </c>
      <c r="V71" s="466">
        <f>IF(V14=0,0,IF(Assumptions!$B$47="Yes",SUMIF('Monthly Table'!$C$11:$C$244,YEAR('Operational Detail'!V$2),'Monthly Table'!$AE$11:$AE$244)/1000,0))</f>
        <v>0</v>
      </c>
      <c r="W71" s="466">
        <f>IF(W14=0,0,IF(Assumptions!$B$47="Yes",SUMIF('Monthly Table'!$C$11:$C$244,YEAR('Operational Detail'!W$2),'Monthly Table'!$AE$11:$AE$244)/1000,0))</f>
        <v>0</v>
      </c>
      <c r="X71" s="466">
        <f>IF(X14=0,0,IF(Assumptions!$B$47="Yes",SUMIF('Monthly Table'!$C$11:$C$244,YEAR('Operational Detail'!X$2),'Monthly Table'!$AE$11:$AE$244)/1000,0))</f>
        <v>0</v>
      </c>
      <c r="Y71" s="25"/>
      <c r="Z71" s="25"/>
      <c r="AA71" s="25"/>
      <c r="AB71" s="25"/>
    </row>
    <row r="72" spans="2:256" ht="10.5" customHeight="1" thickTop="1">
      <c r="B72" s="67"/>
      <c r="C72" s="6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25"/>
      <c r="Z72" s="25"/>
      <c r="AA72" s="25"/>
      <c r="AB72" s="25"/>
    </row>
    <row r="73" spans="2:256" ht="10.5" customHeight="1">
      <c r="B73" s="67"/>
      <c r="C73" s="6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25"/>
      <c r="Z73" s="25"/>
      <c r="AA73" s="25"/>
      <c r="AB73" s="25"/>
    </row>
    <row r="74" spans="2:256" ht="10.5" customHeight="1">
      <c r="B74" s="92" t="s">
        <v>461</v>
      </c>
      <c r="C74" s="6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25"/>
      <c r="Z74" s="25"/>
      <c r="AA74" s="25"/>
      <c r="AB74" s="25"/>
    </row>
    <row r="75" spans="2:256" ht="10.5" customHeight="1">
      <c r="B75" s="98" t="s">
        <v>257</v>
      </c>
      <c r="C75" s="67"/>
      <c r="D75" s="61">
        <f>Assumptions!$B$7</f>
        <v>312</v>
      </c>
      <c r="E75" s="61">
        <f>Assumptions!$B$7</f>
        <v>312</v>
      </c>
      <c r="F75" s="61">
        <f>Assumptions!$B$7</f>
        <v>312</v>
      </c>
      <c r="G75" s="61">
        <f>Assumptions!$B$7</f>
        <v>312</v>
      </c>
      <c r="H75" s="61">
        <f>Tables!$D$36</f>
        <v>312</v>
      </c>
      <c r="I75" s="61">
        <f>Tables!$D$36</f>
        <v>312</v>
      </c>
      <c r="J75" s="61">
        <f>Tables!$D$36</f>
        <v>312</v>
      </c>
      <c r="K75" s="61">
        <f>Tables!$D$36</f>
        <v>312</v>
      </c>
      <c r="L75" s="61">
        <f>Tables!$D$36</f>
        <v>312</v>
      </c>
      <c r="M75" s="61">
        <f>Tables!$D$36</f>
        <v>312</v>
      </c>
      <c r="N75" s="61">
        <f>Tables!$D$36</f>
        <v>312</v>
      </c>
      <c r="O75" s="61">
        <f>Tables!$D$36</f>
        <v>312</v>
      </c>
      <c r="P75" s="61">
        <f>Tables!$D$36</f>
        <v>312</v>
      </c>
      <c r="Q75" s="61">
        <f>Tables!$D$36</f>
        <v>312</v>
      </c>
      <c r="R75" s="61">
        <f>Tables!$D$36</f>
        <v>312</v>
      </c>
      <c r="S75" s="61">
        <f>Tables!$D$36</f>
        <v>312</v>
      </c>
      <c r="T75" s="61">
        <f>Tables!$D$36</f>
        <v>312</v>
      </c>
      <c r="U75" s="61">
        <f>Tables!$D$36</f>
        <v>312</v>
      </c>
      <c r="V75" s="61">
        <f>Tables!$D$36</f>
        <v>312</v>
      </c>
      <c r="W75" s="61">
        <f>Tables!$D$36</f>
        <v>312</v>
      </c>
      <c r="X75" s="61">
        <f>Tables!$D$36</f>
        <v>312</v>
      </c>
      <c r="Y75" s="383"/>
      <c r="Z75" s="383"/>
      <c r="AA75" s="383"/>
      <c r="AB75" s="383"/>
    </row>
    <row r="76" spans="2:256" ht="10.5" customHeight="1">
      <c r="B76" s="96" t="s">
        <v>495</v>
      </c>
      <c r="C76" s="67"/>
      <c r="D76" s="39">
        <f>SUMIF('Monthly Table'!$C:$C,YEAR('Operational Detail'!D$2),'Monthly Table'!$AA:$AA)</f>
        <v>0</v>
      </c>
      <c r="E76" s="39">
        <f>SUMIF('Monthly Table'!$C:$C,YEAR('Operational Detail'!E$2),'Monthly Table'!$AA:$AA)</f>
        <v>0</v>
      </c>
      <c r="F76" s="39">
        <f>SUMIF('Monthly Table'!$C:$C,YEAR('Operational Detail'!F$2),'Monthly Table'!$AA:$AA)</f>
        <v>0</v>
      </c>
      <c r="G76" s="39">
        <f>SUMIF('Monthly Table'!$C:$C,YEAR('Operational Detail'!G$2),'Monthly Table'!$AA:$AA)</f>
        <v>0</v>
      </c>
      <c r="H76" s="39">
        <f>SUMIF('Monthly Table'!$C:$C,YEAR('Operational Detail'!H$2),'Monthly Table'!$AA:$AA)</f>
        <v>0</v>
      </c>
      <c r="I76" s="39">
        <f>SUMIF('Monthly Table'!$C:$C,YEAR('Operational Detail'!I$2),'Monthly Table'!$AA:$AA)</f>
        <v>0</v>
      </c>
      <c r="J76" s="39">
        <f>SUMIF('Monthly Table'!$C:$C,YEAR('Operational Detail'!J$2),'Monthly Table'!$AA:$AA)</f>
        <v>0</v>
      </c>
      <c r="K76" s="39">
        <f>SUMIF('Monthly Table'!$C:$C,YEAR('Operational Detail'!K$2),'Monthly Table'!$AA:$AA)</f>
        <v>0</v>
      </c>
      <c r="L76" s="39">
        <f>SUMIF('Monthly Table'!$C:$C,YEAR('Operational Detail'!L$2),'Monthly Table'!$AA:$AA)</f>
        <v>0</v>
      </c>
      <c r="M76" s="39">
        <f>SUMIF('Monthly Table'!$C:$C,YEAR('Operational Detail'!M$2),'Monthly Table'!$AA:$AA)</f>
        <v>0</v>
      </c>
      <c r="N76" s="39">
        <f>SUMIF('Monthly Table'!$C:$C,YEAR('Operational Detail'!N$2),'Monthly Table'!$AA:$AA)</f>
        <v>0</v>
      </c>
      <c r="O76" s="39">
        <f>SUMIF('Monthly Table'!$C:$C,YEAR('Operational Detail'!O$2),'Monthly Table'!$AA:$AA)</f>
        <v>0</v>
      </c>
      <c r="P76" s="39">
        <f>SUMIF('Monthly Table'!$C:$C,YEAR('Operational Detail'!P$2),'Monthly Table'!$AA:$AA)</f>
        <v>0</v>
      </c>
      <c r="Q76" s="39">
        <f>SUMIF('Monthly Table'!$C:$C,YEAR('Operational Detail'!Q$2),'Monthly Table'!$AA:$AA)</f>
        <v>0</v>
      </c>
      <c r="R76" s="39">
        <f>SUMIF('Monthly Table'!$C:$C,YEAR('Operational Detail'!R$2),'Monthly Table'!$AA:$AA)</f>
        <v>0</v>
      </c>
      <c r="S76" s="39">
        <f>SUMIF('Monthly Table'!$C:$C,YEAR('Operational Detail'!S$2),'Monthly Table'!$AA:$AA)</f>
        <v>0</v>
      </c>
      <c r="T76" s="39">
        <f>SUMIF('Monthly Table'!$C:$C,YEAR('Operational Detail'!T$2),'Monthly Table'!$AA:$AA)</f>
        <v>0</v>
      </c>
      <c r="U76" s="39">
        <f>SUMIF('Monthly Table'!$C:$C,YEAR('Operational Detail'!U$2),'Monthly Table'!$AA:$AA)</f>
        <v>0</v>
      </c>
      <c r="V76" s="39">
        <f>SUMIF('Monthly Table'!$C:$C,YEAR('Operational Detail'!V$2),'Monthly Table'!$AA:$AA)</f>
        <v>0</v>
      </c>
      <c r="W76" s="39">
        <f>SUMIF('Monthly Table'!$C:$C,YEAR('Operational Detail'!W$2),'Monthly Table'!$AA:$AA)</f>
        <v>0</v>
      </c>
      <c r="X76" s="39">
        <f>SUMIF('Monthly Table'!$C:$C,YEAR('Operational Detail'!X$2),'Monthly Table'!$AA:$AA)</f>
        <v>0</v>
      </c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/>
      <c r="BK76" s="39"/>
      <c r="BL76" s="39"/>
      <c r="BM76" s="39"/>
      <c r="BN76" s="39"/>
      <c r="BO76" s="39"/>
      <c r="BP76" s="39"/>
      <c r="BQ76" s="39"/>
      <c r="BR76" s="39"/>
      <c r="BS76" s="39"/>
      <c r="BT76" s="39"/>
      <c r="BU76" s="39"/>
      <c r="BV76" s="39"/>
      <c r="BW76" s="39"/>
      <c r="BX76" s="39"/>
      <c r="BY76" s="39"/>
      <c r="BZ76" s="39"/>
      <c r="CA76" s="39"/>
      <c r="CB76" s="39"/>
      <c r="CC76" s="39"/>
      <c r="CD76" s="39"/>
      <c r="CE76" s="39"/>
      <c r="CF76" s="39"/>
      <c r="CG76" s="39"/>
      <c r="CH76" s="39"/>
      <c r="CI76" s="39"/>
      <c r="CJ76" s="39"/>
      <c r="CK76" s="39"/>
      <c r="CL76" s="39"/>
      <c r="CM76" s="39"/>
      <c r="CN76" s="39"/>
      <c r="CO76" s="39"/>
      <c r="CP76" s="39"/>
      <c r="CQ76" s="39"/>
      <c r="CR76" s="39"/>
      <c r="CS76" s="39"/>
      <c r="CT76" s="39"/>
      <c r="CU76" s="39"/>
      <c r="CV76" s="39"/>
      <c r="CW76" s="39"/>
      <c r="CX76" s="39"/>
      <c r="CY76" s="39"/>
      <c r="CZ76" s="39"/>
      <c r="DA76" s="39"/>
      <c r="DB76" s="39"/>
      <c r="DC76" s="39"/>
      <c r="DD76" s="39"/>
      <c r="DE76" s="39"/>
      <c r="DF76" s="39"/>
      <c r="DG76" s="39"/>
      <c r="DH76" s="39"/>
      <c r="DI76" s="39"/>
      <c r="DJ76" s="39"/>
      <c r="DK76" s="39"/>
      <c r="DL76" s="39"/>
      <c r="DM76" s="39"/>
      <c r="DN76" s="39"/>
      <c r="DO76" s="39"/>
      <c r="DP76" s="39"/>
      <c r="DQ76" s="39"/>
      <c r="DR76" s="39"/>
      <c r="DS76" s="39"/>
      <c r="DT76" s="39"/>
      <c r="DU76" s="39"/>
      <c r="DV76" s="39"/>
      <c r="DW76" s="39"/>
      <c r="DX76" s="39"/>
      <c r="DY76" s="39"/>
      <c r="DZ76" s="39"/>
      <c r="EA76" s="39"/>
      <c r="EB76" s="39"/>
      <c r="EC76" s="39"/>
      <c r="ED76" s="39"/>
      <c r="EE76" s="39"/>
      <c r="EF76" s="39"/>
      <c r="EG76" s="39"/>
      <c r="EH76" s="39"/>
      <c r="EI76" s="39"/>
      <c r="EJ76" s="39"/>
      <c r="EK76" s="39"/>
      <c r="EL76" s="39"/>
      <c r="EM76" s="39"/>
      <c r="EN76" s="39"/>
      <c r="EO76" s="39"/>
      <c r="EP76" s="39"/>
      <c r="EQ76" s="39"/>
      <c r="ER76" s="39"/>
      <c r="ES76" s="39"/>
      <c r="ET76" s="39"/>
      <c r="EU76" s="39"/>
      <c r="EV76" s="39"/>
      <c r="EW76" s="39"/>
      <c r="EX76" s="39"/>
      <c r="EY76" s="39"/>
      <c r="EZ76" s="39"/>
      <c r="FA76" s="39"/>
      <c r="FB76" s="39"/>
      <c r="FC76" s="39"/>
      <c r="FD76" s="39"/>
      <c r="FE76" s="39"/>
      <c r="FF76" s="39"/>
      <c r="FG76" s="39"/>
      <c r="FH76" s="39"/>
      <c r="FI76" s="39"/>
      <c r="FJ76" s="39"/>
      <c r="FK76" s="39"/>
      <c r="FL76" s="39"/>
      <c r="FM76" s="39"/>
      <c r="FN76" s="39"/>
      <c r="FO76" s="39"/>
      <c r="FP76" s="39"/>
      <c r="FQ76" s="39"/>
      <c r="FR76" s="39"/>
      <c r="FS76" s="39"/>
      <c r="FT76" s="39"/>
      <c r="FU76" s="39"/>
      <c r="FV76" s="39"/>
      <c r="FW76" s="39"/>
      <c r="FX76" s="39"/>
      <c r="FY76" s="39"/>
      <c r="FZ76" s="39"/>
      <c r="GA76" s="39"/>
      <c r="GB76" s="39"/>
      <c r="GC76" s="39"/>
      <c r="GD76" s="39"/>
      <c r="GE76" s="39"/>
      <c r="GF76" s="39"/>
      <c r="GG76" s="39"/>
      <c r="GH76" s="39"/>
      <c r="GI76" s="39"/>
      <c r="GJ76" s="39"/>
      <c r="GK76" s="39"/>
      <c r="GL76" s="39"/>
      <c r="GM76" s="39"/>
      <c r="GN76" s="39"/>
      <c r="GO76" s="39"/>
      <c r="GP76" s="39"/>
      <c r="GQ76" s="39"/>
      <c r="GR76" s="39"/>
      <c r="GS76" s="39"/>
      <c r="GT76" s="39"/>
      <c r="GU76" s="39"/>
      <c r="GV76" s="39"/>
      <c r="GW76" s="39"/>
      <c r="GX76" s="39"/>
      <c r="GY76" s="39"/>
      <c r="GZ76" s="39"/>
      <c r="HA76" s="39"/>
      <c r="HB76" s="39"/>
      <c r="HC76" s="39"/>
      <c r="HD76" s="39"/>
      <c r="HE76" s="39"/>
      <c r="HF76" s="39"/>
      <c r="HG76" s="39"/>
      <c r="HH76" s="39"/>
      <c r="HI76" s="39"/>
      <c r="HJ76" s="39"/>
      <c r="HK76" s="39"/>
      <c r="HL76" s="39"/>
      <c r="HM76" s="39"/>
      <c r="HN76" s="39"/>
      <c r="HO76" s="39"/>
      <c r="HP76" s="39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  <c r="IE76" s="39"/>
      <c r="IF76" s="39"/>
      <c r="IG76" s="39"/>
      <c r="IH76" s="39"/>
      <c r="II76" s="39"/>
      <c r="IJ76" s="39"/>
      <c r="IK76" s="39"/>
      <c r="IL76" s="39"/>
      <c r="IM76" s="39"/>
      <c r="IN76" s="39"/>
      <c r="IO76" s="39"/>
      <c r="IP76" s="39"/>
      <c r="IQ76" s="39"/>
      <c r="IR76" s="39"/>
      <c r="IS76" s="39"/>
      <c r="IT76" s="39"/>
      <c r="IU76" s="39"/>
      <c r="IV76" s="39"/>
    </row>
    <row r="77" spans="2:256" ht="10.5" customHeight="1">
      <c r="B77" s="96" t="s">
        <v>496</v>
      </c>
      <c r="C77" s="67"/>
      <c r="D77" s="39">
        <f>SUMIF('Monthly Table'!$C:$C,YEAR('Operational Detail'!D$2),'Monthly Table'!$AB:$AB)</f>
        <v>0</v>
      </c>
      <c r="E77" s="39">
        <f>SUMIF('Monthly Table'!$C:$C,YEAR('Operational Detail'!E$2),'Monthly Table'!$AB:$AB)</f>
        <v>0</v>
      </c>
      <c r="F77" s="39">
        <f>SUMIF('Monthly Table'!$C:$C,YEAR('Operational Detail'!F$2),'Monthly Table'!$AB:$AB)</f>
        <v>0</v>
      </c>
      <c r="G77" s="39">
        <f>SUMIF('Monthly Table'!$C:$C,YEAR('Operational Detail'!G$2),'Monthly Table'!$AB:$AB)</f>
        <v>0</v>
      </c>
      <c r="H77" s="39">
        <f>SUMIF('Monthly Table'!$C:$C,YEAR('Operational Detail'!H$2),'Monthly Table'!$AB:$AB)</f>
        <v>0</v>
      </c>
      <c r="I77" s="39">
        <f>SUMIF('Monthly Table'!$C:$C,YEAR('Operational Detail'!I$2),'Monthly Table'!$AB:$AB)</f>
        <v>0</v>
      </c>
      <c r="J77" s="39">
        <f>SUMIF('Monthly Table'!$C:$C,YEAR('Operational Detail'!J$2),'Monthly Table'!$AB:$AB)</f>
        <v>0</v>
      </c>
      <c r="K77" s="39">
        <f>SUMIF('Monthly Table'!$C:$C,YEAR('Operational Detail'!K$2),'Monthly Table'!$AB:$AB)</f>
        <v>0</v>
      </c>
      <c r="L77" s="39">
        <f>SUMIF('Monthly Table'!$C:$C,YEAR('Operational Detail'!L$2),'Monthly Table'!$AB:$AB)</f>
        <v>0</v>
      </c>
      <c r="M77" s="39">
        <f>SUMIF('Monthly Table'!$C:$C,YEAR('Operational Detail'!M$2),'Monthly Table'!$AB:$AB)</f>
        <v>0</v>
      </c>
      <c r="N77" s="39">
        <f>SUMIF('Monthly Table'!$C:$C,YEAR('Operational Detail'!N$2),'Monthly Table'!$AB:$AB)</f>
        <v>0</v>
      </c>
      <c r="O77" s="39">
        <f>SUMIF('Monthly Table'!$C:$C,YEAR('Operational Detail'!O$2),'Monthly Table'!$AB:$AB)</f>
        <v>0</v>
      </c>
      <c r="P77" s="39">
        <f>SUMIF('Monthly Table'!$C:$C,YEAR('Operational Detail'!P$2),'Monthly Table'!$AB:$AB)</f>
        <v>0</v>
      </c>
      <c r="Q77" s="39">
        <f>SUMIF('Monthly Table'!$C:$C,YEAR('Operational Detail'!Q$2),'Monthly Table'!$AB:$AB)</f>
        <v>0</v>
      </c>
      <c r="R77" s="39">
        <f>SUMIF('Monthly Table'!$C:$C,YEAR('Operational Detail'!R$2),'Monthly Table'!$AB:$AB)</f>
        <v>0</v>
      </c>
      <c r="S77" s="39">
        <f>SUMIF('Monthly Table'!$C:$C,YEAR('Operational Detail'!S$2),'Monthly Table'!$AB:$AB)</f>
        <v>0</v>
      </c>
      <c r="T77" s="39">
        <f>SUMIF('Monthly Table'!$C:$C,YEAR('Operational Detail'!T$2),'Monthly Table'!$AB:$AB)</f>
        <v>0</v>
      </c>
      <c r="U77" s="39">
        <f>SUMIF('Monthly Table'!$C:$C,YEAR('Operational Detail'!U$2),'Monthly Table'!$AB:$AB)</f>
        <v>0</v>
      </c>
      <c r="V77" s="39">
        <f>SUMIF('Monthly Table'!$C:$C,YEAR('Operational Detail'!V$2),'Monthly Table'!$AB:$AB)</f>
        <v>0</v>
      </c>
      <c r="W77" s="39">
        <f>SUMIF('Monthly Table'!$C:$C,YEAR('Operational Detail'!W$2),'Monthly Table'!$AB:$AB)</f>
        <v>0</v>
      </c>
      <c r="X77" s="39">
        <f>SUMIF('Monthly Table'!$C:$C,YEAR('Operational Detail'!X$2),'Monthly Table'!$AB:$AB)</f>
        <v>0</v>
      </c>
      <c r="Y77" s="39"/>
      <c r="Z77" s="39"/>
      <c r="AA77" s="39"/>
      <c r="AB77" s="39"/>
    </row>
    <row r="78" spans="2:256" ht="10.5" customHeight="1">
      <c r="B78" s="96"/>
      <c r="C78" s="67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</row>
    <row r="79" spans="2:256" ht="10.5" customHeight="1" thickBot="1">
      <c r="B79" s="114" t="s">
        <v>464</v>
      </c>
      <c r="C79" s="67"/>
      <c r="D79" s="466">
        <f>D77</f>
        <v>0</v>
      </c>
      <c r="E79" s="466">
        <f t="shared" ref="E79:X79" si="14">E77</f>
        <v>0</v>
      </c>
      <c r="F79" s="466">
        <f t="shared" si="14"/>
        <v>0</v>
      </c>
      <c r="G79" s="466">
        <f t="shared" si="14"/>
        <v>0</v>
      </c>
      <c r="H79" s="466">
        <f t="shared" si="14"/>
        <v>0</v>
      </c>
      <c r="I79" s="466">
        <f t="shared" si="14"/>
        <v>0</v>
      </c>
      <c r="J79" s="466">
        <f t="shared" si="14"/>
        <v>0</v>
      </c>
      <c r="K79" s="466">
        <f t="shared" si="14"/>
        <v>0</v>
      </c>
      <c r="L79" s="466">
        <f t="shared" si="14"/>
        <v>0</v>
      </c>
      <c r="M79" s="466">
        <f t="shared" si="14"/>
        <v>0</v>
      </c>
      <c r="N79" s="466">
        <f t="shared" si="14"/>
        <v>0</v>
      </c>
      <c r="O79" s="466">
        <f t="shared" si="14"/>
        <v>0</v>
      </c>
      <c r="P79" s="466">
        <f t="shared" si="14"/>
        <v>0</v>
      </c>
      <c r="Q79" s="466">
        <f t="shared" si="14"/>
        <v>0</v>
      </c>
      <c r="R79" s="466">
        <f t="shared" si="14"/>
        <v>0</v>
      </c>
      <c r="S79" s="466">
        <f t="shared" si="14"/>
        <v>0</v>
      </c>
      <c r="T79" s="466">
        <f t="shared" si="14"/>
        <v>0</v>
      </c>
      <c r="U79" s="466">
        <f t="shared" si="14"/>
        <v>0</v>
      </c>
      <c r="V79" s="466">
        <f t="shared" si="14"/>
        <v>0</v>
      </c>
      <c r="W79" s="466">
        <f t="shared" si="14"/>
        <v>0</v>
      </c>
      <c r="X79" s="466">
        <f t="shared" si="14"/>
        <v>0</v>
      </c>
      <c r="Y79" s="39"/>
      <c r="Z79" s="39"/>
      <c r="AA79" s="39"/>
      <c r="AB79" s="39"/>
    </row>
    <row r="80" spans="2:256" ht="10.5" customHeight="1" thickTop="1">
      <c r="B80" s="67"/>
      <c r="C80" s="6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25"/>
      <c r="Z80" s="25"/>
      <c r="AA80" s="25"/>
      <c r="AB80" s="25"/>
    </row>
    <row r="81" spans="2:28" ht="10.5" customHeight="1">
      <c r="B81" s="92" t="s">
        <v>466</v>
      </c>
      <c r="C81" s="6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25"/>
      <c r="Z81" s="25"/>
      <c r="AA81" s="25"/>
      <c r="AB81" s="25"/>
    </row>
    <row r="82" spans="2:28" ht="10.5" customHeight="1">
      <c r="B82" s="96" t="s">
        <v>467</v>
      </c>
      <c r="C82" s="67"/>
      <c r="D82" s="55">
        <f>Assumptions!B56/1000</f>
        <v>0</v>
      </c>
      <c r="E82" s="55">
        <f>D82*(1+Assumptions!$B$57)</f>
        <v>0</v>
      </c>
      <c r="F82" s="55">
        <f>E82*(1+Assumptions!$B$57)</f>
        <v>0</v>
      </c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</row>
    <row r="83" spans="2:28" ht="10.5" customHeight="1">
      <c r="B83" s="96" t="s">
        <v>469</v>
      </c>
      <c r="C83" s="67"/>
      <c r="D83" s="55">
        <f t="shared" ref="D83:X83" si="15">D82*D26</f>
        <v>0</v>
      </c>
      <c r="E83" s="55">
        <f t="shared" si="15"/>
        <v>0</v>
      </c>
      <c r="F83" s="55">
        <f t="shared" si="15"/>
        <v>0</v>
      </c>
      <c r="G83" s="55">
        <f t="shared" si="15"/>
        <v>0</v>
      </c>
      <c r="H83" s="55">
        <f t="shared" si="15"/>
        <v>0</v>
      </c>
      <c r="I83" s="55">
        <f t="shared" si="15"/>
        <v>0</v>
      </c>
      <c r="J83" s="55">
        <f t="shared" si="15"/>
        <v>0</v>
      </c>
      <c r="K83" s="55">
        <f t="shared" si="15"/>
        <v>0</v>
      </c>
      <c r="L83" s="55">
        <f t="shared" si="15"/>
        <v>0</v>
      </c>
      <c r="M83" s="55">
        <f t="shared" si="15"/>
        <v>0</v>
      </c>
      <c r="N83" s="55">
        <f t="shared" si="15"/>
        <v>0</v>
      </c>
      <c r="O83" s="55">
        <f t="shared" si="15"/>
        <v>0</v>
      </c>
      <c r="P83" s="55">
        <f t="shared" si="15"/>
        <v>0</v>
      </c>
      <c r="Q83" s="55">
        <f t="shared" si="15"/>
        <v>0</v>
      </c>
      <c r="R83" s="55">
        <f t="shared" si="15"/>
        <v>0</v>
      </c>
      <c r="S83" s="55">
        <f t="shared" si="15"/>
        <v>0</v>
      </c>
      <c r="T83" s="55">
        <f t="shared" si="15"/>
        <v>0</v>
      </c>
      <c r="U83" s="55">
        <f t="shared" si="15"/>
        <v>0</v>
      </c>
      <c r="V83" s="55">
        <f t="shared" si="15"/>
        <v>0</v>
      </c>
      <c r="W83" s="55">
        <f t="shared" si="15"/>
        <v>0</v>
      </c>
      <c r="X83" s="55">
        <f t="shared" si="15"/>
        <v>0</v>
      </c>
      <c r="Y83" s="55"/>
      <c r="Z83" s="55"/>
      <c r="AA83" s="55"/>
      <c r="AB83" s="55"/>
    </row>
    <row r="84" spans="2:28" ht="10.5" customHeight="1" thickBot="1">
      <c r="B84" s="114" t="s">
        <v>470</v>
      </c>
      <c r="C84" s="67"/>
      <c r="D84" s="467">
        <f>(IF(D2=Cashflow!$C$3,Assumptions!$E$51/12,1)*Tables!$B$30)*D83</f>
        <v>0</v>
      </c>
      <c r="E84" s="467">
        <f>(IF(E2=Cashflow!$C$3,Assumptions!$E$51/12,1)*Tables!$B$30)*E83</f>
        <v>0</v>
      </c>
      <c r="F84" s="466">
        <f>(IF(F2=Cashflow!$C$3,Assumptions!$E$51/12,1)*Tables!$B$30)*F83/4</f>
        <v>0</v>
      </c>
      <c r="G84" s="467">
        <f>(IF(G2=Cashflow!$C$3,Assumptions!$E$51/12,1)*Tables!$B$30)*G83</f>
        <v>0</v>
      </c>
      <c r="H84" s="467">
        <f>(IF(H2=Cashflow!$C$3,Assumptions!$E$51/12,1)*Tables!$B$30)*H83</f>
        <v>0</v>
      </c>
      <c r="I84" s="467">
        <f>(IF(I2=Cashflow!$C$3,Assumptions!$E$51/12,1)*Tables!$B$30)*I83</f>
        <v>0</v>
      </c>
      <c r="J84" s="467">
        <f>(IF(J2=Cashflow!$C$3,Assumptions!$E$51/12,1)*Tables!$B$30)*J83</f>
        <v>0</v>
      </c>
      <c r="K84" s="467">
        <f>(IF(K2=Cashflow!$C$3,Assumptions!$E$51/12,1)*Tables!$B$30)*K83</f>
        <v>0</v>
      </c>
      <c r="L84" s="467">
        <f>(IF(L2=Cashflow!$C$3,Assumptions!$E$51/12,1)*Tables!$B$30)*L83</f>
        <v>0</v>
      </c>
      <c r="M84" s="467">
        <f>(IF(M2=Cashflow!$C$3,Assumptions!$E$51/12,1)*Tables!$B$30)*M83</f>
        <v>0</v>
      </c>
      <c r="N84" s="467">
        <f>(IF(N2=Cashflow!$C$3,Assumptions!$E$51/12,1)*Tables!$B$30)*N83</f>
        <v>0</v>
      </c>
      <c r="O84" s="467">
        <f>(IF(O2=Cashflow!$C$3,Assumptions!$E$51/12,1)*Tables!$B$30)*O83</f>
        <v>0</v>
      </c>
      <c r="P84" s="467">
        <f>(IF(P2=Cashflow!$C$3,Assumptions!$E$51/12,1)*Tables!$B$30)*P83</f>
        <v>0</v>
      </c>
      <c r="Q84" s="467">
        <f>(IF(Q2=Cashflow!$C$3,Assumptions!$E$51/12,1)*Tables!$B$30)*Q83</f>
        <v>0</v>
      </c>
      <c r="R84" s="467">
        <f>(IF(R2=Cashflow!$C$3,Assumptions!$E$51/12,1)*Tables!$B$30)*R83</f>
        <v>0</v>
      </c>
      <c r="S84" s="467">
        <f>(IF(S2=Cashflow!$C$3,Assumptions!$E$51/12,1)*Tables!$B$30)*S83</f>
        <v>0</v>
      </c>
      <c r="T84" s="467">
        <f>(IF(T2=Cashflow!$C$3,Assumptions!$E$51/12,1)*Tables!$B$30)*T83</f>
        <v>0</v>
      </c>
      <c r="U84" s="467">
        <f>(IF(U2=Cashflow!$C$3,Assumptions!$E$51/12,1)*Tables!$B$30)*U83</f>
        <v>0</v>
      </c>
      <c r="V84" s="467">
        <f>(IF(V2=Cashflow!$C$3,Assumptions!$E$51/12,1)*Tables!$B$30)*V83</f>
        <v>0</v>
      </c>
      <c r="W84" s="467">
        <f>(IF(W2=Cashflow!$C$3,Assumptions!$E$51/12,1)*Tables!$B$30)*W83</f>
        <v>0</v>
      </c>
      <c r="X84" s="467">
        <f>(IF(X2=Cashflow!$C$3,Assumptions!$E$51/12,1)*Tables!$B$30)*X83</f>
        <v>0</v>
      </c>
      <c r="Y84" s="39"/>
      <c r="Z84" s="39"/>
      <c r="AA84" s="39"/>
      <c r="AB84" s="39"/>
    </row>
    <row r="85" spans="2:28" ht="10.5" customHeight="1" thickTop="1">
      <c r="B85" s="67"/>
      <c r="C85" s="6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25"/>
      <c r="Z85" s="25"/>
      <c r="AA85" s="25"/>
      <c r="AB85" s="25"/>
    </row>
    <row r="86" spans="2:28" ht="10.5" customHeight="1">
      <c r="B86" s="67"/>
      <c r="C86" s="6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25"/>
      <c r="Z86" s="25"/>
      <c r="AA86" s="25"/>
      <c r="AB86" s="25"/>
    </row>
    <row r="87" spans="2:28" ht="10.5" customHeight="1">
      <c r="B87" s="96" t="s">
        <v>691</v>
      </c>
      <c r="C87" s="67"/>
      <c r="D87" s="55"/>
      <c r="E87" s="55"/>
      <c r="F87" s="55">
        <f>Assumptions!$B$54</f>
        <v>0</v>
      </c>
      <c r="G87" s="55">
        <f>Assumptions!$B$54</f>
        <v>0</v>
      </c>
      <c r="H87" s="55">
        <f>G87*(1+Assumptions!$B$55)</f>
        <v>0</v>
      </c>
      <c r="I87" s="55">
        <f>H87*(1+Assumptions!$B$55)</f>
        <v>0</v>
      </c>
      <c r="J87" s="55">
        <f>I87*(1+Assumptions!$B$55)</f>
        <v>0</v>
      </c>
      <c r="K87" s="55">
        <f>J87*(1+Assumptions!$B$55)</f>
        <v>0</v>
      </c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25"/>
      <c r="Z87" s="25"/>
      <c r="AA87" s="25"/>
      <c r="AB87" s="25"/>
    </row>
    <row r="88" spans="2:28" ht="10.5" customHeight="1">
      <c r="B88" s="96" t="s">
        <v>554</v>
      </c>
      <c r="C88" s="67"/>
      <c r="D88" s="646">
        <f>(D87*D21)/1000</f>
        <v>0</v>
      </c>
      <c r="E88" s="646">
        <f>(E87*E21)/1000</f>
        <v>0</v>
      </c>
      <c r="F88" s="646">
        <f>(F87*F21)/1000</f>
        <v>0</v>
      </c>
      <c r="G88" s="646">
        <f>(G87*G21)/1000</f>
        <v>0</v>
      </c>
      <c r="H88" s="646">
        <f>MIN($G$88,(H87*H21)/1000)</f>
        <v>0</v>
      </c>
      <c r="I88" s="646">
        <f>MIN($G$88,(I87*I21)/1000)</f>
        <v>0</v>
      </c>
      <c r="J88" s="646">
        <f>MIN($G$88,(J87*J21)/1000)</f>
        <v>0</v>
      </c>
      <c r="K88" s="646">
        <f>MIN($G$88,(K87*K21)/1000)</f>
        <v>0</v>
      </c>
      <c r="L88" s="646">
        <f t="shared" ref="L88:X88" si="16">(L87*L21)/1000</f>
        <v>0</v>
      </c>
      <c r="M88" s="646">
        <f t="shared" si="16"/>
        <v>0</v>
      </c>
      <c r="N88" s="646">
        <f t="shared" si="16"/>
        <v>0</v>
      </c>
      <c r="O88" s="646">
        <f t="shared" si="16"/>
        <v>0</v>
      </c>
      <c r="P88" s="646">
        <f t="shared" si="16"/>
        <v>0</v>
      </c>
      <c r="Q88" s="646">
        <f t="shared" si="16"/>
        <v>0</v>
      </c>
      <c r="R88" s="646">
        <f t="shared" si="16"/>
        <v>0</v>
      </c>
      <c r="S88" s="646">
        <f t="shared" si="16"/>
        <v>0</v>
      </c>
      <c r="T88" s="646">
        <f t="shared" si="16"/>
        <v>0</v>
      </c>
      <c r="U88" s="646">
        <f t="shared" si="16"/>
        <v>0</v>
      </c>
      <c r="V88" s="646">
        <f t="shared" si="16"/>
        <v>0</v>
      </c>
      <c r="W88" s="646">
        <f t="shared" si="16"/>
        <v>0</v>
      </c>
      <c r="X88" s="646">
        <f t="shared" si="16"/>
        <v>0</v>
      </c>
      <c r="Y88" s="25"/>
      <c r="Z88" s="25"/>
      <c r="AA88" s="25"/>
      <c r="AB88" s="25"/>
    </row>
    <row r="89" spans="2:28" ht="10.5" customHeight="1">
      <c r="B89" s="67"/>
      <c r="C89" s="6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25"/>
      <c r="Z89" s="25"/>
      <c r="AA89" s="25"/>
      <c r="AB89" s="25"/>
    </row>
    <row r="90" spans="2:28" ht="10.5" customHeight="1">
      <c r="B90" s="67"/>
      <c r="C90" s="6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25"/>
      <c r="Z90" s="25"/>
      <c r="AA90" s="25"/>
      <c r="AB90" s="25"/>
    </row>
    <row r="91" spans="2:28" ht="10.5" customHeight="1">
      <c r="B91" s="96" t="s">
        <v>575</v>
      </c>
      <c r="C91" s="67"/>
      <c r="D91" s="55"/>
      <c r="E91" s="7"/>
      <c r="F91" s="7"/>
      <c r="G91" s="55">
        <f>Assumptions!$B$60</f>
        <v>0</v>
      </c>
      <c r="H91" s="55">
        <f>Assumptions!$B$60</f>
        <v>0</v>
      </c>
      <c r="I91" s="55">
        <f>Assumptions!$B$60</f>
        <v>0</v>
      </c>
      <c r="J91" s="55">
        <f>Assumptions!$B$60</f>
        <v>0</v>
      </c>
      <c r="K91" s="55">
        <f>Assumptions!$B$60</f>
        <v>0</v>
      </c>
      <c r="L91" s="55">
        <f>Assumptions!$B$60</f>
        <v>0</v>
      </c>
      <c r="M91" s="55">
        <f>Assumptions!$B$60</f>
        <v>0</v>
      </c>
      <c r="N91" s="55">
        <f>Assumptions!$B$60</f>
        <v>0</v>
      </c>
      <c r="O91" s="55">
        <f>Assumptions!$B$60</f>
        <v>0</v>
      </c>
      <c r="P91" s="55">
        <f>Assumptions!$B$60</f>
        <v>0</v>
      </c>
      <c r="Q91" s="55">
        <f>Assumptions!$B$60</f>
        <v>0</v>
      </c>
      <c r="R91" s="55">
        <f>Assumptions!$B$60</f>
        <v>0</v>
      </c>
      <c r="S91" s="55">
        <f>Assumptions!$B$60</f>
        <v>0</v>
      </c>
      <c r="T91" s="55">
        <f>Assumptions!$B$60</f>
        <v>0</v>
      </c>
      <c r="U91" s="55">
        <f>Assumptions!$B$60</f>
        <v>0</v>
      </c>
      <c r="V91" s="55">
        <f>Assumptions!$B$60</f>
        <v>0</v>
      </c>
      <c r="W91" s="55">
        <f>Assumptions!$B$60</f>
        <v>0</v>
      </c>
      <c r="X91" s="55">
        <f>Assumptions!$B$60</f>
        <v>0</v>
      </c>
      <c r="Y91" s="25"/>
      <c r="Z91" s="25"/>
      <c r="AA91" s="25"/>
      <c r="AB91" s="25"/>
    </row>
    <row r="92" spans="2:28" ht="10.5" customHeight="1">
      <c r="B92" s="98" t="s">
        <v>454</v>
      </c>
      <c r="C92" s="67"/>
      <c r="D92" s="55"/>
      <c r="E92" s="7"/>
      <c r="F92" s="7"/>
      <c r="G92" s="55">
        <f>INDEX(fxcurve,MATCH(G$3,FX!$F$2:$F$28,0),MATCH("Annual Average",FX!$F$2:$G$2,0))</f>
        <v>1.4140742774701416</v>
      </c>
      <c r="H92" s="55">
        <f>INDEX(fxcurve,MATCH(H$3,FX!$F$2:$F$28,0),MATCH("Annual Average",FX!$F$2:$G$2,0))</f>
        <v>1.4001862851214766</v>
      </c>
      <c r="I92" s="55">
        <f>INDEX(fxcurve,MATCH(I$3,FX!$F$2:$F$28,0),MATCH("Annual Average",FX!$F$2:$G$2,0))</f>
        <v>1.3825442094226041</v>
      </c>
      <c r="J92" s="55">
        <f>INDEX(fxcurve,MATCH(J$3,FX!$F$2:$F$28,0),MATCH("Annual Average",FX!$F$2:$G$2,0))</f>
        <v>1.3691933935263132</v>
      </c>
      <c r="K92" s="55">
        <f>INDEX(fxcurve,MATCH(K$3,FX!$F$2:$F$28,0),MATCH("Annual Average",FX!$F$2:$G$2,0))</f>
        <v>1.3567243341672643</v>
      </c>
      <c r="L92" s="55">
        <f>INDEX(fxcurve,MATCH(L$3,FX!$F$2:$F$28,0),MATCH("Annual Average",FX!$F$2:$G$2,0))</f>
        <v>1.3458119116935789</v>
      </c>
      <c r="M92" s="55">
        <f>INDEX(fxcurve,MATCH(M$3,FX!$F$2:$F$28,0),MATCH("Annual Average",FX!$F$2:$G$2,0))</f>
        <v>1.3355676432082113</v>
      </c>
      <c r="N92" s="55">
        <f>INDEX(fxcurve,MATCH(N$3,FX!$F$2:$F$28,0),MATCH("Annual Average",FX!$F$2:$G$2,0))</f>
        <v>1.3256144653012283</v>
      </c>
      <c r="O92" s="55">
        <f>INDEX(fxcurve,MATCH(O$3,FX!$F$2:$F$28,0),MATCH("Annual Average",FX!$F$2:$G$2,0))</f>
        <v>1.3153109772453393</v>
      </c>
      <c r="P92" s="55">
        <f>INDEX(fxcurve,MATCH(P$3,FX!$F$2:$F$28,0),MATCH("Annual Average",FX!$F$2:$G$2,0))</f>
        <v>1.3052784236635901</v>
      </c>
      <c r="Q92" s="55">
        <f>INDEX(fxcurve,MATCH(Q$3,FX!$F$2:$F$28,0),MATCH("Annual Average",FX!$F$2:$G$2,0))</f>
        <v>1.2955998053801068</v>
      </c>
      <c r="R92" s="55">
        <f>INDEX(fxcurve,MATCH(R$3,FX!$F$2:$F$28,0),MATCH("Annual Average",FX!$F$2:$G$2,0))</f>
        <v>1.2862545492810176</v>
      </c>
      <c r="S92" s="55">
        <f>INDEX(fxcurve,MATCH(S$3,FX!$F$2:$F$28,0),MATCH("Annual Average",FX!$F$2:$G$2,0))</f>
        <v>1.2774996255124191</v>
      </c>
      <c r="T92" s="55">
        <f>INDEX(fxcurve,MATCH(T$3,FX!$F$2:$F$28,0),MATCH("Annual Average",FX!$F$2:$G$2,0))</f>
        <v>1.2699034289925668</v>
      </c>
      <c r="U92" s="55">
        <f>INDEX(fxcurve,MATCH(U$3,FX!$F$2:$F$28,0),MATCH("Annual Average",FX!$F$2:$G$2,0))</f>
        <v>1.2628110343846066</v>
      </c>
      <c r="V92" s="55">
        <f>INDEX(fxcurve,MATCH(V$3,FX!$F$2:$F$28,0),MATCH("Annual Average",FX!$F$2:$G$2,0))</f>
        <v>1.256154552542575</v>
      </c>
      <c r="W92" s="55">
        <f>INDEX(fxcurve,MATCH(W$3,FX!$F$2:$F$28,0),MATCH("Annual Average",FX!$F$2:$G$2,0))</f>
        <v>1.2499240862579284</v>
      </c>
      <c r="X92" s="55">
        <f>INDEX(fxcurve,MATCH(X$3,FX!$F$2:$F$28,0),MATCH("Annual Average",FX!$F$2:$G$2,0))</f>
        <v>1.2422839673732373</v>
      </c>
      <c r="Y92" s="25"/>
      <c r="Z92" s="25"/>
      <c r="AA92" s="25"/>
      <c r="AB92" s="25"/>
    </row>
    <row r="93" spans="2:28" ht="10.5" customHeight="1">
      <c r="B93" s="98" t="s">
        <v>576</v>
      </c>
      <c r="C93" s="67"/>
      <c r="D93" s="55"/>
      <c r="E93" s="7"/>
      <c r="F93" s="7"/>
      <c r="G93" s="55">
        <f>G91*G92</f>
        <v>0</v>
      </c>
      <c r="H93" s="55">
        <f t="shared" ref="H93:X93" si="17">H91*H92</f>
        <v>0</v>
      </c>
      <c r="I93" s="55">
        <f t="shared" si="17"/>
        <v>0</v>
      </c>
      <c r="J93" s="55">
        <f t="shared" si="17"/>
        <v>0</v>
      </c>
      <c r="K93" s="55">
        <f t="shared" si="17"/>
        <v>0</v>
      </c>
      <c r="L93" s="55">
        <f t="shared" si="17"/>
        <v>0</v>
      </c>
      <c r="M93" s="55">
        <f t="shared" si="17"/>
        <v>0</v>
      </c>
      <c r="N93" s="55">
        <f t="shared" si="17"/>
        <v>0</v>
      </c>
      <c r="O93" s="55">
        <f t="shared" si="17"/>
        <v>0</v>
      </c>
      <c r="P93" s="55">
        <f t="shared" si="17"/>
        <v>0</v>
      </c>
      <c r="Q93" s="55">
        <f t="shared" si="17"/>
        <v>0</v>
      </c>
      <c r="R93" s="55">
        <f t="shared" si="17"/>
        <v>0</v>
      </c>
      <c r="S93" s="55">
        <f t="shared" si="17"/>
        <v>0</v>
      </c>
      <c r="T93" s="55">
        <f t="shared" si="17"/>
        <v>0</v>
      </c>
      <c r="U93" s="55">
        <f t="shared" si="17"/>
        <v>0</v>
      </c>
      <c r="V93" s="55">
        <f t="shared" si="17"/>
        <v>0</v>
      </c>
      <c r="W93" s="55">
        <f t="shared" si="17"/>
        <v>0</v>
      </c>
      <c r="X93" s="55">
        <f t="shared" si="17"/>
        <v>0</v>
      </c>
      <c r="Y93" s="25"/>
      <c r="Z93" s="25"/>
      <c r="AA93" s="25"/>
      <c r="AB93" s="25"/>
    </row>
    <row r="94" spans="2:28" ht="10.5" customHeight="1">
      <c r="B94" s="98"/>
      <c r="C94" s="67"/>
      <c r="D94" s="55"/>
      <c r="E94" s="7"/>
      <c r="F94" s="7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25"/>
      <c r="Z94" s="25"/>
      <c r="AA94" s="25"/>
      <c r="AB94" s="25"/>
    </row>
    <row r="95" spans="2:28" ht="10.5" customHeight="1">
      <c r="B95" s="98" t="s">
        <v>578</v>
      </c>
      <c r="C95" s="67"/>
      <c r="D95" s="676"/>
      <c r="E95" s="276"/>
      <c r="F95" s="276"/>
      <c r="G95" s="646">
        <f>((((G6*G8)*G93))*Assumptions!$B$61)/1000</f>
        <v>0</v>
      </c>
      <c r="H95" s="646">
        <f>((((H6*H8)*H93))*Assumptions!$B$61)/1000</f>
        <v>0</v>
      </c>
      <c r="I95" s="646">
        <f>((((I6*I8)*I93))*Assumptions!$B$61)/1000</f>
        <v>0</v>
      </c>
      <c r="J95" s="646">
        <f>((((J6*J8)*J93))*Assumptions!$B$61)/1000</f>
        <v>0</v>
      </c>
      <c r="K95" s="646">
        <f>((((K6*K8)*K93))*Assumptions!$B$61)/1000</f>
        <v>0</v>
      </c>
      <c r="L95" s="646">
        <f>((((L6*L8)*L93))*Assumptions!$B$61)/1000</f>
        <v>0</v>
      </c>
      <c r="M95" s="646">
        <f>((((M6*M8)*M93))*Assumptions!$B$61)/1000</f>
        <v>0</v>
      </c>
      <c r="N95" s="646">
        <f>((((N6*N8)*N93))*Assumptions!$B$61)/1000</f>
        <v>0</v>
      </c>
      <c r="O95" s="646">
        <f>((((O6*O8)*O93))*Assumptions!$B$61)/1000</f>
        <v>0</v>
      </c>
      <c r="P95" s="646">
        <f>((((P6*P8)*P93))*Assumptions!$B$61)/1000</f>
        <v>0</v>
      </c>
      <c r="Q95" s="646">
        <f>((((Q6*Q8)*Q93))*Assumptions!$B$61)/1000</f>
        <v>0</v>
      </c>
      <c r="R95" s="646">
        <f>((((R6*R8)*R93))*Assumptions!$B$61)/1000</f>
        <v>0</v>
      </c>
      <c r="S95" s="646">
        <f>((((S6*S8)*S93))*Assumptions!$B$61)/1000</f>
        <v>0</v>
      </c>
      <c r="T95" s="646">
        <f>IF(Tables!$B$21=15,0,((((T6*T8)*T93))*Assumptions!$B$61)/1000)</f>
        <v>0</v>
      </c>
      <c r="U95" s="646">
        <f>IF(Tables!$B$21=15,0,((((U6*U8)*U93))*Assumptions!$B$61)/1000)</f>
        <v>0</v>
      </c>
      <c r="V95" s="646">
        <f>IF(Tables!$B$21=15,0,((((V6*V8)*V93))*Assumptions!$B$61)/1000)</f>
        <v>0</v>
      </c>
      <c r="W95" s="646">
        <f>IF(Tables!$B$21=15,0,((((W6*W8)*W93))*Assumptions!$B$61)/1000)</f>
        <v>0</v>
      </c>
      <c r="X95" s="646">
        <f>IF(Tables!$B$21=15,0,((((X6*X8)*X93))*Assumptions!$B$61)/1000)</f>
        <v>0</v>
      </c>
      <c r="Y95" s="25"/>
      <c r="Z95" s="25"/>
      <c r="AA95" s="25"/>
      <c r="AB95" s="25"/>
    </row>
    <row r="96" spans="2:28" ht="10.5" customHeight="1">
      <c r="B96" s="96"/>
      <c r="C96" s="67"/>
      <c r="D96" s="55"/>
      <c r="E96" s="7"/>
      <c r="F96" s="7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25"/>
      <c r="Z96" s="25"/>
      <c r="AA96" s="25"/>
      <c r="AB96" s="25"/>
    </row>
    <row r="97" spans="1:256" ht="10.5" customHeight="1">
      <c r="B97" s="96"/>
      <c r="C97" s="67"/>
      <c r="D97" s="55"/>
      <c r="E97" s="7"/>
      <c r="F97" s="7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25"/>
      <c r="Z97" s="25"/>
      <c r="AA97" s="25"/>
      <c r="AB97" s="25"/>
    </row>
    <row r="98" spans="1:256" ht="10.5" customHeight="1">
      <c r="B98" s="114" t="s">
        <v>644</v>
      </c>
      <c r="C98" s="67"/>
      <c r="D98" s="55"/>
      <c r="E98" s="7"/>
      <c r="F98" s="7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25"/>
      <c r="Z98" s="25"/>
      <c r="AA98" s="25"/>
      <c r="AB98" s="25"/>
    </row>
    <row r="99" spans="1:256" ht="10.5" customHeight="1">
      <c r="B99" s="96" t="s">
        <v>643</v>
      </c>
      <c r="C99" s="67"/>
      <c r="D99" s="55">
        <f>Assumptions!$B$59</f>
        <v>4</v>
      </c>
      <c r="E99" s="55">
        <f>Assumptions!$B$59</f>
        <v>4</v>
      </c>
      <c r="F99" s="55">
        <f>Assumptions!$B$59</f>
        <v>4</v>
      </c>
      <c r="G99" s="55">
        <f>Assumptions!$B$59</f>
        <v>4</v>
      </c>
      <c r="H99" s="55">
        <f>Assumptions!$B$59</f>
        <v>4</v>
      </c>
      <c r="I99" s="55">
        <f>Assumptions!$B$59</f>
        <v>4</v>
      </c>
      <c r="J99" s="55">
        <f>Assumptions!$B$59</f>
        <v>4</v>
      </c>
      <c r="K99" s="55">
        <f>Assumptions!$B$59</f>
        <v>4</v>
      </c>
      <c r="L99" s="55">
        <f>Assumptions!$B$59</f>
        <v>4</v>
      </c>
      <c r="M99" s="55">
        <f>Assumptions!$B$59</f>
        <v>4</v>
      </c>
      <c r="N99" s="55">
        <f>Assumptions!$B$59</f>
        <v>4</v>
      </c>
      <c r="O99" s="55">
        <f>Assumptions!$B$59</f>
        <v>4</v>
      </c>
      <c r="P99" s="55">
        <f>Assumptions!$B$59</f>
        <v>4</v>
      </c>
      <c r="Q99" s="55">
        <f>Assumptions!$B$59</f>
        <v>4</v>
      </c>
      <c r="R99" s="55">
        <f>Assumptions!$B$59</f>
        <v>4</v>
      </c>
      <c r="S99" s="55">
        <f>Assumptions!$B$59</f>
        <v>4</v>
      </c>
      <c r="T99" s="55">
        <f>Assumptions!$B$59</f>
        <v>4</v>
      </c>
      <c r="U99" s="55">
        <f>Assumptions!$B$59</f>
        <v>4</v>
      </c>
      <c r="V99" s="55">
        <f>Assumptions!$B$59</f>
        <v>4</v>
      </c>
      <c r="W99" s="55">
        <f>Assumptions!$B$59</f>
        <v>4</v>
      </c>
      <c r="X99" s="55">
        <f>Assumptions!$B$59</f>
        <v>4</v>
      </c>
      <c r="Y99" s="25"/>
      <c r="Z99" s="25"/>
      <c r="AA99" s="25"/>
      <c r="AB99" s="25"/>
    </row>
    <row r="100" spans="1:256" ht="10.5" customHeight="1">
      <c r="B100" s="748" t="s">
        <v>454</v>
      </c>
      <c r="C100" s="67"/>
      <c r="D100" s="55">
        <f>INDEX(fxcurve,MATCH(D$3,FX!$F$2:$F$28,0),MATCH("Annual Average",FX!$F$2:$G$2,0))</f>
        <v>1.448419756899828</v>
      </c>
      <c r="E100" s="55">
        <f>INDEX(fxcurve,MATCH(E$3,FX!$F$2:$F$28,0),MATCH("Annual Average",FX!$F$2:$G$2,0))</f>
        <v>1.4371112386416593</v>
      </c>
      <c r="F100" s="55">
        <f>INDEX(fxcurve,MATCH(F$3,FX!$F$2:$F$28,0),MATCH("Annual Average",FX!$F$2:$G$2,0))</f>
        <v>1.4262562557458309</v>
      </c>
      <c r="G100" s="55">
        <f>INDEX(fxcurve,MATCH(G$3,FX!$F$2:$F$28,0),MATCH("Annual Average",FX!$F$2:$G$2,0))</f>
        <v>1.4140742774701416</v>
      </c>
      <c r="H100" s="55">
        <f>INDEX(fxcurve,MATCH(H$3,FX!$F$2:$F$28,0),MATCH("Annual Average",FX!$F$2:$G$2,0))</f>
        <v>1.4001862851214766</v>
      </c>
      <c r="I100" s="55">
        <f>INDEX(fxcurve,MATCH(I$3,FX!$F$2:$F$28,0),MATCH("Annual Average",FX!$F$2:$G$2,0))</f>
        <v>1.3825442094226041</v>
      </c>
      <c r="J100" s="55">
        <f>INDEX(fxcurve,MATCH(J$3,FX!$F$2:$F$28,0),MATCH("Annual Average",FX!$F$2:$G$2,0))</f>
        <v>1.3691933935263132</v>
      </c>
      <c r="K100" s="55">
        <f>INDEX(fxcurve,MATCH(K$3,FX!$F$2:$F$28,0),MATCH("Annual Average",FX!$F$2:$G$2,0))</f>
        <v>1.3567243341672643</v>
      </c>
      <c r="L100" s="55">
        <f>INDEX(fxcurve,MATCH(L$3,FX!$F$2:$F$28,0),MATCH("Annual Average",FX!$F$2:$G$2,0))</f>
        <v>1.3458119116935789</v>
      </c>
      <c r="M100" s="55">
        <f>INDEX(fxcurve,MATCH(M$3,FX!$F$2:$F$28,0),MATCH("Annual Average",FX!$F$2:$G$2,0))</f>
        <v>1.3355676432082113</v>
      </c>
      <c r="N100" s="55">
        <f>INDEX(fxcurve,MATCH(N$3,FX!$F$2:$F$28,0),MATCH("Annual Average",FX!$F$2:$G$2,0))</f>
        <v>1.3256144653012283</v>
      </c>
      <c r="O100" s="55">
        <f>INDEX(fxcurve,MATCH(O$3,FX!$F$2:$F$28,0),MATCH("Annual Average",FX!$F$2:$G$2,0))</f>
        <v>1.3153109772453393</v>
      </c>
      <c r="P100" s="55">
        <f>INDEX(fxcurve,MATCH(P$3,FX!$F$2:$F$28,0),MATCH("Annual Average",FX!$F$2:$G$2,0))</f>
        <v>1.3052784236635901</v>
      </c>
      <c r="Q100" s="55">
        <f>INDEX(fxcurve,MATCH(Q$3,FX!$F$2:$F$28,0),MATCH("Annual Average",FX!$F$2:$G$2,0))</f>
        <v>1.2955998053801068</v>
      </c>
      <c r="R100" s="55">
        <f>INDEX(fxcurve,MATCH(R$3,FX!$F$2:$F$28,0),MATCH("Annual Average",FX!$F$2:$G$2,0))</f>
        <v>1.2862545492810176</v>
      </c>
      <c r="S100" s="55">
        <f>INDEX(fxcurve,MATCH(S$3,FX!$F$2:$F$28,0),MATCH("Annual Average",FX!$F$2:$G$2,0))</f>
        <v>1.2774996255124191</v>
      </c>
      <c r="T100" s="55">
        <f>INDEX(fxcurve,MATCH(T$3,FX!$F$2:$F$28,0),MATCH("Annual Average",FX!$F$2:$G$2,0))</f>
        <v>1.2699034289925668</v>
      </c>
      <c r="U100" s="55">
        <f>INDEX(fxcurve,MATCH(U$3,FX!$F$2:$F$28,0),MATCH("Annual Average",FX!$F$2:$G$2,0))</f>
        <v>1.2628110343846066</v>
      </c>
      <c r="V100" s="55">
        <f>INDEX(fxcurve,MATCH(V$3,FX!$F$2:$F$28,0),MATCH("Annual Average",FX!$F$2:$G$2,0))</f>
        <v>1.256154552542575</v>
      </c>
      <c r="W100" s="55">
        <f>INDEX(fxcurve,MATCH(W$3,FX!$F$2:$F$28,0),MATCH("Annual Average",FX!$F$2:$G$2,0))</f>
        <v>1.2499240862579284</v>
      </c>
      <c r="X100" s="55">
        <f>INDEX(fxcurve,MATCH(X$3,FX!$F$2:$F$28,0),MATCH("Annual Average",FX!$F$2:$G$2,0))</f>
        <v>1.2422839673732373</v>
      </c>
      <c r="Y100" s="25"/>
      <c r="Z100" s="25"/>
      <c r="AA100" s="25"/>
      <c r="AB100" s="25"/>
    </row>
    <row r="101" spans="1:256" ht="10.5" customHeight="1">
      <c r="B101" s="421" t="s">
        <v>646</v>
      </c>
      <c r="D101" s="55">
        <f>D99*D100</f>
        <v>5.7936790275993122</v>
      </c>
      <c r="E101" s="55">
        <f t="shared" ref="E101:X101" si="18">E99*E100</f>
        <v>5.7484449545666374</v>
      </c>
      <c r="F101" s="55">
        <f t="shared" si="18"/>
        <v>5.7050250229833237</v>
      </c>
      <c r="G101" s="55">
        <f t="shared" si="18"/>
        <v>5.6562971098805663</v>
      </c>
      <c r="H101" s="55">
        <f t="shared" si="18"/>
        <v>5.6007451404859063</v>
      </c>
      <c r="I101" s="55">
        <f t="shared" si="18"/>
        <v>5.5301768376904166</v>
      </c>
      <c r="J101" s="55">
        <f t="shared" si="18"/>
        <v>5.4767735741052528</v>
      </c>
      <c r="K101" s="55">
        <f t="shared" si="18"/>
        <v>5.4268973366690574</v>
      </c>
      <c r="L101" s="55">
        <f t="shared" si="18"/>
        <v>5.3832476467743158</v>
      </c>
      <c r="M101" s="55">
        <f t="shared" si="18"/>
        <v>5.3422705728328452</v>
      </c>
      <c r="N101" s="55">
        <f t="shared" si="18"/>
        <v>5.3024578612049131</v>
      </c>
      <c r="O101" s="55">
        <f t="shared" si="18"/>
        <v>5.2612439089813572</v>
      </c>
      <c r="P101" s="55">
        <f t="shared" si="18"/>
        <v>5.2211136946543606</v>
      </c>
      <c r="Q101" s="55">
        <f t="shared" si="18"/>
        <v>5.1823992215204271</v>
      </c>
      <c r="R101" s="55">
        <f t="shared" si="18"/>
        <v>5.1450181971240703</v>
      </c>
      <c r="S101" s="55">
        <f t="shared" si="18"/>
        <v>5.1099985020496765</v>
      </c>
      <c r="T101" s="55">
        <f t="shared" si="18"/>
        <v>5.0796137159702672</v>
      </c>
      <c r="U101" s="55">
        <f t="shared" si="18"/>
        <v>5.0512441375384265</v>
      </c>
      <c r="V101" s="55">
        <f t="shared" si="18"/>
        <v>5.0246182101703001</v>
      </c>
      <c r="W101" s="55">
        <f t="shared" si="18"/>
        <v>4.9996963450317136</v>
      </c>
      <c r="X101" s="55">
        <f t="shared" si="18"/>
        <v>4.9691358694929493</v>
      </c>
      <c r="Y101" s="55"/>
    </row>
    <row r="102" spans="1:256" ht="10.5" customHeight="1">
      <c r="B102" s="421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</row>
    <row r="103" spans="1:256" ht="10.5" customHeight="1">
      <c r="B103" s="421" t="s">
        <v>647</v>
      </c>
      <c r="D103" s="39">
        <f t="shared" ref="D103:X103" si="19">(D101*D21)/1000</f>
        <v>0</v>
      </c>
      <c r="E103" s="39">
        <f t="shared" si="19"/>
        <v>1225.777415229074</v>
      </c>
      <c r="F103" s="39">
        <f t="shared" si="19"/>
        <v>1490.8208545825767</v>
      </c>
      <c r="G103" s="39">
        <f t="shared" si="19"/>
        <v>1502.8154504131232</v>
      </c>
      <c r="H103" s="39">
        <f t="shared" si="19"/>
        <v>1198.7329630833631</v>
      </c>
      <c r="I103" s="39">
        <f t="shared" si="19"/>
        <v>1180.5106076336081</v>
      </c>
      <c r="J103" s="39">
        <f t="shared" si="19"/>
        <v>1189.8712713162238</v>
      </c>
      <c r="K103" s="39">
        <f t="shared" si="19"/>
        <v>1161.9869359507359</v>
      </c>
      <c r="L103" s="39">
        <f t="shared" si="19"/>
        <v>1149.6528514592485</v>
      </c>
      <c r="M103" s="39">
        <f t="shared" si="19"/>
        <v>1151.6349529787876</v>
      </c>
      <c r="N103" s="39">
        <f t="shared" si="19"/>
        <v>1140.0623758893678</v>
      </c>
      <c r="O103" s="39">
        <f t="shared" si="19"/>
        <v>1128.2342152972292</v>
      </c>
      <c r="P103" s="39">
        <f t="shared" si="19"/>
        <v>970.56052521546519</v>
      </c>
      <c r="Q103" s="39">
        <f t="shared" si="19"/>
        <v>980.54382145665431</v>
      </c>
      <c r="R103" s="39">
        <f t="shared" si="19"/>
        <v>971.05675818616487</v>
      </c>
      <c r="S103" s="39">
        <f t="shared" si="19"/>
        <v>975.21829694588496</v>
      </c>
      <c r="T103" s="39">
        <f t="shared" si="19"/>
        <v>0</v>
      </c>
      <c r="U103" s="39">
        <f t="shared" si="19"/>
        <v>0</v>
      </c>
      <c r="V103" s="39">
        <f t="shared" si="19"/>
        <v>0</v>
      </c>
      <c r="W103" s="39">
        <f t="shared" si="19"/>
        <v>0</v>
      </c>
      <c r="X103" s="39">
        <f t="shared" si="19"/>
        <v>0</v>
      </c>
      <c r="Y103" s="55"/>
    </row>
    <row r="104" spans="1:256" ht="10.5" customHeight="1">
      <c r="B104" s="67"/>
      <c r="C104" s="6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25"/>
      <c r="Z104" s="25"/>
      <c r="AA104" s="25"/>
      <c r="AB104" s="25"/>
    </row>
    <row r="105" spans="1:256" s="43" customFormat="1" ht="10.5" customHeight="1" thickBot="1">
      <c r="A105" s="214"/>
      <c r="B105" s="767" t="s">
        <v>611</v>
      </c>
      <c r="C105" s="78"/>
      <c r="D105" s="466"/>
      <c r="E105" s="466">
        <f>IF(E21=0,0,((Assumptions!$B$68*Assumptions!$B$69)*(Assumptions!$B$70*Assumptions!$B$71))/Assumptions!$B$72)</f>
        <v>0</v>
      </c>
      <c r="F105" s="466">
        <f>IF(F21=0,0,((Assumptions!$B$68*Assumptions!$B$69)*(Assumptions!$B$70*Assumptions!$B$71))/Assumptions!$B$72)</f>
        <v>0</v>
      </c>
      <c r="G105" s="466">
        <f>IF(G21=0,0,((Assumptions!$B$68*Assumptions!$B$69)*(Assumptions!$B$70*Assumptions!$B$71))/Assumptions!$B$72)</f>
        <v>0</v>
      </c>
      <c r="H105" s="466">
        <f>IF(H21=0,0,((Assumptions!$B$68*Assumptions!$B$69)*(Assumptions!$B$70*Assumptions!$B$71))/Assumptions!$B$72)</f>
        <v>0</v>
      </c>
      <c r="I105" s="466">
        <f>IF(I21=0,0,((Assumptions!$B$68*Assumptions!$B$69)*(Assumptions!$B$70*Assumptions!$B$71))/Assumptions!$B$72)</f>
        <v>0</v>
      </c>
      <c r="J105" s="466"/>
      <c r="K105" s="466"/>
      <c r="L105" s="466"/>
      <c r="M105" s="466"/>
      <c r="N105" s="466"/>
      <c r="O105" s="466"/>
      <c r="P105" s="466"/>
      <c r="Q105" s="466"/>
      <c r="R105" s="466"/>
      <c r="S105" s="466"/>
      <c r="T105" s="466"/>
      <c r="U105" s="466"/>
      <c r="V105" s="466"/>
      <c r="W105" s="466"/>
      <c r="X105" s="466"/>
      <c r="Y105" s="39"/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  <c r="BT105" s="39"/>
      <c r="BU105" s="39"/>
      <c r="BV105" s="39"/>
      <c r="BW105" s="39"/>
      <c r="BX105" s="39"/>
      <c r="BY105" s="39"/>
      <c r="BZ105" s="39"/>
      <c r="CA105" s="39"/>
      <c r="CB105" s="39"/>
      <c r="CC105" s="39"/>
      <c r="CD105" s="39"/>
      <c r="CE105" s="39"/>
      <c r="CF105" s="39"/>
      <c r="CG105" s="39"/>
      <c r="CH105" s="39"/>
      <c r="CI105" s="39"/>
      <c r="CJ105" s="39"/>
      <c r="CK105" s="39"/>
      <c r="CL105" s="39"/>
      <c r="CM105" s="39"/>
      <c r="CN105" s="39"/>
      <c r="CO105" s="39"/>
      <c r="CP105" s="39"/>
      <c r="CQ105" s="39"/>
      <c r="CR105" s="39"/>
      <c r="CS105" s="39"/>
      <c r="CT105" s="39"/>
      <c r="CU105" s="39"/>
      <c r="CV105" s="39"/>
      <c r="CW105" s="39"/>
      <c r="CX105" s="39"/>
      <c r="CY105" s="39"/>
      <c r="CZ105" s="39"/>
      <c r="DA105" s="39"/>
      <c r="DB105" s="39"/>
      <c r="DC105" s="39"/>
      <c r="DD105" s="39"/>
      <c r="DE105" s="39"/>
      <c r="DF105" s="39"/>
      <c r="DG105" s="39"/>
      <c r="DH105" s="39"/>
      <c r="DI105" s="39"/>
      <c r="DJ105" s="39"/>
      <c r="DK105" s="39"/>
      <c r="DL105" s="39"/>
      <c r="DM105" s="39"/>
      <c r="DN105" s="39"/>
      <c r="DO105" s="39"/>
      <c r="DP105" s="39"/>
      <c r="DQ105" s="39"/>
      <c r="DR105" s="39"/>
      <c r="DS105" s="39"/>
      <c r="DT105" s="39"/>
      <c r="DU105" s="39"/>
      <c r="DV105" s="39"/>
      <c r="DW105" s="39"/>
      <c r="DX105" s="39"/>
      <c r="DY105" s="39"/>
      <c r="DZ105" s="39"/>
      <c r="EA105" s="39"/>
      <c r="EB105" s="39"/>
      <c r="EC105" s="39"/>
      <c r="ED105" s="39"/>
      <c r="EE105" s="39"/>
      <c r="EF105" s="39"/>
      <c r="EG105" s="39"/>
      <c r="EH105" s="39"/>
      <c r="EI105" s="39"/>
      <c r="EJ105" s="39"/>
      <c r="EK105" s="39"/>
      <c r="EL105" s="39"/>
      <c r="EM105" s="39"/>
      <c r="EN105" s="39"/>
      <c r="EO105" s="39"/>
      <c r="EP105" s="39"/>
      <c r="EQ105" s="39"/>
      <c r="ER105" s="39"/>
      <c r="ES105" s="39"/>
      <c r="ET105" s="39"/>
      <c r="EU105" s="39"/>
      <c r="EV105" s="39"/>
      <c r="EW105" s="39"/>
      <c r="EX105" s="39"/>
      <c r="EY105" s="39"/>
      <c r="EZ105" s="39"/>
      <c r="FA105" s="39"/>
      <c r="FB105" s="39"/>
      <c r="FC105" s="39"/>
      <c r="FD105" s="39"/>
      <c r="FE105" s="39"/>
      <c r="FF105" s="39"/>
      <c r="FG105" s="39"/>
      <c r="FH105" s="39"/>
      <c r="FI105" s="39"/>
      <c r="FJ105" s="39"/>
      <c r="FK105" s="39"/>
      <c r="FL105" s="39"/>
      <c r="FM105" s="39"/>
      <c r="FN105" s="39"/>
      <c r="FO105" s="39"/>
      <c r="FP105" s="39"/>
      <c r="FQ105" s="39"/>
      <c r="FR105" s="39"/>
      <c r="FS105" s="39"/>
      <c r="FT105" s="39"/>
      <c r="FU105" s="39"/>
      <c r="FV105" s="39"/>
      <c r="FW105" s="39"/>
      <c r="FX105" s="39"/>
      <c r="FY105" s="39"/>
      <c r="FZ105" s="39"/>
      <c r="GA105" s="39"/>
      <c r="GB105" s="39"/>
      <c r="GC105" s="39"/>
      <c r="GD105" s="39"/>
      <c r="GE105" s="39"/>
      <c r="GF105" s="39"/>
      <c r="GG105" s="39"/>
      <c r="GH105" s="39"/>
      <c r="GI105" s="39"/>
      <c r="GJ105" s="39"/>
      <c r="GK105" s="39"/>
      <c r="GL105" s="39"/>
      <c r="GM105" s="39"/>
      <c r="GN105" s="39"/>
      <c r="GO105" s="39"/>
      <c r="GP105" s="39"/>
      <c r="GQ105" s="39"/>
      <c r="GR105" s="39"/>
      <c r="GS105" s="39"/>
      <c r="GT105" s="39"/>
      <c r="GU105" s="39"/>
      <c r="GV105" s="39"/>
      <c r="GW105" s="39"/>
      <c r="GX105" s="39"/>
      <c r="GY105" s="39"/>
      <c r="GZ105" s="39"/>
      <c r="HA105" s="39"/>
      <c r="HB105" s="39"/>
      <c r="HC105" s="39"/>
      <c r="HD105" s="39"/>
      <c r="HE105" s="39"/>
      <c r="HF105" s="39"/>
      <c r="HG105" s="39"/>
      <c r="HH105" s="39"/>
      <c r="HI105" s="39"/>
      <c r="HJ105" s="39"/>
      <c r="HK105" s="39"/>
      <c r="HL105" s="39"/>
      <c r="HM105" s="39"/>
      <c r="HN105" s="39"/>
      <c r="HO105" s="39"/>
      <c r="HP105" s="39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  <c r="IE105" s="39"/>
      <c r="IF105" s="39"/>
      <c r="IG105" s="39"/>
      <c r="IH105" s="39"/>
      <c r="II105" s="39"/>
      <c r="IJ105" s="39"/>
      <c r="IK105" s="39"/>
      <c r="IL105" s="39"/>
      <c r="IM105" s="39"/>
      <c r="IN105" s="39"/>
      <c r="IO105" s="39"/>
      <c r="IP105" s="39"/>
      <c r="IQ105" s="39"/>
      <c r="IR105" s="39"/>
      <c r="IS105" s="39"/>
      <c r="IT105" s="39"/>
      <c r="IU105" s="39"/>
      <c r="IV105" s="39"/>
    </row>
    <row r="106" spans="1:256" ht="10.5" customHeight="1" thickTop="1">
      <c r="B106" s="67"/>
      <c r="C106" s="6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25"/>
      <c r="Z106" s="25"/>
      <c r="AA106" s="25"/>
      <c r="AB106" s="25"/>
    </row>
    <row r="107" spans="1:256" ht="10.5" customHeight="1">
      <c r="B107" s="710" t="s">
        <v>621</v>
      </c>
      <c r="C107" s="67"/>
      <c r="D107" s="7"/>
      <c r="E107" s="7"/>
      <c r="F107" s="7"/>
      <c r="G107" s="734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25"/>
      <c r="Z107" s="25"/>
      <c r="AA107" s="25"/>
      <c r="AB107" s="25"/>
    </row>
    <row r="108" spans="1:256" ht="10.5" customHeight="1">
      <c r="B108" s="67"/>
      <c r="C108" s="6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25"/>
      <c r="Z108" s="25"/>
      <c r="AA108" s="25"/>
      <c r="AB108" s="25"/>
    </row>
    <row r="109" spans="1:256" ht="10.5" customHeight="1">
      <c r="B109" s="67"/>
      <c r="C109" s="6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25"/>
      <c r="Z109" s="25"/>
      <c r="AA109" s="25"/>
      <c r="AB109" s="25"/>
    </row>
    <row r="110" spans="1:256" ht="10.5" customHeight="1">
      <c r="B110" s="92" t="s">
        <v>673</v>
      </c>
      <c r="C110" s="6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25"/>
      <c r="Z110" s="25"/>
      <c r="AA110" s="25"/>
      <c r="AB110" s="25"/>
    </row>
    <row r="111" spans="1:256" ht="10.5" customHeight="1">
      <c r="B111" s="421" t="s">
        <v>489</v>
      </c>
      <c r="C111" s="1"/>
      <c r="D111" s="55">
        <f>IF(D21=0,0,SUMIF('Monthly Table'!$CR:$CR,YEAR('Operational Detail'!D$2),'Monthly Table'!$Q:$Q)/COUNTIF('Monthly Table'!$CR:$CR,YEAR(D$2)))</f>
        <v>0</v>
      </c>
      <c r="E111" s="55">
        <f>IF(E21=0,0,SUMIF('Monthly Table'!$CR:$CR,YEAR('Operational Detail'!E$2),'Monthly Table'!$Q:$Q)/COUNTIF('Monthly Table'!$CR:$CR,YEAR(E$2)))</f>
        <v>2.8640000000000003</v>
      </c>
      <c r="F111" s="55">
        <f>IF(F21=0,0,SUMIF('Monthly Table'!$CR:$CR,YEAR('Operational Detail'!F$2),'Monthly Table'!$Q:$Q)/COUNTIF('Monthly Table'!$CR:$CR,YEAR(F$2)))</f>
        <v>2.778</v>
      </c>
      <c r="G111" s="55">
        <f>IF(G21=0,0,SUMIF('Monthly Table'!$CR:$CR,YEAR('Operational Detail'!G$2),'Monthly Table'!$Q:$Q)/COUNTIF('Monthly Table'!$CR:$CR,YEAR(G$2)))</f>
        <v>2.8105000000000002</v>
      </c>
      <c r="H111" s="55">
        <f>IF(H21=0,0,SUMIF('Monthly Table'!$CR:$CR,YEAR('Operational Detail'!H$2),'Monthly Table'!$Q:$Q)/COUNTIF('Monthly Table'!$CR:$CR,YEAR(H$2)))</f>
        <v>2.8768333333333334</v>
      </c>
      <c r="I111" s="55">
        <f>IF(I21=0,0,SUMIF('Monthly Table'!$CR:$CR,YEAR('Operational Detail'!I$2),'Monthly Table'!$Q:$Q)/COUNTIF('Monthly Table'!$CR:$CR,YEAR(I$2)))</f>
        <v>2.9268333333333332</v>
      </c>
      <c r="J111" s="55">
        <f>IF(J21=0,0,SUMIF('Monthly Table'!$CR:$CR,YEAR('Operational Detail'!J$2),'Monthly Table'!$Q:$Q)/COUNTIF('Monthly Table'!$CR:$CR,YEAR(J$2)))</f>
        <v>2.9818333333333329</v>
      </c>
      <c r="K111" s="55">
        <f>IF(K21=0,0,SUMIF('Monthly Table'!$CR:$CR,YEAR('Operational Detail'!K$2),'Monthly Table'!$Q:$Q)/COUNTIF('Monthly Table'!$CR:$CR,YEAR(K$2)))</f>
        <v>3.0468333333333333</v>
      </c>
      <c r="L111" s="55">
        <f>IF(L21=0,0,SUMIF('Monthly Table'!$CR:$CR,YEAR('Operational Detail'!L$2),'Monthly Table'!$Q:$Q)/COUNTIF('Monthly Table'!$CR:$CR,YEAR(L$2)))</f>
        <v>3.1168333333333336</v>
      </c>
      <c r="M111" s="55">
        <f>IF(M21=0,0,SUMIF('Monthly Table'!$CR:$CR,YEAR('Operational Detail'!M$2),'Monthly Table'!$Q:$Q)/COUNTIF('Monthly Table'!$CR:$CR,YEAR(M$2)))</f>
        <v>3.186833333333333</v>
      </c>
      <c r="N111" s="55">
        <f>IF(N21=0,0,SUMIF('Monthly Table'!$CR:$CR,YEAR('Operational Detail'!N$2),'Monthly Table'!$Q:$Q)/COUNTIF('Monthly Table'!$CR:$CR,YEAR(N$2)))</f>
        <v>3.3118333333333339</v>
      </c>
      <c r="O111" s="55">
        <f>IF(O21=0,0,SUMIF('Monthly Table'!$CR:$CR,YEAR('Operational Detail'!O$2),'Monthly Table'!$Q:$Q)/COUNTIF('Monthly Table'!$CR:$CR,YEAR(O$2)))</f>
        <v>3.3918333333333339</v>
      </c>
      <c r="P111" s="55">
        <f>IF(P21=0,0,SUMIF('Monthly Table'!$CR:$CR,YEAR('Operational Detail'!P$2),'Monthly Table'!$Q:$Q)/COUNTIF('Monthly Table'!$CR:$CR,YEAR(P$2)))</f>
        <v>3.4768333333333334</v>
      </c>
      <c r="Q111" s="55">
        <f>IF(Q21=0,0,SUMIF('Monthly Table'!$CR:$CR,YEAR('Operational Detail'!Q$2),'Monthly Table'!$Q:$Q)/COUNTIF('Monthly Table'!$CR:$CR,YEAR(Q$2)))</f>
        <v>3.5668333333333333</v>
      </c>
      <c r="R111" s="55">
        <f>IF(R21=0,0,SUMIF('Monthly Table'!$CR:$CR,YEAR('Operational Detail'!R$2),'Monthly Table'!$Q:$Q)/COUNTIF('Monthly Table'!$CR:$CR,YEAR(R$2)))</f>
        <v>3.6618333333333339</v>
      </c>
      <c r="S111" s="55">
        <f>IF(S21=0,0,SUMIF('Monthly Table'!$CR:$CR,YEAR('Operational Detail'!S$2),'Monthly Table'!$Q:$Q)/COUNTIF('Monthly Table'!$CR:$CR,YEAR(S$2)))</f>
        <v>3.7618333333333331</v>
      </c>
      <c r="T111" s="55">
        <f>IF(T21=0,0,SUMIF('Monthly Table'!$CR:$CR,YEAR('Operational Detail'!T$2),'Monthly Table'!$Q:$Q)/COUNTIF('Monthly Table'!$CR:$CR,YEAR(T$2)))</f>
        <v>0</v>
      </c>
      <c r="U111" s="55">
        <f>IF(U21=0,0,SUMIF('Monthly Table'!$CR:$CR,YEAR('Operational Detail'!U$2),'Monthly Table'!$Q:$Q)/COUNTIF('Monthly Table'!$CR:$CR,YEAR(U$2)))</f>
        <v>0</v>
      </c>
      <c r="V111" s="55">
        <f>IF(V21=0,0,SUMIF('Monthly Table'!$CR:$CR,YEAR('Operational Detail'!V$2),'Monthly Table'!$Q:$Q)/COUNTIF('Monthly Table'!$CR:$CR,YEAR(V$2)))</f>
        <v>0</v>
      </c>
      <c r="W111" s="55">
        <f>IF(W21=0,0,SUMIF('Monthly Table'!$CR:$CR,YEAR('Operational Detail'!W$2),'Monthly Table'!$Q:$Q)/COUNTIF('Monthly Table'!$CR:$CR,YEAR(W$2)))</f>
        <v>0</v>
      </c>
      <c r="X111" s="55">
        <f>IF(X21=0,0,SUMIF('Monthly Table'!$CR:$CR,YEAR('Operational Detail'!X$2),'Monthly Table'!$Q:$Q)/COUNTIF('Monthly Table'!$CR:$CR,YEAR(X$2)))</f>
        <v>0</v>
      </c>
      <c r="Y111" s="55"/>
      <c r="Z111" s="55"/>
      <c r="AA111" s="55"/>
      <c r="AB111" s="55"/>
    </row>
    <row r="112" spans="1:256" ht="10.5" customHeight="1">
      <c r="B112" s="98" t="s">
        <v>454</v>
      </c>
      <c r="C112" s="1"/>
      <c r="D112" s="55">
        <f>INDEX(fxcurve,MATCH(D$3,FX!$F$2:$F$28,0),MATCH("Annual Average",FX!$F$2:$G$2,0))</f>
        <v>1.448419756899828</v>
      </c>
      <c r="E112" s="55">
        <f>INDEX(fxcurve,MATCH(E3,FX!$F$2:$F$28,0),MATCH("Annual Average",FX!$F$2:$G$2,0))</f>
        <v>1.4371112386416593</v>
      </c>
      <c r="F112" s="55">
        <f>INDEX(fxcurve,MATCH(F3,FX!$F$2:$F$28,0),MATCH("Annual Average",FX!$F$2:$G$2,0))</f>
        <v>1.4262562557458309</v>
      </c>
      <c r="G112" s="55">
        <f>INDEX(fxcurve,MATCH(G3,FX!$F$2:$F$28,0),MATCH("Annual Average",FX!$F$2:$G$2,0))</f>
        <v>1.4140742774701416</v>
      </c>
      <c r="H112" s="55">
        <f>INDEX(fxcurve,MATCH(H3,FX!$F$2:$F$28,0),MATCH("Annual Average",FX!$F$2:$G$2,0))</f>
        <v>1.4001862851214766</v>
      </c>
      <c r="I112" s="55">
        <f>INDEX(fxcurve,MATCH(I3,FX!$F$2:$F$28,0),MATCH("Annual Average",FX!$F$2:$G$2,0))</f>
        <v>1.3825442094226041</v>
      </c>
      <c r="J112" s="55">
        <f>INDEX(fxcurve,MATCH(J3,FX!$F$2:$F$28,0),MATCH("Annual Average",FX!$F$2:$G$2,0))</f>
        <v>1.3691933935263132</v>
      </c>
      <c r="K112" s="55">
        <f>INDEX(fxcurve,MATCH(K3,FX!$F$2:$F$28,0),MATCH("Annual Average",FX!$F$2:$G$2,0))</f>
        <v>1.3567243341672643</v>
      </c>
      <c r="L112" s="55">
        <f>INDEX(fxcurve,MATCH(L3,FX!$F$2:$F$28,0),MATCH("Annual Average",FX!$F$2:$G$2,0))</f>
        <v>1.3458119116935789</v>
      </c>
      <c r="M112" s="55">
        <f>INDEX(fxcurve,MATCH(M3,FX!$F$2:$F$28,0),MATCH("Annual Average",FX!$F$2:$G$2,0))</f>
        <v>1.3355676432082113</v>
      </c>
      <c r="N112" s="55">
        <f>INDEX(fxcurve,MATCH(N3,FX!$F$2:$F$28,0),MATCH("Annual Average",FX!$F$2:$G$2,0))</f>
        <v>1.3256144653012283</v>
      </c>
      <c r="O112" s="55">
        <f>INDEX(fxcurve,MATCH(O3,FX!$F$2:$F$28,0),MATCH("Annual Average",FX!$F$2:$G$2,0))</f>
        <v>1.3153109772453393</v>
      </c>
      <c r="P112" s="55">
        <f>INDEX(fxcurve,MATCH(P3,FX!$F$2:$F$28,0),MATCH("Annual Average",FX!$F$2:$G$2,0))</f>
        <v>1.3052784236635901</v>
      </c>
      <c r="Q112" s="55">
        <f>INDEX(fxcurve,MATCH(Q3,FX!$F$2:$F$28,0),MATCH("Annual Average",FX!$F$2:$G$2,0))</f>
        <v>1.2955998053801068</v>
      </c>
      <c r="R112" s="55">
        <f>INDEX(fxcurve,MATCH(R3,FX!$F$2:$F$28,0),MATCH("Annual Average",FX!$F$2:$G$2,0))</f>
        <v>1.2862545492810176</v>
      </c>
      <c r="S112" s="55">
        <f>INDEX(fxcurve,MATCH(S3,FX!$F$2:$F$28,0),MATCH("Annual Average",FX!$F$2:$G$2,0))</f>
        <v>1.2774996255124191</v>
      </c>
      <c r="T112" s="55">
        <f>INDEX(fxcurve,MATCH(T3,FX!$F$2:$F$28,0),MATCH("Annual Average",FX!$F$2:$G$2,0))</f>
        <v>1.2699034289925668</v>
      </c>
      <c r="U112" s="55">
        <f>INDEX(fxcurve,MATCH(U3,FX!$F$2:$F$28,0),MATCH("Annual Average",FX!$F$2:$G$2,0))</f>
        <v>1.2628110343846066</v>
      </c>
      <c r="V112" s="55">
        <f>INDEX(fxcurve,MATCH(V3,FX!$F$2:$F$28,0),MATCH("Annual Average",FX!$F$2:$G$2,0))</f>
        <v>1.256154552542575</v>
      </c>
      <c r="W112" s="55">
        <f>INDEX(fxcurve,MATCH(W3,FX!$F$2:$F$28,0),MATCH("Annual Average",FX!$F$2:$G$2,0))</f>
        <v>1.2499240862579284</v>
      </c>
      <c r="X112" s="55">
        <f>INDEX(fxcurve,MATCH(X3,FX!$F$2:$F$28,0),MATCH("Annual Average",FX!$F$2:$G$2,0))</f>
        <v>1.2422839673732373</v>
      </c>
      <c r="Y112" s="55"/>
      <c r="Z112" s="55"/>
      <c r="AA112" s="55"/>
      <c r="AB112" s="55"/>
    </row>
    <row r="113" spans="2:29" ht="10.5" customHeight="1">
      <c r="B113" s="421" t="s">
        <v>490</v>
      </c>
      <c r="C113" s="1"/>
      <c r="D113" s="6">
        <f>D111*D112</f>
        <v>0</v>
      </c>
      <c r="E113" s="6">
        <f t="shared" ref="E113:X113" si="20">E111*E112</f>
        <v>4.1158865874697126</v>
      </c>
      <c r="F113" s="6">
        <f t="shared" si="20"/>
        <v>3.9621398784619184</v>
      </c>
      <c r="G113" s="6">
        <f t="shared" si="20"/>
        <v>3.9742557568298333</v>
      </c>
      <c r="H113" s="6">
        <f t="shared" si="20"/>
        <v>4.0281025779136348</v>
      </c>
      <c r="I113" s="6">
        <f t="shared" si="20"/>
        <v>4.0464764769450587</v>
      </c>
      <c r="J113" s="6">
        <f t="shared" si="20"/>
        <v>4.0827065005965446</v>
      </c>
      <c r="K113" s="6">
        <f t="shared" si="20"/>
        <v>4.1337129254852929</v>
      </c>
      <c r="L113" s="6">
        <f t="shared" si="20"/>
        <v>4.1946714267636036</v>
      </c>
      <c r="M113" s="6">
        <f t="shared" si="20"/>
        <v>4.2562314842973672</v>
      </c>
      <c r="N113" s="6">
        <f t="shared" si="20"/>
        <v>4.3902141733334519</v>
      </c>
      <c r="O113" s="6">
        <f t="shared" si="20"/>
        <v>4.4613156163199843</v>
      </c>
      <c r="P113" s="6">
        <f t="shared" si="20"/>
        <v>4.5382355326743591</v>
      </c>
      <c r="Q113" s="6">
        <f t="shared" si="20"/>
        <v>4.6211885724899444</v>
      </c>
      <c r="R113" s="6">
        <f t="shared" si="20"/>
        <v>4.7100497837088735</v>
      </c>
      <c r="S113" s="6">
        <f t="shared" si="20"/>
        <v>4.8057406745734683</v>
      </c>
      <c r="T113" s="6">
        <f t="shared" si="20"/>
        <v>0</v>
      </c>
      <c r="U113" s="6">
        <f t="shared" si="20"/>
        <v>0</v>
      </c>
      <c r="V113" s="6">
        <f t="shared" si="20"/>
        <v>0</v>
      </c>
      <c r="W113" s="6">
        <f t="shared" si="20"/>
        <v>0</v>
      </c>
      <c r="X113" s="6">
        <f t="shared" si="20"/>
        <v>0</v>
      </c>
      <c r="Y113" s="55"/>
      <c r="Z113" s="55"/>
      <c r="AA113" s="55"/>
      <c r="AB113" s="55"/>
    </row>
    <row r="114" spans="2:29" ht="10.5" customHeight="1">
      <c r="B114" s="421" t="s">
        <v>493</v>
      </c>
      <c r="C114" s="1"/>
      <c r="D114" s="6">
        <f>Assumptions!$B$34</f>
        <v>0.3124588923076923</v>
      </c>
      <c r="E114" s="6">
        <f>Assumptions!$B$34</f>
        <v>0.3124588923076923</v>
      </c>
      <c r="F114" s="6">
        <f>Assumptions!$B$34</f>
        <v>0.3124588923076923</v>
      </c>
      <c r="G114" s="6">
        <f>Assumptions!$B$34</f>
        <v>0.3124588923076923</v>
      </c>
      <c r="H114" s="6">
        <f>Assumptions!$B$34*(1+Assumptions!$E$32)</f>
        <v>0.31870807015384617</v>
      </c>
      <c r="I114" s="6">
        <f>H114*(1+Assumptions!$E$32)</f>
        <v>0.32508223155692312</v>
      </c>
      <c r="J114" s="6">
        <f>I114*(1+Assumptions!$E$32)</f>
        <v>0.33158387618806157</v>
      </c>
      <c r="K114" s="6">
        <f>J114*(1+Assumptions!$E$32)</f>
        <v>0.33821555371182283</v>
      </c>
      <c r="L114" s="6">
        <f>K114*(1+Assumptions!$E$32)</f>
        <v>0.3449798647860593</v>
      </c>
      <c r="M114" s="6">
        <f>L114*(1+Assumptions!$E$32)</f>
        <v>0.3518794620817805</v>
      </c>
      <c r="N114" s="6">
        <f>M114*(1+Assumptions!$E$32)</f>
        <v>0.35891705132341611</v>
      </c>
      <c r="O114" s="6">
        <f>N114*(1+Assumptions!$E$32)</f>
        <v>0.36609539234988442</v>
      </c>
      <c r="P114" s="6">
        <f>O114*(1+Assumptions!$E$32)</f>
        <v>0.37341730019688213</v>
      </c>
      <c r="Q114" s="6">
        <f>P114*(1+Assumptions!$E$32)</f>
        <v>0.38088564620081977</v>
      </c>
      <c r="R114" s="6">
        <f>Q114*(1+Assumptions!$E$32)</f>
        <v>0.38850335912483619</v>
      </c>
      <c r="S114" s="6">
        <f>R114*(1+Assumptions!$E$32)</f>
        <v>0.39627342630733292</v>
      </c>
      <c r="T114" s="6">
        <f>S114*(1+Assumptions!$E$32)</f>
        <v>0.40419889483347959</v>
      </c>
      <c r="U114" s="6">
        <f>T114*(1+Assumptions!$E$32)</f>
        <v>0.41228287273014919</v>
      </c>
      <c r="V114" s="6">
        <f>U114*(1+Assumptions!$E$32)</f>
        <v>0.42052853018475217</v>
      </c>
      <c r="W114" s="6">
        <f>V114*(1+Assumptions!$E$32)</f>
        <v>0.42893910078844721</v>
      </c>
      <c r="X114" s="6">
        <f>W114*(1+Assumptions!$E$32)</f>
        <v>0.43751788280421616</v>
      </c>
      <c r="Y114" s="55"/>
      <c r="Z114" s="55"/>
      <c r="AA114" s="55"/>
      <c r="AB114" s="55"/>
      <c r="AC114" s="55"/>
    </row>
    <row r="115" spans="2:29" s="214" customFormat="1" ht="10.5" customHeight="1">
      <c r="B115" s="717" t="s">
        <v>491</v>
      </c>
      <c r="C115" s="9"/>
      <c r="D115" s="6">
        <f>D113+D114</f>
        <v>0.3124588923076923</v>
      </c>
      <c r="E115" s="6">
        <f t="shared" ref="E115:X115" si="21">E113+E114</f>
        <v>4.4283454797774047</v>
      </c>
      <c r="F115" s="6">
        <f t="shared" si="21"/>
        <v>4.2745987707696109</v>
      </c>
      <c r="G115" s="6">
        <f t="shared" si="21"/>
        <v>4.2867146491375259</v>
      </c>
      <c r="H115" s="6">
        <f t="shared" si="21"/>
        <v>4.3468106480674811</v>
      </c>
      <c r="I115" s="6">
        <f t="shared" si="21"/>
        <v>4.3715587085019818</v>
      </c>
      <c r="J115" s="6">
        <f t="shared" si="21"/>
        <v>4.4142903767846065</v>
      </c>
      <c r="K115" s="6">
        <f t="shared" si="21"/>
        <v>4.4719284791971159</v>
      </c>
      <c r="L115" s="6">
        <f t="shared" si="21"/>
        <v>4.5396512915496627</v>
      </c>
      <c r="M115" s="6">
        <f t="shared" si="21"/>
        <v>4.6081109463791474</v>
      </c>
      <c r="N115" s="6">
        <f t="shared" si="21"/>
        <v>4.7491312246568675</v>
      </c>
      <c r="O115" s="6">
        <f t="shared" si="21"/>
        <v>4.8274110086698689</v>
      </c>
      <c r="P115" s="6">
        <f t="shared" si="21"/>
        <v>4.9116528328712414</v>
      </c>
      <c r="Q115" s="6">
        <f t="shared" si="21"/>
        <v>5.0020742186907645</v>
      </c>
      <c r="R115" s="6">
        <f t="shared" si="21"/>
        <v>5.0985531428337101</v>
      </c>
      <c r="S115" s="6">
        <f t="shared" si="21"/>
        <v>5.2020141008808016</v>
      </c>
      <c r="T115" s="6">
        <f t="shared" si="21"/>
        <v>0.40419889483347959</v>
      </c>
      <c r="U115" s="6">
        <f t="shared" si="21"/>
        <v>0.41228287273014919</v>
      </c>
      <c r="V115" s="6">
        <f t="shared" si="21"/>
        <v>0.42052853018475217</v>
      </c>
      <c r="W115" s="6">
        <f t="shared" si="21"/>
        <v>0.42893910078844721</v>
      </c>
      <c r="X115" s="6">
        <f t="shared" si="21"/>
        <v>0.43751788280421616</v>
      </c>
      <c r="Y115" s="55"/>
      <c r="Z115" s="55"/>
      <c r="AA115" s="55"/>
      <c r="AB115" s="55"/>
      <c r="AC115" s="55"/>
    </row>
    <row r="116" spans="2:29" ht="10.5" customHeight="1">
      <c r="B116" s="421"/>
      <c r="C116" s="1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55"/>
      <c r="Z116" s="55"/>
      <c r="AA116" s="55"/>
      <c r="AB116" s="55"/>
    </row>
    <row r="117" spans="2:29" ht="10.5" customHeight="1">
      <c r="B117" s="96" t="s">
        <v>473</v>
      </c>
      <c r="C117" s="67"/>
      <c r="D117" s="200">
        <f>Assumptions!$B$13</f>
        <v>11960</v>
      </c>
      <c r="E117" s="200">
        <f>Assumptions!$B$13</f>
        <v>11960</v>
      </c>
      <c r="F117" s="200">
        <f>Assumptions!$B$13</f>
        <v>11960</v>
      </c>
      <c r="G117" s="200">
        <f>Assumptions!$B$13</f>
        <v>11960</v>
      </c>
      <c r="H117" s="200">
        <f>Tables!$E$36</f>
        <v>11960</v>
      </c>
      <c r="I117" s="200">
        <f>Tables!$E$36</f>
        <v>11960</v>
      </c>
      <c r="J117" s="200">
        <f>Tables!$E$36</f>
        <v>11960</v>
      </c>
      <c r="K117" s="200">
        <f>Tables!$E$36</f>
        <v>11960</v>
      </c>
      <c r="L117" s="200">
        <f>Tables!$E$36</f>
        <v>11960</v>
      </c>
      <c r="M117" s="200">
        <f>Tables!$E$36</f>
        <v>11960</v>
      </c>
      <c r="N117" s="200">
        <f>Tables!$E$36</f>
        <v>11960</v>
      </c>
      <c r="O117" s="200">
        <f>Tables!$E$36</f>
        <v>11960</v>
      </c>
      <c r="P117" s="200">
        <f>Tables!$E$36</f>
        <v>11960</v>
      </c>
      <c r="Q117" s="200">
        <f>Tables!$E$36</f>
        <v>11960</v>
      </c>
      <c r="R117" s="200">
        <f>Tables!$E$36</f>
        <v>11960</v>
      </c>
      <c r="S117" s="200">
        <f>Tables!$E$36</f>
        <v>11960</v>
      </c>
      <c r="T117" s="200">
        <f>Tables!$E$36</f>
        <v>11960</v>
      </c>
      <c r="U117" s="200">
        <f>Tables!$E$36</f>
        <v>11960</v>
      </c>
      <c r="V117" s="200">
        <f>Tables!$E$36</f>
        <v>11960</v>
      </c>
      <c r="W117" s="200">
        <f>Tables!$E$36</f>
        <v>11960</v>
      </c>
      <c r="X117" s="200">
        <f>Tables!$E$36</f>
        <v>11960</v>
      </c>
      <c r="Y117" s="609"/>
      <c r="Z117" s="609"/>
      <c r="AA117" s="609"/>
      <c r="AB117" s="609"/>
    </row>
    <row r="118" spans="2:29" s="214" customFormat="1" ht="10.5" customHeight="1">
      <c r="B118" s="98" t="s">
        <v>474</v>
      </c>
      <c r="C118" s="78"/>
      <c r="D118" s="52">
        <f>Assumptions!$B$16*'Operational Detail'!D19/Assumptions!$B$15</f>
        <v>6.2500000000000003E-3</v>
      </c>
      <c r="E118" s="52">
        <f>Assumptions!$B$16*'Operational Detail'!E19/Assumptions!$B$15</f>
        <v>8.8299999999999993E-3</v>
      </c>
      <c r="F118" s="52">
        <f>Assumptions!$B$16*'Operational Detail'!F19/Assumptions!$B$15</f>
        <v>1.1599999999999999E-2</v>
      </c>
      <c r="G118" s="52">
        <f>Assumptions!$B$16*'Operational Detail'!G19/Assumptions!$B$15</f>
        <v>1.439E-2</v>
      </c>
      <c r="H118" s="52">
        <f>Assumptions!$B$16*'Operational Detail'!H19/Assumptions!$B$15</f>
        <v>1.6980000000000002E-2</v>
      </c>
      <c r="I118" s="52">
        <f>Assumptions!$B$16*'Operational Detail'!I19/Assumptions!$B$15</f>
        <v>1.9570000000000001E-2</v>
      </c>
      <c r="J118" s="52">
        <f>Assumptions!$B$16*'Operational Detail'!J19/Assumptions!$B$15</f>
        <v>2.16E-3</v>
      </c>
      <c r="K118" s="52">
        <f>Assumptions!$B$16*'Operational Detail'!K19/Assumptions!$B$15</f>
        <v>4.7400000000000003E-3</v>
      </c>
      <c r="L118" s="52">
        <f>Assumptions!$B$16*'Operational Detail'!L19/Assumptions!$B$15</f>
        <v>7.3200000000000001E-3</v>
      </c>
      <c r="M118" s="52">
        <f>Assumptions!$B$16*'Operational Detail'!M19/Assumptions!$B$15</f>
        <v>9.9100000000000004E-3</v>
      </c>
      <c r="N118" s="52">
        <f>Assumptions!$B$16*'Operational Detail'!N19/Assumptions!$B$15</f>
        <v>1.2500000000000001E-2</v>
      </c>
      <c r="O118" s="52">
        <f>Assumptions!$B$16*'Operational Detail'!O19/Assumptions!$B$15</f>
        <v>1.5089999999999999E-2</v>
      </c>
      <c r="P118" s="52">
        <f>Assumptions!$B$16*'Operational Detail'!P19/Assumptions!$B$15</f>
        <v>1.7569999999999999E-2</v>
      </c>
      <c r="Q118" s="52">
        <f>Assumptions!$B$16*'Operational Detail'!Q19/Assumptions!$B$15</f>
        <v>5.0000000000000002E-5</v>
      </c>
      <c r="R118" s="52">
        <f>Assumptions!$B$16*'Operational Detail'!R19/Assumptions!$B$15</f>
        <v>2.5300000000000001E-3</v>
      </c>
      <c r="S118" s="52">
        <f>Assumptions!$B$16*'Operational Detail'!S19/Assumptions!$B$15</f>
        <v>5.0200000000000002E-3</v>
      </c>
      <c r="T118" s="52">
        <f>Assumptions!$B$16*'Operational Detail'!T19/Assumptions!$B$15</f>
        <v>0</v>
      </c>
      <c r="U118" s="52">
        <f>Assumptions!$B$16*'Operational Detail'!U19/Assumptions!$B$15</f>
        <v>0</v>
      </c>
      <c r="V118" s="52">
        <f>Assumptions!$B$16*'Operational Detail'!V19/Assumptions!$B$15</f>
        <v>0</v>
      </c>
      <c r="W118" s="52">
        <f>Assumptions!$B$16*'Operational Detail'!W19/Assumptions!$B$15</f>
        <v>0</v>
      </c>
      <c r="X118" s="52">
        <f>Assumptions!$B$16*'Operational Detail'!X19/Assumptions!$B$15</f>
        <v>0</v>
      </c>
      <c r="Y118" s="52"/>
      <c r="Z118" s="52"/>
      <c r="AA118" s="52"/>
      <c r="AB118" s="52"/>
      <c r="AC118" s="43"/>
    </row>
    <row r="119" spans="2:29" s="214" customFormat="1" ht="10.5" customHeight="1">
      <c r="B119" s="98" t="s">
        <v>585</v>
      </c>
      <c r="C119" s="78"/>
      <c r="D119" s="171">
        <f>((1+D$118)*D$117)</f>
        <v>12034.750000000002</v>
      </c>
      <c r="E119" s="171">
        <f t="shared" ref="E119:X119" si="22">((1+E$118)*E$117)</f>
        <v>12065.6068</v>
      </c>
      <c r="F119" s="171">
        <f t="shared" si="22"/>
        <v>12098.736000000001</v>
      </c>
      <c r="G119" s="171">
        <f t="shared" si="22"/>
        <v>12132.104399999998</v>
      </c>
      <c r="H119" s="171">
        <f t="shared" si="22"/>
        <v>12163.0808</v>
      </c>
      <c r="I119" s="171">
        <f t="shared" si="22"/>
        <v>12194.057200000001</v>
      </c>
      <c r="J119" s="171">
        <f t="shared" si="22"/>
        <v>11985.8336</v>
      </c>
      <c r="K119" s="171">
        <f t="shared" si="22"/>
        <v>12016.690399999999</v>
      </c>
      <c r="L119" s="171">
        <f t="shared" si="22"/>
        <v>12047.547199999999</v>
      </c>
      <c r="M119" s="171">
        <f t="shared" si="22"/>
        <v>12078.5236</v>
      </c>
      <c r="N119" s="171">
        <f t="shared" si="22"/>
        <v>12109.5</v>
      </c>
      <c r="O119" s="171">
        <f t="shared" si="22"/>
        <v>12140.476400000001</v>
      </c>
      <c r="P119" s="171">
        <f t="shared" si="22"/>
        <v>12170.137200000001</v>
      </c>
      <c r="Q119" s="171">
        <f t="shared" si="22"/>
        <v>11960.598000000002</v>
      </c>
      <c r="R119" s="171">
        <f t="shared" si="22"/>
        <v>11990.2588</v>
      </c>
      <c r="S119" s="171">
        <f t="shared" si="22"/>
        <v>12020.039200000001</v>
      </c>
      <c r="T119" s="171">
        <f t="shared" si="22"/>
        <v>11960</v>
      </c>
      <c r="U119" s="171">
        <f t="shared" si="22"/>
        <v>11960</v>
      </c>
      <c r="V119" s="171">
        <f t="shared" si="22"/>
        <v>11960</v>
      </c>
      <c r="W119" s="171">
        <f t="shared" si="22"/>
        <v>11960</v>
      </c>
      <c r="X119" s="171">
        <f t="shared" si="22"/>
        <v>11960</v>
      </c>
      <c r="Y119" s="52"/>
      <c r="Z119" s="52"/>
      <c r="AA119" s="52"/>
      <c r="AB119" s="52"/>
      <c r="AC119" s="43"/>
    </row>
    <row r="120" spans="2:29" s="214" customFormat="1" ht="10.5" customHeight="1">
      <c r="B120" s="98"/>
      <c r="C120" s="78"/>
      <c r="D120" s="51"/>
      <c r="E120" s="52"/>
      <c r="F120" s="53"/>
      <c r="G120" s="52"/>
      <c r="H120" s="51"/>
      <c r="I120" s="51"/>
      <c r="J120" s="52"/>
      <c r="K120" s="53"/>
      <c r="L120" s="52"/>
      <c r="M120" s="51"/>
      <c r="N120" s="51"/>
      <c r="O120" s="52"/>
      <c r="P120" s="53"/>
      <c r="Q120" s="52"/>
      <c r="R120" s="51"/>
      <c r="S120" s="51"/>
      <c r="T120" s="52"/>
      <c r="U120" s="53"/>
      <c r="V120" s="52"/>
      <c r="W120" s="52"/>
      <c r="X120" s="51"/>
      <c r="Y120" s="51"/>
      <c r="Z120" s="51"/>
      <c r="AA120" s="51"/>
      <c r="AB120" s="51"/>
      <c r="AC120" s="43"/>
    </row>
    <row r="121" spans="2:29" s="214" customFormat="1" ht="10.5" customHeight="1">
      <c r="B121" s="98" t="s">
        <v>475</v>
      </c>
      <c r="C121" s="78"/>
      <c r="D121" s="54">
        <f t="shared" ref="D121:X121" si="23">(D119/1000)*(D21/1000)</f>
        <v>0</v>
      </c>
      <c r="E121" s="54">
        <f t="shared" si="23"/>
        <v>2572.8259439494459</v>
      </c>
      <c r="F121" s="54">
        <f t="shared" si="23"/>
        <v>3161.607156887962</v>
      </c>
      <c r="G121" s="54">
        <f t="shared" si="23"/>
        <v>3223.3656726582399</v>
      </c>
      <c r="H121" s="54">
        <f t="shared" si="23"/>
        <v>2603.2760859283476</v>
      </c>
      <c r="I121" s="54">
        <f t="shared" si="23"/>
        <v>2603.0295770257662</v>
      </c>
      <c r="J121" s="54">
        <f t="shared" si="23"/>
        <v>2604.0147306521881</v>
      </c>
      <c r="K121" s="54">
        <f t="shared" si="23"/>
        <v>2572.9687502684606</v>
      </c>
      <c r="L121" s="54">
        <f t="shared" si="23"/>
        <v>2572.8886910616511</v>
      </c>
      <c r="M121" s="54">
        <f t="shared" si="23"/>
        <v>2603.7711434677667</v>
      </c>
      <c r="N121" s="54">
        <f t="shared" si="23"/>
        <v>2603.6200008000001</v>
      </c>
      <c r="O121" s="54">
        <f t="shared" si="23"/>
        <v>2603.4339219868061</v>
      </c>
      <c r="P121" s="54">
        <f t="shared" si="23"/>
        <v>2262.324753599954</v>
      </c>
      <c r="Q121" s="54">
        <f t="shared" si="23"/>
        <v>2263.0233543424424</v>
      </c>
      <c r="R121" s="54">
        <f t="shared" si="23"/>
        <v>2263.0088746137749</v>
      </c>
      <c r="S121" s="54">
        <f t="shared" si="23"/>
        <v>2293.9658696856545</v>
      </c>
      <c r="T121" s="54">
        <f t="shared" si="23"/>
        <v>0</v>
      </c>
      <c r="U121" s="54">
        <f t="shared" si="23"/>
        <v>0</v>
      </c>
      <c r="V121" s="54">
        <f t="shared" si="23"/>
        <v>0</v>
      </c>
      <c r="W121" s="54">
        <f t="shared" si="23"/>
        <v>0</v>
      </c>
      <c r="X121" s="54">
        <f t="shared" si="23"/>
        <v>0</v>
      </c>
      <c r="Y121" s="54"/>
      <c r="Z121" s="54"/>
      <c r="AA121" s="54"/>
      <c r="AB121" s="54"/>
      <c r="AC121" s="43"/>
    </row>
    <row r="122" spans="2:29" s="214" customFormat="1" ht="10.5" customHeight="1">
      <c r="B122" s="78"/>
      <c r="C122" s="78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43"/>
    </row>
    <row r="123" spans="2:29" s="214" customFormat="1" ht="10.5" customHeight="1">
      <c r="B123" s="98" t="s">
        <v>472</v>
      </c>
      <c r="C123" s="78"/>
      <c r="D123" s="646">
        <f>(D115*D121)</f>
        <v>0</v>
      </c>
      <c r="E123" s="646">
        <f>(E115*E121)</f>
        <v>11393.362139142562</v>
      </c>
      <c r="F123" s="646">
        <f t="shared" ref="F123:X123" si="24">(F115*F121)</f>
        <v>13514.602066489686</v>
      </c>
      <c r="G123" s="646">
        <f t="shared" si="24"/>
        <v>13817.648848511111</v>
      </c>
      <c r="H123" s="646">
        <f t="shared" si="24"/>
        <v>11315.948210172775</v>
      </c>
      <c r="I123" s="646">
        <f t="shared" si="24"/>
        <v>11379.296615935218</v>
      </c>
      <c r="J123" s="646">
        <f t="shared" si="24"/>
        <v>11494.877166523313</v>
      </c>
      <c r="K123" s="646">
        <f t="shared" si="24"/>
        <v>11506.132230409741</v>
      </c>
      <c r="L123" s="646">
        <f t="shared" si="24"/>
        <v>11680.017469391545</v>
      </c>
      <c r="M123" s="646">
        <f t="shared" si="24"/>
        <v>11998.466308079966</v>
      </c>
      <c r="N123" s="646">
        <f t="shared" si="24"/>
        <v>12364.933042940418</v>
      </c>
      <c r="O123" s="646">
        <f t="shared" si="24"/>
        <v>12567.845575343681</v>
      </c>
      <c r="P123" s="646">
        <f t="shared" si="24"/>
        <v>11111.753784893946</v>
      </c>
      <c r="Q123" s="646">
        <f t="shared" si="24"/>
        <v>11319.810777051425</v>
      </c>
      <c r="R123" s="646">
        <f t="shared" si="24"/>
        <v>11538.07100992264</v>
      </c>
      <c r="S123" s="646">
        <f t="shared" si="24"/>
        <v>11933.242801044067</v>
      </c>
      <c r="T123" s="646">
        <f t="shared" si="24"/>
        <v>0</v>
      </c>
      <c r="U123" s="646">
        <f t="shared" si="24"/>
        <v>0</v>
      </c>
      <c r="V123" s="646">
        <f t="shared" si="24"/>
        <v>0</v>
      </c>
      <c r="W123" s="646">
        <f t="shared" si="24"/>
        <v>0</v>
      </c>
      <c r="X123" s="646">
        <f t="shared" si="24"/>
        <v>0</v>
      </c>
      <c r="Y123" s="39"/>
      <c r="Z123" s="39"/>
      <c r="AA123" s="39"/>
      <c r="AB123" s="39"/>
      <c r="AC123" s="43"/>
    </row>
    <row r="124" spans="2:29" s="214" customFormat="1" ht="10.5" customHeight="1">
      <c r="B124" s="78"/>
      <c r="C124" s="78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43"/>
    </row>
    <row r="125" spans="2:29" s="214" customFormat="1" ht="10.5" customHeight="1">
      <c r="B125" s="78"/>
      <c r="C125" s="78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43"/>
    </row>
    <row r="126" spans="2:29" s="214" customFormat="1" ht="10.5" customHeight="1" thickBot="1">
      <c r="B126" s="78" t="s">
        <v>622</v>
      </c>
      <c r="C126" s="78"/>
      <c r="D126" s="466">
        <f>D123</f>
        <v>0</v>
      </c>
      <c r="E126" s="466">
        <f t="shared" ref="E126:X126" si="25">E123</f>
        <v>11393.362139142562</v>
      </c>
      <c r="F126" s="466">
        <f t="shared" si="25"/>
        <v>13514.602066489686</v>
      </c>
      <c r="G126" s="466">
        <f t="shared" si="25"/>
        <v>13817.648848511111</v>
      </c>
      <c r="H126" s="466">
        <f t="shared" si="25"/>
        <v>11315.948210172775</v>
      </c>
      <c r="I126" s="466">
        <f t="shared" si="25"/>
        <v>11379.296615935218</v>
      </c>
      <c r="J126" s="466">
        <f t="shared" si="25"/>
        <v>11494.877166523313</v>
      </c>
      <c r="K126" s="466">
        <f t="shared" si="25"/>
        <v>11506.132230409741</v>
      </c>
      <c r="L126" s="466">
        <f t="shared" si="25"/>
        <v>11680.017469391545</v>
      </c>
      <c r="M126" s="466">
        <f t="shared" si="25"/>
        <v>11998.466308079966</v>
      </c>
      <c r="N126" s="466">
        <f t="shared" si="25"/>
        <v>12364.933042940418</v>
      </c>
      <c r="O126" s="466">
        <f t="shared" si="25"/>
        <v>12567.845575343681</v>
      </c>
      <c r="P126" s="466">
        <f t="shared" si="25"/>
        <v>11111.753784893946</v>
      </c>
      <c r="Q126" s="466">
        <f t="shared" si="25"/>
        <v>11319.810777051425</v>
      </c>
      <c r="R126" s="466">
        <f t="shared" si="25"/>
        <v>11538.07100992264</v>
      </c>
      <c r="S126" s="466">
        <f t="shared" si="25"/>
        <v>11933.242801044067</v>
      </c>
      <c r="T126" s="466">
        <f t="shared" si="25"/>
        <v>0</v>
      </c>
      <c r="U126" s="466">
        <f t="shared" si="25"/>
        <v>0</v>
      </c>
      <c r="V126" s="466">
        <f t="shared" si="25"/>
        <v>0</v>
      </c>
      <c r="W126" s="466">
        <f t="shared" si="25"/>
        <v>0</v>
      </c>
      <c r="X126" s="466">
        <f t="shared" si="25"/>
        <v>0</v>
      </c>
      <c r="Y126" s="39"/>
      <c r="Z126" s="39"/>
      <c r="AA126" s="39"/>
      <c r="AB126" s="39"/>
      <c r="AC126" s="43"/>
    </row>
    <row r="127" spans="2:29" s="214" customFormat="1" ht="10.5" customHeight="1" thickTop="1">
      <c r="B127" s="78"/>
      <c r="C127" s="78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43"/>
    </row>
    <row r="128" spans="2:29" s="214" customFormat="1" ht="10.5" customHeight="1">
      <c r="B128" s="78"/>
      <c r="C128" s="78"/>
      <c r="D128" s="55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43"/>
    </row>
    <row r="129" spans="1:29" s="214" customFormat="1" ht="10.5" customHeight="1">
      <c r="B129" s="98" t="s">
        <v>485</v>
      </c>
      <c r="C129" s="78"/>
      <c r="D129" s="55" t="e">
        <f>SUMIF('Monthly Table'!$CW:$CW,YEAR('Operational Detail'!D$2),'Monthly Table'!$CZ:$CZ)/COUNTIF('Monthly Table'!$CW:$CW,YEAR(D$2))</f>
        <v>#DIV/0!</v>
      </c>
      <c r="E129" s="55">
        <f>SUMIF('Monthly Table'!$CW:$CW,YEAR('Operational Detail'!E$2),'Monthly Table'!$CZ:$CZ)/COUNTIF('Monthly Table'!$CW:$CW,YEAR(E$2))</f>
        <v>54.546653269844263</v>
      </c>
      <c r="F129" s="55">
        <f>SUMIF('Monthly Table'!$CW:$CW,YEAR('Operational Detail'!F$2),'Monthly Table'!$CZ:$CZ)/COUNTIF('Monthly Table'!$CW:$CW,YEAR(F$2))</f>
        <v>52.860070288952919</v>
      </c>
      <c r="G129" s="55">
        <f>SUMIF('Monthly Table'!$CW:$CW,YEAR('Operational Detail'!G$2),'Monthly Table'!$CZ:$CZ)/COUNTIF('Monthly Table'!$CW:$CW,YEAR(G$2))</f>
        <v>51.476823214207968</v>
      </c>
      <c r="H129" s="55">
        <f>SUMIF('Monthly Table'!$CW:$CW,YEAR('Operational Detail'!H$2),'Monthly Table'!$CZ:$CZ)/COUNTIF('Monthly Table'!$CW:$CW,YEAR(H$2))</f>
        <v>50.710038190557292</v>
      </c>
      <c r="I129" s="55">
        <f>SUMIF('Monthly Table'!$CW:$CW,YEAR('Operational Detail'!I$2),'Monthly Table'!$CZ:$CZ)/COUNTIF('Monthly Table'!$CW:$CW,YEAR(I$2))</f>
        <v>50.17180677343066</v>
      </c>
      <c r="J129" s="55">
        <f>SUMIF('Monthly Table'!$CW:$CW,YEAR('Operational Detail'!J$2),'Monthly Table'!$CZ:$CZ)/COUNTIF('Monthly Table'!$CW:$CW,YEAR(J$2))</f>
        <v>49.934372434456584</v>
      </c>
      <c r="K129" s="55">
        <f>SUMIF('Monthly Table'!$CW:$CW,YEAR('Operational Detail'!K$2),'Monthly Table'!$CZ:$CZ)/COUNTIF('Monthly Table'!$CW:$CW,YEAR(K$2))</f>
        <v>49.863473008493706</v>
      </c>
      <c r="L129" s="55">
        <f>SUMIF('Monthly Table'!$CW:$CW,YEAR('Operational Detail'!L$2),'Monthly Table'!$CZ:$CZ)/COUNTIF('Monthly Table'!$CW:$CW,YEAR(L$2))</f>
        <v>49.984218291940884</v>
      </c>
      <c r="M129" s="55">
        <f>SUMIF('Monthly Table'!$CW:$CW,YEAR('Operational Detail'!M$2),'Monthly Table'!$CZ:$CZ)/COUNTIF('Monthly Table'!$CW:$CW,YEAR(M$2))</f>
        <v>50.260244421174725</v>
      </c>
      <c r="N129" s="55">
        <f>SUMIF('Monthly Table'!$CW:$CW,YEAR('Operational Detail'!N$2),'Monthly Table'!$CZ:$CZ)/COUNTIF('Monthly Table'!$CW:$CW,YEAR(N$2))</f>
        <v>50.758491628496671</v>
      </c>
      <c r="O129" s="55">
        <f>SUMIF('Monthly Table'!$CW:$CW,YEAR('Operational Detail'!O$2),'Monthly Table'!$CZ:$CZ)/COUNTIF('Monthly Table'!$CW:$CW,YEAR(O$2))</f>
        <v>51.229395856488757</v>
      </c>
      <c r="P129" s="55">
        <f>SUMIF('Monthly Table'!$CW:$CW,YEAR('Operational Detail'!P$2),'Monthly Table'!$CZ:$CZ)/COUNTIF('Monthly Table'!$CW:$CW,YEAR(P$2))</f>
        <v>51.697781745932694</v>
      </c>
      <c r="Q129" s="55">
        <f>SUMIF('Monthly Table'!$CW:$CW,YEAR('Operational Detail'!Q$2),'Monthly Table'!$CZ:$CZ)/COUNTIF('Monthly Table'!$CW:$CW,YEAR(Q$2))</f>
        <v>52.167280811277152</v>
      </c>
      <c r="R129" s="55">
        <f>SUMIF('Monthly Table'!$CW:$CW,YEAR('Operational Detail'!R$2),'Monthly Table'!$CZ:$CZ)/COUNTIF('Monthly Table'!$CW:$CW,YEAR(R$2))</f>
        <v>52.63766032405659</v>
      </c>
      <c r="S129" s="55">
        <f>SUMIF('Monthly Table'!$CW:$CW,YEAR('Operational Detail'!S$2),'Monthly Table'!$CZ:$CZ)/COUNTIF('Monthly Table'!$CW:$CW,YEAR(S$2))</f>
        <v>53.120087616993942</v>
      </c>
      <c r="T129" s="55">
        <f>SUMIF('Monthly Table'!$CW:$CW,YEAR('Operational Detail'!T$2),'Monthly Table'!$CZ:$CZ)/COUNTIF('Monthly Table'!$CW:$CW,YEAR(T$2))</f>
        <v>53.640615632555189</v>
      </c>
      <c r="U129" s="55">
        <f>SUMIF('Monthly Table'!$CW:$CW,YEAR('Operational Detail'!U$2),'Monthly Table'!$CZ:$CZ)/COUNTIF('Monthly Table'!$CW:$CW,YEAR(U$2))</f>
        <v>54.172387377770995</v>
      </c>
      <c r="V129" s="55">
        <f>SUMIF('Monthly Table'!$CW:$CW,YEAR('Operational Detail'!V$2),'Monthly Table'!$CZ:$CZ)/COUNTIF('Monthly Table'!$CW:$CW,YEAR(V$2))</f>
        <v>45.592829830259262</v>
      </c>
      <c r="W129" s="55">
        <f>SUMIF('Monthly Table'!$CW:$CW,YEAR('Operational Detail'!W$2),'Monthly Table'!$CZ:$CZ)/COUNTIF('Monthly Table'!$CW:$CW,YEAR(W$2))</f>
        <v>0</v>
      </c>
      <c r="X129" s="55">
        <f>SUMIF('Monthly Table'!$CW:$CW,YEAR('Operational Detail'!X$2),'Monthly Table'!$CZ:$CZ)/COUNTIF('Monthly Table'!$CW:$CW,YEAR(X$2))</f>
        <v>0</v>
      </c>
      <c r="Y129" s="39"/>
      <c r="Z129" s="39"/>
      <c r="AA129" s="39"/>
      <c r="AB129" s="39"/>
      <c r="AC129" s="43"/>
    </row>
    <row r="130" spans="1:29" s="214" customFormat="1" ht="10.5" customHeight="1">
      <c r="B130" s="767" t="s">
        <v>484</v>
      </c>
      <c r="C130" s="78"/>
      <c r="D130" s="55">
        <f>IF(D49=0,0,(0.003*D$6*('WC '!C5*24)*D129)/1000)</f>
        <v>0</v>
      </c>
      <c r="E130" s="55">
        <f>IF(E49=0,0,(0.003*E$6*('WC '!D5*24)*E129)/1000)</f>
        <v>464.44947952980834</v>
      </c>
      <c r="F130" s="55">
        <f>IF(F49=0,0,(0.003*F$6*('WC '!E5*24)*F129)/1000)</f>
        <v>450.08869769075312</v>
      </c>
      <c r="G130" s="55">
        <f>IF(G49=0,0,(0.003*G$6*('WC '!F5*24)*G129)/1000)</f>
        <v>438.31073615848084</v>
      </c>
      <c r="H130" s="55">
        <f>IF(H49=0,0,(0.003*H$6*('WC '!G5*24)*H129)/1000)</f>
        <v>432.96474015281132</v>
      </c>
      <c r="I130" s="55">
        <f>IF(I49=0,0,(0.003*I$6*('WC '!H5*24)*I129)/1000)</f>
        <v>427.19888656986546</v>
      </c>
      <c r="J130" s="55">
        <f>IF(J49=0,0,(0.003*J$6*('WC '!I5*24)*J129)/1000)</f>
        <v>425.17719965511611</v>
      </c>
      <c r="K130" s="55">
        <f>IF(K49=0,0,(0.003*K$6*('WC '!J5*24)*K129)/1000)</f>
        <v>424.57351089488151</v>
      </c>
      <c r="L130" s="55">
        <f>IF(L49=0,0,(0.003*L$6*('WC '!K5*24)*L129)/1000)</f>
        <v>426.76765501906931</v>
      </c>
      <c r="M130" s="55">
        <f>IF(M49=0,0,(0.003*M$6*('WC '!L5*24)*M129)/1000)</f>
        <v>427.95190837786481</v>
      </c>
      <c r="N130" s="55">
        <f>IF(N49=0,0,(0.003*N$6*('WC '!M5*24)*N129)/1000)</f>
        <v>432.19434383899318</v>
      </c>
      <c r="O130" s="55">
        <f>IF(O49=0,0,(0.003*O$6*('WC '!N5*24)*O129)/1000)</f>
        <v>436.20396148716191</v>
      </c>
      <c r="P130" s="55">
        <f>IF(P49=0,0,(0.003*P$6*('WC '!O5*24)*P129)/1000)</f>
        <v>441.39814204029716</v>
      </c>
      <c r="Q130" s="55">
        <f>IF(Q49=0,0,(0.003*Q$6*('WC '!P5*24)*Q129)/1000)</f>
        <v>444.18978926939775</v>
      </c>
      <c r="R130" s="55">
        <f>IF(R49=0,0,(0.003*R$6*('WC '!Q5*24)*R129)/1000)</f>
        <v>448.19493911445113</v>
      </c>
      <c r="S130" s="55">
        <f>IF(S49=0,0,(0.003*S$6*('WC '!R5*24)*S129)/1000)</f>
        <v>224.29255811119143</v>
      </c>
      <c r="T130" s="55">
        <f>IF(T49=0,0,(0.003*T$6*('WC '!S5*24)*T129)/1000)</f>
        <v>0</v>
      </c>
      <c r="U130" s="55">
        <f>IF(U49=0,0,(0.003*U$6*('WC '!T5*24)*U129)/1000)</f>
        <v>0</v>
      </c>
      <c r="V130" s="55">
        <f>IF(V49=0,0,(0.003*V$6*('WC '!U5*24)*V129)/1000)</f>
        <v>0</v>
      </c>
      <c r="W130" s="55">
        <f>IF(W49=0,0,(0.003*W$6*('WC '!V5*24)*W129)/1000)</f>
        <v>0</v>
      </c>
      <c r="X130" s="55">
        <f>IF(X49=0,0,(0.003*X$6*('WC '!W5*24)*X129)/1000)</f>
        <v>0</v>
      </c>
      <c r="Y130" s="39"/>
      <c r="Z130" s="39"/>
      <c r="AA130" s="39"/>
      <c r="AB130" s="39"/>
      <c r="AC130" s="43"/>
    </row>
    <row r="131" spans="1:29" ht="10.5" customHeight="1">
      <c r="B131" s="67"/>
      <c r="C131" s="6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54"/>
      <c r="Z131" s="54"/>
      <c r="AA131" s="54"/>
      <c r="AB131" s="54"/>
    </row>
    <row r="132" spans="1:29" ht="10.5" customHeight="1">
      <c r="B132" s="67"/>
      <c r="C132" s="67"/>
      <c r="D132" s="625"/>
      <c r="E132" s="625"/>
      <c r="F132" s="625"/>
      <c r="G132" s="625"/>
      <c r="H132" s="625"/>
      <c r="I132" s="625"/>
      <c r="J132" s="625"/>
      <c r="K132" s="625"/>
      <c r="L132" s="625"/>
      <c r="M132" s="625"/>
      <c r="N132" s="625"/>
      <c r="O132" s="625"/>
      <c r="P132" s="625"/>
      <c r="Q132" s="625"/>
      <c r="R132" s="625"/>
      <c r="S132" s="625"/>
      <c r="T132" s="625"/>
      <c r="U132" s="625"/>
      <c r="V132" s="625"/>
      <c r="W132" s="625"/>
      <c r="X132" s="625"/>
      <c r="Y132" s="55"/>
      <c r="Z132" s="55"/>
      <c r="AA132" s="55"/>
      <c r="AB132" s="55"/>
    </row>
    <row r="133" spans="1:29" ht="10.5" customHeight="1">
      <c r="B133" s="22"/>
      <c r="C133" s="22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54"/>
      <c r="Z133" s="54"/>
      <c r="AA133" s="54"/>
      <c r="AB133" s="54"/>
    </row>
    <row r="134" spans="1:29" ht="10.5" customHeight="1">
      <c r="B134" s="92"/>
      <c r="C134" s="92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39"/>
      <c r="Z134" s="39"/>
      <c r="AA134" s="39"/>
      <c r="AB134" s="39"/>
    </row>
    <row r="135" spans="1:29" ht="10.5" customHeight="1">
      <c r="B135" s="67"/>
      <c r="C135" s="67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610"/>
      <c r="Z135" s="610"/>
      <c r="AA135" s="610"/>
      <c r="AB135" s="610"/>
    </row>
    <row r="136" spans="1:29" ht="10.5" customHeight="1">
      <c r="B136" s="22"/>
      <c r="C136" s="22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610"/>
      <c r="Z136" s="610"/>
      <c r="AA136" s="610"/>
      <c r="AB136" s="610"/>
    </row>
    <row r="137" spans="1:29" ht="10.5" customHeight="1">
      <c r="B137" s="22"/>
      <c r="C137" s="22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610"/>
      <c r="Z137" s="610"/>
      <c r="AA137" s="610"/>
      <c r="AB137" s="610"/>
    </row>
    <row r="138" spans="1:29" ht="10.5" customHeight="1">
      <c r="B138" s="67" t="s">
        <v>159</v>
      </c>
      <c r="C138" s="67"/>
      <c r="D138" s="33">
        <f>IF(Cashflow!F1&lt;Assumptions!$E$21,Cashflow!F43/(Cashflow!F48+Cashflow!F52),0)</f>
        <v>3.0621388925315687</v>
      </c>
      <c r="E138" s="33">
        <f>IF(Cashflow!G1&lt;Assumptions!$E$21,Cashflow!G43/(Cashflow!G48+Cashflow!G52),0)</f>
        <v>2.5562678089658153</v>
      </c>
      <c r="F138" s="33">
        <f>IF(Cashflow!H1&lt;Assumptions!$E$21,Cashflow!H43/(Cashflow!H48+Cashflow!H52),0)</f>
        <v>2.0363679267856631</v>
      </c>
      <c r="G138" s="33">
        <f>IF(Cashflow!I1&lt;Assumptions!$E$21,Cashflow!I43/(Cashflow!I48+Cashflow!I52),0)</f>
        <v>1.8212259693877317</v>
      </c>
      <c r="H138" s="33">
        <f>IF(Cashflow!J1&lt;Assumptions!$E$21,Cashflow!J43/(Cashflow!J48+Cashflow!J52),0)</f>
        <v>2.0033395508687746</v>
      </c>
      <c r="I138" s="33">
        <f>IF(Cashflow!K1&lt;Assumptions!$E$21,Cashflow!K43/(Cashflow!K48+Cashflow!K52),0)</f>
        <v>2.1798204281443323</v>
      </c>
      <c r="J138" s="33">
        <f>IF(Cashflow!L1&lt;Assumptions!$E$21,Cashflow!L43/(Cashflow!L48+Cashflow!L52),0)</f>
        <v>2.1775286345366487</v>
      </c>
      <c r="K138" s="33">
        <f>IF(Cashflow!M1&lt;Assumptions!$E$21,Cashflow!M43/(Cashflow!M48+Cashflow!M52),0)</f>
        <v>2.3871240482962706</v>
      </c>
      <c r="L138" s="33">
        <f>IF(Cashflow!N1&lt;Assumptions!$E$21,Cashflow!N43/(Cashflow!N48+Cashflow!N52),0)</f>
        <v>2.5383557199113866</v>
      </c>
      <c r="M138" s="33">
        <f>IF(Cashflow!O1&lt;Assumptions!$E$21,Cashflow!O43/(Cashflow!O48+Cashflow!O52),0)</f>
        <v>2.7766696984473982</v>
      </c>
      <c r="N138" s="33">
        <f>IF(Cashflow!P1&lt;Assumptions!$E$21,Cashflow!P43/(Cashflow!P48+Cashflow!P52),0)</f>
        <v>3.0389462284529212</v>
      </c>
      <c r="O138" s="33">
        <f>IF(Cashflow!Q1&lt;Assumptions!$E$21,Cashflow!Q43/(Cashflow!Q48+Cashflow!Q52),0)</f>
        <v>3.4727613334609959</v>
      </c>
      <c r="P138" s="33">
        <f>IF(Cashflow!R1&lt;Assumptions!$E$21,Cashflow!R43/(Cashflow!R48+Cashflow!R52),0)</f>
        <v>887902960781941.25</v>
      </c>
      <c r="Q138" s="33" t="e">
        <f>IF(Cashflow!S1&lt;Assumptions!$E$21,Cashflow!S43/(Cashflow!S48+Cashflow!S52),0)</f>
        <v>#DIV/0!</v>
      </c>
      <c r="R138" s="33" t="e">
        <f>IF(Cashflow!T1&lt;Assumptions!$E$21,Cashflow!T43/(Cashflow!T48+Cashflow!T52),0)</f>
        <v>#DIV/0!</v>
      </c>
      <c r="S138" s="33" t="e">
        <f>IF(Cashflow!U1&lt;Assumptions!$E$21,Cashflow!U43/(Cashflow!U48+Cashflow!U52),0)</f>
        <v>#DIV/0!</v>
      </c>
      <c r="T138" s="33" t="e">
        <f>IF(Cashflow!V1&lt;Assumptions!$E$21,Cashflow!V43/(Cashflow!V48+Cashflow!V52),0)</f>
        <v>#DIV/0!</v>
      </c>
      <c r="U138" s="33" t="e">
        <f>IF(Cashflow!W1&lt;Assumptions!$E$21,Cashflow!W43/(Cashflow!W48+Cashflow!W52),0)</f>
        <v>#DIV/0!</v>
      </c>
      <c r="V138" s="33" t="e">
        <f>IF(Cashflow!X1&lt;Assumptions!$E$21,Cashflow!X43/(Cashflow!X48+Cashflow!X52),0)</f>
        <v>#DIV/0!</v>
      </c>
      <c r="W138" s="33" t="e">
        <f>IF(Cashflow!Y1&lt;Assumptions!$E$21,Cashflow!Y43/(Cashflow!Y48+Cashflow!Y52),0)</f>
        <v>#DIV/0!</v>
      </c>
      <c r="X138" s="33" t="e">
        <f>IF(Cashflow!Z1&lt;Assumptions!$E$21,Cashflow!Z43/(Cashflow!Z48+Cashflow!Z52),0)</f>
        <v>#DIV/0!</v>
      </c>
      <c r="Y138" s="610"/>
      <c r="Z138" s="610"/>
      <c r="AA138" s="610"/>
      <c r="AB138" s="610"/>
    </row>
    <row r="139" spans="1:29" ht="10.5" customHeight="1">
      <c r="B139" s="67" t="s">
        <v>158</v>
      </c>
      <c r="C139" s="67"/>
      <c r="D139" s="33">
        <f>IF(Cashflow!F48=0,0,(Cashflow!F43/Cashflow!F48))</f>
        <v>6.430349687534858</v>
      </c>
      <c r="E139" s="33">
        <f>IF(Cashflow!G48=0,0,(Cashflow!G43/Cashflow!G48))</f>
        <v>5.4981908295587569</v>
      </c>
      <c r="F139" s="33">
        <f>IF(Cashflow!H48=0,0,(Cashflow!H43/Cashflow!H48))</f>
        <v>4.6117802036845745</v>
      </c>
      <c r="G139" s="33">
        <f>IF(Cashflow!I48=0,0,(Cashflow!I43/Cashflow!I48))</f>
        <v>4.3816530571313157</v>
      </c>
      <c r="H139" s="33">
        <f>IF(Cashflow!J48=0,0,(Cashflow!J43/Cashflow!J48))</f>
        <v>5.0850460826317656</v>
      </c>
      <c r="I139" s="33">
        <f>IF(Cashflow!K48=0,0,(Cashflow!K43/Cashflow!K48))</f>
        <v>6.0259446549360014</v>
      </c>
      <c r="J139" s="33">
        <f>IF(Cashflow!L48=0,0,(Cashflow!L43/Cashflow!L48))</f>
        <v>6.6833084942044634</v>
      </c>
      <c r="K139" s="33">
        <f>IF(Cashflow!M48=0,0,(Cashflow!M43/Cashflow!M48))</f>
        <v>8.1881811397332527</v>
      </c>
      <c r="L139" s="33">
        <f>IF(Cashflow!N48=0,0,(Cashflow!N43/Cashflow!N48))</f>
        <v>10.343252625059277</v>
      </c>
      <c r="M139" s="33">
        <f>IF(Cashflow!O48=0,0,(Cashflow!O43/Cashflow!O48))</f>
        <v>14.401244078903447</v>
      </c>
      <c r="N139" s="33">
        <f>IF(Cashflow!P48=0,0,(Cashflow!P43/Cashflow!P48))</f>
        <v>22.443280224930476</v>
      </c>
      <c r="O139" s="33">
        <f>IF(Cashflow!Q48=0,0,(Cashflow!Q43/Cashflow!Q48))</f>
        <v>55.138651391845308</v>
      </c>
      <c r="P139" s="33">
        <f>IF(Cashflow!R48=0,0,(Cashflow!R43/Cashflow!R48))</f>
        <v>2.06776961804778E+16</v>
      </c>
      <c r="Q139" s="33">
        <f>IF(Cashflow!S48=0,0,(Cashflow!S43/Cashflow!S48))</f>
        <v>0</v>
      </c>
      <c r="R139" s="33">
        <f>IF(Cashflow!T48=0,0,(Cashflow!T43/Cashflow!T48))</f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610"/>
      <c r="Z139" s="610"/>
      <c r="AA139" s="610"/>
      <c r="AB139" s="610"/>
    </row>
    <row r="140" spans="1:29" ht="10.5" customHeight="1">
      <c r="B140" s="67" t="s">
        <v>160</v>
      </c>
      <c r="C140" s="67"/>
      <c r="D140" s="33">
        <f>'Debt Amort'!C32/Cashflow!F43</f>
        <v>0</v>
      </c>
      <c r="E140" s="33">
        <f>'Debt Amort'!D32/Cashflow!G43</f>
        <v>2.5118077179900138</v>
      </c>
      <c r="F140" s="33">
        <f>'Debt Amort'!E32/Cashflow!H43</f>
        <v>3.0165782670691481</v>
      </c>
      <c r="G140" s="33">
        <f>'Debt Amort'!F32/Cashflow!I43</f>
        <v>3.2085631540143398</v>
      </c>
      <c r="H140" s="33">
        <f>'Debt Amort'!G32/Cashflow!J43</f>
        <v>2.7226030714950218</v>
      </c>
      <c r="I140" s="33">
        <f>'Debt Amort'!H32/Cashflow!K43</f>
        <v>2.3424344019403232</v>
      </c>
      <c r="J140" s="33">
        <f>'Debt Amort'!I32/Cashflow!L43</f>
        <v>2.1672680398839983</v>
      </c>
      <c r="K140" s="33">
        <f>'Debt Amort'!J32/Cashflow!M43</f>
        <v>1.7807213283928536</v>
      </c>
      <c r="L140" s="33">
        <f>'Debt Amort'!K32/Cashflow!N43</f>
        <v>1.4863721518730153</v>
      </c>
      <c r="M140" s="33">
        <f>'Debt Amort'!L32/Cashflow!O43</f>
        <v>1.1628208761453982</v>
      </c>
      <c r="N140" s="33">
        <f>'Debt Amort'!M32/Cashflow!P43</f>
        <v>0.85351399829386621</v>
      </c>
      <c r="O140" s="33">
        <f>'Debt Amort'!N32/Cashflow!Q43</f>
        <v>0.5396383852625265</v>
      </c>
      <c r="P140" s="33">
        <f>'Debt Amort'!O32/Cashflow!R43</f>
        <v>0.2672614384884579</v>
      </c>
      <c r="Q140" s="33">
        <f>'Debt Amort'!P32/Cashflow!S43</f>
        <v>1.0205036731084682E-15</v>
      </c>
      <c r="R140" s="33">
        <f>'Debt Amort'!Q32/Cashflow!T43</f>
        <v>0</v>
      </c>
      <c r="S140" s="33">
        <f>'Debt Amort'!R32/Cashflow!U43</f>
        <v>0</v>
      </c>
      <c r="T140" s="33">
        <f>'Debt Amort'!S32/Cashflow!V43</f>
        <v>0</v>
      </c>
      <c r="U140" s="33" t="e">
        <f>'Debt Amort'!T32/Cashflow!W43</f>
        <v>#DIV/0!</v>
      </c>
      <c r="V140" s="33" t="e">
        <f>'Debt Amort'!U32/Cashflow!X43</f>
        <v>#DIV/0!</v>
      </c>
      <c r="W140" s="33" t="e">
        <f>'Debt Amort'!V32/Cashflow!Y43</f>
        <v>#DIV/0!</v>
      </c>
      <c r="X140" s="33" t="e">
        <f>'Debt Amort'!W32/Cashflow!Z43</f>
        <v>#DIV/0!</v>
      </c>
      <c r="Y140" s="610"/>
      <c r="Z140" s="610"/>
      <c r="AA140" s="610"/>
      <c r="AB140" s="610"/>
    </row>
    <row r="141" spans="1:29" ht="10.5" customHeight="1">
      <c r="B141" s="67"/>
      <c r="C141" s="67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610"/>
      <c r="Z141" s="610"/>
      <c r="AA141" s="610"/>
      <c r="AB141" s="610"/>
    </row>
    <row r="142" spans="1:29" ht="10.5" customHeight="1">
      <c r="B142" s="67"/>
      <c r="C142" s="6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610"/>
      <c r="Z142" s="610"/>
      <c r="AA142" s="610"/>
      <c r="AB142" s="610"/>
    </row>
    <row r="143" spans="1:29" s="43" customFormat="1" ht="36" customHeight="1">
      <c r="A143"/>
      <c r="B143" s="1044"/>
      <c r="C143" s="29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</row>
    <row r="144" spans="1:29" s="43" customFormat="1" ht="10.5" customHeight="1">
      <c r="A144"/>
      <c r="B144" s="29"/>
      <c r="C144" s="2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25"/>
      <c r="U144" s="25"/>
      <c r="V144" s="25"/>
      <c r="W144" s="25"/>
      <c r="X144" s="25"/>
      <c r="Y144" s="25"/>
      <c r="Z144" s="25"/>
      <c r="AA144" s="25"/>
      <c r="AB144" s="25"/>
    </row>
    <row r="145" spans="1:28" ht="10.5" customHeight="1">
      <c r="B145" s="1045"/>
      <c r="C145" s="2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25"/>
      <c r="U145" s="25"/>
      <c r="V145" s="25"/>
      <c r="W145" s="25"/>
      <c r="X145" s="25"/>
      <c r="Y145" s="25"/>
      <c r="Z145" s="25"/>
      <c r="AA145" s="25"/>
      <c r="AB145" s="25"/>
    </row>
    <row r="146" spans="1:28" ht="10.5" customHeight="1">
      <c r="A146" s="214"/>
      <c r="B146" s="29"/>
      <c r="C146" s="25"/>
      <c r="D146" s="25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25"/>
      <c r="U146" s="25"/>
      <c r="V146" s="25"/>
      <c r="W146" s="25"/>
      <c r="X146" s="25"/>
      <c r="Y146" s="25"/>
      <c r="Z146" s="25"/>
      <c r="AA146" s="25"/>
      <c r="AB146" s="25"/>
    </row>
    <row r="147" spans="1:28" ht="10.5" customHeight="1">
      <c r="A147" s="214"/>
      <c r="B147" s="104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</row>
    <row r="148" spans="1:28" ht="10.5" customHeight="1">
      <c r="A148" s="214"/>
      <c r="B148" s="93"/>
      <c r="C148" s="93"/>
      <c r="D148" s="606"/>
      <c r="E148" s="606"/>
      <c r="F148" s="606"/>
      <c r="G148" s="606"/>
      <c r="H148" s="606"/>
      <c r="I148" s="606"/>
      <c r="J148" s="606"/>
      <c r="K148" s="606"/>
      <c r="L148" s="606"/>
      <c r="M148" s="606"/>
      <c r="N148" s="606"/>
      <c r="O148" s="606"/>
      <c r="P148" s="606"/>
      <c r="Q148" s="606"/>
      <c r="R148" s="606"/>
      <c r="S148" s="606"/>
      <c r="T148" s="606"/>
      <c r="U148" s="606"/>
      <c r="V148" s="606"/>
      <c r="W148" s="606"/>
      <c r="X148" s="606"/>
      <c r="Y148" s="606"/>
      <c r="Z148" s="606"/>
      <c r="AA148" s="606"/>
      <c r="AB148" s="606"/>
    </row>
    <row r="149" spans="1:28" ht="10.5" customHeight="1">
      <c r="A149" s="214"/>
      <c r="B149" s="518"/>
      <c r="C149" s="518"/>
      <c r="D149" s="607"/>
      <c r="E149" s="607"/>
      <c r="F149" s="607"/>
      <c r="G149" s="607"/>
      <c r="H149" s="607"/>
      <c r="I149" s="607"/>
      <c r="J149" s="607"/>
      <c r="K149" s="607"/>
      <c r="L149" s="607"/>
      <c r="M149" s="607"/>
      <c r="N149" s="607"/>
      <c r="O149" s="607"/>
      <c r="P149" s="607"/>
      <c r="Q149" s="607"/>
      <c r="R149" s="607"/>
      <c r="S149" s="607"/>
      <c r="T149" s="607"/>
      <c r="U149" s="607"/>
      <c r="V149" s="607"/>
      <c r="W149" s="607"/>
      <c r="X149" s="607"/>
      <c r="Y149" s="607"/>
      <c r="Z149" s="607"/>
      <c r="AA149" s="607"/>
      <c r="AB149" s="607"/>
    </row>
    <row r="150" spans="1:28" ht="10.5" customHeight="1">
      <c r="A150" s="214"/>
      <c r="B150" s="1046"/>
      <c r="C150" s="518"/>
      <c r="D150" s="608"/>
      <c r="E150" s="608"/>
      <c r="F150" s="608"/>
      <c r="G150" s="608"/>
      <c r="H150" s="608"/>
      <c r="I150" s="608"/>
      <c r="J150" s="608"/>
      <c r="K150" s="608"/>
      <c r="L150" s="608"/>
      <c r="M150" s="608"/>
      <c r="N150" s="608"/>
      <c r="O150" s="608"/>
      <c r="P150" s="608"/>
      <c r="Q150" s="608"/>
      <c r="R150" s="608"/>
      <c r="S150" s="608"/>
      <c r="T150" s="608"/>
      <c r="U150" s="608"/>
      <c r="V150" s="608"/>
      <c r="W150" s="608"/>
      <c r="X150" s="608"/>
      <c r="Y150" s="608"/>
      <c r="Z150" s="608"/>
      <c r="AA150" s="608"/>
      <c r="AB150" s="608"/>
    </row>
    <row r="151" spans="1:28" ht="10.5" customHeight="1">
      <c r="A151" s="214"/>
      <c r="B151" s="689"/>
      <c r="C151" s="689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</row>
    <row r="152" spans="1:28" ht="10.5" customHeight="1">
      <c r="A152" s="214"/>
      <c r="B152" s="1047"/>
      <c r="C152" s="2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</row>
    <row r="153" spans="1:28" ht="10.5" customHeight="1">
      <c r="A153" s="214"/>
      <c r="B153" s="25"/>
      <c r="C153" s="25"/>
      <c r="D153" s="25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55"/>
      <c r="U153" s="55"/>
      <c r="V153" s="55"/>
      <c r="W153" s="55"/>
      <c r="X153" s="55"/>
      <c r="Y153" s="55"/>
      <c r="Z153" s="55"/>
      <c r="AA153" s="55"/>
      <c r="AB153" s="55"/>
    </row>
    <row r="154" spans="1:28" ht="10.5" customHeight="1">
      <c r="A154" s="214"/>
      <c r="B154" s="1047"/>
      <c r="C154" s="25"/>
      <c r="D154" s="25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</row>
    <row r="155" spans="1:28" ht="10.5" customHeight="1">
      <c r="A155" s="214"/>
      <c r="B155" s="689"/>
      <c r="C155" s="68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</row>
    <row r="156" spans="1:28" ht="10.5" customHeight="1">
      <c r="A156" s="214"/>
      <c r="B156" s="1042"/>
      <c r="C156" s="1042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</row>
    <row r="157" spans="1:28" ht="10.5" customHeight="1">
      <c r="A157" s="214"/>
      <c r="B157" s="1042"/>
      <c r="C157" s="1042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</row>
    <row r="158" spans="1:28" ht="10.5" customHeight="1">
      <c r="A158" s="214"/>
      <c r="B158" s="174"/>
      <c r="C158" s="174"/>
      <c r="D158" s="39"/>
      <c r="E158" s="1043"/>
      <c r="F158" s="1043"/>
      <c r="G158" s="1043"/>
      <c r="H158" s="1043"/>
      <c r="I158" s="1043"/>
      <c r="J158" s="1043"/>
      <c r="K158" s="1043"/>
      <c r="L158" s="1043"/>
      <c r="M158" s="1043"/>
      <c r="N158" s="1043"/>
      <c r="O158" s="1043"/>
      <c r="P158" s="1043"/>
      <c r="Q158" s="1043"/>
      <c r="R158" s="1043"/>
      <c r="S158" s="1043"/>
      <c r="T158" s="82"/>
      <c r="U158" s="82"/>
      <c r="V158" s="82"/>
      <c r="W158" s="82"/>
      <c r="X158" s="82"/>
      <c r="Y158" s="82"/>
      <c r="Z158" s="82"/>
      <c r="AA158" s="82"/>
      <c r="AB158" s="82"/>
    </row>
    <row r="159" spans="1:28" ht="10.5" customHeight="1">
      <c r="A159" s="214"/>
      <c r="B159" s="1047"/>
      <c r="C159" s="1042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</row>
    <row r="160" spans="1:28" ht="10.5" customHeight="1">
      <c r="A160" s="214"/>
      <c r="B160" s="689"/>
      <c r="C160" s="689"/>
      <c r="D160" s="39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</row>
    <row r="161" spans="1:28" ht="10.5" customHeight="1">
      <c r="A161" s="214"/>
      <c r="B161" s="1047"/>
      <c r="C161" s="358"/>
      <c r="D161" s="25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0.5" customHeight="1">
      <c r="A162" s="214"/>
      <c r="B162" s="85"/>
      <c r="C162" s="85"/>
      <c r="D162" s="84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84"/>
      <c r="U162" s="84"/>
      <c r="V162" s="84"/>
      <c r="W162" s="84"/>
      <c r="X162" s="84"/>
      <c r="Y162" s="84"/>
      <c r="Z162" s="84"/>
      <c r="AA162" s="84"/>
      <c r="AB162" s="84"/>
    </row>
    <row r="163" spans="1:28" ht="10.5" customHeight="1">
      <c r="A163" s="214"/>
      <c r="B163" s="43"/>
      <c r="C163" s="85"/>
      <c r="D163" s="86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0.5" customHeight="1">
      <c r="A164" s="214"/>
      <c r="B164" s="1048"/>
      <c r="C164" s="85"/>
      <c r="D164" s="86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0.5" customHeight="1">
      <c r="A165" s="214"/>
      <c r="B165" s="17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0.5" customHeight="1">
      <c r="A166" s="214"/>
      <c r="B166" s="1047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0.5" customHeight="1">
      <c r="A167" s="214"/>
      <c r="B167" s="689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0.5" customHeight="1">
      <c r="A168" s="214"/>
      <c r="B168" s="1047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0.5" customHeight="1">
      <c r="A169" s="214"/>
      <c r="B169" s="1047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0.5" customHeight="1">
      <c r="A170" s="214"/>
      <c r="B170" s="459"/>
      <c r="C170" s="459"/>
      <c r="D170" s="459"/>
      <c r="E170" s="459"/>
      <c r="F170" s="459"/>
      <c r="G170" s="459"/>
      <c r="H170" s="459"/>
      <c r="I170" s="459"/>
      <c r="J170" s="459"/>
      <c r="K170" s="459"/>
      <c r="L170" s="459"/>
      <c r="M170" s="459"/>
      <c r="N170" s="459"/>
      <c r="O170" s="459"/>
      <c r="P170" s="459"/>
      <c r="Q170" s="459"/>
      <c r="R170" s="459"/>
      <c r="S170" s="459"/>
      <c r="T170" s="459"/>
      <c r="U170" s="459"/>
      <c r="V170" s="459"/>
      <c r="W170" s="459"/>
      <c r="X170" s="459"/>
      <c r="Y170" s="459"/>
      <c r="Z170" s="459"/>
      <c r="AA170" s="459"/>
      <c r="AB170" s="459"/>
    </row>
    <row r="171" spans="1:28" ht="10.5" customHeight="1">
      <c r="A171" s="214"/>
      <c r="B171" s="1042"/>
      <c r="C171" s="1042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</row>
    <row r="172" spans="1:28" ht="10.5" customHeight="1">
      <c r="A172" s="214"/>
      <c r="B172" s="174"/>
      <c r="C172" s="174"/>
      <c r="D172" s="39"/>
      <c r="E172" s="1043"/>
      <c r="F172" s="1043"/>
      <c r="G172" s="1043"/>
      <c r="H172" s="1043"/>
      <c r="I172" s="1043"/>
      <c r="J172" s="1043"/>
      <c r="K172" s="1043"/>
      <c r="L172" s="1043"/>
      <c r="M172" s="1043"/>
      <c r="N172" s="1043"/>
      <c r="O172" s="1043"/>
      <c r="P172" s="1043"/>
      <c r="Q172" s="1043"/>
      <c r="R172" s="1043"/>
      <c r="S172" s="1043"/>
      <c r="T172" s="82"/>
      <c r="U172" s="82"/>
      <c r="V172" s="82"/>
      <c r="W172" s="82"/>
      <c r="X172" s="82"/>
      <c r="Y172" s="82"/>
      <c r="Z172" s="82"/>
      <c r="AA172" s="82"/>
      <c r="AB172" s="82"/>
    </row>
    <row r="173" spans="1:28" ht="10.5" customHeight="1">
      <c r="A173" s="214"/>
      <c r="B173" s="1047"/>
      <c r="C173" s="1042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</row>
    <row r="174" spans="1:28" ht="10.5" customHeight="1">
      <c r="A174" s="214"/>
      <c r="B174" s="689"/>
      <c r="C174" s="689"/>
      <c r="D174" s="39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  <c r="AA174" s="82"/>
      <c r="AB174" s="82"/>
    </row>
    <row r="175" spans="1:28" ht="10.5" customHeight="1">
      <c r="A175" s="214"/>
      <c r="B175" s="1047"/>
      <c r="C175" s="358"/>
      <c r="D175" s="25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0.5" customHeight="1">
      <c r="A176" s="214"/>
      <c r="B176" s="1047"/>
      <c r="C176" s="358"/>
      <c r="D176" s="25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0.5" customHeight="1">
      <c r="A177" s="214"/>
      <c r="B177" s="1047"/>
      <c r="C177" s="358"/>
      <c r="D177" s="2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0.5" customHeight="1">
      <c r="A178" s="214"/>
      <c r="B178" s="57"/>
      <c r="C178" s="57"/>
      <c r="D178" s="7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79"/>
      <c r="U178" s="79"/>
      <c r="V178" s="79"/>
      <c r="W178" s="79"/>
      <c r="X178" s="79"/>
      <c r="Y178" s="79"/>
      <c r="Z178" s="79"/>
      <c r="AA178" s="79"/>
      <c r="AB178" s="79"/>
    </row>
    <row r="179" spans="1:28" ht="10.5" customHeight="1">
      <c r="A179" s="214"/>
      <c r="B179" s="1048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0.5" customHeight="1">
      <c r="A180" s="214"/>
      <c r="B180" s="17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0.5" customHeight="1">
      <c r="A181" s="214"/>
      <c r="B181" s="1047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0.5" customHeight="1">
      <c r="A182" s="214"/>
      <c r="B182" s="689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0.5" customHeight="1">
      <c r="A183" s="214"/>
      <c r="B183" s="1047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0.5" customHeight="1">
      <c r="A184" s="214"/>
      <c r="B184" s="57"/>
      <c r="C184" s="57"/>
      <c r="D184" s="7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</row>
    <row r="185" spans="1:28" ht="10.5" customHeight="1">
      <c r="A185" s="214"/>
      <c r="B185" s="358"/>
      <c r="C185" s="57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</row>
    <row r="186" spans="1:28" ht="10.5" customHeight="1">
      <c r="A186" s="214"/>
      <c r="B186" s="78"/>
      <c r="C186" s="2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43"/>
      <c r="U186" s="43"/>
      <c r="V186" s="43"/>
      <c r="W186" s="43"/>
      <c r="X186" s="43"/>
    </row>
    <row r="187" spans="1:28" ht="10.5" customHeight="1">
      <c r="A187" s="214"/>
      <c r="B187" s="1047"/>
      <c r="C187" s="2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43"/>
      <c r="U187" s="43"/>
      <c r="V187" s="43"/>
      <c r="W187" s="43"/>
      <c r="X187" s="43"/>
    </row>
    <row r="188" spans="1:28" ht="10.5" customHeight="1">
      <c r="A188" s="214"/>
      <c r="B188" s="78"/>
      <c r="C188" s="25"/>
      <c r="D188" s="25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43"/>
      <c r="U188" s="43"/>
      <c r="V188" s="43"/>
      <c r="W188" s="43"/>
      <c r="X188" s="43"/>
    </row>
    <row r="189" spans="1:28" ht="10.5" customHeight="1">
      <c r="A189" s="214"/>
      <c r="B189" s="1047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43"/>
      <c r="U189" s="43"/>
      <c r="V189" s="43"/>
      <c r="W189" s="43"/>
      <c r="X189" s="43"/>
    </row>
    <row r="190" spans="1:28" ht="10.5" customHeight="1">
      <c r="A190" s="214"/>
      <c r="B190" s="1045"/>
      <c r="C190" s="25"/>
      <c r="D190" s="25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43"/>
      <c r="U190" s="43"/>
      <c r="V190" s="43"/>
      <c r="W190" s="43"/>
      <c r="X190" s="43"/>
    </row>
    <row r="191" spans="1:28" ht="10.5" customHeight="1">
      <c r="A191" s="214"/>
      <c r="B191" s="1045"/>
      <c r="C191" s="25"/>
      <c r="D191" s="2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43"/>
      <c r="U191" s="43"/>
      <c r="V191" s="43"/>
      <c r="W191" s="43"/>
      <c r="X191" s="43"/>
    </row>
    <row r="192" spans="1:28" ht="10.5" customHeight="1">
      <c r="A192" s="214"/>
      <c r="B192" s="43"/>
      <c r="C192" s="43"/>
      <c r="D192" s="43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43"/>
      <c r="U192" s="43"/>
      <c r="V192" s="43"/>
      <c r="W192" s="43"/>
      <c r="X192" s="43"/>
    </row>
    <row r="193" spans="1:29" s="43" customFormat="1" ht="10.5" customHeight="1">
      <c r="A193" s="214"/>
      <c r="B193" s="1048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</row>
    <row r="194" spans="1:29" s="43" customFormat="1" ht="10.5" customHeight="1">
      <c r="A194" s="214"/>
      <c r="B194" s="17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</row>
    <row r="195" spans="1:29" s="43" customFormat="1" ht="10.5" customHeight="1">
      <c r="A195" s="214"/>
      <c r="B195" s="1047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</row>
    <row r="196" spans="1:29" s="43" customFormat="1" ht="10.5" customHeight="1">
      <c r="A196" s="214"/>
      <c r="B196" s="689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</row>
    <row r="197" spans="1:29" s="43" customFormat="1" ht="10.5" customHeight="1">
      <c r="A197" s="214"/>
      <c r="B197" s="1047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</row>
    <row r="198" spans="1:29" s="214" customFormat="1" ht="10.5" customHeight="1">
      <c r="B198" s="861"/>
      <c r="C198" s="865"/>
      <c r="D198" s="863"/>
      <c r="E198" s="863"/>
      <c r="F198" s="863"/>
      <c r="G198" s="863"/>
      <c r="H198" s="863"/>
      <c r="I198" s="863"/>
      <c r="J198" s="863"/>
      <c r="K198" s="863"/>
      <c r="L198" s="863"/>
      <c r="M198" s="863"/>
      <c r="N198" s="863"/>
      <c r="O198" s="863"/>
      <c r="P198" s="863"/>
      <c r="Q198" s="863"/>
      <c r="R198" s="863"/>
      <c r="S198" s="864"/>
      <c r="Y198" s="43"/>
      <c r="Z198" s="43"/>
      <c r="AA198" s="43"/>
      <c r="AB198" s="43"/>
      <c r="AC198" s="43"/>
    </row>
    <row r="199" spans="1:29" s="214" customFormat="1" ht="10.5" customHeight="1">
      <c r="B199" s="867" t="s">
        <v>12</v>
      </c>
      <c r="C199" s="865"/>
      <c r="D199" s="863"/>
      <c r="E199" s="863"/>
      <c r="F199" s="863"/>
      <c r="G199" s="863"/>
      <c r="H199" s="863"/>
      <c r="I199" s="863"/>
      <c r="J199" s="863"/>
      <c r="K199" s="863"/>
      <c r="L199" s="863"/>
      <c r="M199" s="863"/>
      <c r="N199" s="863"/>
      <c r="O199" s="863"/>
      <c r="P199" s="863"/>
      <c r="Q199" s="863"/>
      <c r="R199" s="863"/>
      <c r="S199" s="864"/>
      <c r="Y199" s="43"/>
      <c r="Z199" s="43"/>
      <c r="AA199" s="43"/>
      <c r="AB199" s="43"/>
      <c r="AC199" s="43"/>
    </row>
    <row r="200" spans="1:29" s="214" customFormat="1" ht="10.5" customHeight="1">
      <c r="B200" s="868" t="s">
        <v>706</v>
      </c>
      <c r="C200" s="865"/>
      <c r="D200" s="863">
        <v>0</v>
      </c>
      <c r="E200" s="863">
        <v>4277.257877366811</v>
      </c>
      <c r="F200" s="863">
        <v>3889.2669932541321</v>
      </c>
      <c r="G200" s="863">
        <v>3555.6932487073382</v>
      </c>
      <c r="H200" s="863">
        <v>2854.7745490955449</v>
      </c>
      <c r="I200" s="863">
        <v>2750.0830922026685</v>
      </c>
      <c r="J200" s="863">
        <v>2787.8589157594506</v>
      </c>
      <c r="K200" s="863">
        <v>2725.6293393160313</v>
      </c>
      <c r="L200" s="863">
        <v>2758.8268474098268</v>
      </c>
      <c r="M200" s="863">
        <v>2748.6961080445985</v>
      </c>
      <c r="N200" s="863">
        <v>2691.6366537878603</v>
      </c>
      <c r="O200" s="863">
        <v>2774.2614080799658</v>
      </c>
      <c r="P200" s="863">
        <v>2777.5106037301662</v>
      </c>
      <c r="Q200" s="863">
        <v>2811.1352157304195</v>
      </c>
      <c r="R200" s="863">
        <v>2832.3266127835041</v>
      </c>
      <c r="S200" s="864">
        <v>2950.0402334654245</v>
      </c>
      <c r="Y200" s="43"/>
      <c r="Z200" s="43"/>
      <c r="AA200" s="43"/>
      <c r="AB200" s="43"/>
      <c r="AC200" s="43"/>
    </row>
    <row r="201" spans="1:29" s="214" customFormat="1" ht="10.5" customHeight="1">
      <c r="B201" s="861">
        <f>SUM(D200:S200)</f>
        <v>45184.997698733743</v>
      </c>
      <c r="C201" s="865"/>
      <c r="D201" s="863"/>
      <c r="E201" s="863"/>
      <c r="F201" s="863"/>
      <c r="G201" s="863"/>
      <c r="H201" s="863"/>
      <c r="I201" s="863"/>
      <c r="J201" s="863"/>
      <c r="K201" s="863"/>
      <c r="L201" s="863"/>
      <c r="M201" s="863"/>
      <c r="N201" s="863"/>
      <c r="O201" s="863"/>
      <c r="P201" s="863"/>
      <c r="Q201" s="863"/>
      <c r="R201" s="863"/>
      <c r="S201" s="864"/>
      <c r="Y201" s="43"/>
      <c r="Z201" s="43"/>
      <c r="AA201" s="43"/>
      <c r="AB201" s="43"/>
      <c r="AC201" s="43"/>
    </row>
    <row r="202" spans="1:29" s="214" customFormat="1" ht="10.5" customHeight="1">
      <c r="B202" s="868" t="s">
        <v>707</v>
      </c>
      <c r="C202" s="865"/>
      <c r="D202" s="863">
        <v>0</v>
      </c>
      <c r="E202" s="863">
        <v>2977.7076357031356</v>
      </c>
      <c r="F202" s="863">
        <v>2731.5093150563102</v>
      </c>
      <c r="G202" s="863">
        <v>2518.6681802990438</v>
      </c>
      <c r="H202" s="863">
        <v>2040.6195186284788</v>
      </c>
      <c r="I202" s="863">
        <v>1983.7668204353995</v>
      </c>
      <c r="J202" s="863">
        <v>2029.8896830819665</v>
      </c>
      <c r="K202" s="863">
        <v>2003.0251473417322</v>
      </c>
      <c r="L202" s="863">
        <v>2045.3501447596846</v>
      </c>
      <c r="M202" s="863">
        <v>2055.6508016284342</v>
      </c>
      <c r="N202" s="863">
        <v>2030.2033158230283</v>
      </c>
      <c r="O202" s="863">
        <v>2109.6916756086562</v>
      </c>
      <c r="P202" s="863">
        <v>2129.2177313491406</v>
      </c>
      <c r="Q202" s="863">
        <v>2172.0628322779016</v>
      </c>
      <c r="R202" s="863">
        <v>2205.4574707246525</v>
      </c>
      <c r="S202" s="864">
        <v>2315.6160758991582</v>
      </c>
      <c r="Y202" s="43"/>
      <c r="Z202" s="43"/>
      <c r="AA202" s="43"/>
      <c r="AB202" s="43"/>
      <c r="AC202" s="43"/>
    </row>
    <row r="203" spans="1:29" s="214" customFormat="1" ht="10.5" customHeight="1">
      <c r="B203" s="861">
        <f>SUM(D202:S202)</f>
        <v>33348.436348616728</v>
      </c>
      <c r="C203" s="865"/>
      <c r="D203" s="863"/>
      <c r="E203" s="863"/>
      <c r="F203" s="863"/>
      <c r="G203" s="863"/>
      <c r="H203" s="863"/>
      <c r="I203" s="863"/>
      <c r="J203" s="863"/>
      <c r="K203" s="863"/>
      <c r="L203" s="863"/>
      <c r="M203" s="863"/>
      <c r="N203" s="863"/>
      <c r="O203" s="863"/>
      <c r="P203" s="863"/>
      <c r="Q203" s="863"/>
      <c r="R203" s="863"/>
      <c r="S203" s="864"/>
      <c r="Y203" s="43"/>
      <c r="Z203" s="43"/>
      <c r="AA203" s="43"/>
      <c r="AB203" s="43"/>
      <c r="AC203" s="43"/>
    </row>
    <row r="204" spans="1:29" s="214" customFormat="1" ht="10.5" customHeight="1">
      <c r="B204" s="861"/>
      <c r="C204" s="865"/>
      <c r="D204" s="863"/>
      <c r="E204" s="863"/>
      <c r="F204" s="863"/>
      <c r="G204" s="863"/>
      <c r="H204" s="863"/>
      <c r="I204" s="863"/>
      <c r="J204" s="863"/>
      <c r="K204" s="863"/>
      <c r="L204" s="863"/>
      <c r="M204" s="863"/>
      <c r="N204" s="863"/>
      <c r="O204" s="863"/>
      <c r="P204" s="863"/>
      <c r="Q204" s="863"/>
      <c r="R204" s="863"/>
      <c r="S204" s="864"/>
      <c r="Y204" s="43"/>
      <c r="Z204" s="43"/>
      <c r="AA204" s="43"/>
      <c r="AB204" s="43"/>
      <c r="AC204" s="43"/>
    </row>
    <row r="205" spans="1:29" s="214" customFormat="1" ht="10.5" customHeight="1">
      <c r="B205" s="866" t="s">
        <v>13</v>
      </c>
      <c r="C205" s="865"/>
      <c r="D205" s="863"/>
      <c r="E205" s="863"/>
      <c r="F205" s="863"/>
      <c r="G205" s="863"/>
      <c r="H205" s="863"/>
      <c r="I205" s="863"/>
      <c r="J205" s="863"/>
      <c r="K205" s="863"/>
      <c r="L205" s="863"/>
      <c r="M205" s="863"/>
      <c r="N205" s="863"/>
      <c r="O205" s="863"/>
      <c r="P205" s="863"/>
      <c r="Q205" s="863"/>
      <c r="R205" s="863"/>
      <c r="S205" s="864"/>
      <c r="Y205" s="43"/>
      <c r="Z205" s="43"/>
      <c r="AA205" s="43"/>
      <c r="AB205" s="43"/>
      <c r="AC205" s="43"/>
    </row>
    <row r="206" spans="1:29" s="214" customFormat="1" ht="10.5" customHeight="1">
      <c r="B206" s="862" t="s">
        <v>706</v>
      </c>
      <c r="C206" s="865"/>
      <c r="D206" s="863">
        <f>+D200-D186</f>
        <v>0</v>
      </c>
      <c r="E206" s="863">
        <f t="shared" ref="E206:S208" si="26">+E200-E186</f>
        <v>4277.257877366811</v>
      </c>
      <c r="F206" s="863">
        <f t="shared" si="26"/>
        <v>3889.2669932541321</v>
      </c>
      <c r="G206" s="863">
        <f t="shared" si="26"/>
        <v>3555.6932487073382</v>
      </c>
      <c r="H206" s="863">
        <f t="shared" si="26"/>
        <v>2854.7745490955449</v>
      </c>
      <c r="I206" s="863">
        <f t="shared" si="26"/>
        <v>2750.0830922026685</v>
      </c>
      <c r="J206" s="863">
        <f t="shared" si="26"/>
        <v>2787.8589157594506</v>
      </c>
      <c r="K206" s="863">
        <f t="shared" si="26"/>
        <v>2725.6293393160313</v>
      </c>
      <c r="L206" s="863">
        <f t="shared" si="26"/>
        <v>2758.8268474098268</v>
      </c>
      <c r="M206" s="863">
        <f t="shared" si="26"/>
        <v>2748.6961080445985</v>
      </c>
      <c r="N206" s="863">
        <f t="shared" si="26"/>
        <v>2691.6366537878603</v>
      </c>
      <c r="O206" s="863">
        <f t="shared" si="26"/>
        <v>2774.2614080799658</v>
      </c>
      <c r="P206" s="863">
        <f t="shared" si="26"/>
        <v>2777.5106037301662</v>
      </c>
      <c r="Q206" s="863">
        <f t="shared" si="26"/>
        <v>2811.1352157304195</v>
      </c>
      <c r="R206" s="863">
        <f t="shared" si="26"/>
        <v>2832.3266127835041</v>
      </c>
      <c r="S206" s="864">
        <f t="shared" si="26"/>
        <v>2950.0402334654245</v>
      </c>
      <c r="Y206" s="43"/>
      <c r="Z206" s="43"/>
      <c r="AA206" s="43"/>
      <c r="AB206" s="43"/>
      <c r="AC206" s="43"/>
    </row>
    <row r="207" spans="1:29" s="214" customFormat="1" ht="10.5" customHeight="1">
      <c r="B207" s="861">
        <f>SUM(D206:S206)</f>
        <v>45184.997698733743</v>
      </c>
      <c r="C207" s="865"/>
      <c r="D207" s="863"/>
      <c r="E207" s="863"/>
      <c r="F207" s="863"/>
      <c r="G207" s="863"/>
      <c r="H207" s="863"/>
      <c r="I207" s="863"/>
      <c r="J207" s="863"/>
      <c r="K207" s="863"/>
      <c r="L207" s="863"/>
      <c r="M207" s="863"/>
      <c r="N207" s="863"/>
      <c r="O207" s="863"/>
      <c r="P207" s="863"/>
      <c r="Q207" s="863"/>
      <c r="R207" s="863"/>
      <c r="S207" s="864"/>
      <c r="Y207" s="43"/>
      <c r="Z207" s="43"/>
      <c r="AA207" s="43"/>
      <c r="AB207" s="43"/>
      <c r="AC207" s="43"/>
    </row>
    <row r="208" spans="1:29" s="214" customFormat="1" ht="10.5" customHeight="1">
      <c r="B208" s="860" t="s">
        <v>707</v>
      </c>
      <c r="C208" s="865"/>
      <c r="D208" s="863">
        <f>+D202-D188</f>
        <v>0</v>
      </c>
      <c r="E208" s="863">
        <f t="shared" si="26"/>
        <v>2977.7076357031356</v>
      </c>
      <c r="F208" s="863">
        <f t="shared" si="26"/>
        <v>2731.5093150563102</v>
      </c>
      <c r="G208" s="863">
        <f t="shared" si="26"/>
        <v>2518.6681802990438</v>
      </c>
      <c r="H208" s="863">
        <f t="shared" si="26"/>
        <v>2040.6195186284788</v>
      </c>
      <c r="I208" s="863">
        <f t="shared" si="26"/>
        <v>1983.7668204353995</v>
      </c>
      <c r="J208" s="863">
        <f t="shared" si="26"/>
        <v>2029.8896830819665</v>
      </c>
      <c r="K208" s="863">
        <f t="shared" si="26"/>
        <v>2003.0251473417322</v>
      </c>
      <c r="L208" s="863">
        <f t="shared" si="26"/>
        <v>2045.3501447596846</v>
      </c>
      <c r="M208" s="863">
        <f t="shared" si="26"/>
        <v>2055.6508016284342</v>
      </c>
      <c r="N208" s="863">
        <f t="shared" si="26"/>
        <v>2030.2033158230283</v>
      </c>
      <c r="O208" s="863">
        <f t="shared" si="26"/>
        <v>2109.6916756086562</v>
      </c>
      <c r="P208" s="863">
        <f t="shared" si="26"/>
        <v>2129.2177313491406</v>
      </c>
      <c r="Q208" s="863">
        <f t="shared" si="26"/>
        <v>2172.0628322779016</v>
      </c>
      <c r="R208" s="863">
        <f t="shared" si="26"/>
        <v>2205.4574707246525</v>
      </c>
      <c r="S208" s="864">
        <f t="shared" si="26"/>
        <v>2315.6160758991582</v>
      </c>
      <c r="Y208" s="43"/>
      <c r="Z208" s="43"/>
      <c r="AA208" s="43"/>
      <c r="AB208" s="43"/>
      <c r="AC208" s="43"/>
    </row>
    <row r="209" spans="2:29" s="214" customFormat="1" ht="10.5" customHeight="1">
      <c r="B209" s="861">
        <f>SUM(D208:S208)</f>
        <v>33348.436348616728</v>
      </c>
      <c r="C209" s="865"/>
      <c r="D209" s="863"/>
      <c r="E209" s="863"/>
      <c r="F209" s="863"/>
      <c r="G209" s="863"/>
      <c r="H209" s="863"/>
      <c r="I209" s="863"/>
      <c r="J209" s="863"/>
      <c r="K209" s="863"/>
      <c r="L209" s="863"/>
      <c r="M209" s="863"/>
      <c r="N209" s="863"/>
      <c r="O209" s="863"/>
      <c r="P209" s="863"/>
      <c r="Q209" s="863"/>
      <c r="R209" s="863"/>
      <c r="S209" s="864"/>
      <c r="Y209" s="43"/>
      <c r="Z209" s="43"/>
      <c r="AA209" s="43"/>
      <c r="AB209" s="43"/>
      <c r="AC209" s="43"/>
    </row>
    <row r="210" spans="2:29" s="214" customFormat="1" ht="10.5" customHeight="1" thickBot="1">
      <c r="B210" s="869"/>
      <c r="C210" s="870"/>
      <c r="D210" s="870"/>
      <c r="E210" s="870"/>
      <c r="F210" s="870"/>
      <c r="G210" s="870"/>
      <c r="H210" s="870"/>
      <c r="I210" s="870"/>
      <c r="J210" s="870"/>
      <c r="K210" s="870"/>
      <c r="L210" s="870"/>
      <c r="M210" s="870"/>
      <c r="N210" s="870"/>
      <c r="O210" s="870"/>
      <c r="P210" s="870"/>
      <c r="Q210" s="870"/>
      <c r="R210" s="870"/>
      <c r="S210" s="871"/>
      <c r="Y210" s="43"/>
      <c r="Z210" s="43"/>
      <c r="AA210" s="43"/>
      <c r="AB210" s="43"/>
      <c r="AC210" s="43"/>
    </row>
    <row r="211" spans="2:29" s="214" customFormat="1" ht="12.75" customHeight="1">
      <c r="Y211" s="43"/>
      <c r="Z211" s="43"/>
      <c r="AA211" s="43"/>
      <c r="AB211" s="43"/>
      <c r="AC211" s="43"/>
    </row>
    <row r="212" spans="2:29" s="214" customFormat="1" ht="14.25" customHeight="1">
      <c r="B212" s="291" t="s">
        <v>8</v>
      </c>
      <c r="Y212" s="43"/>
      <c r="Z212" s="43"/>
      <c r="AA212" s="43"/>
      <c r="AB212" s="43"/>
      <c r="AC212" s="43"/>
    </row>
    <row r="213" spans="2:29" s="214" customFormat="1" ht="14.25" customHeight="1">
      <c r="B213" s="872" t="s">
        <v>9</v>
      </c>
      <c r="D213" s="876" t="s">
        <v>6</v>
      </c>
      <c r="E213" s="876" t="s">
        <v>7</v>
      </c>
      <c r="F213" s="9"/>
      <c r="Y213" s="43"/>
      <c r="Z213" s="43"/>
      <c r="AA213" s="43"/>
      <c r="AB213" s="43"/>
      <c r="AC213" s="43"/>
    </row>
    <row r="214" spans="2:29" s="214" customFormat="1" ht="10.5" customHeight="1">
      <c r="B214" s="9" t="s">
        <v>4</v>
      </c>
      <c r="D214" s="45">
        <f>+B152</f>
        <v>0</v>
      </c>
      <c r="E214" s="45">
        <f>+B154</f>
        <v>0</v>
      </c>
      <c r="F214" s="9"/>
      <c r="Y214" s="43"/>
      <c r="Z214" s="43"/>
      <c r="AA214" s="43"/>
      <c r="AB214" s="43"/>
      <c r="AC214" s="43"/>
    </row>
    <row r="215" spans="2:29" s="214" customFormat="1" ht="10.5" customHeight="1">
      <c r="B215" s="9" t="s">
        <v>1</v>
      </c>
      <c r="D215" s="874" t="e">
        <f>+(D214/E214)*E215</f>
        <v>#DIV/0!</v>
      </c>
      <c r="E215" s="874">
        <v>41486</v>
      </c>
      <c r="F215" s="9"/>
      <c r="Y215" s="43"/>
      <c r="Z215" s="43"/>
      <c r="AA215" s="43"/>
      <c r="AB215" s="43"/>
      <c r="AC215" s="43"/>
    </row>
    <row r="216" spans="2:29" s="214" customFormat="1" ht="10.5" customHeight="1">
      <c r="B216" s="9" t="s">
        <v>326</v>
      </c>
      <c r="D216" s="873" t="e">
        <f>+D215-D214</f>
        <v>#DIV/0!</v>
      </c>
      <c r="E216" s="873">
        <f>+E215-E214</f>
        <v>41486</v>
      </c>
      <c r="F216" s="9"/>
      <c r="Y216" s="43"/>
      <c r="Z216" s="43"/>
      <c r="AA216" s="43"/>
      <c r="AB216" s="43"/>
      <c r="AC216" s="43"/>
    </row>
    <row r="217" spans="2:29" s="214" customFormat="1" ht="10.5" customHeight="1">
      <c r="B217" s="9"/>
      <c r="D217" s="9"/>
      <c r="E217" s="9"/>
      <c r="F217" s="9"/>
      <c r="Y217" s="43"/>
      <c r="Z217" s="43"/>
      <c r="AA217" s="43"/>
      <c r="AB217" s="43"/>
      <c r="AC217" s="43"/>
    </row>
    <row r="218" spans="2:29" s="214" customFormat="1" ht="10.5" customHeight="1">
      <c r="B218" s="875" t="s">
        <v>2</v>
      </c>
      <c r="D218" s="9"/>
      <c r="E218" s="9"/>
      <c r="F218" s="9"/>
      <c r="Y218" s="43"/>
      <c r="Z218" s="43"/>
      <c r="AA218" s="43"/>
      <c r="AB218" s="43"/>
      <c r="AC218" s="43"/>
    </row>
    <row r="219" spans="2:29" s="214" customFormat="1" ht="10.5" customHeight="1">
      <c r="B219" s="689" t="s">
        <v>10</v>
      </c>
      <c r="D219" s="370">
        <f>+B166</f>
        <v>0</v>
      </c>
      <c r="E219" s="370">
        <f>+B168</f>
        <v>0</v>
      </c>
      <c r="F219" s="9"/>
      <c r="Y219" s="43"/>
      <c r="Z219" s="43"/>
      <c r="AA219" s="43"/>
      <c r="AB219" s="43"/>
      <c r="AC219" s="43"/>
    </row>
    <row r="220" spans="2:29" s="214" customFormat="1" ht="10.5" customHeight="1">
      <c r="B220" s="689" t="s">
        <v>11</v>
      </c>
      <c r="D220" s="370">
        <f>+B181</f>
        <v>0</v>
      </c>
      <c r="E220" s="370">
        <f>+B183</f>
        <v>0</v>
      </c>
      <c r="F220" s="9"/>
      <c r="Y220" s="43"/>
      <c r="Z220" s="43"/>
      <c r="AA220" s="43"/>
      <c r="AB220" s="43"/>
      <c r="AC220" s="43"/>
    </row>
    <row r="221" spans="2:29" s="214" customFormat="1" ht="10.5" customHeight="1">
      <c r="B221" s="25" t="s">
        <v>0</v>
      </c>
      <c r="D221" s="370">
        <f>+B195</f>
        <v>0</v>
      </c>
      <c r="E221" s="370">
        <f>+B197</f>
        <v>0</v>
      </c>
      <c r="F221" s="9"/>
      <c r="Y221" s="43"/>
      <c r="Z221" s="43"/>
      <c r="AA221" s="43"/>
      <c r="AB221" s="43"/>
      <c r="AC221" s="43"/>
    </row>
    <row r="222" spans="2:29" s="214" customFormat="1" ht="10.5" customHeight="1">
      <c r="B222" s="9" t="s">
        <v>3</v>
      </c>
      <c r="D222" s="370">
        <v>7041</v>
      </c>
      <c r="E222" s="370">
        <v>5215</v>
      </c>
      <c r="F222" s="9"/>
      <c r="Y222" s="43"/>
      <c r="Z222" s="43"/>
      <c r="AA222" s="43"/>
      <c r="AB222" s="43"/>
      <c r="AC222" s="43"/>
    </row>
    <row r="223" spans="2:29" s="214" customFormat="1" ht="10.5" customHeight="1">
      <c r="B223" s="25" t="s">
        <v>12</v>
      </c>
      <c r="D223" s="370">
        <f>+B207</f>
        <v>45184.997698733743</v>
      </c>
      <c r="E223" s="370">
        <f>+B209</f>
        <v>33348.436348616728</v>
      </c>
      <c r="F223" s="9"/>
      <c r="Y223" s="43"/>
      <c r="Z223" s="43"/>
      <c r="AA223" s="43"/>
      <c r="AB223" s="43"/>
      <c r="AC223" s="43"/>
    </row>
    <row r="224" spans="2:29" s="214" customFormat="1" ht="10.5" customHeight="1">
      <c r="B224" s="9"/>
      <c r="D224" s="370"/>
      <c r="E224" s="370"/>
      <c r="F224" s="9"/>
      <c r="Y224" s="43"/>
      <c r="Z224" s="43"/>
      <c r="AA224" s="43"/>
      <c r="AB224" s="43"/>
      <c r="AC224" s="43"/>
    </row>
    <row r="225" spans="2:29" s="214" customFormat="1" ht="10.5" customHeight="1">
      <c r="B225" s="9" t="s">
        <v>78</v>
      </c>
      <c r="D225" s="373">
        <f>SUM(D219:D224)</f>
        <v>52225.997698733743</v>
      </c>
      <c r="E225" s="373">
        <f>SUM(E219:E224)</f>
        <v>38563.436348616728</v>
      </c>
      <c r="F225" s="9"/>
      <c r="Y225" s="43"/>
      <c r="Z225" s="43"/>
      <c r="AA225" s="43"/>
      <c r="AB225" s="43"/>
      <c r="AC225" s="43"/>
    </row>
    <row r="226" spans="2:29" s="214" customFormat="1" ht="10.5" customHeight="1">
      <c r="B226" s="9"/>
      <c r="D226" s="9"/>
      <c r="E226" s="9"/>
      <c r="F226" s="9"/>
      <c r="Y226" s="43"/>
      <c r="Z226" s="43"/>
      <c r="AA226" s="43"/>
      <c r="AB226" s="43"/>
      <c r="AC226" s="43"/>
    </row>
    <row r="227" spans="2:29" s="214" customFormat="1" ht="10.5" customHeight="1">
      <c r="B227" s="9" t="s">
        <v>5</v>
      </c>
      <c r="Y227" s="43"/>
      <c r="Z227" s="43"/>
      <c r="AA227" s="43"/>
      <c r="AB227" s="43"/>
      <c r="AC227" s="43"/>
    </row>
    <row r="228" spans="2:29" s="214" customFormat="1" ht="10.5" customHeight="1">
      <c r="B228" s="9" t="s">
        <v>14</v>
      </c>
      <c r="Y228" s="43"/>
      <c r="Z228" s="43"/>
      <c r="AA228" s="43"/>
      <c r="AB228" s="43"/>
      <c r="AC228" s="43"/>
    </row>
    <row r="229" spans="2:29" s="214" customFormat="1" ht="10.5" customHeight="1">
      <c r="Y229" s="43"/>
      <c r="Z229" s="43"/>
      <c r="AA229" s="43"/>
      <c r="AB229" s="43"/>
      <c r="AC229" s="43"/>
    </row>
    <row r="230" spans="2:29" s="214" customFormat="1" ht="10.5" customHeight="1">
      <c r="Y230" s="43"/>
      <c r="Z230" s="43"/>
      <c r="AA230" s="43"/>
      <c r="AB230" s="43"/>
      <c r="AC230" s="43"/>
    </row>
    <row r="231" spans="2:29" s="214" customFormat="1" ht="10.5" customHeight="1">
      <c r="Y231" s="43"/>
      <c r="Z231" s="43"/>
      <c r="AA231" s="43"/>
      <c r="AB231" s="43"/>
      <c r="AC231" s="43"/>
    </row>
    <row r="232" spans="2:29" s="214" customFormat="1" ht="10.5" customHeight="1">
      <c r="Y232" s="43"/>
      <c r="Z232" s="43"/>
      <c r="AA232" s="43"/>
      <c r="AB232" s="43"/>
      <c r="AC232" s="43"/>
    </row>
    <row r="233" spans="2:29" s="214" customFormat="1" ht="10.5" customHeight="1">
      <c r="Y233" s="43"/>
      <c r="Z233" s="43"/>
      <c r="AA233" s="43"/>
      <c r="AB233" s="43"/>
      <c r="AC233" s="43"/>
    </row>
    <row r="234" spans="2:29" s="214" customFormat="1" ht="10.5" customHeight="1">
      <c r="Y234" s="43"/>
      <c r="Z234" s="43"/>
      <c r="AA234" s="43"/>
      <c r="AB234" s="43"/>
      <c r="AC234" s="43"/>
    </row>
    <row r="235" spans="2:29" s="214" customFormat="1" ht="10.5" customHeight="1">
      <c r="Y235" s="43"/>
      <c r="Z235" s="43"/>
      <c r="AA235" s="43"/>
      <c r="AB235" s="43"/>
      <c r="AC235" s="43"/>
    </row>
    <row r="236" spans="2:29" s="214" customFormat="1" ht="10.5" customHeight="1">
      <c r="Y236" s="43"/>
      <c r="Z236" s="43"/>
      <c r="AA236" s="43"/>
      <c r="AB236" s="43"/>
      <c r="AC236" s="43"/>
    </row>
    <row r="237" spans="2:29" s="214" customFormat="1" ht="10.5" customHeight="1">
      <c r="Y237" s="43"/>
      <c r="Z237" s="43"/>
      <c r="AA237" s="43"/>
      <c r="AB237" s="43"/>
      <c r="AC237" s="43"/>
    </row>
    <row r="238" spans="2:29" s="214" customFormat="1" ht="10.5" customHeight="1">
      <c r="Y238" s="43"/>
      <c r="Z238" s="43"/>
      <c r="AA238" s="43"/>
      <c r="AB238" s="43"/>
      <c r="AC238" s="43"/>
    </row>
    <row r="239" spans="2:29" s="214" customFormat="1" ht="10.5" customHeight="1">
      <c r="Y239" s="43"/>
      <c r="Z239" s="43"/>
      <c r="AA239" s="43"/>
      <c r="AB239" s="43"/>
      <c r="AC239" s="43"/>
    </row>
    <row r="240" spans="2:29" s="214" customFormat="1" ht="10.5" customHeight="1">
      <c r="Y240" s="43"/>
      <c r="Z240" s="43"/>
      <c r="AA240" s="43"/>
      <c r="AB240" s="43"/>
      <c r="AC240" s="43"/>
    </row>
    <row r="241" spans="25:29" s="214" customFormat="1" ht="10.5" customHeight="1">
      <c r="Y241" s="43"/>
      <c r="Z241" s="43"/>
      <c r="AA241" s="43"/>
      <c r="AB241" s="43"/>
      <c r="AC241" s="43"/>
    </row>
    <row r="242" spans="25:29" s="214" customFormat="1" ht="10.5" customHeight="1">
      <c r="Y242" s="43"/>
      <c r="Z242" s="43"/>
      <c r="AA242" s="43"/>
      <c r="AB242" s="43"/>
      <c r="AC242" s="43"/>
    </row>
    <row r="243" spans="25:29" s="214" customFormat="1" ht="10.5" customHeight="1">
      <c r="Y243" s="43"/>
      <c r="Z243" s="43"/>
      <c r="AA243" s="43"/>
      <c r="AB243" s="43"/>
      <c r="AC243" s="43"/>
    </row>
    <row r="244" spans="25:29" s="214" customFormat="1" ht="10.5" customHeight="1">
      <c r="Y244" s="43"/>
      <c r="Z244" s="43"/>
      <c r="AA244" s="43"/>
      <c r="AB244" s="43"/>
      <c r="AC244" s="43"/>
    </row>
    <row r="245" spans="25:29" s="214" customFormat="1" ht="10.5" customHeight="1">
      <c r="Y245" s="43"/>
      <c r="Z245" s="43"/>
      <c r="AA245" s="43"/>
      <c r="AB245" s="43"/>
      <c r="AC245" s="43"/>
    </row>
    <row r="246" spans="25:29" s="214" customFormat="1" ht="10.5" customHeight="1">
      <c r="Y246" s="43"/>
      <c r="Z246" s="43"/>
      <c r="AA246" s="43"/>
      <c r="AB246" s="43"/>
      <c r="AC246" s="43"/>
    </row>
    <row r="247" spans="25:29" s="214" customFormat="1" ht="10.5" customHeight="1">
      <c r="Y247" s="43"/>
      <c r="Z247" s="43"/>
      <c r="AA247" s="43"/>
      <c r="AB247" s="43"/>
      <c r="AC247" s="43"/>
    </row>
    <row r="248" spans="25:29" s="214" customFormat="1" ht="10.5" customHeight="1">
      <c r="Y248" s="43"/>
      <c r="Z248" s="43"/>
      <c r="AA248" s="43"/>
      <c r="AB248" s="43"/>
      <c r="AC248" s="43"/>
    </row>
    <row r="249" spans="25:29" s="214" customFormat="1" ht="10.5" customHeight="1">
      <c r="Y249" s="43"/>
      <c r="Z249" s="43"/>
      <c r="AA249" s="43"/>
      <c r="AB249" s="43"/>
      <c r="AC249" s="43"/>
    </row>
    <row r="250" spans="25:29" s="214" customFormat="1" ht="10.5" customHeight="1">
      <c r="Y250" s="43"/>
      <c r="Z250" s="43"/>
      <c r="AA250" s="43"/>
      <c r="AB250" s="43"/>
      <c r="AC250" s="43"/>
    </row>
    <row r="251" spans="25:29" s="214" customFormat="1" ht="10.5" customHeight="1">
      <c r="Y251" s="43"/>
      <c r="Z251" s="43"/>
      <c r="AA251" s="43"/>
      <c r="AB251" s="43"/>
      <c r="AC251" s="43"/>
    </row>
    <row r="252" spans="25:29" s="214" customFormat="1" ht="10.5" customHeight="1">
      <c r="Y252" s="43"/>
      <c r="Z252" s="43"/>
      <c r="AA252" s="43"/>
      <c r="AB252" s="43"/>
      <c r="AC252" s="43"/>
    </row>
    <row r="253" spans="25:29" s="214" customFormat="1" ht="10.5" customHeight="1">
      <c r="Y253" s="43"/>
      <c r="Z253" s="43"/>
      <c r="AA253" s="43"/>
      <c r="AB253" s="43"/>
      <c r="AC253" s="43"/>
    </row>
    <row r="254" spans="25:29" s="214" customFormat="1" ht="10.5" customHeight="1">
      <c r="Y254" s="43"/>
      <c r="Z254" s="43"/>
      <c r="AA254" s="43"/>
      <c r="AB254" s="43"/>
      <c r="AC254" s="43"/>
    </row>
    <row r="255" spans="25:29" s="214" customFormat="1" ht="10.5" customHeight="1">
      <c r="Y255" s="43"/>
      <c r="Z255" s="43"/>
      <c r="AA255" s="43"/>
      <c r="AB255" s="43"/>
      <c r="AC255" s="43"/>
    </row>
    <row r="256" spans="25:29" s="214" customFormat="1" ht="10.5" customHeight="1">
      <c r="Y256" s="43"/>
      <c r="Z256" s="43"/>
      <c r="AA256" s="43"/>
      <c r="AB256" s="43"/>
      <c r="AC256" s="43"/>
    </row>
    <row r="257" spans="25:29" s="214" customFormat="1" ht="10.5" customHeight="1">
      <c r="Y257" s="43"/>
      <c r="Z257" s="43"/>
      <c r="AA257" s="43"/>
      <c r="AB257" s="43"/>
      <c r="AC257" s="43"/>
    </row>
    <row r="258" spans="25:29" s="214" customFormat="1" ht="10.5" customHeight="1">
      <c r="Y258" s="43"/>
      <c r="Z258" s="43"/>
      <c r="AA258" s="43"/>
      <c r="AB258" s="43"/>
      <c r="AC258" s="43"/>
    </row>
    <row r="259" spans="25:29" s="214" customFormat="1" ht="10.5" customHeight="1">
      <c r="Y259" s="43"/>
      <c r="Z259" s="43"/>
      <c r="AA259" s="43"/>
      <c r="AB259" s="43"/>
      <c r="AC259" s="43"/>
    </row>
    <row r="260" spans="25:29" s="214" customFormat="1" ht="10.5" customHeight="1">
      <c r="Y260" s="43"/>
      <c r="Z260" s="43"/>
      <c r="AA260" s="43"/>
      <c r="AB260" s="43"/>
      <c r="AC260" s="43"/>
    </row>
    <row r="261" spans="25:29" s="214" customFormat="1" ht="10.5" customHeight="1">
      <c r="Y261" s="43"/>
      <c r="Z261" s="43"/>
      <c r="AA261" s="43"/>
      <c r="AB261" s="43"/>
      <c r="AC261" s="43"/>
    </row>
    <row r="262" spans="25:29" s="214" customFormat="1" ht="10.5" customHeight="1">
      <c r="Y262" s="43"/>
      <c r="Z262" s="43"/>
      <c r="AA262" s="43"/>
      <c r="AB262" s="43"/>
      <c r="AC262" s="43"/>
    </row>
    <row r="263" spans="25:29" s="214" customFormat="1" ht="10.5" customHeight="1">
      <c r="Y263" s="43"/>
      <c r="Z263" s="43"/>
      <c r="AA263" s="43"/>
      <c r="AB263" s="43"/>
      <c r="AC263" s="43"/>
    </row>
    <row r="264" spans="25:29" s="214" customFormat="1" ht="10.5" customHeight="1">
      <c r="Y264" s="43"/>
      <c r="Z264" s="43"/>
      <c r="AA264" s="43"/>
      <c r="AB264" s="43"/>
      <c r="AC264" s="43"/>
    </row>
    <row r="265" spans="25:29" s="214" customFormat="1" ht="10.5" customHeight="1">
      <c r="Y265" s="43"/>
      <c r="Z265" s="43"/>
      <c r="AA265" s="43"/>
      <c r="AB265" s="43"/>
      <c r="AC265" s="43"/>
    </row>
    <row r="266" spans="25:29" s="214" customFormat="1" ht="10.5" customHeight="1">
      <c r="Y266" s="43"/>
      <c r="Z266" s="43"/>
      <c r="AA266" s="43"/>
      <c r="AB266" s="43"/>
      <c r="AC266" s="43"/>
    </row>
    <row r="267" spans="25:29" s="214" customFormat="1" ht="10.5" customHeight="1">
      <c r="Y267" s="43"/>
      <c r="Z267" s="43"/>
      <c r="AA267" s="43"/>
      <c r="AB267" s="43"/>
      <c r="AC267" s="43"/>
    </row>
    <row r="268" spans="25:29" s="214" customFormat="1" ht="10.5" customHeight="1">
      <c r="Y268" s="43"/>
      <c r="Z268" s="43"/>
      <c r="AA268" s="43"/>
      <c r="AB268" s="43"/>
      <c r="AC268" s="43"/>
    </row>
    <row r="269" spans="25:29" s="214" customFormat="1" ht="10.5" customHeight="1">
      <c r="Y269" s="43"/>
      <c r="Z269" s="43"/>
      <c r="AA269" s="43"/>
      <c r="AB269" s="43"/>
      <c r="AC269" s="43"/>
    </row>
    <row r="270" spans="25:29" s="214" customFormat="1" ht="10.5" customHeight="1">
      <c r="Y270" s="43"/>
      <c r="Z270" s="43"/>
      <c r="AA270" s="43"/>
      <c r="AB270" s="43"/>
      <c r="AC270" s="43"/>
    </row>
    <row r="271" spans="25:29" s="214" customFormat="1" ht="10.5" customHeight="1">
      <c r="Y271" s="43"/>
      <c r="Z271" s="43"/>
      <c r="AA271" s="43"/>
      <c r="AB271" s="43"/>
      <c r="AC271" s="43"/>
    </row>
    <row r="272" spans="25:29" s="214" customFormat="1" ht="10.5" customHeight="1">
      <c r="Y272" s="43"/>
      <c r="Z272" s="43"/>
      <c r="AA272" s="43"/>
      <c r="AB272" s="43"/>
      <c r="AC272" s="43"/>
    </row>
    <row r="273" spans="25:29" s="214" customFormat="1" ht="10.5" customHeight="1">
      <c r="Y273" s="43"/>
      <c r="Z273" s="43"/>
      <c r="AA273" s="43"/>
      <c r="AB273" s="43"/>
      <c r="AC273" s="43"/>
    </row>
    <row r="274" spans="25:29" s="214" customFormat="1" ht="10.5" customHeight="1">
      <c r="Y274" s="43"/>
      <c r="Z274" s="43"/>
      <c r="AA274" s="43"/>
      <c r="AB274" s="43"/>
      <c r="AC274" s="43"/>
    </row>
    <row r="275" spans="25:29" s="214" customFormat="1" ht="10.5" customHeight="1">
      <c r="Y275" s="43"/>
      <c r="Z275" s="43"/>
      <c r="AA275" s="43"/>
      <c r="AB275" s="43"/>
      <c r="AC275" s="43"/>
    </row>
    <row r="276" spans="25:29" s="214" customFormat="1" ht="10.5" customHeight="1">
      <c r="Y276" s="43"/>
      <c r="Z276" s="43"/>
      <c r="AA276" s="43"/>
      <c r="AB276" s="43"/>
      <c r="AC276" s="43"/>
    </row>
    <row r="277" spans="25:29" s="214" customFormat="1" ht="10.5" customHeight="1">
      <c r="Y277" s="43"/>
      <c r="Z277" s="43"/>
      <c r="AA277" s="43"/>
      <c r="AB277" s="43"/>
      <c r="AC277" s="43"/>
    </row>
    <row r="278" spans="25:29" s="214" customFormat="1" ht="10.5" customHeight="1">
      <c r="Y278" s="43"/>
      <c r="Z278" s="43"/>
      <c r="AA278" s="43"/>
      <c r="AB278" s="43"/>
      <c r="AC278" s="43"/>
    </row>
    <row r="279" spans="25:29" s="214" customFormat="1" ht="10.5" customHeight="1">
      <c r="Y279" s="43"/>
      <c r="Z279" s="43"/>
      <c r="AA279" s="43"/>
      <c r="AB279" s="43"/>
      <c r="AC279" s="43"/>
    </row>
    <row r="280" spans="25:29" s="214" customFormat="1" ht="10.5" customHeight="1">
      <c r="Y280" s="43"/>
      <c r="Z280" s="43"/>
      <c r="AA280" s="43"/>
      <c r="AB280" s="43"/>
      <c r="AC280" s="43"/>
    </row>
    <row r="281" spans="25:29" s="214" customFormat="1" ht="10.5" customHeight="1">
      <c r="Y281" s="43"/>
      <c r="Z281" s="43"/>
      <c r="AA281" s="43"/>
      <c r="AB281" s="43"/>
      <c r="AC281" s="43"/>
    </row>
    <row r="282" spans="25:29" s="214" customFormat="1" ht="10.5" customHeight="1">
      <c r="Y282" s="43"/>
      <c r="Z282" s="43"/>
      <c r="AA282" s="43"/>
      <c r="AB282" s="43"/>
      <c r="AC282" s="43"/>
    </row>
    <row r="283" spans="25:29" s="214" customFormat="1" ht="10.5" customHeight="1">
      <c r="Y283" s="43"/>
      <c r="Z283" s="43"/>
      <c r="AA283" s="43"/>
      <c r="AB283" s="43"/>
      <c r="AC283" s="43"/>
    </row>
    <row r="284" spans="25:29" s="214" customFormat="1" ht="10.5" customHeight="1">
      <c r="Y284" s="43"/>
      <c r="Z284" s="43"/>
      <c r="AA284" s="43"/>
      <c r="AB284" s="43"/>
      <c r="AC284" s="43"/>
    </row>
    <row r="285" spans="25:29" s="214" customFormat="1" ht="10.5" customHeight="1">
      <c r="Y285" s="43"/>
      <c r="Z285" s="43"/>
      <c r="AA285" s="43"/>
      <c r="AB285" s="43"/>
      <c r="AC285" s="43"/>
    </row>
    <row r="286" spans="25:29" s="214" customFormat="1" ht="10.5" customHeight="1">
      <c r="Y286" s="43"/>
      <c r="Z286" s="43"/>
      <c r="AA286" s="43"/>
      <c r="AB286" s="43"/>
      <c r="AC286" s="43"/>
    </row>
    <row r="287" spans="25:29" s="214" customFormat="1" ht="10.5" customHeight="1">
      <c r="Y287" s="43"/>
      <c r="Z287" s="43"/>
      <c r="AA287" s="43"/>
      <c r="AB287" s="43"/>
      <c r="AC287" s="43"/>
    </row>
    <row r="288" spans="25:29" s="214" customFormat="1" ht="10.5" customHeight="1">
      <c r="Y288" s="43"/>
      <c r="Z288" s="43"/>
      <c r="AA288" s="43"/>
      <c r="AB288" s="43"/>
      <c r="AC288" s="43"/>
    </row>
    <row r="289" spans="25:29" s="214" customFormat="1" ht="10.5" customHeight="1">
      <c r="Y289" s="43"/>
      <c r="Z289" s="43"/>
      <c r="AA289" s="43"/>
      <c r="AB289" s="43"/>
      <c r="AC289" s="43"/>
    </row>
    <row r="290" spans="25:29" s="214" customFormat="1" ht="10.5" customHeight="1">
      <c r="Y290" s="43"/>
      <c r="Z290" s="43"/>
      <c r="AA290" s="43"/>
      <c r="AB290" s="43"/>
      <c r="AC290" s="43"/>
    </row>
    <row r="291" spans="25:29" s="214" customFormat="1" ht="10.5" customHeight="1">
      <c r="Y291" s="43"/>
      <c r="Z291" s="43"/>
      <c r="AA291" s="43"/>
      <c r="AB291" s="43"/>
      <c r="AC291" s="43"/>
    </row>
    <row r="292" spans="25:29" s="214" customFormat="1" ht="10.5" customHeight="1">
      <c r="Y292" s="43"/>
      <c r="Z292" s="43"/>
      <c r="AA292" s="43"/>
      <c r="AB292" s="43"/>
      <c r="AC292" s="43"/>
    </row>
    <row r="293" spans="25:29" s="214" customFormat="1" ht="10.5" customHeight="1">
      <c r="Y293" s="43"/>
      <c r="Z293" s="43"/>
      <c r="AA293" s="43"/>
      <c r="AB293" s="43"/>
      <c r="AC293" s="43"/>
    </row>
    <row r="294" spans="25:29" s="214" customFormat="1" ht="10.5" customHeight="1">
      <c r="Y294" s="43"/>
      <c r="Z294" s="43"/>
      <c r="AA294" s="43"/>
      <c r="AB294" s="43"/>
      <c r="AC294" s="43"/>
    </row>
    <row r="295" spans="25:29" s="214" customFormat="1" ht="10.5" customHeight="1">
      <c r="Y295" s="43"/>
      <c r="Z295" s="43"/>
      <c r="AA295" s="43"/>
      <c r="AB295" s="43"/>
      <c r="AC295" s="43"/>
    </row>
    <row r="296" spans="25:29" s="214" customFormat="1" ht="10.5" customHeight="1">
      <c r="Y296" s="43"/>
      <c r="Z296" s="43"/>
      <c r="AA296" s="43"/>
      <c r="AB296" s="43"/>
      <c r="AC296" s="43"/>
    </row>
    <row r="297" spans="25:29" s="214" customFormat="1" ht="10.5" customHeight="1">
      <c r="Y297" s="43"/>
      <c r="Z297" s="43"/>
      <c r="AA297" s="43"/>
      <c r="AB297" s="43"/>
      <c r="AC297" s="43"/>
    </row>
    <row r="298" spans="25:29" s="214" customFormat="1" ht="10.5" customHeight="1">
      <c r="Y298" s="43"/>
      <c r="Z298" s="43"/>
      <c r="AA298" s="43"/>
      <c r="AB298" s="43"/>
      <c r="AC298" s="43"/>
    </row>
    <row r="299" spans="25:29" s="214" customFormat="1" ht="10.5" customHeight="1">
      <c r="Y299" s="43"/>
      <c r="Z299" s="43"/>
      <c r="AA299" s="43"/>
      <c r="AB299" s="43"/>
      <c r="AC299" s="43"/>
    </row>
    <row r="300" spans="25:29" s="214" customFormat="1" ht="10.5" customHeight="1">
      <c r="Y300" s="43"/>
      <c r="Z300" s="43"/>
      <c r="AA300" s="43"/>
      <c r="AB300" s="43"/>
      <c r="AC300" s="43"/>
    </row>
    <row r="301" spans="25:29" s="214" customFormat="1" ht="10.5" customHeight="1">
      <c r="Y301" s="43"/>
      <c r="Z301" s="43"/>
      <c r="AA301" s="43"/>
      <c r="AB301" s="43"/>
      <c r="AC301" s="43"/>
    </row>
    <row r="302" spans="25:29" s="214" customFormat="1" ht="10.5" customHeight="1">
      <c r="Y302" s="43"/>
      <c r="Z302" s="43"/>
      <c r="AA302" s="43"/>
      <c r="AB302" s="43"/>
      <c r="AC302" s="43"/>
    </row>
    <row r="303" spans="25:29" s="214" customFormat="1" ht="10.5" customHeight="1">
      <c r="Y303" s="43"/>
      <c r="Z303" s="43"/>
      <c r="AA303" s="43"/>
      <c r="AB303" s="43"/>
      <c r="AC303" s="43"/>
    </row>
    <row r="304" spans="25:29" s="214" customFormat="1" ht="10.5" customHeight="1">
      <c r="Y304" s="43"/>
      <c r="Z304" s="43"/>
      <c r="AA304" s="43"/>
      <c r="AB304" s="43"/>
      <c r="AC304" s="43"/>
    </row>
    <row r="305" spans="25:29" s="214" customFormat="1" ht="10.5" customHeight="1">
      <c r="Y305" s="43"/>
      <c r="Z305" s="43"/>
      <c r="AA305" s="43"/>
      <c r="AB305" s="43"/>
      <c r="AC305" s="43"/>
    </row>
    <row r="306" spans="25:29" s="214" customFormat="1" ht="10.5" customHeight="1">
      <c r="Y306" s="43"/>
      <c r="Z306" s="43"/>
      <c r="AA306" s="43"/>
      <c r="AB306" s="43"/>
      <c r="AC306" s="43"/>
    </row>
    <row r="307" spans="25:29" s="214" customFormat="1" ht="10.5" customHeight="1">
      <c r="Y307" s="43"/>
      <c r="Z307" s="43"/>
      <c r="AA307" s="43"/>
      <c r="AB307" s="43"/>
      <c r="AC307" s="43"/>
    </row>
    <row r="308" spans="25:29" s="214" customFormat="1" ht="10.5" customHeight="1">
      <c r="Y308" s="43"/>
      <c r="Z308" s="43"/>
      <c r="AA308" s="43"/>
      <c r="AB308" s="43"/>
      <c r="AC308" s="43"/>
    </row>
    <row r="309" spans="25:29" s="214" customFormat="1" ht="10.5" customHeight="1">
      <c r="Y309" s="43"/>
      <c r="Z309" s="43"/>
      <c r="AA309" s="43"/>
      <c r="AB309" s="43"/>
      <c r="AC309" s="43"/>
    </row>
    <row r="310" spans="25:29" s="214" customFormat="1" ht="10.5" customHeight="1">
      <c r="Y310" s="43"/>
      <c r="Z310" s="43"/>
      <c r="AA310" s="43"/>
      <c r="AB310" s="43"/>
      <c r="AC310" s="43"/>
    </row>
    <row r="311" spans="25:29" s="214" customFormat="1" ht="10.5" customHeight="1">
      <c r="Y311" s="43"/>
      <c r="Z311" s="43"/>
      <c r="AA311" s="43"/>
      <c r="AB311" s="43"/>
      <c r="AC311" s="43"/>
    </row>
    <row r="312" spans="25:29" s="214" customFormat="1" ht="10.5" customHeight="1">
      <c r="Y312" s="43"/>
      <c r="Z312" s="43"/>
      <c r="AA312" s="43"/>
      <c r="AB312" s="43"/>
      <c r="AC312" s="43"/>
    </row>
    <row r="313" spans="25:29" s="214" customFormat="1" ht="10.5" customHeight="1">
      <c r="Y313" s="43"/>
      <c r="Z313" s="43"/>
      <c r="AA313" s="43"/>
      <c r="AB313" s="43"/>
      <c r="AC313" s="43"/>
    </row>
    <row r="314" spans="25:29" s="214" customFormat="1" ht="10.5" customHeight="1">
      <c r="Y314" s="43"/>
      <c r="Z314" s="43"/>
      <c r="AA314" s="43"/>
      <c r="AB314" s="43"/>
      <c r="AC314" s="43"/>
    </row>
    <row r="315" spans="25:29" s="214" customFormat="1" ht="10.5" customHeight="1">
      <c r="Y315" s="43"/>
      <c r="Z315" s="43"/>
      <c r="AA315" s="43"/>
      <c r="AB315" s="43"/>
      <c r="AC315" s="43"/>
    </row>
    <row r="316" spans="25:29" s="214" customFormat="1" ht="10.5" customHeight="1">
      <c r="Y316" s="43"/>
      <c r="Z316" s="43"/>
      <c r="AA316" s="43"/>
      <c r="AB316" s="43"/>
      <c r="AC316" s="43"/>
    </row>
    <row r="317" spans="25:29" s="214" customFormat="1" ht="10.5" customHeight="1">
      <c r="Y317" s="43"/>
      <c r="Z317" s="43"/>
      <c r="AA317" s="43"/>
      <c r="AB317" s="43"/>
      <c r="AC317" s="43"/>
    </row>
    <row r="318" spans="25:29" s="214" customFormat="1" ht="10.5" customHeight="1">
      <c r="Y318" s="43"/>
      <c r="Z318" s="43"/>
      <c r="AA318" s="43"/>
      <c r="AB318" s="43"/>
      <c r="AC318" s="43"/>
    </row>
    <row r="319" spans="25:29" s="214" customFormat="1" ht="10.5" customHeight="1">
      <c r="Y319" s="43"/>
      <c r="Z319" s="43"/>
      <c r="AA319" s="43"/>
      <c r="AB319" s="43"/>
      <c r="AC319" s="43"/>
    </row>
    <row r="320" spans="25:29" s="214" customFormat="1" ht="10.5" customHeight="1">
      <c r="Y320" s="43"/>
      <c r="Z320" s="43"/>
      <c r="AA320" s="43"/>
      <c r="AB320" s="43"/>
      <c r="AC320" s="43"/>
    </row>
    <row r="321" spans="25:29" s="214" customFormat="1" ht="10.5" customHeight="1">
      <c r="Y321" s="43"/>
      <c r="Z321" s="43"/>
      <c r="AA321" s="43"/>
      <c r="AB321" s="43"/>
      <c r="AC321" s="43"/>
    </row>
    <row r="322" spans="25:29" s="214" customFormat="1" ht="10.5" customHeight="1">
      <c r="Y322" s="43"/>
      <c r="Z322" s="43"/>
      <c r="AA322" s="43"/>
      <c r="AB322" s="43"/>
      <c r="AC322" s="43"/>
    </row>
    <row r="323" spans="25:29" s="214" customFormat="1" ht="10.5" customHeight="1">
      <c r="Y323" s="43"/>
      <c r="Z323" s="43"/>
      <c r="AA323" s="43"/>
      <c r="AB323" s="43"/>
      <c r="AC323" s="43"/>
    </row>
    <row r="324" spans="25:29" s="214" customFormat="1" ht="10.5" customHeight="1">
      <c r="Y324" s="43"/>
      <c r="Z324" s="43"/>
      <c r="AA324" s="43"/>
      <c r="AB324" s="43"/>
      <c r="AC324" s="43"/>
    </row>
    <row r="325" spans="25:29" s="214" customFormat="1" ht="10.5" customHeight="1">
      <c r="Y325" s="43"/>
      <c r="Z325" s="43"/>
      <c r="AA325" s="43"/>
      <c r="AB325" s="43"/>
      <c r="AC325" s="43"/>
    </row>
    <row r="326" spans="25:29" s="214" customFormat="1" ht="10.5" customHeight="1">
      <c r="Y326" s="43"/>
      <c r="Z326" s="43"/>
      <c r="AA326" s="43"/>
      <c r="AB326" s="43"/>
      <c r="AC326" s="43"/>
    </row>
    <row r="327" spans="25:29" s="214" customFormat="1" ht="10.5" customHeight="1">
      <c r="Y327" s="43"/>
      <c r="Z327" s="43"/>
      <c r="AA327" s="43"/>
      <c r="AB327" s="43"/>
      <c r="AC327" s="43"/>
    </row>
    <row r="328" spans="25:29" s="214" customFormat="1" ht="10.5" customHeight="1">
      <c r="Y328" s="43"/>
      <c r="Z328" s="43"/>
      <c r="AA328" s="43"/>
      <c r="AB328" s="43"/>
      <c r="AC328" s="43"/>
    </row>
    <row r="329" spans="25:29" s="214" customFormat="1" ht="10.5" customHeight="1">
      <c r="Y329" s="43"/>
      <c r="Z329" s="43"/>
      <c r="AA329" s="43"/>
      <c r="AB329" s="43"/>
      <c r="AC329" s="43"/>
    </row>
    <row r="330" spans="25:29" s="214" customFormat="1" ht="10.5" customHeight="1">
      <c r="Y330" s="43"/>
      <c r="Z330" s="43"/>
      <c r="AA330" s="43"/>
      <c r="AB330" s="43"/>
      <c r="AC330" s="43"/>
    </row>
    <row r="331" spans="25:29" s="214" customFormat="1" ht="10.5" customHeight="1">
      <c r="Y331" s="43"/>
      <c r="Z331" s="43"/>
      <c r="AA331" s="43"/>
      <c r="AB331" s="43"/>
      <c r="AC331" s="43"/>
    </row>
    <row r="332" spans="25:29" s="214" customFormat="1" ht="10.5" customHeight="1">
      <c r="Y332" s="43"/>
      <c r="Z332" s="43"/>
      <c r="AA332" s="43"/>
      <c r="AB332" s="43"/>
      <c r="AC332" s="43"/>
    </row>
    <row r="333" spans="25:29" s="214" customFormat="1" ht="10.5" customHeight="1">
      <c r="Y333" s="43"/>
      <c r="Z333" s="43"/>
      <c r="AA333" s="43"/>
      <c r="AB333" s="43"/>
      <c r="AC333" s="43"/>
    </row>
    <row r="334" spans="25:29" s="214" customFormat="1" ht="10.5" customHeight="1">
      <c r="Y334" s="43"/>
      <c r="Z334" s="43"/>
      <c r="AA334" s="43"/>
      <c r="AB334" s="43"/>
      <c r="AC334" s="43"/>
    </row>
    <row r="335" spans="25:29" s="214" customFormat="1" ht="10.5" customHeight="1">
      <c r="Y335" s="43"/>
      <c r="Z335" s="43"/>
      <c r="AA335" s="43"/>
      <c r="AB335" s="43"/>
      <c r="AC335" s="43"/>
    </row>
    <row r="336" spans="25:29" s="214" customFormat="1" ht="10.5" customHeight="1">
      <c r="Y336" s="43"/>
      <c r="Z336" s="43"/>
      <c r="AA336" s="43"/>
      <c r="AB336" s="43"/>
      <c r="AC336" s="43"/>
    </row>
    <row r="337" spans="25:29" s="214" customFormat="1" ht="10.5" customHeight="1">
      <c r="Y337" s="43"/>
      <c r="Z337" s="43"/>
      <c r="AA337" s="43"/>
      <c r="AB337" s="43"/>
      <c r="AC337" s="43"/>
    </row>
    <row r="338" spans="25:29" s="214" customFormat="1" ht="10.5" customHeight="1">
      <c r="Y338" s="43"/>
      <c r="Z338" s="43"/>
      <c r="AA338" s="43"/>
      <c r="AB338" s="43"/>
      <c r="AC338" s="43"/>
    </row>
    <row r="339" spans="25:29" s="214" customFormat="1" ht="10.5" customHeight="1">
      <c r="Y339" s="43"/>
      <c r="Z339" s="43"/>
      <c r="AA339" s="43"/>
      <c r="AB339" s="43"/>
      <c r="AC339" s="43"/>
    </row>
    <row r="340" spans="25:29" s="214" customFormat="1" ht="10.5" customHeight="1">
      <c r="Y340" s="43"/>
      <c r="Z340" s="43"/>
      <c r="AA340" s="43"/>
      <c r="AB340" s="43"/>
      <c r="AC340" s="43"/>
    </row>
    <row r="341" spans="25:29" s="214" customFormat="1" ht="10.5" customHeight="1">
      <c r="Y341" s="43"/>
      <c r="Z341" s="43"/>
      <c r="AA341" s="43"/>
      <c r="AB341" s="43"/>
      <c r="AC341" s="43"/>
    </row>
    <row r="342" spans="25:29" s="214" customFormat="1" ht="10.5" customHeight="1">
      <c r="Y342" s="43"/>
      <c r="Z342" s="43"/>
      <c r="AA342" s="43"/>
      <c r="AB342" s="43"/>
      <c r="AC342" s="43"/>
    </row>
    <row r="343" spans="25:29" s="214" customFormat="1" ht="10.5" customHeight="1">
      <c r="Y343" s="43"/>
      <c r="Z343" s="43"/>
      <c r="AA343" s="43"/>
      <c r="AB343" s="43"/>
      <c r="AC343" s="43"/>
    </row>
    <row r="344" spans="25:29" s="214" customFormat="1" ht="10.5" customHeight="1">
      <c r="Y344" s="43"/>
      <c r="Z344" s="43"/>
      <c r="AA344" s="43"/>
      <c r="AB344" s="43"/>
      <c r="AC344" s="43"/>
    </row>
    <row r="345" spans="25:29" s="214" customFormat="1" ht="10.5" customHeight="1">
      <c r="Y345" s="43"/>
      <c r="Z345" s="43"/>
      <c r="AA345" s="43"/>
      <c r="AB345" s="43"/>
      <c r="AC345" s="43"/>
    </row>
    <row r="346" spans="25:29" s="214" customFormat="1" ht="10.5" customHeight="1">
      <c r="Y346" s="43"/>
      <c r="Z346" s="43"/>
      <c r="AA346" s="43"/>
      <c r="AB346" s="43"/>
      <c r="AC346" s="43"/>
    </row>
    <row r="347" spans="25:29" s="214" customFormat="1" ht="10.5" customHeight="1">
      <c r="Y347" s="43"/>
      <c r="Z347" s="43"/>
      <c r="AA347" s="43"/>
      <c r="AB347" s="43"/>
      <c r="AC347" s="43"/>
    </row>
    <row r="348" spans="25:29" s="214" customFormat="1" ht="10.5" customHeight="1">
      <c r="Y348" s="43"/>
      <c r="Z348" s="43"/>
      <c r="AA348" s="43"/>
      <c r="AB348" s="43"/>
      <c r="AC348" s="43"/>
    </row>
    <row r="349" spans="25:29" s="214" customFormat="1" ht="10.5" customHeight="1">
      <c r="Y349" s="43"/>
      <c r="Z349" s="43"/>
      <c r="AA349" s="43"/>
      <c r="AB349" s="43"/>
      <c r="AC349" s="43"/>
    </row>
    <row r="350" spans="25:29" s="214" customFormat="1" ht="10.5" customHeight="1">
      <c r="Y350" s="43"/>
      <c r="Z350" s="43"/>
      <c r="AA350" s="43"/>
      <c r="AB350" s="43"/>
      <c r="AC350" s="43"/>
    </row>
    <row r="351" spans="25:29" s="214" customFormat="1" ht="10.5" customHeight="1">
      <c r="Y351" s="43"/>
      <c r="Z351" s="43"/>
      <c r="AA351" s="43"/>
      <c r="AB351" s="43"/>
      <c r="AC351" s="43"/>
    </row>
    <row r="352" spans="25:29" s="214" customFormat="1" ht="10.5" customHeight="1">
      <c r="Y352" s="43"/>
      <c r="Z352" s="43"/>
      <c r="AA352" s="43"/>
      <c r="AB352" s="43"/>
      <c r="AC352" s="43"/>
    </row>
    <row r="353" spans="25:29" s="214" customFormat="1" ht="10.5" customHeight="1">
      <c r="Y353" s="43"/>
      <c r="Z353" s="43"/>
      <c r="AA353" s="43"/>
      <c r="AB353" s="43"/>
      <c r="AC353" s="43"/>
    </row>
    <row r="354" spans="25:29" s="214" customFormat="1" ht="10.5" customHeight="1">
      <c r="Y354" s="43"/>
      <c r="Z354" s="43"/>
      <c r="AA354" s="43"/>
      <c r="AB354" s="43"/>
      <c r="AC354" s="43"/>
    </row>
    <row r="355" spans="25:29" s="214" customFormat="1" ht="10.5" customHeight="1">
      <c r="Y355" s="43"/>
      <c r="Z355" s="43"/>
      <c r="AA355" s="43"/>
      <c r="AB355" s="43"/>
      <c r="AC355" s="43"/>
    </row>
    <row r="356" spans="25:29" s="214" customFormat="1" ht="10.5" customHeight="1">
      <c r="Y356" s="43"/>
      <c r="Z356" s="43"/>
      <c r="AA356" s="43"/>
      <c r="AB356" s="43"/>
      <c r="AC356" s="43"/>
    </row>
    <row r="357" spans="25:29" s="214" customFormat="1" ht="10.5" customHeight="1">
      <c r="Y357" s="43"/>
      <c r="Z357" s="43"/>
      <c r="AA357" s="43"/>
      <c r="AB357" s="43"/>
      <c r="AC357" s="43"/>
    </row>
    <row r="358" spans="25:29" s="214" customFormat="1" ht="10.5" customHeight="1">
      <c r="Y358" s="43"/>
      <c r="Z358" s="43"/>
      <c r="AA358" s="43"/>
      <c r="AB358" s="43"/>
      <c r="AC358" s="43"/>
    </row>
    <row r="359" spans="25:29" s="214" customFormat="1" ht="10.5" customHeight="1">
      <c r="Y359" s="43"/>
      <c r="Z359" s="43"/>
      <c r="AA359" s="43"/>
      <c r="AB359" s="43"/>
      <c r="AC359" s="43"/>
    </row>
    <row r="360" spans="25:29" s="214" customFormat="1" ht="10.5" customHeight="1">
      <c r="Y360" s="43"/>
      <c r="Z360" s="43"/>
      <c r="AA360" s="43"/>
      <c r="AB360" s="43"/>
      <c r="AC360" s="43"/>
    </row>
    <row r="361" spans="25:29" s="214" customFormat="1" ht="10.5" customHeight="1">
      <c r="Y361" s="43"/>
      <c r="Z361" s="43"/>
      <c r="AA361" s="43"/>
      <c r="AB361" s="43"/>
      <c r="AC361" s="43"/>
    </row>
    <row r="362" spans="25:29" s="214" customFormat="1" ht="10.5" customHeight="1">
      <c r="Y362" s="43"/>
      <c r="Z362" s="43"/>
      <c r="AA362" s="43"/>
      <c r="AB362" s="43"/>
      <c r="AC362" s="43"/>
    </row>
    <row r="363" spans="25:29" s="214" customFormat="1" ht="10.5" customHeight="1">
      <c r="Y363" s="43"/>
      <c r="Z363" s="43"/>
      <c r="AA363" s="43"/>
      <c r="AB363" s="43"/>
      <c r="AC363" s="43"/>
    </row>
    <row r="364" spans="25:29" s="214" customFormat="1" ht="10.5" customHeight="1">
      <c r="Y364" s="43"/>
      <c r="Z364" s="43"/>
      <c r="AA364" s="43"/>
      <c r="AB364" s="43"/>
      <c r="AC364" s="43"/>
    </row>
    <row r="365" spans="25:29" s="214" customFormat="1" ht="10.5" customHeight="1">
      <c r="Y365" s="43"/>
      <c r="Z365" s="43"/>
      <c r="AA365" s="43"/>
      <c r="AB365" s="43"/>
      <c r="AC365" s="43"/>
    </row>
    <row r="366" spans="25:29" s="214" customFormat="1" ht="10.5" customHeight="1">
      <c r="Y366" s="43"/>
      <c r="Z366" s="43"/>
      <c r="AA366" s="43"/>
      <c r="AB366" s="43"/>
      <c r="AC366" s="43"/>
    </row>
    <row r="367" spans="25:29" s="214" customFormat="1" ht="10.5" customHeight="1">
      <c r="Y367" s="43"/>
      <c r="Z367" s="43"/>
      <c r="AA367" s="43"/>
      <c r="AB367" s="43"/>
      <c r="AC367" s="43"/>
    </row>
    <row r="368" spans="25:29" s="214" customFormat="1" ht="10.5" customHeight="1">
      <c r="Y368" s="43"/>
      <c r="Z368" s="43"/>
      <c r="AA368" s="43"/>
      <c r="AB368" s="43"/>
      <c r="AC368" s="43"/>
    </row>
    <row r="369" spans="25:29" s="214" customFormat="1" ht="10.5" customHeight="1">
      <c r="Y369" s="43"/>
      <c r="Z369" s="43"/>
      <c r="AA369" s="43"/>
      <c r="AB369" s="43"/>
      <c r="AC369" s="43"/>
    </row>
    <row r="370" spans="25:29" s="214" customFormat="1" ht="10.5" customHeight="1">
      <c r="Y370" s="43"/>
      <c r="Z370" s="43"/>
      <c r="AA370" s="43"/>
      <c r="AB370" s="43"/>
      <c r="AC370" s="43"/>
    </row>
    <row r="371" spans="25:29" s="214" customFormat="1" ht="10.5" customHeight="1">
      <c r="Y371" s="43"/>
      <c r="Z371" s="43"/>
      <c r="AA371" s="43"/>
      <c r="AB371" s="43"/>
      <c r="AC371" s="43"/>
    </row>
    <row r="372" spans="25:29" s="214" customFormat="1" ht="10.5" customHeight="1">
      <c r="Y372" s="43"/>
      <c r="Z372" s="43"/>
      <c r="AA372" s="43"/>
      <c r="AB372" s="43"/>
      <c r="AC372" s="43"/>
    </row>
    <row r="373" spans="25:29" s="214" customFormat="1" ht="10.5" customHeight="1">
      <c r="Y373" s="43"/>
      <c r="Z373" s="43"/>
      <c r="AA373" s="43"/>
      <c r="AB373" s="43"/>
      <c r="AC373" s="43"/>
    </row>
    <row r="374" spans="25:29" s="214" customFormat="1" ht="10.5" customHeight="1">
      <c r="Y374" s="43"/>
      <c r="Z374" s="43"/>
      <c r="AA374" s="43"/>
      <c r="AB374" s="43"/>
      <c r="AC374" s="43"/>
    </row>
    <row r="375" spans="25:29" s="214" customFormat="1" ht="10.5" customHeight="1">
      <c r="Y375" s="43"/>
      <c r="Z375" s="43"/>
      <c r="AA375" s="43"/>
      <c r="AB375" s="43"/>
      <c r="AC375" s="43"/>
    </row>
    <row r="376" spans="25:29" s="214" customFormat="1" ht="10.5" customHeight="1">
      <c r="Y376" s="43"/>
      <c r="Z376" s="43"/>
      <c r="AA376" s="43"/>
      <c r="AB376" s="43"/>
      <c r="AC376" s="43"/>
    </row>
    <row r="377" spans="25:29" s="214" customFormat="1" ht="10.5" customHeight="1">
      <c r="Y377" s="43"/>
      <c r="Z377" s="43"/>
      <c r="AA377" s="43"/>
      <c r="AB377" s="43"/>
      <c r="AC377" s="43"/>
    </row>
    <row r="378" spans="25:29" s="214" customFormat="1" ht="10.5" customHeight="1">
      <c r="Y378" s="43"/>
      <c r="Z378" s="43"/>
      <c r="AA378" s="43"/>
      <c r="AB378" s="43"/>
      <c r="AC378" s="43"/>
    </row>
    <row r="379" spans="25:29" s="214" customFormat="1" ht="10.5" customHeight="1">
      <c r="Y379" s="43"/>
      <c r="Z379" s="43"/>
      <c r="AA379" s="43"/>
      <c r="AB379" s="43"/>
      <c r="AC379" s="43"/>
    </row>
    <row r="380" spans="25:29" s="214" customFormat="1" ht="10.5" customHeight="1">
      <c r="Y380" s="43"/>
      <c r="Z380" s="43"/>
      <c r="AA380" s="43"/>
      <c r="AB380" s="43"/>
      <c r="AC380" s="43"/>
    </row>
    <row r="381" spans="25:29" s="214" customFormat="1" ht="10.5" customHeight="1">
      <c r="Y381" s="43"/>
      <c r="Z381" s="43"/>
      <c r="AA381" s="43"/>
      <c r="AB381" s="43"/>
      <c r="AC381" s="43"/>
    </row>
    <row r="382" spans="25:29" s="214" customFormat="1" ht="10.5" customHeight="1">
      <c r="Y382" s="43"/>
      <c r="Z382" s="43"/>
      <c r="AA382" s="43"/>
      <c r="AB382" s="43"/>
      <c r="AC382" s="43"/>
    </row>
    <row r="383" spans="25:29" s="214" customFormat="1" ht="10.5" customHeight="1">
      <c r="Y383" s="43"/>
      <c r="Z383" s="43"/>
      <c r="AA383" s="43"/>
      <c r="AB383" s="43"/>
      <c r="AC383" s="43"/>
    </row>
    <row r="384" spans="25:29" s="214" customFormat="1" ht="10.5" customHeight="1">
      <c r="Y384" s="43"/>
      <c r="Z384" s="43"/>
      <c r="AA384" s="43"/>
      <c r="AB384" s="43"/>
      <c r="AC384" s="43"/>
    </row>
    <row r="385" spans="25:29" s="214" customFormat="1" ht="10.5" customHeight="1">
      <c r="Y385" s="43"/>
      <c r="Z385" s="43"/>
      <c r="AA385" s="43"/>
      <c r="AB385" s="43"/>
      <c r="AC385" s="43"/>
    </row>
    <row r="386" spans="25:29" s="214" customFormat="1" ht="10.5" customHeight="1">
      <c r="Y386" s="43"/>
      <c r="Z386" s="43"/>
      <c r="AA386" s="43"/>
      <c r="AB386" s="43"/>
      <c r="AC386" s="43"/>
    </row>
    <row r="387" spans="25:29" s="214" customFormat="1" ht="10.5" customHeight="1">
      <c r="Y387" s="43"/>
      <c r="Z387" s="43"/>
      <c r="AA387" s="43"/>
      <c r="AB387" s="43"/>
      <c r="AC387" s="43"/>
    </row>
    <row r="388" spans="25:29" s="214" customFormat="1" ht="10.5" customHeight="1">
      <c r="Y388" s="43"/>
      <c r="Z388" s="43"/>
      <c r="AA388" s="43"/>
      <c r="AB388" s="43"/>
      <c r="AC388" s="43"/>
    </row>
    <row r="389" spans="25:29" s="214" customFormat="1" ht="10.5" customHeight="1">
      <c r="Y389" s="43"/>
      <c r="Z389" s="43"/>
      <c r="AA389" s="43"/>
      <c r="AB389" s="43"/>
      <c r="AC389" s="43"/>
    </row>
    <row r="390" spans="25:29" s="214" customFormat="1" ht="10.5" customHeight="1">
      <c r="Y390" s="43"/>
      <c r="Z390" s="43"/>
      <c r="AA390" s="43"/>
      <c r="AB390" s="43"/>
      <c r="AC390" s="43"/>
    </row>
    <row r="391" spans="25:29" s="214" customFormat="1" ht="10.5" customHeight="1">
      <c r="Y391" s="43"/>
      <c r="Z391" s="43"/>
      <c r="AA391" s="43"/>
      <c r="AB391" s="43"/>
      <c r="AC391" s="43"/>
    </row>
    <row r="392" spans="25:29" s="214" customFormat="1" ht="10.5" customHeight="1">
      <c r="Y392" s="43"/>
      <c r="Z392" s="43"/>
      <c r="AA392" s="43"/>
      <c r="AB392" s="43"/>
      <c r="AC392" s="43"/>
    </row>
    <row r="393" spans="25:29" s="214" customFormat="1" ht="10.5" customHeight="1">
      <c r="Y393" s="43"/>
      <c r="Z393" s="43"/>
      <c r="AA393" s="43"/>
      <c r="AB393" s="43"/>
      <c r="AC393" s="43"/>
    </row>
    <row r="394" spans="25:29" s="214" customFormat="1" ht="10.5" customHeight="1">
      <c r="Y394" s="43"/>
      <c r="Z394" s="43"/>
      <c r="AA394" s="43"/>
      <c r="AB394" s="43"/>
      <c r="AC394" s="43"/>
    </row>
    <row r="395" spans="25:29" s="214" customFormat="1" ht="10.5" customHeight="1">
      <c r="Y395" s="43"/>
      <c r="Z395" s="43"/>
      <c r="AA395" s="43"/>
      <c r="AB395" s="43"/>
      <c r="AC395" s="43"/>
    </row>
    <row r="396" spans="25:29" s="214" customFormat="1" ht="10.5" customHeight="1">
      <c r="Y396" s="43"/>
      <c r="Z396" s="43"/>
      <c r="AA396" s="43"/>
      <c r="AB396" s="43"/>
      <c r="AC396" s="43"/>
    </row>
    <row r="397" spans="25:29" s="214" customFormat="1" ht="10.5" customHeight="1">
      <c r="Y397" s="43"/>
      <c r="Z397" s="43"/>
      <c r="AA397" s="43"/>
      <c r="AB397" s="43"/>
      <c r="AC397" s="43"/>
    </row>
    <row r="398" spans="25:29" s="214" customFormat="1" ht="10.5" customHeight="1">
      <c r="Y398" s="43"/>
      <c r="Z398" s="43"/>
      <c r="AA398" s="43"/>
      <c r="AB398" s="43"/>
      <c r="AC398" s="43"/>
    </row>
    <row r="399" spans="25:29" s="214" customFormat="1" ht="10.5" customHeight="1">
      <c r="Y399" s="43"/>
      <c r="Z399" s="43"/>
      <c r="AA399" s="43"/>
      <c r="AB399" s="43"/>
      <c r="AC399" s="43"/>
    </row>
    <row r="400" spans="25:29" s="214" customFormat="1" ht="10.5" customHeight="1">
      <c r="Y400" s="43"/>
      <c r="Z400" s="43"/>
      <c r="AA400" s="43"/>
      <c r="AB400" s="43"/>
      <c r="AC400" s="43"/>
    </row>
    <row r="401" spans="25:29" s="214" customFormat="1" ht="10.5" customHeight="1">
      <c r="Y401" s="43"/>
      <c r="Z401" s="43"/>
      <c r="AA401" s="43"/>
      <c r="AB401" s="43"/>
      <c r="AC401" s="43"/>
    </row>
    <row r="402" spans="25:29" s="214" customFormat="1" ht="10.5" customHeight="1">
      <c r="Y402" s="43"/>
      <c r="Z402" s="43"/>
      <c r="AA402" s="43"/>
      <c r="AB402" s="43"/>
      <c r="AC402" s="43"/>
    </row>
    <row r="403" spans="25:29" s="214" customFormat="1" ht="10.5" customHeight="1">
      <c r="Y403" s="43"/>
      <c r="Z403" s="43"/>
      <c r="AA403" s="43"/>
      <c r="AB403" s="43"/>
      <c r="AC403" s="43"/>
    </row>
    <row r="404" spans="25:29" s="214" customFormat="1" ht="10.5" customHeight="1">
      <c r="Y404" s="43"/>
      <c r="Z404" s="43"/>
      <c r="AA404" s="43"/>
      <c r="AB404" s="43"/>
      <c r="AC404" s="43"/>
    </row>
    <row r="405" spans="25:29" s="214" customFormat="1" ht="10.5" customHeight="1">
      <c r="Y405" s="43"/>
      <c r="Z405" s="43"/>
      <c r="AA405" s="43"/>
      <c r="AB405" s="43"/>
      <c r="AC405" s="43"/>
    </row>
    <row r="406" spans="25:29" s="214" customFormat="1" ht="10.5" customHeight="1">
      <c r="Y406" s="43"/>
      <c r="Z406" s="43"/>
      <c r="AA406" s="43"/>
      <c r="AB406" s="43"/>
      <c r="AC406" s="43"/>
    </row>
    <row r="407" spans="25:29" s="214" customFormat="1" ht="10.5" customHeight="1">
      <c r="Y407" s="43"/>
      <c r="Z407" s="43"/>
      <c r="AA407" s="43"/>
      <c r="AB407" s="43"/>
      <c r="AC407" s="43"/>
    </row>
    <row r="408" spans="25:29" s="214" customFormat="1" ht="10.5" customHeight="1">
      <c r="Y408" s="43"/>
      <c r="Z408" s="43"/>
      <c r="AA408" s="43"/>
      <c r="AB408" s="43"/>
      <c r="AC408" s="43"/>
    </row>
    <row r="409" spans="25:29" s="214" customFormat="1" ht="10.5" customHeight="1">
      <c r="Y409" s="43"/>
      <c r="Z409" s="43"/>
      <c r="AA409" s="43"/>
      <c r="AB409" s="43"/>
      <c r="AC409" s="43"/>
    </row>
    <row r="410" spans="25:29" s="214" customFormat="1" ht="10.5" customHeight="1">
      <c r="Y410" s="43"/>
      <c r="Z410" s="43"/>
      <c r="AA410" s="43"/>
      <c r="AB410" s="43"/>
      <c r="AC410" s="43"/>
    </row>
    <row r="411" spans="25:29" s="214" customFormat="1" ht="10.5" customHeight="1">
      <c r="Y411" s="43"/>
      <c r="Z411" s="43"/>
      <c r="AA411" s="43"/>
      <c r="AB411" s="43"/>
      <c r="AC411" s="43"/>
    </row>
    <row r="412" spans="25:29" s="214" customFormat="1" ht="10.5" customHeight="1">
      <c r="Y412" s="43"/>
      <c r="Z412" s="43"/>
      <c r="AA412" s="43"/>
      <c r="AB412" s="43"/>
      <c r="AC412" s="43"/>
    </row>
    <row r="413" spans="25:29" s="214" customFormat="1" ht="10.5" customHeight="1">
      <c r="Y413" s="43"/>
      <c r="Z413" s="43"/>
      <c r="AA413" s="43"/>
      <c r="AB413" s="43"/>
      <c r="AC413" s="43"/>
    </row>
    <row r="414" spans="25:29" s="214" customFormat="1" ht="10.5" customHeight="1">
      <c r="Y414" s="43"/>
      <c r="Z414" s="43"/>
      <c r="AA414" s="43"/>
      <c r="AB414" s="43"/>
      <c r="AC414" s="43"/>
    </row>
    <row r="415" spans="25:29" s="214" customFormat="1" ht="10.5" customHeight="1">
      <c r="Y415" s="43"/>
      <c r="Z415" s="43"/>
      <c r="AA415" s="43"/>
      <c r="AB415" s="43"/>
      <c r="AC415" s="43"/>
    </row>
    <row r="416" spans="25:29" s="214" customFormat="1" ht="10.5" customHeight="1">
      <c r="Y416" s="43"/>
      <c r="Z416" s="43"/>
      <c r="AA416" s="43"/>
      <c r="AB416" s="43"/>
      <c r="AC416" s="43"/>
    </row>
    <row r="417" spans="25:29" s="214" customFormat="1" ht="10.5" customHeight="1">
      <c r="Y417" s="43"/>
      <c r="Z417" s="43"/>
      <c r="AA417" s="43"/>
      <c r="AB417" s="43"/>
      <c r="AC417" s="43"/>
    </row>
    <row r="418" spans="25:29" s="214" customFormat="1" ht="10.5" customHeight="1">
      <c r="Y418" s="43"/>
      <c r="Z418" s="43"/>
      <c r="AA418" s="43"/>
      <c r="AB418" s="43"/>
      <c r="AC418" s="43"/>
    </row>
    <row r="419" spans="25:29" s="214" customFormat="1" ht="10.5" customHeight="1">
      <c r="Y419" s="43"/>
      <c r="Z419" s="43"/>
      <c r="AA419" s="43"/>
      <c r="AB419" s="43"/>
      <c r="AC419" s="43"/>
    </row>
    <row r="420" spans="25:29" s="214" customFormat="1" ht="10.5" customHeight="1">
      <c r="Y420" s="43"/>
      <c r="Z420" s="43"/>
      <c r="AA420" s="43"/>
      <c r="AB420" s="43"/>
      <c r="AC420" s="43"/>
    </row>
    <row r="421" spans="25:29" s="214" customFormat="1" ht="10.5" customHeight="1">
      <c r="Y421" s="43"/>
      <c r="Z421" s="43"/>
      <c r="AA421" s="43"/>
      <c r="AB421" s="43"/>
      <c r="AC421" s="43"/>
    </row>
    <row r="422" spans="25:29" s="214" customFormat="1" ht="10.5" customHeight="1">
      <c r="Y422" s="43"/>
      <c r="Z422" s="43"/>
      <c r="AA422" s="43"/>
      <c r="AB422" s="43"/>
      <c r="AC422" s="43"/>
    </row>
    <row r="423" spans="25:29" s="214" customFormat="1" ht="10.5" customHeight="1">
      <c r="Y423" s="43"/>
      <c r="Z423" s="43"/>
      <c r="AA423" s="43"/>
      <c r="AB423" s="43"/>
      <c r="AC423" s="43"/>
    </row>
    <row r="424" spans="25:29" s="214" customFormat="1" ht="10.5" customHeight="1">
      <c r="Y424" s="43"/>
      <c r="Z424" s="43"/>
      <c r="AA424" s="43"/>
      <c r="AB424" s="43"/>
      <c r="AC424" s="43"/>
    </row>
    <row r="425" spans="25:29" s="214" customFormat="1" ht="10.5" customHeight="1">
      <c r="Y425" s="43"/>
      <c r="Z425" s="43"/>
      <c r="AA425" s="43"/>
      <c r="AB425" s="43"/>
      <c r="AC425" s="43"/>
    </row>
    <row r="426" spans="25:29" s="214" customFormat="1" ht="10.5" customHeight="1">
      <c r="Y426" s="43"/>
      <c r="Z426" s="43"/>
      <c r="AA426" s="43"/>
      <c r="AB426" s="43"/>
      <c r="AC426" s="43"/>
    </row>
    <row r="427" spans="25:29" s="214" customFormat="1" ht="10.5" customHeight="1">
      <c r="Y427" s="43"/>
      <c r="Z427" s="43"/>
      <c r="AA427" s="43"/>
      <c r="AB427" s="43"/>
      <c r="AC427" s="43"/>
    </row>
    <row r="428" spans="25:29" s="214" customFormat="1" ht="10.5" customHeight="1">
      <c r="Y428" s="43"/>
      <c r="Z428" s="43"/>
      <c r="AA428" s="43"/>
      <c r="AB428" s="43"/>
      <c r="AC428" s="43"/>
    </row>
    <row r="429" spans="25:29" s="214" customFormat="1" ht="10.5" customHeight="1">
      <c r="Y429" s="43"/>
      <c r="Z429" s="43"/>
      <c r="AA429" s="43"/>
      <c r="AB429" s="43"/>
      <c r="AC429" s="43"/>
    </row>
    <row r="430" spans="25:29" s="214" customFormat="1" ht="10.5" customHeight="1">
      <c r="Y430" s="43"/>
      <c r="Z430" s="43"/>
      <c r="AA430" s="43"/>
      <c r="AB430" s="43"/>
      <c r="AC430" s="43"/>
    </row>
    <row r="431" spans="25:29" s="214" customFormat="1" ht="10.5" customHeight="1">
      <c r="Y431" s="43"/>
      <c r="Z431" s="43"/>
      <c r="AA431" s="43"/>
      <c r="AB431" s="43"/>
      <c r="AC431" s="43"/>
    </row>
    <row r="432" spans="25:29" s="214" customFormat="1" ht="10.5" customHeight="1">
      <c r="Y432" s="43"/>
      <c r="Z432" s="43"/>
      <c r="AA432" s="43"/>
      <c r="AB432" s="43"/>
      <c r="AC432" s="43"/>
    </row>
    <row r="433" spans="25:29" s="214" customFormat="1" ht="10.5" customHeight="1">
      <c r="Y433" s="43"/>
      <c r="Z433" s="43"/>
      <c r="AA433" s="43"/>
      <c r="AB433" s="43"/>
      <c r="AC433" s="43"/>
    </row>
    <row r="434" spans="25:29" s="214" customFormat="1" ht="10.5" customHeight="1">
      <c r="Y434" s="43"/>
      <c r="Z434" s="43"/>
      <c r="AA434" s="43"/>
      <c r="AB434" s="43"/>
      <c r="AC434" s="43"/>
    </row>
    <row r="435" spans="25:29" s="214" customFormat="1" ht="10.5" customHeight="1">
      <c r="Y435" s="43"/>
      <c r="Z435" s="43"/>
      <c r="AA435" s="43"/>
      <c r="AB435" s="43"/>
      <c r="AC435" s="43"/>
    </row>
    <row r="436" spans="25:29" s="214" customFormat="1" ht="10.5" customHeight="1">
      <c r="Y436" s="43"/>
      <c r="Z436" s="43"/>
      <c r="AA436" s="43"/>
      <c r="AB436" s="43"/>
      <c r="AC436" s="43"/>
    </row>
    <row r="437" spans="25:29" s="214" customFormat="1" ht="10.5" customHeight="1">
      <c r="Y437" s="43"/>
      <c r="Z437" s="43"/>
      <c r="AA437" s="43"/>
      <c r="AB437" s="43"/>
      <c r="AC437" s="43"/>
    </row>
    <row r="438" spans="25:29" s="214" customFormat="1" ht="10.5" customHeight="1">
      <c r="Y438" s="43"/>
      <c r="Z438" s="43"/>
      <c r="AA438" s="43"/>
      <c r="AB438" s="43"/>
      <c r="AC438" s="43"/>
    </row>
    <row r="439" spans="25:29" s="214" customFormat="1" ht="10.5" customHeight="1">
      <c r="Y439" s="43"/>
      <c r="Z439" s="43"/>
      <c r="AA439" s="43"/>
      <c r="AB439" s="43"/>
      <c r="AC439" s="43"/>
    </row>
    <row r="440" spans="25:29" s="214" customFormat="1" ht="10.5" customHeight="1">
      <c r="Y440" s="43"/>
      <c r="Z440" s="43"/>
      <c r="AA440" s="43"/>
      <c r="AB440" s="43"/>
      <c r="AC440" s="43"/>
    </row>
    <row r="441" spans="25:29" s="214" customFormat="1" ht="10.5" customHeight="1">
      <c r="Y441" s="43"/>
      <c r="Z441" s="43"/>
      <c r="AA441" s="43"/>
      <c r="AB441" s="43"/>
      <c r="AC441" s="43"/>
    </row>
    <row r="442" spans="25:29" s="214" customFormat="1" ht="10.5" customHeight="1">
      <c r="Y442" s="43"/>
      <c r="Z442" s="43"/>
      <c r="AA442" s="43"/>
      <c r="AB442" s="43"/>
      <c r="AC442" s="43"/>
    </row>
    <row r="443" spans="25:29" s="214" customFormat="1" ht="10.5" customHeight="1">
      <c r="Y443" s="43"/>
      <c r="Z443" s="43"/>
      <c r="AA443" s="43"/>
      <c r="AB443" s="43"/>
      <c r="AC443" s="43"/>
    </row>
    <row r="444" spans="25:29" s="214" customFormat="1" ht="10.5" customHeight="1">
      <c r="Y444" s="43"/>
      <c r="Z444" s="43"/>
      <c r="AA444" s="43"/>
      <c r="AB444" s="43"/>
      <c r="AC444" s="43"/>
    </row>
    <row r="445" spans="25:29" s="214" customFormat="1" ht="10.5" customHeight="1">
      <c r="Y445" s="43"/>
      <c r="Z445" s="43"/>
      <c r="AA445" s="43"/>
      <c r="AB445" s="43"/>
      <c r="AC445" s="43"/>
    </row>
    <row r="446" spans="25:29" s="214" customFormat="1" ht="10.5" customHeight="1">
      <c r="Y446" s="43"/>
      <c r="Z446" s="43"/>
      <c r="AA446" s="43"/>
      <c r="AB446" s="43"/>
      <c r="AC446" s="43"/>
    </row>
    <row r="447" spans="25:29" s="214" customFormat="1" ht="10.5" customHeight="1">
      <c r="Y447" s="43"/>
      <c r="Z447" s="43"/>
      <c r="AA447" s="43"/>
      <c r="AB447" s="43"/>
      <c r="AC447" s="43"/>
    </row>
    <row r="448" spans="25:29" s="214" customFormat="1" ht="10.5" customHeight="1">
      <c r="Y448" s="43"/>
      <c r="Z448" s="43"/>
      <c r="AA448" s="43"/>
      <c r="AB448" s="43"/>
      <c r="AC448" s="43"/>
    </row>
    <row r="449" spans="25:29" s="214" customFormat="1" ht="10.5" customHeight="1">
      <c r="Y449" s="43"/>
      <c r="Z449" s="43"/>
      <c r="AA449" s="43"/>
      <c r="AB449" s="43"/>
      <c r="AC449" s="43"/>
    </row>
    <row r="450" spans="25:29" s="214" customFormat="1" ht="10.5" customHeight="1">
      <c r="Y450" s="43"/>
      <c r="Z450" s="43"/>
      <c r="AA450" s="43"/>
      <c r="AB450" s="43"/>
      <c r="AC450" s="43"/>
    </row>
    <row r="451" spans="25:29" s="214" customFormat="1" ht="10.5" customHeight="1">
      <c r="Y451" s="43"/>
      <c r="Z451" s="43"/>
      <c r="AA451" s="43"/>
      <c r="AB451" s="43"/>
      <c r="AC451" s="43"/>
    </row>
    <row r="452" spans="25:29" s="214" customFormat="1" ht="10.5" customHeight="1">
      <c r="Y452" s="43"/>
      <c r="Z452" s="43"/>
      <c r="AA452" s="43"/>
      <c r="AB452" s="43"/>
      <c r="AC452" s="43"/>
    </row>
    <row r="453" spans="25:29" s="214" customFormat="1" ht="10.5" customHeight="1">
      <c r="Y453" s="43"/>
      <c r="Z453" s="43"/>
      <c r="AA453" s="43"/>
      <c r="AB453" s="43"/>
      <c r="AC453" s="43"/>
    </row>
    <row r="454" spans="25:29" s="214" customFormat="1" ht="10.5" customHeight="1">
      <c r="Y454" s="43"/>
      <c r="Z454" s="43"/>
      <c r="AA454" s="43"/>
      <c r="AB454" s="43"/>
      <c r="AC454" s="43"/>
    </row>
    <row r="455" spans="25:29" s="214" customFormat="1" ht="10.5" customHeight="1">
      <c r="Y455" s="43"/>
      <c r="Z455" s="43"/>
      <c r="AA455" s="43"/>
      <c r="AB455" s="43"/>
      <c r="AC455" s="43"/>
    </row>
    <row r="456" spans="25:29" s="214" customFormat="1" ht="10.5" customHeight="1">
      <c r="Y456" s="43"/>
      <c r="Z456" s="43"/>
      <c r="AA456" s="43"/>
      <c r="AB456" s="43"/>
      <c r="AC456" s="43"/>
    </row>
    <row r="457" spans="25:29" s="214" customFormat="1" ht="10.5" customHeight="1">
      <c r="Y457" s="43"/>
      <c r="Z457" s="43"/>
      <c r="AA457" s="43"/>
      <c r="AB457" s="43"/>
      <c r="AC457" s="43"/>
    </row>
    <row r="458" spans="25:29" s="214" customFormat="1" ht="10.5" customHeight="1">
      <c r="Y458" s="43"/>
      <c r="Z458" s="43"/>
      <c r="AA458" s="43"/>
      <c r="AB458" s="43"/>
      <c r="AC458" s="43"/>
    </row>
    <row r="459" spans="25:29" s="214" customFormat="1" ht="10.5" customHeight="1">
      <c r="Y459" s="43"/>
      <c r="Z459" s="43"/>
      <c r="AA459" s="43"/>
      <c r="AB459" s="43"/>
      <c r="AC459" s="43"/>
    </row>
    <row r="460" spans="25:29" s="214" customFormat="1" ht="10.5" customHeight="1">
      <c r="Y460" s="43"/>
      <c r="Z460" s="43"/>
      <c r="AA460" s="43"/>
      <c r="AB460" s="43"/>
      <c r="AC460" s="43"/>
    </row>
    <row r="461" spans="25:29" s="214" customFormat="1" ht="10.5" customHeight="1">
      <c r="Y461" s="43"/>
      <c r="Z461" s="43"/>
      <c r="AA461" s="43"/>
      <c r="AB461" s="43"/>
      <c r="AC461" s="43"/>
    </row>
    <row r="462" spans="25:29" s="214" customFormat="1" ht="10.5" customHeight="1">
      <c r="Y462" s="43"/>
      <c r="Z462" s="43"/>
      <c r="AA462" s="43"/>
      <c r="AB462" s="43"/>
      <c r="AC462" s="43"/>
    </row>
    <row r="463" spans="25:29" s="214" customFormat="1" ht="10.5" customHeight="1">
      <c r="Y463" s="43"/>
      <c r="Z463" s="43"/>
      <c r="AA463" s="43"/>
      <c r="AB463" s="43"/>
      <c r="AC463" s="43"/>
    </row>
    <row r="464" spans="25:29" s="214" customFormat="1" ht="10.5" customHeight="1">
      <c r="Y464" s="43"/>
      <c r="Z464" s="43"/>
      <c r="AA464" s="43"/>
      <c r="AB464" s="43"/>
      <c r="AC464" s="43"/>
    </row>
    <row r="465" spans="25:29" s="214" customFormat="1" ht="10.5" customHeight="1">
      <c r="Y465" s="43"/>
      <c r="Z465" s="43"/>
      <c r="AA465" s="43"/>
      <c r="AB465" s="43"/>
      <c r="AC465" s="43"/>
    </row>
    <row r="466" spans="25:29" s="214" customFormat="1" ht="10.5" customHeight="1">
      <c r="Y466" s="43"/>
      <c r="Z466" s="43"/>
      <c r="AA466" s="43"/>
      <c r="AB466" s="43"/>
      <c r="AC466" s="43"/>
    </row>
    <row r="467" spans="25:29" s="214" customFormat="1" ht="10.5" customHeight="1">
      <c r="Y467" s="43"/>
      <c r="Z467" s="43"/>
      <c r="AA467" s="43"/>
      <c r="AB467" s="43"/>
      <c r="AC467" s="43"/>
    </row>
    <row r="468" spans="25:29" s="214" customFormat="1" ht="10.5" customHeight="1">
      <c r="Y468" s="43"/>
      <c r="Z468" s="43"/>
      <c r="AA468" s="43"/>
      <c r="AB468" s="43"/>
      <c r="AC468" s="43"/>
    </row>
    <row r="469" spans="25:29" s="214" customFormat="1" ht="10.5" customHeight="1">
      <c r="Y469" s="43"/>
      <c r="Z469" s="43"/>
      <c r="AA469" s="43"/>
      <c r="AB469" s="43"/>
      <c r="AC469" s="43"/>
    </row>
    <row r="470" spans="25:29" s="214" customFormat="1" ht="10.5" customHeight="1">
      <c r="Y470" s="43"/>
      <c r="Z470" s="43"/>
      <c r="AA470" s="43"/>
      <c r="AB470" s="43"/>
      <c r="AC470" s="43"/>
    </row>
    <row r="471" spans="25:29" s="214" customFormat="1" ht="10.5" customHeight="1">
      <c r="Y471" s="43"/>
      <c r="Z471" s="43"/>
      <c r="AA471" s="43"/>
      <c r="AB471" s="43"/>
      <c r="AC471" s="43"/>
    </row>
    <row r="472" spans="25:29" s="214" customFormat="1" ht="10.5" customHeight="1">
      <c r="Y472" s="43"/>
      <c r="Z472" s="43"/>
      <c r="AA472" s="43"/>
      <c r="AB472" s="43"/>
      <c r="AC472" s="43"/>
    </row>
    <row r="473" spans="25:29" s="214" customFormat="1" ht="10.5" customHeight="1">
      <c r="Y473" s="43"/>
      <c r="Z473" s="43"/>
      <c r="AA473" s="43"/>
      <c r="AB473" s="43"/>
      <c r="AC473" s="43"/>
    </row>
    <row r="474" spans="25:29" s="214" customFormat="1" ht="10.5" customHeight="1">
      <c r="Y474" s="43"/>
      <c r="Z474" s="43"/>
      <c r="AA474" s="43"/>
      <c r="AB474" s="43"/>
      <c r="AC474" s="43"/>
    </row>
    <row r="475" spans="25:29" s="214" customFormat="1" ht="10.5" customHeight="1">
      <c r="Y475" s="43"/>
      <c r="Z475" s="43"/>
      <c r="AA475" s="43"/>
      <c r="AB475" s="43"/>
      <c r="AC475" s="43"/>
    </row>
    <row r="476" spans="25:29" s="214" customFormat="1" ht="10.5" customHeight="1">
      <c r="Y476" s="43"/>
      <c r="Z476" s="43"/>
      <c r="AA476" s="43"/>
      <c r="AB476" s="43"/>
      <c r="AC476" s="43"/>
    </row>
    <row r="477" spans="25:29" s="214" customFormat="1" ht="10.5" customHeight="1">
      <c r="Y477" s="43"/>
      <c r="Z477" s="43"/>
      <c r="AA477" s="43"/>
      <c r="AB477" s="43"/>
      <c r="AC477" s="43"/>
    </row>
    <row r="478" spans="25:29" s="214" customFormat="1" ht="10.5" customHeight="1">
      <c r="Y478" s="43"/>
      <c r="Z478" s="43"/>
      <c r="AA478" s="43"/>
      <c r="AB478" s="43"/>
      <c r="AC478" s="43"/>
    </row>
    <row r="479" spans="25:29" s="214" customFormat="1" ht="10.5" customHeight="1">
      <c r="Y479" s="43"/>
      <c r="Z479" s="43"/>
      <c r="AA479" s="43"/>
      <c r="AB479" s="43"/>
      <c r="AC479" s="43"/>
    </row>
    <row r="480" spans="25:29" s="214" customFormat="1" ht="10.5" customHeight="1">
      <c r="Y480" s="43"/>
      <c r="Z480" s="43"/>
      <c r="AA480" s="43"/>
      <c r="AB480" s="43"/>
      <c r="AC480" s="43"/>
    </row>
    <row r="481" spans="25:29" s="214" customFormat="1" ht="10.5" customHeight="1">
      <c r="Y481" s="43"/>
      <c r="Z481" s="43"/>
      <c r="AA481" s="43"/>
      <c r="AB481" s="43"/>
      <c r="AC481" s="43"/>
    </row>
    <row r="482" spans="25:29" s="214" customFormat="1" ht="10.5" customHeight="1">
      <c r="Y482" s="43"/>
      <c r="Z482" s="43"/>
      <c r="AA482" s="43"/>
      <c r="AB482" s="43"/>
      <c r="AC482" s="43"/>
    </row>
    <row r="483" spans="25:29" s="214" customFormat="1" ht="10.5" customHeight="1">
      <c r="Y483" s="43"/>
      <c r="Z483" s="43"/>
      <c r="AA483" s="43"/>
      <c r="AB483" s="43"/>
      <c r="AC483" s="43"/>
    </row>
    <row r="484" spans="25:29" s="214" customFormat="1" ht="10.5" customHeight="1">
      <c r="Y484" s="43"/>
      <c r="Z484" s="43"/>
      <c r="AA484" s="43"/>
      <c r="AB484" s="43"/>
      <c r="AC484" s="43"/>
    </row>
    <row r="485" spans="25:29" s="214" customFormat="1" ht="10.5" customHeight="1">
      <c r="Y485" s="43"/>
      <c r="Z485" s="43"/>
      <c r="AA485" s="43"/>
      <c r="AB485" s="43"/>
      <c r="AC485" s="43"/>
    </row>
    <row r="486" spans="25:29" s="214" customFormat="1" ht="10.5" customHeight="1">
      <c r="Y486" s="43"/>
      <c r="Z486" s="43"/>
      <c r="AA486" s="43"/>
      <c r="AB486" s="43"/>
      <c r="AC486" s="43"/>
    </row>
    <row r="487" spans="25:29" s="214" customFormat="1" ht="10.5" customHeight="1">
      <c r="Y487" s="43"/>
      <c r="Z487" s="43"/>
      <c r="AA487" s="43"/>
      <c r="AB487" s="43"/>
      <c r="AC487" s="43"/>
    </row>
    <row r="488" spans="25:29" s="214" customFormat="1" ht="10.5" customHeight="1">
      <c r="Y488" s="43"/>
      <c r="Z488" s="43"/>
      <c r="AA488" s="43"/>
      <c r="AB488" s="43"/>
      <c r="AC488" s="43"/>
    </row>
    <row r="489" spans="25:29" s="214" customFormat="1" ht="10.5" customHeight="1">
      <c r="Y489" s="43"/>
      <c r="Z489" s="43"/>
      <c r="AA489" s="43"/>
      <c r="AB489" s="43"/>
      <c r="AC489" s="43"/>
    </row>
    <row r="490" spans="25:29" s="214" customFormat="1" ht="10.5" customHeight="1">
      <c r="Y490" s="43"/>
      <c r="Z490" s="43"/>
      <c r="AA490" s="43"/>
      <c r="AB490" s="43"/>
      <c r="AC490" s="43"/>
    </row>
    <row r="491" spans="25:29" s="214" customFormat="1" ht="10.5" customHeight="1">
      <c r="Y491" s="43"/>
      <c r="Z491" s="43"/>
      <c r="AA491" s="43"/>
      <c r="AB491" s="43"/>
      <c r="AC491" s="43"/>
    </row>
    <row r="492" spans="25:29" s="214" customFormat="1" ht="10.5" customHeight="1">
      <c r="Y492" s="43"/>
      <c r="Z492" s="43"/>
      <c r="AA492" s="43"/>
      <c r="AB492" s="43"/>
      <c r="AC492" s="43"/>
    </row>
    <row r="493" spans="25:29" s="214" customFormat="1" ht="10.5" customHeight="1">
      <c r="Y493" s="43"/>
      <c r="Z493" s="43"/>
      <c r="AA493" s="43"/>
      <c r="AB493" s="43"/>
      <c r="AC493" s="43"/>
    </row>
    <row r="494" spans="25:29" s="214" customFormat="1" ht="10.5" customHeight="1">
      <c r="Y494" s="43"/>
      <c r="Z494" s="43"/>
      <c r="AA494" s="43"/>
      <c r="AB494" s="43"/>
      <c r="AC494" s="43"/>
    </row>
    <row r="495" spans="25:29" s="214" customFormat="1" ht="10.5" customHeight="1">
      <c r="Y495" s="43"/>
      <c r="Z495" s="43"/>
      <c r="AA495" s="43"/>
      <c r="AB495" s="43"/>
      <c r="AC495" s="43"/>
    </row>
    <row r="496" spans="25:29" s="214" customFormat="1" ht="10.5" customHeight="1">
      <c r="Y496" s="43"/>
      <c r="Z496" s="43"/>
      <c r="AA496" s="43"/>
      <c r="AB496" s="43"/>
      <c r="AC496" s="43"/>
    </row>
    <row r="497" spans="25:29" s="214" customFormat="1" ht="10.5" customHeight="1">
      <c r="Y497" s="43"/>
      <c r="Z497" s="43"/>
      <c r="AA497" s="43"/>
      <c r="AB497" s="43"/>
      <c r="AC497" s="43"/>
    </row>
    <row r="498" spans="25:29" s="214" customFormat="1" ht="10.5" customHeight="1">
      <c r="Y498" s="43"/>
      <c r="Z498" s="43"/>
      <c r="AA498" s="43"/>
      <c r="AB498" s="43"/>
      <c r="AC498" s="43"/>
    </row>
    <row r="499" spans="25:29" s="214" customFormat="1" ht="10.5" customHeight="1">
      <c r="Y499" s="43"/>
      <c r="Z499" s="43"/>
      <c r="AA499" s="43"/>
      <c r="AB499" s="43"/>
      <c r="AC499" s="43"/>
    </row>
    <row r="500" spans="25:29" s="214" customFormat="1" ht="10.5" customHeight="1">
      <c r="Y500" s="43"/>
      <c r="Z500" s="43"/>
      <c r="AA500" s="43"/>
      <c r="AB500" s="43"/>
      <c r="AC500" s="43"/>
    </row>
    <row r="501" spans="25:29" s="214" customFormat="1" ht="10.5" customHeight="1">
      <c r="Y501" s="43"/>
      <c r="Z501" s="43"/>
      <c r="AA501" s="43"/>
      <c r="AB501" s="43"/>
      <c r="AC501" s="43"/>
    </row>
    <row r="502" spans="25:29" s="214" customFormat="1" ht="10.5" customHeight="1">
      <c r="Y502" s="43"/>
      <c r="Z502" s="43"/>
      <c r="AA502" s="43"/>
      <c r="AB502" s="43"/>
      <c r="AC502" s="43"/>
    </row>
    <row r="503" spans="25:29" s="214" customFormat="1" ht="10.5" customHeight="1">
      <c r="Y503" s="43"/>
      <c r="Z503" s="43"/>
      <c r="AA503" s="43"/>
      <c r="AB503" s="43"/>
      <c r="AC503" s="43"/>
    </row>
    <row r="504" spans="25:29" s="214" customFormat="1" ht="10.5" customHeight="1">
      <c r="Y504" s="43"/>
      <c r="Z504" s="43"/>
      <c r="AA504" s="43"/>
      <c r="AB504" s="43"/>
      <c r="AC504" s="43"/>
    </row>
    <row r="505" spans="25:29" s="214" customFormat="1" ht="10.5" customHeight="1">
      <c r="Y505" s="43"/>
      <c r="Z505" s="43"/>
      <c r="AA505" s="43"/>
      <c r="AB505" s="43"/>
      <c r="AC505" s="43"/>
    </row>
    <row r="506" spans="25:29" s="214" customFormat="1" ht="10.5" customHeight="1">
      <c r="Y506" s="43"/>
      <c r="Z506" s="43"/>
      <c r="AA506" s="43"/>
      <c r="AB506" s="43"/>
      <c r="AC506" s="43"/>
    </row>
    <row r="507" spans="25:29" s="214" customFormat="1" ht="10.5" customHeight="1">
      <c r="Y507" s="43"/>
      <c r="Z507" s="43"/>
      <c r="AA507" s="43"/>
      <c r="AB507" s="43"/>
      <c r="AC507" s="43"/>
    </row>
    <row r="508" spans="25:29" s="214" customFormat="1" ht="10.5" customHeight="1">
      <c r="Y508" s="43"/>
      <c r="Z508" s="43"/>
      <c r="AA508" s="43"/>
      <c r="AB508" s="43"/>
      <c r="AC508" s="43"/>
    </row>
    <row r="509" spans="25:29" s="214" customFormat="1" ht="10.5" customHeight="1">
      <c r="Y509" s="43"/>
      <c r="Z509" s="43"/>
      <c r="AA509" s="43"/>
      <c r="AB509" s="43"/>
      <c r="AC509" s="43"/>
    </row>
    <row r="510" spans="25:29" s="214" customFormat="1" ht="10.5" customHeight="1">
      <c r="Y510" s="43"/>
      <c r="Z510" s="43"/>
      <c r="AA510" s="43"/>
      <c r="AB510" s="43"/>
      <c r="AC510" s="43"/>
    </row>
    <row r="511" spans="25:29" s="214" customFormat="1" ht="10.5" customHeight="1">
      <c r="Y511" s="43"/>
      <c r="Z511" s="43"/>
      <c r="AA511" s="43"/>
      <c r="AB511" s="43"/>
      <c r="AC511" s="43"/>
    </row>
    <row r="512" spans="25:29" s="214" customFormat="1" ht="10.5" customHeight="1">
      <c r="Y512" s="43"/>
      <c r="Z512" s="43"/>
      <c r="AA512" s="43"/>
      <c r="AB512" s="43"/>
      <c r="AC512" s="43"/>
    </row>
    <row r="513" spans="25:29" s="214" customFormat="1" ht="10.5" customHeight="1">
      <c r="Y513" s="43"/>
      <c r="Z513" s="43"/>
      <c r="AA513" s="43"/>
      <c r="AB513" s="43"/>
      <c r="AC513" s="43"/>
    </row>
    <row r="514" spans="25:29" s="214" customFormat="1" ht="10.5" customHeight="1">
      <c r="Y514" s="43"/>
      <c r="Z514" s="43"/>
      <c r="AA514" s="43"/>
      <c r="AB514" s="43"/>
      <c r="AC514" s="43"/>
    </row>
    <row r="515" spans="25:29" s="214" customFormat="1" ht="10.5" customHeight="1">
      <c r="Y515" s="43"/>
      <c r="Z515" s="43"/>
      <c r="AA515" s="43"/>
      <c r="AB515" s="43"/>
      <c r="AC515" s="43"/>
    </row>
    <row r="516" spans="25:29" s="214" customFormat="1" ht="10.5" customHeight="1">
      <c r="Y516" s="43"/>
      <c r="Z516" s="43"/>
      <c r="AA516" s="43"/>
      <c r="AB516" s="43"/>
      <c r="AC516" s="43"/>
    </row>
    <row r="517" spans="25:29" s="214" customFormat="1" ht="10.5" customHeight="1">
      <c r="Y517" s="43"/>
      <c r="Z517" s="43"/>
      <c r="AA517" s="43"/>
      <c r="AB517" s="43"/>
      <c r="AC517" s="43"/>
    </row>
    <row r="518" spans="25:29" s="214" customFormat="1" ht="10.5" customHeight="1">
      <c r="Y518" s="43"/>
      <c r="Z518" s="43"/>
      <c r="AA518" s="43"/>
      <c r="AB518" s="43"/>
      <c r="AC518" s="43"/>
    </row>
    <row r="519" spans="25:29" s="214" customFormat="1" ht="10.5" customHeight="1">
      <c r="Y519" s="43"/>
      <c r="Z519" s="43"/>
      <c r="AA519" s="43"/>
      <c r="AB519" s="43"/>
      <c r="AC519" s="43"/>
    </row>
    <row r="520" spans="25:29" s="214" customFormat="1" ht="10.5" customHeight="1">
      <c r="Y520" s="43"/>
      <c r="Z520" s="43"/>
      <c r="AA520" s="43"/>
      <c r="AB520" s="43"/>
      <c r="AC520" s="43"/>
    </row>
    <row r="521" spans="25:29" s="214" customFormat="1" ht="10.5" customHeight="1">
      <c r="Y521" s="43"/>
      <c r="Z521" s="43"/>
      <c r="AA521" s="43"/>
      <c r="AB521" s="43"/>
      <c r="AC521" s="43"/>
    </row>
    <row r="522" spans="25:29" s="214" customFormat="1" ht="10.5" customHeight="1">
      <c r="Y522" s="43"/>
      <c r="Z522" s="43"/>
      <c r="AA522" s="43"/>
      <c r="AB522" s="43"/>
      <c r="AC522" s="43"/>
    </row>
    <row r="523" spans="25:29" s="214" customFormat="1" ht="10.5" customHeight="1">
      <c r="Y523" s="43"/>
      <c r="Z523" s="43"/>
      <c r="AA523" s="43"/>
      <c r="AB523" s="43"/>
      <c r="AC523" s="43"/>
    </row>
    <row r="524" spans="25:29" s="214" customFormat="1" ht="10.5" customHeight="1">
      <c r="Y524" s="43"/>
      <c r="Z524" s="43"/>
      <c r="AA524" s="43"/>
      <c r="AB524" s="43"/>
      <c r="AC524" s="43"/>
    </row>
    <row r="525" spans="25:29" s="214" customFormat="1" ht="10.5" customHeight="1">
      <c r="Y525" s="43"/>
      <c r="Z525" s="43"/>
      <c r="AA525" s="43"/>
      <c r="AB525" s="43"/>
      <c r="AC525" s="43"/>
    </row>
    <row r="526" spans="25:29" s="214" customFormat="1" ht="10.5" customHeight="1">
      <c r="Y526" s="43"/>
      <c r="Z526" s="43"/>
      <c r="AA526" s="43"/>
      <c r="AB526" s="43"/>
      <c r="AC526" s="43"/>
    </row>
    <row r="527" spans="25:29" s="214" customFormat="1" ht="10.5" customHeight="1">
      <c r="Y527" s="43"/>
      <c r="Z527" s="43"/>
      <c r="AA527" s="43"/>
      <c r="AB527" s="43"/>
      <c r="AC527" s="43"/>
    </row>
    <row r="528" spans="25:29" s="214" customFormat="1" ht="10.5" customHeight="1">
      <c r="Y528" s="43"/>
      <c r="Z528" s="43"/>
      <c r="AA528" s="43"/>
      <c r="AB528" s="43"/>
      <c r="AC528" s="43"/>
    </row>
    <row r="529" spans="25:29" s="214" customFormat="1" ht="10.5" customHeight="1">
      <c r="Y529" s="43"/>
      <c r="Z529" s="43"/>
      <c r="AA529" s="43"/>
      <c r="AB529" s="43"/>
      <c r="AC529" s="43"/>
    </row>
    <row r="530" spans="25:29" s="214" customFormat="1" ht="10.5" customHeight="1">
      <c r="Y530" s="43"/>
      <c r="Z530" s="43"/>
      <c r="AA530" s="43"/>
      <c r="AB530" s="43"/>
      <c r="AC530" s="43"/>
    </row>
    <row r="531" spans="25:29" s="214" customFormat="1" ht="10.5" customHeight="1">
      <c r="Y531" s="43"/>
      <c r="Z531" s="43"/>
      <c r="AA531" s="43"/>
      <c r="AB531" s="43"/>
      <c r="AC531" s="43"/>
    </row>
    <row r="532" spans="25:29" s="214" customFormat="1" ht="10.5" customHeight="1">
      <c r="Y532" s="43"/>
      <c r="Z532" s="43"/>
      <c r="AA532" s="43"/>
      <c r="AB532" s="43"/>
      <c r="AC532" s="43"/>
    </row>
    <row r="533" spans="25:29" s="214" customFormat="1" ht="10.5" customHeight="1">
      <c r="Y533" s="43"/>
      <c r="Z533" s="43"/>
      <c r="AA533" s="43"/>
      <c r="AB533" s="43"/>
      <c r="AC533" s="43"/>
    </row>
    <row r="534" spans="25:29" s="214" customFormat="1" ht="10.5" customHeight="1">
      <c r="Y534" s="43"/>
      <c r="Z534" s="43"/>
      <c r="AA534" s="43"/>
      <c r="AB534" s="43"/>
      <c r="AC534" s="43"/>
    </row>
    <row r="535" spans="25:29" s="214" customFormat="1" ht="10.5" customHeight="1">
      <c r="Y535" s="43"/>
      <c r="Z535" s="43"/>
      <c r="AA535" s="43"/>
      <c r="AB535" s="43"/>
      <c r="AC535" s="43"/>
    </row>
    <row r="536" spans="25:29" s="214" customFormat="1" ht="10.5" customHeight="1">
      <c r="Y536" s="43"/>
      <c r="Z536" s="43"/>
      <c r="AA536" s="43"/>
      <c r="AB536" s="43"/>
      <c r="AC536" s="43"/>
    </row>
    <row r="537" spans="25:29" s="214" customFormat="1" ht="10.5" customHeight="1">
      <c r="Y537" s="43"/>
      <c r="Z537" s="43"/>
      <c r="AA537" s="43"/>
      <c r="AB537" s="43"/>
      <c r="AC537" s="43"/>
    </row>
    <row r="538" spans="25:29" s="214" customFormat="1" ht="10.5" customHeight="1">
      <c r="Y538" s="43"/>
      <c r="Z538" s="43"/>
      <c r="AA538" s="43"/>
      <c r="AB538" s="43"/>
      <c r="AC538" s="43"/>
    </row>
    <row r="539" spans="25:29" s="214" customFormat="1" ht="10.5" customHeight="1">
      <c r="Y539" s="43"/>
      <c r="Z539" s="43"/>
      <c r="AA539" s="43"/>
      <c r="AB539" s="43"/>
      <c r="AC539" s="43"/>
    </row>
    <row r="540" spans="25:29" s="214" customFormat="1" ht="10.5" customHeight="1">
      <c r="Y540" s="43"/>
      <c r="Z540" s="43"/>
      <c r="AA540" s="43"/>
      <c r="AB540" s="43"/>
      <c r="AC540" s="43"/>
    </row>
    <row r="541" spans="25:29" s="214" customFormat="1" ht="10.5" customHeight="1">
      <c r="Y541" s="43"/>
      <c r="Z541" s="43"/>
      <c r="AA541" s="43"/>
      <c r="AB541" s="43"/>
      <c r="AC541" s="43"/>
    </row>
    <row r="542" spans="25:29" s="214" customFormat="1" ht="10.5" customHeight="1">
      <c r="Y542" s="43"/>
      <c r="Z542" s="43"/>
      <c r="AA542" s="43"/>
      <c r="AB542" s="43"/>
      <c r="AC542" s="43"/>
    </row>
    <row r="543" spans="25:29" s="214" customFormat="1" ht="10.5" customHeight="1">
      <c r="Y543" s="43"/>
      <c r="Z543" s="43"/>
      <c r="AA543" s="43"/>
      <c r="AB543" s="43"/>
      <c r="AC543" s="43"/>
    </row>
    <row r="544" spans="25:29" s="214" customFormat="1" ht="10.5" customHeight="1">
      <c r="Y544" s="43"/>
      <c r="Z544" s="43"/>
      <c r="AA544" s="43"/>
      <c r="AB544" s="43"/>
      <c r="AC544" s="43"/>
    </row>
    <row r="545" spans="25:29" s="214" customFormat="1" ht="10.5" customHeight="1">
      <c r="Y545" s="43"/>
      <c r="Z545" s="43"/>
      <c r="AA545" s="43"/>
      <c r="AB545" s="43"/>
      <c r="AC545" s="43"/>
    </row>
    <row r="546" spans="25:29" s="214" customFormat="1" ht="10.5" customHeight="1">
      <c r="Y546" s="43"/>
      <c r="Z546" s="43"/>
      <c r="AA546" s="43"/>
      <c r="AB546" s="43"/>
      <c r="AC546" s="43"/>
    </row>
    <row r="547" spans="25:29" s="214" customFormat="1" ht="10.5" customHeight="1">
      <c r="Y547" s="43"/>
      <c r="Z547" s="43"/>
      <c r="AA547" s="43"/>
      <c r="AB547" s="43"/>
      <c r="AC547" s="43"/>
    </row>
    <row r="548" spans="25:29" s="214" customFormat="1" ht="10.5" customHeight="1">
      <c r="Y548" s="43"/>
      <c r="Z548" s="43"/>
      <c r="AA548" s="43"/>
      <c r="AB548" s="43"/>
      <c r="AC548" s="43"/>
    </row>
    <row r="549" spans="25:29" s="214" customFormat="1" ht="10.5" customHeight="1">
      <c r="Y549" s="43"/>
      <c r="Z549" s="43"/>
      <c r="AA549" s="43"/>
      <c r="AB549" s="43"/>
      <c r="AC549" s="43"/>
    </row>
    <row r="550" spans="25:29" s="214" customFormat="1" ht="10.5" customHeight="1">
      <c r="Y550" s="43"/>
      <c r="Z550" s="43"/>
      <c r="AA550" s="43"/>
      <c r="AB550" s="43"/>
      <c r="AC550" s="43"/>
    </row>
    <row r="551" spans="25:29" s="214" customFormat="1" ht="10.5" customHeight="1">
      <c r="Y551" s="43"/>
      <c r="Z551" s="43"/>
      <c r="AA551" s="43"/>
      <c r="AB551" s="43"/>
      <c r="AC551" s="43"/>
    </row>
    <row r="552" spans="25:29" s="214" customFormat="1" ht="10.5" customHeight="1">
      <c r="Y552" s="43"/>
      <c r="Z552" s="43"/>
      <c r="AA552" s="43"/>
      <c r="AB552" s="43"/>
      <c r="AC552" s="43"/>
    </row>
    <row r="553" spans="25:29" s="214" customFormat="1" ht="10.5" customHeight="1">
      <c r="Y553" s="43"/>
      <c r="Z553" s="43"/>
      <c r="AA553" s="43"/>
      <c r="AB553" s="43"/>
      <c r="AC553" s="43"/>
    </row>
    <row r="554" spans="25:29" s="214" customFormat="1" ht="10.5" customHeight="1">
      <c r="Y554" s="43"/>
      <c r="Z554" s="43"/>
      <c r="AA554" s="43"/>
      <c r="AB554" s="43"/>
      <c r="AC554" s="43"/>
    </row>
    <row r="555" spans="25:29" s="214" customFormat="1" ht="10.5" customHeight="1">
      <c r="Y555" s="43"/>
      <c r="Z555" s="43"/>
      <c r="AA555" s="43"/>
      <c r="AB555" s="43"/>
      <c r="AC555" s="43"/>
    </row>
    <row r="556" spans="25:29" s="214" customFormat="1" ht="10.5" customHeight="1">
      <c r="Y556" s="43"/>
      <c r="Z556" s="43"/>
      <c r="AA556" s="43"/>
      <c r="AB556" s="43"/>
      <c r="AC556" s="43"/>
    </row>
    <row r="557" spans="25:29" s="214" customFormat="1" ht="10.5" customHeight="1">
      <c r="Y557" s="43"/>
      <c r="Z557" s="43"/>
      <c r="AA557" s="43"/>
      <c r="AB557" s="43"/>
      <c r="AC557" s="43"/>
    </row>
    <row r="558" spans="25:29" s="214" customFormat="1" ht="10.5" customHeight="1">
      <c r="Y558" s="43"/>
      <c r="Z558" s="43"/>
      <c r="AA558" s="43"/>
      <c r="AB558" s="43"/>
      <c r="AC558" s="43"/>
    </row>
    <row r="559" spans="25:29" s="214" customFormat="1" ht="10.5" customHeight="1">
      <c r="Y559" s="43"/>
      <c r="Z559" s="43"/>
      <c r="AA559" s="43"/>
      <c r="AB559" s="43"/>
      <c r="AC559" s="43"/>
    </row>
    <row r="560" spans="25:29" s="214" customFormat="1" ht="10.5" customHeight="1">
      <c r="Y560" s="43"/>
      <c r="Z560" s="43"/>
      <c r="AA560" s="43"/>
      <c r="AB560" s="43"/>
      <c r="AC560" s="43"/>
    </row>
    <row r="561" spans="25:29" s="214" customFormat="1" ht="10.5" customHeight="1">
      <c r="Y561" s="43"/>
      <c r="Z561" s="43"/>
      <c r="AA561" s="43"/>
      <c r="AB561" s="43"/>
      <c r="AC561" s="43"/>
    </row>
    <row r="562" spans="25:29" s="214" customFormat="1" ht="10.5" customHeight="1">
      <c r="Y562" s="43"/>
      <c r="Z562" s="43"/>
      <c r="AA562" s="43"/>
      <c r="AB562" s="43"/>
      <c r="AC562" s="43"/>
    </row>
    <row r="563" spans="25:29" s="214" customFormat="1" ht="10.5" customHeight="1">
      <c r="Y563" s="43"/>
      <c r="Z563" s="43"/>
      <c r="AA563" s="43"/>
      <c r="AB563" s="43"/>
      <c r="AC563" s="43"/>
    </row>
    <row r="564" spans="25:29" s="214" customFormat="1" ht="10.5" customHeight="1">
      <c r="Y564" s="43"/>
      <c r="Z564" s="43"/>
      <c r="AA564" s="43"/>
      <c r="AB564" s="43"/>
      <c r="AC564" s="43"/>
    </row>
    <row r="565" spans="25:29" s="214" customFormat="1" ht="10.5" customHeight="1">
      <c r="Y565" s="43"/>
      <c r="Z565" s="43"/>
      <c r="AA565" s="43"/>
      <c r="AB565" s="43"/>
      <c r="AC565" s="43"/>
    </row>
    <row r="566" spans="25:29" s="214" customFormat="1" ht="10.5" customHeight="1">
      <c r="Y566" s="43"/>
      <c r="Z566" s="43"/>
      <c r="AA566" s="43"/>
      <c r="AB566" s="43"/>
      <c r="AC566" s="43"/>
    </row>
    <row r="567" spans="25:29" s="214" customFormat="1" ht="10.5" customHeight="1">
      <c r="Y567" s="43"/>
      <c r="Z567" s="43"/>
      <c r="AA567" s="43"/>
      <c r="AB567" s="43"/>
      <c r="AC567" s="43"/>
    </row>
    <row r="568" spans="25:29" s="214" customFormat="1" ht="10.5" customHeight="1">
      <c r="Y568" s="43"/>
      <c r="Z568" s="43"/>
      <c r="AA568" s="43"/>
      <c r="AB568" s="43"/>
      <c r="AC568" s="43"/>
    </row>
    <row r="569" spans="25:29" s="214" customFormat="1" ht="10.5" customHeight="1">
      <c r="Y569" s="43"/>
      <c r="Z569" s="43"/>
      <c r="AA569" s="43"/>
      <c r="AB569" s="43"/>
      <c r="AC569" s="43"/>
    </row>
    <row r="570" spans="25:29" s="214" customFormat="1" ht="10.5" customHeight="1">
      <c r="Y570" s="43"/>
      <c r="Z570" s="43"/>
      <c r="AA570" s="43"/>
      <c r="AB570" s="43"/>
      <c r="AC570" s="43"/>
    </row>
    <row r="571" spans="25:29" s="214" customFormat="1" ht="10.5" customHeight="1">
      <c r="Y571" s="43"/>
      <c r="Z571" s="43"/>
      <c r="AA571" s="43"/>
      <c r="AB571" s="43"/>
      <c r="AC571" s="43"/>
    </row>
    <row r="572" spans="25:29" s="214" customFormat="1" ht="10.5" customHeight="1">
      <c r="Y572" s="43"/>
      <c r="Z572" s="43"/>
      <c r="AA572" s="43"/>
      <c r="AB572" s="43"/>
      <c r="AC572" s="43"/>
    </row>
    <row r="573" spans="25:29" s="214" customFormat="1" ht="10.5" customHeight="1">
      <c r="Y573" s="43"/>
      <c r="Z573" s="43"/>
      <c r="AA573" s="43"/>
      <c r="AB573" s="43"/>
      <c r="AC573" s="43"/>
    </row>
    <row r="574" spans="25:29" s="214" customFormat="1" ht="10.5" customHeight="1">
      <c r="Y574" s="43"/>
      <c r="Z574" s="43"/>
      <c r="AA574" s="43"/>
      <c r="AB574" s="43"/>
      <c r="AC574" s="43"/>
    </row>
    <row r="575" spans="25:29" s="214" customFormat="1" ht="10.5" customHeight="1">
      <c r="Y575" s="43"/>
      <c r="Z575" s="43"/>
      <c r="AA575" s="43"/>
      <c r="AB575" s="43"/>
      <c r="AC575" s="43"/>
    </row>
    <row r="576" spans="25:29" s="214" customFormat="1" ht="10.5" customHeight="1">
      <c r="Y576" s="43"/>
      <c r="Z576" s="43"/>
      <c r="AA576" s="43"/>
      <c r="AB576" s="43"/>
      <c r="AC576" s="43"/>
    </row>
    <row r="577" spans="25:29" s="214" customFormat="1" ht="10.5" customHeight="1">
      <c r="Y577" s="43"/>
      <c r="Z577" s="43"/>
      <c r="AA577" s="43"/>
      <c r="AB577" s="43"/>
      <c r="AC577" s="43"/>
    </row>
    <row r="578" spans="25:29" s="214" customFormat="1" ht="10.5" customHeight="1">
      <c r="Y578" s="43"/>
      <c r="Z578" s="43"/>
      <c r="AA578" s="43"/>
      <c r="AB578" s="43"/>
      <c r="AC578" s="43"/>
    </row>
    <row r="579" spans="25:29" s="214" customFormat="1" ht="10.5" customHeight="1">
      <c r="Y579" s="43"/>
      <c r="Z579" s="43"/>
      <c r="AA579" s="43"/>
      <c r="AB579" s="43"/>
      <c r="AC579" s="43"/>
    </row>
    <row r="580" spans="25:29" s="214" customFormat="1" ht="10.5" customHeight="1">
      <c r="Y580" s="43"/>
      <c r="Z580" s="43"/>
      <c r="AA580" s="43"/>
      <c r="AB580" s="43"/>
      <c r="AC580" s="43"/>
    </row>
    <row r="581" spans="25:29" s="214" customFormat="1" ht="10.5" customHeight="1">
      <c r="Y581" s="43"/>
      <c r="Z581" s="43"/>
      <c r="AA581" s="43"/>
      <c r="AB581" s="43"/>
      <c r="AC581" s="43"/>
    </row>
    <row r="582" spans="25:29" s="214" customFormat="1" ht="10.5" customHeight="1">
      <c r="Y582" s="43"/>
      <c r="Z582" s="43"/>
      <c r="AA582" s="43"/>
      <c r="AB582" s="43"/>
      <c r="AC582" s="43"/>
    </row>
    <row r="583" spans="25:29" s="214" customFormat="1" ht="10.5" customHeight="1">
      <c r="Y583" s="43"/>
      <c r="Z583" s="43"/>
      <c r="AA583" s="43"/>
      <c r="AB583" s="43"/>
      <c r="AC583" s="43"/>
    </row>
    <row r="584" spans="25:29" s="214" customFormat="1" ht="10.5" customHeight="1">
      <c r="Y584" s="43"/>
      <c r="Z584" s="43"/>
      <c r="AA584" s="43"/>
      <c r="AB584" s="43"/>
      <c r="AC584" s="43"/>
    </row>
    <row r="585" spans="25:29" s="214" customFormat="1" ht="10.5" customHeight="1">
      <c r="Y585" s="43"/>
      <c r="Z585" s="43"/>
      <c r="AA585" s="43"/>
      <c r="AB585" s="43"/>
      <c r="AC585" s="43"/>
    </row>
    <row r="586" spans="25:29" s="214" customFormat="1" ht="10.5" customHeight="1">
      <c r="Y586" s="43"/>
      <c r="Z586" s="43"/>
      <c r="AA586" s="43"/>
      <c r="AB586" s="43"/>
      <c r="AC586" s="43"/>
    </row>
    <row r="587" spans="25:29" s="214" customFormat="1" ht="10.5" customHeight="1">
      <c r="Y587" s="43"/>
      <c r="Z587" s="43"/>
      <c r="AA587" s="43"/>
      <c r="AB587" s="43"/>
      <c r="AC587" s="43"/>
    </row>
    <row r="588" spans="25:29" s="214" customFormat="1" ht="10.5" customHeight="1">
      <c r="Y588" s="43"/>
      <c r="Z588" s="43"/>
      <c r="AA588" s="43"/>
      <c r="AB588" s="43"/>
      <c r="AC588" s="43"/>
    </row>
    <row r="589" spans="25:29" s="214" customFormat="1" ht="10.5" customHeight="1">
      <c r="Y589" s="43"/>
      <c r="Z589" s="43"/>
      <c r="AA589" s="43"/>
      <c r="AB589" s="43"/>
      <c r="AC589" s="43"/>
    </row>
    <row r="590" spans="25:29" s="214" customFormat="1" ht="10.5" customHeight="1">
      <c r="Y590" s="43"/>
      <c r="Z590" s="43"/>
      <c r="AA590" s="43"/>
      <c r="AB590" s="43"/>
      <c r="AC590" s="43"/>
    </row>
    <row r="591" spans="25:29" s="214" customFormat="1" ht="10.5" customHeight="1">
      <c r="Y591" s="43"/>
      <c r="Z591" s="43"/>
      <c r="AA591" s="43"/>
      <c r="AB591" s="43"/>
      <c r="AC591" s="43"/>
    </row>
    <row r="592" spans="25:29" s="214" customFormat="1" ht="10.5" customHeight="1">
      <c r="Y592" s="43"/>
      <c r="Z592" s="43"/>
      <c r="AA592" s="43"/>
      <c r="AB592" s="43"/>
      <c r="AC592" s="43"/>
    </row>
    <row r="593" spans="25:29" s="214" customFormat="1" ht="10.5" customHeight="1">
      <c r="Y593" s="43"/>
      <c r="Z593" s="43"/>
      <c r="AA593" s="43"/>
      <c r="AB593" s="43"/>
      <c r="AC593" s="43"/>
    </row>
    <row r="594" spans="25:29" s="214" customFormat="1" ht="10.5" customHeight="1">
      <c r="Y594" s="43"/>
      <c r="Z594" s="43"/>
      <c r="AA594" s="43"/>
      <c r="AB594" s="43"/>
      <c r="AC594" s="43"/>
    </row>
    <row r="595" spans="25:29" s="214" customFormat="1" ht="10.5" customHeight="1">
      <c r="Y595" s="43"/>
      <c r="Z595" s="43"/>
      <c r="AA595" s="43"/>
      <c r="AB595" s="43"/>
      <c r="AC595" s="43"/>
    </row>
    <row r="596" spans="25:29" s="214" customFormat="1" ht="10.5" customHeight="1">
      <c r="Y596" s="43"/>
      <c r="Z596" s="43"/>
      <c r="AA596" s="43"/>
      <c r="AB596" s="43"/>
      <c r="AC596" s="43"/>
    </row>
    <row r="597" spans="25:29" s="214" customFormat="1" ht="10.5" customHeight="1">
      <c r="Y597" s="43"/>
      <c r="Z597" s="43"/>
      <c r="AA597" s="43"/>
      <c r="AB597" s="43"/>
      <c r="AC597" s="43"/>
    </row>
    <row r="598" spans="25:29" s="214" customFormat="1" ht="10.5" customHeight="1">
      <c r="Y598" s="43"/>
      <c r="Z598" s="43"/>
      <c r="AA598" s="43"/>
      <c r="AB598" s="43"/>
      <c r="AC598" s="43"/>
    </row>
    <row r="599" spans="25:29" s="214" customFormat="1" ht="10.5" customHeight="1">
      <c r="Y599" s="43"/>
      <c r="Z599" s="43"/>
      <c r="AA599" s="43"/>
      <c r="AB599" s="43"/>
      <c r="AC599" s="43"/>
    </row>
    <row r="600" spans="25:29" s="214" customFormat="1" ht="10.5" customHeight="1">
      <c r="Y600" s="43"/>
      <c r="Z600" s="43"/>
      <c r="AA600" s="43"/>
      <c r="AB600" s="43"/>
      <c r="AC600" s="43"/>
    </row>
    <row r="601" spans="25:29" s="214" customFormat="1" ht="10.5" customHeight="1">
      <c r="Y601" s="43"/>
      <c r="Z601" s="43"/>
      <c r="AA601" s="43"/>
      <c r="AB601" s="43"/>
      <c r="AC601" s="43"/>
    </row>
    <row r="602" spans="25:29" s="214" customFormat="1" ht="10.5" customHeight="1">
      <c r="Y602" s="43"/>
      <c r="Z602" s="43"/>
      <c r="AA602" s="43"/>
      <c r="AB602" s="43"/>
      <c r="AC602" s="43"/>
    </row>
    <row r="603" spans="25:29" s="214" customFormat="1" ht="10.5" customHeight="1">
      <c r="Y603" s="43"/>
      <c r="Z603" s="43"/>
      <c r="AA603" s="43"/>
      <c r="AB603" s="43"/>
      <c r="AC603" s="43"/>
    </row>
    <row r="604" spans="25:29" s="214" customFormat="1" ht="10.5" customHeight="1">
      <c r="Y604" s="43"/>
      <c r="Z604" s="43"/>
      <c r="AA604" s="43"/>
      <c r="AB604" s="43"/>
      <c r="AC604" s="43"/>
    </row>
    <row r="605" spans="25:29" s="214" customFormat="1" ht="10.5" customHeight="1">
      <c r="Y605" s="43"/>
      <c r="Z605" s="43"/>
      <c r="AA605" s="43"/>
      <c r="AB605" s="43"/>
      <c r="AC605" s="43"/>
    </row>
    <row r="606" spans="25:29" s="214" customFormat="1" ht="10.5" customHeight="1">
      <c r="Y606" s="43"/>
      <c r="Z606" s="43"/>
      <c r="AA606" s="43"/>
      <c r="AB606" s="43"/>
      <c r="AC606" s="43"/>
    </row>
    <row r="607" spans="25:29" s="214" customFormat="1" ht="10.5" customHeight="1">
      <c r="Y607" s="43"/>
      <c r="Z607" s="43"/>
      <c r="AA607" s="43"/>
      <c r="AB607" s="43"/>
      <c r="AC607" s="43"/>
    </row>
    <row r="608" spans="25:29" s="214" customFormat="1" ht="10.5" customHeight="1">
      <c r="Y608" s="43"/>
      <c r="Z608" s="43"/>
      <c r="AA608" s="43"/>
      <c r="AB608" s="43"/>
      <c r="AC608" s="43"/>
    </row>
    <row r="609" spans="25:29" s="214" customFormat="1" ht="10.5" customHeight="1">
      <c r="Y609" s="43"/>
      <c r="Z609" s="43"/>
      <c r="AA609" s="43"/>
      <c r="AB609" s="43"/>
      <c r="AC609" s="43"/>
    </row>
    <row r="610" spans="25:29" s="214" customFormat="1" ht="10.5" customHeight="1">
      <c r="Y610" s="43"/>
      <c r="Z610" s="43"/>
      <c r="AA610" s="43"/>
      <c r="AB610" s="43"/>
      <c r="AC610" s="43"/>
    </row>
    <row r="611" spans="25:29" s="214" customFormat="1" ht="10.5" customHeight="1">
      <c r="Y611" s="43"/>
      <c r="Z611" s="43"/>
      <c r="AA611" s="43"/>
      <c r="AB611" s="43"/>
      <c r="AC611" s="43"/>
    </row>
    <row r="612" spans="25:29" s="214" customFormat="1" ht="10.5" customHeight="1">
      <c r="Y612" s="43"/>
      <c r="Z612" s="43"/>
      <c r="AA612" s="43"/>
      <c r="AB612" s="43"/>
      <c r="AC612" s="43"/>
    </row>
    <row r="613" spans="25:29" s="214" customFormat="1" ht="10.5" customHeight="1">
      <c r="Y613" s="43"/>
      <c r="Z613" s="43"/>
      <c r="AA613" s="43"/>
      <c r="AB613" s="43"/>
      <c r="AC613" s="43"/>
    </row>
    <row r="614" spans="25:29" s="214" customFormat="1" ht="10.5" customHeight="1">
      <c r="Y614" s="43"/>
      <c r="Z614" s="43"/>
      <c r="AA614" s="43"/>
      <c r="AB614" s="43"/>
      <c r="AC614" s="43"/>
    </row>
    <row r="615" spans="25:29" s="214" customFormat="1" ht="10.5" customHeight="1">
      <c r="Y615" s="43"/>
      <c r="Z615" s="43"/>
      <c r="AA615" s="43"/>
      <c r="AB615" s="43"/>
      <c r="AC615" s="43"/>
    </row>
    <row r="616" spans="25:29" s="214" customFormat="1" ht="10.5" customHeight="1">
      <c r="Y616" s="43"/>
      <c r="Z616" s="43"/>
      <c r="AA616" s="43"/>
      <c r="AB616" s="43"/>
      <c r="AC616" s="43"/>
    </row>
    <row r="617" spans="25:29" s="214" customFormat="1" ht="10.5" customHeight="1">
      <c r="Y617" s="43"/>
      <c r="Z617" s="43"/>
      <c r="AA617" s="43"/>
      <c r="AB617" s="43"/>
      <c r="AC617" s="43"/>
    </row>
    <row r="618" spans="25:29" s="214" customFormat="1" ht="10.5" customHeight="1">
      <c r="Y618" s="43"/>
      <c r="Z618" s="43"/>
      <c r="AA618" s="43"/>
      <c r="AB618" s="43"/>
      <c r="AC618" s="43"/>
    </row>
    <row r="619" spans="25:29" s="214" customFormat="1" ht="10.5" customHeight="1">
      <c r="Y619" s="43"/>
      <c r="Z619" s="43"/>
      <c r="AA619" s="43"/>
      <c r="AB619" s="43"/>
      <c r="AC619" s="43"/>
    </row>
    <row r="620" spans="25:29" s="214" customFormat="1" ht="10.5" customHeight="1">
      <c r="Y620" s="43"/>
      <c r="Z620" s="43"/>
      <c r="AA620" s="43"/>
      <c r="AB620" s="43"/>
      <c r="AC620" s="43"/>
    </row>
    <row r="621" spans="25:29" s="214" customFormat="1" ht="10.5" customHeight="1">
      <c r="Y621" s="43"/>
      <c r="Z621" s="43"/>
      <c r="AA621" s="43"/>
      <c r="AB621" s="43"/>
      <c r="AC621" s="43"/>
    </row>
    <row r="622" spans="25:29" s="214" customFormat="1" ht="10.5" customHeight="1">
      <c r="Y622" s="43"/>
      <c r="Z622" s="43"/>
      <c r="AA622" s="43"/>
      <c r="AB622" s="43"/>
      <c r="AC622" s="43"/>
    </row>
    <row r="623" spans="25:29" s="214" customFormat="1" ht="10.5" customHeight="1">
      <c r="Y623" s="43"/>
      <c r="Z623" s="43"/>
      <c r="AA623" s="43"/>
      <c r="AB623" s="43"/>
      <c r="AC623" s="43"/>
    </row>
    <row r="624" spans="25:29" s="214" customFormat="1" ht="10.5" customHeight="1">
      <c r="Y624" s="43"/>
      <c r="Z624" s="43"/>
      <c r="AA624" s="43"/>
      <c r="AB624" s="43"/>
      <c r="AC624" s="43"/>
    </row>
    <row r="625" spans="25:29" s="214" customFormat="1" ht="10.5" customHeight="1">
      <c r="Y625" s="43"/>
      <c r="Z625" s="43"/>
      <c r="AA625" s="43"/>
      <c r="AB625" s="43"/>
      <c r="AC625" s="43"/>
    </row>
    <row r="626" spans="25:29" s="214" customFormat="1" ht="10.5" customHeight="1">
      <c r="Y626" s="43"/>
      <c r="Z626" s="43"/>
      <c r="AA626" s="43"/>
      <c r="AB626" s="43"/>
      <c r="AC626" s="43"/>
    </row>
    <row r="627" spans="25:29" s="214" customFormat="1" ht="10.5" customHeight="1">
      <c r="Y627" s="43"/>
      <c r="Z627" s="43"/>
      <c r="AA627" s="43"/>
      <c r="AB627" s="43"/>
      <c r="AC627" s="43"/>
    </row>
    <row r="628" spans="25:29" s="214" customFormat="1" ht="10.5" customHeight="1">
      <c r="Y628" s="43"/>
      <c r="Z628" s="43"/>
      <c r="AA628" s="43"/>
      <c r="AB628" s="43"/>
      <c r="AC628" s="43"/>
    </row>
    <row r="629" spans="25:29" s="214" customFormat="1" ht="10.5" customHeight="1">
      <c r="Y629" s="43"/>
      <c r="Z629" s="43"/>
      <c r="AA629" s="43"/>
      <c r="AB629" s="43"/>
      <c r="AC629" s="43"/>
    </row>
    <row r="630" spans="25:29" s="214" customFormat="1" ht="10.5" customHeight="1">
      <c r="Y630" s="43"/>
      <c r="Z630" s="43"/>
      <c r="AA630" s="43"/>
      <c r="AB630" s="43"/>
      <c r="AC630" s="43"/>
    </row>
    <row r="631" spans="25:29" s="214" customFormat="1" ht="10.5" customHeight="1">
      <c r="Y631" s="43"/>
      <c r="Z631" s="43"/>
      <c r="AA631" s="43"/>
      <c r="AB631" s="43"/>
      <c r="AC631" s="43"/>
    </row>
    <row r="632" spans="25:29" s="214" customFormat="1" ht="10.5" customHeight="1">
      <c r="Y632" s="43"/>
      <c r="Z632" s="43"/>
      <c r="AA632" s="43"/>
      <c r="AB632" s="43"/>
      <c r="AC632" s="43"/>
    </row>
    <row r="633" spans="25:29" s="214" customFormat="1" ht="10.5" customHeight="1">
      <c r="Y633" s="43"/>
      <c r="Z633" s="43"/>
      <c r="AA633" s="43"/>
      <c r="AB633" s="43"/>
      <c r="AC633" s="43"/>
    </row>
    <row r="634" spans="25:29" s="214" customFormat="1" ht="10.5" customHeight="1">
      <c r="Y634" s="43"/>
      <c r="Z634" s="43"/>
      <c r="AA634" s="43"/>
      <c r="AB634" s="43"/>
      <c r="AC634" s="43"/>
    </row>
    <row r="635" spans="25:29" s="214" customFormat="1" ht="10.5" customHeight="1">
      <c r="Y635" s="43"/>
      <c r="Z635" s="43"/>
      <c r="AA635" s="43"/>
      <c r="AB635" s="43"/>
      <c r="AC635" s="43"/>
    </row>
    <row r="636" spans="25:29" s="214" customFormat="1" ht="10.5" customHeight="1">
      <c r="Y636" s="43"/>
      <c r="Z636" s="43"/>
      <c r="AA636" s="43"/>
      <c r="AB636" s="43"/>
      <c r="AC636" s="43"/>
    </row>
    <row r="637" spans="25:29" s="214" customFormat="1" ht="10.5" customHeight="1">
      <c r="Y637" s="43"/>
      <c r="Z637" s="43"/>
      <c r="AA637" s="43"/>
      <c r="AB637" s="43"/>
      <c r="AC637" s="43"/>
    </row>
    <row r="638" spans="25:29" s="214" customFormat="1" ht="10.5" customHeight="1">
      <c r="Y638" s="43"/>
      <c r="Z638" s="43"/>
      <c r="AA638" s="43"/>
      <c r="AB638" s="43"/>
      <c r="AC638" s="43"/>
    </row>
    <row r="639" spans="25:29" s="214" customFormat="1" ht="10.5" customHeight="1">
      <c r="Y639" s="43"/>
      <c r="Z639" s="43"/>
      <c r="AA639" s="43"/>
      <c r="AB639" s="43"/>
      <c r="AC639" s="43"/>
    </row>
    <row r="640" spans="25:29" s="214" customFormat="1" ht="10.5" customHeight="1">
      <c r="Y640" s="43"/>
      <c r="Z640" s="43"/>
      <c r="AA640" s="43"/>
      <c r="AB640" s="43"/>
      <c r="AC640" s="43"/>
    </row>
    <row r="641" spans="25:29" s="214" customFormat="1" ht="10.5" customHeight="1">
      <c r="Y641" s="43"/>
      <c r="Z641" s="43"/>
      <c r="AA641" s="43"/>
      <c r="AB641" s="43"/>
      <c r="AC641" s="43"/>
    </row>
    <row r="642" spans="25:29" s="214" customFormat="1" ht="10.5" customHeight="1">
      <c r="Y642" s="43"/>
      <c r="Z642" s="43"/>
      <c r="AA642" s="43"/>
      <c r="AB642" s="43"/>
      <c r="AC642" s="43"/>
    </row>
    <row r="643" spans="25:29" s="214" customFormat="1" ht="10.5" customHeight="1">
      <c r="Y643" s="43"/>
      <c r="Z643" s="43"/>
      <c r="AA643" s="43"/>
      <c r="AB643" s="43"/>
      <c r="AC643" s="43"/>
    </row>
    <row r="644" spans="25:29" s="214" customFormat="1" ht="10.5" customHeight="1">
      <c r="Y644" s="43"/>
      <c r="Z644" s="43"/>
      <c r="AA644" s="43"/>
      <c r="AB644" s="43"/>
      <c r="AC644" s="43"/>
    </row>
    <row r="645" spans="25:29" s="214" customFormat="1" ht="10.5" customHeight="1">
      <c r="Y645" s="43"/>
      <c r="Z645" s="43"/>
      <c r="AA645" s="43"/>
      <c r="AB645" s="43"/>
      <c r="AC645" s="43"/>
    </row>
    <row r="646" spans="25:29" s="214" customFormat="1" ht="10.5" customHeight="1">
      <c r="Y646" s="43"/>
      <c r="Z646" s="43"/>
      <c r="AA646" s="43"/>
      <c r="AB646" s="43"/>
      <c r="AC646" s="43"/>
    </row>
    <row r="647" spans="25:29" s="214" customFormat="1" ht="10.5" customHeight="1">
      <c r="Y647" s="43"/>
      <c r="Z647" s="43"/>
      <c r="AA647" s="43"/>
      <c r="AB647" s="43"/>
      <c r="AC647" s="43"/>
    </row>
    <row r="648" spans="25:29" s="214" customFormat="1" ht="10.5" customHeight="1">
      <c r="Y648" s="43"/>
      <c r="Z648" s="43"/>
      <c r="AA648" s="43"/>
      <c r="AB648" s="43"/>
      <c r="AC648" s="43"/>
    </row>
    <row r="649" spans="25:29" s="214" customFormat="1" ht="10.5" customHeight="1">
      <c r="Y649" s="43"/>
      <c r="Z649" s="43"/>
      <c r="AA649" s="43"/>
      <c r="AB649" s="43"/>
      <c r="AC649" s="43"/>
    </row>
    <row r="650" spans="25:29" s="214" customFormat="1" ht="10.5" customHeight="1">
      <c r="Y650" s="43"/>
      <c r="Z650" s="43"/>
      <c r="AA650" s="43"/>
      <c r="AB650" s="43"/>
      <c r="AC650" s="43"/>
    </row>
    <row r="651" spans="25:29" s="214" customFormat="1" ht="10.5" customHeight="1">
      <c r="Y651" s="43"/>
      <c r="Z651" s="43"/>
      <c r="AA651" s="43"/>
      <c r="AB651" s="43"/>
      <c r="AC651" s="43"/>
    </row>
    <row r="652" spans="25:29" s="214" customFormat="1" ht="10.5" customHeight="1">
      <c r="Y652" s="43"/>
      <c r="Z652" s="43"/>
      <c r="AA652" s="43"/>
      <c r="AB652" s="43"/>
      <c r="AC652" s="43"/>
    </row>
    <row r="653" spans="25:29" s="214" customFormat="1" ht="10.5" customHeight="1">
      <c r="Y653" s="43"/>
      <c r="Z653" s="43"/>
      <c r="AA653" s="43"/>
      <c r="AB653" s="43"/>
      <c r="AC653" s="43"/>
    </row>
    <row r="654" spans="25:29" s="214" customFormat="1" ht="10.5" customHeight="1">
      <c r="Y654" s="43"/>
      <c r="Z654" s="43"/>
      <c r="AA654" s="43"/>
      <c r="AB654" s="43"/>
      <c r="AC654" s="43"/>
    </row>
    <row r="655" spans="25:29" s="214" customFormat="1" ht="10.5" customHeight="1">
      <c r="Y655" s="43"/>
      <c r="Z655" s="43"/>
      <c r="AA655" s="43"/>
      <c r="AB655" s="43"/>
      <c r="AC655" s="43"/>
    </row>
    <row r="656" spans="25:29" s="214" customFormat="1" ht="10.5" customHeight="1">
      <c r="Y656" s="43"/>
      <c r="Z656" s="43"/>
      <c r="AA656" s="43"/>
      <c r="AB656" s="43"/>
      <c r="AC656" s="43"/>
    </row>
    <row r="657" spans="25:29" s="214" customFormat="1" ht="10.5" customHeight="1">
      <c r="Y657" s="43"/>
      <c r="Z657" s="43"/>
      <c r="AA657" s="43"/>
      <c r="AB657" s="43"/>
      <c r="AC657" s="43"/>
    </row>
    <row r="658" spans="25:29" s="214" customFormat="1" ht="10.5" customHeight="1">
      <c r="Y658" s="43"/>
      <c r="Z658" s="43"/>
      <c r="AA658" s="43"/>
      <c r="AB658" s="43"/>
      <c r="AC658" s="43"/>
    </row>
    <row r="659" spans="25:29" s="214" customFormat="1" ht="10.5" customHeight="1">
      <c r="Y659" s="43"/>
      <c r="Z659" s="43"/>
      <c r="AA659" s="43"/>
      <c r="AB659" s="43"/>
      <c r="AC659" s="43"/>
    </row>
    <row r="660" spans="25:29" s="214" customFormat="1" ht="10.5" customHeight="1">
      <c r="Y660" s="43"/>
      <c r="Z660" s="43"/>
      <c r="AA660" s="43"/>
      <c r="AB660" s="43"/>
      <c r="AC660" s="43"/>
    </row>
    <row r="661" spans="25:29" s="214" customFormat="1" ht="10.5" customHeight="1">
      <c r="Y661" s="43"/>
      <c r="Z661" s="43"/>
      <c r="AA661" s="43"/>
      <c r="AB661" s="43"/>
      <c r="AC661" s="43"/>
    </row>
    <row r="662" spans="25:29" s="214" customFormat="1" ht="10.5" customHeight="1">
      <c r="Y662" s="43"/>
      <c r="Z662" s="43"/>
      <c r="AA662" s="43"/>
      <c r="AB662" s="43"/>
      <c r="AC662" s="43"/>
    </row>
    <row r="663" spans="25:29" s="214" customFormat="1" ht="10.5" customHeight="1">
      <c r="Y663" s="43"/>
      <c r="Z663" s="43"/>
      <c r="AA663" s="43"/>
      <c r="AB663" s="43"/>
      <c r="AC663" s="43"/>
    </row>
    <row r="664" spans="25:29" s="214" customFormat="1" ht="10.5" customHeight="1">
      <c r="Y664" s="43"/>
      <c r="Z664" s="43"/>
      <c r="AA664" s="43"/>
      <c r="AB664" s="43"/>
      <c r="AC664" s="43"/>
    </row>
    <row r="665" spans="25:29" s="214" customFormat="1" ht="10.5" customHeight="1">
      <c r="Y665" s="43"/>
      <c r="Z665" s="43"/>
      <c r="AA665" s="43"/>
      <c r="AB665" s="43"/>
      <c r="AC665" s="43"/>
    </row>
    <row r="666" spans="25:29" s="214" customFormat="1" ht="10.5" customHeight="1">
      <c r="Y666" s="43"/>
      <c r="Z666" s="43"/>
      <c r="AA666" s="43"/>
      <c r="AB666" s="43"/>
      <c r="AC666" s="43"/>
    </row>
    <row r="667" spans="25:29" s="214" customFormat="1" ht="10.5" customHeight="1">
      <c r="Y667" s="43"/>
      <c r="Z667" s="43"/>
      <c r="AA667" s="43"/>
      <c r="AB667" s="43"/>
      <c r="AC667" s="43"/>
    </row>
    <row r="668" spans="25:29" s="214" customFormat="1" ht="10.5" customHeight="1">
      <c r="Y668" s="43"/>
      <c r="Z668" s="43"/>
      <c r="AA668" s="43"/>
      <c r="AB668" s="43"/>
      <c r="AC668" s="43"/>
    </row>
    <row r="669" spans="25:29" s="214" customFormat="1" ht="10.5" customHeight="1">
      <c r="Y669" s="43"/>
      <c r="Z669" s="43"/>
      <c r="AA669" s="43"/>
      <c r="AB669" s="43"/>
      <c r="AC669" s="43"/>
    </row>
    <row r="670" spans="25:29" s="214" customFormat="1" ht="10.5" customHeight="1">
      <c r="Y670" s="43"/>
      <c r="Z670" s="43"/>
      <c r="AA670" s="43"/>
      <c r="AB670" s="43"/>
      <c r="AC670" s="43"/>
    </row>
    <row r="671" spans="25:29" s="214" customFormat="1" ht="10.5" customHeight="1">
      <c r="Y671" s="43"/>
      <c r="Z671" s="43"/>
      <c r="AA671" s="43"/>
      <c r="AB671" s="43"/>
      <c r="AC671" s="43"/>
    </row>
    <row r="672" spans="25:29" s="214" customFormat="1" ht="10.5" customHeight="1">
      <c r="Y672" s="43"/>
      <c r="Z672" s="43"/>
      <c r="AA672" s="43"/>
      <c r="AB672" s="43"/>
      <c r="AC672" s="43"/>
    </row>
    <row r="673" spans="25:29" s="214" customFormat="1" ht="10.5" customHeight="1">
      <c r="Y673" s="43"/>
      <c r="Z673" s="43"/>
      <c r="AA673" s="43"/>
      <c r="AB673" s="43"/>
      <c r="AC673" s="43"/>
    </row>
    <row r="674" spans="25:29" s="214" customFormat="1" ht="10.5" customHeight="1">
      <c r="Y674" s="43"/>
      <c r="Z674" s="43"/>
      <c r="AA674" s="43"/>
      <c r="AB674" s="43"/>
      <c r="AC674" s="43"/>
    </row>
    <row r="675" spans="25:29" s="214" customFormat="1" ht="10.5" customHeight="1">
      <c r="Y675" s="43"/>
      <c r="Z675" s="43"/>
      <c r="AA675" s="43"/>
      <c r="AB675" s="43"/>
      <c r="AC675" s="43"/>
    </row>
    <row r="676" spans="25:29" s="214" customFormat="1" ht="10.5" customHeight="1">
      <c r="Y676" s="43"/>
      <c r="Z676" s="43"/>
      <c r="AA676" s="43"/>
      <c r="AB676" s="43"/>
      <c r="AC676" s="43"/>
    </row>
    <row r="677" spans="25:29" s="214" customFormat="1" ht="10.5" customHeight="1">
      <c r="Y677" s="43"/>
      <c r="Z677" s="43"/>
      <c r="AA677" s="43"/>
      <c r="AB677" s="43"/>
      <c r="AC677" s="43"/>
    </row>
    <row r="678" spans="25:29" s="214" customFormat="1" ht="10.5" customHeight="1">
      <c r="Y678" s="43"/>
      <c r="Z678" s="43"/>
      <c r="AA678" s="43"/>
      <c r="AB678" s="43"/>
      <c r="AC678" s="43"/>
    </row>
    <row r="679" spans="25:29" s="214" customFormat="1" ht="10.5" customHeight="1">
      <c r="Y679" s="43"/>
      <c r="Z679" s="43"/>
      <c r="AA679" s="43"/>
      <c r="AB679" s="43"/>
      <c r="AC679" s="43"/>
    </row>
    <row r="680" spans="25:29" s="214" customFormat="1" ht="10.5" customHeight="1">
      <c r="Y680" s="43"/>
      <c r="Z680" s="43"/>
      <c r="AA680" s="43"/>
      <c r="AB680" s="43"/>
      <c r="AC680" s="43"/>
    </row>
    <row r="681" spans="25:29" s="214" customFormat="1" ht="10.5" customHeight="1">
      <c r="Y681" s="43"/>
      <c r="Z681" s="43"/>
      <c r="AA681" s="43"/>
      <c r="AB681" s="43"/>
      <c r="AC681" s="43"/>
    </row>
    <row r="682" spans="25:29" s="214" customFormat="1" ht="10.5" customHeight="1">
      <c r="Y682" s="43"/>
      <c r="Z682" s="43"/>
      <c r="AA682" s="43"/>
      <c r="AB682" s="43"/>
      <c r="AC682" s="43"/>
    </row>
    <row r="683" spans="25:29" s="214" customFormat="1" ht="10.5" customHeight="1">
      <c r="Y683" s="43"/>
      <c r="Z683" s="43"/>
      <c r="AA683" s="43"/>
      <c r="AB683" s="43"/>
      <c r="AC683" s="43"/>
    </row>
    <row r="684" spans="25:29" s="214" customFormat="1" ht="10.5" customHeight="1">
      <c r="Y684" s="43"/>
      <c r="Z684" s="43"/>
      <c r="AA684" s="43"/>
      <c r="AB684" s="43"/>
      <c r="AC684" s="43"/>
    </row>
    <row r="685" spans="25:29" s="214" customFormat="1" ht="10.5" customHeight="1">
      <c r="Y685" s="43"/>
      <c r="Z685" s="43"/>
      <c r="AA685" s="43"/>
      <c r="AB685" s="43"/>
      <c r="AC685" s="43"/>
    </row>
    <row r="686" spans="25:29" s="214" customFormat="1" ht="10.5" customHeight="1">
      <c r="Y686" s="43"/>
      <c r="Z686" s="43"/>
      <c r="AA686" s="43"/>
      <c r="AB686" s="43"/>
      <c r="AC686" s="43"/>
    </row>
    <row r="687" spans="25:29" s="214" customFormat="1" ht="10.5" customHeight="1">
      <c r="Y687" s="43"/>
      <c r="Z687" s="43"/>
      <c r="AA687" s="43"/>
      <c r="AB687" s="43"/>
      <c r="AC687" s="43"/>
    </row>
    <row r="688" spans="25:29" s="214" customFormat="1" ht="10.5" customHeight="1">
      <c r="Y688" s="43"/>
      <c r="Z688" s="43"/>
      <c r="AA688" s="43"/>
      <c r="AB688" s="43"/>
      <c r="AC688" s="43"/>
    </row>
    <row r="689" spans="25:29" s="214" customFormat="1" ht="10.5" customHeight="1">
      <c r="Y689" s="43"/>
      <c r="Z689" s="43"/>
      <c r="AA689" s="43"/>
      <c r="AB689" s="43"/>
      <c r="AC689" s="43"/>
    </row>
    <row r="690" spans="25:29" s="214" customFormat="1" ht="10.5" customHeight="1">
      <c r="Y690" s="43"/>
      <c r="Z690" s="43"/>
      <c r="AA690" s="43"/>
      <c r="AB690" s="43"/>
      <c r="AC690" s="43"/>
    </row>
    <row r="691" spans="25:29" s="214" customFormat="1" ht="10.5" customHeight="1">
      <c r="Y691" s="43"/>
      <c r="Z691" s="43"/>
      <c r="AA691" s="43"/>
      <c r="AB691" s="43"/>
      <c r="AC691" s="43"/>
    </row>
    <row r="692" spans="25:29" s="214" customFormat="1" ht="10.5" customHeight="1">
      <c r="Y692" s="43"/>
      <c r="Z692" s="43"/>
      <c r="AA692" s="43"/>
      <c r="AB692" s="43"/>
      <c r="AC692" s="43"/>
    </row>
    <row r="693" spans="25:29" s="214" customFormat="1" ht="10.5" customHeight="1">
      <c r="Y693" s="43"/>
      <c r="Z693" s="43"/>
      <c r="AA693" s="43"/>
      <c r="AB693" s="43"/>
      <c r="AC693" s="43"/>
    </row>
    <row r="694" spans="25:29" s="214" customFormat="1" ht="10.5" customHeight="1">
      <c r="Y694" s="43"/>
      <c r="Z694" s="43"/>
      <c r="AA694" s="43"/>
      <c r="AB694" s="43"/>
      <c r="AC694" s="43"/>
    </row>
    <row r="695" spans="25:29" s="214" customFormat="1" ht="10.5" customHeight="1">
      <c r="Y695" s="43"/>
      <c r="Z695" s="43"/>
      <c r="AA695" s="43"/>
      <c r="AB695" s="43"/>
      <c r="AC695" s="43"/>
    </row>
    <row r="696" spans="25:29" s="214" customFormat="1" ht="10.5" customHeight="1">
      <c r="Y696" s="43"/>
      <c r="Z696" s="43"/>
      <c r="AA696" s="43"/>
      <c r="AB696" s="43"/>
      <c r="AC696" s="43"/>
    </row>
    <row r="697" spans="25:29" s="214" customFormat="1" ht="10.5" customHeight="1">
      <c r="Y697" s="43"/>
      <c r="Z697" s="43"/>
      <c r="AA697" s="43"/>
      <c r="AB697" s="43"/>
      <c r="AC697" s="43"/>
    </row>
    <row r="698" spans="25:29" s="214" customFormat="1" ht="10.5" customHeight="1">
      <c r="Y698" s="43"/>
      <c r="Z698" s="43"/>
      <c r="AA698" s="43"/>
      <c r="AB698" s="43"/>
      <c r="AC698" s="43"/>
    </row>
    <row r="699" spans="25:29" s="214" customFormat="1" ht="10.5" customHeight="1">
      <c r="Y699" s="43"/>
      <c r="Z699" s="43"/>
      <c r="AA699" s="43"/>
      <c r="AB699" s="43"/>
      <c r="AC699" s="43"/>
    </row>
    <row r="700" spans="25:29" s="214" customFormat="1" ht="10.5" customHeight="1">
      <c r="Y700" s="43"/>
      <c r="Z700" s="43"/>
      <c r="AA700" s="43"/>
      <c r="AB700" s="43"/>
      <c r="AC700" s="43"/>
    </row>
    <row r="701" spans="25:29" s="214" customFormat="1" ht="10.5" customHeight="1">
      <c r="Y701" s="43"/>
      <c r="Z701" s="43"/>
      <c r="AA701" s="43"/>
      <c r="AB701" s="43"/>
      <c r="AC701" s="43"/>
    </row>
    <row r="702" spans="25:29" s="214" customFormat="1" ht="10.5" customHeight="1">
      <c r="Y702" s="43"/>
      <c r="Z702" s="43"/>
      <c r="AA702" s="43"/>
      <c r="AB702" s="43"/>
      <c r="AC702" s="43"/>
    </row>
    <row r="703" spans="25:29" s="214" customFormat="1" ht="10.5" customHeight="1">
      <c r="Y703" s="43"/>
      <c r="Z703" s="43"/>
      <c r="AA703" s="43"/>
      <c r="AB703" s="43"/>
      <c r="AC703" s="43"/>
    </row>
    <row r="704" spans="25:29" s="214" customFormat="1" ht="10.5" customHeight="1">
      <c r="Y704" s="43"/>
      <c r="Z704" s="43"/>
      <c r="AA704" s="43"/>
      <c r="AB704" s="43"/>
      <c r="AC704" s="43"/>
    </row>
    <row r="705" spans="25:29" s="214" customFormat="1" ht="10.5" customHeight="1">
      <c r="Y705" s="43"/>
      <c r="Z705" s="43"/>
      <c r="AA705" s="43"/>
      <c r="AB705" s="43"/>
      <c r="AC705" s="43"/>
    </row>
    <row r="706" spans="25:29" s="214" customFormat="1" ht="10.5" customHeight="1">
      <c r="Y706" s="43"/>
      <c r="Z706" s="43"/>
      <c r="AA706" s="43"/>
      <c r="AB706" s="43"/>
      <c r="AC706" s="43"/>
    </row>
    <row r="707" spans="25:29" s="214" customFormat="1" ht="10.5" customHeight="1">
      <c r="Y707" s="43"/>
      <c r="Z707" s="43"/>
      <c r="AA707" s="43"/>
      <c r="AB707" s="43"/>
      <c r="AC707" s="43"/>
    </row>
    <row r="708" spans="25:29" s="214" customFormat="1" ht="10.5" customHeight="1">
      <c r="Y708" s="43"/>
      <c r="Z708" s="43"/>
      <c r="AA708" s="43"/>
      <c r="AB708" s="43"/>
      <c r="AC708" s="43"/>
    </row>
    <row r="709" spans="25:29" s="214" customFormat="1" ht="10.5" customHeight="1">
      <c r="Y709" s="43"/>
      <c r="Z709" s="43"/>
      <c r="AA709" s="43"/>
      <c r="AB709" s="43"/>
      <c r="AC709" s="43"/>
    </row>
    <row r="710" spans="25:29" s="214" customFormat="1" ht="10.5" customHeight="1">
      <c r="Y710" s="43"/>
      <c r="Z710" s="43"/>
      <c r="AA710" s="43"/>
      <c r="AB710" s="43"/>
      <c r="AC710" s="43"/>
    </row>
    <row r="711" spans="25:29" s="214" customFormat="1" ht="10.5" customHeight="1">
      <c r="Y711" s="43"/>
      <c r="Z711" s="43"/>
      <c r="AA711" s="43"/>
      <c r="AB711" s="43"/>
      <c r="AC711" s="43"/>
    </row>
    <row r="712" spans="25:29" s="214" customFormat="1" ht="10.5" customHeight="1">
      <c r="Y712" s="43"/>
      <c r="Z712" s="43"/>
      <c r="AA712" s="43"/>
      <c r="AB712" s="43"/>
      <c r="AC712" s="43"/>
    </row>
    <row r="713" spans="25:29" s="214" customFormat="1" ht="10.5" customHeight="1">
      <c r="Y713" s="43"/>
      <c r="Z713" s="43"/>
      <c r="AA713" s="43"/>
      <c r="AB713" s="43"/>
      <c r="AC713" s="43"/>
    </row>
    <row r="714" spans="25:29" s="214" customFormat="1" ht="10.5" customHeight="1">
      <c r="Y714" s="43"/>
      <c r="Z714" s="43"/>
      <c r="AA714" s="43"/>
      <c r="AB714" s="43"/>
      <c r="AC714" s="43"/>
    </row>
    <row r="715" spans="25:29" s="214" customFormat="1" ht="10.5" customHeight="1">
      <c r="Y715" s="43"/>
      <c r="Z715" s="43"/>
      <c r="AA715" s="43"/>
      <c r="AB715" s="43"/>
      <c r="AC715" s="43"/>
    </row>
    <row r="716" spans="25:29" s="214" customFormat="1" ht="10.5" customHeight="1">
      <c r="Y716" s="43"/>
      <c r="Z716" s="43"/>
      <c r="AA716" s="43"/>
      <c r="AB716" s="43"/>
      <c r="AC716" s="43"/>
    </row>
    <row r="717" spans="25:29" s="214" customFormat="1" ht="10.5" customHeight="1">
      <c r="Y717" s="43"/>
      <c r="Z717" s="43"/>
      <c r="AA717" s="43"/>
      <c r="AB717" s="43"/>
      <c r="AC717" s="43"/>
    </row>
    <row r="718" spans="25:29" s="214" customFormat="1" ht="10.5" customHeight="1">
      <c r="Y718" s="43"/>
      <c r="Z718" s="43"/>
      <c r="AA718" s="43"/>
      <c r="AB718" s="43"/>
      <c r="AC718" s="43"/>
    </row>
    <row r="719" spans="25:29" s="214" customFormat="1" ht="10.5" customHeight="1">
      <c r="Y719" s="43"/>
      <c r="Z719" s="43"/>
      <c r="AA719" s="43"/>
      <c r="AB719" s="43"/>
      <c r="AC719" s="43"/>
    </row>
    <row r="720" spans="25:29" s="214" customFormat="1" ht="10.5" customHeight="1">
      <c r="Y720" s="43"/>
      <c r="Z720" s="43"/>
      <c r="AA720" s="43"/>
      <c r="AB720" s="43"/>
      <c r="AC720" s="43"/>
    </row>
    <row r="721" spans="25:29" s="214" customFormat="1" ht="10.5" customHeight="1">
      <c r="Y721" s="43"/>
      <c r="Z721" s="43"/>
      <c r="AA721" s="43"/>
      <c r="AB721" s="43"/>
      <c r="AC721" s="43"/>
    </row>
    <row r="722" spans="25:29" s="214" customFormat="1" ht="10.5" customHeight="1">
      <c r="Y722" s="43"/>
      <c r="Z722" s="43"/>
      <c r="AA722" s="43"/>
      <c r="AB722" s="43"/>
      <c r="AC722" s="43"/>
    </row>
    <row r="723" spans="25:29" s="214" customFormat="1" ht="10.5" customHeight="1">
      <c r="Y723" s="43"/>
      <c r="Z723" s="43"/>
      <c r="AA723" s="43"/>
      <c r="AB723" s="43"/>
      <c r="AC723" s="43"/>
    </row>
    <row r="724" spans="25:29" s="214" customFormat="1" ht="10.5" customHeight="1">
      <c r="Y724" s="43"/>
      <c r="Z724" s="43"/>
      <c r="AA724" s="43"/>
      <c r="AB724" s="43"/>
      <c r="AC724" s="43"/>
    </row>
    <row r="725" spans="25:29" s="214" customFormat="1" ht="10.5" customHeight="1">
      <c r="Y725" s="43"/>
      <c r="Z725" s="43"/>
      <c r="AA725" s="43"/>
      <c r="AB725" s="43"/>
      <c r="AC725" s="43"/>
    </row>
    <row r="726" spans="25:29" s="214" customFormat="1" ht="10.5" customHeight="1">
      <c r="Y726" s="43"/>
      <c r="Z726" s="43"/>
      <c r="AA726" s="43"/>
      <c r="AB726" s="43"/>
      <c r="AC726" s="43"/>
    </row>
    <row r="727" spans="25:29" s="214" customFormat="1" ht="10.5" customHeight="1">
      <c r="Y727" s="43"/>
      <c r="Z727" s="43"/>
      <c r="AA727" s="43"/>
      <c r="AB727" s="43"/>
      <c r="AC727" s="43"/>
    </row>
    <row r="728" spans="25:29" s="214" customFormat="1" ht="10.5" customHeight="1">
      <c r="Y728" s="43"/>
      <c r="Z728" s="43"/>
      <c r="AA728" s="43"/>
      <c r="AB728" s="43"/>
      <c r="AC728" s="43"/>
    </row>
    <row r="729" spans="25:29" s="214" customFormat="1" ht="10.5" customHeight="1">
      <c r="Y729" s="43"/>
      <c r="Z729" s="43"/>
      <c r="AA729" s="43"/>
      <c r="AB729" s="43"/>
      <c r="AC729" s="43"/>
    </row>
    <row r="730" spans="25:29" s="214" customFormat="1" ht="10.5" customHeight="1">
      <c r="Y730" s="43"/>
      <c r="Z730" s="43"/>
      <c r="AA730" s="43"/>
      <c r="AB730" s="43"/>
      <c r="AC730" s="43"/>
    </row>
    <row r="731" spans="25:29" s="214" customFormat="1" ht="10.5" customHeight="1">
      <c r="Y731" s="43"/>
      <c r="Z731" s="43"/>
      <c r="AA731" s="43"/>
      <c r="AB731" s="43"/>
      <c r="AC731" s="43"/>
    </row>
    <row r="732" spans="25:29" s="214" customFormat="1" ht="10.5" customHeight="1">
      <c r="Y732" s="43"/>
      <c r="Z732" s="43"/>
      <c r="AA732" s="43"/>
      <c r="AB732" s="43"/>
      <c r="AC732" s="43"/>
    </row>
    <row r="733" spans="25:29" s="214" customFormat="1" ht="10.5" customHeight="1">
      <c r="Y733" s="43"/>
      <c r="Z733" s="43"/>
      <c r="AA733" s="43"/>
      <c r="AB733" s="43"/>
      <c r="AC733" s="43"/>
    </row>
    <row r="734" spans="25:29" s="214" customFormat="1" ht="10.5" customHeight="1">
      <c r="Y734" s="43"/>
      <c r="Z734" s="43"/>
      <c r="AA734" s="43"/>
      <c r="AB734" s="43"/>
      <c r="AC734" s="43"/>
    </row>
    <row r="735" spans="25:29" s="214" customFormat="1" ht="10.5" customHeight="1">
      <c r="Y735" s="43"/>
      <c r="Z735" s="43"/>
      <c r="AA735" s="43"/>
      <c r="AB735" s="43"/>
      <c r="AC735" s="43"/>
    </row>
    <row r="736" spans="25:29" s="214" customFormat="1" ht="10.5" customHeight="1">
      <c r="Y736" s="43"/>
      <c r="Z736" s="43"/>
      <c r="AA736" s="43"/>
      <c r="AB736" s="43"/>
      <c r="AC736" s="43"/>
    </row>
    <row r="737" spans="25:29" s="214" customFormat="1" ht="10.5" customHeight="1">
      <c r="Y737" s="43"/>
      <c r="Z737" s="43"/>
      <c r="AA737" s="43"/>
      <c r="AB737" s="43"/>
      <c r="AC737" s="43"/>
    </row>
    <row r="738" spans="25:29" s="214" customFormat="1" ht="10.5" customHeight="1">
      <c r="Y738" s="43"/>
      <c r="Z738" s="43"/>
      <c r="AA738" s="43"/>
      <c r="AB738" s="43"/>
      <c r="AC738" s="43"/>
    </row>
    <row r="739" spans="25:29" s="214" customFormat="1" ht="10.5" customHeight="1">
      <c r="Y739" s="43"/>
      <c r="Z739" s="43"/>
      <c r="AA739" s="43"/>
      <c r="AB739" s="43"/>
      <c r="AC739" s="43"/>
    </row>
    <row r="740" spans="25:29" s="214" customFormat="1" ht="10.5" customHeight="1">
      <c r="Y740" s="43"/>
      <c r="Z740" s="43"/>
      <c r="AA740" s="43"/>
      <c r="AB740" s="43"/>
      <c r="AC740" s="43"/>
    </row>
    <row r="741" spans="25:29" s="214" customFormat="1" ht="10.5" customHeight="1">
      <c r="Y741" s="43"/>
      <c r="Z741" s="43"/>
      <c r="AA741" s="43"/>
      <c r="AB741" s="43"/>
      <c r="AC741" s="43"/>
    </row>
    <row r="742" spans="25:29" s="214" customFormat="1" ht="10.5" customHeight="1">
      <c r="Y742" s="43"/>
      <c r="Z742" s="43"/>
      <c r="AA742" s="43"/>
      <c r="AB742" s="43"/>
      <c r="AC742" s="43"/>
    </row>
    <row r="743" spans="25:29" s="214" customFormat="1" ht="10.5" customHeight="1">
      <c r="Y743" s="43"/>
      <c r="Z743" s="43"/>
      <c r="AA743" s="43"/>
      <c r="AB743" s="43"/>
      <c r="AC743" s="43"/>
    </row>
    <row r="744" spans="25:29" s="214" customFormat="1" ht="10.5" customHeight="1">
      <c r="Y744" s="43"/>
      <c r="Z744" s="43"/>
      <c r="AA744" s="43"/>
      <c r="AB744" s="43"/>
      <c r="AC744" s="43"/>
    </row>
    <row r="745" spans="25:29" s="214" customFormat="1" ht="10.5" customHeight="1">
      <c r="Y745" s="43"/>
      <c r="Z745" s="43"/>
      <c r="AA745" s="43"/>
      <c r="AB745" s="43"/>
      <c r="AC745" s="43"/>
    </row>
    <row r="746" spans="25:29" s="214" customFormat="1" ht="10.5" customHeight="1">
      <c r="Y746" s="43"/>
      <c r="Z746" s="43"/>
      <c r="AA746" s="43"/>
      <c r="AB746" s="43"/>
      <c r="AC746" s="43"/>
    </row>
    <row r="747" spans="25:29" s="214" customFormat="1" ht="10.5" customHeight="1">
      <c r="Y747" s="43"/>
      <c r="Z747" s="43"/>
      <c r="AA747" s="43"/>
      <c r="AB747" s="43"/>
      <c r="AC747" s="43"/>
    </row>
    <row r="748" spans="25:29" s="214" customFormat="1" ht="10.5" customHeight="1">
      <c r="Y748" s="43"/>
      <c r="Z748" s="43"/>
      <c r="AA748" s="43"/>
      <c r="AB748" s="43"/>
      <c r="AC748" s="43"/>
    </row>
    <row r="749" spans="25:29" s="214" customFormat="1" ht="10.5" customHeight="1">
      <c r="Y749" s="43"/>
      <c r="Z749" s="43"/>
      <c r="AA749" s="43"/>
      <c r="AB749" s="43"/>
      <c r="AC749" s="43"/>
    </row>
    <row r="750" spans="25:29" s="214" customFormat="1" ht="10.5" customHeight="1">
      <c r="Y750" s="43"/>
      <c r="Z750" s="43"/>
      <c r="AA750" s="43"/>
      <c r="AB750" s="43"/>
      <c r="AC750" s="43"/>
    </row>
    <row r="751" spans="25:29" s="214" customFormat="1" ht="10.5" customHeight="1">
      <c r="Y751" s="43"/>
      <c r="Z751" s="43"/>
      <c r="AA751" s="43"/>
      <c r="AB751" s="43"/>
      <c r="AC751" s="43"/>
    </row>
    <row r="752" spans="25:29" s="214" customFormat="1" ht="10.5" customHeight="1">
      <c r="Y752" s="43"/>
      <c r="Z752" s="43"/>
      <c r="AA752" s="43"/>
      <c r="AB752" s="43"/>
      <c r="AC752" s="43"/>
    </row>
    <row r="753" spans="25:29" s="214" customFormat="1" ht="10.5" customHeight="1">
      <c r="Y753" s="43"/>
      <c r="Z753" s="43"/>
      <c r="AA753" s="43"/>
      <c r="AB753" s="43"/>
      <c r="AC753" s="43"/>
    </row>
    <row r="754" spans="25:29" s="214" customFormat="1" ht="10.5" customHeight="1">
      <c r="Y754" s="43"/>
      <c r="Z754" s="43"/>
      <c r="AA754" s="43"/>
      <c r="AB754" s="43"/>
      <c r="AC754" s="43"/>
    </row>
    <row r="755" spans="25:29" s="214" customFormat="1" ht="10.5" customHeight="1">
      <c r="Y755" s="43"/>
      <c r="Z755" s="43"/>
      <c r="AA755" s="43"/>
      <c r="AB755" s="43"/>
      <c r="AC755" s="43"/>
    </row>
    <row r="756" spans="25:29" s="214" customFormat="1" ht="10.5" customHeight="1">
      <c r="Y756" s="43"/>
      <c r="Z756" s="43"/>
      <c r="AA756" s="43"/>
      <c r="AB756" s="43"/>
      <c r="AC756" s="43"/>
    </row>
    <row r="757" spans="25:29" s="214" customFormat="1" ht="10.5" customHeight="1">
      <c r="Y757" s="43"/>
      <c r="Z757" s="43"/>
      <c r="AA757" s="43"/>
      <c r="AB757" s="43"/>
      <c r="AC757" s="43"/>
    </row>
    <row r="758" spans="25:29" s="214" customFormat="1" ht="10.5" customHeight="1">
      <c r="Y758" s="43"/>
      <c r="Z758" s="43"/>
      <c r="AA758" s="43"/>
      <c r="AB758" s="43"/>
      <c r="AC758" s="43"/>
    </row>
    <row r="759" spans="25:29" s="214" customFormat="1" ht="10.5" customHeight="1">
      <c r="Y759" s="43"/>
      <c r="Z759" s="43"/>
      <c r="AA759" s="43"/>
      <c r="AB759" s="43"/>
      <c r="AC759" s="43"/>
    </row>
    <row r="760" spans="25:29" s="214" customFormat="1" ht="10.5" customHeight="1">
      <c r="Y760" s="43"/>
      <c r="Z760" s="43"/>
      <c r="AA760" s="43"/>
      <c r="AB760" s="43"/>
      <c r="AC760" s="43"/>
    </row>
    <row r="761" spans="25:29" s="214" customFormat="1" ht="10.5" customHeight="1">
      <c r="Y761" s="43"/>
      <c r="Z761" s="43"/>
      <c r="AA761" s="43"/>
      <c r="AB761" s="43"/>
      <c r="AC761" s="43"/>
    </row>
    <row r="762" spans="25:29" s="214" customFormat="1" ht="10.5" customHeight="1">
      <c r="Y762" s="43"/>
      <c r="Z762" s="43"/>
      <c r="AA762" s="43"/>
      <c r="AB762" s="43"/>
      <c r="AC762" s="43"/>
    </row>
    <row r="763" spans="25:29" s="214" customFormat="1" ht="10.5" customHeight="1">
      <c r="Y763" s="43"/>
      <c r="Z763" s="43"/>
      <c r="AA763" s="43"/>
      <c r="AB763" s="43"/>
      <c r="AC763" s="43"/>
    </row>
    <row r="764" spans="25:29" s="214" customFormat="1" ht="10.5" customHeight="1">
      <c r="Y764" s="43"/>
      <c r="Z764" s="43"/>
      <c r="AA764" s="43"/>
      <c r="AB764" s="43"/>
      <c r="AC764" s="43"/>
    </row>
    <row r="765" spans="25:29" s="214" customFormat="1" ht="10.5" customHeight="1">
      <c r="Y765" s="43"/>
      <c r="Z765" s="43"/>
      <c r="AA765" s="43"/>
      <c r="AB765" s="43"/>
      <c r="AC765" s="43"/>
    </row>
    <row r="766" spans="25:29" s="214" customFormat="1" ht="10.5" customHeight="1">
      <c r="Y766" s="43"/>
      <c r="Z766" s="43"/>
      <c r="AA766" s="43"/>
      <c r="AB766" s="43"/>
      <c r="AC766" s="43"/>
    </row>
    <row r="767" spans="25:29" s="214" customFormat="1" ht="10.5" customHeight="1">
      <c r="Y767" s="43"/>
      <c r="Z767" s="43"/>
      <c r="AA767" s="43"/>
      <c r="AB767" s="43"/>
      <c r="AC767" s="43"/>
    </row>
    <row r="768" spans="25:29" s="214" customFormat="1" ht="10.5" customHeight="1">
      <c r="Y768" s="43"/>
      <c r="Z768" s="43"/>
      <c r="AA768" s="43"/>
      <c r="AB768" s="43"/>
      <c r="AC768" s="43"/>
    </row>
    <row r="769" spans="25:29" s="214" customFormat="1" ht="10.5" customHeight="1">
      <c r="Y769" s="43"/>
      <c r="Z769" s="43"/>
      <c r="AA769" s="43"/>
      <c r="AB769" s="43"/>
      <c r="AC769" s="43"/>
    </row>
    <row r="770" spans="25:29" s="214" customFormat="1" ht="10.5" customHeight="1">
      <c r="Y770" s="43"/>
      <c r="Z770" s="43"/>
      <c r="AA770" s="43"/>
      <c r="AB770" s="43"/>
      <c r="AC770" s="43"/>
    </row>
    <row r="771" spans="25:29" s="214" customFormat="1" ht="10.5" customHeight="1">
      <c r="Y771" s="43"/>
      <c r="Z771" s="43"/>
      <c r="AA771" s="43"/>
      <c r="AB771" s="43"/>
      <c r="AC771" s="43"/>
    </row>
    <row r="772" spans="25:29" s="214" customFormat="1" ht="10.5" customHeight="1">
      <c r="Y772" s="43"/>
      <c r="Z772" s="43"/>
      <c r="AA772" s="43"/>
      <c r="AB772" s="43"/>
      <c r="AC772" s="43"/>
    </row>
    <row r="773" spans="25:29" s="214" customFormat="1" ht="10.5" customHeight="1">
      <c r="Y773" s="43"/>
      <c r="Z773" s="43"/>
      <c r="AA773" s="43"/>
      <c r="AB773" s="43"/>
      <c r="AC773" s="43"/>
    </row>
    <row r="774" spans="25:29" s="214" customFormat="1" ht="10.5" customHeight="1">
      <c r="Y774" s="43"/>
      <c r="Z774" s="43"/>
      <c r="AA774" s="43"/>
      <c r="AB774" s="43"/>
      <c r="AC774" s="43"/>
    </row>
    <row r="775" spans="25:29" s="214" customFormat="1" ht="10.5" customHeight="1">
      <c r="Y775" s="43"/>
      <c r="Z775" s="43"/>
      <c r="AA775" s="43"/>
      <c r="AB775" s="43"/>
      <c r="AC775" s="43"/>
    </row>
    <row r="776" spans="25:29" s="214" customFormat="1" ht="10.5" customHeight="1">
      <c r="Y776" s="43"/>
      <c r="Z776" s="43"/>
      <c r="AA776" s="43"/>
      <c r="AB776" s="43"/>
      <c r="AC776" s="43"/>
    </row>
    <row r="777" spans="25:29" s="214" customFormat="1" ht="10.5" customHeight="1">
      <c r="Y777" s="43"/>
      <c r="Z777" s="43"/>
      <c r="AA777" s="43"/>
      <c r="AB777" s="43"/>
      <c r="AC777" s="43"/>
    </row>
    <row r="778" spans="25:29" s="214" customFormat="1" ht="10.5" customHeight="1">
      <c r="Y778" s="43"/>
      <c r="Z778" s="43"/>
      <c r="AA778" s="43"/>
      <c r="AB778" s="43"/>
      <c r="AC778" s="43"/>
    </row>
    <row r="779" spans="25:29" s="214" customFormat="1" ht="10.5" customHeight="1">
      <c r="Y779" s="43"/>
      <c r="Z779" s="43"/>
      <c r="AA779" s="43"/>
      <c r="AB779" s="43"/>
      <c r="AC779" s="43"/>
    </row>
    <row r="780" spans="25:29" s="214" customFormat="1" ht="10.5" customHeight="1">
      <c r="Y780" s="43"/>
      <c r="Z780" s="43"/>
      <c r="AA780" s="43"/>
      <c r="AB780" s="43"/>
      <c r="AC780" s="43"/>
    </row>
    <row r="781" spans="25:29" s="214" customFormat="1" ht="10.5" customHeight="1">
      <c r="Y781" s="43"/>
      <c r="Z781" s="43"/>
      <c r="AA781" s="43"/>
      <c r="AB781" s="43"/>
      <c r="AC781" s="43"/>
    </row>
    <row r="782" spans="25:29" s="214" customFormat="1" ht="10.5" customHeight="1">
      <c r="Y782" s="43"/>
      <c r="Z782" s="43"/>
      <c r="AA782" s="43"/>
      <c r="AB782" s="43"/>
      <c r="AC782" s="43"/>
    </row>
    <row r="783" spans="25:29" s="214" customFormat="1" ht="10.5" customHeight="1">
      <c r="Y783" s="43"/>
      <c r="Z783" s="43"/>
      <c r="AA783" s="43"/>
      <c r="AB783" s="43"/>
      <c r="AC783" s="43"/>
    </row>
    <row r="784" spans="25:29" s="214" customFormat="1" ht="10.5" customHeight="1">
      <c r="Y784" s="43"/>
      <c r="Z784" s="43"/>
      <c r="AA784" s="43"/>
      <c r="AB784" s="43"/>
      <c r="AC784" s="43"/>
    </row>
    <row r="785" spans="25:29" s="214" customFormat="1" ht="10.5" customHeight="1">
      <c r="Y785" s="43"/>
      <c r="Z785" s="43"/>
      <c r="AA785" s="43"/>
      <c r="AB785" s="43"/>
      <c r="AC785" s="43"/>
    </row>
    <row r="786" spans="25:29" s="214" customFormat="1" ht="10.5" customHeight="1">
      <c r="Y786" s="43"/>
      <c r="Z786" s="43"/>
      <c r="AA786" s="43"/>
      <c r="AB786" s="43"/>
      <c r="AC786" s="43"/>
    </row>
    <row r="787" spans="25:29" s="214" customFormat="1" ht="10.5" customHeight="1">
      <c r="Y787" s="43"/>
      <c r="Z787" s="43"/>
      <c r="AA787" s="43"/>
      <c r="AB787" s="43"/>
      <c r="AC787" s="43"/>
    </row>
    <row r="788" spans="25:29" s="214" customFormat="1" ht="10.5" customHeight="1">
      <c r="Y788" s="43"/>
      <c r="Z788" s="43"/>
      <c r="AA788" s="43"/>
      <c r="AB788" s="43"/>
      <c r="AC788" s="43"/>
    </row>
    <row r="789" spans="25:29" s="214" customFormat="1" ht="10.5" customHeight="1">
      <c r="Y789" s="43"/>
      <c r="Z789" s="43"/>
      <c r="AA789" s="43"/>
      <c r="AB789" s="43"/>
      <c r="AC789" s="43"/>
    </row>
    <row r="790" spans="25:29" s="214" customFormat="1" ht="10.5" customHeight="1">
      <c r="Y790" s="43"/>
      <c r="Z790" s="43"/>
      <c r="AA790" s="43"/>
      <c r="AB790" s="43"/>
      <c r="AC790" s="43"/>
    </row>
    <row r="791" spans="25:29" s="214" customFormat="1" ht="10.5" customHeight="1">
      <c r="Y791" s="43"/>
      <c r="Z791" s="43"/>
      <c r="AA791" s="43"/>
      <c r="AB791" s="43"/>
      <c r="AC791" s="43"/>
    </row>
    <row r="792" spans="25:29" s="214" customFormat="1" ht="10.5" customHeight="1">
      <c r="Y792" s="43"/>
      <c r="Z792" s="43"/>
      <c r="AA792" s="43"/>
      <c r="AB792" s="43"/>
      <c r="AC792" s="43"/>
    </row>
    <row r="793" spans="25:29" s="214" customFormat="1" ht="10.5" customHeight="1">
      <c r="Y793" s="43"/>
      <c r="Z793" s="43"/>
      <c r="AA793" s="43"/>
      <c r="AB793" s="43"/>
      <c r="AC793" s="43"/>
    </row>
    <row r="794" spans="25:29" s="214" customFormat="1" ht="10.5" customHeight="1">
      <c r="Y794" s="43"/>
      <c r="Z794" s="43"/>
      <c r="AA794" s="43"/>
      <c r="AB794" s="43"/>
      <c r="AC794" s="43"/>
    </row>
  </sheetData>
  <sheetCalcPr fullCalcOnLoad="1"/>
  <pageMargins left="0.22" right="0.23" top="1" bottom="1" header="0.5" footer="0.5"/>
  <pageSetup paperSize="5" scale="62" fitToHeight="2" orientation="landscape" horizontalDpi="1200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CB379"/>
  <sheetViews>
    <sheetView topLeftCell="A37" zoomScaleNormal="100" zoomScaleSheetLayoutView="100" workbookViewId="0">
      <selection activeCell="E38" sqref="E38"/>
    </sheetView>
  </sheetViews>
  <sheetFormatPr defaultRowHeight="11.25"/>
  <cols>
    <col min="1" max="1" width="4.28515625" style="31" customWidth="1"/>
    <col min="2" max="2" width="36.7109375" style="31" customWidth="1"/>
    <col min="3" max="42" width="9.7109375" style="31" customWidth="1"/>
    <col min="43" max="16384" width="9.140625" style="31"/>
  </cols>
  <sheetData>
    <row r="1" spans="1:63" s="443" customFormat="1" ht="20.25">
      <c r="A1" s="47"/>
      <c r="B1" s="444" t="s">
        <v>428</v>
      </c>
      <c r="C1" s="489"/>
      <c r="D1" s="489"/>
      <c r="E1" s="489"/>
      <c r="F1" s="489"/>
      <c r="G1" s="489"/>
      <c r="H1" s="489"/>
      <c r="I1" s="489"/>
      <c r="J1" s="489"/>
      <c r="K1" s="489"/>
      <c r="L1" s="489"/>
      <c r="M1" s="489"/>
      <c r="N1" s="489"/>
      <c r="O1" s="489"/>
      <c r="P1" s="489"/>
      <c r="Q1" s="489"/>
      <c r="R1" s="489"/>
      <c r="S1" s="489"/>
      <c r="T1" s="489"/>
      <c r="U1" s="489"/>
      <c r="V1" s="489"/>
      <c r="W1" s="489"/>
      <c r="X1" s="489"/>
      <c r="Y1" s="489"/>
      <c r="Z1" s="489"/>
      <c r="AA1" s="489"/>
      <c r="AB1" s="489"/>
      <c r="AC1" s="489"/>
      <c r="AD1" s="489"/>
      <c r="AE1" s="489"/>
      <c r="AF1" s="489"/>
      <c r="AG1" s="489"/>
      <c r="AH1" s="489"/>
      <c r="AI1" s="489"/>
      <c r="AJ1" s="489"/>
      <c r="AK1" s="489"/>
      <c r="AL1" s="489"/>
      <c r="AM1" s="489"/>
      <c r="AN1" s="489"/>
      <c r="AO1" s="489"/>
      <c r="AP1" s="489"/>
    </row>
    <row r="2" spans="1:63" s="443" customFormat="1">
      <c r="A2" s="47"/>
      <c r="B2" s="58"/>
      <c r="C2" s="348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</row>
    <row r="3" spans="1:63" s="50" customFormat="1">
      <c r="A3" s="5"/>
      <c r="B3" s="5"/>
      <c r="C3" s="423">
        <f>SUM(C11:AD11)</f>
        <v>36891</v>
      </c>
      <c r="D3" s="389" t="s">
        <v>36</v>
      </c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89"/>
      <c r="P3" s="389"/>
      <c r="Q3" s="389"/>
      <c r="R3" s="389"/>
      <c r="S3" s="389"/>
      <c r="T3" s="389"/>
      <c r="U3" s="389"/>
      <c r="V3" s="389"/>
      <c r="W3" s="389"/>
      <c r="X3" s="389"/>
      <c r="Y3" s="389"/>
      <c r="Z3" s="389"/>
      <c r="AA3" s="389"/>
      <c r="AB3" s="389"/>
      <c r="AC3" s="389"/>
      <c r="AD3" s="389"/>
      <c r="AE3" s="389"/>
      <c r="AF3" s="389"/>
      <c r="AG3" s="389"/>
      <c r="AH3" s="389"/>
      <c r="AI3" s="389"/>
      <c r="AJ3" s="389"/>
      <c r="AK3" s="389"/>
      <c r="AL3" s="389"/>
      <c r="AM3" s="389"/>
      <c r="AN3" s="389"/>
      <c r="AO3" s="389"/>
      <c r="AP3" s="38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</row>
    <row r="4" spans="1:63" s="48" customFormat="1">
      <c r="C4" s="424"/>
      <c r="D4" s="389"/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/>
      <c r="P4" s="389"/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/>
      <c r="AB4" s="389"/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/>
      <c r="AN4" s="389"/>
      <c r="AO4" s="389"/>
      <c r="AP4" s="38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</row>
    <row r="5" spans="1:63" s="48" customFormat="1">
      <c r="B5" s="425" t="s">
        <v>395</v>
      </c>
      <c r="C5" s="452">
        <f>IF(B3=C15,1,0)</f>
        <v>0</v>
      </c>
      <c r="D5" s="452">
        <f>IF($C$3=D15,1,0)</f>
        <v>1</v>
      </c>
      <c r="E5" s="452">
        <f>IF(D5&gt;0,D5+1,IF($C$3=E15,1,0))</f>
        <v>2</v>
      </c>
      <c r="F5" s="452">
        <f>IF(E5&gt;0,E5+1,IF($C$3=F15,1,0))</f>
        <v>3</v>
      </c>
      <c r="G5" s="452">
        <f t="shared" ref="G5:W5" si="0">IF(F5&gt;0,F5+1,IF($C$3=G15,1,0))</f>
        <v>4</v>
      </c>
      <c r="H5" s="452">
        <f t="shared" si="0"/>
        <v>5</v>
      </c>
      <c r="I5" s="452">
        <f t="shared" si="0"/>
        <v>6</v>
      </c>
      <c r="J5" s="452">
        <f t="shared" si="0"/>
        <v>7</v>
      </c>
      <c r="K5" s="452">
        <f t="shared" si="0"/>
        <v>8</v>
      </c>
      <c r="L5" s="452">
        <f t="shared" si="0"/>
        <v>9</v>
      </c>
      <c r="M5" s="452">
        <f t="shared" si="0"/>
        <v>10</v>
      </c>
      <c r="N5" s="452">
        <f t="shared" si="0"/>
        <v>11</v>
      </c>
      <c r="O5" s="452">
        <f t="shared" si="0"/>
        <v>12</v>
      </c>
      <c r="P5" s="452">
        <f t="shared" si="0"/>
        <v>13</v>
      </c>
      <c r="Q5" s="452">
        <f t="shared" si="0"/>
        <v>14</v>
      </c>
      <c r="R5" s="452">
        <f t="shared" si="0"/>
        <v>15</v>
      </c>
      <c r="S5" s="452">
        <f t="shared" si="0"/>
        <v>16</v>
      </c>
      <c r="T5" s="452">
        <f t="shared" si="0"/>
        <v>17</v>
      </c>
      <c r="U5" s="452">
        <f t="shared" si="0"/>
        <v>18</v>
      </c>
      <c r="V5" s="452">
        <f t="shared" si="0"/>
        <v>19</v>
      </c>
      <c r="W5" s="452">
        <f t="shared" si="0"/>
        <v>20</v>
      </c>
      <c r="X5" s="452">
        <f>IF(W5&gt;0,W5+1,IF($C$3=X15,1,0))</f>
        <v>21</v>
      </c>
      <c r="Y5" s="452"/>
      <c r="Z5" s="452"/>
      <c r="AA5" s="452"/>
      <c r="AB5" s="452"/>
      <c r="AC5" s="452"/>
      <c r="AD5" s="452"/>
      <c r="AE5" s="452"/>
      <c r="AF5" s="452"/>
      <c r="AG5" s="452"/>
      <c r="AH5" s="452"/>
      <c r="AI5" s="452"/>
      <c r="AJ5" s="452"/>
      <c r="AK5" s="452"/>
      <c r="AL5" s="452"/>
      <c r="AM5" s="452"/>
      <c r="AN5" s="452"/>
      <c r="AO5" s="452"/>
      <c r="AP5" s="452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</row>
    <row r="6" spans="1:63" s="48" customFormat="1">
      <c r="B6" s="425"/>
      <c r="C6" s="452"/>
      <c r="D6" s="452"/>
      <c r="E6" s="452"/>
      <c r="F6" s="452"/>
      <c r="G6" s="452"/>
      <c r="H6" s="452"/>
      <c r="I6" s="452"/>
      <c r="J6" s="452"/>
      <c r="K6" s="452"/>
      <c r="L6" s="452"/>
      <c r="M6" s="452"/>
      <c r="N6" s="452"/>
      <c r="O6" s="452"/>
      <c r="P6" s="452"/>
      <c r="Q6" s="452"/>
      <c r="R6" s="452"/>
      <c r="S6" s="452"/>
      <c r="T6" s="452"/>
      <c r="U6" s="452"/>
      <c r="V6" s="452"/>
      <c r="W6" s="452"/>
      <c r="X6" s="452"/>
      <c r="Y6" s="452"/>
      <c r="Z6" s="452"/>
      <c r="AA6" s="452"/>
      <c r="AB6" s="452"/>
      <c r="AC6" s="452"/>
      <c r="AD6" s="452"/>
      <c r="AE6" s="452"/>
      <c r="AF6" s="452"/>
      <c r="AG6" s="452"/>
      <c r="AH6" s="452"/>
      <c r="AI6" s="452"/>
      <c r="AJ6" s="452"/>
      <c r="AK6" s="452"/>
      <c r="AL6" s="452"/>
      <c r="AM6" s="452"/>
      <c r="AN6" s="452"/>
      <c r="AO6" s="452"/>
      <c r="AP6" s="452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</row>
    <row r="7" spans="1:63" s="476" customFormat="1" ht="15.75">
      <c r="B7" s="477"/>
      <c r="C7" s="487">
        <f>YEAR(C13)</f>
        <v>2000</v>
      </c>
      <c r="D7" s="161">
        <f t="shared" ref="D7:W7" si="1">YEAR(D13)</f>
        <v>2000</v>
      </c>
      <c r="E7" s="161">
        <f t="shared" si="1"/>
        <v>2001</v>
      </c>
      <c r="F7" s="161">
        <f t="shared" si="1"/>
        <v>2002</v>
      </c>
      <c r="G7" s="161">
        <f t="shared" si="1"/>
        <v>2003</v>
      </c>
      <c r="H7" s="161">
        <f t="shared" si="1"/>
        <v>2004</v>
      </c>
      <c r="I7" s="161">
        <f t="shared" si="1"/>
        <v>2005</v>
      </c>
      <c r="J7" s="161">
        <f t="shared" si="1"/>
        <v>2006</v>
      </c>
      <c r="K7" s="161">
        <f t="shared" si="1"/>
        <v>2007</v>
      </c>
      <c r="L7" s="161">
        <f t="shared" si="1"/>
        <v>2008</v>
      </c>
      <c r="M7" s="161">
        <f t="shared" si="1"/>
        <v>2009</v>
      </c>
      <c r="N7" s="161">
        <f t="shared" si="1"/>
        <v>2010</v>
      </c>
      <c r="O7" s="161">
        <f t="shared" si="1"/>
        <v>2011</v>
      </c>
      <c r="P7" s="161">
        <f t="shared" si="1"/>
        <v>2012</v>
      </c>
      <c r="Q7" s="161">
        <f t="shared" si="1"/>
        <v>2013</v>
      </c>
      <c r="R7" s="161">
        <f t="shared" si="1"/>
        <v>2014</v>
      </c>
      <c r="S7" s="161">
        <f t="shared" si="1"/>
        <v>2015</v>
      </c>
      <c r="T7" s="161">
        <f t="shared" si="1"/>
        <v>2016</v>
      </c>
      <c r="U7" s="161">
        <f t="shared" si="1"/>
        <v>2017</v>
      </c>
      <c r="V7" s="161">
        <f t="shared" si="1"/>
        <v>2018</v>
      </c>
      <c r="W7" s="161">
        <f t="shared" si="1"/>
        <v>2019</v>
      </c>
      <c r="X7" s="161">
        <f>YEAR(X13)</f>
        <v>2020</v>
      </c>
      <c r="Y7" s="161"/>
      <c r="Z7" s="161"/>
      <c r="AA7" s="161"/>
      <c r="AB7" s="161"/>
      <c r="AC7" s="161"/>
      <c r="AD7" s="161"/>
      <c r="AE7" s="161"/>
      <c r="AF7" s="161"/>
      <c r="AG7" s="161"/>
      <c r="AH7" s="161"/>
      <c r="AI7" s="161"/>
      <c r="AJ7" s="161"/>
      <c r="AK7" s="161"/>
      <c r="AL7" s="161"/>
      <c r="AM7" s="161"/>
      <c r="AN7" s="161"/>
      <c r="AO7" s="161"/>
      <c r="AP7" s="161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</row>
    <row r="8" spans="1:63" s="48" customFormat="1" ht="12" customHeight="1">
      <c r="B8" s="425"/>
      <c r="C8" s="452"/>
      <c r="D8" s="452"/>
      <c r="E8" s="452"/>
      <c r="F8" s="452"/>
      <c r="G8" s="452"/>
      <c r="H8" s="452"/>
      <c r="I8" s="452"/>
      <c r="J8" s="452"/>
      <c r="K8" s="452"/>
      <c r="L8" s="452"/>
      <c r="M8" s="452"/>
      <c r="N8" s="452"/>
      <c r="O8" s="452"/>
      <c r="P8" s="452"/>
      <c r="Q8" s="452"/>
      <c r="R8" s="452"/>
      <c r="S8" s="452"/>
      <c r="T8" s="452"/>
      <c r="U8" s="452"/>
      <c r="V8" s="452"/>
      <c r="W8" s="452"/>
      <c r="X8" s="452"/>
      <c r="Y8" s="452"/>
      <c r="Z8" s="452"/>
      <c r="AA8" s="452"/>
      <c r="AB8" s="452"/>
      <c r="AC8" s="452"/>
      <c r="AD8" s="452"/>
      <c r="AE8" s="452"/>
      <c r="AF8" s="452"/>
      <c r="AG8" s="452"/>
      <c r="AH8" s="452"/>
      <c r="AI8" s="452"/>
      <c r="AJ8" s="452"/>
      <c r="AK8" s="452"/>
      <c r="AL8" s="452"/>
      <c r="AM8" s="452"/>
      <c r="AN8" s="452"/>
      <c r="AO8" s="452"/>
      <c r="AP8" s="452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</row>
    <row r="9" spans="1:63" s="48" customFormat="1" hidden="1">
      <c r="B9" s="425"/>
      <c r="C9" s="452"/>
      <c r="D9" s="452"/>
      <c r="E9" s="452"/>
      <c r="F9" s="452"/>
      <c r="G9" s="452"/>
      <c r="H9" s="452"/>
      <c r="I9" s="452"/>
      <c r="J9" s="452"/>
      <c r="K9" s="452"/>
      <c r="L9" s="452"/>
      <c r="M9" s="452"/>
      <c r="N9" s="452"/>
      <c r="O9" s="452"/>
      <c r="P9" s="452"/>
      <c r="Q9" s="452"/>
      <c r="R9" s="452"/>
      <c r="S9" s="452"/>
      <c r="T9" s="452"/>
      <c r="U9" s="452"/>
      <c r="V9" s="452"/>
      <c r="W9" s="452"/>
      <c r="X9" s="452"/>
      <c r="Y9" s="452"/>
      <c r="Z9" s="452"/>
      <c r="AA9" s="452"/>
      <c r="AB9" s="452"/>
      <c r="AC9" s="452"/>
      <c r="AD9" s="452"/>
      <c r="AE9" s="452"/>
      <c r="AF9" s="452"/>
      <c r="AG9" s="452"/>
      <c r="AH9" s="452"/>
      <c r="AI9" s="452"/>
      <c r="AJ9" s="452"/>
      <c r="AK9" s="452"/>
      <c r="AL9" s="452"/>
      <c r="AM9" s="452"/>
      <c r="AN9" s="452"/>
      <c r="AO9" s="452"/>
      <c r="AP9" s="452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</row>
    <row r="10" spans="1:63" s="48" customFormat="1" hidden="1">
      <c r="C10" s="420"/>
      <c r="D10" s="389"/>
      <c r="E10" s="389"/>
      <c r="F10" s="389"/>
      <c r="G10" s="389"/>
      <c r="H10" s="389"/>
      <c r="I10" s="389"/>
      <c r="J10" s="389"/>
      <c r="K10" s="389"/>
      <c r="L10" s="389"/>
      <c r="M10" s="389"/>
      <c r="N10" s="389"/>
      <c r="O10" s="389"/>
      <c r="P10" s="389"/>
      <c r="Q10" s="389"/>
      <c r="R10" s="389"/>
      <c r="S10" s="389"/>
      <c r="T10" s="389"/>
      <c r="U10" s="389"/>
      <c r="V10" s="389"/>
      <c r="W10" s="389"/>
      <c r="X10" s="389"/>
      <c r="Y10" s="389"/>
      <c r="Z10" s="389"/>
      <c r="AA10" s="389"/>
      <c r="AB10" s="389"/>
      <c r="AC10" s="389"/>
      <c r="AD10" s="389"/>
      <c r="AE10" s="389"/>
      <c r="AF10" s="389"/>
      <c r="AG10" s="389"/>
      <c r="AH10" s="389"/>
      <c r="AI10" s="389"/>
      <c r="AJ10" s="389"/>
      <c r="AK10" s="389"/>
      <c r="AL10" s="389"/>
      <c r="AM10" s="389"/>
      <c r="AN10" s="389"/>
      <c r="AO10" s="389"/>
      <c r="AP10" s="38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</row>
    <row r="11" spans="1:63" s="48" customFormat="1" hidden="1">
      <c r="C11" s="422" t="str">
        <f>IF(AND(C12=0,NOT(B12=0)),C15,"")</f>
        <v/>
      </c>
      <c r="D11" s="422">
        <f>IF(AND(D12=0,NOT(C12=0)),D15,"")</f>
        <v>36891</v>
      </c>
      <c r="E11" s="422" t="str">
        <f t="shared" ref="E11:X11" si="2">IF(AND(E12=0,NOT(D12=0)),E15,"")</f>
        <v/>
      </c>
      <c r="F11" s="422" t="str">
        <f t="shared" si="2"/>
        <v/>
      </c>
      <c r="G11" s="422" t="str">
        <f t="shared" si="2"/>
        <v/>
      </c>
      <c r="H11" s="422" t="str">
        <f t="shared" si="2"/>
        <v/>
      </c>
      <c r="I11" s="422" t="str">
        <f t="shared" si="2"/>
        <v/>
      </c>
      <c r="J11" s="422" t="str">
        <f t="shared" si="2"/>
        <v/>
      </c>
      <c r="K11" s="422" t="str">
        <f t="shared" si="2"/>
        <v/>
      </c>
      <c r="L11" s="422" t="str">
        <f t="shared" si="2"/>
        <v/>
      </c>
      <c r="M11" s="422" t="str">
        <f t="shared" si="2"/>
        <v/>
      </c>
      <c r="N11" s="422" t="str">
        <f t="shared" si="2"/>
        <v/>
      </c>
      <c r="O11" s="422" t="str">
        <f t="shared" si="2"/>
        <v/>
      </c>
      <c r="P11" s="422" t="str">
        <f t="shared" si="2"/>
        <v/>
      </c>
      <c r="Q11" s="422" t="str">
        <f t="shared" si="2"/>
        <v/>
      </c>
      <c r="R11" s="422" t="str">
        <f t="shared" si="2"/>
        <v/>
      </c>
      <c r="S11" s="422" t="str">
        <f t="shared" si="2"/>
        <v/>
      </c>
      <c r="T11" s="422" t="str">
        <f t="shared" si="2"/>
        <v/>
      </c>
      <c r="U11" s="422" t="str">
        <f t="shared" si="2"/>
        <v/>
      </c>
      <c r="V11" s="422" t="str">
        <f t="shared" si="2"/>
        <v/>
      </c>
      <c r="W11" s="422" t="str">
        <f t="shared" si="2"/>
        <v/>
      </c>
      <c r="X11" s="422" t="str">
        <f t="shared" si="2"/>
        <v/>
      </c>
      <c r="Y11" s="422"/>
      <c r="Z11" s="422"/>
      <c r="AA11" s="422"/>
      <c r="AB11" s="422"/>
      <c r="AC11" s="422"/>
      <c r="AD11" s="422"/>
      <c r="AE11" s="422"/>
      <c r="AF11" s="422"/>
      <c r="AG11" s="422"/>
      <c r="AH11" s="422"/>
      <c r="AI11" s="422"/>
      <c r="AJ11" s="422"/>
      <c r="AK11" s="422"/>
      <c r="AL11" s="422"/>
      <c r="AM11" s="422"/>
      <c r="AN11" s="422"/>
      <c r="AO11" s="422"/>
      <c r="AP11" s="422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</row>
    <row r="12" spans="1:63" s="48" customFormat="1" hidden="1">
      <c r="B12" s="48" t="s">
        <v>392</v>
      </c>
      <c r="C12" s="420">
        <f>Assumptions!E48</f>
        <v>10</v>
      </c>
      <c r="D12" s="453">
        <f>MAX(0,C12-MONTH(C15))</f>
        <v>0</v>
      </c>
      <c r="E12" s="453">
        <f>MAX(0,D12-MONTH(D15))</f>
        <v>0</v>
      </c>
      <c r="F12" s="453">
        <f>MAX(0,E12-MONTH(E15))</f>
        <v>0</v>
      </c>
      <c r="G12" s="453">
        <f>MAX(0,F12-MONTH(F15))</f>
        <v>0</v>
      </c>
      <c r="H12" s="453"/>
      <c r="I12" s="453"/>
      <c r="J12" s="453"/>
      <c r="K12" s="453"/>
      <c r="L12" s="453"/>
      <c r="M12" s="453"/>
      <c r="N12" s="453"/>
      <c r="O12" s="453"/>
      <c r="P12" s="453"/>
      <c r="Q12" s="453"/>
      <c r="R12" s="453"/>
      <c r="S12" s="453"/>
      <c r="T12" s="453"/>
      <c r="U12" s="453"/>
      <c r="V12" s="453"/>
      <c r="W12" s="453"/>
      <c r="X12" s="453"/>
      <c r="Y12" s="453"/>
      <c r="Z12" s="453"/>
      <c r="AA12" s="453"/>
      <c r="AB12" s="453"/>
      <c r="AC12" s="453"/>
      <c r="AD12" s="453"/>
      <c r="AE12" s="453"/>
      <c r="AF12" s="453"/>
      <c r="AG12" s="453"/>
      <c r="AH12" s="453"/>
      <c r="AI12" s="453"/>
      <c r="AJ12" s="453"/>
      <c r="AK12" s="453"/>
      <c r="AL12" s="453"/>
      <c r="AM12" s="453"/>
      <c r="AN12" s="453"/>
      <c r="AO12" s="453"/>
      <c r="AP12" s="453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</row>
    <row r="13" spans="1:63" s="48" customFormat="1" hidden="1">
      <c r="B13" s="98" t="s">
        <v>393</v>
      </c>
      <c r="C13" s="422">
        <f>Assumptions!E47</f>
        <v>36586</v>
      </c>
      <c r="D13" s="148">
        <f>C15+1</f>
        <v>36831</v>
      </c>
      <c r="E13" s="148">
        <f t="shared" ref="E13:X13" si="3">D15+1</f>
        <v>36892</v>
      </c>
      <c r="F13" s="148">
        <f t="shared" si="3"/>
        <v>37257</v>
      </c>
      <c r="G13" s="148">
        <f t="shared" si="3"/>
        <v>37622</v>
      </c>
      <c r="H13" s="148">
        <f t="shared" si="3"/>
        <v>37987</v>
      </c>
      <c r="I13" s="148">
        <f t="shared" si="3"/>
        <v>38353</v>
      </c>
      <c r="J13" s="148">
        <f t="shared" si="3"/>
        <v>38718</v>
      </c>
      <c r="K13" s="148">
        <f t="shared" si="3"/>
        <v>39083</v>
      </c>
      <c r="L13" s="148">
        <f t="shared" si="3"/>
        <v>39448</v>
      </c>
      <c r="M13" s="148">
        <f t="shared" si="3"/>
        <v>39814</v>
      </c>
      <c r="N13" s="148">
        <f t="shared" si="3"/>
        <v>40179</v>
      </c>
      <c r="O13" s="148">
        <f t="shared" si="3"/>
        <v>40544</v>
      </c>
      <c r="P13" s="148">
        <f t="shared" si="3"/>
        <v>40909</v>
      </c>
      <c r="Q13" s="148">
        <f t="shared" si="3"/>
        <v>41275</v>
      </c>
      <c r="R13" s="148">
        <f t="shared" si="3"/>
        <v>41640</v>
      </c>
      <c r="S13" s="148">
        <f t="shared" si="3"/>
        <v>42005</v>
      </c>
      <c r="T13" s="148">
        <f t="shared" si="3"/>
        <v>42370</v>
      </c>
      <c r="U13" s="148">
        <f t="shared" si="3"/>
        <v>42736</v>
      </c>
      <c r="V13" s="148">
        <f t="shared" si="3"/>
        <v>43101</v>
      </c>
      <c r="W13" s="148">
        <f t="shared" si="3"/>
        <v>43466</v>
      </c>
      <c r="X13" s="148">
        <f t="shared" si="3"/>
        <v>43831</v>
      </c>
      <c r="Y13" s="148"/>
      <c r="Z13" s="148"/>
      <c r="AA13" s="148"/>
      <c r="AB13" s="148"/>
      <c r="AC13" s="148"/>
      <c r="AD13" s="148"/>
      <c r="AE13" s="148"/>
      <c r="AF13" s="148"/>
      <c r="AG13" s="148"/>
      <c r="AH13" s="148"/>
      <c r="AI13" s="148"/>
      <c r="AJ13" s="148"/>
      <c r="AK13" s="148"/>
      <c r="AL13" s="148"/>
      <c r="AM13" s="148"/>
      <c r="AN13" s="148"/>
      <c r="AO13" s="148"/>
      <c r="AP13" s="148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</row>
    <row r="14" spans="1:63" s="48" customFormat="1" hidden="1">
      <c r="B14" s="98"/>
      <c r="C14" s="422"/>
      <c r="D14" s="148"/>
      <c r="E14" s="148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48"/>
      <c r="W14" s="148"/>
      <c r="X14" s="148"/>
      <c r="Y14" s="148"/>
      <c r="Z14" s="148"/>
      <c r="AA14" s="148"/>
      <c r="AB14" s="148"/>
      <c r="AC14" s="148"/>
      <c r="AD14" s="148"/>
      <c r="AE14" s="148"/>
      <c r="AF14" s="148"/>
      <c r="AG14" s="148"/>
      <c r="AH14" s="148"/>
      <c r="AI14" s="148"/>
      <c r="AJ14" s="148"/>
      <c r="AK14" s="148"/>
      <c r="AL14" s="148"/>
      <c r="AM14" s="148"/>
      <c r="AN14" s="148"/>
      <c r="AO14" s="148"/>
      <c r="AP14" s="148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</row>
    <row r="15" spans="1:63" s="48" customFormat="1" hidden="1">
      <c r="B15" s="421" t="s">
        <v>394</v>
      </c>
      <c r="C15" s="422">
        <f>MIN(DATE(YEAR(C13),12,31),DATE(YEAR(C13),C12+1,1)-1)</f>
        <v>36830</v>
      </c>
      <c r="D15" s="426">
        <f>IF(OR(D12=0,C15&gt;=Assumptions!$E$49),DATE(YEAR(D13),12,31),MIN(DATE(YEAR(D13),12,31),DATE(YEAR(D13),D12+1,1)-1))</f>
        <v>36891</v>
      </c>
      <c r="E15" s="426">
        <f>IF(OR(E12=0,D15&gt;=Assumptions!$E$49),DATE(YEAR(E13),12,31),MIN(DATE(YEAR(E13),12,31),DATE(YEAR(E13),E12+1,1)-1))</f>
        <v>37256</v>
      </c>
      <c r="F15" s="426">
        <f>IF(OR(F12=0,E15&gt;=Assumptions!$E$49),DATE(YEAR(F13),12,31),MIN(DATE(YEAR(F13),12,31),DATE(YEAR(F13),F12+1,1)-1))</f>
        <v>37621</v>
      </c>
      <c r="G15" s="426">
        <f>IF(OR(G12=0,F15&gt;=Assumptions!$E$49),DATE(YEAR(G13),12,31),MIN(DATE(YEAR(G13),12,31),DATE(YEAR(G13),G12+1,1)-1))</f>
        <v>37986</v>
      </c>
      <c r="H15" s="426">
        <f>IF(OR(H12=0,G15&gt;=Assumptions!$E$49),DATE(YEAR(H13),12,31),MIN(DATE(YEAR(H13),12,31),DATE(YEAR(H13),H12+1,1)-1))</f>
        <v>38352</v>
      </c>
      <c r="I15" s="426">
        <f>IF(OR(I12=0,H15&gt;=Assumptions!$E$49),DATE(YEAR(I13),12,31),MIN(DATE(YEAR(I13),12,31),DATE(YEAR(I13),I12+1,1)-1))</f>
        <v>38717</v>
      </c>
      <c r="J15" s="426">
        <f>IF(OR(J12=0,I15&gt;=Assumptions!$E$49),DATE(YEAR(J13),12,31),MIN(DATE(YEAR(J13),12,31),DATE(YEAR(J13),J12+1,1)-1))</f>
        <v>39082</v>
      </c>
      <c r="K15" s="426">
        <f>IF(OR(K12=0,J15&gt;=Assumptions!$E$49),DATE(YEAR(K13),12,31),MIN(DATE(YEAR(K13),12,31),DATE(YEAR(K13),K12+1,1)-1))</f>
        <v>39447</v>
      </c>
      <c r="L15" s="426">
        <f>IF(OR(L12=0,K15&gt;=Assumptions!$E$49),DATE(YEAR(L13),12,31),MIN(DATE(YEAR(L13),12,31),DATE(YEAR(L13),L12+1,1)-1))</f>
        <v>39813</v>
      </c>
      <c r="M15" s="426">
        <f>IF(OR(M12=0,L15&gt;=Assumptions!$E$49),DATE(YEAR(M13),12,31),MIN(DATE(YEAR(M13),12,31),DATE(YEAR(M13),M12+1,1)-1))</f>
        <v>40178</v>
      </c>
      <c r="N15" s="426">
        <f>IF(OR(N12=0,M15&gt;=Assumptions!$E$49),DATE(YEAR(N13),12,31),MIN(DATE(YEAR(N13),12,31),DATE(YEAR(N13),N12+1,1)-1))</f>
        <v>40543</v>
      </c>
      <c r="O15" s="426">
        <f>IF(OR(O12=0,N15&gt;=Assumptions!$E$49),DATE(YEAR(O13),12,31),MIN(DATE(YEAR(O13),12,31),DATE(YEAR(O13),O12+1,1)-1))</f>
        <v>40908</v>
      </c>
      <c r="P15" s="426">
        <f>IF(OR(P12=0,O15&gt;=Assumptions!$E$49),DATE(YEAR(P13),12,31),MIN(DATE(YEAR(P13),12,31),DATE(YEAR(P13),P12+1,1)-1))</f>
        <v>41274</v>
      </c>
      <c r="Q15" s="426">
        <f>IF(OR(Q12=0,P15&gt;=Assumptions!$E$49),DATE(YEAR(Q13),12,31),MIN(DATE(YEAR(Q13),12,31),DATE(YEAR(Q13),Q12+1,1)-1))</f>
        <v>41639</v>
      </c>
      <c r="R15" s="426">
        <f>IF(OR(R12=0,Q15&gt;=Assumptions!$E$49),DATE(YEAR(R13),12,31),MIN(DATE(YEAR(R13),12,31),DATE(YEAR(R13),R12+1,1)-1))</f>
        <v>42004</v>
      </c>
      <c r="S15" s="426">
        <f>IF(OR(S12=0,R15&gt;=Assumptions!$E$49),DATE(YEAR(S13),12,31),MIN(DATE(YEAR(S13),12,31),DATE(YEAR(S13),S12+1,1)-1))</f>
        <v>42369</v>
      </c>
      <c r="T15" s="426">
        <f>IF(OR(T12=0,S15&gt;=Assumptions!$E$49),DATE(YEAR(T13),12,31),MIN(DATE(YEAR(T13),12,31),DATE(YEAR(T13),T12+1,1)-1))</f>
        <v>42735</v>
      </c>
      <c r="U15" s="426">
        <f>IF(OR(U12=0,T15&gt;=Assumptions!$E$49),DATE(YEAR(U13),12,31),MIN(DATE(YEAR(U13),12,31),DATE(YEAR(U13),U12+1,1)-1))</f>
        <v>43100</v>
      </c>
      <c r="V15" s="426">
        <f>IF(OR(V12=0,U15&gt;=Assumptions!$E$49),DATE(YEAR(V13),12,31),MIN(DATE(YEAR(V13),12,31),DATE(YEAR(V13),V12+1,1)-1))</f>
        <v>43465</v>
      </c>
      <c r="W15" s="426">
        <f>IF(OR(W12=0,V15&gt;=Assumptions!$E$49),DATE(YEAR(W13),12,31),MIN(DATE(YEAR(W13),12,31),DATE(YEAR(W13),W12+1,1)-1))</f>
        <v>43830</v>
      </c>
      <c r="X15" s="426">
        <f>IF(OR(X12=0,W15&gt;=Assumptions!$E$49),DATE(YEAR(X13),12,31),MIN(DATE(YEAR(X13),12,31),DATE(YEAR(X13),X12+1,1)-1))</f>
        <v>44196</v>
      </c>
      <c r="Y15" s="426"/>
      <c r="Z15" s="426"/>
      <c r="AA15" s="426"/>
      <c r="AB15" s="426"/>
      <c r="AC15" s="426"/>
      <c r="AD15" s="426"/>
      <c r="AE15" s="426"/>
      <c r="AF15" s="426"/>
      <c r="AG15" s="426"/>
      <c r="AH15" s="426"/>
      <c r="AI15" s="426"/>
      <c r="AJ15" s="426"/>
      <c r="AK15" s="426"/>
      <c r="AL15" s="426"/>
      <c r="AM15" s="426"/>
      <c r="AN15" s="426"/>
      <c r="AO15" s="426"/>
      <c r="AP15" s="426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</row>
    <row r="16" spans="1:63" s="48" customFormat="1">
      <c r="C16" s="420"/>
      <c r="D16" s="148"/>
      <c r="E16" s="148"/>
      <c r="F16" s="148"/>
      <c r="G16" s="148"/>
      <c r="H16" s="148"/>
      <c r="I16" s="148"/>
      <c r="J16" s="148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148"/>
      <c r="X16" s="148"/>
      <c r="Y16" s="148"/>
      <c r="Z16" s="148"/>
      <c r="AA16" s="148"/>
      <c r="AB16" s="148"/>
      <c r="AC16" s="148"/>
      <c r="AD16" s="148"/>
      <c r="AE16" s="148"/>
      <c r="AF16" s="148"/>
      <c r="AG16" s="148"/>
      <c r="AH16" s="148"/>
      <c r="AI16" s="148"/>
      <c r="AJ16" s="148"/>
      <c r="AK16" s="148"/>
      <c r="AL16" s="148"/>
      <c r="AM16" s="148"/>
      <c r="AN16" s="148"/>
      <c r="AO16" s="148"/>
      <c r="AP16" s="148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</row>
    <row r="17" spans="2:63" s="48" customFormat="1">
      <c r="C17" s="349"/>
      <c r="D17" s="469"/>
      <c r="E17" s="454"/>
      <c r="F17" s="454"/>
      <c r="G17" s="454"/>
      <c r="H17" s="454"/>
      <c r="I17" s="454"/>
      <c r="J17" s="454"/>
      <c r="K17" s="454"/>
      <c r="L17" s="454"/>
      <c r="M17" s="454"/>
      <c r="N17" s="454"/>
      <c r="O17" s="454"/>
      <c r="P17" s="454"/>
      <c r="Q17" s="454"/>
      <c r="R17" s="454"/>
      <c r="S17" s="454"/>
      <c r="T17" s="454"/>
      <c r="U17" s="454"/>
      <c r="V17" s="454"/>
      <c r="W17" s="454"/>
      <c r="X17" s="454"/>
      <c r="Y17" s="454"/>
      <c r="Z17" s="454"/>
      <c r="AA17" s="454"/>
      <c r="AB17" s="454"/>
      <c r="AC17" s="454"/>
      <c r="AD17" s="454"/>
      <c r="AE17" s="454"/>
      <c r="AF17" s="454"/>
      <c r="AG17" s="454"/>
      <c r="AH17" s="454"/>
      <c r="AI17" s="454"/>
      <c r="AJ17" s="454"/>
      <c r="AK17" s="454"/>
      <c r="AL17" s="454"/>
      <c r="AM17" s="454"/>
      <c r="AN17" s="454"/>
      <c r="AO17" s="454"/>
      <c r="AP17" s="454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</row>
    <row r="18" spans="2:63" s="1" customFormat="1">
      <c r="D18" s="39"/>
    </row>
    <row r="19" spans="2:63" s="1" customFormat="1">
      <c r="B19" s="4" t="s">
        <v>62</v>
      </c>
    </row>
    <row r="20" spans="2:63" s="1" customFormat="1">
      <c r="B20" s="421" t="s">
        <v>460</v>
      </c>
      <c r="C20" s="469">
        <f>IF(C$5&gt;=1,INDEX(OperationalDetail,MATCH("Total Energy Revenue",ODColumn,0),MATCH(C$7,ODRow,0)),0)</f>
        <v>0</v>
      </c>
      <c r="D20" s="39">
        <f>IF(D$5&gt;=1,INDEX(OperationalDetail,MATCH("Total Energy Revenue",ODColumn,0),MATCH(D$7,ODRow,0)),0)</f>
        <v>0</v>
      </c>
      <c r="E20" s="39">
        <f t="shared" ref="E20:X20" si="4">IF(E$5&gt;=1,INDEX(OperationalDetail,MATCH("Total Energy Revenue",ODColumn,0),MATCH(E$7,ODRow,0)),0)</f>
        <v>44971.96097257013</v>
      </c>
      <c r="F20" s="39">
        <f t="shared" si="4"/>
        <v>38479.215035155961</v>
      </c>
      <c r="G20" s="39">
        <f t="shared" si="4"/>
        <v>34480.41257903204</v>
      </c>
      <c r="H20" s="39">
        <f t="shared" si="4"/>
        <v>28103.931738568768</v>
      </c>
      <c r="I20" s="39">
        <f t="shared" si="4"/>
        <v>26530.765066410444</v>
      </c>
      <c r="J20" s="39">
        <f t="shared" si="4"/>
        <v>27747.408729875715</v>
      </c>
      <c r="K20" s="39">
        <f t="shared" si="4"/>
        <v>28395.299646516341</v>
      </c>
      <c r="L20" s="39">
        <f t="shared" si="4"/>
        <v>28832.351520773442</v>
      </c>
      <c r="M20" s="39">
        <f t="shared" si="4"/>
        <v>30047.371077141313</v>
      </c>
      <c r="N20" s="39">
        <f t="shared" si="4"/>
        <v>30440.345494628611</v>
      </c>
      <c r="O20" s="39">
        <f t="shared" si="4"/>
        <v>31080.507836907011</v>
      </c>
      <c r="P20" s="39">
        <f t="shared" si="4"/>
        <v>30022.885042176815</v>
      </c>
      <c r="Q20" s="39">
        <f t="shared" si="4"/>
        <v>31210.319397360741</v>
      </c>
      <c r="R20" s="39">
        <f t="shared" si="4"/>
        <v>31599.054003338999</v>
      </c>
      <c r="S20" s="39">
        <f t="shared" si="4"/>
        <v>32901.709149403672</v>
      </c>
      <c r="T20" s="39">
        <f t="shared" si="4"/>
        <v>5379.6218034406056</v>
      </c>
      <c r="U20" s="39">
        <f t="shared" si="4"/>
        <v>5411.2121855488167</v>
      </c>
      <c r="V20" s="39">
        <f t="shared" si="4"/>
        <v>4404.7032420598316</v>
      </c>
      <c r="W20" s="39" t="e">
        <f t="shared" si="4"/>
        <v>#DIV/0!</v>
      </c>
      <c r="X20" s="39" t="e">
        <f t="shared" si="4"/>
        <v>#DIV/0!</v>
      </c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</row>
    <row r="21" spans="2:63" s="1" customFormat="1">
      <c r="B21" s="421" t="s">
        <v>647</v>
      </c>
      <c r="C21" s="469"/>
      <c r="D21" s="39">
        <f>IF(D$5&gt;=1,INDEX(OperationalDetail,MATCH("Importer Transmission Charge Revenue",ODColumn,0),MATCH(D$7,ODRow,0)),0)</f>
        <v>0</v>
      </c>
      <c r="E21" s="39">
        <f>IF(E$5&gt;=1,INDEX(OperationalDetail,MATCH("Importer Transmission Charge Revenue",ODColumn,0),MATCH(E$7,ODRow,0)),0)</f>
        <v>1225.777415229074</v>
      </c>
      <c r="F21" s="39">
        <f t="shared" ref="F21:X21" si="5">IF(F$5&gt;=1,INDEX(OperationalDetail,MATCH("Importer Transmission Charge Revenue",ODColumn,0),MATCH(F$7,ODRow,0)),0)</f>
        <v>1490.8208545825767</v>
      </c>
      <c r="G21" s="39">
        <f t="shared" si="5"/>
        <v>1502.8154504131232</v>
      </c>
      <c r="H21" s="39">
        <f t="shared" si="5"/>
        <v>1198.7329630833631</v>
      </c>
      <c r="I21" s="39">
        <f t="shared" si="5"/>
        <v>1180.5106076336081</v>
      </c>
      <c r="J21" s="39">
        <f t="shared" si="5"/>
        <v>1189.8712713162238</v>
      </c>
      <c r="K21" s="39">
        <f t="shared" si="5"/>
        <v>1161.9869359507359</v>
      </c>
      <c r="L21" s="39">
        <f t="shared" si="5"/>
        <v>1149.6528514592485</v>
      </c>
      <c r="M21" s="39">
        <f t="shared" si="5"/>
        <v>1151.6349529787876</v>
      </c>
      <c r="N21" s="39">
        <f t="shared" si="5"/>
        <v>1140.0623758893678</v>
      </c>
      <c r="O21" s="39">
        <f t="shared" si="5"/>
        <v>1128.2342152972292</v>
      </c>
      <c r="P21" s="39">
        <f t="shared" si="5"/>
        <v>970.56052521546519</v>
      </c>
      <c r="Q21" s="39">
        <f t="shared" si="5"/>
        <v>980.54382145665431</v>
      </c>
      <c r="R21" s="39">
        <f t="shared" si="5"/>
        <v>971.05675818616487</v>
      </c>
      <c r="S21" s="39">
        <f t="shared" si="5"/>
        <v>975.21829694588496</v>
      </c>
      <c r="T21" s="39">
        <f t="shared" si="5"/>
        <v>0</v>
      </c>
      <c r="U21" s="39">
        <f t="shared" si="5"/>
        <v>0</v>
      </c>
      <c r="V21" s="39">
        <f t="shared" si="5"/>
        <v>0</v>
      </c>
      <c r="W21" s="39">
        <f t="shared" si="5"/>
        <v>0</v>
      </c>
      <c r="X21" s="39">
        <f t="shared" si="5"/>
        <v>0</v>
      </c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</row>
    <row r="22" spans="2:63" s="1" customFormat="1">
      <c r="B22" s="421" t="s">
        <v>551</v>
      </c>
      <c r="C22" s="469"/>
      <c r="D22" s="39">
        <f>IF(D$5&gt;=1,INDEX(OperationalDetail,MATCH(" Congestion Revenue",ODColumn,0),MATCH(D$7,ODRow,0)),0)</f>
        <v>0</v>
      </c>
      <c r="E22" s="39">
        <f>IF(E$5&gt;=1,INDEX(OperationalDetail,MATCH(" Congestion Revenue",ODColumn,0),MATCH(E$7,ODRow,0)),0)</f>
        <v>0</v>
      </c>
      <c r="F22" s="39">
        <f>IF(F$5&gt;=1,INDEX(OperationalDetail,MATCH(" Congestion Revenue",ODColumn,0),MATCH(F$7,ODRow,0)),0)</f>
        <v>0</v>
      </c>
      <c r="G22" s="39">
        <f>IF(G$5&gt;=1,INDEX(OperationalDetail,MATCH(" Congestion Revenue",ODColumn,0),MATCH(G$7,ODRow,0)),0)</f>
        <v>0</v>
      </c>
      <c r="H22" s="39">
        <f t="shared" ref="H22:X22" si="6">IF(H$5&gt;=1,INDEX(OperationalDetail,MATCH(" Congestion Revenue",ODColumn,0),MATCH(H$7,ODRow,0)),0)</f>
        <v>0</v>
      </c>
      <c r="I22" s="39">
        <f t="shared" si="6"/>
        <v>0</v>
      </c>
      <c r="J22" s="39">
        <f t="shared" si="6"/>
        <v>0</v>
      </c>
      <c r="K22" s="39">
        <f t="shared" si="6"/>
        <v>0</v>
      </c>
      <c r="L22" s="39">
        <f t="shared" si="6"/>
        <v>0</v>
      </c>
      <c r="M22" s="39">
        <f t="shared" si="6"/>
        <v>0</v>
      </c>
      <c r="N22" s="39">
        <f t="shared" si="6"/>
        <v>0</v>
      </c>
      <c r="O22" s="39">
        <f t="shared" si="6"/>
        <v>0</v>
      </c>
      <c r="P22" s="39">
        <f t="shared" si="6"/>
        <v>0</v>
      </c>
      <c r="Q22" s="39">
        <f t="shared" si="6"/>
        <v>0</v>
      </c>
      <c r="R22" s="39">
        <f t="shared" si="6"/>
        <v>0</v>
      </c>
      <c r="S22" s="39">
        <f t="shared" si="6"/>
        <v>0</v>
      </c>
      <c r="T22" s="39">
        <f t="shared" si="6"/>
        <v>0</v>
      </c>
      <c r="U22" s="39">
        <f t="shared" si="6"/>
        <v>0</v>
      </c>
      <c r="V22" s="39">
        <f t="shared" si="6"/>
        <v>0</v>
      </c>
      <c r="W22" s="39">
        <f t="shared" si="6"/>
        <v>0</v>
      </c>
      <c r="X22" s="39">
        <f t="shared" si="6"/>
        <v>0</v>
      </c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</row>
    <row r="23" spans="2:63" s="1" customFormat="1">
      <c r="B23" s="421" t="s">
        <v>577</v>
      </c>
      <c r="C23" s="469"/>
      <c r="D23" s="39">
        <f>IF(D$5&gt;=1,INDEX(OperationalDetail,MATCH("Transmission Swap Revenue",ODColumn,0),MATCH(D$7,ODRow,0)),0)</f>
        <v>0</v>
      </c>
      <c r="E23" s="39">
        <f t="shared" ref="E23:X23" si="7">IF(E$5&gt;=1,INDEX(OperationalDetail,MATCH("Transmission Swap Revenue",ODColumn,0),MATCH(E$7,ODRow,0)),0)</f>
        <v>0</v>
      </c>
      <c r="F23" s="39">
        <f t="shared" si="7"/>
        <v>0</v>
      </c>
      <c r="G23" s="39">
        <f t="shared" si="7"/>
        <v>0</v>
      </c>
      <c r="H23" s="39">
        <f t="shared" si="7"/>
        <v>0</v>
      </c>
      <c r="I23" s="39">
        <f t="shared" si="7"/>
        <v>0</v>
      </c>
      <c r="J23" s="39">
        <f t="shared" si="7"/>
        <v>0</v>
      </c>
      <c r="K23" s="39">
        <f t="shared" si="7"/>
        <v>0</v>
      </c>
      <c r="L23" s="39">
        <f t="shared" si="7"/>
        <v>0</v>
      </c>
      <c r="M23" s="39">
        <f t="shared" si="7"/>
        <v>0</v>
      </c>
      <c r="N23" s="39">
        <f t="shared" si="7"/>
        <v>0</v>
      </c>
      <c r="O23" s="39">
        <f t="shared" si="7"/>
        <v>0</v>
      </c>
      <c r="P23" s="39">
        <f t="shared" si="7"/>
        <v>0</v>
      </c>
      <c r="Q23" s="39">
        <f t="shared" si="7"/>
        <v>0</v>
      </c>
      <c r="R23" s="39">
        <f t="shared" si="7"/>
        <v>0</v>
      </c>
      <c r="S23" s="39">
        <f t="shared" si="7"/>
        <v>0</v>
      </c>
      <c r="T23" s="39">
        <f t="shared" si="7"/>
        <v>0</v>
      </c>
      <c r="U23" s="39">
        <f t="shared" si="7"/>
        <v>0</v>
      </c>
      <c r="V23" s="39">
        <f t="shared" si="7"/>
        <v>0</v>
      </c>
      <c r="W23" s="39">
        <f t="shared" si="7"/>
        <v>0</v>
      </c>
      <c r="X23" s="39">
        <f t="shared" si="7"/>
        <v>0</v>
      </c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</row>
    <row r="24" spans="2:63" s="1" customFormat="1">
      <c r="B24" s="421" t="s">
        <v>465</v>
      </c>
      <c r="C24" s="469">
        <f>IF(C$5&gt;=1,INDEX(OperationalDetail,MATCH("Capacity Revenue ",ODColumn,0),MATCH(C$7,ODRow,0)),0)</f>
        <v>0</v>
      </c>
      <c r="D24" s="39">
        <f>IF(D$5&gt;=1,INDEX(OperationalDetail,MATCH("Capacity Revenue ",ODColumn,0),MATCH(D$7,ODRow,0)),0)</f>
        <v>0</v>
      </c>
      <c r="E24" s="39">
        <f t="shared" ref="E24:X24" si="8">IF(E$5&gt;=1,INDEX(OperationalDetail,MATCH("Capacity Revenue ",ODColumn,0),MATCH(E$7,ODRow,0)),0)</f>
        <v>0</v>
      </c>
      <c r="F24" s="39">
        <f t="shared" si="8"/>
        <v>0</v>
      </c>
      <c r="G24" s="39">
        <f t="shared" si="8"/>
        <v>0</v>
      </c>
      <c r="H24" s="39">
        <f t="shared" si="8"/>
        <v>0</v>
      </c>
      <c r="I24" s="39">
        <f t="shared" si="8"/>
        <v>0</v>
      </c>
      <c r="J24" s="39">
        <f t="shared" si="8"/>
        <v>0</v>
      </c>
      <c r="K24" s="39">
        <f t="shared" si="8"/>
        <v>0</v>
      </c>
      <c r="L24" s="39">
        <f t="shared" si="8"/>
        <v>0</v>
      </c>
      <c r="M24" s="39">
        <f t="shared" si="8"/>
        <v>0</v>
      </c>
      <c r="N24" s="39">
        <f t="shared" si="8"/>
        <v>0</v>
      </c>
      <c r="O24" s="39">
        <f t="shared" si="8"/>
        <v>0</v>
      </c>
      <c r="P24" s="39">
        <f t="shared" si="8"/>
        <v>0</v>
      </c>
      <c r="Q24" s="39">
        <f t="shared" si="8"/>
        <v>0</v>
      </c>
      <c r="R24" s="39">
        <f t="shared" si="8"/>
        <v>0</v>
      </c>
      <c r="S24" s="39">
        <f t="shared" si="8"/>
        <v>0</v>
      </c>
      <c r="T24" s="39">
        <f t="shared" si="8"/>
        <v>0</v>
      </c>
      <c r="U24" s="39">
        <f t="shared" si="8"/>
        <v>0</v>
      </c>
      <c r="V24" s="39">
        <f t="shared" si="8"/>
        <v>0</v>
      </c>
      <c r="W24" s="39">
        <f t="shared" si="8"/>
        <v>0</v>
      </c>
      <c r="X24" s="39">
        <f t="shared" si="8"/>
        <v>0</v>
      </c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</row>
    <row r="25" spans="2:63" s="1" customFormat="1">
      <c r="B25" s="421" t="s">
        <v>781</v>
      </c>
      <c r="C25" s="469"/>
      <c r="D25" s="39">
        <f>IF(D$5&gt;=1,INDEX(OperationalDetail,MATCH("Extrinsic Value CDN $ ",ODColumn,0),MATCH(D$7,ODRow,0)),0)</f>
        <v>0</v>
      </c>
      <c r="E25" s="39">
        <f>IF(E$5&gt;=1,INDEX(OperationalDetail,MATCH("Extrinsic Value CDN $ ",ODColumn,0),MATCH(E$7,ODRow,0)),0)</f>
        <v>4890.2202465737955</v>
      </c>
      <c r="F25" s="39">
        <f t="shared" ref="F25:X25" si="9">IF(F$5&gt;=1,INDEX(OperationalDetail,MATCH("Extrinsic Value CDN $ ",ODColumn,0),MATCH(F$7,ODRow,0)),0)</f>
        <v>4977.7609812689379</v>
      </c>
      <c r="G25" s="39">
        <f t="shared" si="9"/>
        <v>4556.6596999173862</v>
      </c>
      <c r="H25" s="39">
        <f t="shared" si="9"/>
        <v>3343.4143452400758</v>
      </c>
      <c r="I25" s="39">
        <f t="shared" si="9"/>
        <v>2681.3976140018767</v>
      </c>
      <c r="J25" s="39">
        <f t="shared" si="9"/>
        <v>2532.999027408619</v>
      </c>
      <c r="K25" s="39">
        <f t="shared" si="9"/>
        <v>2477.4111646408805</v>
      </c>
      <c r="L25" s="39">
        <f t="shared" si="9"/>
        <v>1471.7091350601165</v>
      </c>
      <c r="M25" s="39">
        <f t="shared" si="9"/>
        <v>1303.1772148367384</v>
      </c>
      <c r="N25" s="39">
        <f t="shared" si="9"/>
        <v>1346.855245392062</v>
      </c>
      <c r="O25" s="39">
        <f t="shared" si="9"/>
        <v>1347.5746558932369</v>
      </c>
      <c r="P25" s="39">
        <f t="shared" si="9"/>
        <v>1294.4548600930925</v>
      </c>
      <c r="Q25" s="39">
        <f t="shared" si="9"/>
        <v>1279.1055735337507</v>
      </c>
      <c r="R25" s="39">
        <f t="shared" si="9"/>
        <v>1358.7399936129955</v>
      </c>
      <c r="S25" s="39">
        <f t="shared" si="9"/>
        <v>1271.5213303996923</v>
      </c>
      <c r="T25" s="39">
        <f t="shared" si="9"/>
        <v>0</v>
      </c>
      <c r="U25" s="39">
        <f t="shared" si="9"/>
        <v>0</v>
      </c>
      <c r="V25" s="39">
        <f t="shared" si="9"/>
        <v>0</v>
      </c>
      <c r="W25" s="39">
        <f t="shared" si="9"/>
        <v>0</v>
      </c>
      <c r="X25" s="39">
        <f t="shared" si="9"/>
        <v>0</v>
      </c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</row>
    <row r="26" spans="2:63" s="9" customFormat="1">
      <c r="B26" s="717" t="s">
        <v>610</v>
      </c>
      <c r="C26" s="469"/>
      <c r="D26" s="39">
        <f>IF(D$5&gt;=1,INDEX(OperationalDetail,MATCH("Royalty Income on Fuel Conversion",ODColumn,0),MATCH(D$7,ODRow,0)),0)</f>
        <v>0</v>
      </c>
      <c r="E26" s="39">
        <f>IF(E$5&gt;=1,INDEX(OperationalDetail,MATCH("Royalty Income on Fuel Conversion",ODColumn,0),MATCH(E$7,ODRow,0)),0)</f>
        <v>0</v>
      </c>
      <c r="F26" s="39">
        <f t="shared" ref="F26:X26" si="10">IF(F$5&gt;=1,INDEX(OperationalDetail,MATCH("Royalty Income on Fuel Conversion",ODColumn,0),MATCH(F$7,ODRow,0)),0)</f>
        <v>0</v>
      </c>
      <c r="G26" s="39">
        <f t="shared" si="10"/>
        <v>0</v>
      </c>
      <c r="H26" s="39">
        <f t="shared" si="10"/>
        <v>0</v>
      </c>
      <c r="I26" s="39">
        <f t="shared" si="10"/>
        <v>0</v>
      </c>
      <c r="J26" s="39">
        <f t="shared" si="10"/>
        <v>0</v>
      </c>
      <c r="K26" s="39">
        <f t="shared" si="10"/>
        <v>0</v>
      </c>
      <c r="L26" s="39">
        <f t="shared" si="10"/>
        <v>0</v>
      </c>
      <c r="M26" s="39">
        <f t="shared" si="10"/>
        <v>0</v>
      </c>
      <c r="N26" s="39">
        <f t="shared" si="10"/>
        <v>0</v>
      </c>
      <c r="O26" s="39">
        <f t="shared" si="10"/>
        <v>0</v>
      </c>
      <c r="P26" s="39">
        <f t="shared" si="10"/>
        <v>0</v>
      </c>
      <c r="Q26" s="39">
        <f t="shared" si="10"/>
        <v>0</v>
      </c>
      <c r="R26" s="39">
        <f t="shared" si="10"/>
        <v>0</v>
      </c>
      <c r="S26" s="39">
        <f t="shared" si="10"/>
        <v>0</v>
      </c>
      <c r="T26" s="39">
        <f t="shared" si="10"/>
        <v>0</v>
      </c>
      <c r="U26" s="39">
        <f t="shared" si="10"/>
        <v>0</v>
      </c>
      <c r="V26" s="39">
        <f t="shared" si="10"/>
        <v>0</v>
      </c>
      <c r="W26" s="39">
        <f t="shared" si="10"/>
        <v>0</v>
      </c>
      <c r="X26" s="39">
        <f t="shared" si="10"/>
        <v>0</v>
      </c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</row>
    <row r="27" spans="2:63" s="1" customFormat="1">
      <c r="B27" s="421" t="s">
        <v>466</v>
      </c>
      <c r="C27" s="469">
        <f>IF(C$5&gt;=1,INDEX(OperationalDetail,MATCH("Start Revenue",ODColumn,0),MATCH(C$7,ODRow,0)),0)</f>
        <v>0</v>
      </c>
      <c r="D27" s="39">
        <f>IF(D$5&gt;=1,INDEX(OperationalDetail,MATCH("Start Revenue",ODColumn,0),MATCH(D$7,ODRow,0)),0)</f>
        <v>0</v>
      </c>
      <c r="E27" s="39">
        <f t="shared" ref="E27:X27" si="11">IF(E$5&gt;=1,INDEX(OperationalDetail,MATCH("Start Revenue",ODColumn,0),MATCH(E$7,ODRow,0)),0)</f>
        <v>0</v>
      </c>
      <c r="F27" s="39">
        <f t="shared" si="11"/>
        <v>0</v>
      </c>
      <c r="G27" s="39">
        <f t="shared" si="11"/>
        <v>0</v>
      </c>
      <c r="H27" s="39">
        <f t="shared" si="11"/>
        <v>0</v>
      </c>
      <c r="I27" s="39">
        <f t="shared" si="11"/>
        <v>0</v>
      </c>
      <c r="J27" s="39">
        <f t="shared" si="11"/>
        <v>0</v>
      </c>
      <c r="K27" s="39">
        <f t="shared" si="11"/>
        <v>0</v>
      </c>
      <c r="L27" s="39">
        <f t="shared" si="11"/>
        <v>0</v>
      </c>
      <c r="M27" s="39">
        <f t="shared" si="11"/>
        <v>0</v>
      </c>
      <c r="N27" s="39">
        <f t="shared" si="11"/>
        <v>0</v>
      </c>
      <c r="O27" s="39">
        <f t="shared" si="11"/>
        <v>0</v>
      </c>
      <c r="P27" s="39">
        <f t="shared" si="11"/>
        <v>0</v>
      </c>
      <c r="Q27" s="39">
        <f t="shared" si="11"/>
        <v>0</v>
      </c>
      <c r="R27" s="39">
        <f t="shared" si="11"/>
        <v>0</v>
      </c>
      <c r="S27" s="39">
        <f t="shared" si="11"/>
        <v>0</v>
      </c>
      <c r="T27" s="39">
        <f t="shared" si="11"/>
        <v>0</v>
      </c>
      <c r="U27" s="39">
        <f t="shared" si="11"/>
        <v>0</v>
      </c>
      <c r="V27" s="39">
        <f t="shared" si="11"/>
        <v>0</v>
      </c>
      <c r="W27" s="39">
        <f t="shared" si="11"/>
        <v>0</v>
      </c>
      <c r="X27" s="39">
        <f t="shared" si="11"/>
        <v>0</v>
      </c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</row>
    <row r="28" spans="2:63" s="1" customFormat="1">
      <c r="B28" s="421"/>
      <c r="C28" s="254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</row>
    <row r="29" spans="2:63" s="1" customFormat="1">
      <c r="B29" s="68" t="s">
        <v>81</v>
      </c>
      <c r="C29" s="255">
        <f>SUBTOTAL(9,C20:C28)</f>
        <v>0</v>
      </c>
      <c r="D29" s="45">
        <f>SUBTOTAL(9,D20:D28)</f>
        <v>0</v>
      </c>
      <c r="E29" s="45">
        <f t="shared" ref="E29:X29" si="12">SUBTOTAL(9,E20:E28)</f>
        <v>51087.958634372997</v>
      </c>
      <c r="F29" s="45">
        <f t="shared" si="12"/>
        <v>44947.796871007478</v>
      </c>
      <c r="G29" s="45">
        <f t="shared" si="12"/>
        <v>40539.887729362548</v>
      </c>
      <c r="H29" s="45">
        <f t="shared" si="12"/>
        <v>32646.079046892206</v>
      </c>
      <c r="I29" s="45">
        <f t="shared" si="12"/>
        <v>30392.673288045931</v>
      </c>
      <c r="J29" s="45">
        <f t="shared" si="12"/>
        <v>31470.279028600558</v>
      </c>
      <c r="K29" s="45">
        <f t="shared" si="12"/>
        <v>32034.697747107959</v>
      </c>
      <c r="L29" s="45">
        <f t="shared" si="12"/>
        <v>31453.713507292807</v>
      </c>
      <c r="M29" s="45">
        <f t="shared" si="12"/>
        <v>32502.183244956839</v>
      </c>
      <c r="N29" s="45">
        <f t="shared" si="12"/>
        <v>32927.263115910042</v>
      </c>
      <c r="O29" s="45">
        <f t="shared" si="12"/>
        <v>33556.316708097482</v>
      </c>
      <c r="P29" s="45">
        <f t="shared" si="12"/>
        <v>32287.900427485372</v>
      </c>
      <c r="Q29" s="45">
        <f t="shared" si="12"/>
        <v>33469.968792351145</v>
      </c>
      <c r="R29" s="45">
        <f t="shared" si="12"/>
        <v>33928.850755138163</v>
      </c>
      <c r="S29" s="45">
        <f t="shared" si="12"/>
        <v>35148.448776749254</v>
      </c>
      <c r="T29" s="45">
        <f t="shared" si="12"/>
        <v>5379.6218034406056</v>
      </c>
      <c r="U29" s="45">
        <f t="shared" si="12"/>
        <v>5411.2121855488167</v>
      </c>
      <c r="V29" s="45">
        <f t="shared" si="12"/>
        <v>4404.7032420598316</v>
      </c>
      <c r="W29" s="45" t="e">
        <f t="shared" si="12"/>
        <v>#DIV/0!</v>
      </c>
      <c r="X29" s="45" t="e">
        <f t="shared" si="12"/>
        <v>#DIV/0!</v>
      </c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</row>
    <row r="30" spans="2:63" s="1" customFormat="1">
      <c r="C30" s="256"/>
    </row>
    <row r="31" spans="2:63" s="1" customFormat="1">
      <c r="C31" s="256"/>
    </row>
    <row r="32" spans="2:63" s="1" customFormat="1">
      <c r="B32" s="4" t="s">
        <v>82</v>
      </c>
      <c r="C32" s="256"/>
    </row>
    <row r="33" spans="2:66" s="1" customFormat="1">
      <c r="B33" s="66" t="s">
        <v>471</v>
      </c>
      <c r="C33" s="469">
        <f>IF(C$5&gt;=1,INDEX(OperationalDetail,MATCH("TOTAL FUEL COST $k",ODColumn,0),MATCH(C$7,ODRow,0)),0)</f>
        <v>0</v>
      </c>
      <c r="D33" s="39">
        <f>IF(D$5&gt;=1,INDEX(OperationalDetail,MATCH("TOTAL FUEL COST $k",ODColumn,0),MATCH(D$7,ODRow,0)),0)</f>
        <v>0</v>
      </c>
      <c r="E33" s="39">
        <f t="shared" ref="E33:X33" si="13">IF(E$5&gt;=1,INDEX(OperationalDetail,MATCH("TOTAL FUEL COST $k",ODColumn,0),MATCH(E$7,ODRow,0)),0)</f>
        <v>11393.362139142562</v>
      </c>
      <c r="F33" s="39">
        <f t="shared" si="13"/>
        <v>13514.602066489686</v>
      </c>
      <c r="G33" s="39">
        <f t="shared" si="13"/>
        <v>13817.648848511111</v>
      </c>
      <c r="H33" s="39">
        <f t="shared" si="13"/>
        <v>11315.948210172775</v>
      </c>
      <c r="I33" s="39">
        <f t="shared" si="13"/>
        <v>11379.296615935218</v>
      </c>
      <c r="J33" s="39">
        <f t="shared" si="13"/>
        <v>11494.877166523313</v>
      </c>
      <c r="K33" s="39">
        <f t="shared" si="13"/>
        <v>11506.132230409741</v>
      </c>
      <c r="L33" s="39">
        <f t="shared" si="13"/>
        <v>11680.017469391545</v>
      </c>
      <c r="M33" s="39">
        <f t="shared" si="13"/>
        <v>11998.466308079966</v>
      </c>
      <c r="N33" s="39">
        <f t="shared" si="13"/>
        <v>12364.933042940418</v>
      </c>
      <c r="O33" s="39">
        <f t="shared" si="13"/>
        <v>12567.845575343681</v>
      </c>
      <c r="P33" s="39">
        <f t="shared" si="13"/>
        <v>11111.753784893946</v>
      </c>
      <c r="Q33" s="39">
        <f t="shared" si="13"/>
        <v>11319.810777051425</v>
      </c>
      <c r="R33" s="39">
        <f t="shared" si="13"/>
        <v>11538.07100992264</v>
      </c>
      <c r="S33" s="39">
        <f t="shared" si="13"/>
        <v>11933.242801044067</v>
      </c>
      <c r="T33" s="39">
        <f t="shared" si="13"/>
        <v>0</v>
      </c>
      <c r="U33" s="39">
        <f t="shared" si="13"/>
        <v>0</v>
      </c>
      <c r="V33" s="39">
        <f t="shared" si="13"/>
        <v>0</v>
      </c>
      <c r="W33" s="39">
        <f t="shared" si="13"/>
        <v>0</v>
      </c>
      <c r="X33" s="39">
        <f t="shared" si="13"/>
        <v>0</v>
      </c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</row>
    <row r="34" spans="2:66" s="7" customFormat="1">
      <c r="B34" s="7" t="s">
        <v>294</v>
      </c>
      <c r="C34" s="469">
        <f>IF(C$5&gt;=1,INDEX(O_MTable,MATCH("Variable",O_MColumn,0),MATCH(C$7,O_MRow,0)),0)</f>
        <v>0</v>
      </c>
      <c r="D34" s="39">
        <f>IF(D$5&gt;=1,INDEX(O_MTable,MATCH("Variable",O_MColumn,0),MATCH(D$7,O_MRow,0)),0)</f>
        <v>0</v>
      </c>
      <c r="E34" s="39">
        <f>IF(E$5&gt;=1,INDEX(O_MTable,MATCH("Variable",O_MColumn,0),MATCH(E$7,O_MRow,0)),0)</f>
        <v>1465.0056857222282</v>
      </c>
      <c r="F34" s="39">
        <f t="shared" ref="F34:X34" si="14">IF(F$5&gt;=1,INDEX(O_MTable,MATCH("Variable",O_MColumn,0),MATCH(F$7,O_MRow,0)),0)</f>
        <v>1830.695415804058</v>
      </c>
      <c r="G34" s="39">
        <f t="shared" si="14"/>
        <v>1897.4339813440874</v>
      </c>
      <c r="H34" s="39">
        <f t="shared" si="14"/>
        <v>1557.73863356163</v>
      </c>
      <c r="I34" s="39">
        <f t="shared" si="14"/>
        <v>1582.9154595778634</v>
      </c>
      <c r="J34" s="39">
        <f t="shared" si="14"/>
        <v>1640.965281052418</v>
      </c>
      <c r="K34" s="39">
        <f t="shared" si="14"/>
        <v>1646.8867713827128</v>
      </c>
      <c r="L34" s="39">
        <f t="shared" si="14"/>
        <v>1672.3331852546958</v>
      </c>
      <c r="M34" s="39">
        <f t="shared" si="14"/>
        <v>1718.2086812118716</v>
      </c>
      <c r="N34" s="39">
        <f t="shared" si="14"/>
        <v>1743.9280231761099</v>
      </c>
      <c r="O34" s="39">
        <f t="shared" si="14"/>
        <v>1769.6416173213072</v>
      </c>
      <c r="P34" s="39">
        <f t="shared" si="14"/>
        <v>1560.4204933841538</v>
      </c>
      <c r="Q34" s="39">
        <f t="shared" si="14"/>
        <v>1615.2489178758215</v>
      </c>
      <c r="R34" s="39">
        <f t="shared" si="14"/>
        <v>1638.3195241968845</v>
      </c>
      <c r="S34" s="39">
        <f t="shared" si="14"/>
        <v>1684.1426290188679</v>
      </c>
      <c r="T34" s="39">
        <f t="shared" si="14"/>
        <v>0</v>
      </c>
      <c r="U34" s="39">
        <f t="shared" si="14"/>
        <v>0</v>
      </c>
      <c r="V34" s="39">
        <f t="shared" si="14"/>
        <v>0</v>
      </c>
      <c r="W34" s="39">
        <f t="shared" si="14"/>
        <v>0</v>
      </c>
      <c r="X34" s="39">
        <f t="shared" si="14"/>
        <v>0</v>
      </c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40"/>
      <c r="AR34" s="40"/>
      <c r="AS34" s="40"/>
      <c r="AT34" s="40"/>
      <c r="AU34" s="40"/>
      <c r="AV34" s="40"/>
      <c r="AW34" s="40"/>
    </row>
    <row r="35" spans="2:66" s="1" customFormat="1">
      <c r="B35" s="66" t="s">
        <v>254</v>
      </c>
      <c r="C35" s="469">
        <f>IF(C$5&gt;=1,INDEX(O_MTable,MATCH("Fixed",O_MColumn,0),MATCH(C$7,O_MRow,0)),0)</f>
        <v>0</v>
      </c>
      <c r="D35" s="39">
        <f>IF(D$5&gt;=1,INDEX(O_MTable,MATCH("Fixed",O_MColumn,0),MATCH(D$7,O_MRow,0)),0)</f>
        <v>220.79166666666666</v>
      </c>
      <c r="E35" s="39">
        <f t="shared" ref="E35:X35" si="15">IF(E$5&gt;=1,INDEX(O_MTable,MATCH("Fixed",O_MColumn,0),MATCH(E$7,O_MRow,0)),0)</f>
        <v>1351.2449999999999</v>
      </c>
      <c r="F35" s="39">
        <f t="shared" si="15"/>
        <v>1377.74</v>
      </c>
      <c r="G35" s="39">
        <f t="shared" si="15"/>
        <v>1404.2350000000004</v>
      </c>
      <c r="H35" s="39">
        <f t="shared" si="15"/>
        <v>1430.73</v>
      </c>
      <c r="I35" s="39">
        <f t="shared" si="15"/>
        <v>1457.2250000000001</v>
      </c>
      <c r="J35" s="39">
        <f t="shared" si="15"/>
        <v>1483.72</v>
      </c>
      <c r="K35" s="39">
        <f t="shared" si="15"/>
        <v>1510.2150000000001</v>
      </c>
      <c r="L35" s="39">
        <f t="shared" si="15"/>
        <v>1536.71</v>
      </c>
      <c r="M35" s="39">
        <f t="shared" si="15"/>
        <v>1563.2049999999999</v>
      </c>
      <c r="N35" s="39">
        <f t="shared" si="15"/>
        <v>1589.7</v>
      </c>
      <c r="O35" s="39">
        <f t="shared" si="15"/>
        <v>1616.1950000000002</v>
      </c>
      <c r="P35" s="39">
        <f t="shared" si="15"/>
        <v>1642.6900000000003</v>
      </c>
      <c r="Q35" s="39">
        <f t="shared" si="15"/>
        <v>1669.1849999999997</v>
      </c>
      <c r="R35" s="39">
        <f t="shared" si="15"/>
        <v>1695.6799999999998</v>
      </c>
      <c r="S35" s="39">
        <f t="shared" si="15"/>
        <v>1722.175</v>
      </c>
      <c r="T35" s="39">
        <f t="shared" si="15"/>
        <v>0</v>
      </c>
      <c r="U35" s="39">
        <f t="shared" si="15"/>
        <v>0</v>
      </c>
      <c r="V35" s="39">
        <f t="shared" si="15"/>
        <v>0</v>
      </c>
      <c r="W35" s="39">
        <f t="shared" si="15"/>
        <v>0</v>
      </c>
      <c r="X35" s="39">
        <f t="shared" si="15"/>
        <v>0</v>
      </c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</row>
    <row r="36" spans="2:66" s="9" customFormat="1">
      <c r="B36" s="491" t="s">
        <v>514</v>
      </c>
      <c r="C36" s="496">
        <f>IF(C$5&gt;=1,INDEX(OperationalDetail,MATCH("Standby Charge",ODColumn,0),MATCH(C$7,ODRow,0)),0)</f>
        <v>0</v>
      </c>
      <c r="D36" s="39">
        <f>IF(D$5&gt;=1,INDEX(OperationalDetail,MATCH("Standby Charge",ODColumn,0),MATCH(D$7,ODRow,0)),0)</f>
        <v>0</v>
      </c>
      <c r="E36" s="39">
        <f t="shared" ref="E36:X36" si="16">IF(E$5&gt;=1,INDEX(OperationalDetail,MATCH("Standby Charge",ODColumn,0),MATCH(E$7,ODRow,0)),0)</f>
        <v>464.44947952980834</v>
      </c>
      <c r="F36" s="39">
        <f t="shared" si="16"/>
        <v>450.08869769075312</v>
      </c>
      <c r="G36" s="39">
        <f t="shared" si="16"/>
        <v>438.31073615848084</v>
      </c>
      <c r="H36" s="39">
        <f t="shared" si="16"/>
        <v>432.96474015281132</v>
      </c>
      <c r="I36" s="39">
        <f t="shared" si="16"/>
        <v>427.19888656986546</v>
      </c>
      <c r="J36" s="39">
        <f t="shared" si="16"/>
        <v>425.17719965511611</v>
      </c>
      <c r="K36" s="39">
        <f t="shared" si="16"/>
        <v>424.57351089488151</v>
      </c>
      <c r="L36" s="39">
        <f t="shared" si="16"/>
        <v>426.76765501906931</v>
      </c>
      <c r="M36" s="39">
        <f t="shared" si="16"/>
        <v>427.95190837786481</v>
      </c>
      <c r="N36" s="39">
        <f t="shared" si="16"/>
        <v>432.19434383899318</v>
      </c>
      <c r="O36" s="39">
        <f t="shared" si="16"/>
        <v>436.20396148716191</v>
      </c>
      <c r="P36" s="39">
        <f t="shared" si="16"/>
        <v>441.39814204029716</v>
      </c>
      <c r="Q36" s="39">
        <f t="shared" si="16"/>
        <v>444.18978926939775</v>
      </c>
      <c r="R36" s="39">
        <f t="shared" si="16"/>
        <v>448.19493911445113</v>
      </c>
      <c r="S36" s="39">
        <f t="shared" si="16"/>
        <v>224.29255811119143</v>
      </c>
      <c r="T36" s="39">
        <f t="shared" si="16"/>
        <v>0</v>
      </c>
      <c r="U36" s="39">
        <f t="shared" si="16"/>
        <v>0</v>
      </c>
      <c r="V36" s="39">
        <f t="shared" si="16"/>
        <v>0</v>
      </c>
      <c r="W36" s="39">
        <f t="shared" si="16"/>
        <v>0</v>
      </c>
      <c r="X36" s="39">
        <f t="shared" si="16"/>
        <v>0</v>
      </c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</row>
    <row r="37" spans="2:66" s="1" customFormat="1">
      <c r="B37" s="66" t="s">
        <v>335</v>
      </c>
      <c r="C37" s="469">
        <f>IF(C$5&gt;=1,INDEX(O_MTable,MATCH("Property Tax",O_MColumn,0),MATCH(C$7,O_MRow,0)),0)</f>
        <v>0</v>
      </c>
      <c r="D37" s="39">
        <f>IF(D$5&gt;=1,INDEX(O_MTable,MATCH("Property Tax",O_MColumn,0),MATCH(D$7,O_MRow,0)),0)</f>
        <v>150.44170888570847</v>
      </c>
      <c r="E37" s="39">
        <f t="shared" ref="E37:X37" si="17">IF(E$5&gt;=1,INDEX(O_MTable,MATCH("Property Tax",O_MColumn,0),MATCH(E$7,O_MRow,0)),0)</f>
        <v>920.70325838053589</v>
      </c>
      <c r="F37" s="39">
        <f t="shared" si="17"/>
        <v>938.75626344682098</v>
      </c>
      <c r="G37" s="39">
        <f t="shared" si="17"/>
        <v>956.80926851310596</v>
      </c>
      <c r="H37" s="39">
        <f t="shared" si="17"/>
        <v>974.86227357939106</v>
      </c>
      <c r="I37" s="39">
        <f t="shared" si="17"/>
        <v>992.91527864567604</v>
      </c>
      <c r="J37" s="39">
        <f t="shared" si="17"/>
        <v>1010.9682837119611</v>
      </c>
      <c r="K37" s="39">
        <f t="shared" si="17"/>
        <v>1029.0212887782461</v>
      </c>
      <c r="L37" s="39">
        <f t="shared" si="17"/>
        <v>1047.074293844531</v>
      </c>
      <c r="M37" s="39">
        <f t="shared" si="17"/>
        <v>1065.1272989108161</v>
      </c>
      <c r="N37" s="39">
        <f t="shared" si="17"/>
        <v>1083.1803039771009</v>
      </c>
      <c r="O37" s="39">
        <f t="shared" si="17"/>
        <v>1101.233309043386</v>
      </c>
      <c r="P37" s="39">
        <f t="shared" si="17"/>
        <v>1119.2863141096711</v>
      </c>
      <c r="Q37" s="39">
        <f t="shared" si="17"/>
        <v>1137.3393191759562</v>
      </c>
      <c r="R37" s="39">
        <f t="shared" si="17"/>
        <v>1155.3923242422411</v>
      </c>
      <c r="S37" s="39">
        <f t="shared" si="17"/>
        <v>1173.4453293085262</v>
      </c>
      <c r="T37" s="39">
        <f t="shared" si="17"/>
        <v>0</v>
      </c>
      <c r="U37" s="39">
        <f t="shared" si="17"/>
        <v>0</v>
      </c>
      <c r="V37" s="39">
        <f t="shared" si="17"/>
        <v>0</v>
      </c>
      <c r="W37" s="39">
        <f t="shared" si="17"/>
        <v>0</v>
      </c>
      <c r="X37" s="39">
        <f t="shared" si="17"/>
        <v>0</v>
      </c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</row>
    <row r="38" spans="2:66" s="18" customFormat="1">
      <c r="B38" s="66" t="s">
        <v>86</v>
      </c>
      <c r="C38" s="259">
        <f>IF(C$5&gt;=1,INDEX(O_MTable,MATCH("Insurance",O_MColumn,0),MATCH(C$7,O_MRow,0)),0)</f>
        <v>0</v>
      </c>
      <c r="D38" s="19">
        <f>IF(D$5&gt;=1,INDEX(O_MTable,MATCH("Insurance",O_MColumn,0),MATCH(D$7,O_MRow,0)),0)</f>
        <v>75.220854442854233</v>
      </c>
      <c r="E38" s="19">
        <f t="shared" ref="E38:X38" si="18">IF(E$5&gt;=1,INDEX(O_MTable,MATCH("Insurance",O_MColumn,0),MATCH(E$7,O_MRow,0)),0)</f>
        <v>460.35162919026794</v>
      </c>
      <c r="F38" s="19">
        <f t="shared" si="18"/>
        <v>469.37813172341049</v>
      </c>
      <c r="G38" s="19">
        <f t="shared" si="18"/>
        <v>478.40463425655298</v>
      </c>
      <c r="H38" s="19">
        <f t="shared" si="18"/>
        <v>487.43113678969553</v>
      </c>
      <c r="I38" s="19">
        <f t="shared" si="18"/>
        <v>496.45763932283802</v>
      </c>
      <c r="J38" s="19">
        <f t="shared" si="18"/>
        <v>505.48414185598057</v>
      </c>
      <c r="K38" s="19">
        <f t="shared" si="18"/>
        <v>514.51064438912306</v>
      </c>
      <c r="L38" s="19">
        <f t="shared" si="18"/>
        <v>523.53714692226549</v>
      </c>
      <c r="M38" s="19">
        <f t="shared" si="18"/>
        <v>532.56364945540804</v>
      </c>
      <c r="N38" s="19">
        <f t="shared" si="18"/>
        <v>541.59015198855047</v>
      </c>
      <c r="O38" s="19">
        <f t="shared" si="18"/>
        <v>550.61665452169302</v>
      </c>
      <c r="P38" s="19">
        <f t="shared" si="18"/>
        <v>559.64315705483557</v>
      </c>
      <c r="Q38" s="19">
        <f t="shared" si="18"/>
        <v>568.66965958797812</v>
      </c>
      <c r="R38" s="19">
        <f t="shared" si="18"/>
        <v>577.69616212112055</v>
      </c>
      <c r="S38" s="19">
        <f t="shared" si="18"/>
        <v>586.7226646542631</v>
      </c>
      <c r="T38" s="19">
        <f t="shared" si="18"/>
        <v>0</v>
      </c>
      <c r="U38" s="19">
        <f t="shared" si="18"/>
        <v>0</v>
      </c>
      <c r="V38" s="19">
        <f t="shared" si="18"/>
        <v>0</v>
      </c>
      <c r="W38" s="19">
        <f t="shared" si="18"/>
        <v>0</v>
      </c>
      <c r="X38" s="19">
        <f t="shared" si="18"/>
        <v>0</v>
      </c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</row>
    <row r="39" spans="2:66">
      <c r="C39" s="25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spans="2:66" s="18" customFormat="1">
      <c r="B40" s="66"/>
      <c r="C40" s="258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</row>
    <row r="41" spans="2:66" s="18" customFormat="1">
      <c r="B41" s="68" t="s">
        <v>83</v>
      </c>
      <c r="C41" s="259">
        <f>SUBTOTAL(9,C33:C38)</f>
        <v>0</v>
      </c>
      <c r="D41" s="19">
        <f>SUBTOTAL(9,D33:D38)</f>
        <v>446.45422999522941</v>
      </c>
      <c r="E41" s="19">
        <f t="shared" ref="E41:W41" si="19">SUBTOTAL(9,E33:E38)</f>
        <v>16055.117191965404</v>
      </c>
      <c r="F41" s="19">
        <f t="shared" si="19"/>
        <v>18581.260575154727</v>
      </c>
      <c r="G41" s="19">
        <f t="shared" si="19"/>
        <v>18992.842468783336</v>
      </c>
      <c r="H41" s="19">
        <f t="shared" si="19"/>
        <v>16199.674994256302</v>
      </c>
      <c r="I41" s="19">
        <f t="shared" si="19"/>
        <v>16336.008880051462</v>
      </c>
      <c r="J41" s="19">
        <f t="shared" si="19"/>
        <v>16561.192072798789</v>
      </c>
      <c r="K41" s="19">
        <f t="shared" si="19"/>
        <v>16631.339445854705</v>
      </c>
      <c r="L41" s="19">
        <f t="shared" si="19"/>
        <v>16886.439750432106</v>
      </c>
      <c r="M41" s="19">
        <f t="shared" si="19"/>
        <v>17305.522846035929</v>
      </c>
      <c r="N41" s="19">
        <f t="shared" si="19"/>
        <v>17755.525865921176</v>
      </c>
      <c r="O41" s="19">
        <f t="shared" si="19"/>
        <v>18041.736117717232</v>
      </c>
      <c r="P41" s="19">
        <f t="shared" si="19"/>
        <v>16435.191891482904</v>
      </c>
      <c r="Q41" s="19">
        <f t="shared" si="19"/>
        <v>16754.443462960578</v>
      </c>
      <c r="R41" s="19">
        <f t="shared" si="19"/>
        <v>17053.353959597338</v>
      </c>
      <c r="S41" s="19">
        <f t="shared" si="19"/>
        <v>17324.020982136914</v>
      </c>
      <c r="T41" s="19">
        <f t="shared" si="19"/>
        <v>0</v>
      </c>
      <c r="U41" s="19">
        <f t="shared" si="19"/>
        <v>0</v>
      </c>
      <c r="V41" s="19">
        <f t="shared" si="19"/>
        <v>0</v>
      </c>
      <c r="W41" s="19">
        <f t="shared" si="19"/>
        <v>0</v>
      </c>
      <c r="X41" s="19">
        <f>SUBTOTAL(9,X33:X38)</f>
        <v>0</v>
      </c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</row>
    <row r="42" spans="2:66" s="18" customFormat="1">
      <c r="B42" s="2"/>
      <c r="C42" s="257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</row>
    <row r="43" spans="2:66" s="1" customFormat="1">
      <c r="B43" s="68" t="s">
        <v>84</v>
      </c>
      <c r="C43" s="260">
        <f t="shared" ref="C43:W43" si="20">C29-C41</f>
        <v>0</v>
      </c>
      <c r="D43" s="628">
        <f t="shared" si="20"/>
        <v>-446.45422999522941</v>
      </c>
      <c r="E43" s="628">
        <f t="shared" si="20"/>
        <v>35032.841442407589</v>
      </c>
      <c r="F43" s="60">
        <f t="shared" si="20"/>
        <v>26366.536295852751</v>
      </c>
      <c r="G43" s="60">
        <f t="shared" si="20"/>
        <v>21547.045260579212</v>
      </c>
      <c r="H43" s="60">
        <f t="shared" si="20"/>
        <v>16446.404052635902</v>
      </c>
      <c r="I43" s="60">
        <f t="shared" si="20"/>
        <v>14056.664407994469</v>
      </c>
      <c r="J43" s="60">
        <f t="shared" si="20"/>
        <v>14909.086955801769</v>
      </c>
      <c r="K43" s="60">
        <f t="shared" si="20"/>
        <v>15403.358301253254</v>
      </c>
      <c r="L43" s="60">
        <f t="shared" si="20"/>
        <v>14567.273756860701</v>
      </c>
      <c r="M43" s="60">
        <f t="shared" si="20"/>
        <v>15196.660398920911</v>
      </c>
      <c r="N43" s="60">
        <f t="shared" si="20"/>
        <v>15171.737249988866</v>
      </c>
      <c r="O43" s="60">
        <f t="shared" si="20"/>
        <v>15514.58059038025</v>
      </c>
      <c r="P43" s="60">
        <f t="shared" si="20"/>
        <v>15852.708536002468</v>
      </c>
      <c r="Q43" s="60">
        <f t="shared" si="20"/>
        <v>16715.525329390566</v>
      </c>
      <c r="R43" s="60">
        <f t="shared" si="20"/>
        <v>16875.496795540825</v>
      </c>
      <c r="S43" s="60">
        <f t="shared" si="20"/>
        <v>17824.42779461234</v>
      </c>
      <c r="T43" s="60">
        <f t="shared" si="20"/>
        <v>5379.6218034406056</v>
      </c>
      <c r="U43" s="60">
        <f t="shared" si="20"/>
        <v>5411.2121855488167</v>
      </c>
      <c r="V43" s="60">
        <f t="shared" si="20"/>
        <v>4404.7032420598316</v>
      </c>
      <c r="W43" s="60" t="e">
        <f t="shared" si="20"/>
        <v>#DIV/0!</v>
      </c>
      <c r="X43" s="60" t="e">
        <f>X29-X41</f>
        <v>#DIV/0!</v>
      </c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</row>
    <row r="44" spans="2:66" s="470" customFormat="1">
      <c r="B44" s="473" t="s">
        <v>287</v>
      </c>
      <c r="C44" s="474"/>
      <c r="D44" s="475">
        <v>0</v>
      </c>
      <c r="E44" s="475">
        <v>0</v>
      </c>
      <c r="F44" s="475">
        <v>0</v>
      </c>
      <c r="G44" s="475">
        <f>IF(Tables!$B$21=Tables!B19,((Assumptions!$E$29*Assumptions!$E$10)-'Debt Amort'!$E$27),0)</f>
        <v>0</v>
      </c>
      <c r="H44" s="475">
        <v>0</v>
      </c>
      <c r="I44" s="475">
        <f>IF(Tables!$B$21=Tables!B15,((Assumptions!$E$29*Assumptions!$E$10)-'Debt Amort'!$H$27),0)</f>
        <v>0</v>
      </c>
      <c r="J44" s="475">
        <v>0</v>
      </c>
      <c r="K44" s="475">
        <v>0</v>
      </c>
      <c r="L44" s="475">
        <v>0</v>
      </c>
      <c r="M44" s="475">
        <v>0</v>
      </c>
      <c r="N44" s="475">
        <f>IF(Tables!B21=Tables!B16,((Assumptions!E29*Assumptions!E10)-'Debt Amort'!M27),0)</f>
        <v>0</v>
      </c>
      <c r="O44" s="475">
        <v>0</v>
      </c>
      <c r="P44" s="475">
        <v>0</v>
      </c>
      <c r="Q44" s="475">
        <v>0</v>
      </c>
      <c r="R44" s="475">
        <v>0</v>
      </c>
      <c r="S44" s="475">
        <f>IF(Tables!$B$21=Tables!$B$17,((Assumptions!$E$29*Assumptions!$E$10)-'Debt Amort'!S27),0)</f>
        <v>66796.118745254571</v>
      </c>
      <c r="T44" s="475">
        <v>0</v>
      </c>
      <c r="U44" s="475">
        <v>0</v>
      </c>
      <c r="V44" s="475">
        <v>0</v>
      </c>
      <c r="W44" s="475">
        <v>0</v>
      </c>
      <c r="X44" s="475">
        <f>IF(Tables!$B$21=Tables!$B$18,((Assumptions!$E$29*Assumptions!$E$10)-'Debt Amort'!W27),0)</f>
        <v>0</v>
      </c>
      <c r="Y44" s="475"/>
      <c r="Z44" s="475"/>
      <c r="AA44" s="475"/>
      <c r="AB44" s="475"/>
      <c r="AC44" s="475"/>
      <c r="AD44" s="475"/>
      <c r="AE44" s="475"/>
      <c r="AF44" s="475"/>
      <c r="AG44" s="475"/>
      <c r="AH44" s="475"/>
      <c r="AI44" s="475"/>
      <c r="AJ44" s="475"/>
      <c r="AK44" s="475"/>
      <c r="AL44" s="475"/>
      <c r="AM44" s="475"/>
      <c r="AN44" s="475"/>
      <c r="AO44" s="475"/>
      <c r="AP44" s="475"/>
    </row>
    <row r="45" spans="2:66" s="1" customFormat="1">
      <c r="B45" s="2"/>
      <c r="C45" s="257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</row>
    <row r="46" spans="2:66" s="1" customFormat="1">
      <c r="B46" s="65" t="s">
        <v>85</v>
      </c>
      <c r="C46" s="261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</row>
    <row r="47" spans="2:66" s="18" customFormat="1">
      <c r="B47" s="66"/>
      <c r="C47" s="254"/>
      <c r="D47" s="8"/>
      <c r="E47" s="8"/>
      <c r="F47" s="8"/>
      <c r="G47" s="8"/>
      <c r="H47" s="8"/>
      <c r="I47" s="39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1"/>
      <c r="AR47" s="1"/>
      <c r="AS47" s="1"/>
      <c r="AT47" s="1"/>
      <c r="AU47" s="1"/>
      <c r="AV47" s="1"/>
      <c r="AW47" s="1"/>
      <c r="AX47" s="1"/>
      <c r="AY47" s="1"/>
    </row>
    <row r="48" spans="2:66" s="494" customFormat="1">
      <c r="B48" s="491" t="s">
        <v>239</v>
      </c>
      <c r="C48" s="255">
        <f>IF(C$5&gt;=1,INDEX(InterestTable,MATCH("Total Interest on Term Loan",'Debt Amort'!$B$12:$B$39,0),MATCH(C$15,'Debt Amort'!$B$12:$AB$12,0)),0)</f>
        <v>0</v>
      </c>
      <c r="D48" s="39">
        <f>IF(D$5&gt;=1,IF(D29&gt;0,INDEX(InterestTable,MATCH("Total Interest on Term Loan",'Debt Amort'!$B$12:$B$39,0),MATCH(D$15,'Debt Amort'!$B$12:$AB$12,0)),0),0)</f>
        <v>0</v>
      </c>
      <c r="E48" s="39">
        <f>IF(E$5&gt;=1,IF(E29&gt;0,INDEX(InterestTable,MATCH("Total Interest on Term Loan",'Debt Amort'!$B$12:$B$39,0),MATCH(E$15,'Debt Amort'!$B$12:$AB$12,0)),0),0)</f>
        <v>4339.6491195577373</v>
      </c>
      <c r="F48" s="39">
        <f>IF(F$5&gt;=1,IF(F29&gt;0,INDEX(InterestTable,MATCH("Total Interest on Term Loan",'Debt Amort'!$B$12:$B$39,0),MATCH(F$15,'Debt Amort'!$B$12:$AB$12,0)),0),0)</f>
        <v>4100.3269770793195</v>
      </c>
      <c r="G48" s="39">
        <f>IF(G$5&gt;=1,IF(G29&gt;0,INDEX(InterestTable,MATCH("Total Interest on Term Loan",'Debt Amort'!$B$12:$B$39,0),MATCH(G$15,'Debt Amort'!$B$12:$AB$12,0)),0),0)</f>
        <v>3918.93368719405</v>
      </c>
      <c r="H48" s="39">
        <f>IF(H$5&gt;=1,IF(H29&gt;0,INDEX(InterestTable,MATCH("Total Interest on Term Loan",'Debt Amort'!$B$12:$B$39,0),MATCH(H$15,'Debt Amort'!$B$12:$AB$12,0)),0),0)</f>
        <v>3566.1725681323828</v>
      </c>
      <c r="I48" s="39">
        <f>IF(I$5&gt;=1,IF(I29&gt;0,INDEX(InterestTable,MATCH("Total Interest on Term Loan",'Debt Amort'!$B$12:$B$39,0),MATCH(I$15,'Debt Amort'!$B$12:$AB$12,0)),0),0)</f>
        <v>3208.0733514755771</v>
      </c>
      <c r="J48" s="39">
        <f>IF(J$5&gt;=1,IF(J29&gt;0,INDEX(InterestTable,MATCH("Total Interest on Term Loan",'Debt Amort'!$B$12:$B$39,0),MATCH(J$15,'Debt Amort'!$B$12:$AB$12,0)),0),0)</f>
        <v>2931.9472652813347</v>
      </c>
      <c r="K48" s="39">
        <f>IF(K$5&gt;=1,IF(K29&gt;0,INDEX(InterestTable,MATCH("Total Interest on Term Loan",'Debt Amort'!$B$12:$B$39,0),MATCH(K$15,'Debt Amort'!$B$12:$AB$12,0)),0),0)</f>
        <v>2556.1732115538066</v>
      </c>
      <c r="L48" s="39">
        <f>IF(L$5&gt;=1,IF(L29&gt;0,INDEX(InterestTable,MATCH("Total Interest on Term Loan",'Debt Amort'!$B$12:$B$39,0),MATCH(L$15,'Debt Amort'!$B$12:$AB$12,0)),0),0)</f>
        <v>2179.6500594717336</v>
      </c>
      <c r="M48" s="39">
        <f>IF(M$5&gt;=1,IF(M29&gt;0,INDEX(InterestTable,MATCH("Total Interest on Term Loan",'Debt Amort'!$B$12:$B$39,0),MATCH(M$15,'Debt Amort'!$B$12:$AB$12,0)),0),0)</f>
        <v>1855.9262600065017</v>
      </c>
      <c r="N48" s="39">
        <f>IF(N$5&gt;=1,IF(N29&gt;0,INDEX(InterestTable,MATCH("Total Interest on Term Loan",'Debt Amort'!$B$12:$B$39,0),MATCH(N$15,'Debt Amort'!$B$12:$AB$12,0)),0),0)</f>
        <v>1466.8245860331499</v>
      </c>
      <c r="O48" s="39">
        <f>IF(O$5&gt;=1,IF(O29&gt;0,INDEX(InterestTable,MATCH("Total Interest on Term Loan",'Debt Amort'!$B$12:$B$39,0),MATCH(O$15,'Debt Amort'!$B$12:$AB$12,0)),0),0)</f>
        <v>1077.3083565125976</v>
      </c>
      <c r="P48" s="39">
        <f>IF(P$5&gt;=1,IF(P29&gt;0,INDEX(InterestTable,MATCH("Total Interest on Term Loan",'Debt Amort'!$B$12:$B$39,0),MATCH(P$15,'Debt Amort'!$B$12:$AB$12,0)),0),0)</f>
        <v>706.34543512017194</v>
      </c>
      <c r="Q48" s="39">
        <f>IF(Q$5&gt;=1,IF(Q29&gt;0,INDEX(InterestTable,MATCH("Total Interest on Term Loan",'Debt Amort'!$B$12:$B$39,0),MATCH(Q$15,'Debt Amort'!$B$12:$AB$12,0)),0),0)</f>
        <v>303.15440997279626</v>
      </c>
      <c r="R48" s="39">
        <f>IF(R$5&gt;=1,IF(R29&gt;0,INDEX(InterestTable,MATCH("Total Interest on Term Loan",'Debt Amort'!$B$12:$B$39,0),MATCH(R$15,'Debt Amort'!$B$12:$AB$12,0)),0),0)</f>
        <v>8.1612074421875371E-13</v>
      </c>
      <c r="S48" s="39">
        <f>IF(S$5&gt;=1,IF(S29&gt;0,INDEX(InterestTable,MATCH("Total Interest on Term Loan",'Debt Amort'!$B$12:$B$39,0),MATCH(S$15,'Debt Amort'!$B$12:$AB$12,0)),0),0)</f>
        <v>0</v>
      </c>
      <c r="T48" s="39">
        <f>IF(T$5&gt;=1,IF(T29&gt;0,INDEX(InterestTable,MATCH("Total Interest on Term Loan",'Debt Amort'!$B$12:$B$39,0),MATCH(T$15,'Debt Amort'!$B$12:$AB$12,0)),0),0)</f>
        <v>0</v>
      </c>
      <c r="U48" s="39">
        <f>IF(U$5&gt;=1,IF(U29&gt;0,INDEX(InterestTable,MATCH("Total Interest on Term Loan",'Debt Amort'!$B$12:$B$39,0),MATCH(U$15,'Debt Amort'!$B$12:$AB$12,0)),0),0)</f>
        <v>0</v>
      </c>
      <c r="V48" s="39">
        <f>IF(V$5&gt;=1,IF(V29&gt;0,INDEX(InterestTable,MATCH("Total Interest on Term Loan",'Debt Amort'!$B$12:$B$39,0),MATCH(V$15,'Debt Amort'!$B$12:$AB$12,0)),0),0)</f>
        <v>0</v>
      </c>
      <c r="W48" s="39" t="e">
        <f>IF(W$5&gt;=1,IF(W29&gt;0,INDEX(InterestTable,MATCH("Total Interest on Term Loan",'Debt Amort'!$B$12:$B$39,0),MATCH(W$15,'Debt Amort'!$B$12:$AB$12,0)),0),0)</f>
        <v>#DIV/0!</v>
      </c>
      <c r="X48" s="39" t="e">
        <f>IF(X$5&gt;=1,IF(X29&gt;0,INDEX(InterestTable,MATCH("Total Interest on Term Loan",'Debt Amort'!$B$12:$B$39,0),MATCH(X$15,'Debt Amort'!$B$12:$AB$12,0)),0),0)</f>
        <v>#DIV/0!</v>
      </c>
      <c r="Y48" s="469"/>
      <c r="Z48" s="469"/>
      <c r="AA48" s="469"/>
      <c r="AB48" s="469"/>
      <c r="AC48" s="469"/>
      <c r="AD48" s="469"/>
      <c r="AE48" s="469"/>
      <c r="AF48" s="469"/>
      <c r="AG48" s="469"/>
      <c r="AH48" s="469"/>
      <c r="AI48" s="469"/>
      <c r="AJ48" s="469"/>
      <c r="AK48" s="469"/>
      <c r="AL48" s="469"/>
      <c r="AM48" s="469"/>
      <c r="AN48" s="469"/>
      <c r="AO48" s="469"/>
      <c r="AP48" s="469"/>
      <c r="AQ48" s="205"/>
      <c r="AR48" s="205"/>
      <c r="AS48" s="205"/>
      <c r="AT48" s="205"/>
      <c r="AU48" s="205"/>
      <c r="AV48" s="205"/>
      <c r="AW48" s="205"/>
      <c r="AX48" s="205"/>
      <c r="AY48" s="205"/>
      <c r="AZ48" s="493"/>
      <c r="BA48" s="493"/>
      <c r="BB48" s="493"/>
      <c r="BC48" s="493"/>
      <c r="BD48" s="493"/>
      <c r="BE48" s="493"/>
      <c r="BF48" s="493"/>
      <c r="BG48" s="493"/>
      <c r="BH48" s="493"/>
      <c r="BI48" s="493"/>
      <c r="BJ48" s="493"/>
      <c r="BK48" s="493"/>
      <c r="BL48" s="493"/>
      <c r="BM48" s="493"/>
      <c r="BN48" s="493"/>
    </row>
    <row r="49" spans="2:66" s="494" customFormat="1">
      <c r="B49" s="491" t="s">
        <v>240</v>
      </c>
      <c r="C49" s="496">
        <f>IF(C5&gt;=1,INDEX(OperatingCash,MATCH("WC Interest",OpCashColumn,0),MATCH(C$15,OpCashRow,0))+INDEX(OperatingCash,MATCH("Interest on Cash Balance",OpCashColumn,0),MATCH(C$15,OpCashRow,0)),0)</f>
        <v>0</v>
      </c>
      <c r="D49" s="39">
        <f>IF(D5&gt;=1,INDEX(OperatingCash,MATCH("WC Interest",OpCashColumn,0),MATCH(D$15,OpCashRow,0))+INDEX(OperatingCash,MATCH("Interest on Cash Balance",OpCashColumn,0),MATCH(D$15,OpCashRow,0)),0)</f>
        <v>0</v>
      </c>
      <c r="E49" s="39">
        <f t="shared" ref="E49:W49" si="21">IF(E5&gt;=1,INDEX(OperatingCash,MATCH("WC Interest",OpCashColumn,0),MATCH(E$15,OpCashRow,0))+INDEX(OperatingCash,MATCH("Interest on Cash Balance",OpCashColumn,0),MATCH(E$15,OpCashRow,0)),0)</f>
        <v>0</v>
      </c>
      <c r="F49" s="39">
        <f t="shared" si="21"/>
        <v>0</v>
      </c>
      <c r="G49" s="39">
        <f t="shared" si="21"/>
        <v>0</v>
      </c>
      <c r="H49" s="39">
        <f t="shared" si="21"/>
        <v>0</v>
      </c>
      <c r="I49" s="39">
        <f t="shared" si="21"/>
        <v>0</v>
      </c>
      <c r="J49" s="39">
        <f t="shared" si="21"/>
        <v>0</v>
      </c>
      <c r="K49" s="39">
        <f t="shared" si="21"/>
        <v>0</v>
      </c>
      <c r="L49" s="39">
        <f t="shared" si="21"/>
        <v>0</v>
      </c>
      <c r="M49" s="39">
        <f t="shared" si="21"/>
        <v>0</v>
      </c>
      <c r="N49" s="39">
        <f t="shared" si="21"/>
        <v>0</v>
      </c>
      <c r="O49" s="39">
        <f t="shared" si="21"/>
        <v>0</v>
      </c>
      <c r="P49" s="39">
        <f t="shared" si="21"/>
        <v>0</v>
      </c>
      <c r="Q49" s="39">
        <f t="shared" si="21"/>
        <v>0</v>
      </c>
      <c r="R49" s="39">
        <f t="shared" si="21"/>
        <v>0</v>
      </c>
      <c r="S49" s="39">
        <f t="shared" si="21"/>
        <v>0</v>
      </c>
      <c r="T49" s="39">
        <f t="shared" si="21"/>
        <v>4.9435347972383923</v>
      </c>
      <c r="U49" s="39">
        <f t="shared" si="21"/>
        <v>4.9797860872134736</v>
      </c>
      <c r="V49" s="39">
        <f t="shared" si="21"/>
        <v>4.0483156495256338</v>
      </c>
      <c r="W49" s="39" t="e">
        <f t="shared" si="21"/>
        <v>#DIV/0!</v>
      </c>
      <c r="X49" s="39" t="e">
        <f>IF(X5&gt;=1,INDEX(OperatingCash,MATCH("WC Interest",OpCashColumn,0),MATCH(X$15,OpCashRow,0))+INDEX(OperatingCash,MATCH("Interest on Cash Balance",OpCashColumn,0),MATCH(X$15,OpCashRow,0)),0)</f>
        <v>#DIV/0!</v>
      </c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205"/>
      <c r="AR49" s="205"/>
      <c r="AS49" s="205"/>
      <c r="AT49" s="205"/>
      <c r="AU49" s="205"/>
      <c r="AV49" s="205"/>
      <c r="AW49" s="205"/>
      <c r="AX49" s="205"/>
      <c r="AY49" s="205"/>
      <c r="AZ49" s="493"/>
      <c r="BA49" s="493"/>
      <c r="BB49" s="493"/>
      <c r="BC49" s="493"/>
      <c r="BD49" s="493"/>
      <c r="BE49" s="493"/>
      <c r="BF49" s="493"/>
      <c r="BG49" s="493"/>
      <c r="BH49" s="493"/>
      <c r="BI49" s="493"/>
      <c r="BJ49" s="493"/>
      <c r="BK49" s="493"/>
      <c r="BL49" s="493"/>
      <c r="BM49" s="493"/>
      <c r="BN49" s="493"/>
    </row>
    <row r="50" spans="2:66" s="494" customFormat="1">
      <c r="B50" s="491" t="s">
        <v>582</v>
      </c>
      <c r="C50" s="496"/>
      <c r="D50" s="39">
        <f>IF(D29&gt;0,INDEX(DebtReserveTable,MATCH("Interest Payment",DebtReserveColumn,0),MATCH(D$15,DebtReserveRow,0)),0)</f>
        <v>0</v>
      </c>
      <c r="E50" s="39">
        <f>IF(E29&gt;0,INDEX(DebtReserveTable,MATCH("Interest Payment",DebtReserveColumn,0),MATCH(E$15,DebtReserveRow,0)),0)</f>
        <v>172.20993051725807</v>
      </c>
      <c r="F50" s="39">
        <f>IF(F29&gt;0,INDEX(DebtReserveTable,MATCH("Interest Payment",DebtReserveColumn,0),MATCH(F$15,DebtReserveRow,0)),0)</f>
        <v>168.58206471955265</v>
      </c>
      <c r="G50" s="39">
        <f>IF(G29&gt;0,INDEX(DebtReserveTable,MATCH("Interest Payment",DebtReserveColumn,0),MATCH(G$15,DebtReserveRow,0)),0)</f>
        <v>161.52684233831934</v>
      </c>
      <c r="H50" s="39">
        <f t="shared" ref="H50:X50" si="22">IF(H29&gt;0,INDEX(DebtReserveTable,MATCH("Interest Payment",DebtReserveColumn,0),MATCH(H$15,DebtReserveRow,0)),0)</f>
        <v>154.36485800518324</v>
      </c>
      <c r="I50" s="39">
        <f t="shared" si="22"/>
        <v>148.84233628129837</v>
      </c>
      <c r="J50" s="39">
        <f t="shared" si="22"/>
        <v>141.32685520674781</v>
      </c>
      <c r="K50" s="39">
        <f t="shared" si="22"/>
        <v>133.79639216510637</v>
      </c>
      <c r="L50" s="39">
        <f t="shared" si="22"/>
        <v>127.3219161758017</v>
      </c>
      <c r="M50" s="39">
        <f t="shared" si="22"/>
        <v>119.53988269633469</v>
      </c>
      <c r="N50" s="39">
        <f t="shared" si="22"/>
        <v>111.74955810592364</v>
      </c>
      <c r="O50" s="39">
        <f t="shared" si="22"/>
        <v>104.33029967807514</v>
      </c>
      <c r="P50" s="39">
        <f t="shared" si="22"/>
        <v>96.266479175127614</v>
      </c>
      <c r="Q50" s="39">
        <f t="shared" si="22"/>
        <v>3.8012029559354635E-13</v>
      </c>
      <c r="R50" s="39">
        <f t="shared" si="22"/>
        <v>0</v>
      </c>
      <c r="S50" s="39">
        <f t="shared" si="22"/>
        <v>0</v>
      </c>
      <c r="T50" s="39">
        <f t="shared" si="22"/>
        <v>0</v>
      </c>
      <c r="U50" s="39">
        <f t="shared" si="22"/>
        <v>0</v>
      </c>
      <c r="V50" s="39">
        <f t="shared" si="22"/>
        <v>0</v>
      </c>
      <c r="W50" s="39" t="e">
        <f t="shared" si="22"/>
        <v>#DIV/0!</v>
      </c>
      <c r="X50" s="39" t="e">
        <f t="shared" si="22"/>
        <v>#DIV/0!</v>
      </c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205"/>
      <c r="AR50" s="205"/>
      <c r="AS50" s="205"/>
      <c r="AT50" s="205"/>
      <c r="AU50" s="205"/>
      <c r="AV50" s="205"/>
      <c r="AW50" s="205"/>
      <c r="AX50" s="205"/>
      <c r="AY50" s="205"/>
      <c r="AZ50" s="493"/>
      <c r="BA50" s="493"/>
      <c r="BB50" s="493"/>
      <c r="BC50" s="493"/>
      <c r="BD50" s="493"/>
      <c r="BE50" s="493"/>
      <c r="BF50" s="493"/>
      <c r="BG50" s="493"/>
      <c r="BH50" s="493"/>
      <c r="BI50" s="493"/>
      <c r="BJ50" s="493"/>
      <c r="BK50" s="493"/>
      <c r="BL50" s="493"/>
      <c r="BM50" s="493"/>
      <c r="BN50" s="493"/>
    </row>
    <row r="51" spans="2:66" s="494" customFormat="1">
      <c r="B51" s="491" t="s">
        <v>670</v>
      </c>
      <c r="C51" s="496"/>
      <c r="D51" s="39">
        <f>IF(D29&gt;0,INDEX(Tier2Debt,MATCH("Total Interest on Term Loan",Tier2Column,0),MATCH(D$15,Tier2Row,0)),0)</f>
        <v>0</v>
      </c>
      <c r="E51" s="39">
        <f>IF(E29&gt;0,INDEX(Tier2Debt,MATCH("Total Interest on Term Loan",Tier2Column,0),MATCH(E$15,Tier2Row,0)),0)</f>
        <v>0</v>
      </c>
      <c r="F51" s="39">
        <f t="shared" ref="F51:X51" si="23">IF(F29&gt;0,INDEX(Tier2Debt,MATCH("Total Interest on Term Loan",Tier2Column,0),MATCH(F$15,Tier2Row,0)),0)</f>
        <v>0</v>
      </c>
      <c r="G51" s="39">
        <f t="shared" si="23"/>
        <v>0</v>
      </c>
      <c r="H51" s="39">
        <f t="shared" si="23"/>
        <v>0</v>
      </c>
      <c r="I51" s="39">
        <f t="shared" si="23"/>
        <v>0</v>
      </c>
      <c r="J51" s="39">
        <f t="shared" si="23"/>
        <v>0</v>
      </c>
      <c r="K51" s="39">
        <f t="shared" si="23"/>
        <v>0</v>
      </c>
      <c r="L51" s="39">
        <f t="shared" si="23"/>
        <v>0</v>
      </c>
      <c r="M51" s="39">
        <f t="shared" si="23"/>
        <v>0</v>
      </c>
      <c r="N51" s="39">
        <f t="shared" si="23"/>
        <v>0</v>
      </c>
      <c r="O51" s="39">
        <f t="shared" si="23"/>
        <v>0</v>
      </c>
      <c r="P51" s="39">
        <f t="shared" si="23"/>
        <v>0</v>
      </c>
      <c r="Q51" s="39">
        <f t="shared" si="23"/>
        <v>0</v>
      </c>
      <c r="R51" s="39">
        <f t="shared" si="23"/>
        <v>0</v>
      </c>
      <c r="S51" s="39">
        <f t="shared" si="23"/>
        <v>0</v>
      </c>
      <c r="T51" s="39">
        <f t="shared" si="23"/>
        <v>0</v>
      </c>
      <c r="U51" s="39">
        <f t="shared" si="23"/>
        <v>0</v>
      </c>
      <c r="V51" s="39">
        <f t="shared" si="23"/>
        <v>0</v>
      </c>
      <c r="W51" s="39" t="e">
        <f t="shared" si="23"/>
        <v>#DIV/0!</v>
      </c>
      <c r="X51" s="39" t="e">
        <f t="shared" si="23"/>
        <v>#DIV/0!</v>
      </c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205"/>
      <c r="AR51" s="205"/>
      <c r="AS51" s="205"/>
      <c r="AT51" s="205"/>
      <c r="AU51" s="205"/>
      <c r="AV51" s="205"/>
      <c r="AW51" s="205"/>
      <c r="AX51" s="205"/>
      <c r="AY51" s="205"/>
      <c r="AZ51" s="493"/>
      <c r="BA51" s="493"/>
      <c r="BB51" s="493"/>
      <c r="BC51" s="493"/>
      <c r="BD51" s="493"/>
      <c r="BE51" s="493"/>
      <c r="BF51" s="493"/>
      <c r="BG51" s="493"/>
      <c r="BH51" s="493"/>
      <c r="BI51" s="493"/>
      <c r="BJ51" s="493"/>
      <c r="BK51" s="493"/>
      <c r="BL51" s="493"/>
      <c r="BM51" s="493"/>
      <c r="BN51" s="493"/>
    </row>
    <row r="52" spans="2:66" s="9" customFormat="1">
      <c r="B52" s="491" t="s">
        <v>87</v>
      </c>
      <c r="C52" s="469">
        <f>IF(C$5&gt;=1,INDEX(InterestTable,MATCH("Total Principal",'Debt Amort'!$B$12:$B$39,0),MATCH(C$15,'Debt Amort'!$B$12:$AB$12,0)),0)</f>
        <v>0</v>
      </c>
      <c r="D52" s="39">
        <f>IF(D$5&gt;=1,IF(D29&gt;0,INDEX(InterestTable,MATCH("Total Principal",'Debt Amort'!$B$12:$B$39,0),MATCH(D$15,'Debt Amort'!$B$12:$AB$12,0)),0),0)</f>
        <v>0</v>
      </c>
      <c r="E52" s="39">
        <f>IF(E$5&gt;=1,IF(E29&gt;0,INDEX(InterestTable,MATCH("Total Principal",'Debt Amort'!$B$12:$B$39,0),MATCH(E$15,'Debt Amort'!$B$12:$AB$12,0)),0),0)</f>
        <v>4510.1695487835841</v>
      </c>
      <c r="F52" s="39">
        <f>IF(F$5&gt;=1,IF(F29&gt;0,INDEX(InterestTable,MATCH("Total Principal",'Debt Amort'!$B$12:$B$39,0),MATCH(F$15,'Debt Amort'!$B$12:$AB$12,0)),0),0)</f>
        <v>4510.1695487835841</v>
      </c>
      <c r="G52" s="39">
        <f>IF(G$5&gt;=1,IF(G29&gt;0,INDEX(InterestTable,MATCH("Total Principal",'Debt Amort'!$B$12:$B$39,0),MATCH(G$15,'Debt Amort'!$B$12:$AB$12,0)),0),0)</f>
        <v>4510.1695487835841</v>
      </c>
      <c r="H52" s="39">
        <f>IF(H$5&gt;=1,IF(H29&gt;0,INDEX(InterestTable,MATCH("Total Principal",'Debt Amort'!$B$12:$B$39,0),MATCH(H$15,'Debt Amort'!$B$12:$AB$12,0)),0),0)</f>
        <v>4510.1695487835841</v>
      </c>
      <c r="I52" s="39">
        <f>IF(I$5&gt;=1,IF(I29&gt;0,INDEX(InterestTable,MATCH("Total Principal",'Debt Amort'!$B$12:$B$39,0),MATCH(I$15,'Debt Amort'!$B$12:$AB$12,0)),0),0)</f>
        <v>4510.1695487835841</v>
      </c>
      <c r="J52" s="39">
        <f>IF(J$5&gt;=1,IF(J29&gt;0,INDEX(InterestTable,MATCH("Total Principal",'Debt Amort'!$B$12:$B$39,0),MATCH(J$15,'Debt Amort'!$B$12:$AB$12,0)),0),0)</f>
        <v>4510.1695487835841</v>
      </c>
      <c r="K52" s="39">
        <f>IF(K$5&gt;=1,IF(K29&gt;0,INDEX(InterestTable,MATCH("Total Principal",'Debt Amort'!$B$12:$B$39,0),MATCH(K$15,'Debt Amort'!$B$12:$AB$12,0)),0),0)</f>
        <v>4510.1695487835841</v>
      </c>
      <c r="L52" s="39">
        <f>IF(L$5&gt;=1,IF(L29&gt;0,INDEX(InterestTable,MATCH("Total Principal",'Debt Amort'!$B$12:$B$39,0),MATCH(L$15,'Debt Amort'!$B$12:$AB$12,0)),0),0)</f>
        <v>4510.1695487835841</v>
      </c>
      <c r="M52" s="39">
        <f>IF(M$5&gt;=1,IF(M29&gt;0,INDEX(InterestTable,MATCH("Total Principal",'Debt Amort'!$B$12:$B$39,0),MATCH(M$15,'Debt Amort'!$B$12:$AB$12,0)),0),0)</f>
        <v>4510.1695487835841</v>
      </c>
      <c r="N52" s="39">
        <f>IF(N$5&gt;=1,IF(N29&gt;0,INDEX(InterestTable,MATCH("Total Principal",'Debt Amort'!$B$12:$B$39,0),MATCH(N$15,'Debt Amort'!$B$12:$AB$12,0)),0),0)</f>
        <v>4510.1695487835841</v>
      </c>
      <c r="O52" s="39">
        <f>IF(O$5&gt;=1,IF(O29&gt;0,INDEX(InterestTable,MATCH("Total Principal",'Debt Amort'!$B$12:$B$39,0),MATCH(O$15,'Debt Amort'!$B$12:$AB$12,0)),0),0)</f>
        <v>4510.1695487835841</v>
      </c>
      <c r="P52" s="39">
        <f>IF(P$5&gt;=1,IF(P29&gt;0,INDEX(InterestTable,MATCH("Total Principal",'Debt Amort'!$B$12:$B$39,0),MATCH(P$15,'Debt Amort'!$B$12:$AB$12,0)),0),0)</f>
        <v>4510.1695487835841</v>
      </c>
      <c r="Q52" s="39">
        <f>IF(Q$5&gt;=1,IF(Q29&gt;0,INDEX(InterestTable,MATCH("Total Principal",'Debt Amort'!$B$12:$B$39,0),MATCH(Q$15,'Debt Amort'!$B$12:$AB$12,0)),0),0)</f>
        <v>4510.1695487835841</v>
      </c>
      <c r="R52" s="39">
        <f>IF(R$5&gt;=1,IF(R29&gt;0,INDEX(InterestTable,MATCH("Total Principal",'Debt Amort'!$B$12:$B$39,0),MATCH(R$15,'Debt Amort'!$B$12:$AB$12,0)),0),0)</f>
        <v>1.8189894035458565E-11</v>
      </c>
      <c r="S52" s="39">
        <f>IF(S$5&gt;=1,IF(S29&gt;0,INDEX(InterestTable,MATCH("Total Principal",'Debt Amort'!$B$12:$B$39,0),MATCH(S$15,'Debt Amort'!$B$12:$AB$12,0)),0),0)</f>
        <v>0</v>
      </c>
      <c r="T52" s="39">
        <f>IF(T$5&gt;=1,IF(T29&gt;0,INDEX(InterestTable,MATCH("Total Principal",'Debt Amort'!$B$12:$B$39,0),MATCH(T$15,'Debt Amort'!$B$12:$AB$12,0)),0),0)</f>
        <v>0</v>
      </c>
      <c r="U52" s="39">
        <f>IF(U$5&gt;=1,IF(U29&gt;0,INDEX(InterestTable,MATCH("Total Principal",'Debt Amort'!$B$12:$B$39,0),MATCH(U$15,'Debt Amort'!$B$12:$AB$12,0)),0),0)</f>
        <v>0</v>
      </c>
      <c r="V52" s="39">
        <f>IF(V$5&gt;=1,IF(V29&gt;0,INDEX(InterestTable,MATCH("Total Principal",'Debt Amort'!$B$12:$B$39,0),MATCH(V$15,'Debt Amort'!$B$12:$AB$12,0)),0),0)</f>
        <v>0</v>
      </c>
      <c r="W52" s="39" t="e">
        <f>IF(W$5&gt;=1,IF(W29&gt;0,INDEX(InterestTable,MATCH("Total Principal",'Debt Amort'!$B$12:$B$39,0),MATCH(W$15,'Debt Amort'!$B$12:$AB$12,0)),0),0)</f>
        <v>#DIV/0!</v>
      </c>
      <c r="X52" s="39" t="e">
        <f>IF(X$5&gt;=1,IF(X29&gt;0,INDEX(InterestTable,MATCH("Total Principal",'Debt Amort'!$B$12:$B$39,0),MATCH(X$15,'Debt Amort'!$B$12:$AB$12,0)),0),0)</f>
        <v>#DIV/0!</v>
      </c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</row>
    <row r="53" spans="2:66" s="9" customFormat="1">
      <c r="B53" s="717" t="s">
        <v>671</v>
      </c>
      <c r="C53" s="469"/>
      <c r="D53" s="39">
        <f t="shared" ref="D53:X53" si="24">IF(D$29&gt;0,INDEX(Tier2Debt,MATCH("Total Principal",Tier2Column,0),MATCH(D$15,Tier2Row,0)),0)</f>
        <v>0</v>
      </c>
      <c r="E53" s="39">
        <f t="shared" si="24"/>
        <v>0</v>
      </c>
      <c r="F53" s="39">
        <f t="shared" si="24"/>
        <v>0</v>
      </c>
      <c r="G53" s="39">
        <f t="shared" si="24"/>
        <v>0</v>
      </c>
      <c r="H53" s="39">
        <f t="shared" si="24"/>
        <v>0</v>
      </c>
      <c r="I53" s="39">
        <f t="shared" si="24"/>
        <v>0</v>
      </c>
      <c r="J53" s="39">
        <f t="shared" si="24"/>
        <v>0</v>
      </c>
      <c r="K53" s="39">
        <f t="shared" si="24"/>
        <v>0</v>
      </c>
      <c r="L53" s="39">
        <f t="shared" si="24"/>
        <v>0</v>
      </c>
      <c r="M53" s="39">
        <f t="shared" si="24"/>
        <v>0</v>
      </c>
      <c r="N53" s="39">
        <f t="shared" si="24"/>
        <v>0</v>
      </c>
      <c r="O53" s="39">
        <f t="shared" si="24"/>
        <v>0</v>
      </c>
      <c r="P53" s="39">
        <f t="shared" si="24"/>
        <v>0</v>
      </c>
      <c r="Q53" s="39">
        <f t="shared" si="24"/>
        <v>0</v>
      </c>
      <c r="R53" s="39">
        <f t="shared" si="24"/>
        <v>0</v>
      </c>
      <c r="S53" s="39">
        <f t="shared" si="24"/>
        <v>0</v>
      </c>
      <c r="T53" s="39">
        <f t="shared" si="24"/>
        <v>0</v>
      </c>
      <c r="U53" s="39">
        <f t="shared" si="24"/>
        <v>0</v>
      </c>
      <c r="V53" s="39">
        <f t="shared" si="24"/>
        <v>0</v>
      </c>
      <c r="W53" s="39" t="e">
        <f t="shared" si="24"/>
        <v>#DIV/0!</v>
      </c>
      <c r="X53" s="39" t="e">
        <f t="shared" si="24"/>
        <v>#DIV/0!</v>
      </c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</row>
    <row r="54" spans="2:66" s="9" customFormat="1">
      <c r="B54" s="491"/>
      <c r="C54" s="492"/>
      <c r="D54" s="495"/>
      <c r="E54" s="495"/>
      <c r="F54" s="495"/>
      <c r="G54" s="495"/>
      <c r="H54" s="495"/>
      <c r="I54" s="495"/>
      <c r="J54" s="495"/>
      <c r="K54" s="495"/>
      <c r="L54" s="495"/>
      <c r="M54" s="495"/>
      <c r="N54" s="495"/>
      <c r="O54" s="495"/>
      <c r="P54" s="495"/>
      <c r="Q54" s="495"/>
      <c r="R54" s="495"/>
      <c r="S54" s="495"/>
      <c r="T54" s="495"/>
      <c r="U54" s="495"/>
      <c r="V54" s="495"/>
      <c r="W54" s="495"/>
      <c r="X54" s="495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</row>
    <row r="55" spans="2:66" s="1" customFormat="1">
      <c r="B55" s="66"/>
      <c r="C55" s="294">
        <f>SUM(C48:C54)</f>
        <v>0</v>
      </c>
      <c r="D55" s="295">
        <f t="shared" ref="D55:X55" si="25">SUM(D48:D54)</f>
        <v>0</v>
      </c>
      <c r="E55" s="295">
        <f t="shared" si="25"/>
        <v>9022.0285988585783</v>
      </c>
      <c r="F55" s="295">
        <f t="shared" si="25"/>
        <v>8779.0785905824559</v>
      </c>
      <c r="G55" s="295">
        <f t="shared" si="25"/>
        <v>8590.6300783159531</v>
      </c>
      <c r="H55" s="295">
        <f t="shared" si="25"/>
        <v>8230.7069749211496</v>
      </c>
      <c r="I55" s="617">
        <f t="shared" si="25"/>
        <v>7867.0852365404589</v>
      </c>
      <c r="J55" s="295">
        <f t="shared" si="25"/>
        <v>7583.4436692716663</v>
      </c>
      <c r="K55" s="295">
        <f t="shared" si="25"/>
        <v>7200.1391525024974</v>
      </c>
      <c r="L55" s="295">
        <f t="shared" si="25"/>
        <v>6817.1415244311193</v>
      </c>
      <c r="M55" s="295">
        <f t="shared" si="25"/>
        <v>6485.6356914864209</v>
      </c>
      <c r="N55" s="295">
        <f t="shared" si="25"/>
        <v>6088.7436929226578</v>
      </c>
      <c r="O55" s="295">
        <f t="shared" si="25"/>
        <v>5691.808204974257</v>
      </c>
      <c r="P55" s="295">
        <f t="shared" si="25"/>
        <v>5312.7814630788835</v>
      </c>
      <c r="Q55" s="295">
        <f t="shared" si="25"/>
        <v>4813.3239587563803</v>
      </c>
      <c r="R55" s="295">
        <f t="shared" si="25"/>
        <v>1.9006014779677317E-11</v>
      </c>
      <c r="S55" s="295">
        <f t="shared" si="25"/>
        <v>0</v>
      </c>
      <c r="T55" s="295">
        <f t="shared" si="25"/>
        <v>4.9435347972383923</v>
      </c>
      <c r="U55" s="295">
        <f t="shared" si="25"/>
        <v>4.9797860872134736</v>
      </c>
      <c r="V55" s="295">
        <f t="shared" si="25"/>
        <v>4.0483156495256338</v>
      </c>
      <c r="W55" s="295" t="e">
        <f t="shared" si="25"/>
        <v>#DIV/0!</v>
      </c>
      <c r="X55" s="295" t="e">
        <f t="shared" si="25"/>
        <v>#DIV/0!</v>
      </c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295"/>
      <c r="AL55" s="295"/>
      <c r="AM55" s="295"/>
      <c r="AN55" s="295"/>
      <c r="AO55" s="295"/>
      <c r="AP55" s="295"/>
    </row>
    <row r="56" spans="2:66" s="1" customFormat="1">
      <c r="B56" s="66"/>
      <c r="C56" s="258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</row>
    <row r="57" spans="2:66" s="1" customFormat="1">
      <c r="B57" s="68" t="s">
        <v>391</v>
      </c>
      <c r="C57" s="488">
        <f>-IF(C15&gt;Assumptions!$E$49,0,SUMIF(Construction!19:19,YEAR(Cashflow!C13),Construction!43:43))-IF(C15+1=Assumptions!$E$49,SUM(Construction!55:55),0)</f>
        <v>-121897.84652866356</v>
      </c>
      <c r="D57" s="56">
        <f>-IF(D15&gt;Assumptions!$E$49,0,SUMIF(Construction!19:19,YEAR(Cashflow!D13),Construction!43:43))-IF(D15+1=Assumptions!$E$49,SUM(Construction!55:55),0)</f>
        <v>0</v>
      </c>
      <c r="E57" s="56">
        <f>-IF(E15&gt;Assumptions!$E$49,0,SUMIF(Construction!19:19,YEAR(Cashflow!E13),Construction!43:43))-IF(E15+1=Assumptions!$E$49,SUM(Construction!55:55),0)</f>
        <v>0</v>
      </c>
      <c r="F57" s="56">
        <f>-IF(F15&gt;Assumptions!$E$49,0,SUMIF(Construction!19:19,YEAR(Cashflow!F13),Construction!43:43))-IF(F15+1=Assumptions!$E$49,SUM(Construction!55:55),0)</f>
        <v>0</v>
      </c>
      <c r="G57" s="56">
        <f>IF(Tables!B21&gt;2,-Assumptions!E17*Assumptions!E36,0)</f>
        <v>0</v>
      </c>
      <c r="H57" s="56">
        <f>-IF(H15&gt;Assumptions!$E$49,0,SUMIF(Construction!19:19,YEAR(Cashflow!H13),Construction!43:43))-IF(H15+1=Assumptions!$E$49,SUM(Construction!55:55),0)</f>
        <v>0</v>
      </c>
      <c r="I57" s="56">
        <f>-IF(I15&gt;Assumptions!$E$49,0,SUMIF(Construction!19:19,YEAR(Cashflow!I13),Construction!43:43))-IF(I15+1=Assumptions!$E$49,SUM(Construction!55:55),0)</f>
        <v>0</v>
      </c>
      <c r="J57" s="56">
        <f>-IF(J15&gt;Assumptions!$E$49,0,SUMIF(Construction!19:19,YEAR(Cashflow!J13),Construction!43:43))-IF(J15+1=Assumptions!$E$49,SUM(Construction!55:55),0)</f>
        <v>0</v>
      </c>
      <c r="K57" s="56">
        <f>-IF(K15&gt;Assumptions!$E$49,0,SUMIF(Construction!19:19,YEAR(Cashflow!K13),Construction!43:43))-IF(K15+1=Assumptions!$E$49,SUM(Construction!55:55),0)</f>
        <v>0</v>
      </c>
      <c r="L57" s="56">
        <f>-IF(L15&gt;Assumptions!$E$49,0,SUMIF(Construction!19:19,YEAR(Cashflow!L13),Construction!43:43))-IF(L15+1=Assumptions!$E$49,SUM(Construction!55:55),0)</f>
        <v>0</v>
      </c>
      <c r="M57" s="56">
        <f>-IF(M15&gt;Assumptions!$E$49,0,SUMIF(Construction!19:19,YEAR(Cashflow!M13),Construction!43:43))-IF(M15+1=Assumptions!$E$49,SUM(Construction!55:55),0)</f>
        <v>0</v>
      </c>
      <c r="N57" s="56">
        <f>-IF(N15&gt;Assumptions!$E$49,0,SUMIF(Construction!19:19,YEAR(Cashflow!N13),Construction!43:43))-IF(N15+1=Assumptions!$E$49,SUM(Construction!55:55),0)</f>
        <v>0</v>
      </c>
      <c r="O57" s="56">
        <f>-IF(O15&gt;Assumptions!$E$49,0,SUMIF(Construction!19:19,YEAR(Cashflow!O13),Construction!43:43))-IF(O15+1=Assumptions!$E$49,SUM(Construction!55:55),0)</f>
        <v>0</v>
      </c>
      <c r="P57" s="56">
        <f>-IF(P15&gt;Assumptions!$E$49,0,SUMIF(Construction!19:19,YEAR(Cashflow!P13),Construction!43:43))-IF(P15+1=Assumptions!$E$49,SUM(Construction!55:55),0)</f>
        <v>0</v>
      </c>
      <c r="Q57" s="56">
        <f>-IF(Q15&gt;Assumptions!$E$49,0,SUMIF(Construction!19:19,YEAR(Cashflow!Q13),Construction!43:43))-IF(Q15+1=Assumptions!$E$49,SUM(Construction!55:55),0)</f>
        <v>0</v>
      </c>
      <c r="R57" s="56">
        <f>-IF(R15&gt;Assumptions!$E$49,0,SUMIF(Construction!19:19,YEAR(Cashflow!R13),Construction!43:43))-IF(R15+1=Assumptions!$E$49,SUM(Construction!55:55),0)</f>
        <v>0</v>
      </c>
      <c r="S57" s="56">
        <f>-IF(S15&gt;Assumptions!$E$49,0,SUMIF(Construction!19:19,YEAR(Cashflow!S13),Construction!43:43))-IF(S15+1=Assumptions!$E$49,SUM(Construction!55:55),0)</f>
        <v>0</v>
      </c>
      <c r="T57" s="56">
        <f>-IF(T15&gt;Assumptions!$E$49,0,SUMIF(Construction!19:19,YEAR(Cashflow!T13),Construction!43:43))-IF(T15+1=Assumptions!$E$49,SUM(Construction!55:55),0)</f>
        <v>0</v>
      </c>
      <c r="U57" s="56">
        <f>-IF(U15&gt;Assumptions!$E$49,0,SUMIF(Construction!19:19,YEAR(Cashflow!U13),Construction!43:43))-IF(U15+1=Assumptions!$E$49,SUM(Construction!55:55),0)</f>
        <v>0</v>
      </c>
      <c r="V57" s="56">
        <f>-IF(V15&gt;Assumptions!$E$49,0,SUMIF(Construction!19:19,YEAR(Cashflow!V13),Construction!43:43))-IF(V15+1=Assumptions!$E$49,SUM(Construction!55:55),0)</f>
        <v>0</v>
      </c>
      <c r="W57" s="56">
        <f>-IF(W15&gt;Assumptions!$E$49,0,SUMIF(Construction!19:19,YEAR(Cashflow!W13),Construction!43:43))-IF(W15+1=Assumptions!$E$49,SUM(Construction!55:55),0)</f>
        <v>0</v>
      </c>
      <c r="X57" s="56">
        <f>-IF(X15&gt;Assumptions!$E$49,0,SUMIF(Construction!19:19,YEAR(Cashflow!X13),Construction!43:43))-IF(X15+1=Assumptions!$E$49,SUM(Construction!55:55),0)</f>
        <v>0</v>
      </c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</row>
    <row r="58" spans="2:66" s="1" customFormat="1">
      <c r="B58" s="66"/>
      <c r="C58" s="258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</row>
    <row r="59" spans="2:66" s="1" customFormat="1">
      <c r="B59" s="64"/>
      <c r="C59" s="262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</row>
    <row r="60" spans="2:66" s="1" customFormat="1" ht="22.5">
      <c r="B60" s="76" t="s">
        <v>88</v>
      </c>
      <c r="C60" s="263">
        <f>C43-C55+C57</f>
        <v>-121897.84652866356</v>
      </c>
      <c r="D60" s="15">
        <f t="shared" ref="D60:W60" si="26">D43-D55+D57</f>
        <v>-446.45422999522941</v>
      </c>
      <c r="E60" s="15">
        <f t="shared" si="26"/>
        <v>26010.812843549011</v>
      </c>
      <c r="F60" s="15">
        <f t="shared" si="26"/>
        <v>17587.457705270295</v>
      </c>
      <c r="G60" s="15">
        <f t="shared" si="26"/>
        <v>12956.415182263259</v>
      </c>
      <c r="H60" s="15">
        <f t="shared" si="26"/>
        <v>8215.6970777147526</v>
      </c>
      <c r="I60" s="15">
        <f t="shared" si="26"/>
        <v>6189.5791714540101</v>
      </c>
      <c r="J60" s="15">
        <f t="shared" si="26"/>
        <v>7325.6432865301031</v>
      </c>
      <c r="K60" s="15">
        <f t="shared" si="26"/>
        <v>8203.2191487507571</v>
      </c>
      <c r="L60" s="15">
        <f t="shared" si="26"/>
        <v>7750.1322324295816</v>
      </c>
      <c r="M60" s="15">
        <f t="shared" si="26"/>
        <v>8711.0247074344898</v>
      </c>
      <c r="N60" s="15">
        <f t="shared" si="26"/>
        <v>9082.9935570662092</v>
      </c>
      <c r="O60" s="15">
        <f t="shared" si="26"/>
        <v>9822.7723854059932</v>
      </c>
      <c r="P60" s="15">
        <f t="shared" si="26"/>
        <v>10539.927072923585</v>
      </c>
      <c r="Q60" s="15">
        <f t="shared" si="26"/>
        <v>11902.201370634186</v>
      </c>
      <c r="R60" s="15">
        <f t="shared" si="26"/>
        <v>16875.496795540806</v>
      </c>
      <c r="S60" s="15">
        <f t="shared" si="26"/>
        <v>17824.42779461234</v>
      </c>
      <c r="T60" s="15">
        <f t="shared" si="26"/>
        <v>5374.6782686433671</v>
      </c>
      <c r="U60" s="15">
        <f t="shared" si="26"/>
        <v>5406.2323994616036</v>
      </c>
      <c r="V60" s="15">
        <f t="shared" si="26"/>
        <v>4400.654926410306</v>
      </c>
      <c r="W60" s="15" t="e">
        <f t="shared" si="26"/>
        <v>#DIV/0!</v>
      </c>
      <c r="X60" s="15" t="e">
        <f>X43-X55+X57</f>
        <v>#DIV/0!</v>
      </c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</row>
    <row r="61" spans="2:66" s="1" customFormat="1">
      <c r="B61" s="4"/>
      <c r="C61" s="257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15"/>
      <c r="AR61" s="15"/>
      <c r="AS61" s="15"/>
      <c r="AT61" s="15"/>
      <c r="AU61" s="15"/>
      <c r="AV61" s="15"/>
    </row>
    <row r="62" spans="2:66" s="9" customFormat="1">
      <c r="B62" s="491" t="s">
        <v>242</v>
      </c>
      <c r="C62" s="45">
        <f t="shared" ref="C62:X62" si="27">IF(C$5&gt;=1,IF(NOT(ABS(C60)=0),INDEX(TaxTable,MATCH("Total Cash Taxes",TaxColumn,0),MATCH(C$7,TaxRow,0)),0),0)</f>
        <v>0</v>
      </c>
      <c r="D62" s="45">
        <f t="shared" si="27"/>
        <v>349.13775179659314</v>
      </c>
      <c r="E62" s="45">
        <f t="shared" si="27"/>
        <v>4055.3806087207631</v>
      </c>
      <c r="F62" s="45">
        <f t="shared" si="27"/>
        <v>3498.169184319645</v>
      </c>
      <c r="G62" s="45">
        <f t="shared" si="27"/>
        <v>2657.117669295274</v>
      </c>
      <c r="H62" s="45">
        <f t="shared" si="27"/>
        <v>1555.9153699211242</v>
      </c>
      <c r="I62" s="45">
        <f t="shared" si="27"/>
        <v>907.69904515247333</v>
      </c>
      <c r="J62" s="45">
        <f t="shared" si="27"/>
        <v>1744.099922117583</v>
      </c>
      <c r="K62" s="45">
        <f t="shared" si="27"/>
        <v>2291.9692799144714</v>
      </c>
      <c r="L62" s="45">
        <f t="shared" si="27"/>
        <v>2405.9675161505475</v>
      </c>
      <c r="M62" s="45">
        <f t="shared" si="27"/>
        <v>2995.592635636257</v>
      </c>
      <c r="N62" s="45">
        <f t="shared" si="27"/>
        <v>3350.7444440910331</v>
      </c>
      <c r="O62" s="45">
        <f t="shared" si="27"/>
        <v>3816.4692898966241</v>
      </c>
      <c r="P62" s="45">
        <f t="shared" si="27"/>
        <v>4256.4751211596831</v>
      </c>
      <c r="Q62" s="45">
        <f t="shared" si="27"/>
        <v>4911.863078455176</v>
      </c>
      <c r="R62" s="45">
        <f>IF(R$5&gt;=1,IF(NOT(ABS(R60)=0),INDEX(TaxTable,MATCH("Total Cash Taxes",TaxColumn,0),MATCH(R$7,TaxRow,0)),0),0)</f>
        <v>5233.0263057200436</v>
      </c>
      <c r="S62" s="45">
        <f t="shared" si="27"/>
        <v>12518.27600150871</v>
      </c>
      <c r="T62" s="45">
        <f t="shared" si="27"/>
        <v>0</v>
      </c>
      <c r="U62" s="45">
        <f t="shared" si="27"/>
        <v>0</v>
      </c>
      <c r="V62" s="45">
        <f t="shared" si="27"/>
        <v>0</v>
      </c>
      <c r="W62" s="45" t="e">
        <f t="shared" si="27"/>
        <v>#DIV/0!</v>
      </c>
      <c r="X62" s="45" t="e">
        <f t="shared" si="27"/>
        <v>#DIV/0!</v>
      </c>
      <c r="Y62" s="205"/>
      <c r="Z62" s="205"/>
      <c r="AA62" s="205"/>
      <c r="AB62" s="205"/>
      <c r="AC62" s="205"/>
      <c r="AD62" s="205"/>
      <c r="AE62" s="205"/>
      <c r="AF62" s="205"/>
      <c r="AG62" s="205"/>
      <c r="AH62" s="205"/>
      <c r="AI62" s="205"/>
      <c r="AJ62" s="205"/>
      <c r="AK62" s="205"/>
      <c r="AL62" s="205"/>
      <c r="AM62" s="205"/>
      <c r="AN62" s="205"/>
      <c r="AO62" s="205"/>
      <c r="AP62" s="205"/>
      <c r="AQ62" s="205"/>
      <c r="AR62" s="205"/>
      <c r="AS62" s="205"/>
      <c r="AT62" s="205"/>
      <c r="AU62" s="205"/>
      <c r="AV62" s="205"/>
    </row>
    <row r="63" spans="2:66" s="35" customFormat="1">
      <c r="B63" s="34"/>
      <c r="C63" s="256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spans="2:66" s="1" customFormat="1" ht="12" thickBot="1">
      <c r="B64" s="77" t="s">
        <v>243</v>
      </c>
      <c r="C64" s="265">
        <f>C60-C62</f>
        <v>-121897.84652866356</v>
      </c>
      <c r="D64" s="455">
        <f>D60-D62</f>
        <v>-795.59198179182249</v>
      </c>
      <c r="E64" s="455">
        <f>E60-E62</f>
        <v>21955.432234828248</v>
      </c>
      <c r="F64" s="455">
        <f>F60-F62</f>
        <v>14089.288520950649</v>
      </c>
      <c r="G64" s="455">
        <f t="shared" ref="G64:W64" si="28">G60-G62</f>
        <v>10299.297512967985</v>
      </c>
      <c r="H64" s="455">
        <f t="shared" si="28"/>
        <v>6659.7817077936288</v>
      </c>
      <c r="I64" s="455">
        <f t="shared" si="28"/>
        <v>5281.8801263015366</v>
      </c>
      <c r="J64" s="455">
        <f t="shared" si="28"/>
        <v>5581.5433644125205</v>
      </c>
      <c r="K64" s="455">
        <f t="shared" si="28"/>
        <v>5911.2498688362857</v>
      </c>
      <c r="L64" s="455">
        <f t="shared" si="28"/>
        <v>5344.1647162790341</v>
      </c>
      <c r="M64" s="455">
        <f t="shared" si="28"/>
        <v>5715.4320717982328</v>
      </c>
      <c r="N64" s="455">
        <f t="shared" si="28"/>
        <v>5732.2491129751761</v>
      </c>
      <c r="O64" s="455">
        <f t="shared" si="28"/>
        <v>6006.3030955093691</v>
      </c>
      <c r="P64" s="455">
        <f t="shared" si="28"/>
        <v>6283.4519517639019</v>
      </c>
      <c r="Q64" s="455">
        <f t="shared" si="28"/>
        <v>6990.3382921790098</v>
      </c>
      <c r="R64" s="455">
        <f t="shared" si="28"/>
        <v>11642.470489820764</v>
      </c>
      <c r="S64" s="455">
        <f t="shared" si="28"/>
        <v>5306.1517931036306</v>
      </c>
      <c r="T64" s="455">
        <f t="shared" si="28"/>
        <v>5374.6782686433671</v>
      </c>
      <c r="U64" s="455">
        <f t="shared" si="28"/>
        <v>5406.2323994616036</v>
      </c>
      <c r="V64" s="455">
        <f t="shared" si="28"/>
        <v>4400.654926410306</v>
      </c>
      <c r="W64" s="455" t="e">
        <f t="shared" si="28"/>
        <v>#DIV/0!</v>
      </c>
      <c r="X64" s="455" t="e">
        <f>X60-X62</f>
        <v>#DIV/0!</v>
      </c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455"/>
      <c r="AL64" s="455"/>
      <c r="AM64" s="455"/>
      <c r="AN64" s="455"/>
      <c r="AO64" s="455"/>
      <c r="AP64" s="455"/>
    </row>
    <row r="65" spans="2:54" s="1" customFormat="1" ht="12" thickTop="1">
      <c r="B65" s="77"/>
      <c r="C65" s="266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</row>
    <row r="66" spans="2:54" s="1" customFormat="1">
      <c r="B66" s="77"/>
      <c r="C66" s="90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</row>
    <row r="67" spans="2:54" s="1" customFormat="1">
      <c r="B67" s="77"/>
      <c r="C67" s="26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</row>
    <row r="68" spans="2:54" s="9" customFormat="1">
      <c r="B68" s="482" t="s">
        <v>506</v>
      </c>
      <c r="C68" s="483"/>
      <c r="D68" s="541">
        <f t="shared" ref="D68:W68" si="29">IF(D48&gt;0,D43/(SUM(D48:D49)+D52),0)</f>
        <v>0</v>
      </c>
      <c r="E68" s="541">
        <f t="shared" si="29"/>
        <v>3.9585942667651994</v>
      </c>
      <c r="F68" s="541">
        <f t="shared" si="29"/>
        <v>3.0621388925315687</v>
      </c>
      <c r="G68" s="541">
        <f t="shared" si="29"/>
        <v>2.5562678089658153</v>
      </c>
      <c r="H68" s="541">
        <f t="shared" si="29"/>
        <v>2.0363679267856631</v>
      </c>
      <c r="I68" s="541">
        <f t="shared" si="29"/>
        <v>1.8212259693877317</v>
      </c>
      <c r="J68" s="541">
        <f t="shared" si="29"/>
        <v>2.0033395508687746</v>
      </c>
      <c r="K68" s="541">
        <f t="shared" si="29"/>
        <v>2.1798204281443323</v>
      </c>
      <c r="L68" s="541">
        <f t="shared" si="29"/>
        <v>2.1775286345366487</v>
      </c>
      <c r="M68" s="541">
        <f t="shared" si="29"/>
        <v>2.3871240482962706</v>
      </c>
      <c r="N68" s="541">
        <f t="shared" si="29"/>
        <v>2.5383557199113866</v>
      </c>
      <c r="O68" s="541">
        <f t="shared" si="29"/>
        <v>2.7766696984473982</v>
      </c>
      <c r="P68" s="541">
        <f t="shared" si="29"/>
        <v>3.0389462284529212</v>
      </c>
      <c r="Q68" s="541"/>
      <c r="R68" s="541"/>
      <c r="S68" s="541">
        <f t="shared" si="29"/>
        <v>0</v>
      </c>
      <c r="T68" s="541">
        <f t="shared" si="29"/>
        <v>0</v>
      </c>
      <c r="U68" s="541">
        <f t="shared" si="29"/>
        <v>0</v>
      </c>
      <c r="V68" s="541">
        <f t="shared" si="29"/>
        <v>0</v>
      </c>
      <c r="W68" s="541" t="e">
        <f t="shared" si="29"/>
        <v>#DIV/0!</v>
      </c>
      <c r="X68" s="541" t="e">
        <f>IF(X48&gt;0,X43/(SUM(X48:X49)+X52),0)</f>
        <v>#DIV/0!</v>
      </c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</row>
    <row r="69" spans="2:54" s="9" customFormat="1">
      <c r="B69" s="482" t="s">
        <v>507</v>
      </c>
      <c r="C69" s="90"/>
      <c r="D69" s="541">
        <f>IF(D55=0,0,D43/SUM(D48:D49))</f>
        <v>0</v>
      </c>
      <c r="E69" s="541">
        <f t="shared" ref="E69:P69" si="30">IF(E55=0,0,E43/SUM(E48:E49))</f>
        <v>8.0727359464439505</v>
      </c>
      <c r="F69" s="541">
        <f t="shared" si="30"/>
        <v>6.430349687534858</v>
      </c>
      <c r="G69" s="541">
        <f t="shared" si="30"/>
        <v>5.4981908295587569</v>
      </c>
      <c r="H69" s="541">
        <f t="shared" si="30"/>
        <v>4.6117802036845745</v>
      </c>
      <c r="I69" s="541">
        <f t="shared" si="30"/>
        <v>4.3816530571313157</v>
      </c>
      <c r="J69" s="541">
        <f t="shared" si="30"/>
        <v>5.0850460826317656</v>
      </c>
      <c r="K69" s="541">
        <f t="shared" si="30"/>
        <v>6.0259446549360014</v>
      </c>
      <c r="L69" s="541">
        <f t="shared" si="30"/>
        <v>6.6833084942044634</v>
      </c>
      <c r="M69" s="541">
        <f t="shared" si="30"/>
        <v>8.1881811397332527</v>
      </c>
      <c r="N69" s="541">
        <f t="shared" si="30"/>
        <v>10.343252625059277</v>
      </c>
      <c r="O69" s="541">
        <f t="shared" si="30"/>
        <v>14.401244078903447</v>
      </c>
      <c r="P69" s="541">
        <f t="shared" si="30"/>
        <v>22.443280224930476</v>
      </c>
      <c r="Q69" s="541"/>
      <c r="R69" s="541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</row>
    <row r="70" spans="2:54" s="9" customFormat="1">
      <c r="B70" s="482" t="s">
        <v>508</v>
      </c>
      <c r="C70" s="255"/>
      <c r="D70" s="541">
        <f>(IF(D$5&gt;=1,INDEX(InterestTable,MATCH("End of Year Debt",'Debt Amort'!$B$12:$B$39,0),MATCH(D$15,'Debt Amort'!$B$12:$AB$12,0)),0))/D43</f>
        <v>0</v>
      </c>
      <c r="E70" s="541">
        <f>(IF(E$5&gt;=1,INDEX(InterestTable,MATCH("End of Year Debt",'Debt Amort'!$B$12:$B$39,0),MATCH(E$15,'Debt Amort'!$B$12:$AB$12,0)),0))/E43</f>
        <v>1.544894229444026</v>
      </c>
      <c r="F70" s="541">
        <f>(IF(F$5&gt;=1,INDEX(InterestTable,MATCH("End of Year Debt",'Debt Amort'!$B$12:$B$39,0),MATCH(F$15,'Debt Amort'!$B$12:$AB$12,0)),0))/F43</f>
        <v>1.8816223898329407</v>
      </c>
      <c r="G70" s="541">
        <f>(IF(G$5&gt;=1,INDEX(InterestTable,MATCH("End of Year Debt",'Debt Amort'!$B$12:$B$39,0),MATCH(G$15,'Debt Amort'!$B$12:$AB$12,0)),0))/G43</f>
        <v>2.0931730983250114</v>
      </c>
      <c r="H70" s="541">
        <f>(IF(H$5&gt;=1,INDEX(InterestTable,MATCH("End of Year Debt",'Debt Amort'!$B$12:$B$39,0),MATCH(H$15,'Debt Amort'!$B$12:$AB$12,0)),0))/H43</f>
        <v>2.4681094912383941</v>
      </c>
      <c r="I70" s="541">
        <f>(IF(I$5&gt;=1,INDEX(InterestTable,MATCH("End of Year Debt",'Debt Amort'!$B$12:$B$39,0),MATCH(I$15,'Debt Amort'!$B$12:$AB$12,0)),0))/I43</f>
        <v>2.566850523211472</v>
      </c>
      <c r="J70" s="541">
        <f>(IF(J$5&gt;=1,INDEX(InterestTable,MATCH("End of Year Debt",'Debt Amort'!$B$12:$B$39,0),MATCH(J$15,'Debt Amort'!$B$12:$AB$12,0)),0))/J43</f>
        <v>2.1175801667183505</v>
      </c>
      <c r="K70" s="541">
        <f>(IF(K$5&gt;=1,INDEX(InterestTable,MATCH("End of Year Debt",'Debt Amort'!$B$12:$B$39,0),MATCH(K$15,'Debt Amort'!$B$12:$AB$12,0)),0))/K43</f>
        <v>1.7568258014552427</v>
      </c>
      <c r="L70" s="541">
        <f>(IF(L$5&gt;=1,INDEX(InterestTable,MATCH("End of Year Debt",'Debt Amort'!$B$12:$B$39,0),MATCH(L$15,'Debt Amort'!$B$12:$AB$12,0)),0))/L43</f>
        <v>1.5480485999171421</v>
      </c>
      <c r="M70" s="541">
        <f>(IF(M$5&gt;=1,INDEX(InterestTable,MATCH("End of Year Debt",'Debt Amort'!$B$12:$B$39,0),MATCH(M$15,'Debt Amort'!$B$12:$AB$12,0)),0))/M43</f>
        <v>1.1871475522619028</v>
      </c>
      <c r="N70" s="541">
        <f>(IF(N$5&gt;=1,INDEX(InterestTable,MATCH("End of Year Debt",'Debt Amort'!$B$12:$B$39,0),MATCH(N$15,'Debt Amort'!$B$12:$AB$12,0)),0))/N43</f>
        <v>0.89182329112380976</v>
      </c>
      <c r="O70" s="541">
        <f>(IF(O$5&gt;=1,INDEX(InterestTable,MATCH("End of Year Debt",'Debt Amort'!$B$12:$B$39,0),MATCH(O$15,'Debt Amort'!$B$12:$AB$12,0)),0))/O43</f>
        <v>0.58141043807269976</v>
      </c>
      <c r="P70" s="541">
        <f>(IF(P$5&gt;=1,INDEX(InterestTable,MATCH("End of Year Debt",'Debt Amort'!$B$12:$B$39,0),MATCH(P$15,'Debt Amort'!$B$12:$AB$12,0)),0))/P43</f>
        <v>0.28450466609795622</v>
      </c>
      <c r="Q70" s="541"/>
      <c r="R70" s="541"/>
      <c r="S70" s="541">
        <f>(IF(S$5&gt;=1,INDEX(InterestTable,MATCH("End of Year Debt",'Debt Amort'!$B$12:$B$39,0),MATCH(S$15,'Debt Amort'!$B$12:$AB$12,0)),0))/S43</f>
        <v>0</v>
      </c>
      <c r="T70" s="541">
        <f>(IF(T$5&gt;=1,INDEX(InterestTable,MATCH("End of Year Debt",'Debt Amort'!$B$12:$B$39,0),MATCH(T$15,'Debt Amort'!$B$12:$AB$12,0)),0))/T43</f>
        <v>0</v>
      </c>
      <c r="U70" s="541">
        <f>(IF(U$5&gt;=1,INDEX(InterestTable,MATCH("End of Year Debt",'Debt Amort'!$B$12:$B$39,0),MATCH(U$15,'Debt Amort'!$B$12:$AB$12,0)),0))/U43</f>
        <v>0</v>
      </c>
      <c r="V70" s="541">
        <f>(IF(V$5&gt;=1,INDEX(InterestTable,MATCH("End of Year Debt",'Debt Amort'!$B$12:$B$39,0),MATCH(V$15,'Debt Amort'!$B$12:$AB$12,0)),0))/V43</f>
        <v>0</v>
      </c>
      <c r="W70" s="541" t="e">
        <f>(IF(W$5&gt;=1,INDEX(InterestTable,MATCH("End of Year Debt",'Debt Amort'!$B$12:$B$39,0),MATCH(W$15,'Debt Amort'!$B$12:$AB$12,0)),0))/W43</f>
        <v>#DIV/0!</v>
      </c>
      <c r="X70" s="541" t="e">
        <f>(IF(X$5&gt;=1,INDEX(InterestTable,MATCH("End of Year Debt",'Debt Amort'!$B$12:$B$39,0),MATCH(X$15,'Debt Amort'!$B$12:$AB$12,0)),0))/X43</f>
        <v>#DIV/0!</v>
      </c>
      <c r="Y70" s="541"/>
      <c r="Z70" s="541"/>
      <c r="AA70" s="541"/>
      <c r="AB70" s="541"/>
      <c r="AC70" s="541"/>
      <c r="AD70" s="541"/>
      <c r="AE70" s="541"/>
      <c r="AF70" s="541"/>
      <c r="AG70" s="541"/>
      <c r="AH70" s="541"/>
      <c r="AI70" s="541"/>
      <c r="AJ70" s="541"/>
      <c r="AK70" s="541"/>
      <c r="AL70" s="541"/>
      <c r="AM70" s="541"/>
      <c r="AN70" s="541"/>
      <c r="AO70" s="541"/>
      <c r="AP70" s="541"/>
    </row>
    <row r="71" spans="2:54" s="9" customFormat="1">
      <c r="B71" s="45"/>
      <c r="C71" s="484"/>
      <c r="D71" s="179"/>
      <c r="E71" s="179"/>
      <c r="F71" s="179"/>
      <c r="G71" s="179"/>
      <c r="H71" s="179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79"/>
      <c r="AA71" s="179"/>
      <c r="AB71" s="179"/>
      <c r="AC71" s="179"/>
      <c r="AD71" s="179"/>
      <c r="AE71" s="179"/>
      <c r="AF71" s="179"/>
      <c r="AG71" s="179"/>
      <c r="AH71" s="179"/>
      <c r="AI71" s="179"/>
      <c r="AJ71" s="179"/>
      <c r="AK71" s="179"/>
      <c r="AL71" s="179"/>
      <c r="AM71" s="179"/>
      <c r="AN71" s="179"/>
      <c r="AO71" s="179"/>
      <c r="AP71" s="179"/>
    </row>
    <row r="72" spans="2:54" s="9" customFormat="1" hidden="1">
      <c r="B72" s="485"/>
      <c r="C72" s="485"/>
      <c r="D72" s="485"/>
      <c r="E72" s="485"/>
      <c r="F72" s="485"/>
      <c r="G72" s="485"/>
      <c r="H72" s="485"/>
      <c r="I72" s="485"/>
      <c r="J72" s="485"/>
      <c r="K72" s="485"/>
      <c r="L72" s="485"/>
      <c r="M72" s="485"/>
      <c r="N72" s="485"/>
      <c r="O72" s="485"/>
      <c r="P72" s="485"/>
      <c r="Q72" s="485"/>
      <c r="R72" s="485"/>
      <c r="S72" s="485"/>
      <c r="T72" s="485"/>
      <c r="U72" s="485"/>
      <c r="V72" s="485"/>
      <c r="W72" s="485"/>
      <c r="X72" s="485"/>
      <c r="Y72" s="485"/>
      <c r="Z72" s="485"/>
      <c r="AA72" s="485"/>
      <c r="AB72" s="485"/>
      <c r="AC72" s="485"/>
      <c r="AD72" s="485"/>
      <c r="AE72" s="485"/>
      <c r="AF72" s="485"/>
      <c r="AG72" s="485"/>
      <c r="AH72" s="485"/>
      <c r="AI72" s="485"/>
      <c r="AJ72" s="485"/>
      <c r="AK72" s="485"/>
      <c r="AL72" s="485"/>
      <c r="AM72" s="485"/>
      <c r="AN72" s="485"/>
      <c r="AO72" s="485"/>
      <c r="AP72" s="485"/>
    </row>
    <row r="73" spans="2:54" s="9" customFormat="1" hidden="1"/>
    <row r="74" spans="2:54" s="9" customFormat="1">
      <c r="C74" s="411"/>
      <c r="D74" s="45"/>
      <c r="E74" s="411"/>
      <c r="F74" s="411"/>
      <c r="G74" s="411"/>
      <c r="H74" s="420"/>
      <c r="I74" s="411"/>
      <c r="J74" s="411"/>
      <c r="K74" s="411"/>
      <c r="L74" s="411"/>
      <c r="M74" s="411"/>
      <c r="N74" s="411"/>
      <c r="O74" s="411"/>
      <c r="P74" s="411"/>
      <c r="Q74" s="411"/>
      <c r="R74" s="411"/>
      <c r="S74" s="411"/>
      <c r="T74" s="411"/>
      <c r="U74" s="411"/>
      <c r="V74" s="411"/>
      <c r="W74" s="411"/>
      <c r="X74" s="411"/>
      <c r="Y74" s="411"/>
      <c r="Z74" s="411"/>
      <c r="AA74" s="411"/>
      <c r="AB74" s="411"/>
      <c r="AC74" s="411"/>
      <c r="AD74" s="411"/>
      <c r="AE74" s="411"/>
      <c r="AF74" s="411"/>
      <c r="AG74" s="411"/>
      <c r="AH74" s="411"/>
      <c r="AI74" s="411"/>
      <c r="AJ74" s="411"/>
      <c r="AK74" s="411"/>
      <c r="AL74" s="411"/>
      <c r="AM74" s="411"/>
      <c r="AN74" s="411"/>
      <c r="AO74" s="411"/>
      <c r="AP74" s="411"/>
    </row>
    <row r="75" spans="2:54" s="9" customFormat="1"/>
    <row r="76" spans="2:54" s="9" customFormat="1"/>
    <row r="77" spans="2:54" s="48" customFormat="1">
      <c r="D77" s="454"/>
      <c r="E77" s="454"/>
      <c r="F77" s="454"/>
      <c r="G77" s="454"/>
      <c r="H77" s="454"/>
      <c r="I77" s="454"/>
      <c r="J77" s="454"/>
      <c r="K77" s="454"/>
      <c r="L77" s="454"/>
      <c r="M77" s="454"/>
      <c r="N77" s="454"/>
      <c r="O77" s="454"/>
      <c r="P77" s="454"/>
      <c r="Q77" s="454"/>
      <c r="R77" s="454"/>
      <c r="S77" s="454"/>
      <c r="T77" s="454"/>
      <c r="U77" s="454"/>
      <c r="V77" s="454"/>
      <c r="W77" s="454"/>
      <c r="X77" s="454"/>
      <c r="Y77" s="454"/>
      <c r="Z77" s="454"/>
      <c r="AA77" s="454"/>
      <c r="AB77" s="454"/>
      <c r="AC77" s="454"/>
      <c r="AD77" s="454"/>
      <c r="AE77" s="454"/>
      <c r="AF77" s="454"/>
      <c r="AG77" s="454"/>
      <c r="AH77" s="454"/>
      <c r="AI77" s="454"/>
      <c r="AJ77" s="454"/>
      <c r="AK77" s="454"/>
      <c r="AL77" s="454"/>
      <c r="AM77" s="454"/>
      <c r="AN77" s="454"/>
      <c r="AO77" s="454"/>
      <c r="AP77" s="454"/>
    </row>
    <row r="78" spans="2:54" s="9" customFormat="1"/>
    <row r="79" spans="2:54" s="1" customFormat="1"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</row>
    <row r="80" spans="2:54" s="1" customFormat="1"/>
    <row r="81" spans="43:80" s="9" customFormat="1"/>
    <row r="82" spans="43:80" s="1" customFormat="1"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</row>
    <row r="83" spans="43:80" s="1" customFormat="1"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</row>
    <row r="84" spans="43:80" s="1" customFormat="1">
      <c r="AQ84" s="27"/>
      <c r="AR84" s="27"/>
      <c r="AS84" s="27"/>
      <c r="AT84" s="27"/>
      <c r="AU84" s="27"/>
      <c r="AV84" s="27"/>
      <c r="AW84" s="27"/>
      <c r="AX84" s="27"/>
      <c r="AY84" s="7"/>
      <c r="AZ84" s="7"/>
      <c r="BA84" s="7"/>
      <c r="BB84" s="7"/>
    </row>
    <row r="85" spans="43:80" s="1" customFormat="1">
      <c r="AQ85" s="27"/>
      <c r="AR85" s="27"/>
      <c r="AS85" s="27"/>
      <c r="AT85" s="27"/>
      <c r="AU85" s="27"/>
      <c r="AV85" s="27"/>
      <c r="AW85" s="27"/>
      <c r="AX85" s="27"/>
      <c r="AY85" s="7"/>
      <c r="AZ85" s="7"/>
      <c r="BA85" s="7"/>
      <c r="BB85" s="7"/>
    </row>
    <row r="86" spans="43:80" s="1" customFormat="1"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</row>
    <row r="87" spans="43:80" s="1" customFormat="1"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</row>
    <row r="88" spans="43:80" s="1" customFormat="1"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</row>
    <row r="89" spans="43:80" s="1" customFormat="1"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</row>
    <row r="90" spans="43:80" s="1" customFormat="1"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</row>
    <row r="91" spans="43:80" s="1" customFormat="1"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</row>
    <row r="92" spans="43:80" s="9" customFormat="1"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</row>
    <row r="93" spans="43:80" s="1" customFormat="1"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</row>
    <row r="94" spans="43:80" s="1" customFormat="1"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</row>
    <row r="95" spans="43:80" s="1" customFormat="1"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</row>
    <row r="96" spans="43:80" s="1" customFormat="1"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</row>
    <row r="97" spans="43:54" s="1" customFormat="1"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</row>
    <row r="98" spans="43:54" s="1" customFormat="1">
      <c r="AQ98" s="27"/>
      <c r="AR98" s="27"/>
      <c r="AS98" s="27"/>
      <c r="AT98" s="27"/>
      <c r="AU98" s="27"/>
      <c r="AV98" s="27"/>
      <c r="AW98" s="27"/>
      <c r="AX98" s="27"/>
      <c r="AY98" s="7"/>
      <c r="AZ98" s="7"/>
      <c r="BA98" s="7"/>
      <c r="BB98" s="7"/>
    </row>
    <row r="99" spans="43:54" s="1" customFormat="1"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</row>
    <row r="100" spans="43:54" s="1" customFormat="1"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</row>
    <row r="101" spans="43:54" s="1" customFormat="1"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</row>
    <row r="102" spans="43:54" s="1" customFormat="1"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</row>
    <row r="103" spans="43:54" s="1" customFormat="1"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</row>
    <row r="104" spans="43:54" s="1" customFormat="1"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</row>
    <row r="105" spans="43:54" s="1" customFormat="1"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</row>
    <row r="106" spans="43:54" s="1" customFormat="1"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</row>
    <row r="107" spans="43:54" s="1" customFormat="1"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</row>
    <row r="108" spans="43:54" s="1" customFormat="1"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</row>
    <row r="109" spans="43:54" s="1" customFormat="1"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</row>
    <row r="110" spans="43:54" s="1" customFormat="1"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</row>
    <row r="111" spans="43:54" s="25" customFormat="1"/>
    <row r="112" spans="43:54" s="25" customFormat="1"/>
    <row r="113" spans="4:58" s="25" customFormat="1"/>
    <row r="114" spans="4:58" s="25" customFormat="1"/>
    <row r="115" spans="4:58" s="25" customFormat="1"/>
    <row r="116" spans="4:58" s="25" customFormat="1"/>
    <row r="117" spans="4:58" s="25" customFormat="1"/>
    <row r="118" spans="4:58" s="25" customFormat="1"/>
    <row r="119" spans="4:58" s="25" customFormat="1"/>
    <row r="120" spans="4:58" s="25" customFormat="1"/>
    <row r="121" spans="4:58" s="25" customFormat="1"/>
    <row r="122" spans="4:58" s="25" customFormat="1"/>
    <row r="123" spans="4:58" s="83" customFormat="1"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</row>
    <row r="124" spans="4:58" s="83" customFormat="1"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</row>
    <row r="125" spans="4:58" s="83" customFormat="1"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</row>
    <row r="126" spans="4:58" s="85" customFormat="1"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86"/>
      <c r="AR126" s="86"/>
      <c r="AS126" s="86"/>
      <c r="AT126" s="86"/>
      <c r="AU126" s="86"/>
      <c r="AV126" s="86"/>
      <c r="AW126" s="86"/>
      <c r="AX126" s="86"/>
      <c r="AY126" s="86"/>
      <c r="AZ126" s="86"/>
      <c r="BA126" s="86"/>
      <c r="BB126" s="86"/>
      <c r="BC126" s="86"/>
      <c r="BD126" s="86"/>
      <c r="BE126" s="86"/>
      <c r="BF126" s="86"/>
    </row>
    <row r="127" spans="4:58" s="174" customFormat="1"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</row>
    <row r="128" spans="4:58" s="57" customFormat="1"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79"/>
      <c r="AR128" s="79"/>
      <c r="AS128" s="79"/>
      <c r="AT128" s="79"/>
      <c r="AU128" s="79"/>
    </row>
    <row r="129" spans="4:47" s="57" customFormat="1"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79"/>
      <c r="AR129" s="79"/>
      <c r="AS129" s="79"/>
      <c r="AT129" s="79"/>
      <c r="AU129" s="79"/>
    </row>
    <row r="130" spans="4:47" s="57" customFormat="1"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79"/>
      <c r="AR130" s="79"/>
      <c r="AS130" s="79"/>
      <c r="AT130" s="79"/>
      <c r="AU130" s="79"/>
    </row>
    <row r="131" spans="4:47" s="57" customFormat="1"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79"/>
      <c r="AR131" s="79"/>
      <c r="AS131" s="79"/>
      <c r="AT131" s="79"/>
      <c r="AU131" s="79"/>
    </row>
    <row r="132" spans="4:47" s="57" customFormat="1"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79"/>
      <c r="AR132" s="79"/>
      <c r="AS132" s="79"/>
      <c r="AT132" s="79"/>
      <c r="AU132" s="79"/>
    </row>
    <row r="133" spans="4:47" s="57" customFormat="1"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79"/>
      <c r="AR133" s="79"/>
      <c r="AS133" s="79"/>
      <c r="AT133" s="79"/>
      <c r="AU133" s="79"/>
    </row>
    <row r="134" spans="4:47" s="180" customFormat="1">
      <c r="D134" s="456"/>
      <c r="E134" s="456"/>
      <c r="F134" s="456"/>
      <c r="G134" s="456"/>
      <c r="H134" s="456"/>
      <c r="I134" s="456"/>
      <c r="J134" s="456"/>
      <c r="K134" s="456"/>
      <c r="L134" s="456"/>
      <c r="M134" s="456"/>
      <c r="N134" s="456"/>
      <c r="O134" s="456"/>
      <c r="P134" s="456"/>
      <c r="Q134" s="456"/>
      <c r="R134" s="456"/>
      <c r="S134" s="456"/>
      <c r="T134" s="456"/>
      <c r="U134" s="456"/>
      <c r="V134" s="456"/>
      <c r="W134" s="456"/>
      <c r="X134" s="456"/>
      <c r="Y134" s="456"/>
      <c r="Z134" s="456"/>
      <c r="AA134" s="456"/>
      <c r="AB134" s="456"/>
      <c r="AC134" s="456"/>
      <c r="AD134" s="456"/>
      <c r="AE134" s="456"/>
      <c r="AF134" s="456"/>
      <c r="AG134" s="456"/>
      <c r="AH134" s="456"/>
      <c r="AI134" s="456"/>
      <c r="AJ134" s="456"/>
      <c r="AK134" s="456"/>
      <c r="AL134" s="456"/>
      <c r="AM134" s="456"/>
      <c r="AN134" s="456"/>
      <c r="AO134" s="456"/>
      <c r="AP134" s="456"/>
    </row>
    <row r="135" spans="4:47" s="57" customFormat="1"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79"/>
      <c r="AR135" s="79"/>
      <c r="AS135" s="79"/>
      <c r="AT135" s="79"/>
      <c r="AU135" s="79"/>
    </row>
    <row r="136" spans="4:47" s="25" customFormat="1" ht="16.5" customHeight="1">
      <c r="AQ136" s="39"/>
      <c r="AR136" s="39"/>
      <c r="AS136" s="39"/>
      <c r="AT136" s="39"/>
      <c r="AU136" s="39"/>
    </row>
    <row r="137" spans="4:47" s="25" customFormat="1" ht="16.5" customHeight="1">
      <c r="AQ137" s="39"/>
      <c r="AR137" s="39"/>
      <c r="AS137" s="39"/>
      <c r="AT137" s="39"/>
      <c r="AU137" s="39"/>
    </row>
    <row r="138" spans="4:47" s="57" customFormat="1"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79"/>
      <c r="AR138" s="79"/>
      <c r="AS138" s="79"/>
      <c r="AT138" s="79"/>
      <c r="AU138" s="79"/>
    </row>
    <row r="139" spans="4:47" s="25" customFormat="1">
      <c r="AQ139" s="39"/>
      <c r="AR139" s="39"/>
      <c r="AS139" s="39"/>
      <c r="AT139" s="39"/>
      <c r="AU139" s="39"/>
    </row>
    <row r="140" spans="4:47" s="25" customFormat="1">
      <c r="AQ140" s="39"/>
      <c r="AR140" s="39"/>
      <c r="AS140" s="39"/>
      <c r="AT140" s="39"/>
      <c r="AU140" s="39"/>
    </row>
    <row r="141" spans="4:47" s="25" customFormat="1">
      <c r="AQ141" s="39"/>
      <c r="AR141" s="39"/>
      <c r="AS141" s="39"/>
      <c r="AT141" s="39"/>
      <c r="AU141" s="39"/>
    </row>
    <row r="142" spans="4:47" s="25" customFormat="1">
      <c r="AQ142" s="39"/>
      <c r="AR142" s="39"/>
      <c r="AS142" s="39"/>
      <c r="AT142" s="39"/>
      <c r="AU142" s="39"/>
    </row>
    <row r="143" spans="4:47" s="25" customFormat="1">
      <c r="AQ143" s="39"/>
      <c r="AR143" s="39"/>
      <c r="AS143" s="39"/>
      <c r="AT143" s="39"/>
      <c r="AU143" s="39"/>
    </row>
    <row r="144" spans="4:47" s="25" customFormat="1">
      <c r="AQ144" s="39"/>
      <c r="AR144" s="39"/>
      <c r="AS144" s="39"/>
      <c r="AT144" s="39"/>
      <c r="AU144" s="39"/>
    </row>
    <row r="145" spans="2:65" s="25" customFormat="1">
      <c r="AQ145" s="39"/>
      <c r="AR145" s="39"/>
      <c r="AS145" s="39"/>
      <c r="AT145" s="39"/>
      <c r="AU145" s="39"/>
    </row>
    <row r="146" spans="2:65" s="25" customFormat="1">
      <c r="AQ146" s="39"/>
      <c r="AR146" s="39"/>
      <c r="AS146" s="39"/>
      <c r="AT146" s="39"/>
      <c r="AU146" s="39"/>
    </row>
    <row r="147" spans="2:65" s="57" customFormat="1"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</row>
    <row r="148" spans="2:65" s="57" customFormat="1"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</row>
    <row r="149" spans="2:65" s="57" customFormat="1"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</row>
    <row r="150" spans="2:65" s="25" customFormat="1">
      <c r="B150" s="55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</row>
    <row r="151" spans="2:65" s="25" customFormat="1">
      <c r="B151" s="55"/>
      <c r="C151" s="42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</row>
    <row r="152" spans="2:65" s="25" customFormat="1">
      <c r="B152" s="39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55"/>
      <c r="AR152" s="55"/>
      <c r="AS152" s="55"/>
      <c r="AT152" s="55"/>
      <c r="AU152" s="55"/>
      <c r="AV152" s="55"/>
      <c r="AW152" s="55"/>
      <c r="AX152" s="55"/>
      <c r="AY152" s="55"/>
      <c r="AZ152" s="39"/>
      <c r="BA152" s="39"/>
      <c r="BB152" s="39"/>
    </row>
    <row r="153" spans="2:65" s="25" customFormat="1"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39"/>
      <c r="BA153" s="39"/>
      <c r="BB153" s="39"/>
    </row>
    <row r="154" spans="2:65" s="88" customFormat="1"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</row>
    <row r="155" spans="2:65" s="88" customFormat="1"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89"/>
      <c r="AR155" s="89"/>
      <c r="AS155" s="89"/>
      <c r="AT155" s="89"/>
      <c r="AU155" s="89"/>
      <c r="AV155" s="89"/>
      <c r="AW155" s="87"/>
      <c r="AX155" s="87"/>
      <c r="AY155" s="87"/>
      <c r="AZ155" s="87"/>
      <c r="BA155" s="87"/>
      <c r="BB155" s="87"/>
    </row>
    <row r="156" spans="2:65" s="88" customFormat="1"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89"/>
      <c r="AR156" s="89"/>
      <c r="AS156" s="89"/>
      <c r="AT156" s="89"/>
      <c r="AU156" s="89"/>
      <c r="AV156" s="89"/>
      <c r="AW156" s="87"/>
      <c r="AX156" s="87"/>
      <c r="AY156" s="87"/>
      <c r="AZ156" s="87"/>
      <c r="BA156" s="87"/>
      <c r="BB156" s="87"/>
    </row>
    <row r="157" spans="2:65" s="88" customFormat="1"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</row>
    <row r="158" spans="2:65" s="88" customFormat="1">
      <c r="B158" s="80"/>
      <c r="C158" s="80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  <c r="AC158" s="93"/>
      <c r="AD158" s="93"/>
      <c r="AE158" s="93"/>
      <c r="AF158" s="93"/>
      <c r="AG158" s="93"/>
      <c r="AH158" s="93"/>
      <c r="AI158" s="93"/>
      <c r="AJ158" s="93"/>
      <c r="AK158" s="93"/>
      <c r="AL158" s="93"/>
      <c r="AM158" s="93"/>
      <c r="AN158" s="93"/>
      <c r="AO158" s="93"/>
      <c r="AP158" s="93"/>
      <c r="AQ158" s="80"/>
      <c r="AR158" s="80"/>
      <c r="AS158" s="80"/>
      <c r="AT158" s="80"/>
      <c r="AU158" s="80"/>
      <c r="AV158" s="80"/>
      <c r="AW158" s="80"/>
      <c r="AX158" s="87"/>
      <c r="AY158" s="87"/>
      <c r="AZ158" s="87"/>
      <c r="BA158" s="87"/>
      <c r="BB158" s="87"/>
    </row>
    <row r="159" spans="2:65" s="88" customFormat="1"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</row>
    <row r="160" spans="2:65" s="25" customFormat="1">
      <c r="B160" s="39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</row>
    <row r="161" spans="2:54" s="25" customFormat="1">
      <c r="B161" s="81"/>
      <c r="C161" s="81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  <c r="AH161" s="93"/>
      <c r="AI161" s="93"/>
      <c r="AJ161" s="93"/>
      <c r="AK161" s="93"/>
      <c r="AL161" s="93"/>
      <c r="AM161" s="93"/>
      <c r="AN161" s="93"/>
      <c r="AO161" s="93"/>
      <c r="AP161" s="93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</row>
    <row r="162" spans="2:54" s="25" customFormat="1"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</row>
    <row r="163" spans="2:54" s="25" customFormat="1"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</row>
    <row r="164" spans="2:54" s="25" customFormat="1"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</row>
    <row r="165" spans="2:54" s="25" customFormat="1"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</row>
    <row r="166" spans="2:54" s="25" customFormat="1"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</row>
    <row r="167" spans="2:54" s="25" customFormat="1"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</row>
    <row r="168" spans="2:54" s="174" customFormat="1"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</row>
    <row r="169" spans="2:54" s="174" customFormat="1"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</row>
    <row r="170" spans="2:54" s="174" customFormat="1"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</row>
    <row r="171" spans="2:54" s="174" customFormat="1"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</row>
    <row r="172" spans="2:54" s="25" customFormat="1"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</row>
    <row r="173" spans="2:54" s="25" customFormat="1"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</row>
    <row r="174" spans="2:54" s="85" customFormat="1"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</row>
    <row r="175" spans="2:54" s="91" customFormat="1"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</row>
    <row r="176" spans="2:54" s="57" customFormat="1"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</row>
    <row r="177" spans="2:54" s="25" customFormat="1"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</row>
    <row r="178" spans="2:54" s="25" customFormat="1"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</row>
    <row r="179" spans="2:54" s="25" customFormat="1"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</row>
    <row r="180" spans="2:54" s="1" customFormat="1"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</row>
    <row r="181" spans="2:54" s="1" customFormat="1"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</row>
    <row r="182" spans="2:54" s="1" customFormat="1"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</row>
    <row r="183" spans="2:54" s="1" customFormat="1"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</row>
    <row r="184" spans="2:54" s="1" customFormat="1"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</row>
    <row r="185" spans="2:54" s="1" customFormat="1"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</row>
    <row r="186" spans="2:54" s="1" customFormat="1"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</row>
    <row r="187" spans="2:54" s="1" customFormat="1"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</row>
    <row r="188" spans="2:54" s="1" customFormat="1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</row>
    <row r="189" spans="2:54" s="1" customFormat="1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</row>
    <row r="190" spans="2:54" s="1" customFormat="1">
      <c r="B190" s="38"/>
      <c r="C190" s="38"/>
      <c r="D190" s="457"/>
      <c r="E190" s="457"/>
      <c r="F190" s="457"/>
      <c r="G190" s="457"/>
      <c r="H190" s="457"/>
      <c r="I190" s="457"/>
      <c r="J190" s="457"/>
      <c r="K190" s="457"/>
      <c r="L190" s="457"/>
      <c r="M190" s="457"/>
      <c r="N190" s="457"/>
      <c r="O190" s="457"/>
      <c r="P190" s="457"/>
      <c r="Q190" s="457"/>
      <c r="R190" s="457"/>
      <c r="S190" s="457"/>
      <c r="T190" s="457"/>
      <c r="U190" s="457"/>
      <c r="V190" s="457"/>
      <c r="W190" s="457"/>
      <c r="X190" s="457"/>
      <c r="Y190" s="457"/>
      <c r="Z190" s="457"/>
      <c r="AA190" s="457"/>
      <c r="AB190" s="457"/>
      <c r="AC190" s="457"/>
      <c r="AD190" s="457"/>
      <c r="AE190" s="457"/>
      <c r="AF190" s="457"/>
      <c r="AG190" s="457"/>
      <c r="AH190" s="457"/>
      <c r="AI190" s="457"/>
      <c r="AJ190" s="457"/>
      <c r="AK190" s="457"/>
      <c r="AL190" s="457"/>
      <c r="AM190" s="457"/>
      <c r="AN190" s="457"/>
      <c r="AO190" s="457"/>
      <c r="AP190" s="45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</row>
    <row r="191" spans="2:54">
      <c r="B191" s="38"/>
      <c r="C191" s="38"/>
      <c r="D191" s="457"/>
      <c r="E191" s="457"/>
      <c r="F191" s="457"/>
      <c r="G191" s="457"/>
      <c r="H191" s="457"/>
      <c r="I191" s="457"/>
      <c r="J191" s="457"/>
      <c r="K191" s="457"/>
      <c r="L191" s="457"/>
      <c r="M191" s="457"/>
      <c r="N191" s="457"/>
      <c r="O191" s="457"/>
      <c r="P191" s="457"/>
      <c r="Q191" s="457"/>
      <c r="R191" s="457"/>
      <c r="S191" s="457"/>
      <c r="T191" s="457"/>
      <c r="U191" s="457"/>
      <c r="V191" s="457"/>
      <c r="W191" s="457"/>
      <c r="X191" s="457"/>
      <c r="Y191" s="457"/>
      <c r="Z191" s="457"/>
      <c r="AA191" s="457"/>
      <c r="AB191" s="457"/>
      <c r="AC191" s="457"/>
      <c r="AD191" s="457"/>
      <c r="AE191" s="457"/>
      <c r="AF191" s="457"/>
      <c r="AG191" s="457"/>
      <c r="AH191" s="457"/>
      <c r="AI191" s="457"/>
      <c r="AJ191" s="457"/>
      <c r="AK191" s="457"/>
      <c r="AL191" s="457"/>
      <c r="AM191" s="457"/>
      <c r="AN191" s="457"/>
      <c r="AO191" s="457"/>
      <c r="AP191" s="457"/>
      <c r="AQ191" s="46"/>
      <c r="AR191" s="46"/>
      <c r="AS191" s="46"/>
      <c r="AT191" s="46"/>
      <c r="AU191" s="46"/>
      <c r="AV191" s="46"/>
      <c r="AW191" s="46"/>
      <c r="AX191" s="46"/>
      <c r="AY191" s="46"/>
      <c r="AZ191" s="46"/>
      <c r="BA191" s="46"/>
      <c r="BB191" s="46"/>
    </row>
    <row r="192" spans="2:54">
      <c r="B192" s="38"/>
      <c r="C192" s="38"/>
      <c r="D192" s="457"/>
      <c r="E192" s="457"/>
      <c r="F192" s="457"/>
      <c r="G192" s="457"/>
      <c r="H192" s="457"/>
      <c r="I192" s="457"/>
      <c r="J192" s="457"/>
      <c r="K192" s="457"/>
      <c r="L192" s="457"/>
      <c r="M192" s="457"/>
      <c r="N192" s="457"/>
      <c r="O192" s="457"/>
      <c r="P192" s="457"/>
      <c r="Q192" s="457"/>
      <c r="R192" s="457"/>
      <c r="S192" s="457"/>
      <c r="T192" s="457"/>
      <c r="U192" s="457"/>
      <c r="V192" s="457"/>
      <c r="W192" s="457"/>
      <c r="X192" s="457"/>
      <c r="Y192" s="457"/>
      <c r="Z192" s="457"/>
      <c r="AA192" s="457"/>
      <c r="AB192" s="457"/>
      <c r="AC192" s="457"/>
      <c r="AD192" s="457"/>
      <c r="AE192" s="457"/>
      <c r="AF192" s="457"/>
      <c r="AG192" s="457"/>
      <c r="AH192" s="457"/>
      <c r="AI192" s="457"/>
      <c r="AJ192" s="457"/>
      <c r="AK192" s="457"/>
      <c r="AL192" s="457"/>
      <c r="AM192" s="457"/>
      <c r="AN192" s="457"/>
      <c r="AO192" s="457"/>
      <c r="AP192" s="457"/>
      <c r="AQ192" s="46"/>
      <c r="AR192" s="46"/>
      <c r="AS192" s="46"/>
      <c r="AT192" s="46"/>
      <c r="AU192" s="46"/>
      <c r="AV192" s="46"/>
      <c r="AW192" s="46"/>
      <c r="AX192" s="46"/>
      <c r="AY192" s="46"/>
      <c r="AZ192" s="46"/>
      <c r="BA192" s="46"/>
      <c r="BB192" s="46"/>
    </row>
    <row r="193" spans="2:54">
      <c r="B193" s="38"/>
      <c r="C193" s="38"/>
      <c r="D193" s="457"/>
      <c r="E193" s="457"/>
      <c r="F193" s="457"/>
      <c r="G193" s="457"/>
      <c r="H193" s="457"/>
      <c r="I193" s="457"/>
      <c r="J193" s="457"/>
      <c r="K193" s="457"/>
      <c r="L193" s="457"/>
      <c r="M193" s="457"/>
      <c r="N193" s="457"/>
      <c r="O193" s="457"/>
      <c r="P193" s="457"/>
      <c r="Q193" s="457"/>
      <c r="R193" s="457"/>
      <c r="S193" s="457"/>
      <c r="T193" s="457"/>
      <c r="U193" s="457"/>
      <c r="V193" s="457"/>
      <c r="W193" s="457"/>
      <c r="X193" s="457"/>
      <c r="Y193" s="457"/>
      <c r="Z193" s="457"/>
      <c r="AA193" s="457"/>
      <c r="AB193" s="457"/>
      <c r="AC193" s="457"/>
      <c r="AD193" s="457"/>
      <c r="AE193" s="457"/>
      <c r="AF193" s="457"/>
      <c r="AG193" s="457"/>
      <c r="AH193" s="457"/>
      <c r="AI193" s="457"/>
      <c r="AJ193" s="457"/>
      <c r="AK193" s="457"/>
      <c r="AL193" s="457"/>
      <c r="AM193" s="457"/>
      <c r="AN193" s="457"/>
      <c r="AO193" s="457"/>
      <c r="AP193" s="457"/>
      <c r="AQ193" s="46"/>
      <c r="AR193" s="46"/>
      <c r="AS193" s="46"/>
      <c r="AT193" s="46"/>
      <c r="AU193" s="46"/>
      <c r="AV193" s="46"/>
      <c r="AW193" s="46"/>
      <c r="AX193" s="46"/>
      <c r="AY193" s="46"/>
      <c r="AZ193" s="46"/>
      <c r="BA193" s="46"/>
      <c r="BB193" s="46"/>
    </row>
    <row r="194" spans="2:54">
      <c r="B194" s="38"/>
      <c r="C194" s="38"/>
      <c r="D194" s="457"/>
      <c r="E194" s="457"/>
      <c r="F194" s="457"/>
      <c r="G194" s="457"/>
      <c r="H194" s="457"/>
      <c r="I194" s="457"/>
      <c r="J194" s="457"/>
      <c r="K194" s="457"/>
      <c r="L194" s="457"/>
      <c r="M194" s="457"/>
      <c r="N194" s="457"/>
      <c r="O194" s="457"/>
      <c r="P194" s="457"/>
      <c r="Q194" s="457"/>
      <c r="R194" s="457"/>
      <c r="S194" s="457"/>
      <c r="T194" s="457"/>
      <c r="U194" s="457"/>
      <c r="V194" s="457"/>
      <c r="W194" s="457"/>
      <c r="X194" s="457"/>
      <c r="Y194" s="457"/>
      <c r="Z194" s="457"/>
      <c r="AA194" s="457"/>
      <c r="AB194" s="457"/>
      <c r="AC194" s="457"/>
      <c r="AD194" s="457"/>
      <c r="AE194" s="457"/>
      <c r="AF194" s="457"/>
      <c r="AG194" s="457"/>
      <c r="AH194" s="457"/>
      <c r="AI194" s="457"/>
      <c r="AJ194" s="457"/>
      <c r="AK194" s="457"/>
      <c r="AL194" s="457"/>
      <c r="AM194" s="457"/>
      <c r="AN194" s="457"/>
      <c r="AO194" s="457"/>
      <c r="AP194" s="457"/>
      <c r="AQ194" s="46"/>
      <c r="AR194" s="46"/>
      <c r="AS194" s="46"/>
      <c r="AT194" s="46"/>
      <c r="AU194" s="46"/>
      <c r="AV194" s="46"/>
      <c r="AW194" s="46"/>
      <c r="AX194" s="46"/>
      <c r="AY194" s="46"/>
      <c r="AZ194" s="46"/>
      <c r="BA194" s="46"/>
      <c r="BB194" s="46"/>
    </row>
    <row r="195" spans="2:54">
      <c r="B195" s="38"/>
      <c r="C195" s="38"/>
      <c r="D195" s="457"/>
      <c r="E195" s="457"/>
      <c r="F195" s="457"/>
      <c r="G195" s="457"/>
      <c r="H195" s="457"/>
      <c r="I195" s="457"/>
      <c r="J195" s="457"/>
      <c r="K195" s="457"/>
      <c r="L195" s="457"/>
      <c r="M195" s="457"/>
      <c r="N195" s="457"/>
      <c r="O195" s="457"/>
      <c r="P195" s="457"/>
      <c r="Q195" s="457"/>
      <c r="R195" s="457"/>
      <c r="S195" s="457"/>
      <c r="T195" s="457"/>
      <c r="U195" s="457"/>
      <c r="V195" s="457"/>
      <c r="W195" s="457"/>
      <c r="X195" s="457"/>
      <c r="Y195" s="457"/>
      <c r="Z195" s="457"/>
      <c r="AA195" s="457"/>
      <c r="AB195" s="457"/>
      <c r="AC195" s="457"/>
      <c r="AD195" s="457"/>
      <c r="AE195" s="457"/>
      <c r="AF195" s="457"/>
      <c r="AG195" s="457"/>
      <c r="AH195" s="457"/>
      <c r="AI195" s="457"/>
      <c r="AJ195" s="457"/>
      <c r="AK195" s="457"/>
      <c r="AL195" s="457"/>
      <c r="AM195" s="457"/>
      <c r="AN195" s="457"/>
      <c r="AO195" s="457"/>
      <c r="AP195" s="457"/>
      <c r="AQ195" s="46"/>
      <c r="AR195" s="46"/>
      <c r="AS195" s="46"/>
      <c r="AT195" s="46"/>
      <c r="AU195" s="46"/>
      <c r="AV195" s="46"/>
      <c r="AW195" s="46"/>
      <c r="AX195" s="46"/>
      <c r="AY195" s="46"/>
      <c r="AZ195" s="46"/>
      <c r="BA195" s="46"/>
      <c r="BB195" s="46"/>
    </row>
    <row r="196" spans="2:54">
      <c r="B196" s="38"/>
      <c r="C196" s="38"/>
      <c r="D196" s="457"/>
      <c r="E196" s="457"/>
      <c r="F196" s="457"/>
      <c r="G196" s="457"/>
      <c r="H196" s="457"/>
      <c r="I196" s="457"/>
      <c r="J196" s="457"/>
      <c r="K196" s="457"/>
      <c r="L196" s="457"/>
      <c r="M196" s="457"/>
      <c r="N196" s="457"/>
      <c r="O196" s="457"/>
      <c r="P196" s="457"/>
      <c r="Q196" s="457"/>
      <c r="R196" s="457"/>
      <c r="S196" s="457"/>
      <c r="T196" s="457"/>
      <c r="U196" s="457"/>
      <c r="V196" s="457"/>
      <c r="W196" s="457"/>
      <c r="X196" s="457"/>
      <c r="Y196" s="457"/>
      <c r="Z196" s="457"/>
      <c r="AA196" s="457"/>
      <c r="AB196" s="457"/>
      <c r="AC196" s="457"/>
      <c r="AD196" s="457"/>
      <c r="AE196" s="457"/>
      <c r="AF196" s="457"/>
      <c r="AG196" s="457"/>
      <c r="AH196" s="457"/>
      <c r="AI196" s="457"/>
      <c r="AJ196" s="457"/>
      <c r="AK196" s="457"/>
      <c r="AL196" s="457"/>
      <c r="AM196" s="457"/>
      <c r="AN196" s="457"/>
      <c r="AO196" s="457"/>
      <c r="AP196" s="457"/>
      <c r="AQ196" s="46"/>
      <c r="AR196" s="46"/>
      <c r="AS196" s="46"/>
      <c r="AT196" s="46"/>
      <c r="AU196" s="46"/>
      <c r="AV196" s="46"/>
      <c r="AW196" s="46"/>
      <c r="AX196" s="46"/>
      <c r="AY196" s="46"/>
      <c r="AZ196" s="46"/>
      <c r="BA196" s="46"/>
      <c r="BB196" s="46"/>
    </row>
    <row r="197" spans="2:54">
      <c r="B197" s="38"/>
      <c r="C197" s="38"/>
      <c r="D197" s="457"/>
      <c r="E197" s="457"/>
      <c r="F197" s="457"/>
      <c r="G197" s="457"/>
      <c r="H197" s="457"/>
      <c r="I197" s="457"/>
      <c r="J197" s="457"/>
      <c r="K197" s="457"/>
      <c r="L197" s="457"/>
      <c r="M197" s="457"/>
      <c r="N197" s="457"/>
      <c r="O197" s="457"/>
      <c r="P197" s="457"/>
      <c r="Q197" s="457"/>
      <c r="R197" s="457"/>
      <c r="S197" s="457"/>
      <c r="T197" s="457"/>
      <c r="U197" s="457"/>
      <c r="V197" s="457"/>
      <c r="W197" s="457"/>
      <c r="X197" s="457"/>
      <c r="Y197" s="457"/>
      <c r="Z197" s="457"/>
      <c r="AA197" s="457"/>
      <c r="AB197" s="457"/>
      <c r="AC197" s="457"/>
      <c r="AD197" s="457"/>
      <c r="AE197" s="457"/>
      <c r="AF197" s="457"/>
      <c r="AG197" s="457"/>
      <c r="AH197" s="457"/>
      <c r="AI197" s="457"/>
      <c r="AJ197" s="457"/>
      <c r="AK197" s="457"/>
      <c r="AL197" s="457"/>
      <c r="AM197" s="457"/>
      <c r="AN197" s="457"/>
      <c r="AO197" s="457"/>
      <c r="AP197" s="457"/>
      <c r="AQ197" s="46"/>
      <c r="AR197" s="46"/>
      <c r="AS197" s="46"/>
      <c r="AT197" s="46"/>
      <c r="AU197" s="46"/>
      <c r="AV197" s="46"/>
      <c r="AW197" s="46"/>
      <c r="AX197" s="46"/>
      <c r="AY197" s="46"/>
      <c r="AZ197" s="46"/>
      <c r="BA197" s="46"/>
      <c r="BB197" s="46"/>
    </row>
    <row r="198" spans="2:54">
      <c r="B198" s="176"/>
      <c r="C198" s="176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46"/>
      <c r="AR198" s="46"/>
      <c r="AS198" s="46"/>
      <c r="AT198" s="46"/>
      <c r="AU198" s="46"/>
      <c r="AV198" s="46"/>
      <c r="AW198" s="46"/>
      <c r="AX198" s="46"/>
      <c r="AY198" s="46"/>
      <c r="AZ198" s="46"/>
      <c r="BA198" s="46"/>
      <c r="BB198" s="46"/>
    </row>
    <row r="199" spans="2:54">
      <c r="B199" s="46"/>
      <c r="C199" s="46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46"/>
      <c r="AR199" s="46"/>
      <c r="AS199" s="46"/>
      <c r="AT199" s="46"/>
      <c r="AU199" s="46"/>
      <c r="AV199" s="46"/>
      <c r="AW199" s="46"/>
      <c r="AX199" s="46"/>
      <c r="AY199" s="46"/>
      <c r="AZ199" s="46"/>
      <c r="BA199" s="46"/>
      <c r="BB199" s="46"/>
    </row>
    <row r="200" spans="2:54">
      <c r="B200" s="46"/>
      <c r="C200" s="46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46"/>
      <c r="AR200" s="46"/>
      <c r="AS200" s="46"/>
      <c r="AT200" s="46"/>
      <c r="AU200" s="46"/>
      <c r="AV200" s="46"/>
      <c r="AW200" s="46"/>
      <c r="AX200" s="46"/>
      <c r="AY200" s="46"/>
      <c r="AZ200" s="46"/>
      <c r="BA200" s="46"/>
      <c r="BB200" s="46"/>
    </row>
    <row r="201" spans="2:54">
      <c r="B201" s="46"/>
      <c r="C201" s="46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46"/>
      <c r="AR201" s="46"/>
      <c r="AS201" s="46"/>
      <c r="AT201" s="46"/>
      <c r="AU201" s="46"/>
      <c r="AV201" s="46"/>
      <c r="AW201" s="46"/>
      <c r="AX201" s="46"/>
      <c r="AY201" s="46"/>
      <c r="AZ201" s="46"/>
      <c r="BA201" s="46"/>
      <c r="BB201" s="46"/>
    </row>
    <row r="202" spans="2:54">
      <c r="B202" s="46"/>
      <c r="C202" s="46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46"/>
      <c r="AR202" s="46"/>
      <c r="AS202" s="46"/>
      <c r="AT202" s="46"/>
      <c r="AU202" s="46"/>
      <c r="AV202" s="46"/>
      <c r="AW202" s="46"/>
      <c r="AX202" s="46"/>
      <c r="AY202" s="46"/>
      <c r="AZ202" s="46"/>
      <c r="BA202" s="46"/>
      <c r="BB202" s="46"/>
    </row>
    <row r="203" spans="2:54">
      <c r="B203" s="46"/>
      <c r="C203" s="46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46"/>
      <c r="AR203" s="46"/>
      <c r="AS203" s="46"/>
      <c r="AT203" s="46"/>
      <c r="AU203" s="46"/>
      <c r="AV203" s="46"/>
      <c r="AW203" s="46"/>
      <c r="AX203" s="46"/>
      <c r="AY203" s="46"/>
      <c r="AZ203" s="46"/>
      <c r="BA203" s="46"/>
      <c r="BB203" s="46"/>
    </row>
    <row r="204" spans="2:54">
      <c r="B204" s="46"/>
      <c r="C204" s="46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46"/>
      <c r="AR204" s="46"/>
      <c r="AS204" s="46"/>
      <c r="AT204" s="46"/>
      <c r="AU204" s="46"/>
      <c r="AV204" s="46"/>
      <c r="AW204" s="46"/>
      <c r="AX204" s="46"/>
      <c r="AY204" s="46"/>
      <c r="AZ204" s="46"/>
      <c r="BA204" s="46"/>
      <c r="BB204" s="46"/>
    </row>
    <row r="205" spans="2:54">
      <c r="B205" s="46"/>
      <c r="C205" s="46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46"/>
      <c r="AR205" s="46"/>
      <c r="AS205" s="46"/>
      <c r="AT205" s="46"/>
      <c r="AU205" s="46"/>
      <c r="AV205" s="46"/>
      <c r="AW205" s="46"/>
      <c r="AX205" s="46"/>
      <c r="AY205" s="46"/>
      <c r="AZ205" s="46"/>
      <c r="BA205" s="46"/>
      <c r="BB205" s="46"/>
    </row>
    <row r="206" spans="2:54">
      <c r="B206" s="46"/>
      <c r="C206" s="46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46"/>
      <c r="AR206" s="46"/>
      <c r="AS206" s="46"/>
      <c r="AT206" s="46"/>
      <c r="AU206" s="46"/>
      <c r="AV206" s="46"/>
      <c r="AW206" s="46"/>
      <c r="AX206" s="46"/>
      <c r="AY206" s="46"/>
      <c r="AZ206" s="46"/>
      <c r="BA206" s="46"/>
      <c r="BB206" s="46"/>
    </row>
    <row r="207" spans="2:54">
      <c r="B207" s="46"/>
      <c r="C207" s="46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46"/>
      <c r="AR207" s="46"/>
      <c r="AS207" s="46"/>
      <c r="AT207" s="46"/>
      <c r="AU207" s="46"/>
      <c r="AV207" s="46"/>
      <c r="AW207" s="46"/>
      <c r="AX207" s="46"/>
      <c r="AY207" s="46"/>
      <c r="AZ207" s="46"/>
      <c r="BA207" s="46"/>
      <c r="BB207" s="46"/>
    </row>
    <row r="208" spans="2:54">
      <c r="B208" s="46"/>
      <c r="C208" s="46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46"/>
      <c r="AR208" s="46"/>
      <c r="AS208" s="46"/>
      <c r="AT208" s="46"/>
      <c r="AU208" s="46"/>
      <c r="AV208" s="46"/>
      <c r="AW208" s="46"/>
      <c r="AX208" s="46"/>
      <c r="AY208" s="46"/>
      <c r="AZ208" s="46"/>
      <c r="BA208" s="46"/>
      <c r="BB208" s="46"/>
    </row>
    <row r="209" spans="2:54">
      <c r="B209" s="46"/>
      <c r="C209" s="46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46"/>
      <c r="AR209" s="46"/>
      <c r="AS209" s="46"/>
      <c r="AT209" s="46"/>
      <c r="AU209" s="46"/>
      <c r="AV209" s="46"/>
      <c r="AW209" s="46"/>
      <c r="AX209" s="46"/>
      <c r="AY209" s="46"/>
      <c r="AZ209" s="46"/>
      <c r="BA209" s="46"/>
      <c r="BB209" s="46"/>
    </row>
    <row r="210" spans="2:54">
      <c r="B210" s="46"/>
      <c r="C210" s="46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46"/>
      <c r="AR210" s="46"/>
      <c r="AS210" s="46"/>
      <c r="AT210" s="46"/>
      <c r="AU210" s="46"/>
      <c r="AV210" s="46"/>
      <c r="AW210" s="46"/>
      <c r="AX210" s="46"/>
      <c r="AY210" s="46"/>
      <c r="AZ210" s="46"/>
      <c r="BA210" s="46"/>
      <c r="BB210" s="46"/>
    </row>
    <row r="211" spans="2:54">
      <c r="B211" s="46"/>
      <c r="C211" s="46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46"/>
      <c r="AR211" s="46"/>
      <c r="AS211" s="46"/>
      <c r="AT211" s="46"/>
      <c r="AU211" s="46"/>
      <c r="AV211" s="46"/>
      <c r="AW211" s="46"/>
      <c r="AX211" s="46"/>
      <c r="AY211" s="46"/>
      <c r="AZ211" s="46"/>
      <c r="BA211" s="46"/>
      <c r="BB211" s="46"/>
    </row>
    <row r="212" spans="2:54">
      <c r="B212" s="46"/>
      <c r="C212" s="46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46"/>
      <c r="AR212" s="46"/>
      <c r="AS212" s="46"/>
      <c r="AT212" s="46"/>
      <c r="AU212" s="46"/>
      <c r="AV212" s="46"/>
      <c r="AW212" s="46"/>
      <c r="AX212" s="46"/>
      <c r="AY212" s="46"/>
      <c r="AZ212" s="46"/>
      <c r="BA212" s="46"/>
      <c r="BB212" s="46"/>
    </row>
    <row r="213" spans="2:54">
      <c r="B213" s="46"/>
      <c r="C213" s="46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46"/>
      <c r="AR213" s="46"/>
      <c r="AS213" s="46"/>
      <c r="AT213" s="46"/>
      <c r="AU213" s="46"/>
      <c r="AV213" s="46"/>
      <c r="AW213" s="46"/>
      <c r="AX213" s="46"/>
      <c r="AY213" s="46"/>
      <c r="AZ213" s="46"/>
      <c r="BA213" s="46"/>
      <c r="BB213" s="46"/>
    </row>
    <row r="214" spans="2:54">
      <c r="B214" s="46"/>
      <c r="C214" s="46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46"/>
      <c r="AR214" s="46"/>
      <c r="AS214" s="46"/>
      <c r="AT214" s="46"/>
      <c r="AU214" s="46"/>
      <c r="AV214" s="46"/>
      <c r="AW214" s="46"/>
      <c r="AX214" s="46"/>
      <c r="AY214" s="46"/>
      <c r="AZ214" s="46"/>
      <c r="BA214" s="46"/>
      <c r="BB214" s="46"/>
    </row>
    <row r="215" spans="2:54">
      <c r="B215" s="46"/>
      <c r="C215" s="46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46"/>
      <c r="AR215" s="46"/>
      <c r="AS215" s="46"/>
      <c r="AT215" s="46"/>
      <c r="AU215" s="46"/>
      <c r="AV215" s="46"/>
      <c r="AW215" s="46"/>
      <c r="AX215" s="46"/>
      <c r="AY215" s="46"/>
      <c r="AZ215" s="46"/>
      <c r="BA215" s="46"/>
      <c r="BB215" s="46"/>
    </row>
    <row r="216" spans="2:54">
      <c r="B216" s="46"/>
      <c r="C216" s="46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46"/>
      <c r="AR216" s="46"/>
      <c r="AS216" s="46"/>
      <c r="AT216" s="46"/>
      <c r="AU216" s="46"/>
      <c r="AV216" s="46"/>
      <c r="AW216" s="46"/>
      <c r="AX216" s="46"/>
      <c r="AY216" s="46"/>
      <c r="AZ216" s="46"/>
      <c r="BA216" s="46"/>
      <c r="BB216" s="46"/>
    </row>
    <row r="217" spans="2:54">
      <c r="B217" s="46"/>
      <c r="C217" s="46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46"/>
      <c r="AR217" s="46"/>
      <c r="AS217" s="46"/>
      <c r="AT217" s="46"/>
      <c r="AU217" s="46"/>
      <c r="AV217" s="46"/>
      <c r="AW217" s="46"/>
      <c r="AX217" s="46"/>
      <c r="AY217" s="46"/>
      <c r="AZ217" s="46"/>
      <c r="BA217" s="46"/>
      <c r="BB217" s="46"/>
    </row>
    <row r="218" spans="2:54">
      <c r="B218" s="46"/>
      <c r="C218" s="46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46"/>
      <c r="AR218" s="46"/>
      <c r="AS218" s="46"/>
      <c r="AT218" s="46"/>
      <c r="AU218" s="46"/>
      <c r="AV218" s="46"/>
      <c r="AW218" s="46"/>
      <c r="AX218" s="46"/>
      <c r="AY218" s="46"/>
      <c r="AZ218" s="46"/>
      <c r="BA218" s="46"/>
      <c r="BB218" s="46"/>
    </row>
    <row r="219" spans="2:54">
      <c r="B219" s="46"/>
      <c r="C219" s="46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46"/>
      <c r="AR219" s="46"/>
      <c r="AS219" s="46"/>
      <c r="AT219" s="46"/>
      <c r="AU219" s="46"/>
      <c r="AV219" s="46"/>
      <c r="AW219" s="46"/>
      <c r="AX219" s="46"/>
      <c r="AY219" s="46"/>
      <c r="AZ219" s="46"/>
      <c r="BA219" s="46"/>
      <c r="BB219" s="46"/>
    </row>
    <row r="220" spans="2:54">
      <c r="B220" s="46"/>
      <c r="C220" s="46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46"/>
      <c r="AR220" s="46"/>
      <c r="AS220" s="46"/>
      <c r="AT220" s="46"/>
      <c r="AU220" s="46"/>
      <c r="AV220" s="46"/>
      <c r="AW220" s="46"/>
      <c r="AX220" s="46"/>
      <c r="AY220" s="46"/>
      <c r="AZ220" s="46"/>
      <c r="BA220" s="46"/>
      <c r="BB220" s="46"/>
    </row>
    <row r="221" spans="2:54">
      <c r="B221" s="46"/>
      <c r="C221" s="46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46"/>
      <c r="AR221" s="46"/>
      <c r="AS221" s="46"/>
      <c r="AT221" s="46"/>
      <c r="AU221" s="46"/>
      <c r="AV221" s="46"/>
      <c r="AW221" s="46"/>
      <c r="AX221" s="46"/>
      <c r="AY221" s="46"/>
      <c r="AZ221" s="46"/>
      <c r="BA221" s="46"/>
      <c r="BB221" s="46"/>
    </row>
    <row r="222" spans="2:54">
      <c r="B222" s="46"/>
      <c r="C222" s="46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46"/>
      <c r="AR222" s="46"/>
      <c r="AS222" s="46"/>
      <c r="AT222" s="46"/>
      <c r="AU222" s="46"/>
      <c r="AV222" s="46"/>
      <c r="AW222" s="46"/>
      <c r="AX222" s="46"/>
      <c r="AY222" s="46"/>
      <c r="AZ222" s="46"/>
      <c r="BA222" s="46"/>
      <c r="BB222" s="46"/>
    </row>
    <row r="223" spans="2:54">
      <c r="B223" s="46"/>
      <c r="C223" s="46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46"/>
      <c r="AR223" s="46"/>
      <c r="AS223" s="46"/>
      <c r="AT223" s="46"/>
      <c r="AU223" s="46"/>
      <c r="AV223" s="46"/>
      <c r="AW223" s="46"/>
      <c r="AX223" s="46"/>
      <c r="AY223" s="46"/>
      <c r="AZ223" s="46"/>
      <c r="BA223" s="46"/>
      <c r="BB223" s="46"/>
    </row>
    <row r="224" spans="2:54">
      <c r="B224" s="46"/>
      <c r="C224" s="46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46"/>
      <c r="AR224" s="46"/>
      <c r="AS224" s="46"/>
      <c r="AT224" s="46"/>
      <c r="AU224" s="46"/>
      <c r="AV224" s="46"/>
      <c r="AW224" s="46"/>
      <c r="AX224" s="46"/>
      <c r="AY224" s="46"/>
      <c r="AZ224" s="46"/>
      <c r="BA224" s="46"/>
      <c r="BB224" s="46"/>
    </row>
    <row r="225" spans="2:54">
      <c r="B225" s="46"/>
      <c r="C225" s="46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46"/>
      <c r="AR225" s="46"/>
      <c r="AS225" s="46"/>
      <c r="AT225" s="46"/>
      <c r="AU225" s="46"/>
      <c r="AV225" s="46"/>
      <c r="AW225" s="46"/>
      <c r="AX225" s="46"/>
      <c r="AY225" s="46"/>
      <c r="AZ225" s="46"/>
      <c r="BA225" s="46"/>
      <c r="BB225" s="46"/>
    </row>
    <row r="226" spans="2:54">
      <c r="B226" s="46"/>
      <c r="C226" s="46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46"/>
      <c r="AR226" s="46"/>
      <c r="AS226" s="46"/>
      <c r="AT226" s="46"/>
      <c r="AU226" s="46"/>
      <c r="AV226" s="46"/>
      <c r="AW226" s="46"/>
      <c r="AX226" s="46"/>
      <c r="AY226" s="46"/>
      <c r="AZ226" s="46"/>
      <c r="BA226" s="46"/>
      <c r="BB226" s="46"/>
    </row>
    <row r="227" spans="2:54">
      <c r="B227" s="46"/>
      <c r="C227" s="46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46"/>
      <c r="AR227" s="46"/>
      <c r="AS227" s="46"/>
      <c r="AT227" s="46"/>
      <c r="AU227" s="46"/>
      <c r="AV227" s="46"/>
      <c r="AW227" s="46"/>
      <c r="AX227" s="46"/>
      <c r="AY227" s="46"/>
      <c r="AZ227" s="46"/>
      <c r="BA227" s="46"/>
      <c r="BB227" s="46"/>
    </row>
    <row r="228" spans="2:54">
      <c r="B228" s="46"/>
      <c r="C228" s="46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46"/>
      <c r="AR228" s="46"/>
      <c r="AS228" s="46"/>
      <c r="AT228" s="46"/>
      <c r="AU228" s="46"/>
      <c r="AV228" s="46"/>
      <c r="AW228" s="46"/>
      <c r="AX228" s="46"/>
      <c r="AY228" s="46"/>
      <c r="AZ228" s="46"/>
      <c r="BA228" s="46"/>
      <c r="BB228" s="46"/>
    </row>
    <row r="229" spans="2:54">
      <c r="B229" s="46"/>
      <c r="C229" s="46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46"/>
      <c r="AR229" s="46"/>
      <c r="AS229" s="46"/>
      <c r="AT229" s="46"/>
      <c r="AU229" s="46"/>
      <c r="AV229" s="46"/>
      <c r="AW229" s="46"/>
      <c r="AX229" s="46"/>
      <c r="AY229" s="46"/>
      <c r="AZ229" s="46"/>
      <c r="BA229" s="46"/>
      <c r="BB229" s="46"/>
    </row>
    <row r="230" spans="2:54">
      <c r="B230" s="46"/>
      <c r="C230" s="46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46"/>
      <c r="AR230" s="46"/>
      <c r="AS230" s="46"/>
      <c r="AT230" s="46"/>
      <c r="AU230" s="46"/>
      <c r="AV230" s="46"/>
      <c r="AW230" s="46"/>
      <c r="AX230" s="46"/>
      <c r="AY230" s="46"/>
      <c r="AZ230" s="46"/>
      <c r="BA230" s="46"/>
      <c r="BB230" s="46"/>
    </row>
    <row r="231" spans="2:54">
      <c r="B231" s="46"/>
      <c r="C231" s="46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46"/>
      <c r="AR231" s="46"/>
      <c r="AS231" s="46"/>
      <c r="AT231" s="46"/>
      <c r="AU231" s="46"/>
      <c r="AV231" s="46"/>
      <c r="AW231" s="46"/>
      <c r="AX231" s="46"/>
      <c r="AY231" s="46"/>
      <c r="AZ231" s="46"/>
      <c r="BA231" s="46"/>
      <c r="BB231" s="46"/>
    </row>
    <row r="232" spans="2:54">
      <c r="B232" s="46"/>
      <c r="C232" s="46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46"/>
      <c r="AR232" s="46"/>
      <c r="AS232" s="46"/>
      <c r="AT232" s="46"/>
      <c r="AU232" s="46"/>
      <c r="AV232" s="46"/>
      <c r="AW232" s="46"/>
      <c r="AX232" s="46"/>
      <c r="AY232" s="46"/>
      <c r="AZ232" s="46"/>
      <c r="BA232" s="46"/>
      <c r="BB232" s="46"/>
    </row>
    <row r="233" spans="2:54">
      <c r="B233" s="46"/>
      <c r="C233" s="46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46"/>
      <c r="AR233" s="46"/>
      <c r="AS233" s="46"/>
      <c r="AT233" s="46"/>
      <c r="AU233" s="46"/>
      <c r="AV233" s="46"/>
      <c r="AW233" s="46"/>
      <c r="AX233" s="46"/>
      <c r="AY233" s="46"/>
      <c r="AZ233" s="46"/>
      <c r="BA233" s="46"/>
      <c r="BB233" s="46"/>
    </row>
    <row r="234" spans="2:54">
      <c r="B234" s="46"/>
      <c r="C234" s="46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46"/>
      <c r="AR234" s="46"/>
      <c r="AS234" s="46"/>
      <c r="AT234" s="46"/>
      <c r="AU234" s="46"/>
      <c r="AV234" s="46"/>
      <c r="AW234" s="46"/>
      <c r="AX234" s="46"/>
      <c r="AY234" s="46"/>
      <c r="AZ234" s="46"/>
      <c r="BA234" s="46"/>
      <c r="BB234" s="46"/>
    </row>
    <row r="235" spans="2:54">
      <c r="B235" s="46"/>
      <c r="C235" s="46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46"/>
      <c r="AR235" s="46"/>
      <c r="AS235" s="46"/>
      <c r="AT235" s="46"/>
      <c r="AU235" s="46"/>
      <c r="AV235" s="46"/>
      <c r="AW235" s="46"/>
      <c r="AX235" s="46"/>
      <c r="AY235" s="46"/>
      <c r="AZ235" s="46"/>
      <c r="BA235" s="46"/>
      <c r="BB235" s="46"/>
    </row>
    <row r="236" spans="2:54">
      <c r="B236" s="46"/>
      <c r="C236" s="46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46"/>
      <c r="AR236" s="46"/>
      <c r="AS236" s="46"/>
      <c r="AT236" s="46"/>
      <c r="AU236" s="46"/>
      <c r="AV236" s="46"/>
      <c r="AW236" s="46"/>
      <c r="AX236" s="46"/>
      <c r="AY236" s="46"/>
      <c r="AZ236" s="46"/>
      <c r="BA236" s="46"/>
      <c r="BB236" s="46"/>
    </row>
    <row r="237" spans="2:54">
      <c r="B237" s="46"/>
      <c r="C237" s="46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46"/>
      <c r="AR237" s="46"/>
      <c r="AS237" s="46"/>
      <c r="AT237" s="46"/>
      <c r="AU237" s="46"/>
      <c r="AV237" s="46"/>
      <c r="AW237" s="46"/>
      <c r="AX237" s="46"/>
      <c r="AY237" s="46"/>
      <c r="AZ237" s="46"/>
      <c r="BA237" s="46"/>
      <c r="BB237" s="46"/>
    </row>
    <row r="238" spans="2:54">
      <c r="B238" s="46"/>
      <c r="C238" s="46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46"/>
      <c r="AR238" s="46"/>
      <c r="AS238" s="46"/>
      <c r="AT238" s="46"/>
      <c r="AU238" s="46"/>
      <c r="AV238" s="46"/>
      <c r="AW238" s="46"/>
      <c r="AX238" s="46"/>
      <c r="AY238" s="46"/>
      <c r="AZ238" s="46"/>
      <c r="BA238" s="46"/>
      <c r="BB238" s="46"/>
    </row>
    <row r="239" spans="2:54">
      <c r="B239" s="46"/>
      <c r="C239" s="46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46"/>
      <c r="AR239" s="46"/>
      <c r="AS239" s="46"/>
      <c r="AT239" s="46"/>
      <c r="AU239" s="46"/>
      <c r="AV239" s="46"/>
      <c r="AW239" s="46"/>
      <c r="AX239" s="46"/>
      <c r="AY239" s="46"/>
      <c r="AZ239" s="46"/>
      <c r="BA239" s="46"/>
      <c r="BB239" s="46"/>
    </row>
    <row r="240" spans="2:54">
      <c r="B240" s="46"/>
      <c r="C240" s="46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46"/>
      <c r="AR240" s="46"/>
      <c r="AS240" s="46"/>
      <c r="AT240" s="46"/>
      <c r="AU240" s="46"/>
      <c r="AV240" s="46"/>
      <c r="AW240" s="46"/>
      <c r="AX240" s="46"/>
      <c r="AY240" s="46"/>
      <c r="AZ240" s="46"/>
      <c r="BA240" s="46"/>
      <c r="BB240" s="46"/>
    </row>
    <row r="241" spans="2:54">
      <c r="B241" s="46"/>
      <c r="C241" s="46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46"/>
      <c r="AR241" s="46"/>
      <c r="AS241" s="46"/>
      <c r="AT241" s="46"/>
      <c r="AU241" s="46"/>
      <c r="AV241" s="46"/>
      <c r="AW241" s="46"/>
      <c r="AX241" s="46"/>
      <c r="AY241" s="46"/>
      <c r="AZ241" s="46"/>
      <c r="BA241" s="46"/>
      <c r="BB241" s="46"/>
    </row>
    <row r="242" spans="2:54">
      <c r="B242" s="46"/>
      <c r="C242" s="46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46"/>
      <c r="AR242" s="46"/>
      <c r="AS242" s="46"/>
      <c r="AT242" s="46"/>
      <c r="AU242" s="46"/>
      <c r="AV242" s="46"/>
      <c r="AW242" s="46"/>
      <c r="AX242" s="46"/>
      <c r="AY242" s="46"/>
      <c r="AZ242" s="46"/>
      <c r="BA242" s="46"/>
      <c r="BB242" s="46"/>
    </row>
    <row r="243" spans="2:54">
      <c r="B243" s="46"/>
      <c r="C243" s="46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46"/>
      <c r="AR243" s="46"/>
      <c r="AS243" s="46"/>
      <c r="AT243" s="46"/>
      <c r="AU243" s="46"/>
      <c r="AV243" s="46"/>
      <c r="AW243" s="46"/>
      <c r="AX243" s="46"/>
      <c r="AY243" s="46"/>
      <c r="AZ243" s="46"/>
      <c r="BA243" s="46"/>
      <c r="BB243" s="46"/>
    </row>
    <row r="244" spans="2:54">
      <c r="B244" s="46"/>
      <c r="C244" s="46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46"/>
      <c r="AR244" s="46"/>
      <c r="AS244" s="46"/>
      <c r="AT244" s="46"/>
      <c r="AU244" s="46"/>
      <c r="AV244" s="46"/>
      <c r="AW244" s="46"/>
      <c r="AX244" s="46"/>
      <c r="AY244" s="46"/>
      <c r="AZ244" s="46"/>
      <c r="BA244" s="46"/>
      <c r="BB244" s="46"/>
    </row>
    <row r="245" spans="2:54">
      <c r="B245" s="46"/>
      <c r="C245" s="46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46"/>
      <c r="AR245" s="46"/>
      <c r="AS245" s="46"/>
      <c r="AT245" s="46"/>
      <c r="AU245" s="46"/>
      <c r="AV245" s="46"/>
      <c r="AW245" s="46"/>
      <c r="AX245" s="46"/>
      <c r="AY245" s="46"/>
      <c r="AZ245" s="46"/>
      <c r="BA245" s="46"/>
      <c r="BB245" s="46"/>
    </row>
    <row r="246" spans="2:54">
      <c r="B246" s="46"/>
      <c r="C246" s="46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46"/>
      <c r="AR246" s="46"/>
      <c r="AS246" s="46"/>
      <c r="AT246" s="46"/>
      <c r="AU246" s="46"/>
      <c r="AV246" s="46"/>
      <c r="AW246" s="46"/>
      <c r="AX246" s="46"/>
      <c r="AY246" s="46"/>
      <c r="AZ246" s="46"/>
      <c r="BA246" s="46"/>
      <c r="BB246" s="46"/>
    </row>
    <row r="247" spans="2:54">
      <c r="B247" s="46"/>
      <c r="C247" s="46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</row>
    <row r="248" spans="2:54">
      <c r="B248" s="46"/>
      <c r="C248" s="46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46"/>
      <c r="AR248" s="46"/>
      <c r="AS248" s="46"/>
      <c r="AT248" s="46"/>
      <c r="AU248" s="46"/>
      <c r="AV248" s="46"/>
      <c r="AW248" s="46"/>
      <c r="AX248" s="46"/>
      <c r="AY248" s="46"/>
      <c r="AZ248" s="46"/>
      <c r="BA248" s="46"/>
      <c r="BB248" s="46"/>
    </row>
    <row r="249" spans="2:54">
      <c r="B249" s="46"/>
      <c r="C249" s="46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46"/>
      <c r="AR249" s="46"/>
      <c r="AS249" s="46"/>
      <c r="AT249" s="46"/>
      <c r="AU249" s="46"/>
      <c r="AV249" s="46"/>
      <c r="AW249" s="46"/>
      <c r="AX249" s="46"/>
      <c r="AY249" s="46"/>
      <c r="AZ249" s="46"/>
      <c r="BA249" s="46"/>
      <c r="BB249" s="46"/>
    </row>
    <row r="250" spans="2:54">
      <c r="B250" s="46"/>
      <c r="C250" s="46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46"/>
      <c r="AR250" s="46"/>
      <c r="AS250" s="46"/>
      <c r="AT250" s="46"/>
      <c r="AU250" s="46"/>
      <c r="AV250" s="46"/>
      <c r="AW250" s="46"/>
      <c r="AX250" s="46"/>
      <c r="AY250" s="46"/>
      <c r="AZ250" s="46"/>
      <c r="BA250" s="46"/>
      <c r="BB250" s="46"/>
    </row>
    <row r="251" spans="2:54">
      <c r="B251" s="46"/>
      <c r="C251" s="46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46"/>
      <c r="AR251" s="46"/>
      <c r="AS251" s="46"/>
      <c r="AT251" s="46"/>
      <c r="AU251" s="46"/>
      <c r="AV251" s="46"/>
      <c r="AW251" s="46"/>
      <c r="AX251" s="46"/>
      <c r="AY251" s="46"/>
      <c r="AZ251" s="46"/>
      <c r="BA251" s="46"/>
      <c r="BB251" s="46"/>
    </row>
    <row r="252" spans="2:54">
      <c r="B252" s="46"/>
      <c r="C252" s="46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46"/>
      <c r="AR252" s="46"/>
      <c r="AS252" s="46"/>
      <c r="AT252" s="46"/>
      <c r="AU252" s="46"/>
      <c r="AV252" s="46"/>
      <c r="AW252" s="46"/>
      <c r="AX252" s="46"/>
      <c r="AY252" s="46"/>
      <c r="AZ252" s="46"/>
      <c r="BA252" s="46"/>
      <c r="BB252" s="46"/>
    </row>
    <row r="253" spans="2:54">
      <c r="B253" s="46"/>
      <c r="C253" s="46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46"/>
      <c r="AR253" s="46"/>
      <c r="AS253" s="46"/>
      <c r="AT253" s="46"/>
      <c r="AU253" s="46"/>
      <c r="AV253" s="46"/>
      <c r="AW253" s="46"/>
      <c r="AX253" s="46"/>
      <c r="AY253" s="46"/>
      <c r="AZ253" s="46"/>
      <c r="BA253" s="46"/>
      <c r="BB253" s="46"/>
    </row>
    <row r="254" spans="2:54">
      <c r="B254" s="46"/>
      <c r="C254" s="46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46"/>
      <c r="AR254" s="46"/>
      <c r="AS254" s="46"/>
      <c r="AT254" s="46"/>
      <c r="AU254" s="46"/>
      <c r="AV254" s="46"/>
      <c r="AW254" s="46"/>
      <c r="AX254" s="46"/>
      <c r="AY254" s="46"/>
      <c r="AZ254" s="46"/>
      <c r="BA254" s="46"/>
      <c r="BB254" s="46"/>
    </row>
    <row r="255" spans="2:54">
      <c r="B255" s="46"/>
      <c r="C255" s="46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46"/>
      <c r="AR255" s="46"/>
      <c r="AS255" s="46"/>
      <c r="AT255" s="46"/>
      <c r="AU255" s="46"/>
      <c r="AV255" s="46"/>
      <c r="AW255" s="46"/>
      <c r="AX255" s="46"/>
      <c r="AY255" s="46"/>
      <c r="AZ255" s="46"/>
      <c r="BA255" s="46"/>
      <c r="BB255" s="46"/>
    </row>
    <row r="256" spans="2:54">
      <c r="B256" s="46"/>
      <c r="C256" s="46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46"/>
      <c r="AR256" s="46"/>
      <c r="AS256" s="46"/>
      <c r="AT256" s="46"/>
      <c r="AU256" s="46"/>
      <c r="AV256" s="46"/>
      <c r="AW256" s="46"/>
      <c r="AX256" s="46"/>
      <c r="AY256" s="46"/>
      <c r="AZ256" s="46"/>
      <c r="BA256" s="46"/>
      <c r="BB256" s="46"/>
    </row>
    <row r="257" spans="2:54">
      <c r="B257" s="46"/>
      <c r="C257" s="46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46"/>
      <c r="AR257" s="46"/>
      <c r="AS257" s="46"/>
      <c r="AT257" s="46"/>
      <c r="AU257" s="46"/>
      <c r="AV257" s="46"/>
      <c r="AW257" s="46"/>
      <c r="AX257" s="46"/>
      <c r="AY257" s="46"/>
      <c r="AZ257" s="46"/>
      <c r="BA257" s="46"/>
      <c r="BB257" s="46"/>
    </row>
    <row r="258" spans="2:54">
      <c r="B258" s="46"/>
      <c r="C258" s="46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  <c r="BB258" s="46"/>
    </row>
    <row r="259" spans="2:54">
      <c r="B259" s="46"/>
      <c r="C259" s="46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46"/>
      <c r="AR259" s="46"/>
      <c r="AS259" s="46"/>
      <c r="AT259" s="46"/>
      <c r="AU259" s="46"/>
      <c r="AV259" s="46"/>
      <c r="AW259" s="46"/>
      <c r="AX259" s="46"/>
      <c r="AY259" s="46"/>
      <c r="AZ259" s="46"/>
      <c r="BA259" s="46"/>
      <c r="BB259" s="46"/>
    </row>
    <row r="260" spans="2:54">
      <c r="B260" s="46"/>
      <c r="C260" s="46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46"/>
      <c r="AR260" s="46"/>
      <c r="AS260" s="46"/>
      <c r="AT260" s="46"/>
      <c r="AU260" s="46"/>
      <c r="AV260" s="46"/>
      <c r="AW260" s="46"/>
      <c r="AX260" s="46"/>
      <c r="AY260" s="46"/>
      <c r="AZ260" s="46"/>
      <c r="BA260" s="46"/>
      <c r="BB260" s="46"/>
    </row>
    <row r="261" spans="2:54">
      <c r="B261" s="46"/>
      <c r="C261" s="46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46"/>
      <c r="AR261" s="46"/>
      <c r="AS261" s="46"/>
      <c r="AT261" s="46"/>
      <c r="AU261" s="46"/>
      <c r="AV261" s="46"/>
      <c r="AW261" s="46"/>
      <c r="AX261" s="46"/>
      <c r="AY261" s="46"/>
      <c r="AZ261" s="46"/>
      <c r="BA261" s="46"/>
      <c r="BB261" s="46"/>
    </row>
    <row r="262" spans="2:54">
      <c r="B262" s="46"/>
      <c r="C262" s="46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46"/>
      <c r="AR262" s="46"/>
      <c r="AS262" s="46"/>
      <c r="AT262" s="46"/>
      <c r="AU262" s="46"/>
      <c r="AV262" s="46"/>
      <c r="AW262" s="46"/>
      <c r="AX262" s="46"/>
      <c r="AY262" s="46"/>
      <c r="AZ262" s="46"/>
      <c r="BA262" s="46"/>
      <c r="BB262" s="46"/>
    </row>
    <row r="263" spans="2:54">
      <c r="B263" s="46"/>
      <c r="C263" s="46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46"/>
      <c r="AR263" s="46"/>
      <c r="AS263" s="46"/>
      <c r="AT263" s="46"/>
      <c r="AU263" s="46"/>
      <c r="AV263" s="46"/>
      <c r="AW263" s="46"/>
      <c r="AX263" s="46"/>
      <c r="AY263" s="46"/>
      <c r="AZ263" s="46"/>
      <c r="BA263" s="46"/>
      <c r="BB263" s="46"/>
    </row>
    <row r="264" spans="2:54">
      <c r="B264" s="46"/>
      <c r="C264" s="46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46"/>
      <c r="AR264" s="46"/>
      <c r="AS264" s="46"/>
      <c r="AT264" s="46"/>
      <c r="AU264" s="46"/>
      <c r="AV264" s="46"/>
      <c r="AW264" s="46"/>
      <c r="AX264" s="46"/>
      <c r="AY264" s="46"/>
      <c r="AZ264" s="46"/>
      <c r="BA264" s="46"/>
      <c r="BB264" s="46"/>
    </row>
    <row r="265" spans="2:54">
      <c r="B265" s="46"/>
      <c r="C265" s="46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</row>
    <row r="266" spans="2:54">
      <c r="B266" s="46"/>
      <c r="C266" s="46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</row>
    <row r="267" spans="2:54">
      <c r="B267" s="46"/>
      <c r="C267" s="46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</row>
    <row r="268" spans="2:54">
      <c r="B268" s="46"/>
      <c r="C268" s="46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46"/>
      <c r="AR268" s="46"/>
      <c r="AS268" s="46"/>
      <c r="AT268" s="46"/>
      <c r="AU268" s="46"/>
      <c r="AV268" s="46"/>
      <c r="AW268" s="46"/>
      <c r="AX268" s="46"/>
      <c r="AY268" s="46"/>
      <c r="AZ268" s="46"/>
      <c r="BA268" s="46"/>
      <c r="BB268" s="46"/>
    </row>
    <row r="269" spans="2:54">
      <c r="B269" s="46"/>
      <c r="C269" s="46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46"/>
      <c r="AR269" s="46"/>
      <c r="AS269" s="46"/>
      <c r="AT269" s="46"/>
      <c r="AU269" s="46"/>
      <c r="AV269" s="46"/>
      <c r="AW269" s="46"/>
      <c r="AX269" s="46"/>
      <c r="AY269" s="46"/>
      <c r="AZ269" s="46"/>
      <c r="BA269" s="46"/>
      <c r="BB269" s="46"/>
    </row>
    <row r="270" spans="2:54">
      <c r="B270" s="46"/>
      <c r="C270" s="46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46"/>
      <c r="AR270" s="46"/>
      <c r="AS270" s="46"/>
      <c r="AT270" s="46"/>
      <c r="AU270" s="46"/>
      <c r="AV270" s="46"/>
      <c r="AW270" s="46"/>
      <c r="AX270" s="46"/>
      <c r="AY270" s="46"/>
      <c r="AZ270" s="46"/>
      <c r="BA270" s="46"/>
      <c r="BB270" s="46"/>
    </row>
    <row r="271" spans="2:54">
      <c r="B271" s="46"/>
      <c r="C271" s="46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46"/>
      <c r="AR271" s="46"/>
      <c r="AS271" s="46"/>
      <c r="AT271" s="46"/>
      <c r="AU271" s="46"/>
      <c r="AV271" s="46"/>
      <c r="AW271" s="46"/>
      <c r="AX271" s="46"/>
      <c r="AY271" s="46"/>
      <c r="AZ271" s="46"/>
      <c r="BA271" s="46"/>
      <c r="BB271" s="46"/>
    </row>
    <row r="272" spans="2:54">
      <c r="B272" s="46"/>
      <c r="C272" s="46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46"/>
      <c r="AR272" s="46"/>
      <c r="AS272" s="46"/>
      <c r="AT272" s="46"/>
      <c r="AU272" s="46"/>
      <c r="AV272" s="46"/>
      <c r="AW272" s="46"/>
      <c r="AX272" s="46"/>
      <c r="AY272" s="46"/>
      <c r="AZ272" s="46"/>
      <c r="BA272" s="46"/>
      <c r="BB272" s="46"/>
    </row>
    <row r="273" spans="2:54">
      <c r="B273" s="46"/>
      <c r="C273" s="46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46"/>
      <c r="AR273" s="46"/>
      <c r="AS273" s="46"/>
      <c r="AT273" s="46"/>
      <c r="AU273" s="46"/>
      <c r="AV273" s="46"/>
      <c r="AW273" s="46"/>
      <c r="AX273" s="46"/>
      <c r="AY273" s="46"/>
      <c r="AZ273" s="46"/>
      <c r="BA273" s="46"/>
      <c r="BB273" s="46"/>
    </row>
    <row r="274" spans="2:54">
      <c r="B274" s="46"/>
      <c r="C274" s="46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46"/>
      <c r="AR274" s="46"/>
      <c r="AS274" s="46"/>
      <c r="AT274" s="46"/>
      <c r="AU274" s="46"/>
      <c r="AV274" s="46"/>
      <c r="AW274" s="46"/>
      <c r="AX274" s="46"/>
      <c r="AY274" s="46"/>
      <c r="AZ274" s="46"/>
      <c r="BA274" s="46"/>
      <c r="BB274" s="46"/>
    </row>
    <row r="275" spans="2:54">
      <c r="B275" s="46"/>
      <c r="C275" s="46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46"/>
      <c r="AR275" s="46"/>
      <c r="AS275" s="46"/>
      <c r="AT275" s="46"/>
      <c r="AU275" s="46"/>
      <c r="AV275" s="46"/>
      <c r="AW275" s="46"/>
      <c r="AX275" s="46"/>
      <c r="AY275" s="46"/>
      <c r="AZ275" s="46"/>
      <c r="BA275" s="46"/>
      <c r="BB275" s="46"/>
    </row>
    <row r="276" spans="2:54">
      <c r="B276" s="46"/>
      <c r="C276" s="46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</row>
    <row r="277" spans="2:54">
      <c r="B277" s="46"/>
      <c r="C277" s="46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46"/>
      <c r="AR277" s="46"/>
      <c r="AS277" s="46"/>
      <c r="AT277" s="46"/>
      <c r="AU277" s="46"/>
      <c r="AV277" s="46"/>
      <c r="AW277" s="46"/>
      <c r="AX277" s="46"/>
      <c r="AY277" s="46"/>
      <c r="AZ277" s="46"/>
      <c r="BA277" s="46"/>
      <c r="BB277" s="46"/>
    </row>
    <row r="278" spans="2:54">
      <c r="B278" s="46"/>
      <c r="C278" s="46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46"/>
      <c r="AR278" s="46"/>
      <c r="AS278" s="46"/>
      <c r="AT278" s="46"/>
      <c r="AU278" s="46"/>
      <c r="AV278" s="46"/>
      <c r="AW278" s="46"/>
      <c r="AX278" s="46"/>
      <c r="AY278" s="46"/>
      <c r="AZ278" s="46"/>
      <c r="BA278" s="46"/>
      <c r="BB278" s="46"/>
    </row>
    <row r="279" spans="2:54">
      <c r="B279" s="46"/>
      <c r="C279" s="46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46"/>
      <c r="AR279" s="46"/>
      <c r="AS279" s="46"/>
      <c r="AT279" s="46"/>
      <c r="AU279" s="46"/>
      <c r="AV279" s="46"/>
      <c r="AW279" s="46"/>
      <c r="AX279" s="46"/>
      <c r="AY279" s="46"/>
      <c r="AZ279" s="46"/>
      <c r="BA279" s="46"/>
      <c r="BB279" s="46"/>
    </row>
    <row r="280" spans="2:54">
      <c r="B280" s="46"/>
      <c r="C280" s="46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46"/>
      <c r="AR280" s="46"/>
      <c r="AS280" s="46"/>
      <c r="AT280" s="46"/>
      <c r="AU280" s="46"/>
      <c r="AV280" s="46"/>
      <c r="AW280" s="46"/>
      <c r="AX280" s="46"/>
      <c r="AY280" s="46"/>
      <c r="AZ280" s="46"/>
      <c r="BA280" s="46"/>
      <c r="BB280" s="46"/>
    </row>
    <row r="281" spans="2:54">
      <c r="B281" s="46"/>
      <c r="C281" s="46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46"/>
      <c r="AR281" s="46"/>
      <c r="AS281" s="46"/>
      <c r="AT281" s="46"/>
      <c r="AU281" s="46"/>
      <c r="AV281" s="46"/>
      <c r="AW281" s="46"/>
      <c r="AX281" s="46"/>
      <c r="AY281" s="46"/>
      <c r="AZ281" s="46"/>
      <c r="BA281" s="46"/>
      <c r="BB281" s="46"/>
    </row>
    <row r="282" spans="2:54">
      <c r="B282" s="46"/>
      <c r="C282" s="46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46"/>
      <c r="AR282" s="46"/>
      <c r="AS282" s="46"/>
      <c r="AT282" s="46"/>
      <c r="AU282" s="46"/>
      <c r="AV282" s="46"/>
      <c r="AW282" s="46"/>
      <c r="AX282" s="46"/>
      <c r="AY282" s="46"/>
      <c r="AZ282" s="46"/>
      <c r="BA282" s="46"/>
      <c r="BB282" s="46"/>
    </row>
    <row r="283" spans="2:54">
      <c r="B283" s="46"/>
      <c r="C283" s="46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46"/>
      <c r="AR283" s="46"/>
      <c r="AS283" s="46"/>
      <c r="AT283" s="46"/>
      <c r="AU283" s="46"/>
      <c r="AV283" s="46"/>
      <c r="AW283" s="46"/>
      <c r="AX283" s="46"/>
      <c r="AY283" s="46"/>
      <c r="AZ283" s="46"/>
      <c r="BA283" s="46"/>
      <c r="BB283" s="46"/>
    </row>
    <row r="284" spans="2:54"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46"/>
      <c r="AR284" s="46"/>
      <c r="AS284" s="46"/>
      <c r="AT284" s="46"/>
      <c r="AU284" s="46"/>
      <c r="AV284" s="46"/>
      <c r="AW284" s="46"/>
      <c r="AX284" s="46"/>
      <c r="AY284" s="46"/>
      <c r="AZ284" s="46"/>
      <c r="BA284" s="46"/>
      <c r="BB284" s="46"/>
    </row>
    <row r="285" spans="2:54"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46"/>
      <c r="AR285" s="46"/>
      <c r="AS285" s="46"/>
      <c r="AT285" s="46"/>
      <c r="AU285" s="46"/>
      <c r="AV285" s="46"/>
      <c r="AW285" s="46"/>
      <c r="AX285" s="46"/>
      <c r="AY285" s="46"/>
      <c r="AZ285" s="46"/>
      <c r="BA285" s="46"/>
      <c r="BB285" s="46"/>
    </row>
    <row r="286" spans="2:54"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46"/>
      <c r="AR286" s="46"/>
      <c r="AS286" s="46"/>
      <c r="AT286" s="46"/>
      <c r="AU286" s="46"/>
      <c r="AV286" s="46"/>
      <c r="AW286" s="46"/>
      <c r="AX286" s="46"/>
      <c r="AY286" s="46"/>
      <c r="AZ286" s="46"/>
      <c r="BA286" s="46"/>
      <c r="BB286" s="46"/>
    </row>
    <row r="287" spans="2:54"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46"/>
      <c r="AR287" s="46"/>
      <c r="AS287" s="46"/>
      <c r="AT287" s="46"/>
      <c r="AU287" s="46"/>
      <c r="AV287" s="46"/>
      <c r="AW287" s="46"/>
      <c r="AX287" s="46"/>
      <c r="AY287" s="46"/>
      <c r="AZ287" s="46"/>
      <c r="BA287" s="46"/>
      <c r="BB287" s="46"/>
    </row>
    <row r="288" spans="2:54"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46"/>
      <c r="AR288" s="46"/>
      <c r="AS288" s="46"/>
      <c r="AT288" s="46"/>
      <c r="AU288" s="46"/>
      <c r="AV288" s="46"/>
      <c r="AW288" s="46"/>
      <c r="AX288" s="46"/>
      <c r="AY288" s="46"/>
      <c r="AZ288" s="46"/>
      <c r="BA288" s="46"/>
      <c r="BB288" s="46"/>
    </row>
    <row r="289" spans="4:54"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46"/>
      <c r="AR289" s="46"/>
      <c r="AS289" s="46"/>
      <c r="AT289" s="46"/>
      <c r="AU289" s="46"/>
      <c r="AV289" s="46"/>
      <c r="AW289" s="46"/>
      <c r="AX289" s="46"/>
      <c r="AY289" s="46"/>
      <c r="AZ289" s="46"/>
      <c r="BA289" s="46"/>
      <c r="BB289" s="46"/>
    </row>
    <row r="290" spans="4:54"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46"/>
      <c r="AR290" s="46"/>
      <c r="AS290" s="46"/>
      <c r="AT290" s="46"/>
      <c r="AU290" s="46"/>
      <c r="AV290" s="46"/>
      <c r="AW290" s="46"/>
      <c r="AX290" s="46"/>
      <c r="AY290" s="46"/>
      <c r="AZ290" s="46"/>
      <c r="BA290" s="46"/>
      <c r="BB290" s="46"/>
    </row>
    <row r="291" spans="4:54"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46"/>
      <c r="AR291" s="46"/>
      <c r="AS291" s="46"/>
      <c r="AT291" s="46"/>
      <c r="AU291" s="46"/>
      <c r="AV291" s="46"/>
      <c r="AW291" s="46"/>
      <c r="AX291" s="46"/>
      <c r="AY291" s="46"/>
      <c r="AZ291" s="46"/>
      <c r="BA291" s="46"/>
      <c r="BB291" s="46"/>
    </row>
    <row r="292" spans="4:54"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46"/>
      <c r="AR292" s="46"/>
      <c r="AS292" s="46"/>
      <c r="AT292" s="46"/>
      <c r="AU292" s="46"/>
      <c r="AV292" s="46"/>
      <c r="AW292" s="46"/>
      <c r="AX292" s="46"/>
      <c r="AY292" s="46"/>
      <c r="AZ292" s="46"/>
      <c r="BA292" s="46"/>
      <c r="BB292" s="46"/>
    </row>
    <row r="293" spans="4:54"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46"/>
      <c r="AR293" s="46"/>
      <c r="AS293" s="46"/>
      <c r="AT293" s="46"/>
      <c r="AU293" s="46"/>
      <c r="AV293" s="46"/>
      <c r="AW293" s="46"/>
      <c r="AX293" s="46"/>
      <c r="AY293" s="46"/>
      <c r="AZ293" s="46"/>
      <c r="BA293" s="46"/>
      <c r="BB293" s="46"/>
    </row>
    <row r="294" spans="4:54"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46"/>
      <c r="AR294" s="46"/>
      <c r="AS294" s="46"/>
      <c r="AT294" s="46"/>
      <c r="AU294" s="46"/>
      <c r="AV294" s="46"/>
      <c r="AW294" s="46"/>
      <c r="AX294" s="46"/>
      <c r="AY294" s="46"/>
      <c r="AZ294" s="46"/>
      <c r="BA294" s="46"/>
      <c r="BB294" s="46"/>
    </row>
    <row r="295" spans="4:54"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46"/>
      <c r="AR295" s="46"/>
      <c r="AS295" s="46"/>
      <c r="AT295" s="46"/>
      <c r="AU295" s="46"/>
      <c r="AV295" s="46"/>
      <c r="AW295" s="46"/>
      <c r="AX295" s="46"/>
      <c r="AY295" s="46"/>
      <c r="AZ295" s="46"/>
      <c r="BA295" s="46"/>
      <c r="BB295" s="46"/>
    </row>
    <row r="296" spans="4:54"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46"/>
      <c r="AR296" s="46"/>
      <c r="AS296" s="46"/>
      <c r="AT296" s="46"/>
      <c r="AU296" s="46"/>
      <c r="AV296" s="46"/>
      <c r="AW296" s="46"/>
      <c r="AX296" s="46"/>
      <c r="AY296" s="46"/>
      <c r="AZ296" s="46"/>
      <c r="BA296" s="46"/>
      <c r="BB296" s="46"/>
    </row>
    <row r="297" spans="4:54"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46"/>
      <c r="AR297" s="46"/>
      <c r="AS297" s="46"/>
      <c r="AT297" s="46"/>
      <c r="AU297" s="46"/>
      <c r="AV297" s="46"/>
      <c r="AW297" s="46"/>
      <c r="AX297" s="46"/>
      <c r="AY297" s="46"/>
      <c r="AZ297" s="46"/>
      <c r="BA297" s="46"/>
      <c r="BB297" s="46"/>
    </row>
    <row r="298" spans="4:54"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46"/>
      <c r="AR298" s="46"/>
      <c r="AS298" s="46"/>
      <c r="AT298" s="46"/>
      <c r="AU298" s="46"/>
      <c r="AV298" s="46"/>
      <c r="AW298" s="46"/>
      <c r="AX298" s="46"/>
      <c r="AY298" s="46"/>
      <c r="AZ298" s="46"/>
      <c r="BA298" s="46"/>
      <c r="BB298" s="46"/>
    </row>
    <row r="299" spans="4:54"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</row>
    <row r="300" spans="4:54"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</row>
    <row r="301" spans="4:54"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</row>
    <row r="302" spans="4:54"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</row>
    <row r="303" spans="4:54"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</row>
    <row r="304" spans="4:54"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</row>
    <row r="305" spans="4:42"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</row>
    <row r="306" spans="4:42"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</row>
    <row r="307" spans="4:42"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</row>
    <row r="308" spans="4:42"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</row>
    <row r="309" spans="4:42"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</row>
    <row r="310" spans="4:42"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</row>
    <row r="311" spans="4:42"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</row>
    <row r="312" spans="4:42"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</row>
    <row r="313" spans="4:42"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</row>
    <row r="314" spans="4:42"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</row>
    <row r="315" spans="4:42"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</row>
    <row r="316" spans="4:42"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</row>
    <row r="317" spans="4:42"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</row>
    <row r="318" spans="4:42"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</row>
    <row r="319" spans="4:42"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</row>
    <row r="320" spans="4:42"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</row>
    <row r="321" spans="4:42"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</row>
    <row r="322" spans="4:42"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</row>
    <row r="323" spans="4:42"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</row>
    <row r="324" spans="4:42"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</row>
    <row r="325" spans="4:42"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</row>
    <row r="326" spans="4:42"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</row>
    <row r="327" spans="4:42"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</row>
    <row r="328" spans="4:42"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</row>
    <row r="329" spans="4:42"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</row>
    <row r="330" spans="4:42"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</row>
    <row r="331" spans="4:42"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</row>
    <row r="332" spans="4:42"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</row>
    <row r="333" spans="4:42"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</row>
    <row r="334" spans="4:42"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</row>
    <row r="335" spans="4:42"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</row>
    <row r="336" spans="4:42"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</row>
    <row r="337" spans="4:42"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</row>
    <row r="338" spans="4:42"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</row>
    <row r="339" spans="4:42"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</row>
    <row r="340" spans="4:42"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</row>
    <row r="341" spans="4:42"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</row>
    <row r="342" spans="4:42"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</row>
    <row r="343" spans="4:42"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</row>
    <row r="344" spans="4:42"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</row>
    <row r="345" spans="4:42"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</row>
    <row r="346" spans="4:42"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</row>
    <row r="347" spans="4:42"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</row>
    <row r="348" spans="4:42"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</row>
    <row r="349" spans="4:42"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</row>
    <row r="350" spans="4:42"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</row>
    <row r="351" spans="4:42"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</row>
    <row r="352" spans="4:42"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</row>
    <row r="353" spans="4:42"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</row>
    <row r="354" spans="4:42"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</row>
    <row r="355" spans="4:42"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</row>
    <row r="356" spans="4:42"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</row>
    <row r="357" spans="4:42"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</row>
    <row r="358" spans="4:42"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</row>
    <row r="359" spans="4:42"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</row>
    <row r="360" spans="4:42"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</row>
    <row r="361" spans="4:42"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</row>
    <row r="362" spans="4:42"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</row>
    <row r="363" spans="4:42"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</row>
    <row r="364" spans="4:42"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</row>
    <row r="365" spans="4:42"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</row>
    <row r="366" spans="4:42"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</row>
    <row r="367" spans="4:42"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</row>
    <row r="368" spans="4:42"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</row>
    <row r="369" spans="4:42"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</row>
    <row r="370" spans="4:42"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</row>
    <row r="371" spans="4:42"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</row>
    <row r="372" spans="4:42"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</row>
    <row r="373" spans="4:42"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</row>
    <row r="374" spans="4:42"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</row>
    <row r="375" spans="4:42"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</row>
    <row r="376" spans="4:42"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</row>
    <row r="377" spans="4:42"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</row>
    <row r="378" spans="4:42"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</row>
    <row r="379" spans="4:42"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</row>
  </sheetData>
  <sheetCalcPr fullCalcOnLoad="1"/>
  <pageMargins left="0.22" right="0.22" top="0.56999999999999995" bottom="0.48" header="0.27" footer="0.2"/>
  <pageSetup paperSize="5" scale="53" fitToHeight="4" orientation="landscape" horizontalDpi="300" r:id="rId1"/>
  <headerFooter alignWithMargins="0">
    <oddFooter>&amp;L&amp;F
&amp;D
&amp;T&amp;CPage &amp;P</oddFoot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G283"/>
  <sheetViews>
    <sheetView zoomScale="75" workbookViewId="0"/>
  </sheetViews>
  <sheetFormatPr defaultRowHeight="12.75"/>
  <cols>
    <col min="1" max="1" width="36.7109375" customWidth="1"/>
    <col min="2" max="2" width="21.140625" customWidth="1"/>
    <col min="3" max="3" width="20.42578125" customWidth="1"/>
    <col min="4" max="4" width="17.28515625" customWidth="1"/>
    <col min="5" max="5" width="18.140625" customWidth="1"/>
    <col min="6" max="6" width="25.28515625" customWidth="1"/>
    <col min="7" max="7" width="25.5703125" customWidth="1"/>
    <col min="8" max="8" width="17.7109375" customWidth="1"/>
    <col min="9" max="9" width="16.7109375" customWidth="1"/>
    <col min="10" max="10" width="17.7109375" customWidth="1"/>
    <col min="11" max="11" width="17.28515625" customWidth="1"/>
    <col min="12" max="12" width="18.28515625" customWidth="1"/>
    <col min="13" max="13" width="20.85546875" customWidth="1"/>
    <col min="14" max="15" width="14.140625" customWidth="1"/>
    <col min="16" max="16" width="17.28515625" customWidth="1"/>
    <col min="17" max="17" width="19.85546875" customWidth="1"/>
    <col min="18" max="18" width="17.42578125" customWidth="1"/>
    <col min="19" max="21" width="11.5703125" bestFit="1" customWidth="1"/>
  </cols>
  <sheetData>
    <row r="1" spans="1:18" ht="51">
      <c r="A1" t="s">
        <v>262</v>
      </c>
      <c r="B1" t="s">
        <v>263</v>
      </c>
      <c r="C1" t="s">
        <v>256</v>
      </c>
      <c r="D1" t="s">
        <v>265</v>
      </c>
      <c r="E1" t="s">
        <v>255</v>
      </c>
      <c r="F1" t="s">
        <v>267</v>
      </c>
      <c r="G1" t="s">
        <v>266</v>
      </c>
      <c r="H1" t="s">
        <v>259</v>
      </c>
      <c r="I1" s="384" t="s">
        <v>356</v>
      </c>
      <c r="J1" t="s">
        <v>271</v>
      </c>
      <c r="K1" t="s">
        <v>268</v>
      </c>
      <c r="L1" t="s">
        <v>269</v>
      </c>
      <c r="M1" t="s">
        <v>156</v>
      </c>
      <c r="N1" t="s">
        <v>338</v>
      </c>
      <c r="O1" s="339" t="s">
        <v>290</v>
      </c>
      <c r="P1" s="339" t="s">
        <v>291</v>
      </c>
      <c r="Q1" s="339" t="s">
        <v>292</v>
      </c>
      <c r="R1" s="339" t="s">
        <v>332</v>
      </c>
    </row>
    <row r="2" spans="1:18">
      <c r="A2" t="s">
        <v>36</v>
      </c>
      <c r="B2">
        <v>5</v>
      </c>
      <c r="C2" t="s">
        <v>36</v>
      </c>
      <c r="D2" t="s">
        <v>36</v>
      </c>
      <c r="E2" s="304" t="s">
        <v>36</v>
      </c>
      <c r="F2" s="319" t="s">
        <v>36</v>
      </c>
      <c r="G2" s="319" t="s">
        <v>36</v>
      </c>
      <c r="H2" s="304" t="s">
        <v>36</v>
      </c>
      <c r="I2" s="304" t="s">
        <v>36</v>
      </c>
      <c r="J2" s="296" t="s">
        <v>36</v>
      </c>
      <c r="K2" s="296" t="s">
        <v>36</v>
      </c>
      <c r="L2" s="296" t="s">
        <v>36</v>
      </c>
      <c r="M2" s="296" t="s">
        <v>36</v>
      </c>
      <c r="N2" s="385" t="s">
        <v>36</v>
      </c>
      <c r="O2" s="340" t="s">
        <v>36</v>
      </c>
      <c r="P2" s="340" t="s">
        <v>36</v>
      </c>
      <c r="Q2" s="340" t="s">
        <v>36</v>
      </c>
      <c r="R2" s="340" t="s">
        <v>36</v>
      </c>
    </row>
    <row r="4" spans="1:18">
      <c r="A4">
        <v>1</v>
      </c>
      <c r="B4" t="s">
        <v>811</v>
      </c>
      <c r="C4" s="304">
        <f>C5+116.369</f>
        <v>280.36900000000003</v>
      </c>
      <c r="D4" s="304">
        <f>D5+116.369</f>
        <v>274.36900000000003</v>
      </c>
      <c r="E4" s="304">
        <v>11670</v>
      </c>
      <c r="F4" s="319">
        <v>0.02</v>
      </c>
      <c r="G4" s="319">
        <v>1.4999999999999999E-2</v>
      </c>
      <c r="H4" s="304">
        <v>16000</v>
      </c>
      <c r="I4" s="304">
        <v>0</v>
      </c>
      <c r="J4" s="296">
        <f>J5+60000</f>
        <v>149669</v>
      </c>
      <c r="K4" s="353">
        <v>6020</v>
      </c>
      <c r="L4" s="353">
        <v>6108</v>
      </c>
      <c r="M4" s="811">
        <v>0</v>
      </c>
      <c r="N4" s="1053">
        <v>1.49</v>
      </c>
      <c r="O4" s="340">
        <v>0.92</v>
      </c>
      <c r="P4" s="340">
        <v>0</v>
      </c>
      <c r="Q4" s="340">
        <v>0.05</v>
      </c>
      <c r="R4" s="340">
        <v>0.03</v>
      </c>
    </row>
    <row r="5" spans="1:18" s="214" customFormat="1">
      <c r="A5" s="214">
        <v>2</v>
      </c>
      <c r="B5" s="214" t="s">
        <v>802</v>
      </c>
      <c r="C5" s="1037">
        <f>164</f>
        <v>164</v>
      </c>
      <c r="D5" s="1037">
        <f>158</f>
        <v>158</v>
      </c>
      <c r="E5" s="1037">
        <f>11800</f>
        <v>11800</v>
      </c>
      <c r="F5" s="1038">
        <v>0.02</v>
      </c>
      <c r="G5" s="1038">
        <v>0.02</v>
      </c>
      <c r="H5" s="1037">
        <v>16000</v>
      </c>
      <c r="I5" s="1037">
        <v>20</v>
      </c>
      <c r="J5" s="1039">
        <f>(((81741-1237)+4000)+2500)+2665</f>
        <v>89669</v>
      </c>
      <c r="K5" s="413">
        <f>6020</f>
        <v>6020</v>
      </c>
      <c r="L5" s="413">
        <f>6108</f>
        <v>6108</v>
      </c>
      <c r="M5" s="1040">
        <v>0</v>
      </c>
      <c r="N5" s="1053">
        <v>1.49</v>
      </c>
      <c r="O5" s="1041">
        <v>0.92</v>
      </c>
      <c r="P5" s="1041">
        <v>0</v>
      </c>
      <c r="Q5" s="1041">
        <v>0.05</v>
      </c>
      <c r="R5" s="1041">
        <v>0.03</v>
      </c>
    </row>
    <row r="6" spans="1:18">
      <c r="A6">
        <v>3</v>
      </c>
      <c r="B6" t="s">
        <v>814</v>
      </c>
      <c r="C6" s="304">
        <f>(11*15)+C5</f>
        <v>329</v>
      </c>
      <c r="D6" s="304">
        <f>(11*15)+D5</f>
        <v>323</v>
      </c>
      <c r="E6" s="304">
        <f>13187</f>
        <v>13187</v>
      </c>
      <c r="F6" s="319">
        <v>0.02</v>
      </c>
      <c r="G6" s="319">
        <v>0.02</v>
      </c>
      <c r="H6" s="304">
        <v>16000</v>
      </c>
      <c r="I6" s="304">
        <v>20</v>
      </c>
      <c r="J6" s="296">
        <f>51000+J5</f>
        <v>140669</v>
      </c>
      <c r="K6" s="353">
        <v>6020</v>
      </c>
      <c r="L6" s="353">
        <v>6108</v>
      </c>
      <c r="M6" s="811">
        <v>0</v>
      </c>
      <c r="N6" s="1053">
        <v>0.04</v>
      </c>
      <c r="O6" s="340">
        <v>0.92</v>
      </c>
      <c r="P6" s="340">
        <v>0</v>
      </c>
      <c r="Q6" s="340">
        <v>0.05</v>
      </c>
      <c r="R6" s="340">
        <v>0.03</v>
      </c>
    </row>
    <row r="7" spans="1:18">
      <c r="A7">
        <v>4</v>
      </c>
      <c r="B7" t="s">
        <v>809</v>
      </c>
      <c r="C7" s="304">
        <f>164+102.278+102.278</f>
        <v>368.55600000000004</v>
      </c>
      <c r="D7" s="304">
        <f>158+102.278+102.278</f>
        <v>362.55600000000004</v>
      </c>
      <c r="E7" s="304">
        <v>11578</v>
      </c>
      <c r="F7" s="319">
        <v>0.02</v>
      </c>
      <c r="G7" s="319">
        <v>0.02</v>
      </c>
      <c r="H7" s="304">
        <v>16000</v>
      </c>
      <c r="I7" s="304">
        <v>0</v>
      </c>
      <c r="J7" s="1039">
        <f>(((81741-1237)+4000)+2500)+2665+(80000*1.47)</f>
        <v>207269</v>
      </c>
      <c r="K7" s="413">
        <f>6020</f>
        <v>6020</v>
      </c>
      <c r="L7" s="413">
        <f>6108</f>
        <v>6108</v>
      </c>
      <c r="M7" s="811">
        <v>0</v>
      </c>
      <c r="N7" s="1053">
        <v>1.49</v>
      </c>
      <c r="O7" s="340">
        <v>0.92</v>
      </c>
      <c r="P7" s="340">
        <v>0</v>
      </c>
      <c r="Q7" s="340">
        <v>0.05</v>
      </c>
      <c r="R7" s="340">
        <v>0.03</v>
      </c>
    </row>
    <row r="8" spans="1:18">
      <c r="A8">
        <v>5</v>
      </c>
      <c r="B8" t="s">
        <v>804</v>
      </c>
      <c r="C8" s="304">
        <f>164+160</f>
        <v>324</v>
      </c>
      <c r="D8" s="304">
        <f>158+154</f>
        <v>312</v>
      </c>
      <c r="E8" s="304">
        <v>11960</v>
      </c>
      <c r="F8" s="319">
        <v>0.02</v>
      </c>
      <c r="G8" s="319">
        <v>0.02</v>
      </c>
      <c r="H8" s="304">
        <v>16000</v>
      </c>
      <c r="I8" s="304">
        <v>20</v>
      </c>
      <c r="J8" s="296">
        <f>(((81741-1237)+4000)+2500)+2665+73500+3749</f>
        <v>166918</v>
      </c>
      <c r="K8" s="353">
        <v>6020</v>
      </c>
      <c r="L8" s="353">
        <v>6108</v>
      </c>
      <c r="M8" s="811">
        <v>0</v>
      </c>
      <c r="N8" s="1053">
        <v>1.49</v>
      </c>
      <c r="O8" s="340">
        <v>0.92</v>
      </c>
      <c r="P8" s="340">
        <v>0</v>
      </c>
      <c r="Q8" s="340">
        <v>0.05</v>
      </c>
      <c r="R8" s="340">
        <v>0.03</v>
      </c>
    </row>
    <row r="9" spans="1:18">
      <c r="H9" s="304"/>
      <c r="I9" s="304"/>
      <c r="J9" s="296"/>
      <c r="K9" s="296"/>
      <c r="L9" s="296"/>
      <c r="M9" s="296"/>
      <c r="N9" s="1054"/>
    </row>
    <row r="10" spans="1:18">
      <c r="A10" s="342" t="s">
        <v>264</v>
      </c>
      <c r="B10" s="343" t="str">
        <f>INDEX(B4:B8,B2)</f>
        <v>2 X GT11N1 + GT13D</v>
      </c>
      <c r="C10" s="343">
        <f t="shared" ref="C10:R10" si="0">IF($B$10=$B$4,C4,IF($B$10=$B$5,C5,IF($B$10=$B$6,C6,IF($B$10=$B$7,C7,IF($B$10=$B$8,C8,C2)))))</f>
        <v>324</v>
      </c>
      <c r="D10" s="343">
        <f t="shared" si="0"/>
        <v>312</v>
      </c>
      <c r="E10" s="526">
        <f t="shared" si="0"/>
        <v>11960</v>
      </c>
      <c r="F10" s="343">
        <f t="shared" si="0"/>
        <v>0.02</v>
      </c>
      <c r="G10" s="343">
        <f t="shared" si="0"/>
        <v>0.02</v>
      </c>
      <c r="H10" s="526">
        <f t="shared" si="0"/>
        <v>16000</v>
      </c>
      <c r="I10" s="343">
        <f t="shared" si="0"/>
        <v>20</v>
      </c>
      <c r="J10" s="810">
        <f t="shared" si="0"/>
        <v>166918</v>
      </c>
      <c r="K10" s="810">
        <f t="shared" si="0"/>
        <v>6020</v>
      </c>
      <c r="L10" s="810">
        <f t="shared" si="0"/>
        <v>6108</v>
      </c>
      <c r="M10" s="343">
        <f t="shared" si="0"/>
        <v>0</v>
      </c>
      <c r="N10" s="648">
        <f t="shared" si="0"/>
        <v>1.49</v>
      </c>
      <c r="O10" s="343">
        <f t="shared" si="0"/>
        <v>0.92</v>
      </c>
      <c r="P10" s="343">
        <f t="shared" si="0"/>
        <v>0</v>
      </c>
      <c r="Q10" s="343">
        <f t="shared" si="0"/>
        <v>0.05</v>
      </c>
      <c r="R10" s="343">
        <f t="shared" si="0"/>
        <v>0.03</v>
      </c>
    </row>
    <row r="11" spans="1:18">
      <c r="L11" s="353"/>
    </row>
    <row r="12" spans="1:18" ht="25.5">
      <c r="A12" s="63" t="s">
        <v>281</v>
      </c>
      <c r="B12" t="s">
        <v>285</v>
      </c>
      <c r="C12" s="1034" t="s">
        <v>607</v>
      </c>
      <c r="D12" t="s">
        <v>796</v>
      </c>
      <c r="H12" s="340"/>
      <c r="J12" s="353"/>
    </row>
    <row r="13" spans="1:18">
      <c r="B13" s="326">
        <v>3</v>
      </c>
      <c r="C13" s="214"/>
      <c r="J13" s="353"/>
    </row>
    <row r="14" spans="1:18">
      <c r="B14" s="326"/>
      <c r="C14" s="214"/>
      <c r="E14" s="217"/>
      <c r="F14" s="448"/>
      <c r="G14" s="448"/>
      <c r="H14" s="448"/>
      <c r="I14" s="448"/>
      <c r="J14" s="353"/>
    </row>
    <row r="15" spans="1:18">
      <c r="A15">
        <v>1</v>
      </c>
      <c r="B15" s="331">
        <v>5</v>
      </c>
      <c r="C15" s="1035">
        <f ca="1">'SemiAnnual IRR'!I5</f>
        <v>-64675.148284740411</v>
      </c>
      <c r="D15" s="351">
        <f ca="1">'SemiAnnual IRR'!U5</f>
        <v>-74619.255824240972</v>
      </c>
      <c r="F15" s="353"/>
      <c r="G15" s="353"/>
      <c r="H15" s="353"/>
      <c r="I15" s="353"/>
      <c r="J15" s="17"/>
    </row>
    <row r="16" spans="1:18">
      <c r="A16">
        <v>2</v>
      </c>
      <c r="B16" s="338">
        <v>10</v>
      </c>
      <c r="C16" s="1035">
        <f ca="1">'SemiAnnual IRR'!I6</f>
        <v>-46838.445253164668</v>
      </c>
      <c r="D16" s="351">
        <f ca="1">'SemiAnnual IRR'!U6</f>
        <v>-62222.525832039653</v>
      </c>
      <c r="F16" s="353"/>
      <c r="G16" s="353"/>
      <c r="H16" s="353"/>
      <c r="I16" s="353"/>
      <c r="J16" s="17"/>
      <c r="P16" s="17"/>
    </row>
    <row r="17" spans="1:18">
      <c r="A17">
        <v>3</v>
      </c>
      <c r="B17" s="338">
        <v>15</v>
      </c>
      <c r="C17" s="1035">
        <f ca="1">'SemiAnnual IRR'!I7</f>
        <v>-15101.051369554112</v>
      </c>
      <c r="D17" s="351">
        <f ca="1">'SemiAnnual IRR'!U7</f>
        <v>-38293.967649317048</v>
      </c>
      <c r="F17" s="353"/>
      <c r="G17" s="353"/>
      <c r="H17" s="353"/>
      <c r="I17" s="353"/>
      <c r="J17" s="17"/>
      <c r="P17" s="17"/>
    </row>
    <row r="18" spans="1:18">
      <c r="A18">
        <v>4</v>
      </c>
      <c r="B18" s="338">
        <v>20</v>
      </c>
      <c r="C18" s="1035">
        <f>'SemiAnnual IRR'!I8</f>
        <v>0</v>
      </c>
      <c r="D18" s="351">
        <f>'SemiAnnual IRR'!U8</f>
        <v>0</v>
      </c>
      <c r="F18" s="353"/>
      <c r="G18" s="353"/>
      <c r="H18" s="353"/>
      <c r="I18" s="353"/>
      <c r="J18" s="17"/>
      <c r="P18" s="17"/>
    </row>
    <row r="19" spans="1:18">
      <c r="A19">
        <v>5</v>
      </c>
      <c r="B19" s="338">
        <v>3</v>
      </c>
      <c r="C19" s="1035">
        <f ca="1">'SemiAnnual IRR'!I4</f>
        <v>-73547.946052027881</v>
      </c>
      <c r="D19" s="351">
        <f ca="1">'SemiAnnual IRR'!U4</f>
        <v>-81965.621052001748</v>
      </c>
      <c r="F19" s="17"/>
      <c r="G19" s="17"/>
      <c r="H19" s="17"/>
      <c r="I19" s="17"/>
      <c r="J19" s="17"/>
      <c r="P19" s="17"/>
    </row>
    <row r="20" spans="1:18">
      <c r="C20" s="214"/>
      <c r="F20" s="17"/>
      <c r="G20" s="353"/>
      <c r="H20" s="17"/>
      <c r="I20" s="17"/>
      <c r="J20" s="17"/>
      <c r="P20" s="17"/>
    </row>
    <row r="21" spans="1:18">
      <c r="A21" s="342" t="s">
        <v>284</v>
      </c>
      <c r="B21" s="343">
        <f>INDEX(B15:B19,B13)</f>
        <v>15</v>
      </c>
      <c r="C21" s="1036">
        <f ca="1">IF($B$21=$B$19,C19,IF($B$21=$B$18,C18,IF($B$21=$B$17,C17,IF($B$21=$B$16,C16,IF($B$21=$B$15,C15,C13)))))</f>
        <v>-15101.051369554112</v>
      </c>
      <c r="D21" s="1036">
        <f ca="1">IF($B$21=$B$19,D19,IF($B$21=$B$18,D18,IF($B$21=$B$17,D17,IF($B$21=$B$16,D16,IF($B$21=$B$15,D15,D13)))))</f>
        <v>-38293.967649317048</v>
      </c>
      <c r="F21" s="17"/>
      <c r="G21" s="353"/>
      <c r="H21" s="17"/>
      <c r="I21" s="17"/>
      <c r="J21" s="17"/>
      <c r="P21" s="17"/>
    </row>
    <row r="22" spans="1:18">
      <c r="H22" s="17"/>
      <c r="I22" s="353"/>
      <c r="J22" s="17"/>
      <c r="R22" s="17"/>
    </row>
    <row r="23" spans="1:18">
      <c r="A23" s="63" t="s">
        <v>293</v>
      </c>
      <c r="B23" t="s">
        <v>357</v>
      </c>
      <c r="D23" s="227" t="s">
        <v>667</v>
      </c>
      <c r="E23" s="760"/>
      <c r="H23" s="17"/>
      <c r="I23" s="17"/>
      <c r="J23" s="17"/>
      <c r="R23" s="17"/>
    </row>
    <row r="24" spans="1:18">
      <c r="B24">
        <v>1</v>
      </c>
      <c r="C24" s="340"/>
      <c r="D24" s="220"/>
      <c r="E24" s="761">
        <v>1</v>
      </c>
      <c r="R24" s="17"/>
    </row>
    <row r="25" spans="1:18">
      <c r="A25">
        <v>1</v>
      </c>
      <c r="B25">
        <v>70</v>
      </c>
      <c r="C25" s="340"/>
      <c r="D25" s="220">
        <v>1</v>
      </c>
      <c r="E25" s="761" t="s">
        <v>817</v>
      </c>
      <c r="R25" s="17"/>
    </row>
    <row r="26" spans="1:18">
      <c r="A26">
        <v>2</v>
      </c>
      <c r="B26" s="214">
        <v>110</v>
      </c>
      <c r="C26" s="340"/>
      <c r="D26" s="220">
        <v>2</v>
      </c>
      <c r="E26" s="761" t="s">
        <v>818</v>
      </c>
      <c r="R26" s="17"/>
    </row>
    <row r="27" spans="1:18">
      <c r="A27">
        <v>3</v>
      </c>
      <c r="B27">
        <v>200</v>
      </c>
      <c r="C27" s="340"/>
      <c r="D27" s="220">
        <v>3</v>
      </c>
      <c r="E27" s="761" t="s">
        <v>689</v>
      </c>
      <c r="R27" s="17"/>
    </row>
    <row r="28" spans="1:18">
      <c r="A28">
        <v>4</v>
      </c>
      <c r="B28">
        <v>250</v>
      </c>
      <c r="C28" s="340"/>
      <c r="D28" s="220">
        <v>4</v>
      </c>
      <c r="E28" s="761" t="s">
        <v>695</v>
      </c>
      <c r="R28" s="17"/>
    </row>
    <row r="29" spans="1:18">
      <c r="D29" s="220"/>
      <c r="E29" s="761"/>
    </row>
    <row r="30" spans="1:18">
      <c r="A30" s="342" t="s">
        <v>284</v>
      </c>
      <c r="B30" s="526">
        <f>INDEX(B25:B28,B24)</f>
        <v>70</v>
      </c>
      <c r="C30" s="527"/>
      <c r="D30" s="221" t="s">
        <v>284</v>
      </c>
      <c r="E30" s="226" t="str">
        <f>INDEX(E25:E28,E24)</f>
        <v>Michigan</v>
      </c>
    </row>
    <row r="31" spans="1:18">
      <c r="A31" s="17"/>
      <c r="B31" s="755"/>
      <c r="C31" s="527"/>
    </row>
    <row r="32" spans="1:18">
      <c r="B32">
        <v>2</v>
      </c>
    </row>
    <row r="33" spans="1:33" ht="51">
      <c r="A33" s="63" t="s">
        <v>658</v>
      </c>
      <c r="B33" s="63" t="s">
        <v>661</v>
      </c>
      <c r="C33" s="63" t="s">
        <v>256</v>
      </c>
      <c r="D33" s="63" t="s">
        <v>265</v>
      </c>
      <c r="E33" s="63" t="s">
        <v>255</v>
      </c>
      <c r="F33" s="63" t="s">
        <v>267</v>
      </c>
      <c r="G33" s="63" t="s">
        <v>266</v>
      </c>
      <c r="H33" s="63" t="s">
        <v>259</v>
      </c>
      <c r="I33" s="751" t="s">
        <v>356</v>
      </c>
      <c r="J33" s="751" t="s">
        <v>662</v>
      </c>
      <c r="K33" s="63" t="s">
        <v>268</v>
      </c>
      <c r="L33" s="63" t="s">
        <v>269</v>
      </c>
      <c r="M33" s="63" t="s">
        <v>156</v>
      </c>
      <c r="N33" s="63" t="s">
        <v>338</v>
      </c>
      <c r="O33" s="217" t="s">
        <v>290</v>
      </c>
      <c r="P33" s="217" t="s">
        <v>291</v>
      </c>
      <c r="Q33" s="217" t="s">
        <v>292</v>
      </c>
      <c r="R33" s="217" t="s">
        <v>332</v>
      </c>
      <c r="S33" s="217" t="s">
        <v>500</v>
      </c>
      <c r="T33" s="217" t="s">
        <v>699</v>
      </c>
      <c r="V33" s="63"/>
      <c r="W33" s="63"/>
    </row>
    <row r="34" spans="1:33">
      <c r="A34">
        <v>1</v>
      </c>
      <c r="B34" t="s">
        <v>660</v>
      </c>
      <c r="C34" s="431">
        <f>D34</f>
        <v>259.61700000000002</v>
      </c>
      <c r="D34" s="431">
        <v>259.61700000000002</v>
      </c>
      <c r="E34" s="304">
        <f>7026*1.11</f>
        <v>7798.8600000000006</v>
      </c>
      <c r="F34" s="753">
        <f>F5</f>
        <v>0.02</v>
      </c>
      <c r="G34" s="753">
        <f>G5</f>
        <v>0.02</v>
      </c>
      <c r="H34" s="752">
        <f>H5</f>
        <v>16000</v>
      </c>
      <c r="I34" s="752">
        <f>I5</f>
        <v>20</v>
      </c>
      <c r="J34" s="304">
        <f>((111169000-62760000)*Assumptions!E31)/1000</f>
        <v>71161.23</v>
      </c>
      <c r="K34">
        <v>0</v>
      </c>
      <c r="L34" s="304">
        <v>3000</v>
      </c>
      <c r="M34">
        <v>0</v>
      </c>
      <c r="N34">
        <v>0.1</v>
      </c>
      <c r="P34" s="340">
        <v>1</v>
      </c>
      <c r="S34">
        <v>30</v>
      </c>
      <c r="T34">
        <v>4210.1071223504623</v>
      </c>
    </row>
    <row r="35" spans="1:33">
      <c r="A35">
        <v>2</v>
      </c>
      <c r="B35" t="s">
        <v>659</v>
      </c>
      <c r="C35" s="431">
        <f t="shared" ref="C35:I35" si="1">C10</f>
        <v>324</v>
      </c>
      <c r="D35" s="431">
        <f t="shared" si="1"/>
        <v>312</v>
      </c>
      <c r="E35" s="752">
        <f t="shared" si="1"/>
        <v>11960</v>
      </c>
      <c r="F35" s="753">
        <f t="shared" si="1"/>
        <v>0.02</v>
      </c>
      <c r="G35" s="753">
        <f t="shared" si="1"/>
        <v>0.02</v>
      </c>
      <c r="H35" s="526">
        <f t="shared" si="1"/>
        <v>16000</v>
      </c>
      <c r="I35" s="752">
        <f t="shared" si="1"/>
        <v>20</v>
      </c>
      <c r="J35" s="752">
        <v>0</v>
      </c>
      <c r="K35">
        <v>0</v>
      </c>
      <c r="M35">
        <v>0</v>
      </c>
      <c r="S35" s="752">
        <f>B30</f>
        <v>70</v>
      </c>
    </row>
    <row r="36" spans="1:33">
      <c r="A36" s="343" t="s">
        <v>284</v>
      </c>
      <c r="B36" s="343" t="str">
        <f>INDEX(B34:B35,B32)</f>
        <v>Simple Cycle</v>
      </c>
      <c r="C36" s="758">
        <f t="shared" ref="C36:T36" si="2">IF($B$36=$B$34,C34,C35)</f>
        <v>324</v>
      </c>
      <c r="D36" s="758">
        <f t="shared" si="2"/>
        <v>312</v>
      </c>
      <c r="E36" s="526">
        <f t="shared" si="2"/>
        <v>11960</v>
      </c>
      <c r="F36" s="756">
        <f t="shared" si="2"/>
        <v>0.02</v>
      </c>
      <c r="G36" s="756">
        <f t="shared" si="2"/>
        <v>0.02</v>
      </c>
      <c r="H36" s="526">
        <f t="shared" si="2"/>
        <v>16000</v>
      </c>
      <c r="I36" s="343">
        <f t="shared" si="2"/>
        <v>20</v>
      </c>
      <c r="J36" s="526">
        <f t="shared" si="2"/>
        <v>0</v>
      </c>
      <c r="K36" s="343">
        <f t="shared" si="2"/>
        <v>0</v>
      </c>
      <c r="L36" s="526">
        <f t="shared" si="2"/>
        <v>0</v>
      </c>
      <c r="M36" s="343">
        <f t="shared" si="2"/>
        <v>0</v>
      </c>
      <c r="N36" s="343">
        <f t="shared" si="2"/>
        <v>0</v>
      </c>
      <c r="O36" s="343">
        <f t="shared" si="2"/>
        <v>0</v>
      </c>
      <c r="P36" s="756">
        <f t="shared" si="2"/>
        <v>0</v>
      </c>
      <c r="Q36" s="343">
        <f t="shared" si="2"/>
        <v>0</v>
      </c>
      <c r="R36" s="343">
        <f t="shared" si="2"/>
        <v>0</v>
      </c>
      <c r="S36" s="343">
        <f t="shared" si="2"/>
        <v>70</v>
      </c>
      <c r="T36" s="343">
        <f t="shared" si="2"/>
        <v>0</v>
      </c>
    </row>
    <row r="39" spans="1:33">
      <c r="A39" s="63" t="s">
        <v>339</v>
      </c>
      <c r="B39">
        <v>1</v>
      </c>
      <c r="C39">
        <v>2</v>
      </c>
      <c r="D39">
        <v>3</v>
      </c>
      <c r="E39">
        <v>4</v>
      </c>
      <c r="F39">
        <v>5</v>
      </c>
      <c r="G39">
        <v>6</v>
      </c>
      <c r="H39">
        <v>7</v>
      </c>
      <c r="I39">
        <v>8</v>
      </c>
      <c r="J39">
        <v>9</v>
      </c>
      <c r="K39">
        <v>10</v>
      </c>
      <c r="L39">
        <v>11</v>
      </c>
      <c r="M39">
        <v>12</v>
      </c>
      <c r="N39">
        <v>13</v>
      </c>
      <c r="O39">
        <v>14</v>
      </c>
      <c r="P39">
        <v>15</v>
      </c>
      <c r="Q39">
        <v>16</v>
      </c>
      <c r="R39">
        <v>17</v>
      </c>
      <c r="S39">
        <v>18</v>
      </c>
      <c r="T39">
        <v>19</v>
      </c>
      <c r="U39">
        <v>20</v>
      </c>
      <c r="V39">
        <v>21</v>
      </c>
      <c r="W39">
        <v>22</v>
      </c>
      <c r="X39">
        <v>23</v>
      </c>
      <c r="Y39">
        <v>24</v>
      </c>
      <c r="Z39">
        <v>25</v>
      </c>
      <c r="AA39">
        <v>26</v>
      </c>
    </row>
    <row r="40" spans="1:33">
      <c r="A40" s="63" t="s">
        <v>295</v>
      </c>
      <c r="B40" s="63">
        <v>1999</v>
      </c>
      <c r="C40" s="63">
        <v>2000</v>
      </c>
      <c r="D40" s="63">
        <v>2001</v>
      </c>
      <c r="E40" s="63">
        <v>2002</v>
      </c>
      <c r="F40" s="63">
        <v>2003</v>
      </c>
      <c r="G40" s="63">
        <v>2004</v>
      </c>
      <c r="H40" s="63">
        <v>2005</v>
      </c>
      <c r="I40" s="63">
        <v>2006</v>
      </c>
      <c r="J40" s="63">
        <v>2007</v>
      </c>
      <c r="K40" s="63">
        <v>2008</v>
      </c>
      <c r="L40" s="63">
        <v>2009</v>
      </c>
      <c r="M40" s="63">
        <v>2010</v>
      </c>
      <c r="N40" s="63">
        <v>2011</v>
      </c>
      <c r="O40" s="63">
        <v>2012</v>
      </c>
      <c r="P40" s="63">
        <v>2013</v>
      </c>
      <c r="Q40" s="63">
        <v>2014</v>
      </c>
      <c r="R40" s="63">
        <v>2015</v>
      </c>
      <c r="S40" s="63">
        <v>2016</v>
      </c>
      <c r="T40" s="63">
        <v>2017</v>
      </c>
      <c r="U40" s="63">
        <v>2018</v>
      </c>
      <c r="V40" s="63">
        <v>2019</v>
      </c>
      <c r="W40" s="63">
        <v>2020</v>
      </c>
      <c r="X40" s="63">
        <v>2021</v>
      </c>
      <c r="Y40" s="63">
        <v>2022</v>
      </c>
      <c r="Z40" s="63">
        <v>2023</v>
      </c>
      <c r="AA40" s="63">
        <v>2024</v>
      </c>
      <c r="AC40" s="63"/>
      <c r="AD40" s="63"/>
      <c r="AE40" s="63"/>
      <c r="AF40" s="63"/>
      <c r="AG40" s="63"/>
    </row>
    <row r="41" spans="1:33">
      <c r="A41" t="s">
        <v>296</v>
      </c>
      <c r="B41" s="1064">
        <v>0.25119999999999998</v>
      </c>
      <c r="C41" s="1064">
        <v>0.25119999999999998</v>
      </c>
      <c r="D41" s="1064">
        <v>0.25119999999999998</v>
      </c>
      <c r="E41" s="1064">
        <v>0.25119999999999998</v>
      </c>
      <c r="F41" s="1064">
        <v>0.25119999999999998</v>
      </c>
      <c r="G41" s="1064">
        <v>0.25119999999999998</v>
      </c>
      <c r="H41" s="1064">
        <v>0.25119999999999998</v>
      </c>
      <c r="I41" s="1064">
        <v>0.25119999999999998</v>
      </c>
      <c r="J41" s="1064">
        <v>0.25119999999999998</v>
      </c>
      <c r="K41" s="1064">
        <v>0.25119999999999998</v>
      </c>
      <c r="L41" s="1064">
        <v>0.25119999999999998</v>
      </c>
      <c r="M41" s="1064">
        <v>0.25119999999999998</v>
      </c>
      <c r="N41" s="1064">
        <v>0.25119999999999998</v>
      </c>
      <c r="O41" s="1064">
        <v>0.25119999999999998</v>
      </c>
      <c r="P41" s="1064">
        <v>0.25119999999999998</v>
      </c>
      <c r="Q41" s="1064">
        <v>0.25119999999999998</v>
      </c>
      <c r="R41" s="1064">
        <v>0.25119999999999998</v>
      </c>
      <c r="S41" s="1064">
        <v>0.25119999999999998</v>
      </c>
      <c r="T41" s="1064">
        <v>0.25119999999999998</v>
      </c>
      <c r="U41" s="1064">
        <v>0.25119999999999998</v>
      </c>
      <c r="V41" s="1064">
        <v>0.25119999999999998</v>
      </c>
      <c r="W41" s="1064">
        <v>0.25119999999999998</v>
      </c>
      <c r="X41" s="1064">
        <v>0.25119999999999998</v>
      </c>
      <c r="Y41" s="1064">
        <v>0.25119999999999998</v>
      </c>
      <c r="Z41" s="1064">
        <v>0.25119999999999998</v>
      </c>
      <c r="AA41" s="1064">
        <v>0.25119999999999998</v>
      </c>
      <c r="AC41" s="340"/>
      <c r="AD41" s="340"/>
      <c r="AE41" s="340"/>
      <c r="AF41" s="340"/>
      <c r="AG41" s="340"/>
    </row>
    <row r="42" spans="1:33">
      <c r="A42" t="s">
        <v>297</v>
      </c>
      <c r="B42" s="345">
        <v>-0.01</v>
      </c>
      <c r="C42" s="345">
        <f>-0.03</f>
        <v>-0.03</v>
      </c>
      <c r="D42" s="345">
        <f>-0.05</f>
        <v>-0.05</v>
      </c>
      <c r="E42" s="345">
        <f>-7%</f>
        <v>-7.0000000000000007E-2</v>
      </c>
      <c r="F42" s="341">
        <f t="shared" ref="F42:AA42" si="3">$E$42</f>
        <v>-7.0000000000000007E-2</v>
      </c>
      <c r="G42" s="341">
        <f t="shared" si="3"/>
        <v>-7.0000000000000007E-2</v>
      </c>
      <c r="H42" s="341">
        <f t="shared" si="3"/>
        <v>-7.0000000000000007E-2</v>
      </c>
      <c r="I42" s="341">
        <f t="shared" si="3"/>
        <v>-7.0000000000000007E-2</v>
      </c>
      <c r="J42" s="341">
        <f t="shared" si="3"/>
        <v>-7.0000000000000007E-2</v>
      </c>
      <c r="K42" s="341">
        <f t="shared" si="3"/>
        <v>-7.0000000000000007E-2</v>
      </c>
      <c r="L42" s="341">
        <f t="shared" si="3"/>
        <v>-7.0000000000000007E-2</v>
      </c>
      <c r="M42" s="341">
        <f t="shared" si="3"/>
        <v>-7.0000000000000007E-2</v>
      </c>
      <c r="N42" s="341">
        <f t="shared" si="3"/>
        <v>-7.0000000000000007E-2</v>
      </c>
      <c r="O42" s="341">
        <f t="shared" si="3"/>
        <v>-7.0000000000000007E-2</v>
      </c>
      <c r="P42" s="341">
        <f t="shared" si="3"/>
        <v>-7.0000000000000007E-2</v>
      </c>
      <c r="Q42" s="341">
        <f t="shared" si="3"/>
        <v>-7.0000000000000007E-2</v>
      </c>
      <c r="R42" s="341">
        <f t="shared" si="3"/>
        <v>-7.0000000000000007E-2</v>
      </c>
      <c r="S42" s="341">
        <f t="shared" si="3"/>
        <v>-7.0000000000000007E-2</v>
      </c>
      <c r="T42" s="341">
        <f t="shared" si="3"/>
        <v>-7.0000000000000007E-2</v>
      </c>
      <c r="U42" s="341">
        <f t="shared" si="3"/>
        <v>-7.0000000000000007E-2</v>
      </c>
      <c r="V42" s="341">
        <f t="shared" si="3"/>
        <v>-7.0000000000000007E-2</v>
      </c>
      <c r="W42" s="341">
        <f t="shared" si="3"/>
        <v>-7.0000000000000007E-2</v>
      </c>
      <c r="X42" s="341">
        <f t="shared" si="3"/>
        <v>-7.0000000000000007E-2</v>
      </c>
      <c r="Y42" s="341">
        <f t="shared" si="3"/>
        <v>-7.0000000000000007E-2</v>
      </c>
      <c r="Z42" s="341">
        <f t="shared" si="3"/>
        <v>-7.0000000000000007E-2</v>
      </c>
      <c r="AA42" s="341">
        <f t="shared" si="3"/>
        <v>-7.0000000000000007E-2</v>
      </c>
      <c r="AC42" s="340"/>
      <c r="AD42" s="340"/>
      <c r="AE42" s="340"/>
      <c r="AF42" s="340"/>
      <c r="AG42" s="340"/>
    </row>
    <row r="43" spans="1:33">
      <c r="A43" t="s">
        <v>298</v>
      </c>
      <c r="B43" s="347">
        <f t="shared" ref="B43:AA43" si="4">SUM(B41:B42)</f>
        <v>0.24119999999999997</v>
      </c>
      <c r="C43" s="344">
        <f t="shared" si="4"/>
        <v>0.22119999999999998</v>
      </c>
      <c r="D43" s="344">
        <f t="shared" si="4"/>
        <v>0.20119999999999999</v>
      </c>
      <c r="E43" s="344">
        <f t="shared" si="4"/>
        <v>0.18119999999999997</v>
      </c>
      <c r="F43" s="344">
        <f t="shared" si="4"/>
        <v>0.18119999999999997</v>
      </c>
      <c r="G43" s="344">
        <f t="shared" si="4"/>
        <v>0.18119999999999997</v>
      </c>
      <c r="H43" s="344">
        <f t="shared" si="4"/>
        <v>0.18119999999999997</v>
      </c>
      <c r="I43" s="344">
        <f t="shared" si="4"/>
        <v>0.18119999999999997</v>
      </c>
      <c r="J43" s="344">
        <f t="shared" si="4"/>
        <v>0.18119999999999997</v>
      </c>
      <c r="K43" s="344">
        <f t="shared" si="4"/>
        <v>0.18119999999999997</v>
      </c>
      <c r="L43" s="344">
        <f t="shared" si="4"/>
        <v>0.18119999999999997</v>
      </c>
      <c r="M43" s="344">
        <f t="shared" si="4"/>
        <v>0.18119999999999997</v>
      </c>
      <c r="N43" s="344">
        <f t="shared" si="4"/>
        <v>0.18119999999999997</v>
      </c>
      <c r="O43" s="344">
        <f t="shared" si="4"/>
        <v>0.18119999999999997</v>
      </c>
      <c r="P43" s="344">
        <f t="shared" si="4"/>
        <v>0.18119999999999997</v>
      </c>
      <c r="Q43" s="344">
        <f t="shared" si="4"/>
        <v>0.18119999999999997</v>
      </c>
      <c r="R43" s="344">
        <f t="shared" si="4"/>
        <v>0.18119999999999997</v>
      </c>
      <c r="S43" s="344">
        <f t="shared" si="4"/>
        <v>0.18119999999999997</v>
      </c>
      <c r="T43" s="344">
        <f t="shared" si="4"/>
        <v>0.18119999999999997</v>
      </c>
      <c r="U43" s="344">
        <f t="shared" si="4"/>
        <v>0.18119999999999997</v>
      </c>
      <c r="V43" s="344">
        <f t="shared" si="4"/>
        <v>0.18119999999999997</v>
      </c>
      <c r="W43" s="344">
        <f t="shared" si="4"/>
        <v>0.18119999999999997</v>
      </c>
      <c r="X43" s="344">
        <f t="shared" si="4"/>
        <v>0.18119999999999997</v>
      </c>
      <c r="Y43" s="344">
        <f t="shared" si="4"/>
        <v>0.18119999999999997</v>
      </c>
      <c r="Z43" s="344">
        <f t="shared" si="4"/>
        <v>0.18119999999999997</v>
      </c>
      <c r="AA43" s="344">
        <f t="shared" si="4"/>
        <v>0.18119999999999997</v>
      </c>
      <c r="AC43" s="20"/>
      <c r="AD43" s="20"/>
      <c r="AE43" s="20"/>
      <c r="AF43" s="20"/>
      <c r="AG43" s="20"/>
    </row>
    <row r="44" spans="1:33">
      <c r="A44" t="s">
        <v>188</v>
      </c>
      <c r="B44" s="345">
        <v>0.04</v>
      </c>
      <c r="C44" s="341">
        <f t="shared" ref="C44:AA44" si="5">$B$44</f>
        <v>0.04</v>
      </c>
      <c r="D44" s="341">
        <f t="shared" si="5"/>
        <v>0.04</v>
      </c>
      <c r="E44" s="341">
        <f t="shared" si="5"/>
        <v>0.04</v>
      </c>
      <c r="F44" s="341">
        <f t="shared" si="5"/>
        <v>0.04</v>
      </c>
      <c r="G44" s="341">
        <f t="shared" si="5"/>
        <v>0.04</v>
      </c>
      <c r="H44" s="341">
        <f t="shared" si="5"/>
        <v>0.04</v>
      </c>
      <c r="I44" s="341">
        <f t="shared" si="5"/>
        <v>0.04</v>
      </c>
      <c r="J44" s="341">
        <f t="shared" si="5"/>
        <v>0.04</v>
      </c>
      <c r="K44" s="341">
        <f t="shared" si="5"/>
        <v>0.04</v>
      </c>
      <c r="L44" s="341">
        <f t="shared" si="5"/>
        <v>0.04</v>
      </c>
      <c r="M44" s="341">
        <f t="shared" si="5"/>
        <v>0.04</v>
      </c>
      <c r="N44" s="341">
        <f t="shared" si="5"/>
        <v>0.04</v>
      </c>
      <c r="O44" s="341">
        <f t="shared" si="5"/>
        <v>0.04</v>
      </c>
      <c r="P44" s="341">
        <f t="shared" si="5"/>
        <v>0.04</v>
      </c>
      <c r="Q44" s="341">
        <f t="shared" si="5"/>
        <v>0.04</v>
      </c>
      <c r="R44" s="341">
        <f t="shared" si="5"/>
        <v>0.04</v>
      </c>
      <c r="S44" s="341">
        <f t="shared" si="5"/>
        <v>0.04</v>
      </c>
      <c r="T44" s="341">
        <f t="shared" si="5"/>
        <v>0.04</v>
      </c>
      <c r="U44" s="341">
        <f t="shared" si="5"/>
        <v>0.04</v>
      </c>
      <c r="V44" s="341">
        <f t="shared" si="5"/>
        <v>0.04</v>
      </c>
      <c r="W44" s="341">
        <f t="shared" si="5"/>
        <v>0.04</v>
      </c>
      <c r="X44" s="341">
        <f t="shared" si="5"/>
        <v>0.04</v>
      </c>
      <c r="Y44" s="341">
        <f t="shared" si="5"/>
        <v>0.04</v>
      </c>
      <c r="Z44" s="341">
        <f t="shared" si="5"/>
        <v>0.04</v>
      </c>
      <c r="AA44" s="341">
        <f t="shared" si="5"/>
        <v>0.04</v>
      </c>
    </row>
    <row r="45" spans="1:33">
      <c r="A45" t="s">
        <v>301</v>
      </c>
      <c r="B45" s="367">
        <v>2.2499999999999998E-3</v>
      </c>
      <c r="C45" s="367">
        <f t="shared" ref="C45:AA45" si="6">$B$45</f>
        <v>2.2499999999999998E-3</v>
      </c>
      <c r="D45" s="365">
        <f t="shared" si="6"/>
        <v>2.2499999999999998E-3</v>
      </c>
      <c r="E45" s="365">
        <f t="shared" si="6"/>
        <v>2.2499999999999998E-3</v>
      </c>
      <c r="F45" s="365">
        <f t="shared" si="6"/>
        <v>2.2499999999999998E-3</v>
      </c>
      <c r="G45" s="365">
        <f t="shared" si="6"/>
        <v>2.2499999999999998E-3</v>
      </c>
      <c r="H45" s="365">
        <f t="shared" si="6"/>
        <v>2.2499999999999998E-3</v>
      </c>
      <c r="I45" s="365">
        <f t="shared" si="6"/>
        <v>2.2499999999999998E-3</v>
      </c>
      <c r="J45" s="365">
        <f t="shared" si="6"/>
        <v>2.2499999999999998E-3</v>
      </c>
      <c r="K45" s="365">
        <f t="shared" si="6"/>
        <v>2.2499999999999998E-3</v>
      </c>
      <c r="L45" s="365">
        <f t="shared" si="6"/>
        <v>2.2499999999999998E-3</v>
      </c>
      <c r="M45" s="365">
        <f t="shared" si="6"/>
        <v>2.2499999999999998E-3</v>
      </c>
      <c r="N45" s="365">
        <f t="shared" si="6"/>
        <v>2.2499999999999998E-3</v>
      </c>
      <c r="O45" s="365">
        <f t="shared" si="6"/>
        <v>2.2499999999999998E-3</v>
      </c>
      <c r="P45" s="365">
        <f t="shared" si="6"/>
        <v>2.2499999999999998E-3</v>
      </c>
      <c r="Q45" s="365">
        <f t="shared" si="6"/>
        <v>2.2499999999999998E-3</v>
      </c>
      <c r="R45" s="365">
        <f t="shared" si="6"/>
        <v>2.2499999999999998E-3</v>
      </c>
      <c r="S45" s="365">
        <f t="shared" si="6"/>
        <v>2.2499999999999998E-3</v>
      </c>
      <c r="T45" s="365">
        <f t="shared" si="6"/>
        <v>2.2499999999999998E-3</v>
      </c>
      <c r="U45" s="365">
        <f t="shared" si="6"/>
        <v>2.2499999999999998E-3</v>
      </c>
      <c r="V45" s="365">
        <f t="shared" si="6"/>
        <v>2.2499999999999998E-3</v>
      </c>
      <c r="W45" s="365">
        <f t="shared" si="6"/>
        <v>2.2499999999999998E-3</v>
      </c>
      <c r="X45" s="365">
        <f t="shared" si="6"/>
        <v>2.2499999999999998E-3</v>
      </c>
      <c r="Y45" s="365">
        <f t="shared" si="6"/>
        <v>2.2499999999999998E-3</v>
      </c>
      <c r="Z45" s="365">
        <f t="shared" si="6"/>
        <v>2.2499999999999998E-3</v>
      </c>
      <c r="AA45" s="365">
        <f t="shared" si="6"/>
        <v>2.2499999999999998E-3</v>
      </c>
      <c r="AB45" s="365"/>
    </row>
    <row r="46" spans="1:33">
      <c r="B46" s="367"/>
      <c r="C46" s="367"/>
      <c r="D46" s="365"/>
      <c r="E46" s="365"/>
      <c r="F46" s="365"/>
      <c r="G46" s="365"/>
      <c r="H46" s="365"/>
      <c r="I46" s="365"/>
      <c r="J46" s="365"/>
      <c r="K46" s="365"/>
      <c r="L46" s="365"/>
      <c r="M46" s="365"/>
      <c r="N46" s="365"/>
      <c r="O46" s="365"/>
      <c r="P46" s="365"/>
      <c r="Q46" s="365"/>
      <c r="R46" s="365"/>
      <c r="S46" s="365"/>
      <c r="T46" s="365"/>
      <c r="U46" s="365"/>
      <c r="V46" s="365"/>
      <c r="W46" s="365"/>
      <c r="X46" s="365"/>
      <c r="Y46" s="365"/>
      <c r="Z46" s="365"/>
      <c r="AA46" s="365"/>
      <c r="AB46" s="365"/>
    </row>
    <row r="47" spans="1:33">
      <c r="A47" s="63" t="s">
        <v>353</v>
      </c>
      <c r="B47" s="375">
        <v>2</v>
      </c>
      <c r="C47" s="367"/>
      <c r="D47" s="365"/>
      <c r="E47" s="365"/>
      <c r="F47" s="365"/>
      <c r="G47" s="365"/>
      <c r="H47" s="365"/>
      <c r="I47" s="365"/>
      <c r="J47" s="365"/>
      <c r="K47" s="365"/>
      <c r="L47" s="365"/>
      <c r="M47" s="365"/>
      <c r="N47" s="365"/>
      <c r="O47" s="365"/>
      <c r="P47" s="365"/>
      <c r="Q47" s="365"/>
      <c r="R47" s="365"/>
      <c r="S47" s="365"/>
      <c r="T47" s="365"/>
      <c r="U47" s="365"/>
      <c r="V47" s="365"/>
      <c r="W47" s="365"/>
      <c r="X47" s="365"/>
      <c r="Y47" s="365"/>
      <c r="Z47" s="365"/>
      <c r="AA47" s="365"/>
      <c r="AB47" s="365"/>
    </row>
    <row r="48" spans="1:33">
      <c r="A48">
        <v>1</v>
      </c>
      <c r="B48" s="367" t="s">
        <v>300</v>
      </c>
      <c r="C48" s="367"/>
      <c r="D48" s="365"/>
      <c r="E48" s="365"/>
      <c r="F48" s="365"/>
      <c r="G48" s="365"/>
      <c r="H48" s="365"/>
      <c r="I48" s="754"/>
      <c r="J48" s="754"/>
      <c r="K48" s="365"/>
      <c r="L48" s="365"/>
      <c r="M48" s="365"/>
      <c r="N48" s="365"/>
      <c r="O48" s="365"/>
      <c r="P48" s="365"/>
      <c r="Q48" s="365"/>
      <c r="R48" s="365"/>
      <c r="S48" s="365"/>
      <c r="T48" s="365"/>
      <c r="U48" s="365"/>
      <c r="V48" s="365"/>
      <c r="W48" s="365"/>
      <c r="X48" s="365"/>
      <c r="Y48" s="365"/>
      <c r="Z48" s="365"/>
      <c r="AA48" s="365"/>
      <c r="AB48" s="365"/>
    </row>
    <row r="49" spans="1:33">
      <c r="A49">
        <v>2</v>
      </c>
      <c r="B49" t="s">
        <v>354</v>
      </c>
    </row>
    <row r="50" spans="1:33">
      <c r="A50" s="63" t="s">
        <v>284</v>
      </c>
      <c r="B50" t="str">
        <f>INDEX(B48:B49,B47)</f>
        <v>Ontario</v>
      </c>
    </row>
    <row r="51" spans="1:33">
      <c r="A51" s="63"/>
    </row>
    <row r="52" spans="1:33">
      <c r="A52" s="63" t="s">
        <v>340</v>
      </c>
    </row>
    <row r="53" spans="1:33">
      <c r="A53" t="s">
        <v>299</v>
      </c>
      <c r="B53" s="346">
        <v>0.155</v>
      </c>
      <c r="C53" s="344">
        <f>$B$53</f>
        <v>0.155</v>
      </c>
      <c r="D53" s="344">
        <f>$B$53</f>
        <v>0.155</v>
      </c>
      <c r="E53" s="344">
        <v>0.14499999999999999</v>
      </c>
      <c r="F53" s="344">
        <f t="shared" ref="F53:AA53" si="7">$E$53</f>
        <v>0.14499999999999999</v>
      </c>
      <c r="G53" s="344">
        <f t="shared" si="7"/>
        <v>0.14499999999999999</v>
      </c>
      <c r="H53" s="344">
        <f t="shared" si="7"/>
        <v>0.14499999999999999</v>
      </c>
      <c r="I53" s="344">
        <f t="shared" si="7"/>
        <v>0.14499999999999999</v>
      </c>
      <c r="J53" s="344">
        <f t="shared" si="7"/>
        <v>0.14499999999999999</v>
      </c>
      <c r="K53" s="344">
        <f t="shared" si="7"/>
        <v>0.14499999999999999</v>
      </c>
      <c r="L53" s="344">
        <f t="shared" si="7"/>
        <v>0.14499999999999999</v>
      </c>
      <c r="M53" s="344">
        <f t="shared" si="7"/>
        <v>0.14499999999999999</v>
      </c>
      <c r="N53" s="344">
        <f t="shared" si="7"/>
        <v>0.14499999999999999</v>
      </c>
      <c r="O53" s="344">
        <f t="shared" si="7"/>
        <v>0.14499999999999999</v>
      </c>
      <c r="P53" s="344">
        <f t="shared" si="7"/>
        <v>0.14499999999999999</v>
      </c>
      <c r="Q53" s="344">
        <f t="shared" si="7"/>
        <v>0.14499999999999999</v>
      </c>
      <c r="R53" s="344">
        <f t="shared" si="7"/>
        <v>0.14499999999999999</v>
      </c>
      <c r="S53" s="344">
        <f t="shared" si="7"/>
        <v>0.14499999999999999</v>
      </c>
      <c r="T53" s="344">
        <f t="shared" si="7"/>
        <v>0.14499999999999999</v>
      </c>
      <c r="U53" s="344">
        <f t="shared" si="7"/>
        <v>0.14499999999999999</v>
      </c>
      <c r="V53" s="344">
        <f t="shared" si="7"/>
        <v>0.14499999999999999</v>
      </c>
      <c r="W53" s="344">
        <f t="shared" si="7"/>
        <v>0.14499999999999999</v>
      </c>
      <c r="X53" s="344">
        <f t="shared" si="7"/>
        <v>0.14499999999999999</v>
      </c>
      <c r="Y53" s="344">
        <f t="shared" si="7"/>
        <v>0.14499999999999999</v>
      </c>
      <c r="Z53" s="344">
        <f t="shared" si="7"/>
        <v>0.14499999999999999</v>
      </c>
      <c r="AA53" s="344">
        <f t="shared" si="7"/>
        <v>0.14499999999999999</v>
      </c>
      <c r="AC53" s="20"/>
      <c r="AD53" s="20"/>
      <c r="AE53" s="20"/>
      <c r="AF53" s="20"/>
      <c r="AG53" s="20"/>
    </row>
    <row r="54" spans="1:33">
      <c r="A54" t="s">
        <v>343</v>
      </c>
      <c r="B54" s="371">
        <v>0</v>
      </c>
      <c r="C54" s="344">
        <f t="shared" ref="C54:AA54" si="8">$B$54</f>
        <v>0</v>
      </c>
      <c r="D54" s="344">
        <f t="shared" si="8"/>
        <v>0</v>
      </c>
      <c r="E54" s="344">
        <f t="shared" si="8"/>
        <v>0</v>
      </c>
      <c r="F54" s="344">
        <f t="shared" si="8"/>
        <v>0</v>
      </c>
      <c r="G54" s="344">
        <f t="shared" si="8"/>
        <v>0</v>
      </c>
      <c r="H54" s="344">
        <f t="shared" si="8"/>
        <v>0</v>
      </c>
      <c r="I54" s="344">
        <f t="shared" si="8"/>
        <v>0</v>
      </c>
      <c r="J54" s="344">
        <f t="shared" si="8"/>
        <v>0</v>
      </c>
      <c r="K54" s="344">
        <f t="shared" si="8"/>
        <v>0</v>
      </c>
      <c r="L54" s="344">
        <f t="shared" si="8"/>
        <v>0</v>
      </c>
      <c r="M54" s="344">
        <f t="shared" si="8"/>
        <v>0</v>
      </c>
      <c r="N54" s="344">
        <f t="shared" si="8"/>
        <v>0</v>
      </c>
      <c r="O54" s="344">
        <f t="shared" si="8"/>
        <v>0</v>
      </c>
      <c r="P54" s="344">
        <f t="shared" si="8"/>
        <v>0</v>
      </c>
      <c r="Q54" s="344">
        <f t="shared" si="8"/>
        <v>0</v>
      </c>
      <c r="R54" s="344">
        <f t="shared" si="8"/>
        <v>0</v>
      </c>
      <c r="S54" s="344">
        <f t="shared" si="8"/>
        <v>0</v>
      </c>
      <c r="T54" s="344">
        <f t="shared" si="8"/>
        <v>0</v>
      </c>
      <c r="U54" s="344">
        <f t="shared" si="8"/>
        <v>0</v>
      </c>
      <c r="V54" s="344">
        <f t="shared" si="8"/>
        <v>0</v>
      </c>
      <c r="W54" s="344">
        <f t="shared" si="8"/>
        <v>0</v>
      </c>
      <c r="X54" s="344">
        <f t="shared" si="8"/>
        <v>0</v>
      </c>
      <c r="Y54" s="344">
        <f t="shared" si="8"/>
        <v>0</v>
      </c>
      <c r="Z54" s="344">
        <f t="shared" si="8"/>
        <v>0</v>
      </c>
      <c r="AA54" s="344">
        <f t="shared" si="8"/>
        <v>0</v>
      </c>
      <c r="AC54" s="20"/>
      <c r="AD54" s="20"/>
      <c r="AE54" s="20"/>
      <c r="AF54" s="20"/>
      <c r="AG54" s="20"/>
    </row>
    <row r="55" spans="1:33">
      <c r="A55" t="s">
        <v>342</v>
      </c>
      <c r="B55" s="371">
        <v>0</v>
      </c>
      <c r="C55" s="344">
        <f t="shared" ref="C55:AA55" si="9">$B$55</f>
        <v>0</v>
      </c>
      <c r="D55" s="344">
        <f t="shared" si="9"/>
        <v>0</v>
      </c>
      <c r="E55" s="344">
        <f t="shared" si="9"/>
        <v>0</v>
      </c>
      <c r="F55" s="344">
        <f t="shared" si="9"/>
        <v>0</v>
      </c>
      <c r="G55" s="344">
        <f t="shared" si="9"/>
        <v>0</v>
      </c>
      <c r="H55" s="344">
        <f t="shared" si="9"/>
        <v>0</v>
      </c>
      <c r="I55" s="344">
        <f t="shared" si="9"/>
        <v>0</v>
      </c>
      <c r="J55" s="344">
        <f t="shared" si="9"/>
        <v>0</v>
      </c>
      <c r="K55" s="344">
        <f t="shared" si="9"/>
        <v>0</v>
      </c>
      <c r="L55" s="344">
        <f t="shared" si="9"/>
        <v>0</v>
      </c>
      <c r="M55" s="344">
        <f t="shared" si="9"/>
        <v>0</v>
      </c>
      <c r="N55" s="344">
        <f t="shared" si="9"/>
        <v>0</v>
      </c>
      <c r="O55" s="344">
        <f t="shared" si="9"/>
        <v>0</v>
      </c>
      <c r="P55" s="344">
        <f t="shared" si="9"/>
        <v>0</v>
      </c>
      <c r="Q55" s="344">
        <f t="shared" si="9"/>
        <v>0</v>
      </c>
      <c r="R55" s="344">
        <f t="shared" si="9"/>
        <v>0</v>
      </c>
      <c r="S55" s="344">
        <f t="shared" si="9"/>
        <v>0</v>
      </c>
      <c r="T55" s="344">
        <f t="shared" si="9"/>
        <v>0</v>
      </c>
      <c r="U55" s="344">
        <f t="shared" si="9"/>
        <v>0</v>
      </c>
      <c r="V55" s="344">
        <f t="shared" si="9"/>
        <v>0</v>
      </c>
      <c r="W55" s="344">
        <f t="shared" si="9"/>
        <v>0</v>
      </c>
      <c r="X55" s="344">
        <f t="shared" si="9"/>
        <v>0</v>
      </c>
      <c r="Y55" s="344">
        <f t="shared" si="9"/>
        <v>0</v>
      </c>
      <c r="Z55" s="344">
        <f t="shared" si="9"/>
        <v>0</v>
      </c>
      <c r="AA55" s="344">
        <f t="shared" si="9"/>
        <v>0</v>
      </c>
      <c r="AC55" s="20"/>
      <c r="AD55" s="20"/>
      <c r="AE55" s="20"/>
      <c r="AF55" s="20"/>
      <c r="AG55" s="20"/>
    </row>
    <row r="57" spans="1:33">
      <c r="A57" s="63" t="s">
        <v>341</v>
      </c>
    </row>
    <row r="58" spans="1:33">
      <c r="A58" t="s">
        <v>299</v>
      </c>
      <c r="B58" s="366">
        <v>0.155</v>
      </c>
      <c r="C58" s="341">
        <f>B58</f>
        <v>0.155</v>
      </c>
      <c r="D58" s="341">
        <f>B58</f>
        <v>0.155</v>
      </c>
      <c r="E58" s="345">
        <v>0.13500000000000001</v>
      </c>
      <c r="F58" s="344">
        <f t="shared" ref="F58:AA58" si="10">$E$58</f>
        <v>0.13500000000000001</v>
      </c>
      <c r="G58" s="344">
        <f t="shared" si="10"/>
        <v>0.13500000000000001</v>
      </c>
      <c r="H58" s="344">
        <f t="shared" si="10"/>
        <v>0.13500000000000001</v>
      </c>
      <c r="I58" s="344">
        <f t="shared" si="10"/>
        <v>0.13500000000000001</v>
      </c>
      <c r="J58" s="344">
        <f t="shared" si="10"/>
        <v>0.13500000000000001</v>
      </c>
      <c r="K58" s="344">
        <f t="shared" si="10"/>
        <v>0.13500000000000001</v>
      </c>
      <c r="L58" s="344">
        <f t="shared" si="10"/>
        <v>0.13500000000000001</v>
      </c>
      <c r="M58" s="344">
        <f t="shared" si="10"/>
        <v>0.13500000000000001</v>
      </c>
      <c r="N58" s="344">
        <f t="shared" si="10"/>
        <v>0.13500000000000001</v>
      </c>
      <c r="O58" s="344">
        <f t="shared" si="10"/>
        <v>0.13500000000000001</v>
      </c>
      <c r="P58" s="344">
        <f t="shared" si="10"/>
        <v>0.13500000000000001</v>
      </c>
      <c r="Q58" s="344">
        <f t="shared" si="10"/>
        <v>0.13500000000000001</v>
      </c>
      <c r="R58" s="344">
        <f t="shared" si="10"/>
        <v>0.13500000000000001</v>
      </c>
      <c r="S58" s="344">
        <f t="shared" si="10"/>
        <v>0.13500000000000001</v>
      </c>
      <c r="T58" s="344">
        <f t="shared" si="10"/>
        <v>0.13500000000000001</v>
      </c>
      <c r="U58" s="344">
        <f t="shared" si="10"/>
        <v>0.13500000000000001</v>
      </c>
      <c r="V58" s="344">
        <f t="shared" si="10"/>
        <v>0.13500000000000001</v>
      </c>
      <c r="W58" s="344">
        <f t="shared" si="10"/>
        <v>0.13500000000000001</v>
      </c>
      <c r="X58" s="344">
        <f t="shared" si="10"/>
        <v>0.13500000000000001</v>
      </c>
      <c r="Y58" s="344">
        <f t="shared" si="10"/>
        <v>0.13500000000000001</v>
      </c>
      <c r="Z58" s="344">
        <f t="shared" si="10"/>
        <v>0.13500000000000001</v>
      </c>
      <c r="AA58" s="344">
        <f t="shared" si="10"/>
        <v>0.13500000000000001</v>
      </c>
      <c r="AB58" s="344"/>
    </row>
    <row r="59" spans="1:33">
      <c r="A59" t="s">
        <v>343</v>
      </c>
      <c r="B59" s="366">
        <v>3.0000000000000001E-3</v>
      </c>
      <c r="C59" s="341">
        <f t="shared" ref="C59:AA59" si="11">$B$59</f>
        <v>3.0000000000000001E-3</v>
      </c>
      <c r="D59" s="341">
        <f t="shared" si="11"/>
        <v>3.0000000000000001E-3</v>
      </c>
      <c r="E59" s="341">
        <f t="shared" si="11"/>
        <v>3.0000000000000001E-3</v>
      </c>
      <c r="F59" s="341">
        <f t="shared" si="11"/>
        <v>3.0000000000000001E-3</v>
      </c>
      <c r="G59" s="341">
        <f t="shared" si="11"/>
        <v>3.0000000000000001E-3</v>
      </c>
      <c r="H59" s="341">
        <f t="shared" si="11"/>
        <v>3.0000000000000001E-3</v>
      </c>
      <c r="I59" s="341">
        <f t="shared" si="11"/>
        <v>3.0000000000000001E-3</v>
      </c>
      <c r="J59" s="341">
        <f t="shared" si="11"/>
        <v>3.0000000000000001E-3</v>
      </c>
      <c r="K59" s="341">
        <f t="shared" si="11"/>
        <v>3.0000000000000001E-3</v>
      </c>
      <c r="L59" s="341">
        <f t="shared" si="11"/>
        <v>3.0000000000000001E-3</v>
      </c>
      <c r="M59" s="341">
        <f t="shared" si="11"/>
        <v>3.0000000000000001E-3</v>
      </c>
      <c r="N59" s="341">
        <f t="shared" si="11"/>
        <v>3.0000000000000001E-3</v>
      </c>
      <c r="O59" s="341">
        <f t="shared" si="11"/>
        <v>3.0000000000000001E-3</v>
      </c>
      <c r="P59" s="341">
        <f t="shared" si="11"/>
        <v>3.0000000000000001E-3</v>
      </c>
      <c r="Q59" s="341">
        <f t="shared" si="11"/>
        <v>3.0000000000000001E-3</v>
      </c>
      <c r="R59" s="341">
        <f t="shared" si="11"/>
        <v>3.0000000000000001E-3</v>
      </c>
      <c r="S59" s="341">
        <f t="shared" si="11"/>
        <v>3.0000000000000001E-3</v>
      </c>
      <c r="T59" s="341">
        <f t="shared" si="11"/>
        <v>3.0000000000000001E-3</v>
      </c>
      <c r="U59" s="341">
        <f t="shared" si="11"/>
        <v>3.0000000000000001E-3</v>
      </c>
      <c r="V59" s="341">
        <f t="shared" si="11"/>
        <v>3.0000000000000001E-3</v>
      </c>
      <c r="W59" s="341">
        <f t="shared" si="11"/>
        <v>3.0000000000000001E-3</v>
      </c>
      <c r="X59" s="341">
        <f t="shared" si="11"/>
        <v>3.0000000000000001E-3</v>
      </c>
      <c r="Y59" s="341">
        <f t="shared" si="11"/>
        <v>3.0000000000000001E-3</v>
      </c>
      <c r="Z59" s="341">
        <f t="shared" si="11"/>
        <v>3.0000000000000001E-3</v>
      </c>
      <c r="AA59" s="341">
        <f t="shared" si="11"/>
        <v>3.0000000000000001E-3</v>
      </c>
      <c r="AB59" s="344"/>
    </row>
    <row r="60" spans="1:33">
      <c r="A60" t="s">
        <v>342</v>
      </c>
      <c r="B60" s="366">
        <v>0.04</v>
      </c>
      <c r="C60" s="341">
        <f t="shared" ref="C60:AA60" si="12">$B$60</f>
        <v>0.04</v>
      </c>
      <c r="D60" s="341">
        <f t="shared" si="12"/>
        <v>0.04</v>
      </c>
      <c r="E60" s="341">
        <f t="shared" si="12"/>
        <v>0.04</v>
      </c>
      <c r="F60" s="341">
        <f t="shared" si="12"/>
        <v>0.04</v>
      </c>
      <c r="G60" s="341">
        <f t="shared" si="12"/>
        <v>0.04</v>
      </c>
      <c r="H60" s="341">
        <f t="shared" si="12"/>
        <v>0.04</v>
      </c>
      <c r="I60" s="341">
        <f t="shared" si="12"/>
        <v>0.04</v>
      </c>
      <c r="J60" s="341">
        <f t="shared" si="12"/>
        <v>0.04</v>
      </c>
      <c r="K60" s="341">
        <f t="shared" si="12"/>
        <v>0.04</v>
      </c>
      <c r="L60" s="341">
        <f t="shared" si="12"/>
        <v>0.04</v>
      </c>
      <c r="M60" s="341">
        <f t="shared" si="12"/>
        <v>0.04</v>
      </c>
      <c r="N60" s="341">
        <f t="shared" si="12"/>
        <v>0.04</v>
      </c>
      <c r="O60" s="341">
        <f t="shared" si="12"/>
        <v>0.04</v>
      </c>
      <c r="P60" s="341">
        <f t="shared" si="12"/>
        <v>0.04</v>
      </c>
      <c r="Q60" s="341">
        <f t="shared" si="12"/>
        <v>0.04</v>
      </c>
      <c r="R60" s="341">
        <f t="shared" si="12"/>
        <v>0.04</v>
      </c>
      <c r="S60" s="341">
        <f t="shared" si="12"/>
        <v>0.04</v>
      </c>
      <c r="T60" s="341">
        <f t="shared" si="12"/>
        <v>0.04</v>
      </c>
      <c r="U60" s="341">
        <f t="shared" si="12"/>
        <v>0.04</v>
      </c>
      <c r="V60" s="341">
        <f t="shared" si="12"/>
        <v>0.04</v>
      </c>
      <c r="W60" s="341">
        <f t="shared" si="12"/>
        <v>0.04</v>
      </c>
      <c r="X60" s="341">
        <f t="shared" si="12"/>
        <v>0.04</v>
      </c>
      <c r="Y60" s="341">
        <f t="shared" si="12"/>
        <v>0.04</v>
      </c>
      <c r="Z60" s="341">
        <f t="shared" si="12"/>
        <v>0.04</v>
      </c>
      <c r="AA60" s="341">
        <f t="shared" si="12"/>
        <v>0.04</v>
      </c>
      <c r="AB60" s="344"/>
    </row>
    <row r="61" spans="1:33" s="43" customFormat="1">
      <c r="B61" s="369"/>
      <c r="C61" s="369"/>
      <c r="D61" s="369"/>
      <c r="E61" s="369"/>
      <c r="F61" s="369"/>
      <c r="G61" s="369"/>
      <c r="H61" s="369"/>
      <c r="I61" s="369"/>
      <c r="J61" s="369"/>
      <c r="K61" s="369"/>
      <c r="L61" s="369"/>
      <c r="M61" s="369"/>
      <c r="N61" s="369"/>
      <c r="O61" s="369"/>
      <c r="P61" s="369"/>
      <c r="Q61" s="369"/>
      <c r="R61" s="369"/>
      <c r="S61" s="369"/>
      <c r="T61" s="369"/>
      <c r="U61" s="369"/>
      <c r="V61" s="369"/>
      <c r="W61" s="369"/>
      <c r="X61" s="369"/>
      <c r="Y61" s="369"/>
      <c r="Z61" s="369"/>
      <c r="AA61" s="369"/>
      <c r="AB61" s="369"/>
    </row>
    <row r="62" spans="1:33" s="43" customFormat="1">
      <c r="B62" s="63">
        <f t="shared" ref="B62:AA62" si="13">B40</f>
        <v>1999</v>
      </c>
      <c r="C62" s="63">
        <f t="shared" si="13"/>
        <v>2000</v>
      </c>
      <c r="D62" s="63">
        <f t="shared" si="13"/>
        <v>2001</v>
      </c>
      <c r="E62" s="63">
        <f t="shared" si="13"/>
        <v>2002</v>
      </c>
      <c r="F62" s="63">
        <f t="shared" si="13"/>
        <v>2003</v>
      </c>
      <c r="G62" s="63">
        <f t="shared" si="13"/>
        <v>2004</v>
      </c>
      <c r="H62" s="63">
        <f t="shared" si="13"/>
        <v>2005</v>
      </c>
      <c r="I62" s="63">
        <f t="shared" si="13"/>
        <v>2006</v>
      </c>
      <c r="J62" s="63">
        <f t="shared" si="13"/>
        <v>2007</v>
      </c>
      <c r="K62" s="63">
        <f t="shared" si="13"/>
        <v>2008</v>
      </c>
      <c r="L62" s="63">
        <f t="shared" si="13"/>
        <v>2009</v>
      </c>
      <c r="M62" s="63">
        <f t="shared" si="13"/>
        <v>2010</v>
      </c>
      <c r="N62" s="63">
        <f t="shared" si="13"/>
        <v>2011</v>
      </c>
      <c r="O62" s="63">
        <f t="shared" si="13"/>
        <v>2012</v>
      </c>
      <c r="P62" s="63">
        <f t="shared" si="13"/>
        <v>2013</v>
      </c>
      <c r="Q62" s="63">
        <f t="shared" si="13"/>
        <v>2014</v>
      </c>
      <c r="R62" s="63">
        <f t="shared" si="13"/>
        <v>2015</v>
      </c>
      <c r="S62" s="63">
        <f t="shared" si="13"/>
        <v>2016</v>
      </c>
      <c r="T62" s="63">
        <f t="shared" si="13"/>
        <v>2017</v>
      </c>
      <c r="U62" s="63">
        <f t="shared" si="13"/>
        <v>2018</v>
      </c>
      <c r="V62" s="63">
        <f t="shared" si="13"/>
        <v>2019</v>
      </c>
      <c r="W62" s="63">
        <f t="shared" si="13"/>
        <v>2020</v>
      </c>
      <c r="X62" s="63">
        <f t="shared" si="13"/>
        <v>2021</v>
      </c>
      <c r="Y62" s="63">
        <f t="shared" si="13"/>
        <v>2022</v>
      </c>
      <c r="Z62" s="63">
        <f t="shared" si="13"/>
        <v>2023</v>
      </c>
      <c r="AA62" s="63">
        <f t="shared" si="13"/>
        <v>2024</v>
      </c>
      <c r="AB62" s="369"/>
    </row>
    <row r="63" spans="1:33">
      <c r="A63" s="63" t="s">
        <v>284</v>
      </c>
    </row>
    <row r="64" spans="1:33">
      <c r="A64" t="s">
        <v>299</v>
      </c>
      <c r="B64" s="341">
        <f t="shared" ref="B64:AA64" si="14">IF($B$50=$B$48,B53,IF($B$50=$B$49,B58))</f>
        <v>0.155</v>
      </c>
      <c r="C64" s="341">
        <f t="shared" si="14"/>
        <v>0.155</v>
      </c>
      <c r="D64" s="341">
        <f t="shared" si="14"/>
        <v>0.155</v>
      </c>
      <c r="E64" s="341">
        <f t="shared" si="14"/>
        <v>0.13500000000000001</v>
      </c>
      <c r="F64" s="341">
        <f t="shared" si="14"/>
        <v>0.13500000000000001</v>
      </c>
      <c r="G64" s="341">
        <f t="shared" si="14"/>
        <v>0.13500000000000001</v>
      </c>
      <c r="H64" s="341">
        <f t="shared" si="14"/>
        <v>0.13500000000000001</v>
      </c>
      <c r="I64" s="341">
        <f t="shared" si="14"/>
        <v>0.13500000000000001</v>
      </c>
      <c r="J64" s="341">
        <f t="shared" si="14"/>
        <v>0.13500000000000001</v>
      </c>
      <c r="K64" s="341">
        <f t="shared" si="14"/>
        <v>0.13500000000000001</v>
      </c>
      <c r="L64" s="341">
        <f t="shared" si="14"/>
        <v>0.13500000000000001</v>
      </c>
      <c r="M64" s="341">
        <f t="shared" si="14"/>
        <v>0.13500000000000001</v>
      </c>
      <c r="N64" s="341">
        <f t="shared" si="14"/>
        <v>0.13500000000000001</v>
      </c>
      <c r="O64" s="341">
        <f t="shared" si="14"/>
        <v>0.13500000000000001</v>
      </c>
      <c r="P64" s="341">
        <f t="shared" si="14"/>
        <v>0.13500000000000001</v>
      </c>
      <c r="Q64" s="341">
        <f t="shared" si="14"/>
        <v>0.13500000000000001</v>
      </c>
      <c r="R64" s="341">
        <f t="shared" si="14"/>
        <v>0.13500000000000001</v>
      </c>
      <c r="S64" s="341">
        <f t="shared" si="14"/>
        <v>0.13500000000000001</v>
      </c>
      <c r="T64" s="341">
        <f t="shared" si="14"/>
        <v>0.13500000000000001</v>
      </c>
      <c r="U64" s="341">
        <f t="shared" si="14"/>
        <v>0.13500000000000001</v>
      </c>
      <c r="V64" s="341">
        <f t="shared" si="14"/>
        <v>0.13500000000000001</v>
      </c>
      <c r="W64" s="341">
        <f t="shared" si="14"/>
        <v>0.13500000000000001</v>
      </c>
      <c r="X64" s="341">
        <f t="shared" si="14"/>
        <v>0.13500000000000001</v>
      </c>
      <c r="Y64" s="341">
        <f t="shared" si="14"/>
        <v>0.13500000000000001</v>
      </c>
      <c r="Z64" s="341">
        <f t="shared" si="14"/>
        <v>0.13500000000000001</v>
      </c>
      <c r="AA64" s="341">
        <f t="shared" si="14"/>
        <v>0.13500000000000001</v>
      </c>
    </row>
    <row r="65" spans="1:28">
      <c r="A65" t="s">
        <v>343</v>
      </c>
      <c r="B65" s="341">
        <f t="shared" ref="B65:AA65" si="15">IF($B$50=$B$48,B54,IF($B$50=$B$49,B59))</f>
        <v>3.0000000000000001E-3</v>
      </c>
      <c r="C65" s="341">
        <f t="shared" si="15"/>
        <v>3.0000000000000001E-3</v>
      </c>
      <c r="D65" s="341">
        <f t="shared" si="15"/>
        <v>3.0000000000000001E-3</v>
      </c>
      <c r="E65" s="341">
        <f t="shared" si="15"/>
        <v>3.0000000000000001E-3</v>
      </c>
      <c r="F65" s="341">
        <f t="shared" si="15"/>
        <v>3.0000000000000001E-3</v>
      </c>
      <c r="G65" s="341">
        <f t="shared" si="15"/>
        <v>3.0000000000000001E-3</v>
      </c>
      <c r="H65" s="341">
        <f t="shared" si="15"/>
        <v>3.0000000000000001E-3</v>
      </c>
      <c r="I65" s="341">
        <f t="shared" si="15"/>
        <v>3.0000000000000001E-3</v>
      </c>
      <c r="J65" s="341">
        <f t="shared" si="15"/>
        <v>3.0000000000000001E-3</v>
      </c>
      <c r="K65" s="341">
        <f t="shared" si="15"/>
        <v>3.0000000000000001E-3</v>
      </c>
      <c r="L65" s="341">
        <f t="shared" si="15"/>
        <v>3.0000000000000001E-3</v>
      </c>
      <c r="M65" s="341">
        <f t="shared" si="15"/>
        <v>3.0000000000000001E-3</v>
      </c>
      <c r="N65" s="341">
        <f t="shared" si="15"/>
        <v>3.0000000000000001E-3</v>
      </c>
      <c r="O65" s="341">
        <f t="shared" si="15"/>
        <v>3.0000000000000001E-3</v>
      </c>
      <c r="P65" s="341">
        <f t="shared" si="15"/>
        <v>3.0000000000000001E-3</v>
      </c>
      <c r="Q65" s="341">
        <f t="shared" si="15"/>
        <v>3.0000000000000001E-3</v>
      </c>
      <c r="R65" s="341">
        <f t="shared" si="15"/>
        <v>3.0000000000000001E-3</v>
      </c>
      <c r="S65" s="341">
        <f t="shared" si="15"/>
        <v>3.0000000000000001E-3</v>
      </c>
      <c r="T65" s="341">
        <f t="shared" si="15"/>
        <v>3.0000000000000001E-3</v>
      </c>
      <c r="U65" s="341">
        <f t="shared" si="15"/>
        <v>3.0000000000000001E-3</v>
      </c>
      <c r="V65" s="341">
        <f t="shared" si="15"/>
        <v>3.0000000000000001E-3</v>
      </c>
      <c r="W65" s="341">
        <f t="shared" si="15"/>
        <v>3.0000000000000001E-3</v>
      </c>
      <c r="X65" s="341">
        <f t="shared" si="15"/>
        <v>3.0000000000000001E-3</v>
      </c>
      <c r="Y65" s="341">
        <f t="shared" si="15"/>
        <v>3.0000000000000001E-3</v>
      </c>
      <c r="Z65" s="341">
        <f t="shared" si="15"/>
        <v>3.0000000000000001E-3</v>
      </c>
      <c r="AA65" s="341">
        <f t="shared" si="15"/>
        <v>3.0000000000000001E-3</v>
      </c>
    </row>
    <row r="66" spans="1:28">
      <c r="A66" t="s">
        <v>344</v>
      </c>
      <c r="B66" s="341">
        <f t="shared" ref="B66:AA66" si="16">IF($B$50=$B$48,B55,IF($B$50=$B$49,B60))</f>
        <v>0.04</v>
      </c>
      <c r="C66" s="341">
        <f t="shared" si="16"/>
        <v>0.04</v>
      </c>
      <c r="D66" s="341">
        <f t="shared" si="16"/>
        <v>0.04</v>
      </c>
      <c r="E66" s="341">
        <f t="shared" si="16"/>
        <v>0.04</v>
      </c>
      <c r="F66" s="341">
        <f t="shared" si="16"/>
        <v>0.04</v>
      </c>
      <c r="G66" s="341">
        <f t="shared" si="16"/>
        <v>0.04</v>
      </c>
      <c r="H66" s="341">
        <f t="shared" si="16"/>
        <v>0.04</v>
      </c>
      <c r="I66" s="341">
        <f t="shared" si="16"/>
        <v>0.04</v>
      </c>
      <c r="J66" s="341">
        <f t="shared" si="16"/>
        <v>0.04</v>
      </c>
      <c r="K66" s="341">
        <f t="shared" si="16"/>
        <v>0.04</v>
      </c>
      <c r="L66" s="341">
        <f t="shared" si="16"/>
        <v>0.04</v>
      </c>
      <c r="M66" s="341">
        <f t="shared" si="16"/>
        <v>0.04</v>
      </c>
      <c r="N66" s="341">
        <f t="shared" si="16"/>
        <v>0.04</v>
      </c>
      <c r="O66" s="341">
        <f t="shared" si="16"/>
        <v>0.04</v>
      </c>
      <c r="P66" s="341">
        <f t="shared" si="16"/>
        <v>0.04</v>
      </c>
      <c r="Q66" s="341">
        <f t="shared" si="16"/>
        <v>0.04</v>
      </c>
      <c r="R66" s="341">
        <f t="shared" si="16"/>
        <v>0.04</v>
      </c>
      <c r="S66" s="341">
        <f t="shared" si="16"/>
        <v>0.04</v>
      </c>
      <c r="T66" s="341">
        <f t="shared" si="16"/>
        <v>0.04</v>
      </c>
      <c r="U66" s="341">
        <f t="shared" si="16"/>
        <v>0.04</v>
      </c>
      <c r="V66" s="341">
        <f t="shared" si="16"/>
        <v>0.04</v>
      </c>
      <c r="W66" s="341">
        <f t="shared" si="16"/>
        <v>0.04</v>
      </c>
      <c r="X66" s="341">
        <f t="shared" si="16"/>
        <v>0.04</v>
      </c>
      <c r="Y66" s="341">
        <f t="shared" si="16"/>
        <v>0.04</v>
      </c>
      <c r="Z66" s="341">
        <f t="shared" si="16"/>
        <v>0.04</v>
      </c>
      <c r="AA66" s="341">
        <f t="shared" si="16"/>
        <v>0.04</v>
      </c>
    </row>
    <row r="67" spans="1:28" ht="12" customHeight="1">
      <c r="B67" s="368"/>
      <c r="C67" s="368"/>
      <c r="D67" s="368"/>
      <c r="E67" s="368"/>
      <c r="F67" s="368"/>
      <c r="G67" s="368"/>
      <c r="H67" s="368"/>
      <c r="I67" s="368"/>
      <c r="J67" s="368"/>
      <c r="K67" s="368"/>
      <c r="L67" s="368"/>
      <c r="M67" s="368"/>
      <c r="N67" s="368"/>
      <c r="O67" s="368"/>
      <c r="P67" s="368"/>
      <c r="Q67" s="368"/>
      <c r="R67" s="368"/>
      <c r="S67" s="368"/>
      <c r="T67" s="368"/>
      <c r="U67" s="368"/>
      <c r="V67" s="368"/>
      <c r="W67" s="368"/>
      <c r="X67" s="368"/>
      <c r="Y67" s="368"/>
      <c r="Z67" s="368"/>
      <c r="AA67" s="368"/>
      <c r="AB67" s="368"/>
    </row>
    <row r="68" spans="1:28">
      <c r="D68" s="344"/>
      <c r="E68" s="344"/>
      <c r="F68" s="344"/>
    </row>
    <row r="70" spans="1:28" ht="15.75">
      <c r="A70" s="26" t="s">
        <v>304</v>
      </c>
    </row>
    <row r="72" spans="1:28" ht="25.5">
      <c r="A72" s="63" t="s">
        <v>302</v>
      </c>
      <c r="B72" s="350" t="s">
        <v>307</v>
      </c>
      <c r="C72" s="350" t="s">
        <v>308</v>
      </c>
      <c r="D72" s="350" t="s">
        <v>309</v>
      </c>
      <c r="E72" s="350" t="s">
        <v>310</v>
      </c>
    </row>
    <row r="73" spans="1:28">
      <c r="A73" s="63"/>
      <c r="E73" s="1"/>
    </row>
    <row r="74" spans="1:28">
      <c r="A74" s="326" t="s">
        <v>303</v>
      </c>
      <c r="B74" s="351">
        <f>(Assumptions!$E$10*Assumptions!$E$29)</f>
        <v>66796.118745254571</v>
      </c>
      <c r="C74" s="351">
        <f>(Assumptions!$E$10*Assumptions!$E$29)</f>
        <v>66796.118745254571</v>
      </c>
      <c r="D74" s="351">
        <f>(Assumptions!$E$10*Assumptions!$E$29)</f>
        <v>66796.118745254571</v>
      </c>
      <c r="E74" s="351">
        <f>(Assumptions!$E$10*Assumptions!$E$29)</f>
        <v>66796.118745254571</v>
      </c>
    </row>
    <row r="75" spans="1:28">
      <c r="A75" s="326" t="s">
        <v>305</v>
      </c>
      <c r="B75" s="298">
        <f>SUM($J$10:$M$10)+Construction!$AB$82</f>
        <v>179046</v>
      </c>
      <c r="C75" s="352">
        <f>SUM($J$10:$M$10)+Construction!$AB$82</f>
        <v>179046</v>
      </c>
      <c r="D75" s="352">
        <f>SUM($J$10:$M$10)+Construction!$AB$82</f>
        <v>179046</v>
      </c>
      <c r="E75" s="352">
        <f>SUM($J$10:$M$10)+Construction!$AB$82</f>
        <v>179046</v>
      </c>
    </row>
    <row r="76" spans="1:28">
      <c r="A76" s="326" t="s">
        <v>333</v>
      </c>
      <c r="B76" s="351">
        <f>IF((B74-B75)&lt;0,0,(B74-B75))</f>
        <v>0</v>
      </c>
      <c r="C76" s="351">
        <f>IF((C74-C75)&lt;0,0,(C74-C75))</f>
        <v>0</v>
      </c>
      <c r="D76" s="351">
        <f>IF((D74-D75)&lt;0,0,(D74-D75))</f>
        <v>0</v>
      </c>
      <c r="E76" s="351">
        <f>IF((E74-E75)&lt;0,0,(E74-E75))</f>
        <v>0</v>
      </c>
    </row>
    <row r="77" spans="1:28">
      <c r="A77" s="63" t="s">
        <v>304</v>
      </c>
      <c r="B77" s="351">
        <f>(B76*0.75*SUM(F43:F44,F64))</f>
        <v>0</v>
      </c>
      <c r="C77" s="351">
        <f>(C76*0.75*SUM(K43:K44,K64))</f>
        <v>0</v>
      </c>
      <c r="D77" s="351">
        <f>(D76*0.75*SUM(P43:P44,P64))</f>
        <v>0</v>
      </c>
      <c r="E77" s="351">
        <f>(E76*0.75*SUM(U43:U44,U64))</f>
        <v>0</v>
      </c>
    </row>
    <row r="78" spans="1:28">
      <c r="E78" s="1"/>
    </row>
    <row r="79" spans="1:28">
      <c r="A79" s="63"/>
      <c r="E79" s="1"/>
    </row>
    <row r="80" spans="1:28">
      <c r="E80" s="1"/>
    </row>
    <row r="81" spans="2:12">
      <c r="B81" s="298"/>
      <c r="C81" s="298"/>
      <c r="D81" s="298"/>
      <c r="E81" s="298"/>
    </row>
    <row r="82" spans="2:12">
      <c r="B82" s="298"/>
      <c r="C82" s="298"/>
      <c r="D82" s="298"/>
      <c r="E82" s="298"/>
    </row>
    <row r="83" spans="2:12">
      <c r="B83" s="298"/>
      <c r="C83" s="298"/>
      <c r="D83" s="298"/>
      <c r="E83" s="298"/>
    </row>
    <row r="84" spans="2:12">
      <c r="E84" s="1"/>
    </row>
    <row r="85" spans="2:12">
      <c r="E85" s="1"/>
      <c r="L85" s="196" t="s">
        <v>449</v>
      </c>
    </row>
    <row r="252" spans="1:6">
      <c r="A252" s="191"/>
      <c r="B252" s="17"/>
      <c r="C252" s="17"/>
      <c r="D252" s="17"/>
      <c r="E252" s="17"/>
      <c r="F252" s="17"/>
    </row>
    <row r="253" spans="1:6">
      <c r="A253" s="191"/>
      <c r="B253" s="17"/>
      <c r="C253" s="17"/>
      <c r="D253" s="17"/>
      <c r="E253" s="353"/>
      <c r="F253" s="17"/>
    </row>
    <row r="254" spans="1:6">
      <c r="A254" s="191"/>
      <c r="B254" s="17"/>
      <c r="C254" s="17"/>
      <c r="D254" s="17"/>
      <c r="E254" s="17"/>
      <c r="F254" s="17"/>
    </row>
    <row r="255" spans="1:6">
      <c r="A255" s="191"/>
    </row>
    <row r="256" spans="1:6">
      <c r="A256" s="191"/>
    </row>
    <row r="257" spans="1:1">
      <c r="A257" s="191"/>
    </row>
    <row r="258" spans="1:1">
      <c r="A258" s="191"/>
    </row>
    <row r="259" spans="1:1">
      <c r="A259" s="191"/>
    </row>
    <row r="260" spans="1:1">
      <c r="A260" s="191"/>
    </row>
    <row r="261" spans="1:1">
      <c r="A261" s="191"/>
    </row>
    <row r="262" spans="1:1">
      <c r="A262" s="191"/>
    </row>
    <row r="263" spans="1:1">
      <c r="A263" s="191"/>
    </row>
    <row r="264" spans="1:1">
      <c r="A264" s="191"/>
    </row>
    <row r="265" spans="1:1">
      <c r="A265" s="191"/>
    </row>
    <row r="266" spans="1:1">
      <c r="A266" s="191"/>
    </row>
    <row r="267" spans="1:1">
      <c r="A267" s="191"/>
    </row>
    <row r="268" spans="1:1">
      <c r="A268" s="191"/>
    </row>
    <row r="269" spans="1:1">
      <c r="A269" s="191"/>
    </row>
    <row r="270" spans="1:1">
      <c r="A270" s="191"/>
    </row>
    <row r="271" spans="1:1">
      <c r="A271" s="191"/>
    </row>
    <row r="272" spans="1:1">
      <c r="A272" s="191"/>
    </row>
    <row r="273" spans="1:1">
      <c r="A273" s="191"/>
    </row>
    <row r="274" spans="1:1">
      <c r="A274" s="191"/>
    </row>
    <row r="275" spans="1:1">
      <c r="A275" s="191"/>
    </row>
    <row r="276" spans="1:1">
      <c r="A276" s="191"/>
    </row>
    <row r="277" spans="1:1">
      <c r="A277" s="191"/>
    </row>
    <row r="278" spans="1:1">
      <c r="A278" s="191"/>
    </row>
    <row r="279" spans="1:1">
      <c r="A279" s="191"/>
    </row>
    <row r="280" spans="1:1">
      <c r="A280" s="191"/>
    </row>
    <row r="281" spans="1:1">
      <c r="A281" s="191"/>
    </row>
    <row r="282" spans="1:1">
      <c r="A282" s="191"/>
    </row>
    <row r="283" spans="1:1">
      <c r="A283" s="191"/>
    </row>
  </sheetData>
  <pageMargins left="0.75" right="0.75" top="1" bottom="1" header="0.5" footer="0.5"/>
  <pageSetup paperSize="5" scale="37" orientation="landscape" horizontalDpi="1200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A1:AD94"/>
  <sheetViews>
    <sheetView tabSelected="1" topLeftCell="B1" zoomScale="75" zoomScaleNormal="75" zoomScaleSheetLayoutView="75" workbookViewId="0">
      <selection sqref="A1:H1"/>
    </sheetView>
  </sheetViews>
  <sheetFormatPr defaultRowHeight="12.75"/>
  <cols>
    <col min="1" max="1" width="39.28515625" customWidth="1"/>
    <col min="2" max="2" width="25" customWidth="1"/>
    <col min="3" max="3" width="6.7109375" customWidth="1"/>
    <col min="4" max="4" width="49.42578125" customWidth="1"/>
    <col min="5" max="5" width="23.5703125" customWidth="1"/>
    <col min="6" max="6" width="10.28515625" customWidth="1"/>
    <col min="7" max="7" width="26.28515625" customWidth="1"/>
    <col min="8" max="8" width="23.7109375" customWidth="1"/>
    <col min="9" max="11" width="16.5703125" customWidth="1"/>
    <col min="12" max="12" width="13.7109375" customWidth="1"/>
    <col min="18" max="18" width="25.28515625" customWidth="1"/>
  </cols>
  <sheetData>
    <row r="1" spans="1:30" ht="30.75" customHeight="1">
      <c r="A1" s="1085" t="s">
        <v>686</v>
      </c>
      <c r="B1" s="1085"/>
      <c r="C1" s="1085"/>
      <c r="D1" s="1085"/>
      <c r="E1" s="1085"/>
      <c r="F1" s="1085"/>
      <c r="G1" s="1085"/>
      <c r="H1" s="1085"/>
      <c r="Q1" s="31"/>
      <c r="R1" s="31"/>
    </row>
    <row r="2" spans="1:30" ht="13.5" thickBot="1">
      <c r="Q2" s="31"/>
      <c r="R2" s="31"/>
    </row>
    <row r="3" spans="1:30" ht="15.75">
      <c r="A3" s="313" t="s">
        <v>261</v>
      </c>
      <c r="B3" s="314"/>
      <c r="C3" s="31"/>
      <c r="D3" s="313" t="s">
        <v>270</v>
      </c>
      <c r="E3" s="314"/>
      <c r="F3" s="173"/>
      <c r="G3" s="313" t="s">
        <v>415</v>
      </c>
      <c r="H3" s="538"/>
      <c r="J3" s="63"/>
      <c r="Q3" s="31"/>
      <c r="R3" s="31"/>
      <c r="S3" s="31"/>
      <c r="U3" s="31"/>
      <c r="V3" s="31"/>
      <c r="W3" s="31"/>
      <c r="X3" s="31"/>
      <c r="Y3" s="31"/>
      <c r="Z3" s="31"/>
      <c r="AA3" s="31"/>
      <c r="AB3" s="31"/>
      <c r="AC3" s="31"/>
      <c r="AD3" s="31"/>
    </row>
    <row r="4" spans="1:30">
      <c r="A4" s="312" t="s">
        <v>289</v>
      </c>
      <c r="B4" s="250" t="s">
        <v>658</v>
      </c>
      <c r="C4" s="31"/>
      <c r="D4" s="312" t="s">
        <v>271</v>
      </c>
      <c r="E4" s="322">
        <f>Tables!J10</f>
        <v>166918</v>
      </c>
      <c r="F4" s="31"/>
      <c r="G4" s="533" t="s">
        <v>416</v>
      </c>
      <c r="H4" s="535" t="s">
        <v>427</v>
      </c>
      <c r="Q4" s="46"/>
      <c r="R4" s="1"/>
      <c r="S4" s="31"/>
      <c r="U4" s="31"/>
      <c r="V4" s="31"/>
      <c r="W4" s="31"/>
      <c r="X4" s="31"/>
      <c r="Y4" s="31"/>
      <c r="Z4" s="31"/>
      <c r="AA4" s="31"/>
      <c r="AB4" s="31"/>
    </row>
    <row r="5" spans="1:30" ht="18" customHeight="1">
      <c r="A5" s="312" t="s">
        <v>353</v>
      </c>
      <c r="B5" s="250"/>
      <c r="C5" s="31"/>
      <c r="D5" s="312" t="s">
        <v>106</v>
      </c>
      <c r="E5" s="322">
        <f>466</f>
        <v>466</v>
      </c>
      <c r="F5" s="31"/>
      <c r="G5" s="536" t="s">
        <v>418</v>
      </c>
      <c r="H5" s="537" t="s">
        <v>419</v>
      </c>
      <c r="Q5" s="46"/>
      <c r="S5" s="31"/>
      <c r="T5" s="1"/>
      <c r="U5" s="31"/>
      <c r="V5" s="31"/>
      <c r="W5" s="31"/>
      <c r="X5" s="31"/>
      <c r="Y5" s="31"/>
      <c r="Z5" s="31"/>
      <c r="AA5" s="31"/>
      <c r="AB5" s="31"/>
    </row>
    <row r="6" spans="1:30">
      <c r="A6" s="310" t="s">
        <v>463</v>
      </c>
      <c r="B6" s="1049">
        <f>Tables!C10</f>
        <v>324</v>
      </c>
      <c r="C6" s="31"/>
      <c r="D6" s="312" t="s">
        <v>268</v>
      </c>
      <c r="E6" s="322">
        <f>Tables!K10</f>
        <v>6020</v>
      </c>
      <c r="F6" s="31"/>
      <c r="G6" s="533" t="s">
        <v>420</v>
      </c>
      <c r="H6" s="532">
        <f>IF(H4="No",92%,15.2%)</f>
        <v>0.92</v>
      </c>
      <c r="Q6" s="7"/>
      <c r="S6" s="51"/>
      <c r="T6" s="31"/>
      <c r="U6" s="31"/>
      <c r="V6" s="31"/>
      <c r="W6" s="31"/>
      <c r="X6" s="31"/>
    </row>
    <row r="7" spans="1:30" ht="17.25" customHeight="1">
      <c r="A7" s="310" t="s">
        <v>257</v>
      </c>
      <c r="B7" s="320">
        <f>Tables!D10</f>
        <v>312</v>
      </c>
      <c r="C7" s="31"/>
      <c r="D7" s="312" t="s">
        <v>269</v>
      </c>
      <c r="E7" s="322">
        <f>Tables!L10</f>
        <v>6108</v>
      </c>
      <c r="F7" s="175"/>
      <c r="G7" s="533" t="s">
        <v>421</v>
      </c>
      <c r="H7" s="438">
        <v>0</v>
      </c>
      <c r="Q7" s="7"/>
      <c r="S7" s="51"/>
      <c r="T7" s="1"/>
    </row>
    <row r="8" spans="1:30">
      <c r="A8" s="310" t="s">
        <v>59</v>
      </c>
      <c r="B8" s="316"/>
      <c r="C8" s="1"/>
      <c r="D8" s="312" t="s">
        <v>156</v>
      </c>
      <c r="E8" s="322">
        <f>Tables!M10</f>
        <v>0</v>
      </c>
      <c r="F8" s="25"/>
      <c r="G8" s="533" t="s">
        <v>422</v>
      </c>
      <c r="H8" s="438">
        <v>0.05</v>
      </c>
      <c r="Q8" s="1"/>
      <c r="S8" s="1"/>
      <c r="T8" s="1"/>
    </row>
    <row r="9" spans="1:30">
      <c r="A9" s="310"/>
      <c r="B9" s="316"/>
      <c r="C9" s="1"/>
      <c r="D9" s="312" t="s">
        <v>275</v>
      </c>
      <c r="E9" s="322">
        <f>IF(SUM(Construction!52:52)&lt;0,-SUM(Construction!52:52),SUM(Construction!52:52))</f>
        <v>1018.0506628501687</v>
      </c>
      <c r="F9" s="25"/>
      <c r="G9" s="533" t="s">
        <v>423</v>
      </c>
      <c r="H9" s="439">
        <v>0.03</v>
      </c>
      <c r="S9" s="181"/>
    </row>
    <row r="10" spans="1:30">
      <c r="A10" s="310" t="s">
        <v>663</v>
      </c>
      <c r="B10" s="316"/>
      <c r="C10" s="1"/>
      <c r="D10" s="312" t="s">
        <v>272</v>
      </c>
      <c r="E10" s="323">
        <f>SUM(E4:E9)</f>
        <v>180530.05066285018</v>
      </c>
      <c r="F10" s="74"/>
      <c r="G10" s="533" t="s">
        <v>424</v>
      </c>
      <c r="H10" s="439">
        <v>0</v>
      </c>
      <c r="S10" s="46"/>
    </row>
    <row r="11" spans="1:30" ht="13.5" thickBot="1">
      <c r="A11" s="310"/>
      <c r="B11" s="316"/>
      <c r="C11" s="1"/>
      <c r="D11" s="312" t="s">
        <v>276</v>
      </c>
      <c r="E11" s="759">
        <f>E10/E31</f>
        <v>122809.55827404774</v>
      </c>
      <c r="F11" s="69"/>
      <c r="G11" s="533" t="s">
        <v>425</v>
      </c>
      <c r="H11" s="532">
        <f>IF(H4="yes",80%,0)</f>
        <v>0</v>
      </c>
      <c r="S11" s="46"/>
    </row>
    <row r="12" spans="1:30" ht="14.25" thickTop="1" thickBot="1">
      <c r="A12" s="693" t="s">
        <v>659</v>
      </c>
      <c r="B12" s="316"/>
      <c r="C12" s="1"/>
      <c r="D12" s="693" t="s">
        <v>664</v>
      </c>
      <c r="E12" s="323"/>
      <c r="F12" s="69"/>
      <c r="G12" s="534" t="s">
        <v>426</v>
      </c>
      <c r="H12" s="440" t="s">
        <v>417</v>
      </c>
      <c r="S12" s="46"/>
      <c r="T12" s="31"/>
      <c r="U12" s="1"/>
      <c r="V12" s="31"/>
      <c r="W12" s="1"/>
      <c r="X12" s="1"/>
    </row>
    <row r="13" spans="1:30" ht="18.75" thickBot="1">
      <c r="A13" s="311" t="s">
        <v>364</v>
      </c>
      <c r="B13" s="757">
        <f>Tables!E10</f>
        <v>11960</v>
      </c>
      <c r="C13" s="1"/>
      <c r="D13" s="312" t="s">
        <v>665</v>
      </c>
      <c r="E13" s="323">
        <f>Tables!J36</f>
        <v>0</v>
      </c>
      <c r="F13" s="69"/>
      <c r="G13" s="69"/>
      <c r="P13" s="1"/>
      <c r="Q13" s="364" t="s">
        <v>336</v>
      </c>
      <c r="R13" s="555" t="str">
        <f>IF(Tables!$B$21=Tables!$B$15,IF(Tax!J15&lt;0,"Y","N"),IF(Tables!$B$21=Tables!$B$16,IF(Tax!O15&lt;0,"Y","N"),IF(Tables!$B$21=Tables!$B$17,IF(Tax!T15&lt;0,"Y","N"),IF(Tables!$B$21=Tables!$B$18,IF(Tax!#REF!&lt;0,"Y","N")))))</f>
        <v>N</v>
      </c>
      <c r="S13" s="7"/>
      <c r="T13" s="31"/>
      <c r="U13" s="1"/>
      <c r="V13" s="1"/>
    </row>
    <row r="14" spans="1:30" ht="16.5" customHeight="1">
      <c r="A14" s="311" t="s">
        <v>258</v>
      </c>
      <c r="B14" s="321">
        <f>Tables!F10</f>
        <v>0.02</v>
      </c>
      <c r="C14" s="1"/>
      <c r="D14" s="312" t="s">
        <v>580</v>
      </c>
      <c r="E14" s="323">
        <v>0</v>
      </c>
      <c r="F14" s="69"/>
      <c r="G14" s="313" t="s">
        <v>367</v>
      </c>
      <c r="H14" s="334"/>
      <c r="P14" s="1"/>
      <c r="Q14" s="364" t="s">
        <v>337</v>
      </c>
      <c r="R14" s="555" t="str">
        <f>IF(Tables!$B$21=Tables!$B$15,IF(Tables!B77&gt;0,"Y","N"),IF(Tables!$B$21=Tables!$B$16,IF(Tables!C77&gt;0,"Y","N"),IF(Tables!$B$21=Tables!$B$17,IF(Tables!D77&gt;0,"Y","N"),IF(Tables!$B$21=Tables!$B$18,IF(Tables!E77&gt;0,"Y","N")))))</f>
        <v>N</v>
      </c>
      <c r="S14" s="7"/>
      <c r="T14" s="1"/>
      <c r="U14" s="1"/>
      <c r="V14" s="1"/>
    </row>
    <row r="15" spans="1:30" ht="15.75" customHeight="1">
      <c r="A15" s="311" t="s">
        <v>259</v>
      </c>
      <c r="B15" s="640">
        <f>Tables!H10</f>
        <v>16000</v>
      </c>
      <c r="C15" s="24" t="s">
        <v>36</v>
      </c>
      <c r="D15" s="312" t="s">
        <v>269</v>
      </c>
      <c r="E15" s="323">
        <f>Tables!L36</f>
        <v>0</v>
      </c>
      <c r="F15" s="69"/>
      <c r="G15" s="310" t="s">
        <v>121</v>
      </c>
      <c r="H15" s="324">
        <v>25</v>
      </c>
      <c r="P15" s="1"/>
      <c r="Q15" s="31"/>
      <c r="R15" s="1"/>
      <c r="S15" s="1"/>
      <c r="T15" s="1"/>
      <c r="U15" s="1"/>
      <c r="V15" s="1"/>
    </row>
    <row r="16" spans="1:30">
      <c r="A16" s="311" t="s">
        <v>260</v>
      </c>
      <c r="B16" s="390">
        <f>Tables!G10</f>
        <v>0.02</v>
      </c>
      <c r="C16" s="24"/>
      <c r="D16" s="312" t="s">
        <v>275</v>
      </c>
      <c r="E16" s="323">
        <f>SUM(Construction!D109:AA110)</f>
        <v>0</v>
      </c>
      <c r="F16" s="73"/>
      <c r="G16" s="310" t="s">
        <v>58</v>
      </c>
      <c r="H16" s="361">
        <f>Tables!B41</f>
        <v>0.25119999999999998</v>
      </c>
      <c r="P16" s="1"/>
      <c r="Q16" s="44"/>
      <c r="R16" s="31"/>
      <c r="S16" s="7"/>
      <c r="T16" s="1"/>
      <c r="U16" s="1"/>
      <c r="V16" s="1"/>
    </row>
    <row r="17" spans="1:30" ht="16.5" customHeight="1" thickBot="1">
      <c r="A17" s="311" t="s">
        <v>540</v>
      </c>
      <c r="B17" s="1074">
        <v>5000</v>
      </c>
      <c r="C17" s="1"/>
      <c r="D17" s="312" t="s">
        <v>666</v>
      </c>
      <c r="E17" s="759">
        <f>SUM(E13:E16)</f>
        <v>0</v>
      </c>
      <c r="F17" s="29"/>
      <c r="G17" s="310" t="s">
        <v>60</v>
      </c>
      <c r="H17" s="361">
        <f>Tables!B64</f>
        <v>0.155</v>
      </c>
      <c r="P17" s="1"/>
      <c r="Q17" s="44"/>
      <c r="R17" s="31"/>
      <c r="S17" s="44"/>
    </row>
    <row r="18" spans="1:30" ht="13.5" thickTop="1">
      <c r="A18" s="750" t="s">
        <v>660</v>
      </c>
      <c r="B18" s="640"/>
      <c r="C18" s="1"/>
      <c r="D18" s="312" t="s">
        <v>503</v>
      </c>
      <c r="E18" s="562">
        <v>1.4999999999999999E-2</v>
      </c>
      <c r="F18" s="70"/>
      <c r="G18" s="310" t="s">
        <v>509</v>
      </c>
      <c r="H18" s="361">
        <f>Tables!B42</f>
        <v>-0.01</v>
      </c>
      <c r="M18" s="1"/>
      <c r="Q18" s="177"/>
      <c r="R18" s="46"/>
      <c r="S18" s="7"/>
      <c r="T18" s="7"/>
      <c r="U18" s="1"/>
      <c r="V18" s="1"/>
      <c r="W18" s="1"/>
      <c r="X18" s="1"/>
      <c r="Y18" s="1"/>
    </row>
    <row r="19" spans="1:30" ht="22.5" customHeight="1">
      <c r="A19" s="310" t="s">
        <v>462</v>
      </c>
      <c r="B19" s="640">
        <f>Tables!D34</f>
        <v>259.61700000000002</v>
      </c>
      <c r="C19" s="794"/>
      <c r="D19" s="312" t="s">
        <v>277</v>
      </c>
      <c r="E19" s="318">
        <v>7.0000000000000007E-2</v>
      </c>
      <c r="F19" s="7"/>
      <c r="G19" s="336" t="s">
        <v>188</v>
      </c>
      <c r="H19" s="361">
        <v>0.04</v>
      </c>
      <c r="U19" s="31"/>
      <c r="V19" s="31"/>
      <c r="W19" s="31"/>
      <c r="X19" s="31"/>
      <c r="Y19" s="1"/>
    </row>
    <row r="20" spans="1:30">
      <c r="A20" s="311" t="s">
        <v>364</v>
      </c>
      <c r="B20" s="640">
        <f>Tables!E34</f>
        <v>7798.8600000000006</v>
      </c>
      <c r="C20" s="1"/>
      <c r="D20" s="312" t="s">
        <v>519</v>
      </c>
      <c r="E20" s="318">
        <v>0.02</v>
      </c>
      <c r="F20" s="75"/>
      <c r="G20" s="310" t="s">
        <v>61</v>
      </c>
      <c r="H20" s="361">
        <f>SUM(H16:H19)</f>
        <v>0.43619999999999998</v>
      </c>
      <c r="U20" s="31"/>
      <c r="V20" s="31"/>
      <c r="W20" s="31"/>
      <c r="X20" s="31"/>
      <c r="Y20" s="1"/>
    </row>
    <row r="21" spans="1:30" ht="13.5" thickBot="1">
      <c r="A21" s="311" t="s">
        <v>672</v>
      </c>
      <c r="B21" s="321">
        <v>0.95</v>
      </c>
      <c r="C21" s="1"/>
      <c r="D21" s="312" t="s">
        <v>280</v>
      </c>
      <c r="E21" s="559">
        <f>MIN((1/((E27)/Tables!B21)),13)</f>
        <v>13</v>
      </c>
      <c r="F21" s="75"/>
      <c r="G21" s="337" t="s">
        <v>190</v>
      </c>
      <c r="H21" s="362">
        <f>Tables!B45</f>
        <v>2.2499999999999998E-3</v>
      </c>
      <c r="U21" s="31"/>
      <c r="V21" s="31"/>
      <c r="W21" s="31"/>
      <c r="X21" s="31"/>
      <c r="Y21" s="1"/>
    </row>
    <row r="22" spans="1:30" ht="13.5" thickBot="1">
      <c r="A22" s="312"/>
      <c r="B22" s="315"/>
      <c r="C22" s="1"/>
      <c r="D22" s="312" t="s">
        <v>609</v>
      </c>
      <c r="E22" s="323">
        <f>SUM('Debt Amort'!C36:D36)+'Debt Amort'!E26</f>
        <v>6765.2543231753762</v>
      </c>
      <c r="F22" s="71"/>
      <c r="U22" s="31"/>
      <c r="V22" s="31"/>
      <c r="W22" s="31"/>
      <c r="X22" s="31"/>
      <c r="Y22" s="1"/>
    </row>
    <row r="23" spans="1:30" ht="20.25" customHeight="1" thickBot="1">
      <c r="A23" s="778" t="s">
        <v>500</v>
      </c>
      <c r="B23" s="779"/>
      <c r="C23" s="1"/>
      <c r="D23" s="312" t="s">
        <v>669</v>
      </c>
      <c r="E23" s="387">
        <v>13</v>
      </c>
      <c r="F23" s="71"/>
      <c r="G23" s="313" t="s">
        <v>397</v>
      </c>
      <c r="H23" s="314"/>
      <c r="U23" s="31"/>
      <c r="V23" s="31"/>
      <c r="W23" s="31"/>
      <c r="X23" s="31"/>
      <c r="Y23" s="1"/>
    </row>
    <row r="24" spans="1:30" ht="13.5" thickBot="1">
      <c r="C24" s="1"/>
      <c r="D24" s="312"/>
      <c r="E24" s="323"/>
      <c r="F24" s="72"/>
      <c r="G24" s="533"/>
      <c r="H24" s="539" t="s">
        <v>94</v>
      </c>
      <c r="U24" s="31"/>
      <c r="V24" s="31"/>
      <c r="W24" s="31"/>
      <c r="AA24" s="1"/>
      <c r="AB24" s="1"/>
    </row>
    <row r="25" spans="1:30" ht="15.75">
      <c r="A25" s="313" t="s">
        <v>50</v>
      </c>
      <c r="B25" s="314"/>
      <c r="C25" s="1"/>
      <c r="D25" s="312" t="s">
        <v>608</v>
      </c>
      <c r="E25" s="529">
        <f>E22/(E10*E34)</f>
        <v>0.11538461538461538</v>
      </c>
      <c r="F25" s="73"/>
      <c r="G25" s="533" t="s">
        <v>96</v>
      </c>
      <c r="H25" s="95">
        <v>15</v>
      </c>
      <c r="U25" s="1"/>
      <c r="V25" s="1"/>
      <c r="W25" s="31"/>
      <c r="AA25" s="1"/>
      <c r="AB25" s="1"/>
    </row>
    <row r="26" spans="1:30" ht="18.75" customHeight="1">
      <c r="A26" s="312" t="s">
        <v>501</v>
      </c>
      <c r="B26" s="528">
        <f ca="1">NOW()</f>
        <v>36622.45305034722</v>
      </c>
      <c r="C26" s="1"/>
      <c r="D26" s="312"/>
      <c r="E26" s="559"/>
      <c r="F26" s="1"/>
      <c r="G26" s="533" t="s">
        <v>98</v>
      </c>
      <c r="H26" s="427">
        <v>0</v>
      </c>
      <c r="U26" s="1"/>
      <c r="V26" s="1"/>
      <c r="W26" s="31"/>
      <c r="AA26" s="1"/>
      <c r="AB26" s="1"/>
    </row>
    <row r="27" spans="1:30" ht="21.75" customHeight="1" thickBot="1">
      <c r="A27" s="693"/>
      <c r="B27" s="330"/>
      <c r="C27" s="7"/>
      <c r="D27" s="312" t="s">
        <v>286</v>
      </c>
      <c r="E27" s="328">
        <v>1</v>
      </c>
      <c r="F27" s="72"/>
      <c r="G27" s="533" t="s">
        <v>99</v>
      </c>
      <c r="H27" s="428">
        <v>5</v>
      </c>
      <c r="U27" s="55"/>
      <c r="V27" s="55"/>
      <c r="W27" s="1"/>
      <c r="X27" s="1"/>
      <c r="Y27" s="1"/>
      <c r="AC27" s="1"/>
      <c r="AD27" s="1"/>
    </row>
    <row r="28" spans="1:30" ht="27.75" customHeight="1" thickBot="1">
      <c r="A28" s="693" t="s">
        <v>795</v>
      </c>
      <c r="B28" s="812">
        <f ca="1">Tables!D$21+$F$64</f>
        <v>-36282.02136331705</v>
      </c>
      <c r="C28" s="7"/>
      <c r="D28" s="312" t="s">
        <v>283</v>
      </c>
      <c r="E28" s="324" t="s">
        <v>36</v>
      </c>
      <c r="F28" s="73"/>
      <c r="G28" s="533" t="s">
        <v>100</v>
      </c>
      <c r="H28" s="428">
        <v>30</v>
      </c>
      <c r="U28" s="25"/>
      <c r="V28" s="1"/>
      <c r="W28" s="1"/>
      <c r="X28" s="1"/>
      <c r="Y28" s="1"/>
      <c r="AC28" s="1"/>
      <c r="AD28" s="1"/>
    </row>
    <row r="29" spans="1:30" ht="25.5" customHeight="1" thickBot="1">
      <c r="A29" s="312" t="s">
        <v>55</v>
      </c>
      <c r="B29" s="335">
        <v>0.1</v>
      </c>
      <c r="C29" s="7"/>
      <c r="D29" s="312" t="s">
        <v>282</v>
      </c>
      <c r="E29" s="318">
        <v>0.37</v>
      </c>
      <c r="F29" s="73"/>
      <c r="G29" s="533" t="s">
        <v>101</v>
      </c>
      <c r="H29" s="428">
        <v>10</v>
      </c>
      <c r="U29" s="9"/>
      <c r="V29" s="1"/>
      <c r="W29" s="1"/>
      <c r="X29" s="1"/>
      <c r="Y29" s="1"/>
      <c r="AC29" s="1"/>
      <c r="AD29" s="1"/>
    </row>
    <row r="30" spans="1:30" ht="27.75" customHeight="1" thickBot="1">
      <c r="A30" s="693" t="s">
        <v>623</v>
      </c>
      <c r="B30" s="812">
        <f ca="1">Tables!C$21+$F$64</f>
        <v>-13089.105083554112</v>
      </c>
      <c r="D30" s="312" t="s">
        <v>278</v>
      </c>
      <c r="E30" s="363">
        <f>'Int Curves'!Q6</f>
        <v>6.8822187428301346E-2</v>
      </c>
      <c r="G30" s="540" t="s">
        <v>396</v>
      </c>
      <c r="H30" s="429">
        <v>5</v>
      </c>
    </row>
    <row r="31" spans="1:30" ht="25.5" customHeight="1" thickBot="1">
      <c r="A31" s="317" t="s">
        <v>55</v>
      </c>
      <c r="B31" s="1030">
        <v>0.1</v>
      </c>
      <c r="D31" s="312" t="s">
        <v>574</v>
      </c>
      <c r="E31" s="325">
        <v>1.47</v>
      </c>
    </row>
    <row r="32" spans="1:30" ht="25.5" customHeight="1" thickBot="1">
      <c r="D32" s="312" t="s">
        <v>288</v>
      </c>
      <c r="E32" s="333">
        <v>0.02</v>
      </c>
      <c r="G32" s="214"/>
    </row>
    <row r="33" spans="1:13" ht="22.5" customHeight="1">
      <c r="A33" s="313" t="s">
        <v>279</v>
      </c>
      <c r="B33" s="314"/>
      <c r="D33" s="312" t="s">
        <v>273</v>
      </c>
      <c r="E33" s="1076">
        <v>0.67522191502795581</v>
      </c>
    </row>
    <row r="34" spans="1:13" ht="21.75" customHeight="1">
      <c r="A34" s="310" t="s">
        <v>492</v>
      </c>
      <c r="B34" s="327">
        <f>(0.35*1.055056)*(1.1/1.3)</f>
        <v>0.3124588923076923</v>
      </c>
      <c r="D34" s="312" t="s">
        <v>274</v>
      </c>
      <c r="E34" s="386">
        <f>1-E33</f>
        <v>0.32477808497204419</v>
      </c>
    </row>
    <row r="35" spans="1:13" ht="15.75" customHeight="1">
      <c r="A35" s="310"/>
      <c r="B35" s="327"/>
      <c r="D35" s="693" t="s">
        <v>821</v>
      </c>
      <c r="E35" s="386"/>
      <c r="F35" s="196"/>
      <c r="G35" s="766"/>
    </row>
    <row r="36" spans="1:13" ht="24" customHeight="1">
      <c r="A36" s="310" t="s">
        <v>515</v>
      </c>
      <c r="B36" s="561">
        <v>4.1900000000000004</v>
      </c>
      <c r="D36" s="312" t="s">
        <v>273</v>
      </c>
      <c r="E36" s="318">
        <v>1</v>
      </c>
      <c r="F36" s="196"/>
      <c r="G36" s="214"/>
    </row>
    <row r="37" spans="1:13" ht="27" customHeight="1">
      <c r="A37" s="693" t="s">
        <v>678</v>
      </c>
      <c r="B37" s="561"/>
      <c r="D37" s="312" t="s">
        <v>274</v>
      </c>
      <c r="E37" s="793">
        <f>1-E36</f>
        <v>0</v>
      </c>
      <c r="F37" s="196"/>
      <c r="G37" s="214"/>
    </row>
    <row r="38" spans="1:13" ht="15.75" customHeight="1">
      <c r="A38" s="310" t="s">
        <v>717</v>
      </c>
      <c r="B38" s="561"/>
      <c r="D38" s="693" t="s">
        <v>649</v>
      </c>
      <c r="E38" s="386"/>
      <c r="F38" s="43"/>
      <c r="G38" s="43"/>
    </row>
    <row r="39" spans="1:13" ht="19.5" customHeight="1">
      <c r="A39" s="310" t="s">
        <v>718</v>
      </c>
      <c r="B39" s="561"/>
      <c r="D39" s="312" t="s">
        <v>650</v>
      </c>
      <c r="E39" s="460">
        <v>0</v>
      </c>
      <c r="F39" s="43"/>
      <c r="I39" s="17"/>
      <c r="J39" s="17"/>
      <c r="K39" s="17"/>
      <c r="L39" s="17"/>
      <c r="M39" s="17"/>
    </row>
    <row r="40" spans="1:13">
      <c r="A40" s="310"/>
      <c r="B40" s="561"/>
      <c r="D40" s="312" t="s">
        <v>651</v>
      </c>
      <c r="E40" s="460">
        <v>0</v>
      </c>
      <c r="F40" s="43"/>
      <c r="G40" s="196"/>
      <c r="I40" s="17"/>
      <c r="J40" s="17"/>
      <c r="K40" s="17"/>
      <c r="L40" s="17"/>
      <c r="M40" s="17"/>
    </row>
    <row r="41" spans="1:13">
      <c r="A41" s="310" t="s">
        <v>513</v>
      </c>
      <c r="B41" s="529"/>
      <c r="D41" s="312" t="s">
        <v>652</v>
      </c>
      <c r="E41" s="460">
        <v>0</v>
      </c>
      <c r="F41" s="43"/>
      <c r="G41" s="43"/>
      <c r="I41" s="644"/>
      <c r="J41" s="645"/>
      <c r="K41" s="644"/>
      <c r="L41" s="645"/>
      <c r="M41" s="17"/>
    </row>
    <row r="42" spans="1:13">
      <c r="A42" s="310" t="s">
        <v>690</v>
      </c>
      <c r="B42" s="781">
        <v>0</v>
      </c>
      <c r="D42" s="312" t="s">
        <v>653</v>
      </c>
      <c r="E42" s="460">
        <v>0</v>
      </c>
      <c r="F42" s="43"/>
      <c r="G42" s="462"/>
      <c r="I42" s="642"/>
      <c r="J42" s="642"/>
      <c r="K42" s="642"/>
      <c r="L42" s="642"/>
      <c r="M42" s="17"/>
    </row>
    <row r="43" spans="1:13">
      <c r="A43" s="310"/>
      <c r="B43" s="529"/>
      <c r="D43" s="693" t="s">
        <v>654</v>
      </c>
      <c r="E43" s="386"/>
      <c r="F43" s="43"/>
      <c r="G43" s="462"/>
      <c r="I43" s="642"/>
      <c r="J43" s="642"/>
      <c r="K43" s="642"/>
      <c r="L43" s="642"/>
      <c r="M43" s="17"/>
    </row>
    <row r="44" spans="1:13">
      <c r="A44" s="587"/>
      <c r="B44" s="529"/>
      <c r="D44" s="312" t="s">
        <v>655</v>
      </c>
      <c r="E44" s="801">
        <f>MIN(Cashflow!E$68:O$68)</f>
        <v>1.8212259693877317</v>
      </c>
      <c r="F44" s="43"/>
      <c r="G44" s="375"/>
      <c r="I44" s="642"/>
      <c r="J44" s="642"/>
      <c r="K44" s="642"/>
      <c r="L44" s="642"/>
      <c r="M44" s="17"/>
    </row>
    <row r="45" spans="1:13">
      <c r="A45" s="310" t="s">
        <v>502</v>
      </c>
      <c r="B45" s="529"/>
      <c r="C45" s="43"/>
      <c r="D45" s="312" t="s">
        <v>788</v>
      </c>
      <c r="E45" s="1056">
        <f>AVERAGE(Cashflow!E$68:O$68)</f>
        <v>2.499766631330981</v>
      </c>
      <c r="F45" s="196">
        <v>2.5</v>
      </c>
      <c r="G45" s="375" t="s">
        <v>798</v>
      </c>
      <c r="I45" s="642"/>
      <c r="J45" s="642"/>
      <c r="K45" s="642"/>
      <c r="L45" s="642"/>
      <c r="M45" s="17"/>
    </row>
    <row r="46" spans="1:13">
      <c r="A46" s="310"/>
      <c r="B46" s="529"/>
      <c r="C46" s="43"/>
      <c r="D46" s="312" t="s">
        <v>656</v>
      </c>
      <c r="E46" s="801">
        <f>MAX(Cashflow!E68:O68)</f>
        <v>3.9585942667651994</v>
      </c>
      <c r="F46" s="43"/>
      <c r="G46" s="375"/>
      <c r="I46" s="642"/>
      <c r="J46" s="642"/>
      <c r="K46" s="642"/>
      <c r="L46" s="642"/>
      <c r="M46" s="17"/>
    </row>
    <row r="47" spans="1:13">
      <c r="A47" s="693" t="s">
        <v>786</v>
      </c>
      <c r="B47" s="1075" t="s">
        <v>417</v>
      </c>
      <c r="C47" s="43"/>
      <c r="D47" s="310" t="s">
        <v>358</v>
      </c>
      <c r="E47" s="802">
        <v>36586</v>
      </c>
      <c r="F47" s="43"/>
      <c r="G47" s="375"/>
      <c r="I47" s="642"/>
      <c r="J47" s="642"/>
      <c r="K47" s="642"/>
      <c r="L47" s="642"/>
      <c r="M47" s="17"/>
    </row>
    <row r="48" spans="1:13">
      <c r="A48" s="698"/>
      <c r="B48" s="328"/>
      <c r="C48" s="43"/>
      <c r="D48" s="312" t="s">
        <v>704</v>
      </c>
      <c r="E48" s="387">
        <v>10</v>
      </c>
      <c r="F48" s="43"/>
      <c r="G48" s="375"/>
      <c r="I48" s="642"/>
      <c r="J48" s="642"/>
      <c r="K48" s="642"/>
      <c r="L48" s="642"/>
      <c r="M48" s="17"/>
    </row>
    <row r="49" spans="1:13">
      <c r="A49" s="310" t="s">
        <v>693</v>
      </c>
      <c r="B49" s="788">
        <v>0</v>
      </c>
      <c r="D49" s="312" t="s">
        <v>359</v>
      </c>
      <c r="E49" s="388">
        <v>36831</v>
      </c>
      <c r="F49" s="43"/>
      <c r="G49" s="375"/>
      <c r="I49" s="642"/>
      <c r="J49" s="642"/>
      <c r="K49" s="642"/>
      <c r="L49" s="642"/>
      <c r="M49" s="17"/>
    </row>
    <row r="50" spans="1:13">
      <c r="A50" s="765" t="s">
        <v>696</v>
      </c>
      <c r="B50" s="327">
        <v>65</v>
      </c>
      <c r="D50" s="312" t="s">
        <v>377</v>
      </c>
      <c r="E50" s="388" t="s">
        <v>378</v>
      </c>
      <c r="F50" s="43"/>
      <c r="G50" s="375"/>
      <c r="I50" s="642"/>
      <c r="J50" s="642"/>
      <c r="K50" s="642"/>
      <c r="L50" s="642"/>
      <c r="M50" s="17"/>
    </row>
    <row r="51" spans="1:13">
      <c r="A51" s="310"/>
      <c r="B51" s="529"/>
      <c r="D51" s="312" t="s">
        <v>360</v>
      </c>
      <c r="E51" s="387">
        <v>2</v>
      </c>
      <c r="F51" s="43"/>
      <c r="G51" s="375"/>
      <c r="I51" s="642"/>
      <c r="J51" s="642"/>
      <c r="K51" s="642"/>
      <c r="L51" s="642"/>
      <c r="M51" s="17"/>
    </row>
    <row r="52" spans="1:13">
      <c r="A52" s="310" t="s">
        <v>544</v>
      </c>
      <c r="B52" s="813">
        <v>0</v>
      </c>
      <c r="D52" s="312" t="s">
        <v>363</v>
      </c>
      <c r="E52" s="803">
        <f ca="1">TODAY()</f>
        <v>36622</v>
      </c>
      <c r="F52" s="43"/>
      <c r="G52" s="375"/>
      <c r="I52" s="642"/>
      <c r="J52" s="642"/>
      <c r="K52" s="642"/>
      <c r="L52" s="642"/>
      <c r="M52" s="17"/>
    </row>
    <row r="53" spans="1:13">
      <c r="A53" s="310" t="s">
        <v>545</v>
      </c>
      <c r="B53" s="460">
        <v>10000</v>
      </c>
      <c r="D53" s="693" t="s">
        <v>701</v>
      </c>
      <c r="E53" s="388"/>
      <c r="F53" s="43"/>
      <c r="I53" s="642"/>
      <c r="J53" s="642"/>
      <c r="K53" s="642"/>
      <c r="L53" s="642"/>
      <c r="M53" s="17"/>
    </row>
    <row r="54" spans="1:13">
      <c r="A54" s="310" t="s">
        <v>552</v>
      </c>
      <c r="B54" s="460">
        <v>0</v>
      </c>
      <c r="D54" s="310" t="s">
        <v>358</v>
      </c>
      <c r="E54" s="388">
        <v>37895</v>
      </c>
      <c r="H54" s="645"/>
      <c r="I54" s="642"/>
      <c r="J54" s="642"/>
      <c r="K54" s="642"/>
      <c r="L54" s="642"/>
      <c r="M54" s="17"/>
    </row>
    <row r="55" spans="1:13">
      <c r="A55" s="310" t="s">
        <v>553</v>
      </c>
      <c r="B55" s="328">
        <v>0</v>
      </c>
      <c r="D55" s="312" t="s">
        <v>703</v>
      </c>
      <c r="E55" s="95">
        <v>3</v>
      </c>
      <c r="H55" s="782"/>
      <c r="I55" s="643"/>
      <c r="J55" s="643"/>
      <c r="K55" s="643"/>
      <c r="L55" s="643"/>
      <c r="M55" s="17"/>
    </row>
    <row r="56" spans="1:13">
      <c r="A56" s="310" t="s">
        <v>505</v>
      </c>
      <c r="B56" s="460">
        <v>0</v>
      </c>
      <c r="D56" s="312" t="s">
        <v>359</v>
      </c>
      <c r="E56" s="804">
        <v>37987</v>
      </c>
      <c r="H56" s="642"/>
      <c r="I56" s="43"/>
      <c r="J56" s="43"/>
      <c r="K56" s="43"/>
      <c r="L56" s="43"/>
      <c r="M56" s="17"/>
    </row>
    <row r="57" spans="1:13">
      <c r="A57" s="310" t="s">
        <v>468</v>
      </c>
      <c r="B57" s="328">
        <v>0</v>
      </c>
      <c r="D57" s="312" t="s">
        <v>377</v>
      </c>
      <c r="E57" s="803" t="s">
        <v>378</v>
      </c>
      <c r="G57" s="644"/>
      <c r="H57" s="642"/>
      <c r="I57" s="17"/>
      <c r="J57" s="17"/>
      <c r="K57" s="17"/>
      <c r="L57" s="17"/>
      <c r="M57" s="17"/>
    </row>
    <row r="58" spans="1:13" ht="13.5" thickBot="1">
      <c r="A58" s="312" t="s">
        <v>504</v>
      </c>
      <c r="B58" s="327">
        <f>Tables!N10</f>
        <v>1.49</v>
      </c>
      <c r="C58" s="17"/>
      <c r="D58" s="805"/>
      <c r="E58" s="806"/>
      <c r="G58" s="644"/>
      <c r="H58" s="768"/>
      <c r="I58" s="17"/>
      <c r="J58" s="17"/>
      <c r="K58" s="17"/>
      <c r="L58" s="17"/>
      <c r="M58" s="17"/>
    </row>
    <row r="59" spans="1:13">
      <c r="A59" s="312" t="s">
        <v>645</v>
      </c>
      <c r="B59" s="327">
        <v>4</v>
      </c>
      <c r="C59" s="17"/>
      <c r="G59" s="642"/>
      <c r="H59" s="768"/>
      <c r="I59" s="17"/>
    </row>
    <row r="60" spans="1:13">
      <c r="A60" s="312" t="s">
        <v>579</v>
      </c>
      <c r="B60" s="327">
        <v>0</v>
      </c>
      <c r="C60" s="17"/>
      <c r="G60" s="642"/>
      <c r="H60" s="768"/>
      <c r="I60" s="17"/>
    </row>
    <row r="61" spans="1:13">
      <c r="A61" s="674" t="s">
        <v>573</v>
      </c>
      <c r="B61" s="675">
        <v>0.6</v>
      </c>
      <c r="C61" s="17"/>
      <c r="G61" s="768"/>
      <c r="H61" s="768"/>
      <c r="I61" s="17"/>
    </row>
    <row r="62" spans="1:13" ht="13.5" thickBot="1">
      <c r="A62" s="673"/>
      <c r="B62" s="327"/>
      <c r="G62" s="768"/>
      <c r="H62" s="768"/>
      <c r="I62" s="17"/>
    </row>
    <row r="63" spans="1:13">
      <c r="A63" s="312" t="s">
        <v>477</v>
      </c>
      <c r="B63" s="530">
        <f>0.5%</f>
        <v>5.0000000000000001E-3</v>
      </c>
      <c r="D63" s="769"/>
      <c r="E63" s="770" t="s">
        <v>547</v>
      </c>
      <c r="F63" s="771" t="s">
        <v>624</v>
      </c>
      <c r="G63" s="768"/>
      <c r="H63" s="768"/>
      <c r="I63" s="17"/>
    </row>
    <row r="64" spans="1:13" ht="13.5" thickBot="1">
      <c r="A64" s="312" t="s">
        <v>479</v>
      </c>
      <c r="B64" s="530">
        <f>0.25%</f>
        <v>2.5000000000000001E-3</v>
      </c>
      <c r="D64" s="317" t="s">
        <v>546</v>
      </c>
      <c r="E64" s="647">
        <f>2355909/1000</f>
        <v>2355.9090000000001</v>
      </c>
      <c r="F64" s="772">
        <f>E64*0.854</f>
        <v>2011.9462860000001</v>
      </c>
      <c r="G64" s="768"/>
      <c r="H64" s="768"/>
      <c r="I64" s="17"/>
    </row>
    <row r="65" spans="1:9" ht="13.5" thickBot="1">
      <c r="A65" s="317" t="s">
        <v>485</v>
      </c>
      <c r="B65" s="401">
        <v>45</v>
      </c>
      <c r="I65" s="17"/>
    </row>
    <row r="66" spans="1:9" ht="13.5" thickBot="1">
      <c r="B66" s="472"/>
      <c r="D66" s="505"/>
      <c r="E66" s="17"/>
      <c r="F66" s="17"/>
      <c r="H66" s="768"/>
      <c r="I66" s="17"/>
    </row>
    <row r="67" spans="1:9" ht="15.75">
      <c r="A67" s="714" t="s">
        <v>611</v>
      </c>
      <c r="B67" s="715"/>
      <c r="D67" s="1028"/>
      <c r="E67" s="645"/>
      <c r="F67" s="645"/>
      <c r="H67" s="43"/>
    </row>
    <row r="68" spans="1:9">
      <c r="A68" s="312" t="s">
        <v>612</v>
      </c>
      <c r="B68" s="814">
        <f>(5750/2)*E31</f>
        <v>4226.25</v>
      </c>
      <c r="D68" s="43"/>
      <c r="E68" s="375"/>
      <c r="F68" s="645"/>
    </row>
    <row r="69" spans="1:9">
      <c r="A69" s="312" t="s">
        <v>616</v>
      </c>
      <c r="B69" s="318">
        <v>0</v>
      </c>
      <c r="D69" s="43"/>
      <c r="E69" s="774"/>
      <c r="F69" s="1029"/>
      <c r="G69" s="768"/>
    </row>
    <row r="70" spans="1:9">
      <c r="A70" s="312" t="s">
        <v>613</v>
      </c>
      <c r="B70" s="250">
        <v>230</v>
      </c>
      <c r="D70" s="43"/>
      <c r="E70" s="774"/>
      <c r="F70" s="1029"/>
      <c r="G70" s="768"/>
    </row>
    <row r="71" spans="1:9">
      <c r="A71" s="312" t="s">
        <v>614</v>
      </c>
      <c r="B71" s="318">
        <v>0.1</v>
      </c>
      <c r="D71" s="43"/>
      <c r="E71" s="773"/>
      <c r="F71" s="1029"/>
      <c r="G71" s="768"/>
    </row>
    <row r="72" spans="1:9" ht="13.5" thickBot="1">
      <c r="A72" s="317" t="s">
        <v>615</v>
      </c>
      <c r="B72" s="716">
        <v>5</v>
      </c>
      <c r="D72" s="43"/>
      <c r="E72" s="755"/>
      <c r="F72" s="1029"/>
      <c r="G72" s="768"/>
    </row>
    <row r="73" spans="1:9">
      <c r="D73" s="17"/>
      <c r="E73" s="755"/>
      <c r="F73" s="1029"/>
      <c r="G73" s="43"/>
    </row>
    <row r="74" spans="1:9">
      <c r="D74" s="17" t="s">
        <v>820</v>
      </c>
      <c r="E74" s="17"/>
      <c r="F74" s="1029"/>
      <c r="G74" s="17"/>
    </row>
    <row r="75" spans="1:9">
      <c r="D75" s="17"/>
      <c r="E75" s="755"/>
      <c r="F75" s="1029"/>
    </row>
    <row r="76" spans="1:9">
      <c r="D76" s="17"/>
      <c r="E76" s="755"/>
      <c r="F76" s="1029"/>
    </row>
    <row r="77" spans="1:9">
      <c r="D77" s="17"/>
      <c r="E77" s="755"/>
      <c r="F77" s="1029"/>
    </row>
    <row r="78" spans="1:9">
      <c r="D78" s="17"/>
      <c r="E78" s="17"/>
      <c r="F78" s="17"/>
    </row>
    <row r="79" spans="1:9">
      <c r="D79" s="43"/>
      <c r="E79" s="375"/>
      <c r="F79" s="642"/>
    </row>
    <row r="80" spans="1:9">
      <c r="D80" s="43"/>
      <c r="E80" s="774"/>
      <c r="F80" s="642"/>
    </row>
    <row r="81" spans="4:6">
      <c r="D81" s="43"/>
      <c r="E81" s="774"/>
      <c r="F81" s="642"/>
    </row>
    <row r="82" spans="4:6">
      <c r="D82" s="43"/>
      <c r="E82" s="774"/>
      <c r="F82" s="642"/>
    </row>
    <row r="83" spans="4:6">
      <c r="D83" s="43"/>
      <c r="E83" s="375"/>
      <c r="F83" s="642"/>
    </row>
    <row r="84" spans="4:6">
      <c r="D84" s="17"/>
      <c r="E84" s="755"/>
      <c r="F84" s="642"/>
    </row>
    <row r="85" spans="4:6">
      <c r="D85" s="43"/>
      <c r="E85" s="43"/>
      <c r="F85" s="17"/>
    </row>
    <row r="86" spans="4:6">
      <c r="D86" s="43"/>
      <c r="E86" s="790"/>
      <c r="F86" s="642"/>
    </row>
    <row r="87" spans="4:6">
      <c r="D87" s="43"/>
      <c r="E87" s="815"/>
      <c r="F87" s="642"/>
    </row>
    <row r="88" spans="4:6">
      <c r="D88" s="43"/>
      <c r="E88" s="17"/>
      <c r="F88" s="642"/>
    </row>
    <row r="89" spans="4:6">
      <c r="D89" s="17"/>
      <c r="E89" s="17"/>
      <c r="F89" s="17"/>
    </row>
    <row r="90" spans="4:6">
      <c r="D90" s="505"/>
      <c r="E90" s="645"/>
      <c r="F90" s="17"/>
    </row>
    <row r="91" spans="4:6">
      <c r="D91" s="17"/>
      <c r="E91" s="17"/>
      <c r="F91" s="17"/>
    </row>
    <row r="92" spans="4:6">
      <c r="D92" s="17"/>
      <c r="E92" s="17"/>
      <c r="F92" s="17"/>
    </row>
    <row r="93" spans="4:6">
      <c r="D93" s="17"/>
      <c r="E93" s="17"/>
      <c r="F93" s="17"/>
    </row>
    <row r="94" spans="4:6">
      <c r="D94" s="17"/>
      <c r="E94" s="17"/>
      <c r="F94" s="17"/>
    </row>
  </sheetData>
  <sheetCalcPr fullCalcOnLoad="1"/>
  <mergeCells count="1">
    <mergeCell ref="A1:H1"/>
  </mergeCells>
  <pageMargins left="0.48" right="0.36" top="0.42" bottom="0.34" header="0.21" footer="0.19"/>
  <pageSetup scale="48" orientation="portrait" r:id="rId1"/>
  <headerFooter alignWithMargins="0">
    <oddFooter>&amp;L&amp;F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19" r:id="rId4" name="Drop Down 19">
              <controlPr defaultSize="0" autoLine="0" autoPict="0">
                <anchor moveWithCells="1">
                  <from>
                    <xdr:col>1</xdr:col>
                    <xdr:colOff>0</xdr:colOff>
                    <xdr:row>7</xdr:row>
                    <xdr:rowOff>28575</xdr:rowOff>
                  </from>
                  <to>
                    <xdr:col>1</xdr:col>
                    <xdr:colOff>1647825</xdr:colOff>
                    <xdr:row>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9" r:id="rId5" name="Drop Down 59">
              <controlPr defaultSize="0" autoLine="0" autoPict="0">
                <anchor moveWithCells="1">
                  <from>
                    <xdr:col>4</xdr:col>
                    <xdr:colOff>0</xdr:colOff>
                    <xdr:row>27</xdr:row>
                    <xdr:rowOff>0</xdr:rowOff>
                  </from>
                  <to>
                    <xdr:col>4</xdr:col>
                    <xdr:colOff>1552575</xdr:colOff>
                    <xdr:row>27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5" r:id="rId6" name="Drop Down 105">
              <controlPr defaultSize="0" autoLine="0" autoPict="0">
                <anchor moveWithCells="1">
                  <from>
                    <xdr:col>1</xdr:col>
                    <xdr:colOff>66675</xdr:colOff>
                    <xdr:row>21</xdr:row>
                    <xdr:rowOff>104775</xdr:rowOff>
                  </from>
                  <to>
                    <xdr:col>1</xdr:col>
                    <xdr:colOff>1600200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1" r:id="rId7" name="Button 131">
              <controlPr defaultSize="0" print="0" autoFill="0" autoPict="0" macro="[0]!CopyTaxCap">
                <anchor moveWithCells="1" sizeWithCells="1">
                  <from>
                    <xdr:col>1</xdr:col>
                    <xdr:colOff>219075</xdr:colOff>
                    <xdr:row>73</xdr:row>
                    <xdr:rowOff>0</xdr:rowOff>
                  </from>
                  <to>
                    <xdr:col>1</xdr:col>
                    <xdr:colOff>1352550</xdr:colOff>
                    <xdr:row>75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1" r:id="rId8" name="Drop Down 141">
              <controlPr defaultSize="0" autoLine="0" autoPict="0">
                <anchor moveWithCells="1">
                  <from>
                    <xdr:col>1</xdr:col>
                    <xdr:colOff>9525</xdr:colOff>
                    <xdr:row>4</xdr:row>
                    <xdr:rowOff>0</xdr:rowOff>
                  </from>
                  <to>
                    <xdr:col>1</xdr:col>
                    <xdr:colOff>1638300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5" r:id="rId9" name="Drop Down 195">
              <controlPr defaultSize="0" autoLine="0" autoPict="0">
                <anchor moveWithCells="1">
                  <from>
                    <xdr:col>1</xdr:col>
                    <xdr:colOff>0</xdr:colOff>
                    <xdr:row>39</xdr:row>
                    <xdr:rowOff>76200</xdr:rowOff>
                  </from>
                  <to>
                    <xdr:col>1</xdr:col>
                    <xdr:colOff>1638300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6" r:id="rId10" name="Drop Down 196">
              <controlPr defaultSize="0" autoLine="0" autoPict="0">
                <anchor moveWithCells="1">
                  <from>
                    <xdr:col>1</xdr:col>
                    <xdr:colOff>28575</xdr:colOff>
                    <xdr:row>43</xdr:row>
                    <xdr:rowOff>114300</xdr:rowOff>
                  </from>
                  <to>
                    <xdr:col>1</xdr:col>
                    <xdr:colOff>1647825</xdr:colOff>
                    <xdr:row>44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8" r:id="rId11" name="Drop Down 218">
              <controlPr defaultSize="0" autoLine="0" autoPict="0">
                <anchor moveWithCells="1">
                  <from>
                    <xdr:col>1</xdr:col>
                    <xdr:colOff>0</xdr:colOff>
                    <xdr:row>8</xdr:row>
                    <xdr:rowOff>142875</xdr:rowOff>
                  </from>
                  <to>
                    <xdr:col>2</xdr:col>
                    <xdr:colOff>0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9" r:id="rId12" name="Drop Down 219">
              <controlPr defaultSize="0" autoLine="0" autoPict="0">
                <anchor moveWithCells="1">
                  <from>
                    <xdr:col>1</xdr:col>
                    <xdr:colOff>85725</xdr:colOff>
                    <xdr:row>36</xdr:row>
                    <xdr:rowOff>314325</xdr:rowOff>
                  </from>
                  <to>
                    <xdr:col>1</xdr:col>
                    <xdr:colOff>1628775</xdr:colOff>
                    <xdr:row>37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DH65536"/>
  <sheetViews>
    <sheetView topLeftCell="A4" zoomScale="75" workbookViewId="0">
      <pane xSplit="3" ySplit="7" topLeftCell="D11" activePane="bottomRight" state="frozen"/>
      <selection activeCell="A4" sqref="A4"/>
      <selection pane="topRight" activeCell="D4" sqref="D4"/>
      <selection pane="bottomLeft" activeCell="A11" sqref="A11"/>
      <selection pane="bottomRight" activeCell="D11" sqref="D11"/>
    </sheetView>
  </sheetViews>
  <sheetFormatPr defaultRowHeight="18.75" customHeight="1"/>
  <cols>
    <col min="5" max="9" width="9.140625" style="214"/>
    <col min="10" max="10" width="4.140625" style="214" customWidth="1"/>
    <col min="11" max="11" width="10.28515625" customWidth="1"/>
    <col min="12" max="12" width="4.7109375" customWidth="1"/>
    <col min="13" max="13" width="14.85546875" style="43" customWidth="1"/>
    <col min="14" max="16" width="13.85546875" style="43" customWidth="1"/>
    <col min="17" max="17" width="14.28515625" style="43" customWidth="1"/>
    <col min="18" max="18" width="16.5703125" style="43" customWidth="1"/>
    <col min="19" max="19" width="14.28515625" style="43" customWidth="1"/>
    <col min="20" max="20" width="10.28515625" style="43" customWidth="1"/>
    <col min="21" max="21" width="0" style="43" hidden="1" customWidth="1"/>
    <col min="22" max="22" width="10" style="43" customWidth="1"/>
    <col min="23" max="23" width="10.140625" style="43" customWidth="1"/>
    <col min="24" max="24" width="10.28515625" style="43" customWidth="1"/>
    <col min="25" max="25" width="10" style="43" customWidth="1"/>
    <col min="26" max="26" width="10.5703125" style="43" customWidth="1"/>
    <col min="27" max="27" width="9.85546875" style="43" customWidth="1"/>
    <col min="28" max="28" width="10.28515625" style="43" customWidth="1"/>
    <col min="29" max="29" width="4.140625" style="43" customWidth="1"/>
    <col min="30" max="30" width="14.28515625" style="43" customWidth="1"/>
    <col min="31" max="31" width="13.85546875" style="43" customWidth="1"/>
    <col min="32" max="32" width="8.85546875" style="43" customWidth="1"/>
    <col min="33" max="33" width="3.28515625" style="43" customWidth="1"/>
    <col min="34" max="34" width="0" style="43" hidden="1" customWidth="1"/>
    <col min="35" max="35" width="10.7109375" style="43" customWidth="1"/>
    <col min="36" max="36" width="10.28515625" style="43" customWidth="1"/>
    <col min="37" max="37" width="10.7109375" style="43" customWidth="1"/>
    <col min="38" max="40" width="9.85546875" style="43" customWidth="1"/>
    <col min="41" max="42" width="3.5703125" style="43" customWidth="1"/>
    <col min="43" max="43" width="16" style="43" customWidth="1"/>
    <col min="44" max="44" width="12.28515625" style="43" customWidth="1"/>
    <col min="45" max="45" width="10.140625" style="43" customWidth="1"/>
    <col min="46" max="46" width="9.85546875" style="43" customWidth="1"/>
    <col min="47" max="47" width="12.28515625" style="43" customWidth="1"/>
    <col min="48" max="48" width="9.5703125" style="43" customWidth="1"/>
    <col min="49" max="49" width="11.28515625" style="43" customWidth="1"/>
    <col min="50" max="50" width="11.42578125" style="43" customWidth="1"/>
    <col min="51" max="51" width="10.28515625" style="43" customWidth="1"/>
    <col min="52" max="52" width="10.42578125" style="43" customWidth="1"/>
    <col min="53" max="57" width="9.85546875" style="43" customWidth="1"/>
    <col min="58" max="58" width="9.140625" style="43"/>
    <col min="59" max="59" width="13.140625" bestFit="1" customWidth="1"/>
    <col min="60" max="61" width="10.7109375" customWidth="1"/>
    <col min="62" max="62" width="10.140625" customWidth="1"/>
    <col min="63" max="63" width="10.140625" style="214" customWidth="1"/>
    <col min="64" max="64" width="14.28515625" style="43" customWidth="1"/>
    <col min="65" max="66" width="10.140625" style="43" customWidth="1"/>
    <col min="67" max="67" width="14.140625" style="214" customWidth="1"/>
    <col min="68" max="68" width="14.140625" customWidth="1"/>
    <col min="69" max="69" width="10.140625" style="43" customWidth="1"/>
    <col min="70" max="70" width="10.140625" customWidth="1"/>
    <col min="71" max="71" width="12.28515625" customWidth="1"/>
    <col min="72" max="72" width="10.28515625" customWidth="1"/>
    <col min="73" max="73" width="12.85546875" bestFit="1" customWidth="1"/>
    <col min="74" max="74" width="12.85546875" style="214" customWidth="1"/>
    <col min="75" max="75" width="12.85546875" customWidth="1"/>
    <col min="76" max="76" width="14.5703125" customWidth="1"/>
    <col min="77" max="77" width="15.85546875" customWidth="1"/>
    <col min="78" max="78" width="7" style="214" customWidth="1"/>
    <col min="79" max="84" width="12.85546875" style="214" customWidth="1"/>
    <col min="85" max="85" width="10.140625" customWidth="1"/>
    <col min="86" max="87" width="11.42578125" customWidth="1"/>
    <col min="88" max="90" width="10.140625" customWidth="1"/>
    <col min="91" max="91" width="12.28515625" customWidth="1"/>
    <col min="92" max="95" width="10.140625" customWidth="1"/>
    <col min="101" max="101" width="9.140625" style="631"/>
    <col min="102" max="104" width="12.42578125" style="631" customWidth="1"/>
    <col min="106" max="106" width="15.140625" bestFit="1" customWidth="1"/>
    <col min="107" max="107" width="14.85546875" bestFit="1" customWidth="1"/>
    <col min="109" max="109" width="10.28515625" bestFit="1" customWidth="1"/>
    <col min="110" max="110" width="10.5703125" customWidth="1"/>
    <col min="111" max="111" width="13.5703125" customWidth="1"/>
    <col min="112" max="112" width="12.85546875" bestFit="1" customWidth="1"/>
  </cols>
  <sheetData>
    <row r="1" spans="1:112" ht="34.5" hidden="1" customHeight="1">
      <c r="A1" t="s">
        <v>432</v>
      </c>
      <c r="B1" t="s">
        <v>676</v>
      </c>
      <c r="M1"/>
      <c r="N1"/>
      <c r="O1"/>
      <c r="P1"/>
      <c r="Q1"/>
      <c r="R1"/>
      <c r="S1"/>
      <c r="T1"/>
      <c r="U1"/>
      <c r="V1"/>
      <c r="W1"/>
      <c r="X1"/>
      <c r="Y1"/>
      <c r="Z1"/>
      <c r="AA1" s="214"/>
      <c r="AB1"/>
      <c r="AC1"/>
      <c r="AD1"/>
      <c r="AE1"/>
      <c r="AF1"/>
      <c r="AG1" s="214"/>
      <c r="AH1" s="17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O1"/>
      <c r="BQ1"/>
      <c r="BZ1"/>
      <c r="CA1"/>
      <c r="CB1"/>
      <c r="CC1"/>
      <c r="CD1"/>
      <c r="CE1"/>
      <c r="CF1"/>
    </row>
    <row r="2" spans="1:112" ht="29.25" hidden="1" customHeight="1">
      <c r="A2" t="s">
        <v>433</v>
      </c>
      <c r="B2" t="s">
        <v>677</v>
      </c>
      <c r="M2"/>
      <c r="N2"/>
      <c r="O2"/>
      <c r="P2"/>
      <c r="Q2"/>
      <c r="R2"/>
      <c r="S2"/>
      <c r="T2"/>
      <c r="U2"/>
      <c r="V2"/>
      <c r="W2"/>
      <c r="X2"/>
      <c r="Y2"/>
      <c r="Z2"/>
      <c r="AA2" s="214"/>
      <c r="AB2"/>
      <c r="AC2"/>
      <c r="AD2"/>
      <c r="AE2"/>
      <c r="AF2"/>
      <c r="AG2" s="214"/>
      <c r="AH2" s="17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O2"/>
      <c r="BQ2"/>
      <c r="BZ2"/>
      <c r="CA2"/>
      <c r="CB2"/>
      <c r="CC2"/>
      <c r="CD2"/>
      <c r="CE2"/>
      <c r="CF2"/>
    </row>
    <row r="3" spans="1:112" ht="24.75" hidden="1" customHeight="1">
      <c r="A3" t="s">
        <v>434</v>
      </c>
      <c r="B3" t="s">
        <v>636</v>
      </c>
      <c r="M3"/>
      <c r="N3"/>
      <c r="O3"/>
      <c r="P3"/>
      <c r="Q3"/>
      <c r="R3"/>
      <c r="S3"/>
      <c r="T3"/>
      <c r="U3"/>
      <c r="V3"/>
      <c r="W3"/>
      <c r="X3"/>
      <c r="Y3"/>
      <c r="Z3" s="568"/>
      <c r="AA3" s="214"/>
      <c r="AB3"/>
      <c r="AC3"/>
      <c r="AD3"/>
      <c r="AE3"/>
      <c r="AF3"/>
      <c r="AG3" s="214"/>
      <c r="AH3" s="17"/>
      <c r="AI3"/>
      <c r="AJ3"/>
      <c r="AK3"/>
      <c r="AL3" s="568" t="s">
        <v>284</v>
      </c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O3"/>
      <c r="BQ3"/>
      <c r="BT3" s="568" t="s">
        <v>284</v>
      </c>
      <c r="BZ3"/>
      <c r="CA3"/>
      <c r="CB3"/>
      <c r="CC3"/>
      <c r="CD3"/>
      <c r="CE3"/>
      <c r="CF3"/>
    </row>
    <row r="4" spans="1:112" ht="18.75" customHeight="1">
      <c r="A4" s="707" t="s">
        <v>679</v>
      </c>
      <c r="D4" s="214"/>
      <c r="K4" s="214"/>
      <c r="L4" s="214"/>
      <c r="M4" s="214" t="s">
        <v>631</v>
      </c>
      <c r="N4"/>
      <c r="O4"/>
      <c r="P4"/>
      <c r="Q4"/>
      <c r="R4"/>
      <c r="S4"/>
      <c r="T4"/>
      <c r="U4"/>
      <c r="V4"/>
      <c r="W4"/>
      <c r="X4"/>
      <c r="Y4"/>
      <c r="Z4" s="568"/>
      <c r="AA4" s="214"/>
      <c r="AB4"/>
      <c r="AC4"/>
      <c r="AD4"/>
      <c r="AE4"/>
      <c r="AF4"/>
      <c r="AG4" s="214"/>
      <c r="AH4" s="17"/>
      <c r="AI4"/>
      <c r="AJ4" t="s">
        <v>528</v>
      </c>
      <c r="AK4"/>
      <c r="AL4" s="568"/>
      <c r="AM4" s="568" t="s">
        <v>639</v>
      </c>
      <c r="AN4" s="568"/>
      <c r="AO4" s="568"/>
      <c r="AP4" s="568"/>
      <c r="AQ4" s="568"/>
      <c r="AR4" s="568"/>
      <c r="AS4" s="568"/>
      <c r="AT4" s="568"/>
      <c r="AU4" s="568"/>
      <c r="AV4" s="568"/>
      <c r="AW4" s="568"/>
      <c r="AX4" s="568"/>
      <c r="AY4" s="568"/>
      <c r="AZ4" s="568"/>
      <c r="BA4" s="568"/>
      <c r="BB4" s="568"/>
      <c r="BC4" s="568"/>
      <c r="BD4" s="568"/>
      <c r="BE4" s="568"/>
      <c r="BF4" s="43">
        <v>0.5</v>
      </c>
      <c r="BG4" t="s">
        <v>674</v>
      </c>
      <c r="BO4"/>
      <c r="BQ4"/>
      <c r="BT4" s="568"/>
      <c r="BZ4"/>
      <c r="CA4"/>
      <c r="CB4"/>
      <c r="CC4"/>
      <c r="CD4"/>
      <c r="CE4"/>
      <c r="CF4"/>
    </row>
    <row r="5" spans="1:112" ht="18.75" customHeight="1">
      <c r="A5" s="707"/>
      <c r="D5" s="214"/>
      <c r="K5" s="214"/>
      <c r="L5" s="214"/>
      <c r="M5"/>
      <c r="N5"/>
      <c r="O5"/>
      <c r="P5"/>
      <c r="Q5"/>
      <c r="R5"/>
      <c r="S5"/>
      <c r="T5"/>
      <c r="U5"/>
      <c r="V5"/>
      <c r="W5"/>
      <c r="X5"/>
      <c r="Y5"/>
      <c r="Z5" s="568"/>
      <c r="AA5" s="214"/>
      <c r="AB5"/>
      <c r="AC5"/>
      <c r="AD5"/>
      <c r="AE5"/>
      <c r="AF5"/>
      <c r="AG5" s="214"/>
      <c r="AH5" s="17"/>
      <c r="AI5"/>
      <c r="AJ5"/>
      <c r="AK5"/>
      <c r="AL5" s="568"/>
      <c r="AM5" s="568"/>
      <c r="AN5" s="568"/>
      <c r="AO5" s="568"/>
      <c r="AP5" s="568"/>
      <c r="AQ5" s="568"/>
      <c r="AR5" s="568"/>
      <c r="AS5" s="568"/>
      <c r="AT5" s="448" t="s">
        <v>640</v>
      </c>
      <c r="AU5" s="448"/>
      <c r="AV5" s="448"/>
      <c r="AW5" s="448"/>
      <c r="AX5" s="448"/>
      <c r="AY5" s="448"/>
      <c r="AZ5" s="448"/>
      <c r="BA5" s="448"/>
      <c r="BB5" s="448"/>
      <c r="BC5" s="448"/>
      <c r="BD5" s="448"/>
      <c r="BE5" s="448"/>
      <c r="BF5" s="43">
        <v>8</v>
      </c>
      <c r="BG5" t="s">
        <v>675</v>
      </c>
      <c r="BO5"/>
      <c r="BQ5"/>
      <c r="BR5" s="344">
        <f>1-BR16</f>
        <v>0.99117</v>
      </c>
      <c r="BT5" s="568"/>
      <c r="BZ5"/>
      <c r="CA5"/>
      <c r="CB5"/>
      <c r="CC5"/>
      <c r="CD5"/>
      <c r="CE5"/>
      <c r="CF5"/>
    </row>
    <row r="6" spans="1:112" ht="18.75" customHeight="1" thickBot="1">
      <c r="A6" s="707"/>
      <c r="D6" s="214"/>
      <c r="K6" s="214"/>
      <c r="L6" s="214"/>
      <c r="M6"/>
      <c r="N6"/>
      <c r="O6"/>
      <c r="P6"/>
      <c r="Q6"/>
      <c r="R6"/>
      <c r="S6"/>
      <c r="T6"/>
      <c r="U6"/>
      <c r="V6"/>
      <c r="W6"/>
      <c r="X6"/>
      <c r="Y6"/>
      <c r="Z6" s="568"/>
      <c r="AA6" s="214"/>
      <c r="AB6"/>
      <c r="AC6"/>
      <c r="AD6"/>
      <c r="AE6"/>
      <c r="AF6"/>
      <c r="AG6" s="214"/>
      <c r="AH6" s="17"/>
      <c r="AI6"/>
      <c r="AJ6"/>
      <c r="AK6"/>
      <c r="AL6" s="568"/>
      <c r="AM6" s="568"/>
      <c r="AN6" s="568"/>
      <c r="AO6" s="568"/>
      <c r="AP6" s="568"/>
      <c r="AQ6" s="568"/>
      <c r="AR6" s="568"/>
      <c r="AS6" s="568"/>
      <c r="AT6" s="568"/>
      <c r="AU6" s="568"/>
      <c r="AV6" s="568"/>
      <c r="AW6" s="568"/>
      <c r="AX6" s="568"/>
      <c r="AY6" s="568"/>
      <c r="AZ6" s="568"/>
      <c r="BA6" s="568"/>
      <c r="BB6" s="568"/>
      <c r="BC6" s="568"/>
      <c r="BD6" s="568"/>
      <c r="BE6" s="568"/>
      <c r="BO6"/>
      <c r="BQ6"/>
      <c r="BT6" s="568"/>
      <c r="BZ6"/>
      <c r="CA6"/>
      <c r="CB6"/>
      <c r="CC6"/>
      <c r="CD6"/>
      <c r="CE6"/>
      <c r="CF6"/>
    </row>
    <row r="7" spans="1:112" ht="18.75" customHeight="1" thickTop="1">
      <c r="M7" t="s">
        <v>632</v>
      </c>
      <c r="N7"/>
      <c r="O7"/>
      <c r="P7"/>
      <c r="Q7"/>
      <c r="R7"/>
      <c r="S7"/>
      <c r="T7"/>
      <c r="U7"/>
      <c r="V7"/>
      <c r="W7"/>
      <c r="X7"/>
      <c r="Y7"/>
      <c r="Z7" s="568"/>
      <c r="AA7" s="214"/>
      <c r="AB7"/>
      <c r="AC7"/>
      <c r="AD7"/>
      <c r="AE7"/>
      <c r="AF7"/>
      <c r="AG7" s="908"/>
      <c r="AH7" s="909"/>
      <c r="AI7" s="1100" t="s">
        <v>819</v>
      </c>
      <c r="AJ7" s="1100"/>
      <c r="AK7" s="1100"/>
      <c r="AL7" s="1100"/>
      <c r="AM7" s="1100"/>
      <c r="AN7" s="1101"/>
      <c r="AO7" s="555"/>
      <c r="AP7" s="555"/>
      <c r="AQ7" s="1099" t="s">
        <v>727</v>
      </c>
      <c r="AR7" s="1100"/>
      <c r="AS7" s="1101"/>
      <c r="AT7" s="568"/>
      <c r="AU7" s="1099" t="s">
        <v>728</v>
      </c>
      <c r="AV7" s="1100"/>
      <c r="AW7" s="1100"/>
      <c r="AX7" s="1100"/>
      <c r="AY7" s="1100"/>
      <c r="AZ7" s="1101"/>
      <c r="BA7" s="568"/>
      <c r="BB7" s="568"/>
      <c r="BC7" s="568"/>
      <c r="BD7" s="568"/>
      <c r="BE7" s="568"/>
      <c r="BO7"/>
      <c r="BQ7"/>
      <c r="BT7" s="568"/>
      <c r="BZ7"/>
      <c r="CA7"/>
      <c r="CB7"/>
      <c r="CC7"/>
      <c r="CD7"/>
      <c r="CE7"/>
      <c r="CF7"/>
      <c r="CX7" s="291" t="s">
        <v>581</v>
      </c>
      <c r="DF7" s="20"/>
    </row>
    <row r="8" spans="1:112" ht="18.75" customHeight="1" thickBot="1">
      <c r="M8"/>
      <c r="N8"/>
      <c r="O8"/>
      <c r="P8"/>
      <c r="Q8"/>
      <c r="R8" s="796"/>
      <c r="S8"/>
      <c r="T8"/>
      <c r="U8"/>
      <c r="V8"/>
      <c r="W8"/>
      <c r="X8"/>
      <c r="Y8"/>
      <c r="Z8" s="568"/>
      <c r="AA8" s="214"/>
      <c r="AB8"/>
      <c r="AC8"/>
      <c r="AD8"/>
      <c r="AE8"/>
      <c r="AF8"/>
      <c r="AG8" s="910"/>
      <c r="AH8" s="17"/>
      <c r="AI8" s="17"/>
      <c r="AJ8" s="17"/>
      <c r="AK8" s="17" t="s">
        <v>641</v>
      </c>
      <c r="AL8" s="568"/>
      <c r="AM8" s="568"/>
      <c r="AN8" s="911" t="s">
        <v>637</v>
      </c>
      <c r="AO8" s="568"/>
      <c r="AP8" s="568"/>
      <c r="AQ8" s="1102" t="s">
        <v>720</v>
      </c>
      <c r="AR8" s="1103"/>
      <c r="AS8" s="1104"/>
      <c r="AT8" s="568"/>
      <c r="AU8" s="1102" t="s">
        <v>719</v>
      </c>
      <c r="AV8" s="1103"/>
      <c r="AW8" s="1103"/>
      <c r="AX8" s="1103"/>
      <c r="AY8" s="1103"/>
      <c r="AZ8" s="1104"/>
      <c r="BA8" s="568"/>
      <c r="BB8" s="568"/>
      <c r="BC8" s="568"/>
      <c r="BD8" s="568"/>
      <c r="BE8" s="568"/>
      <c r="BO8"/>
      <c r="BQ8"/>
      <c r="BT8" s="568"/>
      <c r="BZ8"/>
      <c r="CA8"/>
      <c r="CB8"/>
      <c r="CC8"/>
      <c r="CD8"/>
      <c r="CE8"/>
      <c r="CF8"/>
    </row>
    <row r="9" spans="1:112" ht="38.25" customHeight="1" thickTop="1" thickBot="1">
      <c r="C9" s="571"/>
      <c r="D9" s="571"/>
      <c r="E9" s="1093" t="s">
        <v>743</v>
      </c>
      <c r="F9" s="1094"/>
      <c r="G9" s="1094"/>
      <c r="H9" s="1094"/>
      <c r="I9" s="1095"/>
      <c r="J9" s="968"/>
      <c r="M9"/>
      <c r="N9"/>
      <c r="O9"/>
      <c r="P9"/>
      <c r="Q9"/>
      <c r="R9"/>
      <c r="S9"/>
      <c r="T9"/>
      <c r="U9"/>
      <c r="V9" s="1090" t="s">
        <v>435</v>
      </c>
      <c r="W9" s="1091"/>
      <c r="X9" s="1091"/>
      <c r="Y9" s="1092"/>
      <c r="Z9" s="573">
        <v>1</v>
      </c>
      <c r="AA9" s="214"/>
      <c r="AB9"/>
      <c r="AC9"/>
      <c r="AD9"/>
      <c r="AE9"/>
      <c r="AF9"/>
      <c r="AG9" s="910"/>
      <c r="AH9" s="17"/>
      <c r="AI9" s="604" t="s">
        <v>521</v>
      </c>
      <c r="AJ9" s="577"/>
      <c r="AK9" s="578"/>
      <c r="AL9" s="573">
        <v>3</v>
      </c>
      <c r="AM9" s="573"/>
      <c r="AN9" s="912" t="s">
        <v>638</v>
      </c>
      <c r="AO9" s="573"/>
      <c r="AP9" s="573"/>
      <c r="AQ9" s="933" t="s">
        <v>724</v>
      </c>
      <c r="AR9" s="931"/>
      <c r="AS9" s="932"/>
      <c r="AT9" s="573"/>
      <c r="AU9" s="1087" t="s">
        <v>725</v>
      </c>
      <c r="AV9" s="1088"/>
      <c r="AW9" s="1089"/>
      <c r="AX9" s="1087" t="s">
        <v>726</v>
      </c>
      <c r="AY9" s="1088"/>
      <c r="AZ9" s="1089"/>
      <c r="BA9" s="573"/>
      <c r="BB9" s="1087" t="s">
        <v>770</v>
      </c>
      <c r="BC9" s="1088"/>
      <c r="BD9" s="1089"/>
      <c r="BE9" s="573"/>
      <c r="BF9" s="569"/>
      <c r="BG9" s="720" t="s">
        <v>731</v>
      </c>
      <c r="BH9" s="721"/>
      <c r="BI9" s="721"/>
      <c r="BJ9" s="986">
        <v>1</v>
      </c>
      <c r="BK9" s="573"/>
      <c r="BL9" s="573" t="s">
        <v>728</v>
      </c>
      <c r="BM9" s="573" t="s">
        <v>774</v>
      </c>
      <c r="BN9" s="573"/>
      <c r="BO9" s="990" t="s">
        <v>744</v>
      </c>
      <c r="BP9" s="986"/>
      <c r="BQ9" s="573"/>
      <c r="BR9" s="695"/>
      <c r="BS9" s="1096" t="s">
        <v>746</v>
      </c>
      <c r="BT9" s="1097"/>
      <c r="BU9" s="1098"/>
      <c r="BV9" s="569"/>
      <c r="BW9" s="1096" t="s">
        <v>747</v>
      </c>
      <c r="BX9" s="1097"/>
      <c r="BY9" s="1098"/>
      <c r="BZ9" s="569"/>
      <c r="CA9" s="1105" t="s">
        <v>751</v>
      </c>
      <c r="CB9" s="1106"/>
      <c r="CC9" s="1107"/>
      <c r="CD9" s="1105" t="s">
        <v>752</v>
      </c>
      <c r="CE9" s="1106"/>
      <c r="CF9" s="1107"/>
      <c r="CH9" s="1013" t="s">
        <v>775</v>
      </c>
      <c r="CI9" s="1014"/>
      <c r="CJ9" s="1015"/>
      <c r="CR9" s="1086" t="s">
        <v>759</v>
      </c>
      <c r="CS9" s="1086"/>
      <c r="CT9" s="1086" t="s">
        <v>748</v>
      </c>
      <c r="CU9" s="1086"/>
      <c r="CV9" s="1016" t="s">
        <v>778</v>
      </c>
      <c r="CW9" s="1096" t="s">
        <v>484</v>
      </c>
      <c r="CX9" s="1097"/>
      <c r="CY9" s="1097"/>
      <c r="CZ9" s="1098"/>
      <c r="DB9" s="500"/>
      <c r="DC9" s="500"/>
      <c r="DD9" s="500"/>
      <c r="DE9" s="500"/>
      <c r="DF9" s="500"/>
      <c r="DG9" s="859"/>
      <c r="DH9" s="859"/>
    </row>
    <row r="10" spans="1:112" ht="38.25" customHeight="1" thickTop="1" thickBot="1">
      <c r="C10" s="196"/>
      <c r="D10" s="502" t="s">
        <v>522</v>
      </c>
      <c r="E10" s="977" t="s">
        <v>740</v>
      </c>
      <c r="F10" s="978" t="s">
        <v>741</v>
      </c>
      <c r="G10" s="978" t="s">
        <v>742</v>
      </c>
      <c r="H10" s="979" t="s">
        <v>739</v>
      </c>
      <c r="I10" s="975" t="s">
        <v>78</v>
      </c>
      <c r="J10" s="502"/>
      <c r="K10" s="196" t="s">
        <v>510</v>
      </c>
      <c r="L10" s="196"/>
      <c r="M10" s="727" t="s">
        <v>629</v>
      </c>
      <c r="N10" s="728" t="s">
        <v>628</v>
      </c>
      <c r="O10" s="728" t="s">
        <v>630</v>
      </c>
      <c r="P10" s="729" t="s">
        <v>642</v>
      </c>
      <c r="Q10" s="729" t="s">
        <v>625</v>
      </c>
      <c r="R10" s="728" t="s">
        <v>626</v>
      </c>
      <c r="S10" s="729" t="s">
        <v>627</v>
      </c>
      <c r="T10" s="196"/>
      <c r="U10" s="196"/>
      <c r="V10" s="580" t="s">
        <v>432</v>
      </c>
      <c r="W10" s="580" t="s">
        <v>433</v>
      </c>
      <c r="X10" s="579" t="s">
        <v>434</v>
      </c>
      <c r="Y10" s="580" t="s">
        <v>494</v>
      </c>
      <c r="Z10" s="594" t="str">
        <f>INDEX(V10:X10,Z9)</f>
        <v>Scenario 1</v>
      </c>
      <c r="AA10" s="595" t="s">
        <v>495</v>
      </c>
      <c r="AB10" s="596" t="s">
        <v>520</v>
      </c>
      <c r="AC10" s="574"/>
      <c r="AD10" s="594" t="s">
        <v>782</v>
      </c>
      <c r="AE10" s="1026" t="s">
        <v>783</v>
      </c>
      <c r="AF10" s="574"/>
      <c r="AG10" s="913"/>
      <c r="AH10" s="17"/>
      <c r="AI10" s="580" t="s">
        <v>695</v>
      </c>
      <c r="AJ10" s="580" t="s">
        <v>688</v>
      </c>
      <c r="AK10" s="597" t="s">
        <v>434</v>
      </c>
      <c r="AL10" s="597" t="str">
        <f>INDEX(AI10:AK10,AL9)</f>
        <v>Scenario 3</v>
      </c>
      <c r="AM10" s="729" t="s">
        <v>721</v>
      </c>
      <c r="AN10" s="914" t="s">
        <v>636</v>
      </c>
      <c r="AO10" s="574"/>
      <c r="AP10" s="574"/>
      <c r="AQ10" s="929" t="s">
        <v>722</v>
      </c>
      <c r="AR10" s="727" t="s">
        <v>723</v>
      </c>
      <c r="AS10" s="914" t="s">
        <v>636</v>
      </c>
      <c r="AT10" s="574"/>
      <c r="AU10" s="929" t="s">
        <v>722</v>
      </c>
      <c r="AV10" s="930" t="s">
        <v>723</v>
      </c>
      <c r="AW10" s="937" t="s">
        <v>636</v>
      </c>
      <c r="AX10" s="929" t="s">
        <v>722</v>
      </c>
      <c r="AY10" s="930" t="s">
        <v>723</v>
      </c>
      <c r="AZ10" s="938" t="s">
        <v>636</v>
      </c>
      <c r="BA10" s="574"/>
      <c r="BB10" s="929" t="s">
        <v>722</v>
      </c>
      <c r="BC10" s="930" t="s">
        <v>723</v>
      </c>
      <c r="BD10" s="937" t="s">
        <v>636</v>
      </c>
      <c r="BE10" s="574"/>
      <c r="BF10" s="599"/>
      <c r="BG10" s="580" t="s">
        <v>676</v>
      </c>
      <c r="BH10" s="579" t="s">
        <v>677</v>
      </c>
      <c r="BI10" s="580" t="s">
        <v>636</v>
      </c>
      <c r="BJ10" s="597" t="str">
        <f>INDEX(BG10:BI10,BJ9)</f>
        <v>ENA Curve</v>
      </c>
      <c r="BK10" s="574"/>
      <c r="BL10" s="597" t="s">
        <v>745</v>
      </c>
      <c r="BM10" s="597" t="s">
        <v>773</v>
      </c>
      <c r="BN10" s="574"/>
      <c r="BO10" s="597" t="s">
        <v>729</v>
      </c>
      <c r="BP10" s="597" t="s">
        <v>730</v>
      </c>
      <c r="BQ10" s="574"/>
      <c r="BR10" s="992" t="s">
        <v>458</v>
      </c>
      <c r="BS10" s="998" t="s">
        <v>548</v>
      </c>
      <c r="BT10" s="997" t="s">
        <v>497</v>
      </c>
      <c r="BU10" s="997" t="s">
        <v>512</v>
      </c>
      <c r="BV10" s="1000"/>
      <c r="BW10" s="1002" t="s">
        <v>548</v>
      </c>
      <c r="BX10" s="597" t="s">
        <v>497</v>
      </c>
      <c r="BY10" s="997" t="s">
        <v>512</v>
      </c>
      <c r="BZ10" s="574"/>
      <c r="CA10" s="1002" t="s">
        <v>749</v>
      </c>
      <c r="CB10" s="597" t="s">
        <v>497</v>
      </c>
      <c r="CC10" s="997" t="s">
        <v>512</v>
      </c>
      <c r="CD10" s="1002" t="s">
        <v>750</v>
      </c>
      <c r="CE10" s="597" t="s">
        <v>497</v>
      </c>
      <c r="CF10" s="997" t="s">
        <v>512</v>
      </c>
      <c r="CH10" s="1002" t="s">
        <v>749</v>
      </c>
      <c r="CI10" s="1012" t="s">
        <v>497</v>
      </c>
      <c r="CJ10" s="997" t="s">
        <v>512</v>
      </c>
      <c r="CM10" s="739" t="s">
        <v>813</v>
      </c>
      <c r="CN10" s="740" t="s">
        <v>633</v>
      </c>
      <c r="CO10" s="1017" t="s">
        <v>634</v>
      </c>
      <c r="CP10" s="635" t="s">
        <v>635</v>
      </c>
      <c r="CR10" s="1003" t="s">
        <v>758</v>
      </c>
      <c r="CS10" s="1003" t="s">
        <v>570</v>
      </c>
      <c r="CT10" s="1003" t="s">
        <v>758</v>
      </c>
      <c r="CU10" s="1003" t="s">
        <v>570</v>
      </c>
      <c r="CV10" s="575" t="s">
        <v>777</v>
      </c>
      <c r="CW10" s="634"/>
      <c r="CX10" s="786" t="s">
        <v>535</v>
      </c>
      <c r="CY10" s="636" t="s">
        <v>536</v>
      </c>
      <c r="CZ10" s="637" t="s">
        <v>537</v>
      </c>
      <c r="DB10" s="775"/>
      <c r="DC10" s="775"/>
      <c r="DD10" s="775"/>
      <c r="DE10" s="775"/>
      <c r="DF10" s="776"/>
      <c r="DG10" s="17"/>
    </row>
    <row r="11" spans="1:112" ht="18.75" customHeight="1">
      <c r="A11" s="17" t="s">
        <v>437</v>
      </c>
      <c r="B11" s="508">
        <v>36892</v>
      </c>
      <c r="C11" s="43">
        <f t="shared" ref="C11:C68" si="0">YEAR(B11)</f>
        <v>2001</v>
      </c>
      <c r="D11" s="719">
        <v>1</v>
      </c>
      <c r="E11" s="972">
        <v>22</v>
      </c>
      <c r="F11" s="971">
        <v>4</v>
      </c>
      <c r="G11" s="971">
        <v>4</v>
      </c>
      <c r="H11" s="971">
        <v>1</v>
      </c>
      <c r="I11" s="976">
        <f>SUM(E11:H11)</f>
        <v>31</v>
      </c>
      <c r="J11" s="621"/>
      <c r="K11" s="572">
        <f>INDEX(FX!$A$3:$C$362,MATCH(B11,FX!$A$3:$A$362,0),MATCH("Monthly Curve",FX!$A$2:$C$2,0))</f>
        <v>1.44293783666563</v>
      </c>
      <c r="L11" s="572"/>
      <c r="M11" s="1065">
        <v>3.1660000000000004</v>
      </c>
      <c r="N11" s="1066">
        <v>0.27</v>
      </c>
      <c r="O11" s="314">
        <v>0.02</v>
      </c>
      <c r="P11" s="797">
        <f t="shared" ref="P11:P69" si="1">N11+O11</f>
        <v>0.29000000000000004</v>
      </c>
      <c r="Q11" s="732">
        <f t="shared" ref="Q11:Q69" si="2">SUM(M11:O11)</f>
        <v>3.4560000000000004</v>
      </c>
      <c r="R11" s="722">
        <f>Assumptions!$B$34</f>
        <v>0.3124588923076923</v>
      </c>
      <c r="S11" s="730">
        <f t="shared" ref="S11:S69" si="3">(Q11*K11)+R11</f>
        <v>5.2992520558241099</v>
      </c>
      <c r="T11" s="572"/>
      <c r="V11" s="581">
        <f>Assumptions!$B$42</f>
        <v>0</v>
      </c>
      <c r="W11" s="581">
        <v>6.5</v>
      </c>
      <c r="X11" s="629">
        <v>1</v>
      </c>
      <c r="Y11" s="783">
        <f>Assumptions!$B$7</f>
        <v>312</v>
      </c>
      <c r="Z11" s="570">
        <f t="shared" ref="Z11:Z69" si="4">IF($Z$10=$V$10,V11,IF($Z$10=$W$10,W11,IF($Z$10=$X$10,X11,0)))</f>
        <v>0</v>
      </c>
      <c r="AA11" s="592">
        <f t="shared" ref="AA11:AA69" si="5">Y11*Z11</f>
        <v>0</v>
      </c>
      <c r="AB11" s="589">
        <f t="shared" ref="AB11:AB68" si="6">AA11*K11</f>
        <v>0</v>
      </c>
      <c r="AC11" s="462"/>
      <c r="AD11" s="1027">
        <f>IF(Tables!$E$30="Michigan",INDEX('Michigan Curve'!$A$4:$S$256,MATCH('Monthly Table'!B11,'Michigan Curve'!$A$4:$A$256,0),MATCH("Michigan Selected Option Value US$/month",'Michigan Curve'!$A$4:$S$4,0)),INDEX('NY Curve'!$A$4:$T$256,MATCH('Monthly Table'!B11,'NY Curve'!$A$4:$A$256,0),MATCH("New York Selected Option Value US$/month",'NY Curve'!$A$4:$T$4,0)))</f>
        <v>55230.255010351138</v>
      </c>
      <c r="AE11" s="601">
        <f>AD11*K11</f>
        <v>79693.824683127139</v>
      </c>
      <c r="AF11" s="462"/>
      <c r="AG11" s="915"/>
      <c r="AI11" s="799">
        <f>Assumptions!$B$50</f>
        <v>65</v>
      </c>
      <c r="AJ11" s="791"/>
      <c r="AK11" s="924">
        <f>IF(Tables!$E$30="Custom",'Monthly Table'!AI11,IF(Tables!$E$30="New York",INDEX('NY Curve'!$A$4:$G$256,MATCH('Monthly Table'!B11,'NY Curve'!$A$4:$A$256,0),MATCH("Super Peak Curve",'NY Curve'!$A$4:$G$4,0)),IF(Tables!$E$30="New York Flat",INDEX('NY Curve'!$A$4:$G$256,MATCH('Monthly Table'!B11,'NY Curve'!$A$4:$A$256,0),MATCH("Flat NY West",'NY Curve'!$A$4:$G$4,0)),INDEX('Michigan Curve'!$A$4:$F$256,MATCH('Monthly Table'!B11,'Michigan Curve'!$A$4:$A$256,0),MATCH("Michigan Super Peak Curve US$/MWhr",'Michigan Curve'!$A$4:$F$4,0)))))</f>
        <v>30.293998443603517</v>
      </c>
      <c r="AL11" s="965">
        <f>IF(D11&lt;=Tables!$B$21,IF($AL$10=$AI$10,AI11,IF($AL$10=$AJ$10,AJ11,IF($AL$10=$AK$10,AK11,0))),0)</f>
        <v>30.293998443603517</v>
      </c>
      <c r="AM11" s="708">
        <f>+AL11*K11</f>
        <v>43.71235657816522</v>
      </c>
      <c r="AN11" s="916">
        <f>IF((AL11*K11)&gt;($CP11+$BF$4),1,0)</f>
        <v>0</v>
      </c>
      <c r="AO11" s="905"/>
      <c r="AP11" s="905"/>
      <c r="AQ11" s="926">
        <f>IF(Tables!$E$30="New York",INDEX('NY Curve'!$A$4:$L$256,MATCH('Monthly Table'!B11,'NY Curve'!$A$4:$A$256,0),MATCH("New York Shoulder Hour Curve Mon-Fri",'NY Curve'!$A$4:$L$4,0)),IF(Tables!$E$30="Michigan",INDEX('Michigan Curve'!$A$4:$K$256,MATCH('Monthly Table'!B11,'Michigan Curve'!$A$4:$A$256,0),MATCH("Michigan Shoulder Hour Curve Mon-Fri",'Michigan Curve'!$A$4:$K$4,0))))</f>
        <v>29.105998504638674</v>
      </c>
      <c r="AR11" s="708">
        <f>AQ11*K11</f>
        <v>41.998146516276393</v>
      </c>
      <c r="AS11" s="927">
        <f t="shared" ref="AS11:AS74" si="7">IF(AR11&gt;($CP11+$BF$4),1,0)</f>
        <v>0</v>
      </c>
      <c r="AT11" s="462"/>
      <c r="AU11" s="926">
        <f>IF(Tables!$E$30="New York",INDEX('NY Curve'!$A$4:$L$256,MATCH('Monthly Table'!$B11,'NY Curve'!$A$4:$A$256,0),MATCH("New York Saturday Super Peak",'NY Curve'!$A$4:$L$4,0)),IF(Tables!$E$30="Michigan",INDEX('Michigan Curve'!$A$4:$K$256,MATCH('Monthly Table'!$B11,'Michigan Curve'!$A$4:$A$256,0),MATCH("Michigan Saturday Super Peak",'Michigan Curve'!$A$4:$K$4,0))))</f>
        <v>22.44</v>
      </c>
      <c r="AV11" s="925">
        <f t="shared" ref="AV11:AV74" si="8">AU11*K11</f>
        <v>32.379525054776742</v>
      </c>
      <c r="AW11" s="927">
        <f t="shared" ref="AW11:AW74" si="9">IF(AV11&gt;($CP11+$BF$4),1,0)</f>
        <v>0</v>
      </c>
      <c r="AX11" s="926">
        <f>IF(Tables!$E$30="New York",INDEX('NY Curve'!$A$4:$L$256,MATCH('Monthly Table'!$B11,'NY Curve'!$A$4:$A$256,0),MATCH("New York Saturday Shoulder Peak",'NY Curve'!$A$4:$L$4,0)),IF(Tables!$E$30="Michigan",INDEX('Michigan Curve'!$A$4:$K$256,MATCH('Monthly Table'!$B11,'Michigan Curve'!$A$4:$A$256,0),MATCH("Michigan Saturday Shoulder Peak",'Michigan Curve'!$A$4:$K$4,0))))</f>
        <v>21.56</v>
      </c>
      <c r="AY11" s="934">
        <f>AX11*K11</f>
        <v>31.109739758510983</v>
      </c>
      <c r="AZ11" s="927">
        <f t="shared" ref="AZ11:AZ74" si="10">IF(AY11&gt;($CP11+$BF$4),1,0)</f>
        <v>0</v>
      </c>
      <c r="BA11" s="462"/>
      <c r="BB11" s="926">
        <f>IF(Tables!$E$30="New York",INDEX('NY Curve'!$A$4:$M$256,MATCH('Monthly Table'!$B11,'NY Curve'!$A$4:$A$256,0),MATCH("NY Sunday Super Peak",'NY Curve'!$A$4:$M$4,0)),IF(Tables!$E$30="Michigan",INDEX('Michigan Curve'!$A$4:$L$256,MATCH('Monthly Table'!$B11,'Michigan Curve'!$A$4:$A$256,0),MATCH("Michigan Sunday Super Peak",'Michigan Curve'!$A$4:$L$4,0))))</f>
        <v>21.42</v>
      </c>
      <c r="BC11" s="925">
        <f>BB11*K11</f>
        <v>30.907728461377797</v>
      </c>
      <c r="BD11" s="927">
        <f t="shared" ref="BD11:BD74" si="11">IF(BC11&gt;($CP11+$BF$4),1,0)</f>
        <v>0</v>
      </c>
      <c r="BE11" s="462"/>
      <c r="BF11" s="598">
        <f t="shared" ref="BF11:BF69" si="12">B11</f>
        <v>36892</v>
      </c>
      <c r="BG11" s="583">
        <f>IF($AN11=1,$E11*$BF$5,0)</f>
        <v>0</v>
      </c>
      <c r="BH11" s="583">
        <f t="shared" ref="BH11:BH46" si="13">BG11</f>
        <v>0</v>
      </c>
      <c r="BI11" s="315">
        <f>IF($AN11=1,$E11*$BF$5,0)</f>
        <v>0</v>
      </c>
      <c r="BJ11" s="987">
        <f>IF('Monthly Table'!D11&lt;=Tables!$B$21,IF($BJ$10=$BG$10,BG11,IF($BJ$10=$BH$10,BH11,IF($BJ$10=$BI$10,BI11,0))),0)</f>
        <v>0</v>
      </c>
      <c r="BK11" s="43"/>
      <c r="BL11" s="987">
        <f>IF($AW11=1,$F11*$BF$5,0)</f>
        <v>0</v>
      </c>
      <c r="BM11" s="987">
        <f>IF($BD11=1,($G11+H11)*$BF$5,0)</f>
        <v>0</v>
      </c>
      <c r="BO11" s="987">
        <f t="shared" ref="BO11:BO74" si="14">IF(AS11=1,BJ11,0)</f>
        <v>0</v>
      </c>
      <c r="BP11" s="987">
        <f>IF(AZ11=1,F11*$BF$5,0)</f>
        <v>0</v>
      </c>
      <c r="BR11" s="993">
        <f>IF(BJ11&gt;0,INDEX(OperationalDetail,MATCH("Capacity Degradation",ODColumn,0),MATCH('Monthly Table'!C11,ODRow,0)),0)</f>
        <v>0</v>
      </c>
      <c r="BS11" s="994">
        <f>BJ11*(1-$BR11)*Tables!$C$10</f>
        <v>0</v>
      </c>
      <c r="BT11" s="601">
        <f t="shared" ref="BT11:BT74" si="15">BS11*AL11/1000</f>
        <v>0</v>
      </c>
      <c r="BU11" s="601">
        <f t="shared" ref="BU11:BU74" si="16">BT11*K11</f>
        <v>0</v>
      </c>
      <c r="BV11" s="462"/>
      <c r="BW11" s="785">
        <f>$BO11*(1-$BR11)*Tables!$C$36</f>
        <v>0</v>
      </c>
      <c r="BX11" s="602">
        <f>(BW11*AQ11)/1000</f>
        <v>0</v>
      </c>
      <c r="BY11" s="601">
        <f>BX11*K11</f>
        <v>0</v>
      </c>
      <c r="BZ11" s="462"/>
      <c r="CA11" s="785">
        <f>$BL11*(1-$BR11)*Tables!$C$36</f>
        <v>0</v>
      </c>
      <c r="CB11" s="602">
        <f>(CA11*AU11)/1000</f>
        <v>0</v>
      </c>
      <c r="CC11" s="601">
        <f>CB11*K11</f>
        <v>0</v>
      </c>
      <c r="CD11" s="785">
        <f>$BP11*(1-$BR11)*Tables!$C$36</f>
        <v>0</v>
      </c>
      <c r="CE11" s="602">
        <f>(CD11*AX11)/1000</f>
        <v>0</v>
      </c>
      <c r="CF11" s="601">
        <f>CE11*K11</f>
        <v>0</v>
      </c>
      <c r="CH11" s="785">
        <f>$BM11*(1-$BR11)*Tables!$C$36</f>
        <v>0</v>
      </c>
      <c r="CI11" s="602">
        <f>(CH11*BB11)/1000</f>
        <v>0</v>
      </c>
      <c r="CJ11" s="601">
        <f>CI11*K11</f>
        <v>0</v>
      </c>
      <c r="CK11" s="304"/>
      <c r="CL11" s="304">
        <f>C11-1</f>
        <v>2000</v>
      </c>
      <c r="CM11" s="1018">
        <f>INDEX(OperationalDetail,MATCH("Degraded Heat Rate",ODColumn,0),MATCH('Monthly Table'!CL11,ODRow,0))/1000</f>
        <v>12.034750000000003</v>
      </c>
      <c r="CN11" s="737">
        <f t="shared" ref="CN11:CN74" si="17">S11*CM11</f>
        <v>63.775173678829219</v>
      </c>
      <c r="CO11" s="1019">
        <f>'O &amp; M'!E54</f>
        <v>6.7356250000000015</v>
      </c>
      <c r="CP11" s="741">
        <f t="shared" ref="CP11:CP69" si="18">CN11+CO11</f>
        <v>70.510798678829218</v>
      </c>
      <c r="CQ11" s="304"/>
      <c r="CR11" s="575" t="str">
        <f>IF(BJ11=0,"",$C11)</f>
        <v/>
      </c>
      <c r="CS11" s="575" t="str">
        <f>IF(BO11=0,"",$C11)</f>
        <v/>
      </c>
      <c r="CT11" s="575" t="str">
        <f>IF(BL11=0,"",$C11)</f>
        <v/>
      </c>
      <c r="CU11" s="575" t="str">
        <f>IF(BP11=0,"",$C11)</f>
        <v/>
      </c>
      <c r="CV11" s="575" t="str">
        <f>IF(BD11=0,"",$C11)</f>
        <v/>
      </c>
      <c r="CW11" s="576">
        <f t="shared" ref="CW11:CW69" si="19">YEAR(BF11)</f>
        <v>2001</v>
      </c>
      <c r="CX11" s="787">
        <f>INDEX('NY Curve'!$A$4:$G$256,MATCH('Monthly Table'!B11,'NY Curve'!$A$4:$A$256,0),MATCH("New York 5 X 16",'NY Curve'!$A$4:$G$4,0))</f>
        <v>32.5</v>
      </c>
      <c r="CY11" s="632">
        <f t="shared" ref="CY11:CY69" si="20">K11</f>
        <v>1.44293783666563</v>
      </c>
      <c r="CZ11" s="633">
        <f t="shared" ref="CZ11:CZ69" si="21">CX11*CY11</f>
        <v>46.895479691632978</v>
      </c>
      <c r="DB11" s="857"/>
      <c r="DC11" s="857"/>
      <c r="DD11" s="500"/>
      <c r="DE11" s="745"/>
      <c r="DF11" s="858"/>
      <c r="DG11" s="755"/>
      <c r="DH11" s="755"/>
    </row>
    <row r="12" spans="1:112" ht="18.75" customHeight="1">
      <c r="A12" s="17" t="s">
        <v>438</v>
      </c>
      <c r="B12" s="508">
        <v>36923</v>
      </c>
      <c r="C12" s="43">
        <f t="shared" si="0"/>
        <v>2001</v>
      </c>
      <c r="D12" s="719">
        <v>1</v>
      </c>
      <c r="E12" s="972">
        <v>20</v>
      </c>
      <c r="F12" s="971">
        <v>4</v>
      </c>
      <c r="G12" s="971">
        <v>4</v>
      </c>
      <c r="H12" s="971">
        <v>0</v>
      </c>
      <c r="I12" s="976">
        <f t="shared" ref="I12:I75" si="22">SUM(E12:H12)</f>
        <v>28</v>
      </c>
      <c r="J12" s="621"/>
      <c r="K12" s="572">
        <f>INDEX(FX!$A$3:$C$362,MATCH(B12,FX!$A$3:$A$362,0),MATCH("Monthly Curve",FX!$A$2:$C$2,0))</f>
        <v>1.44179861399005</v>
      </c>
      <c r="L12" s="572"/>
      <c r="M12" s="1057">
        <v>3.0150000000000001</v>
      </c>
      <c r="N12" s="1067">
        <v>0.34</v>
      </c>
      <c r="O12" s="315">
        <v>0.02</v>
      </c>
      <c r="P12" s="797">
        <f t="shared" si="1"/>
        <v>0.36000000000000004</v>
      </c>
      <c r="Q12" s="732">
        <f t="shared" si="2"/>
        <v>3.375</v>
      </c>
      <c r="R12" s="722">
        <f>Assumptions!$B$34</f>
        <v>0.3124588923076923</v>
      </c>
      <c r="S12" s="730">
        <f t="shared" si="3"/>
        <v>5.1785292145241106</v>
      </c>
      <c r="T12" s="572"/>
      <c r="V12" s="581">
        <f>Assumptions!$B$42</f>
        <v>0</v>
      </c>
      <c r="W12" s="581">
        <v>6.5</v>
      </c>
      <c r="X12" s="629">
        <v>1</v>
      </c>
      <c r="Y12" s="783">
        <f>Assumptions!$B$7</f>
        <v>312</v>
      </c>
      <c r="Z12" s="570">
        <f t="shared" si="4"/>
        <v>0</v>
      </c>
      <c r="AA12" s="592">
        <f t="shared" si="5"/>
        <v>0</v>
      </c>
      <c r="AB12" s="589">
        <f t="shared" si="6"/>
        <v>0</v>
      </c>
      <c r="AC12" s="462"/>
      <c r="AD12" s="1027">
        <f>IF(Tables!$E$30="Michigan",INDEX('Michigan Curve'!$A$4:$S$256,MATCH('Monthly Table'!B12,'Michigan Curve'!$A$4:$A$256,0),MATCH("Michigan Selected Option Value US$/month",'Michigan Curve'!$A$4:$S$4,0)),INDEX('NY Curve'!$A$4:$T$256,MATCH('Monthly Table'!B12,'NY Curve'!$A$4:$A$256,0),MATCH("New York Selected Option Value US$/month",'NY Curve'!$A$4:$T$4,0)))</f>
        <v>57292.467975072825</v>
      </c>
      <c r="AE12" s="601">
        <f t="shared" ref="AE12:AE75" si="23">AD12*K12</f>
        <v>82604.200918529328</v>
      </c>
      <c r="AF12" s="462"/>
      <c r="AG12" s="915"/>
      <c r="AI12" s="799">
        <f>Assumptions!$B$50</f>
        <v>65</v>
      </c>
      <c r="AJ12" s="743"/>
      <c r="AK12" s="924">
        <f>IF(Tables!$E$30="Custom",'Monthly Table'!AI12,IF(Tables!$E$30="New York",INDEX('NY Curve'!$A$4:$G$256,MATCH('Monthly Table'!B12,'NY Curve'!$A$4:$A$256,0),MATCH("Super Peak Curve",'NY Curve'!$A$4:$G$4,0)),IF(Tables!$E$30="New York Flat",INDEX('NY Curve'!$A$4:$G$256,MATCH('Monthly Table'!B12,'NY Curve'!$A$4:$A$256,0),MATCH("Flat NY West",'NY Curve'!$A$4:$G$4,0)),INDEX('Michigan Curve'!$A$4:$F$256,MATCH('Monthly Table'!B12,'Michigan Curve'!$A$4:$A$256,0),MATCH("Michigan Super Peak Curve US$/MWhr",'Michigan Curve'!$A$4:$F$4,0)))))</f>
        <v>30.293998443603517</v>
      </c>
      <c r="AL12" s="965">
        <f>IF(D12&lt;=Tables!$B$21,IF($AL$10=$AI$10,AI12,IF($AL$10=$AJ$10,AJ12,IF($AL$10=$AK$10,AK12,0))),0)</f>
        <v>30.293998443603517</v>
      </c>
      <c r="AM12" s="708">
        <f t="shared" ref="AM12:AM75" si="24">+AL12*K12</f>
        <v>43.677844968204283</v>
      </c>
      <c r="AN12" s="916">
        <f t="shared" ref="AN12:AN75" si="25">IF((AL12*K12)&gt;(CP12+$BF$4),1,0)</f>
        <v>0</v>
      </c>
      <c r="AO12" s="905"/>
      <c r="AP12" s="925"/>
      <c r="AQ12" s="926">
        <f>IF(Tables!$E$30="New York",INDEX('NY Curve'!$A$4:$L$256,MATCH('Monthly Table'!B12,'NY Curve'!$A$4:$A$256,0),MATCH("New York Shoulder Hour Curve Mon-Fri",'NY Curve'!$A$4:$L$4,0)),IF(Tables!$E$30="Michigan",INDEX('Michigan Curve'!$A$4:$K$256,MATCH('Monthly Table'!B12,'Michigan Curve'!$A$4:$A$256,0),MATCH("Michigan Shoulder Hour Curve Mon-Fri",'Michigan Curve'!$A$4:$K$4,0))))</f>
        <v>29.105998504638674</v>
      </c>
      <c r="AR12" s="708">
        <f t="shared" ref="AR12:AR75" si="26">AQ12*K12</f>
        <v>41.964988302784512</v>
      </c>
      <c r="AS12" s="927">
        <f t="shared" si="7"/>
        <v>0</v>
      </c>
      <c r="AT12" s="462"/>
      <c r="AU12" s="926">
        <f>IF(Tables!$E$30="New York",INDEX('NY Curve'!$A$4:$L$256,MATCH('Monthly Table'!$B12,'NY Curve'!$A$4:$A$256,0),MATCH("New York Saturday Super Peak",'NY Curve'!$A$4:$L$4,0)),IF(Tables!$E$30="Michigan",INDEX('Michigan Curve'!$A$4:$K$256,MATCH('Monthly Table'!$B12,'Michigan Curve'!$A$4:$A$256,0),MATCH("Michigan Saturday Super Peak",'Michigan Curve'!$A$4:$K$4,0))))</f>
        <v>22.435920295715331</v>
      </c>
      <c r="AV12" s="925">
        <f t="shared" si="8"/>
        <v>32.348078785953597</v>
      </c>
      <c r="AW12" s="927">
        <f t="shared" si="9"/>
        <v>0</v>
      </c>
      <c r="AX12" s="926">
        <f>IF(Tables!$E$30="New York",INDEX('NY Curve'!$A$4:$L$256,MATCH('Monthly Table'!$B12,'NY Curve'!$A$4:$A$256,0),MATCH("New York Saturday Shoulder Peak",'NY Curve'!$A$4:$L$4,0)),IF(Tables!$E$30="Michigan",INDEX('Michigan Curve'!$A$4:$K$256,MATCH('Monthly Table'!$B12,'Michigan Curve'!$A$4:$A$256,0),MATCH("Michigan Saturday Shoulder Peak",'Michigan Curve'!$A$4:$K$4,0))))</f>
        <v>21.556080284118654</v>
      </c>
      <c r="AY12" s="934">
        <f t="shared" ref="AY12:AY75" si="27">AX12*K12</f>
        <v>31.079526676700517</v>
      </c>
      <c r="AZ12" s="927">
        <f t="shared" si="10"/>
        <v>0</v>
      </c>
      <c r="BA12" s="462"/>
      <c r="BB12" s="926">
        <f>IF(Tables!$E$30="New York",INDEX('NY Curve'!$A$4:$M$256,MATCH('Monthly Table'!$B12,'NY Curve'!$A$4:$A$256,0),MATCH("NY Sunday Super Peak",'NY Curve'!$A$4:$M$4,0)),IF(Tables!$E$30="Michigan",INDEX('Michigan Curve'!$A$4:$L$256,MATCH('Monthly Table'!$B12,'Michigan Curve'!$A$4:$A$256,0),MATCH("Michigan Sunday Super Peak",'Michigan Curve'!$A$4:$L$4,0))))</f>
        <v>21.416431961059569</v>
      </c>
      <c r="BC12" s="925">
        <f t="shared" ref="BC12:BC75" si="28">BB12*K12</f>
        <v>30.878181918067895</v>
      </c>
      <c r="BD12" s="927">
        <f t="shared" si="11"/>
        <v>0</v>
      </c>
      <c r="BE12" s="462"/>
      <c r="BF12" s="598">
        <f t="shared" si="12"/>
        <v>36923</v>
      </c>
      <c r="BG12" s="583">
        <f t="shared" ref="BG12:BG75" si="29">IF($AN12=1,$E12*$BF$5,0)</f>
        <v>0</v>
      </c>
      <c r="BH12" s="583">
        <f t="shared" si="13"/>
        <v>0</v>
      </c>
      <c r="BI12" s="315">
        <f t="shared" ref="BI12:BI75" si="30">IF($AN12=1,$E12*$BF$5,0)</f>
        <v>0</v>
      </c>
      <c r="BJ12" s="987">
        <f>IF('Monthly Table'!D12&lt;=Tables!$B$21,IF($BJ$10=$BG$10,BG12,IF($BJ$10=$BH$10,BH12,IF($BJ$10=$BI$10,BI12,0))),0)</f>
        <v>0</v>
      </c>
      <c r="BK12" s="43"/>
      <c r="BL12" s="987">
        <f t="shared" ref="BL12:BL75" si="31">IF($AW12=1,$F12*$BF$5,0)</f>
        <v>0</v>
      </c>
      <c r="BM12" s="987">
        <f t="shared" ref="BM12:BM75" si="32">IF($BD12=1,($G12+H12)*$BF$5,0)</f>
        <v>0</v>
      </c>
      <c r="BO12" s="987">
        <f t="shared" si="14"/>
        <v>0</v>
      </c>
      <c r="BP12" s="987">
        <f t="shared" ref="BP12:BP75" si="33">IF(AZ12=1,F12*$BF$5,0)</f>
        <v>0</v>
      </c>
      <c r="BR12" s="993">
        <f>IF(BJ12&gt;0,INDEX(OperationalDetail,MATCH("Capacity Degradation",ODColumn,0),MATCH('Monthly Table'!C12,ODRow,0)),0)</f>
        <v>0</v>
      </c>
      <c r="BS12" s="994">
        <f>BJ12*(1-BR12)*Tables!$C$10</f>
        <v>0</v>
      </c>
      <c r="BT12" s="601">
        <f t="shared" si="15"/>
        <v>0</v>
      </c>
      <c r="BU12" s="601">
        <f t="shared" si="16"/>
        <v>0</v>
      </c>
      <c r="BV12" s="462"/>
      <c r="BW12" s="785">
        <f>$BO12*(1-$BR12)*Tables!$C$36</f>
        <v>0</v>
      </c>
      <c r="BX12" s="602">
        <f t="shared" ref="BX12:BX75" si="34">(BW12*AQ12)/1000</f>
        <v>0</v>
      </c>
      <c r="BY12" s="601">
        <f t="shared" ref="BY12:BY75" si="35">BX12*K12</f>
        <v>0</v>
      </c>
      <c r="BZ12" s="462"/>
      <c r="CA12" s="785">
        <f>$BL12*(1-$BR12)*Tables!$C$36</f>
        <v>0</v>
      </c>
      <c r="CB12" s="602">
        <f t="shared" ref="CB12:CB75" si="36">(CA12*AU12)/1000</f>
        <v>0</v>
      </c>
      <c r="CC12" s="601">
        <f t="shared" ref="CC12:CC75" si="37">CB12*K12</f>
        <v>0</v>
      </c>
      <c r="CD12" s="785">
        <f>$BP12*(1-$BR12)*Tables!$C$36</f>
        <v>0</v>
      </c>
      <c r="CE12" s="602">
        <f t="shared" ref="CE12:CE75" si="38">(CD12*AX12)/1000</f>
        <v>0</v>
      </c>
      <c r="CF12" s="601">
        <f t="shared" ref="CF12:CF75" si="39">CE12*K12</f>
        <v>0</v>
      </c>
      <c r="CH12" s="785">
        <f>$BM12*(1-$BR12)*Tables!$C$36</f>
        <v>0</v>
      </c>
      <c r="CI12" s="602">
        <f t="shared" ref="CI12:CI75" si="40">(CH12*BB12)/1000</f>
        <v>0</v>
      </c>
      <c r="CJ12" s="601">
        <f t="shared" ref="CJ12:CJ75" si="41">CI12*K12</f>
        <v>0</v>
      </c>
      <c r="CK12" s="304"/>
      <c r="CL12" s="304">
        <f t="shared" ref="CL12:CL75" si="42">C12-1</f>
        <v>2000</v>
      </c>
      <c r="CM12" s="1018">
        <f>INDEX(OperationalDetail,MATCH("Degraded Heat Rate",ODColumn,0),MATCH('Monthly Table'!CL12,ODRow,0))/1000</f>
        <v>12.034750000000003</v>
      </c>
      <c r="CN12" s="737">
        <f t="shared" si="17"/>
        <v>62.322304464494053</v>
      </c>
      <c r="CO12" s="1019">
        <f>IF(A12="January",(CO11*(1+Assumptions!$E$32)),CO11)</f>
        <v>6.7356250000000015</v>
      </c>
      <c r="CP12" s="741">
        <f t="shared" si="18"/>
        <v>69.057929464494052</v>
      </c>
      <c r="CQ12" s="304"/>
      <c r="CR12" s="575" t="str">
        <f t="shared" ref="CR12:CR75" si="43">IF(BJ12=0,"",C12)</f>
        <v/>
      </c>
      <c r="CS12" s="575" t="str">
        <f t="shared" ref="CS12:CS75" si="44">IF(BO12=0,"",$C12)</f>
        <v/>
      </c>
      <c r="CT12" s="575" t="str">
        <f t="shared" ref="CT12:CT75" si="45">IF(BL12=0,"",$C12)</f>
        <v/>
      </c>
      <c r="CU12" s="575" t="str">
        <f t="shared" ref="CU12:CU75" si="46">IF(BP12=0,"",$C12)</f>
        <v/>
      </c>
      <c r="CV12" s="575" t="str">
        <f t="shared" ref="CV12:CV75" si="47">IF(BD12=0,"",$C12)</f>
        <v/>
      </c>
      <c r="CW12" s="576">
        <f t="shared" si="19"/>
        <v>2001</v>
      </c>
      <c r="CX12" s="787">
        <f>INDEX('NY Curve'!$A$4:$G$256,MATCH('Monthly Table'!B12,'NY Curve'!$A$4:$A$256,0),MATCH("New York 5 X 16",'NY Curve'!$A$4:$G$4,0))</f>
        <v>32.5</v>
      </c>
      <c r="CY12" s="632">
        <f t="shared" si="20"/>
        <v>1.44179861399005</v>
      </c>
      <c r="CZ12" s="633">
        <f t="shared" si="21"/>
        <v>46.858454954676624</v>
      </c>
      <c r="DB12" s="857"/>
      <c r="DC12" s="857"/>
      <c r="DD12" s="500"/>
      <c r="DE12" s="745"/>
      <c r="DF12" s="858"/>
      <c r="DG12" s="755"/>
      <c r="DH12" s="755"/>
    </row>
    <row r="13" spans="1:112" ht="18.75" customHeight="1">
      <c r="A13" s="17" t="s">
        <v>439</v>
      </c>
      <c r="B13" s="508">
        <v>36951</v>
      </c>
      <c r="C13" s="43">
        <f t="shared" si="0"/>
        <v>2001</v>
      </c>
      <c r="D13" s="719">
        <v>1</v>
      </c>
      <c r="E13" s="972">
        <v>22</v>
      </c>
      <c r="F13" s="971">
        <v>5</v>
      </c>
      <c r="G13" s="971">
        <v>4</v>
      </c>
      <c r="H13" s="971">
        <v>0</v>
      </c>
      <c r="I13" s="976">
        <f t="shared" si="22"/>
        <v>31</v>
      </c>
      <c r="J13" s="621"/>
      <c r="K13" s="572">
        <f>INDEX(FX!$A$3:$C$362,MATCH(B13,FX!$A$3:$A$362,0),MATCH("Monthly Curve",FX!$A$2:$C$2,0))</f>
        <v>1.4407630236623801</v>
      </c>
      <c r="L13" s="572"/>
      <c r="M13" s="1057">
        <v>2.86</v>
      </c>
      <c r="N13" s="1067">
        <v>0.35</v>
      </c>
      <c r="O13" s="315">
        <v>0.02</v>
      </c>
      <c r="P13" s="797">
        <f t="shared" si="1"/>
        <v>0.37</v>
      </c>
      <c r="Q13" s="732">
        <f t="shared" si="2"/>
        <v>3.23</v>
      </c>
      <c r="R13" s="722">
        <f>Assumptions!$B$34</f>
        <v>0.3124588923076923</v>
      </c>
      <c r="S13" s="730">
        <f t="shared" si="3"/>
        <v>4.9661234587371794</v>
      </c>
      <c r="T13" s="572"/>
      <c r="V13" s="581">
        <f>Assumptions!$B$42</f>
        <v>0</v>
      </c>
      <c r="W13" s="581">
        <v>6.5</v>
      </c>
      <c r="X13" s="629">
        <v>1</v>
      </c>
      <c r="Y13" s="783">
        <f>Assumptions!$B$7</f>
        <v>312</v>
      </c>
      <c r="Z13" s="570">
        <f t="shared" si="4"/>
        <v>0</v>
      </c>
      <c r="AA13" s="592">
        <f t="shared" si="5"/>
        <v>0</v>
      </c>
      <c r="AB13" s="589">
        <f t="shared" si="6"/>
        <v>0</v>
      </c>
      <c r="AC13" s="462"/>
      <c r="AD13" s="1027">
        <f>IF(Tables!$E$30="Michigan",INDEX('Michigan Curve'!$A$4:$S$256,MATCH('Monthly Table'!B13,'Michigan Curve'!$A$4:$A$256,0),MATCH("Michigan Selected Option Value US$/month",'Michigan Curve'!$A$4:$S$4,0)),INDEX('NY Curve'!$A$4:$T$256,MATCH('Monthly Table'!B13,'NY Curve'!$A$4:$A$256,0),MATCH("New York Selected Option Value US$/month",'NY Curve'!$A$4:$T$4,0)))</f>
        <v>3551.221774385941</v>
      </c>
      <c r="AE13" s="601">
        <f t="shared" si="23"/>
        <v>5116.4690213599706</v>
      </c>
      <c r="AF13" s="462"/>
      <c r="AG13" s="915"/>
      <c r="AI13" s="799">
        <f>Assumptions!$B$50</f>
        <v>65</v>
      </c>
      <c r="AJ13" s="743"/>
      <c r="AK13" s="924">
        <f>IF(Tables!$E$30="Custom",'Monthly Table'!AI13,IF(Tables!$E$30="New York",INDEX('NY Curve'!$A$4:$G$256,MATCH('Monthly Table'!B13,'NY Curve'!$A$4:$A$256,0),MATCH("Super Peak Curve",'NY Curve'!$A$4:$G$4,0)),IF(Tables!$E$30="New York Flat",INDEX('NY Curve'!$A$4:$G$256,MATCH('Monthly Table'!B13,'NY Curve'!$A$4:$A$256,0),MATCH("Flat NY West",'NY Curve'!$A$4:$G$4,0)),INDEX('Michigan Curve'!$A$4:$F$256,MATCH('Monthly Table'!B13,'Michigan Curve'!$A$4:$A$256,0),MATCH("Michigan Super Peak Curve US$/MWhr",'Michigan Curve'!$A$4:$F$4,0)))))</f>
        <v>24.734999999999999</v>
      </c>
      <c r="AL13" s="965">
        <f>IF(D13&lt;=Tables!$B$21,IF($AL$10=$AI$10,AI13,IF($AL$10=$AJ$10,AJ13,IF($AL$10=$AK$10,AK13,0))),0)</f>
        <v>24.734999999999999</v>
      </c>
      <c r="AM13" s="708">
        <f t="shared" si="24"/>
        <v>35.637273390288968</v>
      </c>
      <c r="AN13" s="916">
        <f t="shared" si="25"/>
        <v>0</v>
      </c>
      <c r="AO13" s="905"/>
      <c r="AP13" s="925"/>
      <c r="AQ13" s="926">
        <f>IF(Tables!$E$30="New York",INDEX('NY Curve'!$A$4:$L$256,MATCH('Monthly Table'!B13,'NY Curve'!$A$4:$A$256,0),MATCH("New York Shoulder Hour Curve Mon-Fri",'NY Curve'!$A$4:$L$4,0)),IF(Tables!$E$30="Michigan",INDEX('Michigan Curve'!$A$4:$K$256,MATCH('Monthly Table'!B13,'Michigan Curve'!$A$4:$A$256,0),MATCH("Michigan Shoulder Hour Curve Mon-Fri",'Michigan Curve'!$A$4:$K$4,0))))</f>
        <v>23.765000000000001</v>
      </c>
      <c r="AR13" s="708">
        <f t="shared" si="26"/>
        <v>34.239733257336461</v>
      </c>
      <c r="AS13" s="927">
        <f t="shared" si="7"/>
        <v>0</v>
      </c>
      <c r="AT13" s="462"/>
      <c r="AU13" s="926">
        <f>IF(Tables!$E$30="New York",INDEX('NY Curve'!$A$4:$L$256,MATCH('Monthly Table'!$B13,'NY Curve'!$A$4:$A$256,0),MATCH("New York Saturday Super Peak",'NY Curve'!$A$4:$L$4,0)),IF(Tables!$E$30="Michigan",INDEX('Michigan Curve'!$A$4:$K$256,MATCH('Monthly Table'!$B13,'Michigan Curve'!$A$4:$A$256,0),MATCH("Michigan Saturday Super Peak",'Michigan Curve'!$A$4:$K$4,0))))</f>
        <v>20.399999999999999</v>
      </c>
      <c r="AV13" s="925">
        <f t="shared" si="8"/>
        <v>29.391565682712553</v>
      </c>
      <c r="AW13" s="927">
        <f t="shared" si="9"/>
        <v>0</v>
      </c>
      <c r="AX13" s="926">
        <f>IF(Tables!$E$30="New York",INDEX('NY Curve'!$A$4:$L$256,MATCH('Monthly Table'!$B13,'NY Curve'!$A$4:$A$256,0),MATCH("New York Saturday Shoulder Peak",'NY Curve'!$A$4:$L$4,0)),IF(Tables!$E$30="Michigan",INDEX('Michigan Curve'!$A$4:$K$256,MATCH('Monthly Table'!$B13,'Michigan Curve'!$A$4:$A$256,0),MATCH("Michigan Saturday Shoulder Peak",'Michigan Curve'!$A$4:$K$4,0))))</f>
        <v>19.600000000000001</v>
      </c>
      <c r="AY13" s="934">
        <f t="shared" si="27"/>
        <v>28.23895526378265</v>
      </c>
      <c r="AZ13" s="927">
        <f t="shared" si="10"/>
        <v>0</v>
      </c>
      <c r="BA13" s="462"/>
      <c r="BB13" s="926">
        <f>IF(Tables!$E$30="New York",INDEX('NY Curve'!$A$4:$M$256,MATCH('Monthly Table'!$B13,'NY Curve'!$A$4:$A$256,0),MATCH("NY Sunday Super Peak",'NY Curve'!$A$4:$M$4,0)),IF(Tables!$E$30="Michigan",INDEX('Michigan Curve'!$A$4:$L$256,MATCH('Monthly Table'!$B13,'Michigan Curve'!$A$4:$A$256,0),MATCH("Michigan Sunday Super Peak",'Michigan Curve'!$A$4:$L$4,0))))</f>
        <v>19.38</v>
      </c>
      <c r="BC13" s="925">
        <f t="shared" si="28"/>
        <v>27.921987398576924</v>
      </c>
      <c r="BD13" s="927">
        <f t="shared" si="11"/>
        <v>0</v>
      </c>
      <c r="BE13" s="462"/>
      <c r="BF13" s="598">
        <f t="shared" si="12"/>
        <v>36951</v>
      </c>
      <c r="BG13" s="583">
        <f t="shared" si="29"/>
        <v>0</v>
      </c>
      <c r="BH13" s="583">
        <f t="shared" si="13"/>
        <v>0</v>
      </c>
      <c r="BI13" s="315">
        <f t="shared" si="30"/>
        <v>0</v>
      </c>
      <c r="BJ13" s="987">
        <f>IF('Monthly Table'!D13&lt;=Tables!$B$21,IF($BJ$10=$BG$10,BG13,IF($BJ$10=$BH$10,BH13,IF($BJ$10=$BI$10,BI13,0))),0)</f>
        <v>0</v>
      </c>
      <c r="BK13" s="43"/>
      <c r="BL13" s="987">
        <f t="shared" si="31"/>
        <v>0</v>
      </c>
      <c r="BM13" s="987">
        <f t="shared" si="32"/>
        <v>0</v>
      </c>
      <c r="BO13" s="987">
        <f t="shared" si="14"/>
        <v>0</v>
      </c>
      <c r="BP13" s="987">
        <f t="shared" si="33"/>
        <v>0</v>
      </c>
      <c r="BR13" s="993">
        <f>IF(BJ13&gt;0,INDEX(OperationalDetail,MATCH("Capacity Degradation",ODColumn,0),MATCH('Monthly Table'!C13,ODRow,0)),0)</f>
        <v>0</v>
      </c>
      <c r="BS13" s="994">
        <f>BJ13*(1-BR13)*Tables!$C$10</f>
        <v>0</v>
      </c>
      <c r="BT13" s="601">
        <f t="shared" si="15"/>
        <v>0</v>
      </c>
      <c r="BU13" s="601">
        <f t="shared" si="16"/>
        <v>0</v>
      </c>
      <c r="BV13" s="462"/>
      <c r="BW13" s="785">
        <f>$BO13*(1-$BR13)*Tables!$C$36</f>
        <v>0</v>
      </c>
      <c r="BX13" s="602">
        <f t="shared" si="34"/>
        <v>0</v>
      </c>
      <c r="BY13" s="601">
        <f t="shared" si="35"/>
        <v>0</v>
      </c>
      <c r="BZ13" s="462"/>
      <c r="CA13" s="785">
        <f>$BL13*(1-$BR13)*Tables!$C$36</f>
        <v>0</v>
      </c>
      <c r="CB13" s="602">
        <f t="shared" si="36"/>
        <v>0</v>
      </c>
      <c r="CC13" s="601">
        <f t="shared" si="37"/>
        <v>0</v>
      </c>
      <c r="CD13" s="785">
        <f>$BP13*(1-$BR13)*Tables!$C$36</f>
        <v>0</v>
      </c>
      <c r="CE13" s="602">
        <f t="shared" si="38"/>
        <v>0</v>
      </c>
      <c r="CF13" s="601">
        <f t="shared" si="39"/>
        <v>0</v>
      </c>
      <c r="CH13" s="785">
        <f>$BM13*(1-$BR13)*Tables!$C$36</f>
        <v>0</v>
      </c>
      <c r="CI13" s="602">
        <f t="shared" si="40"/>
        <v>0</v>
      </c>
      <c r="CJ13" s="601">
        <f t="shared" si="41"/>
        <v>0</v>
      </c>
      <c r="CK13" s="304"/>
      <c r="CL13" s="304">
        <f t="shared" si="42"/>
        <v>2000</v>
      </c>
      <c r="CM13" s="1018">
        <f>INDEX(OperationalDetail,MATCH("Degraded Heat Rate",ODColumn,0),MATCH('Monthly Table'!CL13,ODRow,0))/1000</f>
        <v>12.034750000000003</v>
      </c>
      <c r="CN13" s="737">
        <f t="shared" si="17"/>
        <v>59.766054295037286</v>
      </c>
      <c r="CO13" s="1019">
        <f>IF(A13="January",(CO12*(1+Assumptions!$E$32)),CO12)</f>
        <v>6.7356250000000015</v>
      </c>
      <c r="CP13" s="741">
        <f t="shared" si="18"/>
        <v>66.501679295037292</v>
      </c>
      <c r="CQ13" s="304"/>
      <c r="CR13" s="575" t="str">
        <f t="shared" si="43"/>
        <v/>
      </c>
      <c r="CS13" s="575" t="str">
        <f t="shared" si="44"/>
        <v/>
      </c>
      <c r="CT13" s="575" t="str">
        <f t="shared" si="45"/>
        <v/>
      </c>
      <c r="CU13" s="575" t="str">
        <f t="shared" si="46"/>
        <v/>
      </c>
      <c r="CV13" s="575" t="str">
        <f t="shared" si="47"/>
        <v/>
      </c>
      <c r="CW13" s="576">
        <f t="shared" si="19"/>
        <v>2001</v>
      </c>
      <c r="CX13" s="787">
        <f>INDEX('NY Curve'!$A$4:$G$256,MATCH('Monthly Table'!B13,'NY Curve'!$A$4:$A$256,0),MATCH("New York 5 X 16",'NY Curve'!$A$4:$G$4,0))</f>
        <v>27.5</v>
      </c>
      <c r="CY13" s="632">
        <f t="shared" si="20"/>
        <v>1.4407630236623801</v>
      </c>
      <c r="CZ13" s="633">
        <f t="shared" si="21"/>
        <v>39.620983150715453</v>
      </c>
      <c r="DB13" s="857"/>
      <c r="DC13" s="857"/>
      <c r="DD13" s="500"/>
      <c r="DE13" s="745"/>
      <c r="DF13" s="858"/>
      <c r="DG13" s="755"/>
      <c r="DH13" s="755"/>
    </row>
    <row r="14" spans="1:112" ht="18.75" customHeight="1">
      <c r="A14" s="17" t="s">
        <v>440</v>
      </c>
      <c r="B14" s="508">
        <v>36982</v>
      </c>
      <c r="C14" s="43">
        <f t="shared" si="0"/>
        <v>2001</v>
      </c>
      <c r="D14" s="719">
        <v>1</v>
      </c>
      <c r="E14" s="972">
        <v>21</v>
      </c>
      <c r="F14" s="971">
        <v>4</v>
      </c>
      <c r="G14" s="971">
        <v>5</v>
      </c>
      <c r="H14" s="971">
        <v>0</v>
      </c>
      <c r="I14" s="976">
        <f t="shared" si="22"/>
        <v>30</v>
      </c>
      <c r="J14" s="621"/>
      <c r="K14" s="572">
        <f>INDEX(FX!$A$3:$C$362,MATCH(B14,FX!$A$3:$A$362,0),MATCH("Monthly Curve",FX!$A$2:$C$2,0))</f>
        <v>1.43961860543668</v>
      </c>
      <c r="L14" s="572"/>
      <c r="M14" s="1057">
        <v>2.7349999999999999</v>
      </c>
      <c r="N14" s="1067">
        <v>0.15</v>
      </c>
      <c r="O14" s="315">
        <v>0.02</v>
      </c>
      <c r="P14" s="797">
        <f t="shared" si="1"/>
        <v>0.16999999999999998</v>
      </c>
      <c r="Q14" s="732">
        <f t="shared" si="2"/>
        <v>2.9049999999999998</v>
      </c>
      <c r="R14" s="722">
        <f>Assumptions!$B$34</f>
        <v>0.3124588923076923</v>
      </c>
      <c r="S14" s="730">
        <f t="shared" si="3"/>
        <v>4.494550941101247</v>
      </c>
      <c r="T14" s="572"/>
      <c r="V14" s="581">
        <f>Assumptions!$B$42</f>
        <v>0</v>
      </c>
      <c r="W14" s="581">
        <v>6.5</v>
      </c>
      <c r="X14" s="629">
        <v>1</v>
      </c>
      <c r="Y14" s="783">
        <f>Assumptions!$B$7</f>
        <v>312</v>
      </c>
      <c r="Z14" s="570">
        <f t="shared" si="4"/>
        <v>0</v>
      </c>
      <c r="AA14" s="592">
        <f t="shared" si="5"/>
        <v>0</v>
      </c>
      <c r="AB14" s="589">
        <f t="shared" si="6"/>
        <v>0</v>
      </c>
      <c r="AC14" s="462"/>
      <c r="AD14" s="1027">
        <f>IF(Tables!$E$30="Michigan",INDEX('Michigan Curve'!$A$4:$S$256,MATCH('Monthly Table'!B14,'Michigan Curve'!$A$4:$A$256,0),MATCH("Michigan Selected Option Value US$/month",'Michigan Curve'!$A$4:$S$4,0)),INDEX('NY Curve'!$A$4:$T$256,MATCH('Monthly Table'!B14,'NY Curve'!$A$4:$A$256,0),MATCH("New York Selected Option Value US$/month",'NY Curve'!$A$4:$T$4,0)))</f>
        <v>8494.6603933475435</v>
      </c>
      <c r="AE14" s="601">
        <f t="shared" si="23"/>
        <v>12229.07114912919</v>
      </c>
      <c r="AF14" s="462"/>
      <c r="AG14" s="915"/>
      <c r="AI14" s="799">
        <f>Assumptions!$B$50</f>
        <v>65</v>
      </c>
      <c r="AJ14" s="743"/>
      <c r="AK14" s="924">
        <f>IF(Tables!$E$30="Custom",'Monthly Table'!AI14,IF(Tables!$E$30="New York",INDEX('NY Curve'!$A$4:$G$256,MATCH('Monthly Table'!B14,'NY Curve'!$A$4:$A$256,0),MATCH("Super Peak Curve",'NY Curve'!$A$4:$G$4,0)),IF(Tables!$E$30="New York Flat",INDEX('NY Curve'!$A$4:$G$256,MATCH('Monthly Table'!B14,'NY Curve'!$A$4:$A$256,0),MATCH("Flat NY West",'NY Curve'!$A$4:$G$4,0)),INDEX('Michigan Curve'!$A$4:$F$256,MATCH('Monthly Table'!B14,'Michigan Curve'!$A$4:$A$256,0),MATCH("Michigan Super Peak Curve US$/MWhr",'Michigan Curve'!$A$4:$F$4,0)))))</f>
        <v>24.5</v>
      </c>
      <c r="AL14" s="965">
        <f>IF(D14&lt;=Tables!$B$21,IF($AL$10=$AI$10,AI14,IF($AL$10=$AJ$10,AJ14,IF($AL$10=$AK$10,AK14,0))),0)</f>
        <v>24.5</v>
      </c>
      <c r="AM14" s="708">
        <f t="shared" si="24"/>
        <v>35.27065583319866</v>
      </c>
      <c r="AN14" s="916">
        <f t="shared" si="25"/>
        <v>0</v>
      </c>
      <c r="AO14" s="905"/>
      <c r="AP14" s="925"/>
      <c r="AQ14" s="926">
        <f>IF(Tables!$E$30="New York",INDEX('NY Curve'!$A$4:$L$256,MATCH('Monthly Table'!B14,'NY Curve'!$A$4:$A$256,0),MATCH("New York Shoulder Hour Curve Mon-Fri",'NY Curve'!$A$4:$L$4,0)),IF(Tables!$E$30="Michigan",INDEX('Michigan Curve'!$A$4:$K$256,MATCH('Monthly Table'!B14,'Michigan Curve'!$A$4:$A$256,0),MATCH("Michigan Shoulder Hour Curve Mon-Fri",'Michigan Curve'!$A$4:$K$4,0))))</f>
        <v>24.5</v>
      </c>
      <c r="AR14" s="708">
        <f t="shared" si="26"/>
        <v>35.27065583319866</v>
      </c>
      <c r="AS14" s="927">
        <f t="shared" si="7"/>
        <v>0</v>
      </c>
      <c r="AT14" s="462"/>
      <c r="AU14" s="926">
        <f>IF(Tables!$E$30="New York",INDEX('NY Curve'!$A$4:$L$256,MATCH('Monthly Table'!$B14,'NY Curve'!$A$4:$A$256,0),MATCH("New York Saturday Super Peak",'NY Curve'!$A$4:$L$4,0)),IF(Tables!$E$30="Michigan",INDEX('Michigan Curve'!$A$4:$K$256,MATCH('Monthly Table'!$B14,'Michigan Curve'!$A$4:$A$256,0),MATCH("Michigan Saturday Super Peak",'Michigan Curve'!$A$4:$K$4,0))))</f>
        <v>20</v>
      </c>
      <c r="AV14" s="925">
        <f t="shared" si="8"/>
        <v>28.792372108733598</v>
      </c>
      <c r="AW14" s="927">
        <f t="shared" si="9"/>
        <v>0</v>
      </c>
      <c r="AX14" s="926">
        <f>IF(Tables!$E$30="New York",INDEX('NY Curve'!$A$4:$L$256,MATCH('Monthly Table'!$B14,'NY Curve'!$A$4:$A$256,0),MATCH("New York Saturday Shoulder Peak",'NY Curve'!$A$4:$L$4,0)),IF(Tables!$E$30="Michigan",INDEX('Michigan Curve'!$A$4:$K$256,MATCH('Monthly Table'!$B14,'Michigan Curve'!$A$4:$A$256,0),MATCH("Michigan Saturday Shoulder Peak",'Michigan Curve'!$A$4:$K$4,0))))</f>
        <v>20</v>
      </c>
      <c r="AY14" s="934">
        <f t="shared" si="27"/>
        <v>28.792372108733598</v>
      </c>
      <c r="AZ14" s="927">
        <f t="shared" si="10"/>
        <v>0</v>
      </c>
      <c r="BA14" s="462"/>
      <c r="BB14" s="926">
        <f>IF(Tables!$E$30="New York",INDEX('NY Curve'!$A$4:$M$256,MATCH('Monthly Table'!$B14,'NY Curve'!$A$4:$A$256,0),MATCH("NY Sunday Super Peak",'NY Curve'!$A$4:$M$4,0)),IF(Tables!$E$30="Michigan",INDEX('Michigan Curve'!$A$4:$L$256,MATCH('Monthly Table'!$B14,'Michigan Curve'!$A$4:$A$256,0),MATCH("Michigan Sunday Super Peak",'Michigan Curve'!$A$4:$L$4,0))))</f>
        <v>18.995000839233398</v>
      </c>
      <c r="BC14" s="925">
        <f t="shared" si="28"/>
        <v>27.345556618445752</v>
      </c>
      <c r="BD14" s="927">
        <f t="shared" si="11"/>
        <v>0</v>
      </c>
      <c r="BE14" s="462"/>
      <c r="BF14" s="598">
        <f t="shared" si="12"/>
        <v>36982</v>
      </c>
      <c r="BG14" s="583">
        <f t="shared" si="29"/>
        <v>0</v>
      </c>
      <c r="BH14" s="583">
        <f t="shared" si="13"/>
        <v>0</v>
      </c>
      <c r="BI14" s="315">
        <f t="shared" si="30"/>
        <v>0</v>
      </c>
      <c r="BJ14" s="987">
        <f>IF('Monthly Table'!D14&lt;=Tables!$B$21,IF($BJ$10=$BG$10,BG14,IF($BJ$10=$BH$10,BH14,IF($BJ$10=$BI$10,BI14,0))),0)</f>
        <v>0</v>
      </c>
      <c r="BK14" s="43"/>
      <c r="BL14" s="987">
        <f t="shared" si="31"/>
        <v>0</v>
      </c>
      <c r="BM14" s="987">
        <f t="shared" si="32"/>
        <v>0</v>
      </c>
      <c r="BO14" s="987">
        <f t="shared" si="14"/>
        <v>0</v>
      </c>
      <c r="BP14" s="987">
        <f t="shared" si="33"/>
        <v>0</v>
      </c>
      <c r="BR14" s="993">
        <f>IF(BJ14&gt;0,INDEX(OperationalDetail,MATCH("Capacity Degradation",ODColumn,0),MATCH('Monthly Table'!C14,ODRow,0)),0)</f>
        <v>0</v>
      </c>
      <c r="BS14" s="994">
        <f>BJ14*(1-BR14)*Tables!$C$10</f>
        <v>0</v>
      </c>
      <c r="BT14" s="601">
        <f t="shared" si="15"/>
        <v>0</v>
      </c>
      <c r="BU14" s="601">
        <f t="shared" si="16"/>
        <v>0</v>
      </c>
      <c r="BV14" s="462"/>
      <c r="BW14" s="785">
        <f>$BO14*(1-$BR14)*Tables!$C$36</f>
        <v>0</v>
      </c>
      <c r="BX14" s="602">
        <f t="shared" si="34"/>
        <v>0</v>
      </c>
      <c r="BY14" s="601">
        <f t="shared" si="35"/>
        <v>0</v>
      </c>
      <c r="BZ14" s="462"/>
      <c r="CA14" s="785">
        <f>$BL14*(1-$BR14)*Tables!$C$36</f>
        <v>0</v>
      </c>
      <c r="CB14" s="602">
        <f t="shared" si="36"/>
        <v>0</v>
      </c>
      <c r="CC14" s="601">
        <f t="shared" si="37"/>
        <v>0</v>
      </c>
      <c r="CD14" s="785">
        <f>$BP14*(1-$BR14)*Tables!$C$36</f>
        <v>0</v>
      </c>
      <c r="CE14" s="602">
        <f t="shared" si="38"/>
        <v>0</v>
      </c>
      <c r="CF14" s="601">
        <f t="shared" si="39"/>
        <v>0</v>
      </c>
      <c r="CH14" s="785">
        <f>$BM14*(1-$BR14)*Tables!$C$36</f>
        <v>0</v>
      </c>
      <c r="CI14" s="602">
        <f t="shared" si="40"/>
        <v>0</v>
      </c>
      <c r="CJ14" s="601">
        <f t="shared" si="41"/>
        <v>0</v>
      </c>
      <c r="CK14" s="304"/>
      <c r="CL14" s="304">
        <f t="shared" si="42"/>
        <v>2000</v>
      </c>
      <c r="CM14" s="1018">
        <f>INDEX(OperationalDetail,MATCH("Degraded Heat Rate",ODColumn,0),MATCH('Monthly Table'!CL14,ODRow,0))/1000</f>
        <v>12.034750000000003</v>
      </c>
      <c r="CN14" s="737">
        <f t="shared" si="17"/>
        <v>54.090796938418244</v>
      </c>
      <c r="CO14" s="1019">
        <f>IF(A14="January",(CO13*(1+Assumptions!$E$32)),CO13)</f>
        <v>6.7356250000000015</v>
      </c>
      <c r="CP14" s="741">
        <f t="shared" si="18"/>
        <v>60.826421938418243</v>
      </c>
      <c r="CQ14" s="304"/>
      <c r="CR14" s="575" t="str">
        <f t="shared" si="43"/>
        <v/>
      </c>
      <c r="CS14" s="575" t="str">
        <f t="shared" si="44"/>
        <v/>
      </c>
      <c r="CT14" s="575" t="str">
        <f t="shared" si="45"/>
        <v/>
      </c>
      <c r="CU14" s="575" t="str">
        <f t="shared" si="46"/>
        <v/>
      </c>
      <c r="CV14" s="575" t="str">
        <f t="shared" si="47"/>
        <v/>
      </c>
      <c r="CW14" s="576">
        <f t="shared" si="19"/>
        <v>2001</v>
      </c>
      <c r="CX14" s="787">
        <f>INDEX('NY Curve'!$A$4:$G$256,MATCH('Monthly Table'!B14,'NY Curve'!$A$4:$A$256,0),MATCH("New York 5 X 16",'NY Curve'!$A$4:$G$4,0))</f>
        <v>26.25</v>
      </c>
      <c r="CY14" s="632">
        <f t="shared" si="20"/>
        <v>1.43961860543668</v>
      </c>
      <c r="CZ14" s="633">
        <f t="shared" si="21"/>
        <v>37.78998839271285</v>
      </c>
      <c r="DB14" s="857"/>
      <c r="DC14" s="857"/>
      <c r="DD14" s="500"/>
      <c r="DE14" s="745"/>
      <c r="DF14" s="858"/>
      <c r="DG14" s="755"/>
      <c r="DH14" s="755"/>
    </row>
    <row r="15" spans="1:112" ht="18.75" customHeight="1">
      <c r="A15" s="17" t="s">
        <v>441</v>
      </c>
      <c r="B15" s="508">
        <v>37012</v>
      </c>
      <c r="C15" s="43">
        <f t="shared" si="0"/>
        <v>2001</v>
      </c>
      <c r="D15" s="719">
        <v>1</v>
      </c>
      <c r="E15" s="972">
        <v>22</v>
      </c>
      <c r="F15" s="971">
        <v>4</v>
      </c>
      <c r="G15" s="971">
        <v>4</v>
      </c>
      <c r="H15" s="971">
        <v>1</v>
      </c>
      <c r="I15" s="976">
        <f t="shared" si="22"/>
        <v>31</v>
      </c>
      <c r="J15" s="621"/>
      <c r="K15" s="572">
        <f>INDEX(FX!$A$3:$C$362,MATCH(B15,FX!$A$3:$A$362,0),MATCH("Monthly Curve",FX!$A$2:$C$2,0))</f>
        <v>1.43854335370451</v>
      </c>
      <c r="L15" s="572"/>
      <c r="M15" s="1057">
        <v>2.68</v>
      </c>
      <c r="N15" s="1067">
        <v>0.15</v>
      </c>
      <c r="O15" s="315">
        <v>0.02</v>
      </c>
      <c r="P15" s="797">
        <f t="shared" si="1"/>
        <v>0.16999999999999998</v>
      </c>
      <c r="Q15" s="732">
        <f t="shared" si="2"/>
        <v>2.85</v>
      </c>
      <c r="R15" s="722">
        <f>Assumptions!$B$34</f>
        <v>0.3124588923076923</v>
      </c>
      <c r="S15" s="730">
        <f t="shared" si="3"/>
        <v>4.4123074503655459</v>
      </c>
      <c r="T15" s="572"/>
      <c r="V15" s="581">
        <f>Assumptions!$B$42</f>
        <v>0</v>
      </c>
      <c r="W15" s="581">
        <v>6.5</v>
      </c>
      <c r="X15" s="629">
        <v>1</v>
      </c>
      <c r="Y15" s="783">
        <f>Assumptions!$B$7</f>
        <v>312</v>
      </c>
      <c r="Z15" s="570">
        <f t="shared" si="4"/>
        <v>0</v>
      </c>
      <c r="AA15" s="592">
        <f t="shared" si="5"/>
        <v>0</v>
      </c>
      <c r="AB15" s="589">
        <f t="shared" si="6"/>
        <v>0</v>
      </c>
      <c r="AC15" s="462"/>
      <c r="AD15" s="1027">
        <f>IF(Tables!$E$30="Michigan",INDEX('Michigan Curve'!$A$4:$S$256,MATCH('Monthly Table'!B15,'Michigan Curve'!$A$4:$A$256,0),MATCH("Michigan Selected Option Value US$/month",'Michigan Curve'!$A$4:$S$4,0)),INDEX('NY Curve'!$A$4:$T$256,MATCH('Monthly Table'!B15,'NY Curve'!$A$4:$A$256,0),MATCH("New York Selected Option Value US$/month",'NY Curve'!$A$4:$T$4,0)))</f>
        <v>145242.98491923319</v>
      </c>
      <c r="AE15" s="601">
        <f t="shared" si="23"/>
        <v>208938.33062776728</v>
      </c>
      <c r="AF15" s="462"/>
      <c r="AG15" s="915"/>
      <c r="AI15" s="799">
        <f>Assumptions!$B$50</f>
        <v>65</v>
      </c>
      <c r="AJ15" s="743"/>
      <c r="AK15" s="924">
        <f>IF(Tables!$E$30="Custom",'Monthly Table'!AI15,IF(Tables!$E$30="New York",INDEX('NY Curve'!$A$4:$G$256,MATCH('Monthly Table'!B15,'NY Curve'!$A$4:$A$256,0),MATCH("Super Peak Curve",'NY Curve'!$A$4:$G$4,0)),IF(Tables!$E$30="New York Flat",INDEX('NY Curve'!$A$4:$G$256,MATCH('Monthly Table'!B15,'NY Curve'!$A$4:$A$256,0),MATCH("Flat NY West",'NY Curve'!$A$4:$G$4,0)),INDEX('Michigan Curve'!$A$4:$F$256,MATCH('Monthly Table'!B15,'Michigan Curve'!$A$4:$A$256,0),MATCH("Michigan Super Peak Curve US$/MWhr",'Michigan Curve'!$A$4:$F$4,0)))))</f>
        <v>31.480312552303076</v>
      </c>
      <c r="AL15" s="965">
        <f>IF(D15&lt;=Tables!$B$21,IF($AL$10=$AI$10,AI15,IF($AL$10=$AJ$10,AJ15,IF($AL$10=$AK$10,AK15,0))),0)</f>
        <v>31.480312552303076</v>
      </c>
      <c r="AM15" s="708">
        <f t="shared" si="24"/>
        <v>45.28579439465625</v>
      </c>
      <c r="AN15" s="916">
        <f t="shared" si="25"/>
        <v>0</v>
      </c>
      <c r="AO15" s="905"/>
      <c r="AP15" s="925"/>
      <c r="AQ15" s="926">
        <f>IF(Tables!$E$30="New York",INDEX('NY Curve'!$A$4:$L$256,MATCH('Monthly Table'!B15,'NY Curve'!$A$4:$A$256,0),MATCH("New York Shoulder Hour Curve Mon-Fri",'NY Curve'!$A$4:$L$4,0)),IF(Tables!$E$30="Michigan",INDEX('Michigan Curve'!$A$4:$K$256,MATCH('Monthly Table'!B15,'Michigan Curve'!$A$4:$A$256,0),MATCH("Michigan Shoulder Hour Curve Mon-Fri",'Michigan Curve'!$A$4:$K$4,0))))</f>
        <v>27.019687447696924</v>
      </c>
      <c r="AR15" s="708">
        <f t="shared" si="26"/>
        <v>38.868991797057589</v>
      </c>
      <c r="AS15" s="927">
        <f t="shared" si="7"/>
        <v>0</v>
      </c>
      <c r="AT15" s="462"/>
      <c r="AU15" s="926">
        <f>IF(Tables!$E$30="New York",INDEX('NY Curve'!$A$4:$L$256,MATCH('Monthly Table'!$B15,'NY Curve'!$A$4:$A$256,0),MATCH("New York Saturday Super Peak",'NY Curve'!$A$4:$L$4,0)),IF(Tables!$E$30="Michigan",INDEX('Michigan Curve'!$A$4:$K$256,MATCH('Monthly Table'!$B15,'Michigan Curve'!$A$4:$A$256,0),MATCH("Michigan Saturday Super Peak",'Michigan Curve'!$A$4:$K$4,0))))</f>
        <v>22.601250037550926</v>
      </c>
      <c r="AV15" s="925">
        <f t="shared" si="8"/>
        <v>32.51287802693269</v>
      </c>
      <c r="AW15" s="927">
        <f t="shared" si="9"/>
        <v>0</v>
      </c>
      <c r="AX15" s="926">
        <f>IF(Tables!$E$30="New York",INDEX('NY Curve'!$A$4:$L$256,MATCH('Monthly Table'!$B15,'NY Curve'!$A$4:$A$256,0),MATCH("New York Saturday Shoulder Peak",'NY Curve'!$A$4:$L$4,0)),IF(Tables!$E$30="Michigan",INDEX('Michigan Curve'!$A$4:$K$256,MATCH('Monthly Table'!$B15,'Michigan Curve'!$A$4:$A$256,0),MATCH("Michigan Saturday Shoulder Peak",'Michigan Curve'!$A$4:$K$4,0))))</f>
        <v>19.398749962449074</v>
      </c>
      <c r="AY15" s="934">
        <f t="shared" si="27"/>
        <v>27.90594282865673</v>
      </c>
      <c r="AZ15" s="927">
        <f t="shared" si="10"/>
        <v>0</v>
      </c>
      <c r="BA15" s="462"/>
      <c r="BB15" s="926">
        <f>IF(Tables!$E$30="New York",INDEX('NY Curve'!$A$4:$M$256,MATCH('Monthly Table'!$B15,'NY Curve'!$A$4:$A$256,0),MATCH("NY Sunday Super Peak",'NY Curve'!$A$4:$M$4,0)),IF(Tables!$E$30="Michigan",INDEX('Michigan Curve'!$A$4:$L$256,MATCH('Monthly Table'!$B15,'Michigan Curve'!$A$4:$A$256,0),MATCH("Michigan Sunday Super Peak",'Michigan Curve'!$A$4:$L$4,0))))</f>
        <v>21.530380382546781</v>
      </c>
      <c r="BC15" s="925">
        <f t="shared" si="28"/>
        <v>30.972385602042639</v>
      </c>
      <c r="BD15" s="927">
        <f t="shared" si="11"/>
        <v>0</v>
      </c>
      <c r="BE15" s="462"/>
      <c r="BF15" s="598">
        <f t="shared" si="12"/>
        <v>37012</v>
      </c>
      <c r="BG15" s="583">
        <f t="shared" si="29"/>
        <v>0</v>
      </c>
      <c r="BH15" s="583">
        <f t="shared" si="13"/>
        <v>0</v>
      </c>
      <c r="BI15" s="315">
        <f t="shared" si="30"/>
        <v>0</v>
      </c>
      <c r="BJ15" s="987">
        <f>IF('Monthly Table'!D15&lt;=Tables!$B$21,IF($BJ$10=$BG$10,BG15,IF($BJ$10=$BH$10,BH15,IF($BJ$10=$BI$10,BI15,0))),0)</f>
        <v>0</v>
      </c>
      <c r="BK15" s="43"/>
      <c r="BL15" s="987">
        <f t="shared" si="31"/>
        <v>0</v>
      </c>
      <c r="BM15" s="987">
        <f t="shared" si="32"/>
        <v>0</v>
      </c>
      <c r="BO15" s="987">
        <f t="shared" si="14"/>
        <v>0</v>
      </c>
      <c r="BP15" s="987">
        <f t="shared" si="33"/>
        <v>0</v>
      </c>
      <c r="BR15" s="993">
        <f>IF(BJ15&gt;0,INDEX(OperationalDetail,MATCH("Capacity Degradation",ODColumn,0),MATCH('Monthly Table'!C15,ODRow,0)),0)</f>
        <v>0</v>
      </c>
      <c r="BS15" s="994">
        <f>BJ15*(1-BR15)*Tables!$C$10</f>
        <v>0</v>
      </c>
      <c r="BT15" s="601">
        <f t="shared" si="15"/>
        <v>0</v>
      </c>
      <c r="BU15" s="601">
        <f t="shared" si="16"/>
        <v>0</v>
      </c>
      <c r="BV15" s="462"/>
      <c r="BW15" s="785">
        <f>$BO15*(1-$BR15)*Tables!$C$36</f>
        <v>0</v>
      </c>
      <c r="BX15" s="602">
        <f t="shared" si="34"/>
        <v>0</v>
      </c>
      <c r="BY15" s="601">
        <f t="shared" si="35"/>
        <v>0</v>
      </c>
      <c r="BZ15" s="462"/>
      <c r="CA15" s="785">
        <f>$BL15*(1-$BR15)*Tables!$C$36</f>
        <v>0</v>
      </c>
      <c r="CB15" s="602">
        <f t="shared" si="36"/>
        <v>0</v>
      </c>
      <c r="CC15" s="601">
        <f t="shared" si="37"/>
        <v>0</v>
      </c>
      <c r="CD15" s="785">
        <f>$BP15*(1-$BR15)*Tables!$C$36</f>
        <v>0</v>
      </c>
      <c r="CE15" s="602">
        <f t="shared" si="38"/>
        <v>0</v>
      </c>
      <c r="CF15" s="601">
        <f t="shared" si="39"/>
        <v>0</v>
      </c>
      <c r="CH15" s="785">
        <f>$BM15*(1-$BR15)*Tables!$C$36</f>
        <v>0</v>
      </c>
      <c r="CI15" s="602">
        <f t="shared" si="40"/>
        <v>0</v>
      </c>
      <c r="CJ15" s="601">
        <f t="shared" si="41"/>
        <v>0</v>
      </c>
      <c r="CK15" s="304"/>
      <c r="CL15" s="304">
        <f t="shared" si="42"/>
        <v>2000</v>
      </c>
      <c r="CM15" s="1018">
        <f>INDEX(OperationalDetail,MATCH("Degraded Heat Rate",ODColumn,0),MATCH('Monthly Table'!CL15,ODRow,0))/1000</f>
        <v>12.034750000000003</v>
      </c>
      <c r="CN15" s="737">
        <f t="shared" si="17"/>
        <v>53.101017088286767</v>
      </c>
      <c r="CO15" s="1019">
        <f>IF(A15="January",(CO14*(1+Assumptions!$E$32)),CO14)</f>
        <v>6.7356250000000015</v>
      </c>
      <c r="CP15" s="741">
        <f t="shared" si="18"/>
        <v>59.836642088286766</v>
      </c>
      <c r="CQ15" s="304"/>
      <c r="CR15" s="575" t="str">
        <f t="shared" si="43"/>
        <v/>
      </c>
      <c r="CS15" s="575" t="str">
        <f t="shared" si="44"/>
        <v/>
      </c>
      <c r="CT15" s="575" t="str">
        <f t="shared" si="45"/>
        <v/>
      </c>
      <c r="CU15" s="575" t="str">
        <f t="shared" si="46"/>
        <v/>
      </c>
      <c r="CV15" s="575" t="str">
        <f t="shared" si="47"/>
        <v/>
      </c>
      <c r="CW15" s="576">
        <f t="shared" si="19"/>
        <v>2001</v>
      </c>
      <c r="CX15" s="787">
        <f>INDEX('NY Curve'!$A$4:$G$256,MATCH('Monthly Table'!B15,'NY Curve'!$A$4:$A$256,0),MATCH("New York 5 X 16",'NY Curve'!$A$4:$G$4,0))</f>
        <v>30.5</v>
      </c>
      <c r="CY15" s="632">
        <f t="shared" si="20"/>
        <v>1.43854335370451</v>
      </c>
      <c r="CZ15" s="633">
        <f t="shared" si="21"/>
        <v>43.875572287987559</v>
      </c>
      <c r="DB15" s="857"/>
      <c r="DC15" s="857"/>
      <c r="DD15" s="500"/>
      <c r="DE15" s="745"/>
      <c r="DF15" s="858"/>
      <c r="DG15" s="755"/>
      <c r="DH15" s="755"/>
    </row>
    <row r="16" spans="1:112" ht="18.75" customHeight="1">
      <c r="A16" s="17" t="s">
        <v>442</v>
      </c>
      <c r="B16" s="508">
        <v>37043</v>
      </c>
      <c r="C16" s="43">
        <f t="shared" si="0"/>
        <v>2001</v>
      </c>
      <c r="D16" s="719">
        <v>1</v>
      </c>
      <c r="E16" s="972">
        <v>21</v>
      </c>
      <c r="F16" s="971">
        <v>5</v>
      </c>
      <c r="G16" s="971">
        <v>4</v>
      </c>
      <c r="H16" s="971">
        <v>0</v>
      </c>
      <c r="I16" s="976">
        <f t="shared" si="22"/>
        <v>30</v>
      </c>
      <c r="J16" s="621"/>
      <c r="K16" s="572">
        <f>INDEX(FX!$A$3:$C$362,MATCH(B16,FX!$A$3:$A$362,0),MATCH("Monthly Curve",FX!$A$2:$C$2,0))</f>
        <v>1.43743235552266</v>
      </c>
      <c r="L16" s="572"/>
      <c r="M16" s="1057">
        <v>2.6810000000000005</v>
      </c>
      <c r="N16" s="1067">
        <v>0.15</v>
      </c>
      <c r="O16" s="315">
        <v>0.02</v>
      </c>
      <c r="P16" s="797">
        <f t="shared" si="1"/>
        <v>0.16999999999999998</v>
      </c>
      <c r="Q16" s="732">
        <f t="shared" si="2"/>
        <v>2.8510000000000004</v>
      </c>
      <c r="R16" s="722">
        <f>Assumptions!$B$34</f>
        <v>0.3124588923076923</v>
      </c>
      <c r="S16" s="730">
        <f t="shared" si="3"/>
        <v>4.4105785379027962</v>
      </c>
      <c r="T16" s="572"/>
      <c r="U16" s="565"/>
      <c r="V16" s="581">
        <f>Assumptions!$B$42</f>
        <v>0</v>
      </c>
      <c r="W16" s="581">
        <v>14</v>
      </c>
      <c r="X16" s="629">
        <v>24</v>
      </c>
      <c r="Y16" s="783">
        <f>Assumptions!$B$7</f>
        <v>312</v>
      </c>
      <c r="Z16" s="570">
        <f t="shared" si="4"/>
        <v>0</v>
      </c>
      <c r="AA16" s="592">
        <f t="shared" si="5"/>
        <v>0</v>
      </c>
      <c r="AB16" s="589">
        <f t="shared" si="6"/>
        <v>0</v>
      </c>
      <c r="AC16" s="462"/>
      <c r="AD16" s="1027">
        <f>IF(Tables!$E$30="Michigan",INDEX('Michigan Curve'!$A$4:$S$256,MATCH('Monthly Table'!B16,'Michigan Curve'!$A$4:$A$256,0),MATCH("Michigan Selected Option Value US$/month",'Michigan Curve'!$A$4:$S$4,0)),INDEX('NY Curve'!$A$4:$T$256,MATCH('Monthly Table'!B16,'NY Curve'!$A$4:$A$256,0),MATCH("New York Selected Option Value US$/month",'NY Curve'!$A$4:$T$4,0)))</f>
        <v>647465.34737231582</v>
      </c>
      <c r="AE16" s="601">
        <f t="shared" si="23"/>
        <v>930687.63939268526</v>
      </c>
      <c r="AF16" s="462"/>
      <c r="AG16" s="915"/>
      <c r="AI16" s="799">
        <f>Assumptions!$B$50</f>
        <v>65</v>
      </c>
      <c r="AJ16" s="743"/>
      <c r="AK16" s="924">
        <f>IF(Tables!$E$30="Custom",'Monthly Table'!AI16,IF(Tables!$E$30="New York",INDEX('NY Curve'!$A$4:$G$256,MATCH('Monthly Table'!B16,'NY Curve'!$A$4:$A$256,0),MATCH("Super Peak Curve",'NY Curve'!$A$4:$G$4,0)),IF(Tables!$E$30="New York Flat",INDEX('NY Curve'!$A$4:$G$256,MATCH('Monthly Table'!B16,'NY Curve'!$A$4:$A$256,0),MATCH("Flat NY West",'NY Curve'!$A$4:$G$4,0)),INDEX('Michigan Curve'!$A$4:$F$256,MATCH('Monthly Table'!B16,'Michigan Curve'!$A$4:$A$256,0),MATCH("Michigan Super Peak Curve US$/MWhr",'Michigan Curve'!$A$4:$F$4,0)))))</f>
        <v>96.081281099177005</v>
      </c>
      <c r="AL16" s="965">
        <f>IF(D16&lt;=Tables!$B$21,IF($AL$10=$AI$10,AI16,IF($AL$10=$AJ$10,AJ16,IF($AL$10=$AK$10,AK16,0))),0)</f>
        <v>96.081281099177005</v>
      </c>
      <c r="AM16" s="708">
        <f t="shared" si="24"/>
        <v>138.11034221202485</v>
      </c>
      <c r="AN16" s="916">
        <f t="shared" si="25"/>
        <v>1</v>
      </c>
      <c r="AO16" s="905"/>
      <c r="AP16" s="925"/>
      <c r="AQ16" s="926">
        <f>IF(Tables!$E$30="New York",INDEX('NY Curve'!$A$4:$L$256,MATCH('Monthly Table'!B16,'NY Curve'!$A$4:$A$256,0),MATCH("New York Shoulder Hour Curve Mon-Fri",'NY Curve'!$A$4:$L$4,0)),IF(Tables!$E$30="Michigan",INDEX('Michigan Curve'!$A$4:$K$256,MATCH('Monthly Table'!B16,'Michigan Curve'!$A$4:$A$256,0),MATCH("Michigan Shoulder Hour Curve Mon-Fri",'Michigan Curve'!$A$4:$K$4,0))))</f>
        <v>24.418718900822988</v>
      </c>
      <c r="AR16" s="708">
        <f t="shared" si="26"/>
        <v>35.100256628455689</v>
      </c>
      <c r="AS16" s="927">
        <f t="shared" si="7"/>
        <v>0</v>
      </c>
      <c r="AT16" s="462"/>
      <c r="AU16" s="926">
        <f>IF(Tables!$E$30="New York",INDEX('NY Curve'!$A$4:$L$256,MATCH('Monthly Table'!$B16,'NY Curve'!$A$4:$A$256,0),MATCH("New York Saturday Super Peak",'NY Curve'!$A$4:$L$4,0)),IF(Tables!$E$30="Michigan",INDEX('Michigan Curve'!$A$4:$K$256,MATCH('Monthly Table'!$B16,'Michigan Curve'!$A$4:$A$256,0),MATCH("Michigan Saturday Super Peak",'Michigan Curve'!$A$4:$K$4,0))))</f>
        <v>41.462461553171821</v>
      </c>
      <c r="AV16" s="925">
        <f t="shared" si="8"/>
        <v>59.599483776143501</v>
      </c>
      <c r="AW16" s="927">
        <f t="shared" si="9"/>
        <v>0</v>
      </c>
      <c r="AX16" s="926">
        <f>IF(Tables!$E$30="New York",INDEX('NY Curve'!$A$4:$L$256,MATCH('Monthly Table'!$B16,'NY Curve'!$A$4:$A$256,0),MATCH("New York Saturday Shoulder Peak",'NY Curve'!$A$4:$L$4,0)),IF(Tables!$E$30="Michigan",INDEX('Michigan Curve'!$A$4:$K$256,MATCH('Monthly Table'!$B16,'Michigan Curve'!$A$4:$A$256,0),MATCH("Michigan Saturday Shoulder Peak",'Michigan Curve'!$A$4:$K$4,0))))</f>
        <v>10.537538446828178</v>
      </c>
      <c r="AY16" s="934">
        <f t="shared" si="27"/>
        <v>15.14699871103482</v>
      </c>
      <c r="AZ16" s="927">
        <f t="shared" si="10"/>
        <v>0</v>
      </c>
      <c r="BA16" s="462"/>
      <c r="BB16" s="926">
        <f>IF(Tables!$E$30="New York",INDEX('NY Curve'!$A$4:$M$256,MATCH('Monthly Table'!$B16,'NY Curve'!$A$4:$A$256,0),MATCH("NY Sunday Super Peak",'NY Curve'!$A$4:$M$4,0)),IF(Tables!$E$30="Michigan",INDEX('Michigan Curve'!$A$4:$L$256,MATCH('Monthly Table'!$B16,'Michigan Curve'!$A$4:$A$256,0),MATCH("Michigan Sunday Super Peak",'Michigan Curve'!$A$4:$L$4,0))))</f>
        <v>38.273041433697067</v>
      </c>
      <c r="BC16" s="925">
        <f t="shared" si="28"/>
        <v>55.014908101055539</v>
      </c>
      <c r="BD16" s="927">
        <f t="shared" si="11"/>
        <v>0</v>
      </c>
      <c r="BE16" s="462"/>
      <c r="BF16" s="598">
        <f t="shared" si="12"/>
        <v>37043</v>
      </c>
      <c r="BG16" s="583">
        <f t="shared" si="29"/>
        <v>168</v>
      </c>
      <c r="BH16" s="583">
        <f t="shared" si="13"/>
        <v>168</v>
      </c>
      <c r="BI16" s="315">
        <f t="shared" si="30"/>
        <v>168</v>
      </c>
      <c r="BJ16" s="987">
        <f>IF('Monthly Table'!D16&lt;=Tables!$B$21,IF($BJ$10=$BG$10,BG16,IF($BJ$10=$BH$10,BH16,IF($BJ$10=$BI$10,BI16,0))),0)</f>
        <v>168</v>
      </c>
      <c r="BK16" s="43"/>
      <c r="BL16" s="987">
        <f t="shared" si="31"/>
        <v>0</v>
      </c>
      <c r="BM16" s="987">
        <f t="shared" si="32"/>
        <v>0</v>
      </c>
      <c r="BO16" s="987">
        <f t="shared" si="14"/>
        <v>0</v>
      </c>
      <c r="BP16" s="987">
        <f t="shared" si="33"/>
        <v>0</v>
      </c>
      <c r="BR16" s="993">
        <f>IF(BJ16&gt;0,INDEX(OperationalDetail,MATCH("Capacity Degradation",ODColumn,0),MATCH('Monthly Table'!C16,ODRow,0)),0)</f>
        <v>8.8299999999999993E-3</v>
      </c>
      <c r="BS16" s="994">
        <f>BJ16*(1-BR16)*Tables!$C$10</f>
        <v>53951.365440000001</v>
      </c>
      <c r="BT16" s="601">
        <f t="shared" si="15"/>
        <v>5183.7163085250641</v>
      </c>
      <c r="BU16" s="601">
        <f t="shared" si="16"/>
        <v>7451.2415437244108</v>
      </c>
      <c r="BV16" s="462"/>
      <c r="BW16" s="785">
        <f>$BO16*(1-$BR16)*Tables!$C$36</f>
        <v>0</v>
      </c>
      <c r="BX16" s="602">
        <f t="shared" si="34"/>
        <v>0</v>
      </c>
      <c r="BY16" s="601">
        <f t="shared" si="35"/>
        <v>0</v>
      </c>
      <c r="BZ16" s="462"/>
      <c r="CA16" s="785">
        <f>$BL16*(1-$BR16)*Tables!$C$36</f>
        <v>0</v>
      </c>
      <c r="CB16" s="602">
        <f t="shared" si="36"/>
        <v>0</v>
      </c>
      <c r="CC16" s="601">
        <f t="shared" si="37"/>
        <v>0</v>
      </c>
      <c r="CD16" s="785">
        <f>$BP16*(1-$BR16)*Tables!$C$36</f>
        <v>0</v>
      </c>
      <c r="CE16" s="602">
        <f t="shared" si="38"/>
        <v>0</v>
      </c>
      <c r="CF16" s="601">
        <f t="shared" si="39"/>
        <v>0</v>
      </c>
      <c r="CH16" s="785">
        <f>$BM16*(1-$BR16)*Tables!$C$36</f>
        <v>0</v>
      </c>
      <c r="CI16" s="602">
        <f t="shared" si="40"/>
        <v>0</v>
      </c>
      <c r="CJ16" s="601">
        <f t="shared" si="41"/>
        <v>0</v>
      </c>
      <c r="CK16" s="304"/>
      <c r="CL16" s="304">
        <f t="shared" si="42"/>
        <v>2000</v>
      </c>
      <c r="CM16" s="1018">
        <f>INDEX(OperationalDetail,MATCH("Degraded Heat Rate",ODColumn,0),MATCH('Monthly Table'!CL16,ODRow,0))/1000</f>
        <v>12.034750000000003</v>
      </c>
      <c r="CN16" s="737">
        <f t="shared" si="17"/>
        <v>53.080210059025688</v>
      </c>
      <c r="CO16" s="1019">
        <f>IF(A16="January",(CO15*(1+Assumptions!$E$32)),CO15)</f>
        <v>6.7356250000000015</v>
      </c>
      <c r="CP16" s="741">
        <f t="shared" si="18"/>
        <v>59.815835059025687</v>
      </c>
      <c r="CQ16" s="304"/>
      <c r="CR16" s="575">
        <f t="shared" si="43"/>
        <v>2001</v>
      </c>
      <c r="CS16" s="575" t="str">
        <f t="shared" si="44"/>
        <v/>
      </c>
      <c r="CT16" s="575" t="str">
        <f t="shared" si="45"/>
        <v/>
      </c>
      <c r="CU16" s="575" t="str">
        <f t="shared" si="46"/>
        <v/>
      </c>
      <c r="CV16" s="575" t="str">
        <f t="shared" si="47"/>
        <v/>
      </c>
      <c r="CW16" s="576">
        <f t="shared" si="19"/>
        <v>2001</v>
      </c>
      <c r="CX16" s="787">
        <f>INDEX('NY Curve'!$A$4:$G$256,MATCH('Monthly Table'!B16,'NY Curve'!$A$4:$A$256,0),MATCH("New York 5 X 16",'NY Curve'!$A$4:$G$4,0))</f>
        <v>50</v>
      </c>
      <c r="CY16" s="632">
        <f t="shared" si="20"/>
        <v>1.43743235552266</v>
      </c>
      <c r="CZ16" s="633">
        <f t="shared" si="21"/>
        <v>71.871617776133007</v>
      </c>
      <c r="DB16" s="857"/>
      <c r="DC16" s="857"/>
      <c r="DD16" s="500"/>
      <c r="DE16" s="745"/>
      <c r="DF16" s="858"/>
      <c r="DG16" s="755"/>
      <c r="DH16" s="755"/>
    </row>
    <row r="17" spans="1:112" ht="18.75" customHeight="1">
      <c r="A17" s="17" t="s">
        <v>443</v>
      </c>
      <c r="B17" s="508">
        <v>37073</v>
      </c>
      <c r="C17" s="43">
        <f t="shared" si="0"/>
        <v>2001</v>
      </c>
      <c r="D17" s="719">
        <f>IF(A17="January",D16+1,D16)</f>
        <v>1</v>
      </c>
      <c r="E17" s="972">
        <v>21</v>
      </c>
      <c r="F17" s="971">
        <v>4</v>
      </c>
      <c r="G17" s="971">
        <v>5</v>
      </c>
      <c r="H17" s="971">
        <v>1</v>
      </c>
      <c r="I17" s="976">
        <f t="shared" si="22"/>
        <v>31</v>
      </c>
      <c r="J17" s="621"/>
      <c r="K17" s="572">
        <f>INDEX(FX!$A$3:$C$362,MATCH(B17,FX!$A$3:$A$362,0),MATCH("Monthly Curve",FX!$A$2:$C$2,0))</f>
        <v>1.4363936779086699</v>
      </c>
      <c r="L17" s="572"/>
      <c r="M17" s="1057">
        <v>2.6960000000000002</v>
      </c>
      <c r="N17" s="1067">
        <v>0.15</v>
      </c>
      <c r="O17" s="315">
        <v>0.02</v>
      </c>
      <c r="P17" s="797">
        <f t="shared" si="1"/>
        <v>0.16999999999999998</v>
      </c>
      <c r="Q17" s="732">
        <f t="shared" si="2"/>
        <v>2.8660000000000001</v>
      </c>
      <c r="R17" s="722">
        <f>Assumptions!$B$34</f>
        <v>0.3124588923076923</v>
      </c>
      <c r="S17" s="730">
        <f t="shared" si="3"/>
        <v>4.42916317319394</v>
      </c>
      <c r="T17" s="572"/>
      <c r="V17" s="581">
        <f>Assumptions!$B$42</f>
        <v>0</v>
      </c>
      <c r="W17" s="581">
        <v>14</v>
      </c>
      <c r="X17" s="629">
        <v>24</v>
      </c>
      <c r="Y17" s="783">
        <f>Assumptions!$B$7</f>
        <v>312</v>
      </c>
      <c r="Z17" s="570">
        <f t="shared" si="4"/>
        <v>0</v>
      </c>
      <c r="AA17" s="592">
        <f t="shared" si="5"/>
        <v>0</v>
      </c>
      <c r="AB17" s="589">
        <f t="shared" si="6"/>
        <v>0</v>
      </c>
      <c r="AC17" s="462"/>
      <c r="AD17" s="1027">
        <f>IF(Tables!$E$30="Michigan",INDEX('Michigan Curve'!$A$4:$S$256,MATCH('Monthly Table'!B17,'Michigan Curve'!$A$4:$A$256,0),MATCH("Michigan Selected Option Value US$/month",'Michigan Curve'!$A$4:$S$4,0)),INDEX('NY Curve'!$A$4:$T$256,MATCH('Monthly Table'!B17,'NY Curve'!$A$4:$A$256,0),MATCH("New York Selected Option Value US$/month",'NY Curve'!$A$4:$T$4,0)))</f>
        <v>1053441.023274051</v>
      </c>
      <c r="AE17" s="601">
        <f t="shared" si="23"/>
        <v>1513156.0258804869</v>
      </c>
      <c r="AF17" s="462"/>
      <c r="AG17" s="915"/>
      <c r="AH17" s="462"/>
      <c r="AI17" s="799">
        <f>Assumptions!$B$50</f>
        <v>65</v>
      </c>
      <c r="AJ17" s="743"/>
      <c r="AK17" s="924">
        <f>IF(Tables!$E$30="Custom",'Monthly Table'!AI17,IF(Tables!$E$30="New York",INDEX('NY Curve'!$A$4:$G$256,MATCH('Monthly Table'!B17,'NY Curve'!$A$4:$A$256,0),MATCH("Super Peak Curve",'NY Curve'!$A$4:$G$4,0)),IF(Tables!$E$30="New York Flat",INDEX('NY Curve'!$A$4:$G$256,MATCH('Monthly Table'!B17,'NY Curve'!$A$4:$A$256,0),MATCH("Flat NY West",'NY Curve'!$A$4:$G$4,0)),INDEX('Michigan Curve'!$A$4:$F$256,MATCH('Monthly Table'!B17,'Michigan Curve'!$A$4:$A$256,0),MATCH("Michigan Super Peak Curve US$/MWhr",'Michigan Curve'!$A$4:$F$4,0)))))</f>
        <v>207.9280508646205</v>
      </c>
      <c r="AL17" s="965">
        <f>IF(D17&lt;=Tables!$B$21,IF($AL$10=$AI$10,AI17,IF($AL$10=$AJ$10,AJ17,IF($AL$10=$AK$10,AK17,0))),0)</f>
        <v>207.9280508646205</v>
      </c>
      <c r="AM17" s="708">
        <f t="shared" si="24"/>
        <v>298.66653772181326</v>
      </c>
      <c r="AN17" s="916">
        <f t="shared" si="25"/>
        <v>1</v>
      </c>
      <c r="AO17" s="905"/>
      <c r="AP17" s="925"/>
      <c r="AQ17" s="926">
        <f>IF(Tables!$E$30="New York",INDEX('NY Curve'!$A$4:$L$256,MATCH('Monthly Table'!B17,'NY Curve'!$A$4:$A$256,0),MATCH("New York Shoulder Hour Curve Mon-Fri",'NY Curve'!$A$4:$L$4,0)),IF(Tables!$E$30="Michigan",INDEX('Michigan Curve'!$A$4:$K$256,MATCH('Monthly Table'!B17,'Michigan Curve'!$A$4:$A$256,0),MATCH("Michigan Shoulder Hour Curve Mon-Fri",'Michigan Curve'!$A$4:$K$4,0))))</f>
        <v>32.071949135379498</v>
      </c>
      <c r="AR17" s="708">
        <f t="shared" si="26"/>
        <v>46.06794497626754</v>
      </c>
      <c r="AS17" s="927">
        <f t="shared" si="7"/>
        <v>0</v>
      </c>
      <c r="AT17" s="462"/>
      <c r="AU17" s="926">
        <f>IF(Tables!$E$30="New York",INDEX('NY Curve'!$A$4:$L$256,MATCH('Monthly Table'!$B17,'NY Curve'!$A$4:$A$256,0),MATCH("New York Saturday Super Peak",'NY Curve'!$A$4:$L$4,0)),IF(Tables!$E$30="Michigan",INDEX('Michigan Curve'!$A$4:$K$256,MATCH('Monthly Table'!$B17,'Michigan Curve'!$A$4:$A$256,0),MATCH("Michigan Saturday Super Peak",'Michigan Curve'!$A$4:$K$4,0))))</f>
        <v>60.645681502180977</v>
      </c>
      <c r="AV17" s="925">
        <f t="shared" si="8"/>
        <v>87.111073502195524</v>
      </c>
      <c r="AW17" s="927">
        <f t="shared" si="9"/>
        <v>1</v>
      </c>
      <c r="AX17" s="926">
        <f>IF(Tables!$E$30="New York",INDEX('NY Curve'!$A$4:$L$256,MATCH('Monthly Table'!$B17,'NY Curve'!$A$4:$A$256,0),MATCH("New York Saturday Shoulder Peak",'NY Curve'!$A$4:$L$4,0)),IF(Tables!$E$30="Michigan",INDEX('Michigan Curve'!$A$4:$K$256,MATCH('Monthly Table'!$B17,'Michigan Curve'!$A$4:$A$256,0),MATCH("Michigan Saturday Shoulder Peak",'Michigan Curve'!$A$4:$K$4,0))))</f>
        <v>9.354318497819019</v>
      </c>
      <c r="AY17" s="934">
        <f t="shared" si="27"/>
        <v>13.436483951411365</v>
      </c>
      <c r="AZ17" s="927">
        <f t="shared" si="10"/>
        <v>0</v>
      </c>
      <c r="BA17" s="462"/>
      <c r="BB17" s="926">
        <f>IF(Tables!$E$30="New York",INDEX('NY Curve'!$A$4:$M$256,MATCH('Monthly Table'!$B17,'NY Curve'!$A$4:$A$256,0),MATCH("NY Sunday Super Peak",'NY Curve'!$A$4:$M$4,0)),IF(Tables!$E$30="Michigan",INDEX('Michigan Curve'!$A$4:$L$256,MATCH('Monthly Table'!$B17,'Michigan Curve'!$A$4:$A$256,0),MATCH("Michigan Sunday Super Peak",'Michigan Curve'!$A$4:$L$4,0))))</f>
        <v>53.714743168432932</v>
      </c>
      <c r="BC17" s="925">
        <f t="shared" si="28"/>
        <v>77.155517497624984</v>
      </c>
      <c r="BD17" s="927">
        <f t="shared" si="11"/>
        <v>1</v>
      </c>
      <c r="BE17" s="462"/>
      <c r="BF17" s="598">
        <f t="shared" si="12"/>
        <v>37073</v>
      </c>
      <c r="BG17" s="583">
        <f t="shared" si="29"/>
        <v>168</v>
      </c>
      <c r="BH17" s="583">
        <f t="shared" si="13"/>
        <v>168</v>
      </c>
      <c r="BI17" s="315">
        <f t="shared" si="30"/>
        <v>168</v>
      </c>
      <c r="BJ17" s="987">
        <f>IF('Monthly Table'!D17&lt;=Tables!$B$21,IF($BJ$10=$BG$10,BG17,IF($BJ$10=$BH$10,BH17,IF($BJ$10=$BI$10,BI17,0))),0)</f>
        <v>168</v>
      </c>
      <c r="BK17" s="43"/>
      <c r="BL17" s="987">
        <f t="shared" si="31"/>
        <v>32</v>
      </c>
      <c r="BM17" s="987">
        <f t="shared" si="32"/>
        <v>48</v>
      </c>
      <c r="BO17" s="987">
        <f t="shared" si="14"/>
        <v>0</v>
      </c>
      <c r="BP17" s="987">
        <f t="shared" si="33"/>
        <v>0</v>
      </c>
      <c r="BR17" s="993">
        <f>IF(BJ17&gt;0,INDEX(OperationalDetail,MATCH("Capacity Degradation",ODColumn,0),MATCH('Monthly Table'!C17,ODRow,0)),0)</f>
        <v>8.8299999999999993E-3</v>
      </c>
      <c r="BS17" s="994">
        <f>BJ17*(1-BR17)*Tables!$C$10</f>
        <v>53951.365440000001</v>
      </c>
      <c r="BT17" s="601">
        <f t="shared" si="15"/>
        <v>11218.002257424048</v>
      </c>
      <c r="BU17" s="601">
        <f t="shared" si="16"/>
        <v>16113.46752132909</v>
      </c>
      <c r="BV17" s="462"/>
      <c r="BW17" s="785">
        <f>$BO17*(1-$BR17)*Tables!$C$36</f>
        <v>0</v>
      </c>
      <c r="BX17" s="602">
        <f t="shared" si="34"/>
        <v>0</v>
      </c>
      <c r="BY17" s="601">
        <f t="shared" si="35"/>
        <v>0</v>
      </c>
      <c r="BZ17" s="462"/>
      <c r="CA17" s="785">
        <f>$BL17*(1-$BR17)*Tables!$C$36</f>
        <v>10276.450559999999</v>
      </c>
      <c r="CB17" s="602">
        <f t="shared" si="36"/>
        <v>623.22234763466929</v>
      </c>
      <c r="CC17" s="601">
        <f t="shared" si="37"/>
        <v>895.19264007383822</v>
      </c>
      <c r="CD17" s="785">
        <f>$BP17*(1-$BR17)*Tables!$C$36</f>
        <v>0</v>
      </c>
      <c r="CE17" s="602">
        <f t="shared" si="38"/>
        <v>0</v>
      </c>
      <c r="CF17" s="601">
        <f t="shared" si="39"/>
        <v>0</v>
      </c>
      <c r="CH17" s="785">
        <f>$BM17*(1-$BR17)*Tables!$C$36</f>
        <v>15414.67584</v>
      </c>
      <c r="CI17" s="602">
        <f t="shared" si="40"/>
        <v>827.99535377024813</v>
      </c>
      <c r="CJ17" s="601">
        <f t="shared" si="41"/>
        <v>1189.327291493337</v>
      </c>
      <c r="CK17" s="304"/>
      <c r="CL17" s="304">
        <f t="shared" si="42"/>
        <v>2000</v>
      </c>
      <c r="CM17" s="1018">
        <f>INDEX(OperationalDetail,MATCH("Degraded Heat Rate",ODColumn,0),MATCH('Monthly Table'!CL17,ODRow,0))/1000</f>
        <v>12.034750000000003</v>
      </c>
      <c r="CN17" s="737">
        <f t="shared" si="17"/>
        <v>53.303871498595782</v>
      </c>
      <c r="CO17" s="1019">
        <f>IF(A17="January",(CO16*(1+Assumptions!$E$32)),CO16)</f>
        <v>6.7356250000000015</v>
      </c>
      <c r="CP17" s="741">
        <f t="shared" si="18"/>
        <v>60.039496498595781</v>
      </c>
      <c r="CQ17" s="304"/>
      <c r="CR17" s="575">
        <f t="shared" si="43"/>
        <v>2001</v>
      </c>
      <c r="CS17" s="575" t="str">
        <f t="shared" si="44"/>
        <v/>
      </c>
      <c r="CT17" s="575">
        <f t="shared" si="45"/>
        <v>2001</v>
      </c>
      <c r="CU17" s="575" t="str">
        <f t="shared" si="46"/>
        <v/>
      </c>
      <c r="CV17" s="575">
        <f t="shared" si="47"/>
        <v>2001</v>
      </c>
      <c r="CW17" s="576">
        <f t="shared" si="19"/>
        <v>2001</v>
      </c>
      <c r="CX17" s="787">
        <f>INDEX('NY Curve'!$A$4:$G$256,MATCH('Monthly Table'!B17,'NY Curve'!$A$4:$A$256,0),MATCH("New York 5 X 16",'NY Curve'!$A$4:$G$4,0))</f>
        <v>76.5</v>
      </c>
      <c r="CY17" s="632">
        <f t="shared" si="20"/>
        <v>1.4363936779086699</v>
      </c>
      <c r="CZ17" s="633">
        <f t="shared" si="21"/>
        <v>109.88411636001325</v>
      </c>
      <c r="DB17" s="857"/>
      <c r="DC17" s="857"/>
      <c r="DD17" s="500"/>
      <c r="DE17" s="745"/>
      <c r="DF17" s="858"/>
      <c r="DG17" s="755"/>
      <c r="DH17" s="755"/>
    </row>
    <row r="18" spans="1:112" ht="18.75" customHeight="1">
      <c r="A18" s="17" t="s">
        <v>444</v>
      </c>
      <c r="B18" s="508">
        <v>37104</v>
      </c>
      <c r="C18" s="43">
        <f t="shared" si="0"/>
        <v>2001</v>
      </c>
      <c r="D18" s="719">
        <f t="shared" ref="D18:D81" si="48">IF(A18="January",D17+1,D17)</f>
        <v>1</v>
      </c>
      <c r="E18" s="972">
        <v>23</v>
      </c>
      <c r="F18" s="971">
        <v>4</v>
      </c>
      <c r="G18" s="971">
        <v>4</v>
      </c>
      <c r="H18" s="971">
        <v>0</v>
      </c>
      <c r="I18" s="976">
        <f t="shared" si="22"/>
        <v>31</v>
      </c>
      <c r="J18" s="621"/>
      <c r="K18" s="572">
        <f>INDEX(FX!$A$3:$C$362,MATCH(B18,FX!$A$3:$A$362,0),MATCH("Monthly Curve",FX!$A$2:$C$2,0))</f>
        <v>1.43539608888184</v>
      </c>
      <c r="L18" s="572"/>
      <c r="M18" s="1057">
        <v>2.7050000000000001</v>
      </c>
      <c r="N18" s="1067">
        <v>0.15</v>
      </c>
      <c r="O18" s="315">
        <v>0.02</v>
      </c>
      <c r="P18" s="797">
        <f t="shared" si="1"/>
        <v>0.16999999999999998</v>
      </c>
      <c r="Q18" s="732">
        <f t="shared" si="2"/>
        <v>2.875</v>
      </c>
      <c r="R18" s="722">
        <f>Assumptions!$B$34</f>
        <v>0.3124588923076923</v>
      </c>
      <c r="S18" s="730">
        <f t="shared" si="3"/>
        <v>4.4392226478429819</v>
      </c>
      <c r="T18" s="572"/>
      <c r="V18" s="581">
        <f>Assumptions!$B$42</f>
        <v>0</v>
      </c>
      <c r="W18" s="581">
        <v>14</v>
      </c>
      <c r="X18" s="629">
        <v>24</v>
      </c>
      <c r="Y18" s="783">
        <f>Assumptions!$B$7</f>
        <v>312</v>
      </c>
      <c r="Z18" s="570">
        <f t="shared" si="4"/>
        <v>0</v>
      </c>
      <c r="AA18" s="592">
        <f t="shared" si="5"/>
        <v>0</v>
      </c>
      <c r="AB18" s="589">
        <f t="shared" si="6"/>
        <v>0</v>
      </c>
      <c r="AC18" s="462"/>
      <c r="AD18" s="1027">
        <f>IF(Tables!$E$30="Michigan",INDEX('Michigan Curve'!$A$4:$S$256,MATCH('Monthly Table'!B18,'Michigan Curve'!$A$4:$A$256,0),MATCH("Michigan Selected Option Value US$/month",'Michigan Curve'!$A$4:$S$4,0)),INDEX('NY Curve'!$A$4:$T$256,MATCH('Monthly Table'!B18,'NY Curve'!$A$4:$A$256,0),MATCH("New York Selected Option Value US$/month",'NY Curve'!$A$4:$T$4,0)))</f>
        <v>1041772.9553312548</v>
      </c>
      <c r="AE18" s="601">
        <f t="shared" si="23"/>
        <v>1495356.8255853588</v>
      </c>
      <c r="AF18" s="462"/>
      <c r="AG18" s="915"/>
      <c r="AH18" s="462"/>
      <c r="AI18" s="799">
        <f>Assumptions!$B$50</f>
        <v>65</v>
      </c>
      <c r="AJ18" s="743"/>
      <c r="AK18" s="924">
        <f>IF(Tables!$E$30="Custom",'Monthly Table'!AI18,IF(Tables!$E$30="New York",INDEX('NY Curve'!$A$4:$G$256,MATCH('Monthly Table'!B18,'NY Curve'!$A$4:$A$256,0),MATCH("Super Peak Curve",'NY Curve'!$A$4:$G$4,0)),IF(Tables!$E$30="New York Flat",INDEX('NY Curve'!$A$4:$G$256,MATCH('Monthly Table'!B18,'NY Curve'!$A$4:$A$256,0),MATCH("Flat NY West",'NY Curve'!$A$4:$G$4,0)),INDEX('Michigan Curve'!$A$4:$F$256,MATCH('Monthly Table'!B18,'Michigan Curve'!$A$4:$A$256,0),MATCH("Michigan Super Peak Curve US$/MWhr",'Michigan Curve'!$A$4:$F$4,0)))))</f>
        <v>207.9280508646205</v>
      </c>
      <c r="AL18" s="965">
        <f>IF(D18&lt;=Tables!$B$21,IF($AL$10=$AI$10,AI18,IF($AL$10=$AJ$10,AJ18,IF($AL$10=$AK$10,AK18,0))),0)</f>
        <v>207.9280508646205</v>
      </c>
      <c r="AM18" s="708">
        <f t="shared" si="24"/>
        <v>298.45911097990057</v>
      </c>
      <c r="AN18" s="916">
        <f t="shared" si="25"/>
        <v>1</v>
      </c>
      <c r="AO18" s="905"/>
      <c r="AP18" s="925"/>
      <c r="AQ18" s="926">
        <f>IF(Tables!$E$30="New York",INDEX('NY Curve'!$A$4:$L$256,MATCH('Monthly Table'!B18,'NY Curve'!$A$4:$A$256,0),MATCH("New York Shoulder Hour Curve Mon-Fri",'NY Curve'!$A$4:$L$4,0)),IF(Tables!$E$30="Michigan",INDEX('Michigan Curve'!$A$4:$K$256,MATCH('Monthly Table'!B18,'Michigan Curve'!$A$4:$A$256,0),MATCH("Michigan Shoulder Hour Curve Mon-Fri",'Michigan Curve'!$A$4:$K$4,0))))</f>
        <v>32.071949135379498</v>
      </c>
      <c r="AR18" s="708">
        <f t="shared" si="26"/>
        <v>46.035950351741043</v>
      </c>
      <c r="AS18" s="927">
        <f t="shared" si="7"/>
        <v>0</v>
      </c>
      <c r="AT18" s="462"/>
      <c r="AU18" s="926">
        <f>IF(Tables!$E$30="New York",INDEX('NY Curve'!$A$4:$L$256,MATCH('Monthly Table'!$B18,'NY Curve'!$A$4:$A$256,0),MATCH("New York Saturday Super Peak",'NY Curve'!$A$4:$L$4,0)),IF(Tables!$E$30="Michigan",INDEX('Michigan Curve'!$A$4:$K$256,MATCH('Monthly Table'!$B18,'Michigan Curve'!$A$4:$A$256,0),MATCH("Michigan Saturday Super Peak",'Michigan Curve'!$A$4:$K$4,0))))</f>
        <v>60.645688112035707</v>
      </c>
      <c r="AV18" s="925">
        <f t="shared" si="8"/>
        <v>87.050583523563958</v>
      </c>
      <c r="AW18" s="927">
        <f t="shared" si="9"/>
        <v>1</v>
      </c>
      <c r="AX18" s="926">
        <f>IF(Tables!$E$30="New York",INDEX('NY Curve'!$A$4:$L$256,MATCH('Monthly Table'!$B18,'NY Curve'!$A$4:$A$256,0),MATCH("New York Saturday Shoulder Peak",'NY Curve'!$A$4:$L$4,0)),IF(Tables!$E$30="Michigan",INDEX('Michigan Curve'!$A$4:$K$256,MATCH('Monthly Table'!$B18,'Michigan Curve'!$A$4:$A$256,0),MATCH("Michigan Saturday Shoulder Peak",'Michigan Curve'!$A$4:$K$4,0))))</f>
        <v>9.3543195173588245</v>
      </c>
      <c r="AY18" s="934">
        <f t="shared" si="27"/>
        <v>13.427153649367918</v>
      </c>
      <c r="AZ18" s="927">
        <f t="shared" si="10"/>
        <v>0</v>
      </c>
      <c r="BA18" s="462"/>
      <c r="BB18" s="926">
        <f>IF(Tables!$E$30="New York",INDEX('NY Curve'!$A$4:$M$256,MATCH('Monthly Table'!$B18,'NY Curve'!$A$4:$A$256,0),MATCH("NY Sunday Super Peak",'NY Curve'!$A$4:$M$4,0)),IF(Tables!$E$30="Michigan",INDEX('Michigan Curve'!$A$4:$L$256,MATCH('Monthly Table'!$B18,'Michigan Curve'!$A$4:$A$256,0),MATCH("Michigan Sunday Super Peak",'Michigan Curve'!$A$4:$L$4,0))))</f>
        <v>53.7147464733603</v>
      </c>
      <c r="BC18" s="925">
        <f t="shared" si="28"/>
        <v>77.101937003140989</v>
      </c>
      <c r="BD18" s="927">
        <f t="shared" si="11"/>
        <v>1</v>
      </c>
      <c r="BE18" s="462"/>
      <c r="BF18" s="598">
        <f t="shared" si="12"/>
        <v>37104</v>
      </c>
      <c r="BG18" s="583">
        <f t="shared" si="29"/>
        <v>184</v>
      </c>
      <c r="BH18" s="583">
        <f t="shared" si="13"/>
        <v>184</v>
      </c>
      <c r="BI18" s="315">
        <f t="shared" si="30"/>
        <v>184</v>
      </c>
      <c r="BJ18" s="987">
        <f>IF('Monthly Table'!D18&lt;=Tables!$B$21,IF($BJ$10=$BG$10,BG18,IF($BJ$10=$BH$10,BH18,IF($BJ$10=$BI$10,BI18,0))),0)</f>
        <v>184</v>
      </c>
      <c r="BK18" s="43"/>
      <c r="BL18" s="987">
        <f t="shared" si="31"/>
        <v>32</v>
      </c>
      <c r="BM18" s="987">
        <f t="shared" si="32"/>
        <v>32</v>
      </c>
      <c r="BO18" s="987">
        <f t="shared" si="14"/>
        <v>0</v>
      </c>
      <c r="BP18" s="987">
        <f t="shared" si="33"/>
        <v>0</v>
      </c>
      <c r="BR18" s="993">
        <f>IF(BJ18&gt;0,INDEX(OperationalDetail,MATCH("Capacity Degradation",ODColumn,0),MATCH('Monthly Table'!C18,ODRow,0)),0)</f>
        <v>8.8299999999999993E-3</v>
      </c>
      <c r="BS18" s="994">
        <f>BJ18*(1-BR18)*Tables!$C$10</f>
        <v>59089.59072</v>
      </c>
      <c r="BT18" s="601">
        <f t="shared" si="15"/>
        <v>12286.383424797768</v>
      </c>
      <c r="BU18" s="601">
        <f t="shared" si="16"/>
        <v>17635.826714457384</v>
      </c>
      <c r="BV18" s="462"/>
      <c r="BW18" s="785">
        <f>$BO18*(1-$BR18)*Tables!$C$36</f>
        <v>0</v>
      </c>
      <c r="BX18" s="602">
        <f t="shared" si="34"/>
        <v>0</v>
      </c>
      <c r="BY18" s="601">
        <f t="shared" si="35"/>
        <v>0</v>
      </c>
      <c r="BZ18" s="462"/>
      <c r="CA18" s="785">
        <f>$BL18*(1-$BR18)*Tables!$C$36</f>
        <v>10276.450559999999</v>
      </c>
      <c r="CB18" s="602">
        <f t="shared" si="36"/>
        <v>623.22241556051472</v>
      </c>
      <c r="CC18" s="601">
        <f t="shared" si="37"/>
        <v>894.57101779905565</v>
      </c>
      <c r="CD18" s="785">
        <f>$BP18*(1-$BR18)*Tables!$C$36</f>
        <v>0</v>
      </c>
      <c r="CE18" s="602">
        <f t="shared" si="38"/>
        <v>0</v>
      </c>
      <c r="CF18" s="601">
        <f t="shared" si="39"/>
        <v>0</v>
      </c>
      <c r="CH18" s="785">
        <f>$BM18*(1-$BR18)*Tables!$C$36</f>
        <v>10276.450559999999</v>
      </c>
      <c r="CI18" s="602">
        <f t="shared" si="40"/>
        <v>551.99693647642141</v>
      </c>
      <c r="CJ18" s="601">
        <f t="shared" si="41"/>
        <v>792.33424369301281</v>
      </c>
      <c r="CK18" s="304"/>
      <c r="CL18" s="304">
        <f t="shared" si="42"/>
        <v>2000</v>
      </c>
      <c r="CM18" s="1018">
        <f>INDEX(OperationalDetail,MATCH("Degraded Heat Rate",ODColumn,0),MATCH('Monthly Table'!CL18,ODRow,0))/1000</f>
        <v>12.034750000000003</v>
      </c>
      <c r="CN18" s="737">
        <f t="shared" si="17"/>
        <v>53.424934761128341</v>
      </c>
      <c r="CO18" s="1019">
        <f>IF(A18="January",(CO17*(1+Assumptions!$E$32)),CO17)</f>
        <v>6.7356250000000015</v>
      </c>
      <c r="CP18" s="741">
        <f t="shared" si="18"/>
        <v>60.16055976112834</v>
      </c>
      <c r="CQ18" s="304"/>
      <c r="CR18" s="575">
        <f t="shared" si="43"/>
        <v>2001</v>
      </c>
      <c r="CS18" s="575" t="str">
        <f t="shared" si="44"/>
        <v/>
      </c>
      <c r="CT18" s="575">
        <f t="shared" si="45"/>
        <v>2001</v>
      </c>
      <c r="CU18" s="575" t="str">
        <f t="shared" si="46"/>
        <v/>
      </c>
      <c r="CV18" s="575">
        <f t="shared" si="47"/>
        <v>2001</v>
      </c>
      <c r="CW18" s="576">
        <f t="shared" si="19"/>
        <v>2001</v>
      </c>
      <c r="CX18" s="787">
        <f>INDEX('NY Curve'!$A$4:$G$256,MATCH('Monthly Table'!B18,'NY Curve'!$A$4:$A$256,0),MATCH("New York 5 X 16",'NY Curve'!$A$4:$G$4,0))</f>
        <v>69</v>
      </c>
      <c r="CY18" s="632">
        <f t="shared" si="20"/>
        <v>1.43539608888184</v>
      </c>
      <c r="CZ18" s="633">
        <f t="shared" si="21"/>
        <v>99.042330132846956</v>
      </c>
      <c r="DB18" s="857"/>
      <c r="DC18" s="857"/>
      <c r="DD18" s="500"/>
      <c r="DE18" s="745"/>
      <c r="DF18" s="858"/>
      <c r="DG18" s="755"/>
      <c r="DH18" s="755"/>
    </row>
    <row r="19" spans="1:112" ht="18.75" customHeight="1">
      <c r="A19" s="17" t="s">
        <v>445</v>
      </c>
      <c r="B19" s="508">
        <v>37135</v>
      </c>
      <c r="C19" s="43">
        <f t="shared" si="0"/>
        <v>2001</v>
      </c>
      <c r="D19" s="719">
        <f t="shared" si="48"/>
        <v>1</v>
      </c>
      <c r="E19" s="972">
        <v>19</v>
      </c>
      <c r="F19" s="971">
        <v>5</v>
      </c>
      <c r="G19" s="971">
        <v>5</v>
      </c>
      <c r="H19" s="971">
        <v>1</v>
      </c>
      <c r="I19" s="976">
        <f t="shared" si="22"/>
        <v>30</v>
      </c>
      <c r="J19" s="621"/>
      <c r="K19" s="572">
        <f>INDEX(FX!$A$3:$C$362,MATCH(B19,FX!$A$3:$A$362,0),MATCH("Monthly Curve",FX!$A$2:$C$2,0))</f>
        <v>1.43441258785536</v>
      </c>
      <c r="L19" s="572"/>
      <c r="M19" s="1057">
        <v>2.71</v>
      </c>
      <c r="N19" s="1067">
        <v>0.15</v>
      </c>
      <c r="O19" s="315">
        <v>0.02</v>
      </c>
      <c r="P19" s="797">
        <f t="shared" si="1"/>
        <v>0.16999999999999998</v>
      </c>
      <c r="Q19" s="732">
        <f t="shared" si="2"/>
        <v>2.88</v>
      </c>
      <c r="R19" s="722">
        <f>Assumptions!$B$34</f>
        <v>0.3124588923076923</v>
      </c>
      <c r="S19" s="730">
        <f t="shared" si="3"/>
        <v>4.4435671453311283</v>
      </c>
      <c r="T19" s="572"/>
      <c r="V19" s="581">
        <f>Assumptions!$B$42</f>
        <v>0</v>
      </c>
      <c r="W19" s="581">
        <v>14</v>
      </c>
      <c r="X19" s="629">
        <v>2</v>
      </c>
      <c r="Y19" s="783">
        <f>Assumptions!$B$7</f>
        <v>312</v>
      </c>
      <c r="Z19" s="570">
        <f t="shared" si="4"/>
        <v>0</v>
      </c>
      <c r="AA19" s="592">
        <f t="shared" si="5"/>
        <v>0</v>
      </c>
      <c r="AB19" s="589">
        <f t="shared" si="6"/>
        <v>0</v>
      </c>
      <c r="AC19" s="462"/>
      <c r="AD19" s="1027">
        <f>IF(Tables!$E$30="Michigan",INDEX('Michigan Curve'!$A$4:$S$256,MATCH('Monthly Table'!B19,'Michigan Curve'!$A$4:$A$256,0),MATCH("Michigan Selected Option Value US$/month",'Michigan Curve'!$A$4:$S$4,0)),INDEX('NY Curve'!$A$4:$T$256,MATCH('Monthly Table'!B19,'NY Curve'!$A$4:$A$256,0),MATCH("New York Selected Option Value US$/month",'NY Curve'!$A$4:$T$4,0)))</f>
        <v>360911.78014639218</v>
      </c>
      <c r="AE19" s="601">
        <f t="shared" si="23"/>
        <v>517696.40054727113</v>
      </c>
      <c r="AF19" s="462"/>
      <c r="AG19" s="915"/>
      <c r="AH19" s="462"/>
      <c r="AI19" s="799">
        <f>Assumptions!$B$50</f>
        <v>65</v>
      </c>
      <c r="AJ19" s="743"/>
      <c r="AK19" s="924">
        <f>IF(Tables!$E$30="Custom",'Monthly Table'!AI19,IF(Tables!$E$30="New York",INDEX('NY Curve'!$A$4:$G$256,MATCH('Monthly Table'!B19,'NY Curve'!$A$4:$A$256,0),MATCH("Super Peak Curve",'NY Curve'!$A$4:$G$4,0)),IF(Tables!$E$30="New York Flat",INDEX('NY Curve'!$A$4:$G$256,MATCH('Monthly Table'!B19,'NY Curve'!$A$4:$A$256,0),MATCH("Flat NY West",'NY Curve'!$A$4:$G$4,0)),INDEX('Michigan Curve'!$A$4:$F$256,MATCH('Monthly Table'!B19,'Michigan Curve'!$A$4:$A$256,0),MATCH("Michigan Super Peak Curve US$/MWhr",'Michigan Curve'!$A$4:$F$4,0)))))</f>
        <v>41.888749778270721</v>
      </c>
      <c r="AL19" s="965">
        <f>IF(D19&lt;=Tables!$B$21,IF($AL$10=$AI$10,AI19,IF($AL$10=$AJ$10,AJ19,IF($AL$10=$AK$10,AK19,0))),0)</f>
        <v>41.888749778270721</v>
      </c>
      <c r="AM19" s="708">
        <f t="shared" si="24"/>
        <v>60.085749971474939</v>
      </c>
      <c r="AN19" s="916">
        <f t="shared" si="25"/>
        <v>0</v>
      </c>
      <c r="AO19" s="905"/>
      <c r="AP19" s="925"/>
      <c r="AQ19" s="926">
        <f>IF(Tables!$E$30="New York",INDEX('NY Curve'!$A$4:$L$256,MATCH('Monthly Table'!B19,'NY Curve'!$A$4:$A$256,0),MATCH("New York Shoulder Hour Curve Mon-Fri",'NY Curve'!$A$4:$L$4,0)),IF(Tables!$E$30="Michigan",INDEX('Michigan Curve'!$A$4:$K$256,MATCH('Monthly Table'!B19,'Michigan Curve'!$A$4:$A$256,0),MATCH("Michigan Shoulder Hour Curve Mon-Fri",'Michigan Curve'!$A$4:$K$4,0))))</f>
        <v>20.111250221729279</v>
      </c>
      <c r="AR19" s="708">
        <f t="shared" si="26"/>
        <v>28.847830475557377</v>
      </c>
      <c r="AS19" s="927">
        <f t="shared" si="7"/>
        <v>0</v>
      </c>
      <c r="AT19" s="462"/>
      <c r="AU19" s="926">
        <f>IF(Tables!$E$30="New York",INDEX('NY Curve'!$A$4:$L$256,MATCH('Monthly Table'!$B19,'NY Curve'!$A$4:$A$256,0),MATCH("New York Saturday Super Peak",'NY Curve'!$A$4:$L$4,0)),IF(Tables!$E$30="Michigan",INDEX('Michigan Curve'!$A$4:$K$256,MATCH('Monthly Table'!$B19,'Michigan Curve'!$A$4:$A$256,0),MATCH("Michigan Saturday Super Peak",'Michigan Curve'!$A$4:$K$4,0))))</f>
        <v>33.781249821186066</v>
      </c>
      <c r="AV19" s="925">
        <f t="shared" si="8"/>
        <v>48.45624997699592</v>
      </c>
      <c r="AW19" s="927">
        <f t="shared" si="9"/>
        <v>0</v>
      </c>
      <c r="AX19" s="926">
        <f>IF(Tables!$E$30="New York",INDEX('NY Curve'!$A$4:$L$256,MATCH('Monthly Table'!$B19,'NY Curve'!$A$4:$A$256,0),MATCH("New York Saturday Shoulder Peak",'NY Curve'!$A$4:$L$4,0)),IF(Tables!$E$30="Michigan",INDEX('Michigan Curve'!$A$4:$K$256,MATCH('Monthly Table'!$B19,'Michigan Curve'!$A$4:$A$256,0),MATCH("Michigan Saturday Shoulder Peak",'Michigan Curve'!$A$4:$K$4,0))))</f>
        <v>16.218750178813934</v>
      </c>
      <c r="AY19" s="934">
        <f t="shared" si="27"/>
        <v>23.264379415772076</v>
      </c>
      <c r="AZ19" s="927">
        <f t="shared" si="10"/>
        <v>0</v>
      </c>
      <c r="BA19" s="462"/>
      <c r="BB19" s="926">
        <f>IF(Tables!$E$30="New York",INDEX('NY Curve'!$A$4:$M$256,MATCH('Monthly Table'!$B19,'NY Curve'!$A$4:$A$256,0),MATCH("NY Sunday Super Peak",'NY Curve'!$A$4:$M$4,0)),IF(Tables!$E$30="Michigan",INDEX('Michigan Curve'!$A$4:$L$256,MATCH('Monthly Table'!$B19,'Michigan Curve'!$A$4:$A$256,0),MATCH("Michigan Sunday Super Peak",'Michigan Curve'!$A$4:$L$4,0))))</f>
        <v>32.429999828338623</v>
      </c>
      <c r="BC19" s="925">
        <f t="shared" si="28"/>
        <v>46.517999977916084</v>
      </c>
      <c r="BD19" s="927">
        <f t="shared" si="11"/>
        <v>0</v>
      </c>
      <c r="BE19" s="462"/>
      <c r="BF19" s="598">
        <f t="shared" si="12"/>
        <v>37135</v>
      </c>
      <c r="BG19" s="583">
        <f t="shared" si="29"/>
        <v>0</v>
      </c>
      <c r="BH19" s="583">
        <f t="shared" si="13"/>
        <v>0</v>
      </c>
      <c r="BI19" s="315">
        <f t="shared" si="30"/>
        <v>0</v>
      </c>
      <c r="BJ19" s="987">
        <f>IF('Monthly Table'!D19&lt;=Tables!$B$21,IF($BJ$10=$BG$10,BG19,IF($BJ$10=$BH$10,BH19,IF($BJ$10=$BI$10,BI19,0))),0)</f>
        <v>0</v>
      </c>
      <c r="BK19" s="43"/>
      <c r="BL19" s="987">
        <f t="shared" si="31"/>
        <v>0</v>
      </c>
      <c r="BM19" s="987">
        <f t="shared" si="32"/>
        <v>0</v>
      </c>
      <c r="BO19" s="987">
        <f t="shared" si="14"/>
        <v>0</v>
      </c>
      <c r="BP19" s="987">
        <f t="shared" si="33"/>
        <v>0</v>
      </c>
      <c r="BR19" s="993">
        <f>IF(BJ19&gt;0,INDEX(OperationalDetail,MATCH("Capacity Degradation",ODColumn,0),MATCH('Monthly Table'!C19,ODRow,0)),0)</f>
        <v>0</v>
      </c>
      <c r="BS19" s="994">
        <f>BJ19*(1-BR19)*Tables!$C$10</f>
        <v>0</v>
      </c>
      <c r="BT19" s="601">
        <f t="shared" si="15"/>
        <v>0</v>
      </c>
      <c r="BU19" s="601">
        <f t="shared" si="16"/>
        <v>0</v>
      </c>
      <c r="BV19" s="462"/>
      <c r="BW19" s="785">
        <f>$BO19*(1-$BR19)*Tables!$C$36</f>
        <v>0</v>
      </c>
      <c r="BX19" s="602">
        <f t="shared" si="34"/>
        <v>0</v>
      </c>
      <c r="BY19" s="601">
        <f t="shared" si="35"/>
        <v>0</v>
      </c>
      <c r="BZ19" s="462"/>
      <c r="CA19" s="785">
        <f>$BL19*(1-$BR19)*Tables!$C$36</f>
        <v>0</v>
      </c>
      <c r="CB19" s="602">
        <f t="shared" si="36"/>
        <v>0</v>
      </c>
      <c r="CC19" s="601">
        <f t="shared" si="37"/>
        <v>0</v>
      </c>
      <c r="CD19" s="785">
        <f>$BP19*(1-$BR19)*Tables!$C$36</f>
        <v>0</v>
      </c>
      <c r="CE19" s="602">
        <f t="shared" si="38"/>
        <v>0</v>
      </c>
      <c r="CF19" s="601">
        <f t="shared" si="39"/>
        <v>0</v>
      </c>
      <c r="CH19" s="785">
        <f>$BM19*(1-$BR19)*Tables!$C$36</f>
        <v>0</v>
      </c>
      <c r="CI19" s="602">
        <f t="shared" si="40"/>
        <v>0</v>
      </c>
      <c r="CJ19" s="601">
        <f t="shared" si="41"/>
        <v>0</v>
      </c>
      <c r="CK19" s="304"/>
      <c r="CL19" s="304">
        <f t="shared" si="42"/>
        <v>2000</v>
      </c>
      <c r="CM19" s="1018">
        <f>INDEX(OperationalDetail,MATCH("Degraded Heat Rate",ODColumn,0),MATCH('Monthly Table'!CL19,ODRow,0))/1000</f>
        <v>12.034750000000003</v>
      </c>
      <c r="CN19" s="737">
        <f t="shared" si="17"/>
        <v>53.477219702273807</v>
      </c>
      <c r="CO19" s="1019">
        <f>IF(A19="January",(CO18*(1+Assumptions!$E$32)),CO18)</f>
        <v>6.7356250000000015</v>
      </c>
      <c r="CP19" s="741">
        <f t="shared" si="18"/>
        <v>60.212844702273806</v>
      </c>
      <c r="CQ19" s="304"/>
      <c r="CR19" s="575" t="str">
        <f t="shared" si="43"/>
        <v/>
      </c>
      <c r="CS19" s="575" t="str">
        <f t="shared" si="44"/>
        <v/>
      </c>
      <c r="CT19" s="575" t="str">
        <f t="shared" si="45"/>
        <v/>
      </c>
      <c r="CU19" s="575" t="str">
        <f t="shared" si="46"/>
        <v/>
      </c>
      <c r="CV19" s="575" t="str">
        <f t="shared" si="47"/>
        <v/>
      </c>
      <c r="CW19" s="576">
        <f t="shared" si="19"/>
        <v>2001</v>
      </c>
      <c r="CX19" s="787">
        <f>INDEX('NY Curve'!$A$4:$G$256,MATCH('Monthly Table'!B19,'NY Curve'!$A$4:$A$256,0),MATCH("New York 5 X 16",'NY Curve'!$A$4:$G$4,0))</f>
        <v>30.5</v>
      </c>
      <c r="CY19" s="632">
        <f t="shared" si="20"/>
        <v>1.43441258785536</v>
      </c>
      <c r="CZ19" s="633">
        <f t="shared" si="21"/>
        <v>43.749583929588482</v>
      </c>
      <c r="DB19" s="857"/>
      <c r="DC19" s="857"/>
      <c r="DD19" s="500"/>
      <c r="DE19" s="745"/>
      <c r="DF19" s="858"/>
      <c r="DG19" s="755"/>
      <c r="DH19" s="755"/>
    </row>
    <row r="20" spans="1:112" ht="18.75" customHeight="1">
      <c r="A20" s="17" t="s">
        <v>446</v>
      </c>
      <c r="B20" s="508">
        <v>37165</v>
      </c>
      <c r="C20" s="43">
        <f t="shared" si="0"/>
        <v>2001</v>
      </c>
      <c r="D20" s="719">
        <f t="shared" si="48"/>
        <v>1</v>
      </c>
      <c r="E20" s="972">
        <v>23</v>
      </c>
      <c r="F20" s="971">
        <v>4</v>
      </c>
      <c r="G20" s="971">
        <v>4</v>
      </c>
      <c r="H20" s="971">
        <v>0</v>
      </c>
      <c r="I20" s="976">
        <f t="shared" si="22"/>
        <v>31</v>
      </c>
      <c r="J20" s="621"/>
      <c r="K20" s="572">
        <f>INDEX(FX!$A$3:$C$362,MATCH(B20,FX!$A$3:$A$362,0),MATCH("Monthly Curve",FX!$A$2:$C$2,0))</f>
        <v>1.4335113254844101</v>
      </c>
      <c r="L20" s="572"/>
      <c r="M20" s="1057">
        <v>2.7330000000000001</v>
      </c>
      <c r="N20" s="1067">
        <v>0.15</v>
      </c>
      <c r="O20" s="315">
        <v>0.02</v>
      </c>
      <c r="P20" s="797">
        <f t="shared" si="1"/>
        <v>0.16999999999999998</v>
      </c>
      <c r="Q20" s="732">
        <f t="shared" si="2"/>
        <v>2.903</v>
      </c>
      <c r="R20" s="722">
        <f>Assumptions!$B$34</f>
        <v>0.3124588923076923</v>
      </c>
      <c r="S20" s="730">
        <f t="shared" si="3"/>
        <v>4.4739422701889344</v>
      </c>
      <c r="T20" s="572"/>
      <c r="V20" s="581">
        <f>Assumptions!$B$42</f>
        <v>0</v>
      </c>
      <c r="W20" s="581">
        <v>6.5</v>
      </c>
      <c r="X20" s="629">
        <v>1</v>
      </c>
      <c r="Y20" s="783">
        <f>Assumptions!$B$7</f>
        <v>312</v>
      </c>
      <c r="Z20" s="570">
        <f t="shared" si="4"/>
        <v>0</v>
      </c>
      <c r="AA20" s="592">
        <f t="shared" si="5"/>
        <v>0</v>
      </c>
      <c r="AB20" s="589">
        <f t="shared" si="6"/>
        <v>0</v>
      </c>
      <c r="AC20" s="462"/>
      <c r="AD20" s="1027">
        <f>IF(Tables!$E$30="Michigan",INDEX('Michigan Curve'!$A$4:$S$256,MATCH('Monthly Table'!B20,'Michigan Curve'!$A$4:$A$256,0),MATCH("Michigan Selected Option Value US$/month",'Michigan Curve'!$A$4:$S$4,0)),INDEX('NY Curve'!$A$4:$T$256,MATCH('Monthly Table'!B20,'NY Curve'!$A$4:$A$256,0),MATCH("New York Selected Option Value US$/month",'NY Curve'!$A$4:$T$4,0)))</f>
        <v>9108.072990370023</v>
      </c>
      <c r="AE20" s="601">
        <f t="shared" si="23"/>
        <v>13056.525785034086</v>
      </c>
      <c r="AF20" s="462"/>
      <c r="AG20" s="915"/>
      <c r="AH20" s="462"/>
      <c r="AI20" s="799">
        <f>Assumptions!$B$50</f>
        <v>65</v>
      </c>
      <c r="AJ20" s="743"/>
      <c r="AK20" s="924">
        <f>IF(Tables!$E$30="Custom",'Monthly Table'!AI20,IF(Tables!$E$30="New York",INDEX('NY Curve'!$A$4:$G$256,MATCH('Monthly Table'!B20,'NY Curve'!$A$4:$A$256,0),MATCH("Super Peak Curve",'NY Curve'!$A$4:$G$4,0)),IF(Tables!$E$30="New York Flat",INDEX('NY Curve'!$A$4:$G$256,MATCH('Monthly Table'!B20,'NY Curve'!$A$4:$A$256,0),MATCH("Flat NY West",'NY Curve'!$A$4:$G$4,0)),INDEX('Michigan Curve'!$A$4:$F$256,MATCH('Monthly Table'!B20,'Michigan Curve'!$A$4:$A$256,0),MATCH("Michigan Super Peak Curve US$/MWhr",'Michigan Curve'!$A$4:$F$4,0)))))</f>
        <v>24.099994659423828</v>
      </c>
      <c r="AL20" s="965">
        <f>IF(D20&lt;=Tables!$B$21,IF($AL$10=$AI$10,AI20,IF($AL$10=$AJ$10,AJ20,IF($AL$10=$AK$10,AK20,0))),0)</f>
        <v>24.099994659423828</v>
      </c>
      <c r="AM20" s="708">
        <f t="shared" si="24"/>
        <v>34.547615288397857</v>
      </c>
      <c r="AN20" s="916">
        <f t="shared" si="25"/>
        <v>0</v>
      </c>
      <c r="AO20" s="905"/>
      <c r="AP20" s="925"/>
      <c r="AQ20" s="926">
        <f>IF(Tables!$E$30="New York",INDEX('NY Curve'!$A$4:$L$256,MATCH('Monthly Table'!B20,'NY Curve'!$A$4:$A$256,0),MATCH("New York Shoulder Hour Curve Mon-Fri",'NY Curve'!$A$4:$L$4,0)),IF(Tables!$E$30="Michigan",INDEX('Michigan Curve'!$A$4:$K$256,MATCH('Monthly Table'!B20,'Michigan Curve'!$A$4:$A$256,0),MATCH("Michigan Shoulder Hour Curve Mon-Fri",'Michigan Curve'!$A$4:$K$4,0))))</f>
        <v>24.099994659423828</v>
      </c>
      <c r="AR20" s="708">
        <f t="shared" si="26"/>
        <v>34.547615288397857</v>
      </c>
      <c r="AS20" s="927">
        <f t="shared" si="7"/>
        <v>0</v>
      </c>
      <c r="AT20" s="462"/>
      <c r="AU20" s="926">
        <f>IF(Tables!$E$30="New York",INDEX('NY Curve'!$A$4:$L$256,MATCH('Monthly Table'!$B20,'NY Curve'!$A$4:$A$256,0),MATCH("New York Saturday Super Peak",'NY Curve'!$A$4:$L$4,0)),IF(Tables!$E$30="Michigan",INDEX('Michigan Curve'!$A$4:$K$256,MATCH('Monthly Table'!$B20,'Michigan Curve'!$A$4:$A$256,0),MATCH("Michigan Saturday Super Peak",'Michigan Curve'!$A$4:$K$4,0))))</f>
        <v>19.996000289916992</v>
      </c>
      <c r="AV20" s="925">
        <f t="shared" si="8"/>
        <v>28.664492879985556</v>
      </c>
      <c r="AW20" s="927">
        <f t="shared" si="9"/>
        <v>0</v>
      </c>
      <c r="AX20" s="926">
        <f>IF(Tables!$E$30="New York",INDEX('NY Curve'!$A$4:$L$256,MATCH('Monthly Table'!$B20,'NY Curve'!$A$4:$A$256,0),MATCH("New York Saturday Shoulder Peak",'NY Curve'!$A$4:$L$4,0)),IF(Tables!$E$30="Michigan",INDEX('Michigan Curve'!$A$4:$K$256,MATCH('Monthly Table'!$B20,'Michigan Curve'!$A$4:$A$256,0),MATCH("Michigan Saturday Shoulder Peak",'Michigan Curve'!$A$4:$K$4,0))))</f>
        <v>19.996000289916992</v>
      </c>
      <c r="AY20" s="934">
        <f t="shared" si="27"/>
        <v>28.664492879985556</v>
      </c>
      <c r="AZ20" s="927">
        <f t="shared" si="10"/>
        <v>0</v>
      </c>
      <c r="BA20" s="462"/>
      <c r="BB20" s="926">
        <f>IF(Tables!$E$30="New York",INDEX('NY Curve'!$A$4:$M$256,MATCH('Monthly Table'!$B20,'NY Curve'!$A$4:$A$256,0),MATCH("NY Sunday Super Peak",'NY Curve'!$A$4:$M$4,0)),IF(Tables!$E$30="Michigan",INDEX('Michigan Curve'!$A$4:$L$256,MATCH('Monthly Table'!$B20,'Michigan Curve'!$A$4:$A$256,0),MATCH("Michigan Sunday Super Peak",'Michigan Curve'!$A$4:$L$4,0))))</f>
        <v>18.996500015258789</v>
      </c>
      <c r="BC20" s="925">
        <f t="shared" si="28"/>
        <v>27.231697916438243</v>
      </c>
      <c r="BD20" s="927">
        <f t="shared" si="11"/>
        <v>0</v>
      </c>
      <c r="BE20" s="462"/>
      <c r="BF20" s="598">
        <f t="shared" si="12"/>
        <v>37165</v>
      </c>
      <c r="BG20" s="583">
        <f t="shared" si="29"/>
        <v>0</v>
      </c>
      <c r="BH20" s="583">
        <f t="shared" si="13"/>
        <v>0</v>
      </c>
      <c r="BI20" s="315">
        <f t="shared" si="30"/>
        <v>0</v>
      </c>
      <c r="BJ20" s="987">
        <f>IF('Monthly Table'!D20&lt;=Tables!$B$21,IF($BJ$10=$BG$10,BG20,IF($BJ$10=$BH$10,BH20,IF($BJ$10=$BI$10,BI20,0))),0)</f>
        <v>0</v>
      </c>
      <c r="BK20" s="43"/>
      <c r="BL20" s="987">
        <f t="shared" si="31"/>
        <v>0</v>
      </c>
      <c r="BM20" s="987">
        <f t="shared" si="32"/>
        <v>0</v>
      </c>
      <c r="BO20" s="987">
        <f t="shared" si="14"/>
        <v>0</v>
      </c>
      <c r="BP20" s="987">
        <f t="shared" si="33"/>
        <v>0</v>
      </c>
      <c r="BR20" s="993">
        <f>IF(BJ20&gt;0,INDEX(OperationalDetail,MATCH("Capacity Degradation",ODColumn,0),MATCH('Monthly Table'!C20,ODRow,0)),0)</f>
        <v>0</v>
      </c>
      <c r="BS20" s="994">
        <f>BJ20*(1-BR20)*Tables!$C$10</f>
        <v>0</v>
      </c>
      <c r="BT20" s="601">
        <f t="shared" si="15"/>
        <v>0</v>
      </c>
      <c r="BU20" s="601">
        <f t="shared" si="16"/>
        <v>0</v>
      </c>
      <c r="BV20" s="462"/>
      <c r="BW20" s="785">
        <f>$BO20*(1-$BR20)*Tables!$C$36</f>
        <v>0</v>
      </c>
      <c r="BX20" s="602">
        <f t="shared" si="34"/>
        <v>0</v>
      </c>
      <c r="BY20" s="601">
        <f t="shared" si="35"/>
        <v>0</v>
      </c>
      <c r="BZ20" s="462"/>
      <c r="CA20" s="785">
        <f>$BL20*(1-$BR20)*Tables!$C$36</f>
        <v>0</v>
      </c>
      <c r="CB20" s="602">
        <f t="shared" si="36"/>
        <v>0</v>
      </c>
      <c r="CC20" s="601">
        <f t="shared" si="37"/>
        <v>0</v>
      </c>
      <c r="CD20" s="785">
        <f>$BP20*(1-$BR20)*Tables!$C$36</f>
        <v>0</v>
      </c>
      <c r="CE20" s="602">
        <f t="shared" si="38"/>
        <v>0</v>
      </c>
      <c r="CF20" s="601">
        <f t="shared" si="39"/>
        <v>0</v>
      </c>
      <c r="CH20" s="785">
        <f>$BM20*(1-$BR20)*Tables!$C$36</f>
        <v>0</v>
      </c>
      <c r="CI20" s="602">
        <f t="shared" si="40"/>
        <v>0</v>
      </c>
      <c r="CJ20" s="601">
        <f t="shared" si="41"/>
        <v>0</v>
      </c>
      <c r="CK20" s="304"/>
      <c r="CL20" s="304">
        <f t="shared" si="42"/>
        <v>2000</v>
      </c>
      <c r="CM20" s="1018">
        <f>INDEX(OperationalDetail,MATCH("Degraded Heat Rate",ODColumn,0),MATCH('Monthly Table'!CL20,ODRow,0))/1000</f>
        <v>12.034750000000003</v>
      </c>
      <c r="CN20" s="737">
        <f t="shared" si="17"/>
        <v>53.842776736156289</v>
      </c>
      <c r="CO20" s="1019">
        <f>IF(A20="January",(CO19*(1+Assumptions!$E$32)),CO19)</f>
        <v>6.7356250000000015</v>
      </c>
      <c r="CP20" s="741">
        <f t="shared" si="18"/>
        <v>60.578401736156287</v>
      </c>
      <c r="CQ20" s="304"/>
      <c r="CR20" s="575" t="str">
        <f t="shared" si="43"/>
        <v/>
      </c>
      <c r="CS20" s="575" t="str">
        <f t="shared" si="44"/>
        <v/>
      </c>
      <c r="CT20" s="575" t="str">
        <f t="shared" si="45"/>
        <v/>
      </c>
      <c r="CU20" s="575" t="str">
        <f t="shared" si="46"/>
        <v/>
      </c>
      <c r="CV20" s="575" t="str">
        <f t="shared" si="47"/>
        <v/>
      </c>
      <c r="CW20" s="576">
        <f t="shared" si="19"/>
        <v>2001</v>
      </c>
      <c r="CX20" s="787">
        <f>INDEX('NY Curve'!$A$4:$G$256,MATCH('Monthly Table'!B20,'NY Curve'!$A$4:$A$256,0),MATCH("New York 5 X 16",'NY Curve'!$A$4:$G$4,0))</f>
        <v>26.25</v>
      </c>
      <c r="CY20" s="632">
        <f t="shared" si="20"/>
        <v>1.4335113254844101</v>
      </c>
      <c r="CZ20" s="633">
        <f t="shared" si="21"/>
        <v>37.629672293965761</v>
      </c>
      <c r="DB20" s="857"/>
      <c r="DC20" s="857"/>
      <c r="DD20" s="500"/>
      <c r="DE20" s="745"/>
      <c r="DF20" s="858"/>
      <c r="DG20" s="755"/>
      <c r="DH20" s="755"/>
    </row>
    <row r="21" spans="1:112" ht="18.75" customHeight="1">
      <c r="A21" s="17" t="s">
        <v>447</v>
      </c>
      <c r="B21" s="508">
        <v>37196</v>
      </c>
      <c r="C21" s="43">
        <f t="shared" si="0"/>
        <v>2001</v>
      </c>
      <c r="D21" s="719">
        <f t="shared" si="48"/>
        <v>1</v>
      </c>
      <c r="E21" s="972">
        <v>21</v>
      </c>
      <c r="F21" s="971">
        <v>4</v>
      </c>
      <c r="G21" s="971">
        <v>4</v>
      </c>
      <c r="H21" s="971">
        <v>1</v>
      </c>
      <c r="I21" s="976">
        <f t="shared" si="22"/>
        <v>30</v>
      </c>
      <c r="J21" s="621"/>
      <c r="K21" s="572">
        <f>INDEX(FX!$A$3:$C$362,MATCH(B21,FX!$A$3:$A$362,0),MATCH("Monthly Curve",FX!$A$2:$C$2,0))</f>
        <v>1.43266246931427</v>
      </c>
      <c r="L21" s="572"/>
      <c r="M21" s="1057">
        <v>2.8450000000000002</v>
      </c>
      <c r="N21" s="1067">
        <v>0.22</v>
      </c>
      <c r="O21" s="315">
        <v>0.02</v>
      </c>
      <c r="P21" s="797">
        <f t="shared" si="1"/>
        <v>0.24</v>
      </c>
      <c r="Q21" s="732">
        <f t="shared" si="2"/>
        <v>3.0850000000000004</v>
      </c>
      <c r="R21" s="722">
        <f>Assumptions!$B$34</f>
        <v>0.3124588923076923</v>
      </c>
      <c r="S21" s="730">
        <f t="shared" si="3"/>
        <v>4.732222610142216</v>
      </c>
      <c r="T21" s="572"/>
      <c r="V21" s="581">
        <f>Assumptions!$B$42</f>
        <v>0</v>
      </c>
      <c r="W21" s="581">
        <v>6.5</v>
      </c>
      <c r="X21" s="629">
        <v>1</v>
      </c>
      <c r="Y21" s="783">
        <f>Assumptions!$B$7</f>
        <v>312</v>
      </c>
      <c r="Z21" s="570">
        <f t="shared" si="4"/>
        <v>0</v>
      </c>
      <c r="AA21" s="592">
        <f t="shared" si="5"/>
        <v>0</v>
      </c>
      <c r="AB21" s="589">
        <f t="shared" si="6"/>
        <v>0</v>
      </c>
      <c r="AC21" s="462"/>
      <c r="AD21" s="1027">
        <f>IF(Tables!$E$30="Michigan",INDEX('Michigan Curve'!$A$4:$S$256,MATCH('Monthly Table'!B21,'Michigan Curve'!$A$4:$A$256,0),MATCH("Michigan Selected Option Value US$/month",'Michigan Curve'!$A$4:$S$4,0)),INDEX('NY Curve'!$A$4:$T$256,MATCH('Monthly Table'!B21,'NY Curve'!$A$4:$A$256,0),MATCH("New York Selected Option Value US$/month",'NY Curve'!$A$4:$T$4,0)))</f>
        <v>16395.947001122338</v>
      </c>
      <c r="AE21" s="601">
        <f t="shared" si="23"/>
        <v>23489.857917373829</v>
      </c>
      <c r="AF21" s="462"/>
      <c r="AG21" s="915"/>
      <c r="AH21" s="462"/>
      <c r="AI21" s="799">
        <f>Assumptions!$B$50</f>
        <v>65</v>
      </c>
      <c r="AJ21" s="743"/>
      <c r="AK21" s="924">
        <f>IF(Tables!$E$30="Custom",'Monthly Table'!AI21,IF(Tables!$E$30="New York",INDEX('NY Curve'!$A$4:$G$256,MATCH('Monthly Table'!B21,'NY Curve'!$A$4:$A$256,0),MATCH("Super Peak Curve",'NY Curve'!$A$4:$G$4,0)),IF(Tables!$E$30="New York Flat",INDEX('NY Curve'!$A$4:$G$256,MATCH('Monthly Table'!B21,'NY Curve'!$A$4:$A$256,0),MATCH("Flat NY West",'NY Curve'!$A$4:$G$4,0)),INDEX('Michigan Curve'!$A$4:$F$256,MATCH('Monthly Table'!B21,'Michigan Curve'!$A$4:$A$256,0),MATCH("Michigan Super Peak Curve US$/MWhr",'Michigan Curve'!$A$4:$F$4,0)))))</f>
        <v>25.898395385742191</v>
      </c>
      <c r="AL21" s="965">
        <f>IF(D21&lt;=Tables!$B$21,IF($AL$10=$AI$10,AI21,IF($AL$10=$AJ$10,AJ21,IF($AL$10=$AK$10,AK21,0))),0)</f>
        <v>25.898395385742191</v>
      </c>
      <c r="AM21" s="708">
        <f t="shared" si="24"/>
        <v>37.103659084614705</v>
      </c>
      <c r="AN21" s="916">
        <f t="shared" si="25"/>
        <v>0</v>
      </c>
      <c r="AO21" s="905"/>
      <c r="AP21" s="925"/>
      <c r="AQ21" s="926">
        <f>IF(Tables!$E$30="New York",INDEX('NY Curve'!$A$4:$L$256,MATCH('Monthly Table'!B21,'NY Curve'!$A$4:$A$256,0),MATCH("New York Shoulder Hour Curve Mon-Fri",'NY Curve'!$A$4:$L$4,0)),IF(Tables!$E$30="Michigan",INDEX('Michigan Curve'!$A$4:$K$256,MATCH('Monthly Table'!B21,'Michigan Curve'!$A$4:$A$256,0),MATCH("Michigan Shoulder Hour Curve Mon-Fri",'Michigan Curve'!$A$4:$K$4,0))))</f>
        <v>22.061596069335934</v>
      </c>
      <c r="AR21" s="708">
        <f t="shared" si="26"/>
        <v>31.606820701708813</v>
      </c>
      <c r="AS21" s="927">
        <f t="shared" si="7"/>
        <v>0</v>
      </c>
      <c r="AT21" s="462"/>
      <c r="AU21" s="926">
        <f>IF(Tables!$E$30="New York",INDEX('NY Curve'!$A$4:$L$256,MATCH('Monthly Table'!$B21,'NY Curve'!$A$4:$A$256,0),MATCH("New York Saturday Super Peak",'NY Curve'!$A$4:$L$4,0)),IF(Tables!$E$30="Michigan",INDEX('Michigan Curve'!$A$4:$K$256,MATCH('Monthly Table'!$B21,'Michigan Curve'!$A$4:$A$256,0),MATCH("Michigan Saturday Super Peak",'Michigan Curve'!$A$4:$K$4,0))))</f>
        <v>21.6</v>
      </c>
      <c r="AV21" s="925">
        <f t="shared" si="8"/>
        <v>30.945509337188234</v>
      </c>
      <c r="AW21" s="927">
        <f t="shared" si="9"/>
        <v>0</v>
      </c>
      <c r="AX21" s="926">
        <f>IF(Tables!$E$30="New York",INDEX('NY Curve'!$A$4:$L$256,MATCH('Monthly Table'!$B21,'NY Curve'!$A$4:$A$256,0),MATCH("New York Saturday Shoulder Peak",'NY Curve'!$A$4:$L$4,0)),IF(Tables!$E$30="Michigan",INDEX('Michigan Curve'!$A$4:$K$256,MATCH('Monthly Table'!$B21,'Michigan Curve'!$A$4:$A$256,0),MATCH("Michigan Saturday Shoulder Peak",'Michigan Curve'!$A$4:$K$4,0))))</f>
        <v>18.399999999999999</v>
      </c>
      <c r="AY21" s="934">
        <f t="shared" si="27"/>
        <v>26.360989435382567</v>
      </c>
      <c r="AZ21" s="927">
        <f t="shared" si="10"/>
        <v>0</v>
      </c>
      <c r="BA21" s="462"/>
      <c r="BB21" s="926">
        <f>IF(Tables!$E$30="New York",INDEX('NY Curve'!$A$4:$M$256,MATCH('Monthly Table'!$B21,'NY Curve'!$A$4:$A$256,0),MATCH("NY Sunday Super Peak",'NY Curve'!$A$4:$M$4,0)),IF(Tables!$E$30="Michigan",INDEX('Michigan Curve'!$A$4:$L$256,MATCH('Monthly Table'!$B21,'Michigan Curve'!$A$4:$A$256,0),MATCH("Michigan Sunday Super Peak",'Michigan Curve'!$A$4:$L$4,0))))</f>
        <v>20.520000000000003</v>
      </c>
      <c r="BC21" s="925">
        <f t="shared" si="28"/>
        <v>29.398233870328824</v>
      </c>
      <c r="BD21" s="927">
        <f t="shared" si="11"/>
        <v>0</v>
      </c>
      <c r="BE21" s="462"/>
      <c r="BF21" s="598">
        <f t="shared" si="12"/>
        <v>37196</v>
      </c>
      <c r="BG21" s="583">
        <f t="shared" si="29"/>
        <v>0</v>
      </c>
      <c r="BH21" s="583">
        <f t="shared" si="13"/>
        <v>0</v>
      </c>
      <c r="BI21" s="315">
        <f t="shared" si="30"/>
        <v>0</v>
      </c>
      <c r="BJ21" s="987">
        <f>IF('Monthly Table'!D21&lt;=Tables!$B$21,IF($BJ$10=$BG$10,BG21,IF($BJ$10=$BH$10,BH21,IF($BJ$10=$BI$10,BI21,0))),0)</f>
        <v>0</v>
      </c>
      <c r="BK21" s="43"/>
      <c r="BL21" s="987">
        <f t="shared" si="31"/>
        <v>0</v>
      </c>
      <c r="BM21" s="987">
        <f t="shared" si="32"/>
        <v>0</v>
      </c>
      <c r="BO21" s="987">
        <f t="shared" si="14"/>
        <v>0</v>
      </c>
      <c r="BP21" s="987">
        <f t="shared" si="33"/>
        <v>0</v>
      </c>
      <c r="BR21" s="993">
        <f>IF(BJ21&gt;0,INDEX(OperationalDetail,MATCH("Capacity Degradation",ODColumn,0),MATCH('Monthly Table'!C21,ODRow,0)),0)</f>
        <v>0</v>
      </c>
      <c r="BS21" s="994">
        <f>BJ21*(1-BR21)*Tables!$C$10</f>
        <v>0</v>
      </c>
      <c r="BT21" s="601">
        <f t="shared" si="15"/>
        <v>0</v>
      </c>
      <c r="BU21" s="601">
        <f t="shared" si="16"/>
        <v>0</v>
      </c>
      <c r="BV21" s="462"/>
      <c r="BW21" s="785">
        <f>$BO21*(1-$BR21)*Tables!$C$36</f>
        <v>0</v>
      </c>
      <c r="BX21" s="602">
        <f t="shared" si="34"/>
        <v>0</v>
      </c>
      <c r="BY21" s="601">
        <f t="shared" si="35"/>
        <v>0</v>
      </c>
      <c r="BZ21" s="462"/>
      <c r="CA21" s="785">
        <f>$BL21*(1-$BR21)*Tables!$C$36</f>
        <v>0</v>
      </c>
      <c r="CB21" s="602">
        <f t="shared" si="36"/>
        <v>0</v>
      </c>
      <c r="CC21" s="601">
        <f t="shared" si="37"/>
        <v>0</v>
      </c>
      <c r="CD21" s="785">
        <f>$BP21*(1-$BR21)*Tables!$C$36</f>
        <v>0</v>
      </c>
      <c r="CE21" s="602">
        <f t="shared" si="38"/>
        <v>0</v>
      </c>
      <c r="CF21" s="601">
        <f t="shared" si="39"/>
        <v>0</v>
      </c>
      <c r="CH21" s="785">
        <f>$BM21*(1-$BR21)*Tables!$C$36</f>
        <v>0</v>
      </c>
      <c r="CI21" s="602">
        <f t="shared" si="40"/>
        <v>0</v>
      </c>
      <c r="CJ21" s="601">
        <f t="shared" si="41"/>
        <v>0</v>
      </c>
      <c r="CK21" s="304"/>
      <c r="CL21" s="304">
        <f t="shared" si="42"/>
        <v>2000</v>
      </c>
      <c r="CM21" s="1018">
        <f>INDEX(OperationalDetail,MATCH("Degraded Heat Rate",ODColumn,0),MATCH('Monthly Table'!CL21,ODRow,0))/1000</f>
        <v>12.034750000000003</v>
      </c>
      <c r="CN21" s="737">
        <f t="shared" si="17"/>
        <v>56.951116057409045</v>
      </c>
      <c r="CO21" s="1019">
        <f>IF(A21="January",(CO20*(1+Assumptions!$E$32)),CO20)</f>
        <v>6.7356250000000015</v>
      </c>
      <c r="CP21" s="741">
        <f t="shared" si="18"/>
        <v>63.686741057409044</v>
      </c>
      <c r="CQ21" s="304"/>
      <c r="CR21" s="575" t="str">
        <f t="shared" si="43"/>
        <v/>
      </c>
      <c r="CS21" s="575" t="str">
        <f t="shared" si="44"/>
        <v/>
      </c>
      <c r="CT21" s="575" t="str">
        <f t="shared" si="45"/>
        <v/>
      </c>
      <c r="CU21" s="575" t="str">
        <f t="shared" si="46"/>
        <v/>
      </c>
      <c r="CV21" s="575" t="str">
        <f t="shared" si="47"/>
        <v/>
      </c>
      <c r="CW21" s="576">
        <f t="shared" si="19"/>
        <v>2001</v>
      </c>
      <c r="CX21" s="787">
        <f>INDEX('NY Curve'!$A$4:$G$256,MATCH('Monthly Table'!B21,'NY Curve'!$A$4:$A$256,0),MATCH("New York 5 X 16",'NY Curve'!$A$4:$G$4,0))</f>
        <v>26.75</v>
      </c>
      <c r="CY21" s="632">
        <f t="shared" si="20"/>
        <v>1.43266246931427</v>
      </c>
      <c r="CZ21" s="633">
        <f t="shared" si="21"/>
        <v>38.323721054156721</v>
      </c>
      <c r="DB21" s="857"/>
      <c r="DC21" s="857"/>
      <c r="DD21" s="500"/>
      <c r="DE21" s="745"/>
      <c r="DF21" s="858"/>
      <c r="DG21" s="755"/>
      <c r="DH21" s="755"/>
    </row>
    <row r="22" spans="1:112" s="222" customFormat="1" ht="18.75" customHeight="1">
      <c r="A22" s="222" t="s">
        <v>448</v>
      </c>
      <c r="B22" s="564">
        <v>37226</v>
      </c>
      <c r="C22" s="565">
        <f t="shared" si="0"/>
        <v>2001</v>
      </c>
      <c r="D22" s="819">
        <f t="shared" si="48"/>
        <v>1</v>
      </c>
      <c r="E22" s="980">
        <v>20</v>
      </c>
      <c r="F22" s="981">
        <v>5</v>
      </c>
      <c r="G22" s="981">
        <v>5</v>
      </c>
      <c r="H22" s="981">
        <v>1</v>
      </c>
      <c r="I22" s="982">
        <f t="shared" si="22"/>
        <v>31</v>
      </c>
      <c r="J22" s="969"/>
      <c r="K22" s="820">
        <f>INDEX(FX!$A$3:$C$362,MATCH(B22,FX!$A$3:$A$362,0),MATCH("Monthly Curve",FX!$A$2:$C$2,0))</f>
        <v>1.4318649252734501</v>
      </c>
      <c r="L22" s="820"/>
      <c r="M22" s="1068">
        <v>2.9619999999999997</v>
      </c>
      <c r="N22" s="1069">
        <v>0.26</v>
      </c>
      <c r="O22" s="831">
        <v>0.02</v>
      </c>
      <c r="P22" s="824">
        <f t="shared" si="1"/>
        <v>0.28000000000000003</v>
      </c>
      <c r="Q22" s="825">
        <f t="shared" si="2"/>
        <v>3.2419999999999995</v>
      </c>
      <c r="R22" s="826">
        <f>Assumptions!$B$34</f>
        <v>0.3124588923076923</v>
      </c>
      <c r="S22" s="827">
        <f t="shared" si="3"/>
        <v>4.9545649800442169</v>
      </c>
      <c r="T22" s="820"/>
      <c r="U22" s="565"/>
      <c r="V22" s="582">
        <f>Assumptions!$B$42</f>
        <v>0</v>
      </c>
      <c r="W22" s="582">
        <v>6.5</v>
      </c>
      <c r="X22" s="677">
        <v>1</v>
      </c>
      <c r="Y22" s="784">
        <f>Assumptions!$B$7</f>
        <v>312</v>
      </c>
      <c r="Z22" s="678">
        <f t="shared" si="4"/>
        <v>0</v>
      </c>
      <c r="AA22" s="679">
        <f t="shared" si="5"/>
        <v>0</v>
      </c>
      <c r="AB22" s="680">
        <f t="shared" si="6"/>
        <v>0</v>
      </c>
      <c r="AC22" s="828"/>
      <c r="AD22" s="1027">
        <f>IF(Tables!$E$30="Michigan",INDEX('Michigan Curve'!$A$4:$S$256,MATCH('Monthly Table'!B22,'Michigan Curve'!$A$4:$A$256,0),MATCH("Michigan Selected Option Value US$/month",'Michigan Curve'!$A$4:$S$4,0)),INDEX('NY Curve'!$A$4:$T$256,MATCH('Monthly Table'!B22,'NY Curve'!$A$4:$A$256,0),MATCH("New York Selected Option Value US$/month",'NY Curve'!$A$4:$T$4,0)))</f>
        <v>5723.3576443020693</v>
      </c>
      <c r="AE22" s="601">
        <f t="shared" si="23"/>
        <v>8195.0750656718119</v>
      </c>
      <c r="AF22" s="828"/>
      <c r="AG22" s="917"/>
      <c r="AH22" s="828"/>
      <c r="AI22" s="799">
        <f>Assumptions!$B$50</f>
        <v>65</v>
      </c>
      <c r="AJ22" s="762"/>
      <c r="AK22" s="924">
        <f>IF(Tables!$E$30="Custom",'Monthly Table'!AI22,IF(Tables!$E$30="New York",INDEX('NY Curve'!$A$4:$G$256,MATCH('Monthly Table'!B22,'NY Curve'!$A$4:$A$256,0),MATCH("Super Peak Curve",'NY Curve'!$A$4:$G$4,0)),IF(Tables!$E$30="New York Flat",INDEX('NY Curve'!$A$4:$G$256,MATCH('Monthly Table'!B22,'NY Curve'!$A$4:$A$256,0),MATCH("Flat NY West",'NY Curve'!$A$4:$G$4,0)),INDEX('Michigan Curve'!$A$4:$F$256,MATCH('Monthly Table'!B22,'Michigan Curve'!$A$4:$A$256,0),MATCH("Michigan Super Peak Curve US$/MWhr",'Michigan Curve'!$A$4:$F$4,0)))))</f>
        <v>24.938994941711425</v>
      </c>
      <c r="AL22" s="966">
        <f>IF(D22&lt;=Tables!$B$21,IF($AL$10=$AI$10,AI22,IF($AL$10=$AJ$10,AJ22,IF($AL$10=$AK$10,AK22,0))),0)</f>
        <v>24.938994941711425</v>
      </c>
      <c r="AM22" s="879">
        <f t="shared" si="24"/>
        <v>35.709272128608582</v>
      </c>
      <c r="AN22" s="918">
        <f t="shared" si="25"/>
        <v>0</v>
      </c>
      <c r="AO22" s="906"/>
      <c r="AP22" s="983"/>
      <c r="AQ22" s="926">
        <f>IF(Tables!$E$30="New York",INDEX('NY Curve'!$A$4:$L$256,MATCH('Monthly Table'!B22,'NY Curve'!$A$4:$A$256,0),MATCH("New York Shoulder Hour Curve Mon-Fri",'NY Curve'!$A$4:$L$4,0)),IF(Tables!$E$30="Michigan",INDEX('Michigan Curve'!$A$4:$K$256,MATCH('Monthly Table'!B22,'Michigan Curve'!$A$4:$A$256,0),MATCH("Michigan Shoulder Hour Curve Mon-Fri",'Michigan Curve'!$A$4:$K$4,0))))</f>
        <v>23.960995140075685</v>
      </c>
      <c r="AR22" s="879">
        <f t="shared" si="26"/>
        <v>34.308908515721974</v>
      </c>
      <c r="AS22" s="984">
        <f t="shared" si="7"/>
        <v>0</v>
      </c>
      <c r="AT22" s="828"/>
      <c r="AU22" s="926">
        <f>IF(Tables!$E$30="New York",INDEX('NY Curve'!$A$4:$L$256,MATCH('Monthly Table'!$B22,'NY Curve'!$A$4:$A$256,0),MATCH("New York Saturday Super Peak",'NY Curve'!$A$4:$L$4,0)),IF(Tables!$E$30="Michigan",INDEX('Michigan Curve'!$A$4:$K$256,MATCH('Monthly Table'!$B22,'Michigan Curve'!$A$4:$A$256,0),MATCH("Michigan Saturday Super Peak",'Michigan Curve'!$A$4:$K$4,0))))</f>
        <v>20.399999999999999</v>
      </c>
      <c r="AV22" s="983">
        <f t="shared" si="8"/>
        <v>29.210044475578382</v>
      </c>
      <c r="AW22" s="984">
        <f t="shared" si="9"/>
        <v>0</v>
      </c>
      <c r="AX22" s="926">
        <f>IF(Tables!$E$30="New York",INDEX('NY Curve'!$A$4:$L$256,MATCH('Monthly Table'!$B22,'NY Curve'!$A$4:$A$256,0),MATCH("New York Saturday Shoulder Peak",'NY Curve'!$A$4:$L$4,0)),IF(Tables!$E$30="Michigan",INDEX('Michigan Curve'!$A$4:$K$256,MATCH('Monthly Table'!$B22,'Michigan Curve'!$A$4:$A$256,0),MATCH("Michigan Saturday Shoulder Peak",'Michigan Curve'!$A$4:$K$4,0))))</f>
        <v>19.600000000000001</v>
      </c>
      <c r="AY22" s="985">
        <f t="shared" si="27"/>
        <v>28.064552535359624</v>
      </c>
      <c r="AZ22" s="984">
        <f t="shared" si="10"/>
        <v>0</v>
      </c>
      <c r="BA22" s="828"/>
      <c r="BB22" s="926">
        <f>IF(Tables!$E$30="New York",INDEX('NY Curve'!$A$4:$M$256,MATCH('Monthly Table'!$B22,'NY Curve'!$A$4:$A$256,0),MATCH("NY Sunday Super Peak",'NY Curve'!$A$4:$M$4,0)),IF(Tables!$E$30="Michigan",INDEX('Michigan Curve'!$A$4:$L$256,MATCH('Monthly Table'!$B22,'Michigan Curve'!$A$4:$A$256,0),MATCH("Michigan Sunday Super Peak",'Michigan Curve'!$A$4:$L$4,0))))</f>
        <v>19.38</v>
      </c>
      <c r="BC22" s="983">
        <f t="shared" si="28"/>
        <v>27.749542251799461</v>
      </c>
      <c r="BD22" s="984">
        <f t="shared" si="11"/>
        <v>0</v>
      </c>
      <c r="BE22" s="828"/>
      <c r="BF22" s="829">
        <f t="shared" si="12"/>
        <v>37226</v>
      </c>
      <c r="BG22" s="830">
        <f t="shared" si="29"/>
        <v>0</v>
      </c>
      <c r="BH22" s="830">
        <f t="shared" si="13"/>
        <v>0</v>
      </c>
      <c r="BI22" s="831">
        <f t="shared" si="30"/>
        <v>0</v>
      </c>
      <c r="BJ22" s="988">
        <f>IF('Monthly Table'!D22&lt;=Tables!$B$21,IF($BJ$10=$BG$10,BG22,IF($BJ$10=$BH$10,BH22,IF($BJ$10=$BI$10,BI22,0))),0)</f>
        <v>0</v>
      </c>
      <c r="BK22" s="565"/>
      <c r="BL22" s="988">
        <f t="shared" si="31"/>
        <v>0</v>
      </c>
      <c r="BM22" s="987">
        <f t="shared" si="32"/>
        <v>0</v>
      </c>
      <c r="BN22" s="565"/>
      <c r="BO22" s="988">
        <f t="shared" si="14"/>
        <v>0</v>
      </c>
      <c r="BP22" s="988">
        <f t="shared" si="33"/>
        <v>0</v>
      </c>
      <c r="BQ22" s="565"/>
      <c r="BR22" s="995">
        <f>IF(BJ22&gt;0,INDEX(OperationalDetail,MATCH("Capacity Degradation",ODColumn,0),MATCH('Monthly Table'!C22,ODRow,0)),0)</f>
        <v>0</v>
      </c>
      <c r="BS22" s="996">
        <f>BJ22*(1-BR22)*Tables!$C$10</f>
        <v>0</v>
      </c>
      <c r="BT22" s="834">
        <f t="shared" si="15"/>
        <v>0</v>
      </c>
      <c r="BU22" s="834">
        <f t="shared" si="16"/>
        <v>0</v>
      </c>
      <c r="BV22" s="828"/>
      <c r="BW22" s="832">
        <f>$BO22*(1-$BR22)*Tables!$C$36</f>
        <v>0</v>
      </c>
      <c r="BX22" s="833">
        <f t="shared" si="34"/>
        <v>0</v>
      </c>
      <c r="BY22" s="834">
        <f t="shared" si="35"/>
        <v>0</v>
      </c>
      <c r="BZ22" s="828"/>
      <c r="CA22" s="832">
        <f>$BL22*(1-$BR22)*Tables!$C$36</f>
        <v>0</v>
      </c>
      <c r="CB22" s="833">
        <f t="shared" si="36"/>
        <v>0</v>
      </c>
      <c r="CC22" s="834">
        <f t="shared" si="37"/>
        <v>0</v>
      </c>
      <c r="CD22" s="832">
        <f>$BP22*(1-$BR22)*Tables!$C$36</f>
        <v>0</v>
      </c>
      <c r="CE22" s="833">
        <f t="shared" si="38"/>
        <v>0</v>
      </c>
      <c r="CF22" s="834">
        <f t="shared" si="39"/>
        <v>0</v>
      </c>
      <c r="CH22" s="832">
        <f>$BM22*(1-$BR22)*Tables!$C$36</f>
        <v>0</v>
      </c>
      <c r="CI22" s="833">
        <f t="shared" si="40"/>
        <v>0</v>
      </c>
      <c r="CJ22" s="834">
        <f t="shared" si="41"/>
        <v>0</v>
      </c>
      <c r="CK22" s="880"/>
      <c r="CL22" s="880">
        <f t="shared" si="42"/>
        <v>2000</v>
      </c>
      <c r="CM22" s="1024">
        <f>INDEX(OperationalDetail,MATCH("Degraded Heat Rate",ODColumn,0),MATCH('Monthly Table'!CL22,ODRow,0))/1000</f>
        <v>12.034750000000003</v>
      </c>
      <c r="CN22" s="835">
        <f t="shared" si="17"/>
        <v>59.62695089358715</v>
      </c>
      <c r="CO22" s="1020">
        <f>IF(A22="January",(CO21*(1+Assumptions!$E$32)),CO21)</f>
        <v>6.7356250000000015</v>
      </c>
      <c r="CP22" s="836">
        <f t="shared" si="18"/>
        <v>66.362575893587149</v>
      </c>
      <c r="CQ22" s="880"/>
      <c r="CR22" s="841" t="str">
        <f t="shared" si="43"/>
        <v/>
      </c>
      <c r="CS22" s="841" t="str">
        <f t="shared" si="44"/>
        <v/>
      </c>
      <c r="CT22" s="841" t="str">
        <f t="shared" si="45"/>
        <v/>
      </c>
      <c r="CU22" s="841" t="str">
        <f t="shared" si="46"/>
        <v/>
      </c>
      <c r="CV22" s="841" t="str">
        <f t="shared" si="47"/>
        <v/>
      </c>
      <c r="CW22" s="842">
        <f t="shared" si="19"/>
        <v>2001</v>
      </c>
      <c r="CX22" s="843">
        <f>INDEX('NY Curve'!$A$4:$G$256,MATCH('Monthly Table'!B22,'NY Curve'!$A$4:$A$256,0),MATCH("New York 5 X 16",'NY Curve'!$A$4:$G$4,0))</f>
        <v>27.25</v>
      </c>
      <c r="CY22" s="844">
        <f t="shared" si="20"/>
        <v>1.4318649252734501</v>
      </c>
      <c r="CZ22" s="845">
        <f t="shared" si="21"/>
        <v>39.018319213701517</v>
      </c>
      <c r="DB22" s="881"/>
      <c r="DC22" s="881"/>
      <c r="DD22" s="882"/>
      <c r="DE22" s="883"/>
      <c r="DF22" s="884"/>
      <c r="DG22" s="880"/>
      <c r="DH22" s="880"/>
    </row>
    <row r="23" spans="1:112" ht="18.75" customHeight="1">
      <c r="A23" s="17" t="s">
        <v>437</v>
      </c>
      <c r="B23" s="508">
        <v>37257</v>
      </c>
      <c r="C23" s="43">
        <f t="shared" si="0"/>
        <v>2002</v>
      </c>
      <c r="D23" s="719">
        <f t="shared" si="48"/>
        <v>2</v>
      </c>
      <c r="E23" s="972">
        <v>22</v>
      </c>
      <c r="F23" s="971">
        <v>4</v>
      </c>
      <c r="G23" s="971">
        <v>4</v>
      </c>
      <c r="H23" s="971">
        <v>1</v>
      </c>
      <c r="I23" s="976">
        <f t="shared" si="22"/>
        <v>31</v>
      </c>
      <c r="J23" s="621"/>
      <c r="K23" s="572">
        <f>INDEX(FX!$A$3:$C$362,MATCH(B23,FX!$A$3:$A$362,0),MATCH("Monthly Curve",FX!$A$2:$C$2,0))</f>
        <v>1.4310865684708201</v>
      </c>
      <c r="L23" s="572"/>
      <c r="M23" s="1057">
        <v>2.9849999999999999</v>
      </c>
      <c r="N23" s="1067">
        <v>0.27</v>
      </c>
      <c r="O23" s="315">
        <v>0.02</v>
      </c>
      <c r="P23" s="797">
        <f t="shared" si="1"/>
        <v>0.29000000000000004</v>
      </c>
      <c r="Q23" s="732">
        <f t="shared" si="2"/>
        <v>3.2749999999999999</v>
      </c>
      <c r="R23" s="722">
        <f>Assumptions!$B$34</f>
        <v>0.3124588923076923</v>
      </c>
      <c r="S23" s="730">
        <f t="shared" si="3"/>
        <v>4.9992674040496272</v>
      </c>
      <c r="T23" s="572"/>
      <c r="V23" s="581">
        <f>Assumptions!$B$42</f>
        <v>0</v>
      </c>
      <c r="W23" s="581">
        <v>6.5</v>
      </c>
      <c r="X23" s="629">
        <v>1</v>
      </c>
      <c r="Y23" s="783">
        <f>Assumptions!$B$7</f>
        <v>312</v>
      </c>
      <c r="Z23" s="570">
        <f t="shared" si="4"/>
        <v>0</v>
      </c>
      <c r="AA23" s="592">
        <f t="shared" si="5"/>
        <v>0</v>
      </c>
      <c r="AB23" s="589">
        <f t="shared" si="6"/>
        <v>0</v>
      </c>
      <c r="AC23" s="462"/>
      <c r="AD23" s="1027">
        <f>IF(Tables!$E$30="Michigan",INDEX('Michigan Curve'!$A$4:$S$256,MATCH('Monthly Table'!B23,'Michigan Curve'!$A$4:$A$256,0),MATCH("Michigan Selected Option Value US$/month",'Michigan Curve'!$A$4:$S$4,0)),INDEX('NY Curve'!$A$4:$T$256,MATCH('Monthly Table'!B23,'NY Curve'!$A$4:$A$256,0),MATCH("New York Selected Option Value US$/month",'NY Curve'!$A$4:$T$4,0)))</f>
        <v>93399.602013301293</v>
      </c>
      <c r="AE23" s="601">
        <f t="shared" si="23"/>
        <v>133662.91594175564</v>
      </c>
      <c r="AF23" s="462"/>
      <c r="AG23" s="915"/>
      <c r="AH23" s="462"/>
      <c r="AI23" s="799">
        <f>Assumptions!$B$50</f>
        <v>65</v>
      </c>
      <c r="AJ23" s="743"/>
      <c r="AK23" s="924">
        <f>IF(Tables!$E$30="Custom",'Monthly Table'!AI23,IF(Tables!$E$30="New York",INDEX('NY Curve'!$A$4:$G$256,MATCH('Monthly Table'!B23,'NY Curve'!$A$4:$A$256,0),MATCH("Super Peak Curve",'NY Curve'!$A$4:$G$4,0)),IF(Tables!$E$30="New York Flat",INDEX('NY Curve'!$A$4:$G$256,MATCH('Monthly Table'!B23,'NY Curve'!$A$4:$A$256,0),MATCH("Flat NY West",'NY Curve'!$A$4:$G$4,0)),INDEX('Michigan Curve'!$A$4:$F$256,MATCH('Monthly Table'!B23,'Michigan Curve'!$A$4:$A$256,0),MATCH("Michigan Super Peak Curve US$/MWhr",'Michigan Curve'!$A$4:$F$4,0)))))</f>
        <v>30.294000389099121</v>
      </c>
      <c r="AL23" s="965">
        <f>IF(D23&lt;=Tables!$B$21,IF($AL$10=$AI$10,AI23,IF($AL$10=$AJ$10,AJ23,IF($AL$10=$AK$10,AK23,0))),0)</f>
        <v>30.294000389099121</v>
      </c>
      <c r="AM23" s="708">
        <f t="shared" si="24"/>
        <v>43.353337062089551</v>
      </c>
      <c r="AN23" s="916">
        <f t="shared" si="25"/>
        <v>0</v>
      </c>
      <c r="AO23" s="905"/>
      <c r="AP23" s="925"/>
      <c r="AQ23" s="926">
        <f>IF(Tables!$E$30="New York",INDEX('NY Curve'!$A$4:$L$256,MATCH('Monthly Table'!B23,'NY Curve'!$A$4:$A$256,0),MATCH("New York Shoulder Hour Curve Mon-Fri",'NY Curve'!$A$4:$L$4,0)),IF(Tables!$E$30="Michigan",INDEX('Michigan Curve'!$A$4:$K$256,MATCH('Monthly Table'!B23,'Michigan Curve'!$A$4:$A$256,0),MATCH("Michigan Shoulder Hour Curve Mon-Fri",'Michigan Curve'!$A$4:$K$4,0))))</f>
        <v>29.106000373840335</v>
      </c>
      <c r="AR23" s="708">
        <f t="shared" si="26"/>
        <v>41.653206196909572</v>
      </c>
      <c r="AS23" s="927">
        <f t="shared" si="7"/>
        <v>0</v>
      </c>
      <c r="AT23" s="462"/>
      <c r="AU23" s="926">
        <f>IF(Tables!$E$30="New York",INDEX('NY Curve'!$A$4:$L$256,MATCH('Monthly Table'!$B23,'NY Curve'!$A$4:$A$256,0),MATCH("New York Saturday Super Peak",'NY Curve'!$A$4:$L$4,0)),IF(Tables!$E$30="Michigan",INDEX('Michigan Curve'!$A$4:$K$256,MATCH('Monthly Table'!$B23,'Michigan Curve'!$A$4:$A$256,0),MATCH("Michigan Saturday Super Peak",'Michigan Curve'!$A$4:$K$4,0))))</f>
        <v>22.44</v>
      </c>
      <c r="AV23" s="925">
        <f t="shared" si="8"/>
        <v>32.113582596485202</v>
      </c>
      <c r="AW23" s="927">
        <f t="shared" si="9"/>
        <v>0</v>
      </c>
      <c r="AX23" s="926">
        <f>IF(Tables!$E$30="New York",INDEX('NY Curve'!$A$4:$L$256,MATCH('Monthly Table'!$B23,'NY Curve'!$A$4:$A$256,0),MATCH("New York Saturday Shoulder Peak",'NY Curve'!$A$4:$L$4,0)),IF(Tables!$E$30="Michigan",INDEX('Michigan Curve'!$A$4:$K$256,MATCH('Monthly Table'!$B23,'Michigan Curve'!$A$4:$A$256,0),MATCH("Michigan Saturday Shoulder Peak",'Michigan Curve'!$A$4:$K$4,0))))</f>
        <v>21.56</v>
      </c>
      <c r="AY23" s="934">
        <f t="shared" si="27"/>
        <v>30.85422641623088</v>
      </c>
      <c r="AZ23" s="927">
        <f t="shared" si="10"/>
        <v>0</v>
      </c>
      <c r="BA23" s="462"/>
      <c r="BB23" s="926">
        <f>IF(Tables!$E$30="New York",INDEX('NY Curve'!$A$4:$M$256,MATCH('Monthly Table'!$B23,'NY Curve'!$A$4:$A$256,0),MATCH("NY Sunday Super Peak",'NY Curve'!$A$4:$M$4,0)),IF(Tables!$E$30="Michigan",INDEX('Michigan Curve'!$A$4:$L$256,MATCH('Monthly Table'!$B23,'Michigan Curve'!$A$4:$A$256,0),MATCH("Michigan Sunday Super Peak",'Michigan Curve'!$A$4:$L$4,0))))</f>
        <v>21.42</v>
      </c>
      <c r="BC23" s="925">
        <f t="shared" si="28"/>
        <v>30.653874296644968</v>
      </c>
      <c r="BD23" s="927">
        <f t="shared" si="11"/>
        <v>0</v>
      </c>
      <c r="BE23" s="462"/>
      <c r="BF23" s="598">
        <f t="shared" si="12"/>
        <v>37257</v>
      </c>
      <c r="BG23" s="583">
        <f t="shared" si="29"/>
        <v>0</v>
      </c>
      <c r="BH23" s="583">
        <f t="shared" si="13"/>
        <v>0</v>
      </c>
      <c r="BI23" s="315">
        <f t="shared" si="30"/>
        <v>0</v>
      </c>
      <c r="BJ23" s="987">
        <f>IF('Monthly Table'!D23&lt;=Tables!$B$21,IF($BJ$10=$BG$10,BG23,IF($BJ$10=$BH$10,BH23,IF($BJ$10=$BI$10,BI23,0))),0)</f>
        <v>0</v>
      </c>
      <c r="BK23" s="43"/>
      <c r="BL23" s="987">
        <f t="shared" si="31"/>
        <v>0</v>
      </c>
      <c r="BM23" s="987">
        <f t="shared" si="32"/>
        <v>0</v>
      </c>
      <c r="BO23" s="987">
        <f t="shared" si="14"/>
        <v>0</v>
      </c>
      <c r="BP23" s="987">
        <f t="shared" si="33"/>
        <v>0</v>
      </c>
      <c r="BR23" s="993">
        <f>IF(BJ23&gt;0,INDEX(OperationalDetail,MATCH("Capacity Degradation",ODColumn,0),MATCH('Monthly Table'!C23,ODRow,0)),0)</f>
        <v>0</v>
      </c>
      <c r="BS23" s="994">
        <f>BJ23*(1-BR23)*Tables!$C$10</f>
        <v>0</v>
      </c>
      <c r="BT23" s="601">
        <f t="shared" si="15"/>
        <v>0</v>
      </c>
      <c r="BU23" s="601">
        <f t="shared" si="16"/>
        <v>0</v>
      </c>
      <c r="BV23" s="462"/>
      <c r="BW23" s="785">
        <f>$BO23*(1-$BR23)*Tables!$C$36</f>
        <v>0</v>
      </c>
      <c r="BX23" s="602">
        <f t="shared" si="34"/>
        <v>0</v>
      </c>
      <c r="BY23" s="601">
        <f t="shared" si="35"/>
        <v>0</v>
      </c>
      <c r="BZ23" s="462"/>
      <c r="CA23" s="785">
        <f>$BL23*(1-$BR23)*Tables!$C$36</f>
        <v>0</v>
      </c>
      <c r="CB23" s="602">
        <f t="shared" si="36"/>
        <v>0</v>
      </c>
      <c r="CC23" s="601">
        <f t="shared" si="37"/>
        <v>0</v>
      </c>
      <c r="CD23" s="785">
        <f>$BP23*(1-$BR23)*Tables!$C$36</f>
        <v>0</v>
      </c>
      <c r="CE23" s="602">
        <f t="shared" si="38"/>
        <v>0</v>
      </c>
      <c r="CF23" s="601">
        <f t="shared" si="39"/>
        <v>0</v>
      </c>
      <c r="CH23" s="785">
        <f>$BM23*(1-$BR23)*Tables!$C$36</f>
        <v>0</v>
      </c>
      <c r="CI23" s="602">
        <f t="shared" si="40"/>
        <v>0</v>
      </c>
      <c r="CJ23" s="601">
        <f t="shared" si="41"/>
        <v>0</v>
      </c>
      <c r="CK23" s="304"/>
      <c r="CL23" s="304">
        <f t="shared" si="42"/>
        <v>2001</v>
      </c>
      <c r="CM23" s="1018">
        <f>INDEX(OperationalDetail,MATCH("Degraded Heat Rate",ODColumn,0),MATCH('Monthly Table'!CL23,ODRow,0))/1000</f>
        <v>12.065606799999999</v>
      </c>
      <c r="CN23" s="737">
        <f t="shared" si="17"/>
        <v>60.319194785319524</v>
      </c>
      <c r="CO23" s="1019">
        <f>IF(A23="January",(CO22*(1+Assumptions!$E$32)),CO22)</f>
        <v>6.8703375000000015</v>
      </c>
      <c r="CP23" s="741">
        <f t="shared" si="18"/>
        <v>67.18953228531953</v>
      </c>
      <c r="CQ23" s="304"/>
      <c r="CR23" s="575" t="str">
        <f t="shared" si="43"/>
        <v/>
      </c>
      <c r="CS23" s="575" t="str">
        <f t="shared" si="44"/>
        <v/>
      </c>
      <c r="CT23" s="575" t="str">
        <f t="shared" si="45"/>
        <v/>
      </c>
      <c r="CU23" s="575" t="str">
        <f t="shared" si="46"/>
        <v/>
      </c>
      <c r="CV23" s="575" t="str">
        <f t="shared" si="47"/>
        <v/>
      </c>
      <c r="CW23" s="576">
        <f t="shared" si="19"/>
        <v>2002</v>
      </c>
      <c r="CX23" s="787">
        <f>INDEX('NY Curve'!$A$4:$G$256,MATCH('Monthly Table'!B23,'NY Curve'!$A$4:$A$256,0),MATCH("New York 5 X 16",'NY Curve'!$A$4:$G$4,0))</f>
        <v>32</v>
      </c>
      <c r="CY23" s="632">
        <f t="shared" si="20"/>
        <v>1.4310865684708201</v>
      </c>
      <c r="CZ23" s="633">
        <f t="shared" si="21"/>
        <v>45.794770191066242</v>
      </c>
      <c r="DB23" s="857"/>
      <c r="DC23" s="857"/>
      <c r="DD23" s="500"/>
      <c r="DE23" s="745"/>
      <c r="DF23" s="858"/>
      <c r="DG23" s="755"/>
      <c r="DH23" s="755"/>
    </row>
    <row r="24" spans="1:112" ht="18.75" customHeight="1">
      <c r="A24" s="17" t="s">
        <v>438</v>
      </c>
      <c r="B24" s="508">
        <v>37288</v>
      </c>
      <c r="C24" s="43">
        <f t="shared" si="0"/>
        <v>2002</v>
      </c>
      <c r="D24" s="719">
        <f t="shared" si="48"/>
        <v>2</v>
      </c>
      <c r="E24" s="972">
        <v>20</v>
      </c>
      <c r="F24" s="971">
        <v>4</v>
      </c>
      <c r="G24" s="971">
        <v>4</v>
      </c>
      <c r="H24" s="971">
        <v>0</v>
      </c>
      <c r="I24" s="976">
        <f t="shared" si="22"/>
        <v>28</v>
      </c>
      <c r="J24" s="621"/>
      <c r="K24" s="572">
        <f>INDEX(FX!$A$3:$C$362,MATCH(B24,FX!$A$3:$A$362,0),MATCH("Monthly Curve",FX!$A$2:$C$2,0))</f>
        <v>1.43036588367405</v>
      </c>
      <c r="L24" s="572"/>
      <c r="M24" s="1057">
        <v>2.8590000000000004</v>
      </c>
      <c r="N24" s="1067">
        <v>0.3</v>
      </c>
      <c r="O24" s="315">
        <v>0.02</v>
      </c>
      <c r="P24" s="797">
        <f t="shared" si="1"/>
        <v>0.32</v>
      </c>
      <c r="Q24" s="732">
        <f t="shared" si="2"/>
        <v>3.1790000000000003</v>
      </c>
      <c r="R24" s="722">
        <f>Assumptions!$B$34</f>
        <v>0.3124588923076923</v>
      </c>
      <c r="S24" s="730">
        <f t="shared" si="3"/>
        <v>4.8595920365074976</v>
      </c>
      <c r="T24" s="572"/>
      <c r="V24" s="581">
        <f>Assumptions!$B$42</f>
        <v>0</v>
      </c>
      <c r="W24" s="581">
        <v>6.5</v>
      </c>
      <c r="X24" s="629">
        <v>1</v>
      </c>
      <c r="Y24" s="783">
        <f>Assumptions!$B$7</f>
        <v>312</v>
      </c>
      <c r="Z24" s="570">
        <f t="shared" si="4"/>
        <v>0</v>
      </c>
      <c r="AA24" s="592">
        <f t="shared" si="5"/>
        <v>0</v>
      </c>
      <c r="AB24" s="589">
        <f t="shared" si="6"/>
        <v>0</v>
      </c>
      <c r="AC24" s="462"/>
      <c r="AD24" s="1027">
        <f>IF(Tables!$E$30="Michigan",INDEX('Michigan Curve'!$A$4:$S$256,MATCH('Monthly Table'!B24,'Michigan Curve'!$A$4:$A$256,0),MATCH("Michigan Selected Option Value US$/month",'Michigan Curve'!$A$4:$S$4,0)),INDEX('NY Curve'!$A$4:$T$256,MATCH('Monthly Table'!B24,'NY Curve'!$A$4:$A$256,0),MATCH("New York Selected Option Value US$/month",'NY Curve'!$A$4:$T$4,0)))</f>
        <v>91903.24108486429</v>
      </c>
      <c r="AE24" s="601">
        <f t="shared" si="23"/>
        <v>131455.26064686116</v>
      </c>
      <c r="AF24" s="462"/>
      <c r="AG24" s="915"/>
      <c r="AH24" s="462"/>
      <c r="AI24" s="799">
        <f>Assumptions!$B$50</f>
        <v>65</v>
      </c>
      <c r="AJ24" s="743"/>
      <c r="AK24" s="924">
        <f>IF(Tables!$E$30="Custom",'Monthly Table'!AI24,IF(Tables!$E$30="New York",INDEX('NY Curve'!$A$4:$G$256,MATCH('Monthly Table'!B24,'NY Curve'!$A$4:$A$256,0),MATCH("Super Peak Curve",'NY Curve'!$A$4:$G$4,0)),IF(Tables!$E$30="New York Flat",INDEX('NY Curve'!$A$4:$G$256,MATCH('Monthly Table'!B24,'NY Curve'!$A$4:$A$256,0),MATCH("Flat NY West",'NY Curve'!$A$4:$G$4,0)),INDEX('Michigan Curve'!$A$4:$F$256,MATCH('Monthly Table'!B24,'Michigan Curve'!$A$4:$A$256,0),MATCH("Michigan Super Peak Curve US$/MWhr",'Michigan Curve'!$A$4:$F$4,0)))))</f>
        <v>30.293998443603517</v>
      </c>
      <c r="AL24" s="965">
        <f>IF(D24&lt;=Tables!$B$21,IF($AL$10=$AI$10,AI24,IF($AL$10=$AJ$10,AJ24,IF($AL$10=$AK$10,AK24,0))),0)</f>
        <v>30.293998443603517</v>
      </c>
      <c r="AM24" s="708">
        <f t="shared" si="24"/>
        <v>43.331501853805243</v>
      </c>
      <c r="AN24" s="916">
        <f t="shared" si="25"/>
        <v>0</v>
      </c>
      <c r="AO24" s="905"/>
      <c r="AP24" s="925"/>
      <c r="AQ24" s="926">
        <f>IF(Tables!$E$30="New York",INDEX('NY Curve'!$A$4:$L$256,MATCH('Monthly Table'!B24,'NY Curve'!$A$4:$A$256,0),MATCH("New York Shoulder Hour Curve Mon-Fri",'NY Curve'!$A$4:$L$4,0)),IF(Tables!$E$30="Michigan",INDEX('Michigan Curve'!$A$4:$K$256,MATCH('Monthly Table'!B24,'Michigan Curve'!$A$4:$A$256,0),MATCH("Michigan Shoulder Hour Curve Mon-Fri",'Michigan Curve'!$A$4:$K$4,0))))</f>
        <v>29.105998504638674</v>
      </c>
      <c r="AR24" s="708">
        <f t="shared" si="26"/>
        <v>41.632227271303073</v>
      </c>
      <c r="AS24" s="927">
        <f t="shared" si="7"/>
        <v>0</v>
      </c>
      <c r="AT24" s="462"/>
      <c r="AU24" s="926">
        <f>IF(Tables!$E$30="New York",INDEX('NY Curve'!$A$4:$L$256,MATCH('Monthly Table'!$B24,'NY Curve'!$A$4:$A$256,0),MATCH("New York Saturday Super Peak",'NY Curve'!$A$4:$L$4,0)),IF(Tables!$E$30="Michigan",INDEX('Michigan Curve'!$A$4:$K$256,MATCH('Monthly Table'!$B24,'Michigan Curve'!$A$4:$A$256,0),MATCH("Michigan Saturday Super Peak",'Michigan Curve'!$A$4:$K$4,0))))</f>
        <v>22.435920295715331</v>
      </c>
      <c r="AV24" s="925">
        <f t="shared" si="8"/>
        <v>32.091574959821415</v>
      </c>
      <c r="AW24" s="927">
        <f t="shared" si="9"/>
        <v>0</v>
      </c>
      <c r="AX24" s="926">
        <f>IF(Tables!$E$30="New York",INDEX('NY Curve'!$A$4:$L$256,MATCH('Monthly Table'!$B24,'NY Curve'!$A$4:$A$256,0),MATCH("New York Saturday Shoulder Peak",'NY Curve'!$A$4:$L$4,0)),IF(Tables!$E$30="Michigan",INDEX('Michigan Curve'!$A$4:$K$256,MATCH('Monthly Table'!$B24,'Michigan Curve'!$A$4:$A$256,0),MATCH("Michigan Saturday Shoulder Peak",'Michigan Curve'!$A$4:$K$4,0))))</f>
        <v>21.556080284118654</v>
      </c>
      <c r="AY24" s="934">
        <f t="shared" si="27"/>
        <v>30.833081824142145</v>
      </c>
      <c r="AZ24" s="927">
        <f t="shared" si="10"/>
        <v>0</v>
      </c>
      <c r="BA24" s="462"/>
      <c r="BB24" s="926">
        <f>IF(Tables!$E$30="New York",INDEX('NY Curve'!$A$4:$M$256,MATCH('Monthly Table'!$B24,'NY Curve'!$A$4:$A$256,0),MATCH("NY Sunday Super Peak",'NY Curve'!$A$4:$M$4,0)),IF(Tables!$E$30="Michigan",INDEX('Michigan Curve'!$A$4:$L$256,MATCH('Monthly Table'!$B24,'Michigan Curve'!$A$4:$A$256,0),MATCH("Michigan Sunday Super Peak",'Michigan Curve'!$A$4:$L$4,0))))</f>
        <v>21.416431961059569</v>
      </c>
      <c r="BC24" s="925">
        <f t="shared" si="28"/>
        <v>30.633333627126138</v>
      </c>
      <c r="BD24" s="927">
        <f t="shared" si="11"/>
        <v>0</v>
      </c>
      <c r="BE24" s="462"/>
      <c r="BF24" s="598">
        <f t="shared" si="12"/>
        <v>37288</v>
      </c>
      <c r="BG24" s="583">
        <f t="shared" si="29"/>
        <v>0</v>
      </c>
      <c r="BH24" s="583">
        <f t="shared" si="13"/>
        <v>0</v>
      </c>
      <c r="BI24" s="315">
        <f t="shared" si="30"/>
        <v>0</v>
      </c>
      <c r="BJ24" s="987">
        <f>IF('Monthly Table'!D24&lt;=Tables!$B$21,IF($BJ$10=$BG$10,BG24,IF($BJ$10=$BH$10,BH24,IF($BJ$10=$BI$10,BI24,0))),0)</f>
        <v>0</v>
      </c>
      <c r="BK24" s="43"/>
      <c r="BL24" s="987">
        <f t="shared" si="31"/>
        <v>0</v>
      </c>
      <c r="BM24" s="987">
        <f t="shared" si="32"/>
        <v>0</v>
      </c>
      <c r="BO24" s="987">
        <f t="shared" si="14"/>
        <v>0</v>
      </c>
      <c r="BP24" s="987">
        <f t="shared" si="33"/>
        <v>0</v>
      </c>
      <c r="BR24" s="993">
        <f>IF(BJ24&gt;0,INDEX(OperationalDetail,MATCH("Capacity Degradation",ODColumn,0),MATCH('Monthly Table'!C24,ODRow,0)),0)</f>
        <v>0</v>
      </c>
      <c r="BS24" s="994">
        <f>BJ24*(1-BR24)*Tables!$C$10</f>
        <v>0</v>
      </c>
      <c r="BT24" s="601">
        <f t="shared" si="15"/>
        <v>0</v>
      </c>
      <c r="BU24" s="601">
        <f t="shared" si="16"/>
        <v>0</v>
      </c>
      <c r="BV24" s="462"/>
      <c r="BW24" s="785">
        <f>$BO24*(1-$BR24)*Tables!$C$36</f>
        <v>0</v>
      </c>
      <c r="BX24" s="602">
        <f t="shared" si="34"/>
        <v>0</v>
      </c>
      <c r="BY24" s="601">
        <f t="shared" si="35"/>
        <v>0</v>
      </c>
      <c r="BZ24" s="462"/>
      <c r="CA24" s="785">
        <f>$BL24*(1-$BR24)*Tables!$C$36</f>
        <v>0</v>
      </c>
      <c r="CB24" s="602">
        <f t="shared" si="36"/>
        <v>0</v>
      </c>
      <c r="CC24" s="601">
        <f t="shared" si="37"/>
        <v>0</v>
      </c>
      <c r="CD24" s="785">
        <f>$BP24*(1-$BR24)*Tables!$C$36</f>
        <v>0</v>
      </c>
      <c r="CE24" s="602">
        <f t="shared" si="38"/>
        <v>0</v>
      </c>
      <c r="CF24" s="601">
        <f t="shared" si="39"/>
        <v>0</v>
      </c>
      <c r="CH24" s="785">
        <f>$BM24*(1-$BR24)*Tables!$C$36</f>
        <v>0</v>
      </c>
      <c r="CI24" s="602">
        <f t="shared" si="40"/>
        <v>0</v>
      </c>
      <c r="CJ24" s="601">
        <f t="shared" si="41"/>
        <v>0</v>
      </c>
      <c r="CK24" s="304"/>
      <c r="CL24" s="304">
        <f t="shared" si="42"/>
        <v>2001</v>
      </c>
      <c r="CM24" s="1018">
        <f>INDEX(OperationalDetail,MATCH("Degraded Heat Rate",ODColumn,0),MATCH('Monthly Table'!CL24,ODRow,0))/1000</f>
        <v>12.065606799999999</v>
      </c>
      <c r="CN24" s="737">
        <f t="shared" si="17"/>
        <v>58.633926720910708</v>
      </c>
      <c r="CO24" s="1019">
        <f>IF(A24="January",(CO23*(1+Assumptions!$E$32)),CO23)</f>
        <v>6.8703375000000015</v>
      </c>
      <c r="CP24" s="741">
        <f t="shared" si="18"/>
        <v>65.504264220910713</v>
      </c>
      <c r="CQ24" s="304"/>
      <c r="CR24" s="575" t="str">
        <f t="shared" si="43"/>
        <v/>
      </c>
      <c r="CS24" s="575" t="str">
        <f t="shared" si="44"/>
        <v/>
      </c>
      <c r="CT24" s="575" t="str">
        <f t="shared" si="45"/>
        <v/>
      </c>
      <c r="CU24" s="575" t="str">
        <f t="shared" si="46"/>
        <v/>
      </c>
      <c r="CV24" s="575" t="str">
        <f t="shared" si="47"/>
        <v/>
      </c>
      <c r="CW24" s="576">
        <f t="shared" si="19"/>
        <v>2002</v>
      </c>
      <c r="CX24" s="787">
        <f>INDEX('NY Curve'!$A$4:$G$256,MATCH('Monthly Table'!B24,'NY Curve'!$A$4:$A$256,0),MATCH("New York 5 X 16",'NY Curve'!$A$4:$G$4,0))</f>
        <v>32</v>
      </c>
      <c r="CY24" s="632">
        <f t="shared" si="20"/>
        <v>1.43036588367405</v>
      </c>
      <c r="CZ24" s="633">
        <f t="shared" si="21"/>
        <v>45.771708277569601</v>
      </c>
      <c r="DB24" s="857"/>
      <c r="DC24" s="857"/>
      <c r="DD24" s="500"/>
      <c r="DE24" s="745"/>
      <c r="DF24" s="858"/>
      <c r="DG24" s="755"/>
      <c r="DH24" s="755"/>
    </row>
    <row r="25" spans="1:112" ht="18.75" customHeight="1">
      <c r="A25" s="17" t="s">
        <v>439</v>
      </c>
      <c r="B25" s="508">
        <v>37316</v>
      </c>
      <c r="C25" s="43">
        <f t="shared" si="0"/>
        <v>2002</v>
      </c>
      <c r="D25" s="719">
        <f t="shared" si="48"/>
        <v>2</v>
      </c>
      <c r="E25" s="972">
        <v>21</v>
      </c>
      <c r="F25" s="971">
        <v>5</v>
      </c>
      <c r="G25" s="971">
        <v>5</v>
      </c>
      <c r="H25" s="971">
        <v>0</v>
      </c>
      <c r="I25" s="976">
        <f t="shared" si="22"/>
        <v>31</v>
      </c>
      <c r="J25" s="621"/>
      <c r="K25" s="572">
        <f>INDEX(FX!$A$3:$C$362,MATCH(B25,FX!$A$3:$A$362,0),MATCH("Monthly Curve",FX!$A$2:$C$2,0))</f>
        <v>1.4297405733562401</v>
      </c>
      <c r="L25" s="572"/>
      <c r="M25" s="1057">
        <v>2.7260000000000004</v>
      </c>
      <c r="N25" s="1067">
        <v>0.3</v>
      </c>
      <c r="O25" s="315">
        <v>0.02</v>
      </c>
      <c r="P25" s="797">
        <f t="shared" si="1"/>
        <v>0.32</v>
      </c>
      <c r="Q25" s="732">
        <f t="shared" si="2"/>
        <v>3.0460000000000003</v>
      </c>
      <c r="R25" s="722">
        <f>Assumptions!$B$34</f>
        <v>0.3124588923076923</v>
      </c>
      <c r="S25" s="730">
        <f t="shared" si="3"/>
        <v>4.6674486787507998</v>
      </c>
      <c r="T25" s="572"/>
      <c r="V25" s="581">
        <f>Assumptions!$B$42</f>
        <v>0</v>
      </c>
      <c r="W25" s="581">
        <v>6.5</v>
      </c>
      <c r="X25" s="629">
        <v>1</v>
      </c>
      <c r="Y25" s="783">
        <f>Assumptions!$B$7</f>
        <v>312</v>
      </c>
      <c r="Z25" s="570">
        <f t="shared" si="4"/>
        <v>0</v>
      </c>
      <c r="AA25" s="592">
        <f t="shared" si="5"/>
        <v>0</v>
      </c>
      <c r="AB25" s="589">
        <f t="shared" si="6"/>
        <v>0</v>
      </c>
      <c r="AC25" s="462"/>
      <c r="AD25" s="1027">
        <f>IF(Tables!$E$30="Michigan",INDEX('Michigan Curve'!$A$4:$S$256,MATCH('Monthly Table'!B25,'Michigan Curve'!$A$4:$A$256,0),MATCH("Michigan Selected Option Value US$/month",'Michigan Curve'!$A$4:$S$4,0)),INDEX('NY Curve'!$A$4:$T$256,MATCH('Monthly Table'!B25,'NY Curve'!$A$4:$A$256,0),MATCH("New York Selected Option Value US$/month",'NY Curve'!$A$4:$T$4,0)))</f>
        <v>11431.994658764659</v>
      </c>
      <c r="AE25" s="601">
        <f t="shared" si="23"/>
        <v>16344.786598027658</v>
      </c>
      <c r="AF25" s="462"/>
      <c r="AG25" s="915"/>
      <c r="AH25" s="462"/>
      <c r="AI25" s="799">
        <f>Assumptions!$B$50</f>
        <v>65</v>
      </c>
      <c r="AJ25" s="743"/>
      <c r="AK25" s="924">
        <f>IF(Tables!$E$30="Custom",'Monthly Table'!AI25,IF(Tables!$E$30="New York",INDEX('NY Curve'!$A$4:$G$256,MATCH('Monthly Table'!B25,'NY Curve'!$A$4:$A$256,0),MATCH("Super Peak Curve",'NY Curve'!$A$4:$G$4,0)),IF(Tables!$E$30="New York Flat",INDEX('NY Curve'!$A$4:$G$256,MATCH('Monthly Table'!B25,'NY Curve'!$A$4:$A$256,0),MATCH("Flat NY West",'NY Curve'!$A$4:$G$4,0)),INDEX('Michigan Curve'!$A$4:$F$256,MATCH('Monthly Table'!B25,'Michigan Curve'!$A$4:$A$256,0),MATCH("Michigan Super Peak Curve US$/MWhr",'Michigan Curve'!$A$4:$F$4,0)))))</f>
        <v>24.990000000000002</v>
      </c>
      <c r="AL25" s="965">
        <f>IF(D25&lt;=Tables!$B$21,IF($AL$10=$AI$10,AI25,IF($AL$10=$AJ$10,AJ25,IF($AL$10=$AK$10,AK25,0))),0)</f>
        <v>24.990000000000002</v>
      </c>
      <c r="AM25" s="708">
        <f t="shared" si="24"/>
        <v>35.729216928172441</v>
      </c>
      <c r="AN25" s="916">
        <f t="shared" si="25"/>
        <v>0</v>
      </c>
      <c r="AO25" s="905"/>
      <c r="AP25" s="925"/>
      <c r="AQ25" s="926">
        <f>IF(Tables!$E$30="New York",INDEX('NY Curve'!$A$4:$L$256,MATCH('Monthly Table'!B25,'NY Curve'!$A$4:$A$256,0),MATCH("New York Shoulder Hour Curve Mon-Fri",'NY Curve'!$A$4:$L$4,0)),IF(Tables!$E$30="Michigan",INDEX('Michigan Curve'!$A$4:$K$256,MATCH('Monthly Table'!B25,'Michigan Curve'!$A$4:$A$256,0),MATCH("Michigan Shoulder Hour Curve Mon-Fri",'Michigan Curve'!$A$4:$K$4,0))))</f>
        <v>24.009999999999998</v>
      </c>
      <c r="AR25" s="708">
        <f t="shared" si="26"/>
        <v>34.328071166283323</v>
      </c>
      <c r="AS25" s="927">
        <f t="shared" si="7"/>
        <v>0</v>
      </c>
      <c r="AT25" s="462"/>
      <c r="AU25" s="926">
        <f>IF(Tables!$E$30="New York",INDEX('NY Curve'!$A$4:$L$256,MATCH('Monthly Table'!$B25,'NY Curve'!$A$4:$A$256,0),MATCH("New York Saturday Super Peak",'NY Curve'!$A$4:$L$4,0)),IF(Tables!$E$30="Michigan",INDEX('Michigan Curve'!$A$4:$K$256,MATCH('Monthly Table'!$B25,'Michigan Curve'!$A$4:$A$256,0),MATCH("Michigan Saturday Super Peak",'Michigan Curve'!$A$4:$K$4,0))))</f>
        <v>20.399999999999999</v>
      </c>
      <c r="AV25" s="925">
        <f t="shared" si="8"/>
        <v>29.166707696467295</v>
      </c>
      <c r="AW25" s="927">
        <f t="shared" si="9"/>
        <v>0</v>
      </c>
      <c r="AX25" s="926">
        <f>IF(Tables!$E$30="New York",INDEX('NY Curve'!$A$4:$L$256,MATCH('Monthly Table'!$B25,'NY Curve'!$A$4:$A$256,0),MATCH("New York Saturday Shoulder Peak",'NY Curve'!$A$4:$L$4,0)),IF(Tables!$E$30="Michigan",INDEX('Michigan Curve'!$A$4:$K$256,MATCH('Monthly Table'!$B25,'Michigan Curve'!$A$4:$A$256,0),MATCH("Michigan Saturday Shoulder Peak",'Michigan Curve'!$A$4:$K$4,0))))</f>
        <v>19.600000000000001</v>
      </c>
      <c r="AY25" s="934">
        <f t="shared" si="27"/>
        <v>28.022915237782307</v>
      </c>
      <c r="AZ25" s="927">
        <f t="shared" si="10"/>
        <v>0</v>
      </c>
      <c r="BA25" s="462"/>
      <c r="BB25" s="926">
        <f>IF(Tables!$E$30="New York",INDEX('NY Curve'!$A$4:$M$256,MATCH('Monthly Table'!$B25,'NY Curve'!$A$4:$A$256,0),MATCH("NY Sunday Super Peak",'NY Curve'!$A$4:$M$4,0)),IF(Tables!$E$30="Michigan",INDEX('Michigan Curve'!$A$4:$L$256,MATCH('Monthly Table'!$B25,'Michigan Curve'!$A$4:$A$256,0),MATCH("Michigan Sunday Super Peak",'Michigan Curve'!$A$4:$L$4,0))))</f>
        <v>19.38</v>
      </c>
      <c r="BC25" s="925">
        <f t="shared" si="28"/>
        <v>27.708372311643931</v>
      </c>
      <c r="BD25" s="927">
        <f t="shared" si="11"/>
        <v>0</v>
      </c>
      <c r="BE25" s="462"/>
      <c r="BF25" s="598">
        <f t="shared" si="12"/>
        <v>37316</v>
      </c>
      <c r="BG25" s="583">
        <f t="shared" si="29"/>
        <v>0</v>
      </c>
      <c r="BH25" s="583">
        <f t="shared" si="13"/>
        <v>0</v>
      </c>
      <c r="BI25" s="315">
        <f t="shared" si="30"/>
        <v>0</v>
      </c>
      <c r="BJ25" s="987">
        <f>IF('Monthly Table'!D25&lt;=Tables!$B$21,IF($BJ$10=$BG$10,BG25,IF($BJ$10=$BH$10,BH25,IF($BJ$10=$BI$10,BI25,0))),0)</f>
        <v>0</v>
      </c>
      <c r="BK25" s="43"/>
      <c r="BL25" s="987">
        <f t="shared" si="31"/>
        <v>0</v>
      </c>
      <c r="BM25" s="987">
        <f t="shared" si="32"/>
        <v>0</v>
      </c>
      <c r="BO25" s="987">
        <f t="shared" si="14"/>
        <v>0</v>
      </c>
      <c r="BP25" s="987">
        <f t="shared" si="33"/>
        <v>0</v>
      </c>
      <c r="BR25" s="993">
        <f>IF(BJ25&gt;0,INDEX(OperationalDetail,MATCH("Capacity Degradation",ODColumn,0),MATCH('Monthly Table'!C25,ODRow,0)),0)</f>
        <v>0</v>
      </c>
      <c r="BS25" s="994">
        <f>BJ25*(1-BR25)*Tables!$C$10</f>
        <v>0</v>
      </c>
      <c r="BT25" s="601">
        <f t="shared" si="15"/>
        <v>0</v>
      </c>
      <c r="BU25" s="601">
        <f t="shared" si="16"/>
        <v>0</v>
      </c>
      <c r="BV25" s="462"/>
      <c r="BW25" s="785">
        <f>$BO25*(1-$BR25)*Tables!$C$36</f>
        <v>0</v>
      </c>
      <c r="BX25" s="602">
        <f t="shared" si="34"/>
        <v>0</v>
      </c>
      <c r="BY25" s="601">
        <f t="shared" si="35"/>
        <v>0</v>
      </c>
      <c r="BZ25" s="462"/>
      <c r="CA25" s="785">
        <f>$BL25*(1-$BR25)*Tables!$C$36</f>
        <v>0</v>
      </c>
      <c r="CB25" s="602">
        <f t="shared" si="36"/>
        <v>0</v>
      </c>
      <c r="CC25" s="601">
        <f t="shared" si="37"/>
        <v>0</v>
      </c>
      <c r="CD25" s="785">
        <f>$BP25*(1-$BR25)*Tables!$C$36</f>
        <v>0</v>
      </c>
      <c r="CE25" s="602">
        <f t="shared" si="38"/>
        <v>0</v>
      </c>
      <c r="CF25" s="601">
        <f t="shared" si="39"/>
        <v>0</v>
      </c>
      <c r="CH25" s="785">
        <f>$BM25*(1-$BR25)*Tables!$C$36</f>
        <v>0</v>
      </c>
      <c r="CI25" s="602">
        <f t="shared" si="40"/>
        <v>0</v>
      </c>
      <c r="CJ25" s="601">
        <f t="shared" si="41"/>
        <v>0</v>
      </c>
      <c r="CK25" s="304"/>
      <c r="CL25" s="304">
        <f t="shared" si="42"/>
        <v>2001</v>
      </c>
      <c r="CM25" s="1018">
        <f>INDEX(OperationalDetail,MATCH("Degraded Heat Rate",ODColumn,0),MATCH('Monthly Table'!CL25,ODRow,0))/1000</f>
        <v>12.065606799999999</v>
      </c>
      <c r="CN25" s="737">
        <f t="shared" si="17"/>
        <v>56.315600516986663</v>
      </c>
      <c r="CO25" s="1019">
        <f>IF(A25="January",(CO24*(1+Assumptions!$E$32)),CO24)</f>
        <v>6.8703375000000015</v>
      </c>
      <c r="CP25" s="741">
        <f t="shared" si="18"/>
        <v>63.185938016986668</v>
      </c>
      <c r="CQ25" s="304"/>
      <c r="CR25" s="575" t="str">
        <f t="shared" si="43"/>
        <v/>
      </c>
      <c r="CS25" s="575" t="str">
        <f t="shared" si="44"/>
        <v/>
      </c>
      <c r="CT25" s="575" t="str">
        <f t="shared" si="45"/>
        <v/>
      </c>
      <c r="CU25" s="575" t="str">
        <f t="shared" si="46"/>
        <v/>
      </c>
      <c r="CV25" s="575" t="str">
        <f t="shared" si="47"/>
        <v/>
      </c>
      <c r="CW25" s="576">
        <f t="shared" si="19"/>
        <v>2002</v>
      </c>
      <c r="CX25" s="787">
        <f>INDEX('NY Curve'!$A$4:$G$256,MATCH('Monthly Table'!B25,'NY Curve'!$A$4:$A$256,0),MATCH("New York 5 X 16",'NY Curve'!$A$4:$G$4,0))</f>
        <v>27</v>
      </c>
      <c r="CY25" s="632">
        <f t="shared" si="20"/>
        <v>1.4297405733562401</v>
      </c>
      <c r="CZ25" s="633">
        <f t="shared" si="21"/>
        <v>38.602995480618482</v>
      </c>
      <c r="DB25" s="857"/>
      <c r="DC25" s="857"/>
      <c r="DD25" s="500"/>
      <c r="DE25" s="745"/>
      <c r="DF25" s="777"/>
      <c r="DG25" s="755"/>
      <c r="DH25" s="755"/>
    </row>
    <row r="26" spans="1:112" ht="18.75" customHeight="1">
      <c r="A26" s="17" t="s">
        <v>440</v>
      </c>
      <c r="B26" s="508">
        <v>37347</v>
      </c>
      <c r="C26" s="43">
        <f t="shared" si="0"/>
        <v>2002</v>
      </c>
      <c r="D26" s="719">
        <f t="shared" si="48"/>
        <v>2</v>
      </c>
      <c r="E26" s="972">
        <v>22</v>
      </c>
      <c r="F26" s="971">
        <v>4</v>
      </c>
      <c r="G26" s="971">
        <v>4</v>
      </c>
      <c r="H26" s="971">
        <v>0</v>
      </c>
      <c r="I26" s="976">
        <f t="shared" si="22"/>
        <v>30</v>
      </c>
      <c r="J26" s="621"/>
      <c r="K26" s="572">
        <f>INDEX(FX!$A$3:$C$362,MATCH(B26,FX!$A$3:$A$362,0),MATCH("Monthly Curve",FX!$A$2:$C$2,0))</f>
        <v>1.4291346109185701</v>
      </c>
      <c r="L26" s="572"/>
      <c r="M26" s="1057">
        <v>2.6280000000000001</v>
      </c>
      <c r="N26" s="1067">
        <v>0.13500000000000001</v>
      </c>
      <c r="O26" s="315">
        <v>0.02</v>
      </c>
      <c r="P26" s="797">
        <f t="shared" si="1"/>
        <v>0.155</v>
      </c>
      <c r="Q26" s="732">
        <f t="shared" si="2"/>
        <v>2.7829999999999999</v>
      </c>
      <c r="R26" s="722">
        <f>Assumptions!$B$34</f>
        <v>0.3124588923076923</v>
      </c>
      <c r="S26" s="730">
        <f t="shared" si="3"/>
        <v>4.2897405144940723</v>
      </c>
      <c r="T26" s="572"/>
      <c r="V26" s="581">
        <f>Assumptions!$B$42</f>
        <v>0</v>
      </c>
      <c r="W26" s="581">
        <v>6.5</v>
      </c>
      <c r="X26" s="629">
        <v>1</v>
      </c>
      <c r="Y26" s="783">
        <f>Assumptions!$B$7</f>
        <v>312</v>
      </c>
      <c r="Z26" s="570">
        <f t="shared" si="4"/>
        <v>0</v>
      </c>
      <c r="AA26" s="592">
        <f t="shared" si="5"/>
        <v>0</v>
      </c>
      <c r="AB26" s="589">
        <f t="shared" si="6"/>
        <v>0</v>
      </c>
      <c r="AC26" s="462"/>
      <c r="AD26" s="1027">
        <f>IF(Tables!$E$30="Michigan",INDEX('Michigan Curve'!$A$4:$S$256,MATCH('Monthly Table'!B26,'Michigan Curve'!$A$4:$A$256,0),MATCH("Michigan Selected Option Value US$/month",'Michigan Curve'!$A$4:$S$4,0)),INDEX('NY Curve'!$A$4:$T$256,MATCH('Monthly Table'!B26,'NY Curve'!$A$4:$A$256,0),MATCH("New York Selected Option Value US$/month",'NY Curve'!$A$4:$T$4,0)))</f>
        <v>23357.133735394764</v>
      </c>
      <c r="AE26" s="601">
        <f t="shared" si="23"/>
        <v>33380.4882331064</v>
      </c>
      <c r="AF26" s="462"/>
      <c r="AG26" s="915"/>
      <c r="AH26" s="462"/>
      <c r="AI26" s="799">
        <f>Assumptions!$B$50</f>
        <v>65</v>
      </c>
      <c r="AJ26" s="743"/>
      <c r="AK26" s="924">
        <f>IF(Tables!$E$30="Custom",'Monthly Table'!AI26,IF(Tables!$E$30="New York",INDEX('NY Curve'!$A$4:$G$256,MATCH('Monthly Table'!B26,'NY Curve'!$A$4:$A$256,0),MATCH("Super Peak Curve",'NY Curve'!$A$4:$G$4,0)),IF(Tables!$E$30="New York Flat",INDEX('NY Curve'!$A$4:$G$256,MATCH('Monthly Table'!B26,'NY Curve'!$A$4:$A$256,0),MATCH("Flat NY West",'NY Curve'!$A$4:$G$4,0)),INDEX('Michigan Curve'!$A$4:$F$256,MATCH('Monthly Table'!B26,'Michigan Curve'!$A$4:$A$256,0),MATCH("Michigan Super Peak Curve US$/MWhr",'Michigan Curve'!$A$4:$F$4,0)))))</f>
        <v>24.75</v>
      </c>
      <c r="AL26" s="965">
        <f>IF(D26&lt;=Tables!$B$21,IF($AL$10=$AI$10,AI26,IF($AL$10=$AJ$10,AJ26,IF($AL$10=$AK$10,AK26,0))),0)</f>
        <v>24.75</v>
      </c>
      <c r="AM26" s="708">
        <f t="shared" si="24"/>
        <v>35.371081620234612</v>
      </c>
      <c r="AN26" s="916">
        <f t="shared" si="25"/>
        <v>0</v>
      </c>
      <c r="AO26" s="905"/>
      <c r="AP26" s="925"/>
      <c r="AQ26" s="926">
        <f>IF(Tables!$E$30="New York",INDEX('NY Curve'!$A$4:$L$256,MATCH('Monthly Table'!B26,'NY Curve'!$A$4:$A$256,0),MATCH("New York Shoulder Hour Curve Mon-Fri",'NY Curve'!$A$4:$L$4,0)),IF(Tables!$E$30="Michigan",INDEX('Michigan Curve'!$A$4:$K$256,MATCH('Monthly Table'!B26,'Michigan Curve'!$A$4:$A$256,0),MATCH("Michigan Shoulder Hour Curve Mon-Fri",'Michigan Curve'!$A$4:$K$4,0))))</f>
        <v>24.75</v>
      </c>
      <c r="AR26" s="708">
        <f t="shared" si="26"/>
        <v>35.371081620234612</v>
      </c>
      <c r="AS26" s="927">
        <f t="shared" si="7"/>
        <v>0</v>
      </c>
      <c r="AT26" s="462"/>
      <c r="AU26" s="926">
        <f>IF(Tables!$E$30="New York",INDEX('NY Curve'!$A$4:$L$256,MATCH('Monthly Table'!$B26,'NY Curve'!$A$4:$A$256,0),MATCH("New York Saturday Super Peak",'NY Curve'!$A$4:$L$4,0)),IF(Tables!$E$30="Michigan",INDEX('Michigan Curve'!$A$4:$K$256,MATCH('Monthly Table'!$B26,'Michigan Curve'!$A$4:$A$256,0),MATCH("Michigan Saturday Super Peak",'Michigan Curve'!$A$4:$K$4,0))))</f>
        <v>20</v>
      </c>
      <c r="AV26" s="925">
        <f t="shared" si="8"/>
        <v>28.582692218371403</v>
      </c>
      <c r="AW26" s="927">
        <f t="shared" si="9"/>
        <v>0</v>
      </c>
      <c r="AX26" s="926">
        <f>IF(Tables!$E$30="New York",INDEX('NY Curve'!$A$4:$L$256,MATCH('Monthly Table'!$B26,'NY Curve'!$A$4:$A$256,0),MATCH("New York Saturday Shoulder Peak",'NY Curve'!$A$4:$L$4,0)),IF(Tables!$E$30="Michigan",INDEX('Michigan Curve'!$A$4:$K$256,MATCH('Monthly Table'!$B26,'Michigan Curve'!$A$4:$A$256,0),MATCH("Michigan Saturday Shoulder Peak",'Michigan Curve'!$A$4:$K$4,0))))</f>
        <v>20</v>
      </c>
      <c r="AY26" s="934">
        <f t="shared" si="27"/>
        <v>28.582692218371403</v>
      </c>
      <c r="AZ26" s="927">
        <f t="shared" si="10"/>
        <v>0</v>
      </c>
      <c r="BA26" s="462"/>
      <c r="BB26" s="926">
        <f>IF(Tables!$E$30="New York",INDEX('NY Curve'!$A$4:$M$256,MATCH('Monthly Table'!$B26,'NY Curve'!$A$4:$A$256,0),MATCH("NY Sunday Super Peak",'NY Curve'!$A$4:$M$4,0)),IF(Tables!$E$30="Michigan",INDEX('Michigan Curve'!$A$4:$L$256,MATCH('Monthly Table'!$B26,'Michigan Curve'!$A$4:$A$256,0),MATCH("Michigan Sunday Super Peak",'Michigan Curve'!$A$4:$L$4,0))))</f>
        <v>18.995000839233398</v>
      </c>
      <c r="BC26" s="925">
        <f t="shared" si="28"/>
        <v>27.146413133775734</v>
      </c>
      <c r="BD26" s="927">
        <f t="shared" si="11"/>
        <v>0</v>
      </c>
      <c r="BE26" s="462"/>
      <c r="BF26" s="598">
        <f t="shared" si="12"/>
        <v>37347</v>
      </c>
      <c r="BG26" s="583">
        <f t="shared" si="29"/>
        <v>0</v>
      </c>
      <c r="BH26" s="583">
        <f t="shared" si="13"/>
        <v>0</v>
      </c>
      <c r="BI26" s="315">
        <f t="shared" si="30"/>
        <v>0</v>
      </c>
      <c r="BJ26" s="987">
        <f>IF('Monthly Table'!D26&lt;=Tables!$B$21,IF($BJ$10=$BG$10,BG26,IF($BJ$10=$BH$10,BH26,IF($BJ$10=$BI$10,BI26,0))),0)</f>
        <v>0</v>
      </c>
      <c r="BK26" s="43"/>
      <c r="BL26" s="987">
        <f t="shared" si="31"/>
        <v>0</v>
      </c>
      <c r="BM26" s="987">
        <f t="shared" si="32"/>
        <v>0</v>
      </c>
      <c r="BO26" s="987">
        <f t="shared" si="14"/>
        <v>0</v>
      </c>
      <c r="BP26" s="987">
        <f t="shared" si="33"/>
        <v>0</v>
      </c>
      <c r="BR26" s="993">
        <f>IF(BJ26&gt;0,INDEX(OperationalDetail,MATCH("Capacity Degradation",ODColumn,0),MATCH('Monthly Table'!C26,ODRow,0)),0)</f>
        <v>0</v>
      </c>
      <c r="BS26" s="994">
        <f>BJ26*(1-BR26)*Tables!$C$10</f>
        <v>0</v>
      </c>
      <c r="BT26" s="601">
        <f t="shared" si="15"/>
        <v>0</v>
      </c>
      <c r="BU26" s="601">
        <f t="shared" si="16"/>
        <v>0</v>
      </c>
      <c r="BV26" s="462"/>
      <c r="BW26" s="785">
        <f>$BO26*(1-$BR26)*Tables!$C$36</f>
        <v>0</v>
      </c>
      <c r="BX26" s="602">
        <f t="shared" si="34"/>
        <v>0</v>
      </c>
      <c r="BY26" s="601">
        <f t="shared" si="35"/>
        <v>0</v>
      </c>
      <c r="BZ26" s="462"/>
      <c r="CA26" s="785">
        <f>$BL26*(1-$BR26)*Tables!$C$36</f>
        <v>0</v>
      </c>
      <c r="CB26" s="602">
        <f t="shared" si="36"/>
        <v>0</v>
      </c>
      <c r="CC26" s="601">
        <f t="shared" si="37"/>
        <v>0</v>
      </c>
      <c r="CD26" s="785">
        <f>$BP26*(1-$BR26)*Tables!$C$36</f>
        <v>0</v>
      </c>
      <c r="CE26" s="602">
        <f t="shared" si="38"/>
        <v>0</v>
      </c>
      <c r="CF26" s="601">
        <f t="shared" si="39"/>
        <v>0</v>
      </c>
      <c r="CH26" s="785">
        <f>$BM26*(1-$BR26)*Tables!$C$36</f>
        <v>0</v>
      </c>
      <c r="CI26" s="602">
        <f t="shared" si="40"/>
        <v>0</v>
      </c>
      <c r="CJ26" s="601">
        <f t="shared" si="41"/>
        <v>0</v>
      </c>
      <c r="CK26" s="304"/>
      <c r="CL26" s="304">
        <f t="shared" si="42"/>
        <v>2001</v>
      </c>
      <c r="CM26" s="1018">
        <f>INDEX(OperationalDetail,MATCH("Degraded Heat Rate",ODColumn,0),MATCH('Monthly Table'!CL26,ODRow,0))/1000</f>
        <v>12.065606799999999</v>
      </c>
      <c r="CN26" s="737">
        <f t="shared" si="17"/>
        <v>51.758322321915173</v>
      </c>
      <c r="CO26" s="1019">
        <f>IF(A26="January",(CO25*(1+Assumptions!$E$32)),CO25)</f>
        <v>6.8703375000000015</v>
      </c>
      <c r="CP26" s="741">
        <f t="shared" si="18"/>
        <v>58.628659821915178</v>
      </c>
      <c r="CQ26" s="304"/>
      <c r="CR26" s="575" t="str">
        <f t="shared" si="43"/>
        <v/>
      </c>
      <c r="CS26" s="575" t="str">
        <f t="shared" si="44"/>
        <v/>
      </c>
      <c r="CT26" s="575" t="str">
        <f t="shared" si="45"/>
        <v/>
      </c>
      <c r="CU26" s="575" t="str">
        <f t="shared" si="46"/>
        <v/>
      </c>
      <c r="CV26" s="575" t="str">
        <f t="shared" si="47"/>
        <v/>
      </c>
      <c r="CW26" s="576">
        <f t="shared" si="19"/>
        <v>2002</v>
      </c>
      <c r="CX26" s="787">
        <f>INDEX('NY Curve'!$A$4:$G$256,MATCH('Monthly Table'!B26,'NY Curve'!$A$4:$A$256,0),MATCH("New York 5 X 16",'NY Curve'!$A$4:$G$4,0))</f>
        <v>25.75</v>
      </c>
      <c r="CY26" s="632">
        <f t="shared" si="20"/>
        <v>1.4291346109185701</v>
      </c>
      <c r="CZ26" s="633">
        <f t="shared" si="21"/>
        <v>36.800216231153179</v>
      </c>
      <c r="DB26" s="857"/>
      <c r="DC26" s="857"/>
      <c r="DD26" s="17"/>
      <c r="DE26" s="17"/>
      <c r="DF26" s="17"/>
      <c r="DG26" s="17"/>
    </row>
    <row r="27" spans="1:112" ht="18.75" customHeight="1">
      <c r="A27" s="17" t="s">
        <v>441</v>
      </c>
      <c r="B27" s="508">
        <v>37377</v>
      </c>
      <c r="C27" s="43">
        <f t="shared" si="0"/>
        <v>2002</v>
      </c>
      <c r="D27" s="719">
        <f t="shared" si="48"/>
        <v>2</v>
      </c>
      <c r="E27" s="972">
        <v>22</v>
      </c>
      <c r="F27" s="971">
        <v>4</v>
      </c>
      <c r="G27" s="971">
        <v>4</v>
      </c>
      <c r="H27" s="971">
        <v>1</v>
      </c>
      <c r="I27" s="976">
        <f t="shared" si="22"/>
        <v>31</v>
      </c>
      <c r="J27" s="621"/>
      <c r="K27" s="572">
        <f>INDEX(FX!$A$3:$C$362,MATCH(B27,FX!$A$3:$A$362,0),MATCH("Monthly Curve",FX!$A$2:$C$2,0))</f>
        <v>1.4281177975516</v>
      </c>
      <c r="L27" s="572"/>
      <c r="M27" s="1057">
        <v>2.6019999999999999</v>
      </c>
      <c r="N27" s="1067">
        <v>0.13500000000000001</v>
      </c>
      <c r="O27" s="315">
        <v>0.02</v>
      </c>
      <c r="P27" s="797">
        <f t="shared" si="1"/>
        <v>0.155</v>
      </c>
      <c r="Q27" s="732">
        <f t="shared" si="2"/>
        <v>2.7570000000000001</v>
      </c>
      <c r="R27" s="722">
        <f>Assumptions!$B$34</f>
        <v>0.3124588923076923</v>
      </c>
      <c r="S27" s="730">
        <f t="shared" si="3"/>
        <v>4.2497796601574533</v>
      </c>
      <c r="T27" s="572"/>
      <c r="V27" s="581">
        <f>Assumptions!$B$42</f>
        <v>0</v>
      </c>
      <c r="W27" s="581">
        <v>6.5</v>
      </c>
      <c r="X27" s="629">
        <v>1</v>
      </c>
      <c r="Y27" s="783">
        <f>Assumptions!$B$7</f>
        <v>312</v>
      </c>
      <c r="Z27" s="570">
        <f t="shared" si="4"/>
        <v>0</v>
      </c>
      <c r="AA27" s="592">
        <f t="shared" si="5"/>
        <v>0</v>
      </c>
      <c r="AB27" s="589">
        <f t="shared" si="6"/>
        <v>0</v>
      </c>
      <c r="AC27" s="462"/>
      <c r="AD27" s="1027">
        <f>IF(Tables!$E$30="Michigan",INDEX('Michigan Curve'!$A$4:$S$256,MATCH('Monthly Table'!B27,'Michigan Curve'!$A$4:$A$256,0),MATCH("Michigan Selected Option Value US$/month",'Michigan Curve'!$A$4:$S$4,0)),INDEX('NY Curve'!$A$4:$T$256,MATCH('Monthly Table'!B27,'NY Curve'!$A$4:$A$256,0),MATCH("New York Selected Option Value US$/month",'NY Curve'!$A$4:$T$4,0)))</f>
        <v>190839.83613870625</v>
      </c>
      <c r="AE27" s="601">
        <f t="shared" si="23"/>
        <v>272541.76647151739</v>
      </c>
      <c r="AF27" s="462"/>
      <c r="AG27" s="915"/>
      <c r="AH27" s="462"/>
      <c r="AI27" s="799">
        <f>Assumptions!$B$50</f>
        <v>65</v>
      </c>
      <c r="AJ27" s="743"/>
      <c r="AK27" s="924">
        <f>IF(Tables!$E$30="Custom",'Monthly Table'!AI27,IF(Tables!$E$30="New York",INDEX('NY Curve'!$A$4:$G$256,MATCH('Monthly Table'!B27,'NY Curve'!$A$4:$A$256,0),MATCH("Super Peak Curve",'NY Curve'!$A$4:$G$4,0)),IF(Tables!$E$30="New York Flat",INDEX('NY Curve'!$A$4:$G$256,MATCH('Monthly Table'!B27,'NY Curve'!$A$4:$A$256,0),MATCH("Flat NY West",'NY Curve'!$A$4:$G$4,0)),INDEX('Michigan Curve'!$A$4:$F$256,MATCH('Monthly Table'!B27,'Michigan Curve'!$A$4:$A$256,0),MATCH("Michigan Super Peak Curve US$/MWhr",'Michigan Curve'!$A$4:$F$4,0)))))</f>
        <v>30.942187551409006</v>
      </c>
      <c r="AL27" s="965">
        <f>IF(D27&lt;=Tables!$B$21,IF($AL$10=$AI$10,AI27,IF($AL$10=$AJ$10,AJ27,IF($AL$10=$AK$10,AK27,0))),0)</f>
        <v>30.942187551409006</v>
      </c>
      <c r="AM27" s="708">
        <f t="shared" si="24"/>
        <v>44.189088737346765</v>
      </c>
      <c r="AN27" s="916">
        <f t="shared" si="25"/>
        <v>0</v>
      </c>
      <c r="AO27" s="905"/>
      <c r="AP27" s="925"/>
      <c r="AQ27" s="926">
        <f>IF(Tables!$E$30="New York",INDEX('NY Curve'!$A$4:$L$256,MATCH('Monthly Table'!B27,'NY Curve'!$A$4:$A$256,0),MATCH("New York Shoulder Hour Curve Mon-Fri",'NY Curve'!$A$4:$L$4,0)),IF(Tables!$E$30="Michigan",INDEX('Michigan Curve'!$A$4:$K$256,MATCH('Monthly Table'!B27,'Michigan Curve'!$A$4:$A$256,0),MATCH("Michigan Shoulder Hour Curve Mon-Fri",'Michigan Curve'!$A$4:$K$4,0))))</f>
        <v>26.557812448590994</v>
      </c>
      <c r="AR27" s="708">
        <f t="shared" si="26"/>
        <v>37.927684621870235</v>
      </c>
      <c r="AS27" s="927">
        <f t="shared" si="7"/>
        <v>0</v>
      </c>
      <c r="AT27" s="462"/>
      <c r="AU27" s="926">
        <f>IF(Tables!$E$30="New York",INDEX('NY Curve'!$A$4:$L$256,MATCH('Monthly Table'!$B27,'NY Curve'!$A$4:$A$256,0),MATCH("New York Saturday Super Peak",'NY Curve'!$A$4:$L$4,0)),IF(Tables!$E$30="Michigan",INDEX('Michigan Curve'!$A$4:$K$256,MATCH('Monthly Table'!$B27,'Michigan Curve'!$A$4:$A$256,0),MATCH("Michigan Saturday Super Peak",'Michigan Curve'!$A$4:$K$4,0))))</f>
        <v>22.601250037550926</v>
      </c>
      <c r="AV27" s="925">
        <f t="shared" si="8"/>
        <v>32.277247425540246</v>
      </c>
      <c r="AW27" s="927">
        <f t="shared" si="9"/>
        <v>0</v>
      </c>
      <c r="AX27" s="926">
        <f>IF(Tables!$E$30="New York",INDEX('NY Curve'!$A$4:$L$256,MATCH('Monthly Table'!$B27,'NY Curve'!$A$4:$A$256,0),MATCH("New York Saturday Shoulder Peak",'NY Curve'!$A$4:$L$4,0)),IF(Tables!$E$30="Michigan",INDEX('Michigan Curve'!$A$4:$K$256,MATCH('Monthly Table'!$B27,'Michigan Curve'!$A$4:$A$256,0),MATCH("Michigan Saturday Shoulder Peak",'Michigan Curve'!$A$4:$K$4,0))))</f>
        <v>19.398749962449074</v>
      </c>
      <c r="AY27" s="934">
        <f t="shared" si="27"/>
        <v>27.703700071626955</v>
      </c>
      <c r="AZ27" s="927">
        <f t="shared" si="10"/>
        <v>0</v>
      </c>
      <c r="BA27" s="462"/>
      <c r="BB27" s="926">
        <f>IF(Tables!$E$30="New York",INDEX('NY Curve'!$A$4:$M$256,MATCH('Monthly Table'!$B27,'NY Curve'!$A$4:$A$256,0),MATCH("NY Sunday Super Peak",'NY Curve'!$A$4:$M$4,0)),IF(Tables!$E$30="Michigan",INDEX('Michigan Curve'!$A$4:$L$256,MATCH('Monthly Table'!$B27,'Michigan Curve'!$A$4:$A$256,0),MATCH("Michigan Sunday Super Peak",'Michigan Curve'!$A$4:$L$4,0))))</f>
        <v>21.530380382546781</v>
      </c>
      <c r="BC27" s="925">
        <f t="shared" si="28"/>
        <v>30.747919412370884</v>
      </c>
      <c r="BD27" s="927">
        <f t="shared" si="11"/>
        <v>0</v>
      </c>
      <c r="BE27" s="462"/>
      <c r="BF27" s="598">
        <f t="shared" si="12"/>
        <v>37377</v>
      </c>
      <c r="BG27" s="583">
        <f t="shared" si="29"/>
        <v>0</v>
      </c>
      <c r="BH27" s="583">
        <f t="shared" si="13"/>
        <v>0</v>
      </c>
      <c r="BI27" s="315">
        <f t="shared" si="30"/>
        <v>0</v>
      </c>
      <c r="BJ27" s="987">
        <f>IF('Monthly Table'!D27&lt;=Tables!$B$21,IF($BJ$10=$BG$10,BG27,IF($BJ$10=$BH$10,BH27,IF($BJ$10=$BI$10,BI27,0))),0)</f>
        <v>0</v>
      </c>
      <c r="BK27" s="43"/>
      <c r="BL27" s="987">
        <f t="shared" si="31"/>
        <v>0</v>
      </c>
      <c r="BM27" s="987">
        <f t="shared" si="32"/>
        <v>0</v>
      </c>
      <c r="BO27" s="987">
        <f t="shared" si="14"/>
        <v>0</v>
      </c>
      <c r="BP27" s="987">
        <f t="shared" si="33"/>
        <v>0</v>
      </c>
      <c r="BR27" s="993">
        <f>IF(BJ27&gt;0,INDEX(OperationalDetail,MATCH("Capacity Degradation",ODColumn,0),MATCH('Monthly Table'!C27,ODRow,0)),0)</f>
        <v>0</v>
      </c>
      <c r="BS27" s="994">
        <f>BJ27*(1-BR27)*Tables!$C$10</f>
        <v>0</v>
      </c>
      <c r="BT27" s="601">
        <f t="shared" si="15"/>
        <v>0</v>
      </c>
      <c r="BU27" s="601">
        <f t="shared" si="16"/>
        <v>0</v>
      </c>
      <c r="BV27" s="462"/>
      <c r="BW27" s="785">
        <f>$BO27*(1-$BR27)*Tables!$C$36</f>
        <v>0</v>
      </c>
      <c r="BX27" s="602">
        <f t="shared" si="34"/>
        <v>0</v>
      </c>
      <c r="BY27" s="601">
        <f t="shared" si="35"/>
        <v>0</v>
      </c>
      <c r="BZ27" s="462"/>
      <c r="CA27" s="785">
        <f>$BL27*(1-$BR27)*Tables!$C$36</f>
        <v>0</v>
      </c>
      <c r="CB27" s="602">
        <f t="shared" si="36"/>
        <v>0</v>
      </c>
      <c r="CC27" s="601">
        <f t="shared" si="37"/>
        <v>0</v>
      </c>
      <c r="CD27" s="785">
        <f>$BP27*(1-$BR27)*Tables!$C$36</f>
        <v>0</v>
      </c>
      <c r="CE27" s="602">
        <f t="shared" si="38"/>
        <v>0</v>
      </c>
      <c r="CF27" s="601">
        <f t="shared" si="39"/>
        <v>0</v>
      </c>
      <c r="CH27" s="785">
        <f>$BM27*(1-$BR27)*Tables!$C$36</f>
        <v>0</v>
      </c>
      <c r="CI27" s="602">
        <f t="shared" si="40"/>
        <v>0</v>
      </c>
      <c r="CJ27" s="601">
        <f t="shared" si="41"/>
        <v>0</v>
      </c>
      <c r="CK27" s="304"/>
      <c r="CL27" s="304">
        <f t="shared" si="42"/>
        <v>2001</v>
      </c>
      <c r="CM27" s="1018">
        <f>INDEX(OperationalDetail,MATCH("Degraded Heat Rate",ODColumn,0),MATCH('Monthly Table'!CL27,ODRow,0))/1000</f>
        <v>12.065606799999999</v>
      </c>
      <c r="CN27" s="737">
        <f t="shared" si="17"/>
        <v>51.276170366097453</v>
      </c>
      <c r="CO27" s="1019">
        <f>IF(A27="January",(CO26*(1+Assumptions!$E$32)),CO26)</f>
        <v>6.8703375000000015</v>
      </c>
      <c r="CP27" s="741">
        <f t="shared" si="18"/>
        <v>58.146507866097451</v>
      </c>
      <c r="CQ27" s="304"/>
      <c r="CR27" s="575" t="str">
        <f t="shared" si="43"/>
        <v/>
      </c>
      <c r="CS27" s="575" t="str">
        <f t="shared" si="44"/>
        <v/>
      </c>
      <c r="CT27" s="575" t="str">
        <f t="shared" si="45"/>
        <v/>
      </c>
      <c r="CU27" s="575" t="str">
        <f t="shared" si="46"/>
        <v/>
      </c>
      <c r="CV27" s="575" t="str">
        <f t="shared" si="47"/>
        <v/>
      </c>
      <c r="CW27" s="576">
        <f t="shared" si="19"/>
        <v>2002</v>
      </c>
      <c r="CX27" s="787">
        <f>INDEX('NY Curve'!$A$4:$G$256,MATCH('Monthly Table'!B27,'NY Curve'!$A$4:$A$256,0),MATCH("New York 5 X 16",'NY Curve'!$A$4:$G$4,0))</f>
        <v>30</v>
      </c>
      <c r="CY27" s="632">
        <f t="shared" si="20"/>
        <v>1.4281177975516</v>
      </c>
      <c r="CZ27" s="633">
        <f t="shared" si="21"/>
        <v>42.843533926547998</v>
      </c>
      <c r="DB27" s="857"/>
      <c r="DC27" s="857"/>
    </row>
    <row r="28" spans="1:112" ht="18.75" customHeight="1">
      <c r="A28" s="17" t="s">
        <v>442</v>
      </c>
      <c r="B28" s="508">
        <v>37408</v>
      </c>
      <c r="C28" s="43">
        <f t="shared" si="0"/>
        <v>2002</v>
      </c>
      <c r="D28" s="719">
        <f t="shared" si="48"/>
        <v>2</v>
      </c>
      <c r="E28" s="972">
        <v>20</v>
      </c>
      <c r="F28" s="971">
        <v>5</v>
      </c>
      <c r="G28" s="971">
        <v>5</v>
      </c>
      <c r="H28" s="971">
        <v>0</v>
      </c>
      <c r="I28" s="976">
        <f t="shared" si="22"/>
        <v>30</v>
      </c>
      <c r="J28" s="621"/>
      <c r="K28" s="572">
        <f>INDEX(FX!$A$3:$C$362,MATCH(B28,FX!$A$3:$A$362,0),MATCH("Monthly Curve",FX!$A$2:$C$2,0))</f>
        <v>1.42699723806337</v>
      </c>
      <c r="L28" s="572"/>
      <c r="M28" s="1057">
        <v>2.6110000000000002</v>
      </c>
      <c r="N28" s="1067">
        <v>0.13500000000000001</v>
      </c>
      <c r="O28" s="315">
        <v>0.02</v>
      </c>
      <c r="P28" s="797">
        <f t="shared" si="1"/>
        <v>0.155</v>
      </c>
      <c r="Q28" s="732">
        <f t="shared" si="2"/>
        <v>2.7660000000000005</v>
      </c>
      <c r="R28" s="722">
        <f>Assumptions!$B$34</f>
        <v>0.3124588923076923</v>
      </c>
      <c r="S28" s="730">
        <f t="shared" si="3"/>
        <v>4.2595332527909742</v>
      </c>
      <c r="T28" s="572"/>
      <c r="U28" s="565"/>
      <c r="V28" s="581">
        <f>Assumptions!$B$42</f>
        <v>0</v>
      </c>
      <c r="W28" s="581">
        <v>14</v>
      </c>
      <c r="X28" s="629">
        <v>24</v>
      </c>
      <c r="Y28" s="783">
        <f>Assumptions!$B$7</f>
        <v>312</v>
      </c>
      <c r="Z28" s="570">
        <f t="shared" si="4"/>
        <v>0</v>
      </c>
      <c r="AA28" s="592">
        <f t="shared" si="5"/>
        <v>0</v>
      </c>
      <c r="AB28" s="589">
        <f t="shared" si="6"/>
        <v>0</v>
      </c>
      <c r="AC28" s="462"/>
      <c r="AD28" s="1027">
        <f>IF(Tables!$E$30="Michigan",INDEX('Michigan Curve'!$A$4:$S$256,MATCH('Monthly Table'!B28,'Michigan Curve'!$A$4:$A$256,0),MATCH("Michigan Selected Option Value US$/month",'Michigan Curve'!$A$4:$S$4,0)),INDEX('NY Curve'!$A$4:$T$256,MATCH('Monthly Table'!B28,'NY Curve'!$A$4:$A$256,0),MATCH("New York Selected Option Value US$/month",'NY Curve'!$A$4:$T$4,0)))</f>
        <v>588368.13366050762</v>
      </c>
      <c r="AE28" s="601">
        <f t="shared" si="23"/>
        <v>839599.70169804408</v>
      </c>
      <c r="AF28" s="462"/>
      <c r="AG28" s="915"/>
      <c r="AH28" s="462"/>
      <c r="AI28" s="799">
        <f>Assumptions!$B$50</f>
        <v>65</v>
      </c>
      <c r="AJ28" s="743"/>
      <c r="AK28" s="924">
        <f>IF(Tables!$E$30="Custom",'Monthly Table'!AI28,IF(Tables!$E$30="New York",INDEX('NY Curve'!$A$4:$G$256,MATCH('Monthly Table'!B28,'NY Curve'!$A$4:$A$256,0),MATCH("Super Peak Curve",'NY Curve'!$A$4:$G$4,0)),IF(Tables!$E$30="New York Flat",INDEX('NY Curve'!$A$4:$G$256,MATCH('Monthly Table'!B28,'NY Curve'!$A$4:$A$256,0),MATCH("Flat NY West",'NY Curve'!$A$4:$G$4,0)),INDEX('Michigan Curve'!$A$4:$F$256,MATCH('Monthly Table'!B28,'Michigan Curve'!$A$4:$A$256,0),MATCH("Michigan Super Peak Curve US$/MWhr",'Michigan Curve'!$A$4:$F$4,0)))))</f>
        <v>83.430212532500335</v>
      </c>
      <c r="AL28" s="965">
        <f>IF(D28&lt;=Tables!$B$21,IF($AL$10=$AI$10,AI28,IF($AL$10=$AJ$10,AJ28,IF($AL$10=$AK$10,AK28,0))),0)</f>
        <v>83.430212532500335</v>
      </c>
      <c r="AM28" s="708">
        <f t="shared" si="24"/>
        <v>119.05468285491793</v>
      </c>
      <c r="AN28" s="916">
        <f t="shared" si="25"/>
        <v>1</v>
      </c>
      <c r="AO28" s="905"/>
      <c r="AP28" s="925"/>
      <c r="AQ28" s="926">
        <f>IF(Tables!$E$30="New York",INDEX('NY Curve'!$A$4:$L$256,MATCH('Monthly Table'!B28,'NY Curve'!$A$4:$A$256,0),MATCH("New York Shoulder Hour Curve Mon-Fri",'NY Curve'!$A$4:$L$4,0)),IF(Tables!$E$30="Michigan",INDEX('Michigan Curve'!$A$4:$K$256,MATCH('Monthly Table'!B28,'Michigan Curve'!$A$4:$A$256,0),MATCH("Michigan Shoulder Hour Curve Mon-Fri",'Michigan Curve'!$A$4:$K$4,0))))</f>
        <v>23.069787467499669</v>
      </c>
      <c r="AR28" s="708">
        <f t="shared" si="26"/>
        <v>32.920522998830975</v>
      </c>
      <c r="AS28" s="927">
        <f t="shared" si="7"/>
        <v>0</v>
      </c>
      <c r="AT28" s="462"/>
      <c r="AU28" s="926">
        <f>IF(Tables!$E$30="New York",INDEX('NY Curve'!$A$4:$L$256,MATCH('Monthly Table'!$B28,'NY Curve'!$A$4:$A$256,0),MATCH("New York Saturday Super Peak",'NY Curve'!$A$4:$L$4,0)),IF(Tables!$E$30="Michigan",INDEX('Michigan Curve'!$A$4:$K$256,MATCH('Monthly Table'!$B28,'Michigan Curve'!$A$4:$A$256,0),MATCH("Michigan Saturday Super Peak",'Michigan Curve'!$A$4:$K$4,0))))</f>
        <v>40.735878419624576</v>
      </c>
      <c r="AV28" s="925">
        <f t="shared" si="8"/>
        <v>58.129985994889509</v>
      </c>
      <c r="AW28" s="927">
        <f t="shared" si="9"/>
        <v>0</v>
      </c>
      <c r="AX28" s="926">
        <f>IF(Tables!$E$30="New York",INDEX('NY Curve'!$A$4:$L$256,MATCH('Monthly Table'!$B28,'NY Curve'!$A$4:$A$256,0),MATCH("New York Saturday Shoulder Peak",'NY Curve'!$A$4:$L$4,0)),IF(Tables!$E$30="Michigan",INDEX('Michigan Curve'!$A$4:$K$256,MATCH('Monthly Table'!$B28,'Michigan Curve'!$A$4:$A$256,0),MATCH("Michigan Saturday Shoulder Peak",'Michigan Curve'!$A$4:$K$4,0))))</f>
        <v>11.264121580375424</v>
      </c>
      <c r="AY28" s="934">
        <f t="shared" si="27"/>
        <v>16.07387038440573</v>
      </c>
      <c r="AZ28" s="927">
        <f t="shared" si="10"/>
        <v>0</v>
      </c>
      <c r="BA28" s="462"/>
      <c r="BB28" s="926">
        <f>IF(Tables!$E$30="New York",INDEX('NY Curve'!$A$4:$M$256,MATCH('Monthly Table'!$B28,'NY Curve'!$A$4:$A$256,0),MATCH("NY Sunday Super Peak",'NY Curve'!$A$4:$M$4,0)),IF(Tables!$E$30="Michigan",INDEX('Michigan Curve'!$A$4:$L$256,MATCH('Monthly Table'!$B28,'Michigan Curve'!$A$4:$A$256,0),MATCH("Michigan Sunday Super Peak",'Michigan Curve'!$A$4:$L$4,0))))</f>
        <v>37.602349310422682</v>
      </c>
      <c r="BC28" s="925">
        <f t="shared" si="28"/>
        <v>53.658448610667229</v>
      </c>
      <c r="BD28" s="927">
        <f t="shared" si="11"/>
        <v>0</v>
      </c>
      <c r="BE28" s="462"/>
      <c r="BF28" s="598">
        <f t="shared" si="12"/>
        <v>37408</v>
      </c>
      <c r="BG28" s="583">
        <f t="shared" si="29"/>
        <v>160</v>
      </c>
      <c r="BH28" s="583">
        <f t="shared" si="13"/>
        <v>160</v>
      </c>
      <c r="BI28" s="315">
        <f t="shared" si="30"/>
        <v>160</v>
      </c>
      <c r="BJ28" s="987">
        <f>IF('Monthly Table'!D28&lt;=Tables!$B$21,IF($BJ$10=$BG$10,BG28,IF($BJ$10=$BH$10,BH28,IF($BJ$10=$BI$10,BI28,0))),0)</f>
        <v>160</v>
      </c>
      <c r="BK28" s="43"/>
      <c r="BL28" s="987">
        <f t="shared" si="31"/>
        <v>0</v>
      </c>
      <c r="BM28" s="987">
        <f t="shared" si="32"/>
        <v>0</v>
      </c>
      <c r="BO28" s="987">
        <f t="shared" si="14"/>
        <v>0</v>
      </c>
      <c r="BP28" s="987">
        <f t="shared" si="33"/>
        <v>0</v>
      </c>
      <c r="BR28" s="993">
        <f>IF(BJ28&gt;0,INDEX(OperationalDetail,MATCH("Capacity Degradation",ODColumn,0),MATCH('Monthly Table'!C28,ODRow,0)),0)</f>
        <v>1.1599999999999999E-2</v>
      </c>
      <c r="BS28" s="994">
        <f>BJ28*(1-BR28)*Tables!$C$10</f>
        <v>51238.656000000003</v>
      </c>
      <c r="BT28" s="601">
        <f t="shared" si="15"/>
        <v>4274.8519599596739</v>
      </c>
      <c r="BU28" s="601">
        <f t="shared" si="16"/>
        <v>6100.2019399922383</v>
      </c>
      <c r="BV28" s="462"/>
      <c r="BW28" s="785">
        <f>$BO28*(1-$BR28)*Tables!$C$36</f>
        <v>0</v>
      </c>
      <c r="BX28" s="602">
        <f t="shared" si="34"/>
        <v>0</v>
      </c>
      <c r="BY28" s="601">
        <f t="shared" si="35"/>
        <v>0</v>
      </c>
      <c r="BZ28" s="462"/>
      <c r="CA28" s="785">
        <f>$BL28*(1-$BR28)*Tables!$C$36</f>
        <v>0</v>
      </c>
      <c r="CB28" s="602">
        <f t="shared" si="36"/>
        <v>0</v>
      </c>
      <c r="CC28" s="601">
        <f t="shared" si="37"/>
        <v>0</v>
      </c>
      <c r="CD28" s="785">
        <f>$BP28*(1-$BR28)*Tables!$C$36</f>
        <v>0</v>
      </c>
      <c r="CE28" s="602">
        <f t="shared" si="38"/>
        <v>0</v>
      </c>
      <c r="CF28" s="601">
        <f t="shared" si="39"/>
        <v>0</v>
      </c>
      <c r="CH28" s="785">
        <f>$BM28*(1-$BR28)*Tables!$C$36</f>
        <v>0</v>
      </c>
      <c r="CI28" s="602">
        <f t="shared" si="40"/>
        <v>0</v>
      </c>
      <c r="CJ28" s="601">
        <f t="shared" si="41"/>
        <v>0</v>
      </c>
      <c r="CK28" s="304"/>
      <c r="CL28" s="304">
        <f t="shared" si="42"/>
        <v>2001</v>
      </c>
      <c r="CM28" s="1018">
        <f>INDEX(OperationalDetail,MATCH("Degraded Heat Rate",ODColumn,0),MATCH('Monthly Table'!CL28,ODRow,0))/1000</f>
        <v>12.065606799999999</v>
      </c>
      <c r="CN28" s="737">
        <f t="shared" si="17"/>
        <v>51.393853379700893</v>
      </c>
      <c r="CO28" s="1019">
        <f>IF(A28="January",(CO27*(1+Assumptions!$E$32)),CO27)</f>
        <v>6.8703375000000015</v>
      </c>
      <c r="CP28" s="741">
        <f t="shared" si="18"/>
        <v>58.264190879700891</v>
      </c>
      <c r="CQ28" s="304"/>
      <c r="CR28" s="575">
        <f t="shared" si="43"/>
        <v>2002</v>
      </c>
      <c r="CS28" s="575" t="str">
        <f t="shared" si="44"/>
        <v/>
      </c>
      <c r="CT28" s="575" t="str">
        <f t="shared" si="45"/>
        <v/>
      </c>
      <c r="CU28" s="575" t="str">
        <f t="shared" si="46"/>
        <v/>
      </c>
      <c r="CV28" s="575" t="str">
        <f t="shared" si="47"/>
        <v/>
      </c>
      <c r="CW28" s="576">
        <f t="shared" si="19"/>
        <v>2002</v>
      </c>
      <c r="CX28" s="787">
        <f>INDEX('NY Curve'!$A$4:$G$256,MATCH('Monthly Table'!B28,'NY Curve'!$A$4:$A$256,0),MATCH("New York 5 X 16",'NY Curve'!$A$4:$G$4,0))</f>
        <v>48.75</v>
      </c>
      <c r="CY28" s="632">
        <f t="shared" si="20"/>
        <v>1.42699723806337</v>
      </c>
      <c r="CZ28" s="633">
        <f t="shared" si="21"/>
        <v>69.566115355589289</v>
      </c>
      <c r="DB28" s="857"/>
      <c r="DC28" s="857"/>
    </row>
    <row r="29" spans="1:112" ht="18.75" customHeight="1">
      <c r="A29" s="17" t="s">
        <v>443</v>
      </c>
      <c r="B29" s="508">
        <v>37438</v>
      </c>
      <c r="C29" s="43">
        <f t="shared" si="0"/>
        <v>2002</v>
      </c>
      <c r="D29" s="719">
        <f t="shared" si="48"/>
        <v>2</v>
      </c>
      <c r="E29" s="972">
        <v>22</v>
      </c>
      <c r="F29" s="971">
        <v>4</v>
      </c>
      <c r="G29" s="971">
        <v>4</v>
      </c>
      <c r="H29" s="971">
        <v>1</v>
      </c>
      <c r="I29" s="976">
        <f t="shared" si="22"/>
        <v>31</v>
      </c>
      <c r="J29" s="621"/>
      <c r="K29" s="572">
        <f>INDEX(FX!$A$3:$C$362,MATCH(B29,FX!$A$3:$A$362,0),MATCH("Monthly Curve",FX!$A$2:$C$2,0))</f>
        <v>1.4259256062350401</v>
      </c>
      <c r="L29" s="572"/>
      <c r="M29" s="1057">
        <v>2.62</v>
      </c>
      <c r="N29" s="1067">
        <v>0.13500000000000001</v>
      </c>
      <c r="O29" s="315">
        <v>0.02</v>
      </c>
      <c r="P29" s="797">
        <f t="shared" si="1"/>
        <v>0.155</v>
      </c>
      <c r="Q29" s="732">
        <f t="shared" si="2"/>
        <v>2.7749999999999999</v>
      </c>
      <c r="R29" s="722">
        <f>Assumptions!$B$34</f>
        <v>0.3124588923076923</v>
      </c>
      <c r="S29" s="730">
        <f t="shared" si="3"/>
        <v>4.2694024496099283</v>
      </c>
      <c r="T29" s="572"/>
      <c r="V29" s="581">
        <f>Assumptions!$B$42</f>
        <v>0</v>
      </c>
      <c r="W29" s="581"/>
      <c r="X29" s="629"/>
      <c r="Y29" s="783">
        <f>Assumptions!$B$7</f>
        <v>312</v>
      </c>
      <c r="Z29" s="570">
        <f t="shared" si="4"/>
        <v>0</v>
      </c>
      <c r="AA29" s="592">
        <f t="shared" si="5"/>
        <v>0</v>
      </c>
      <c r="AB29" s="589">
        <f t="shared" si="6"/>
        <v>0</v>
      </c>
      <c r="AC29" s="462"/>
      <c r="AD29" s="1027">
        <f>IF(Tables!$E$30="Michigan",INDEX('Michigan Curve'!$A$4:$S$256,MATCH('Monthly Table'!B29,'Michigan Curve'!$A$4:$A$256,0),MATCH("Michigan Selected Option Value US$/month",'Michigan Curve'!$A$4:$S$4,0)),INDEX('NY Curve'!$A$4:$T$256,MATCH('Monthly Table'!B29,'NY Curve'!$A$4:$A$256,0),MATCH("New York Selected Option Value US$/month",'NY Curve'!$A$4:$T$4,0)))</f>
        <v>1007474.5342399068</v>
      </c>
      <c r="AE29" s="601">
        <f t="shared" si="23"/>
        <v>1436583.7360024038</v>
      </c>
      <c r="AF29" s="462"/>
      <c r="AG29" s="915"/>
      <c r="AH29" s="462"/>
      <c r="AI29" s="799">
        <f>Assumptions!$B$50</f>
        <v>65</v>
      </c>
      <c r="AJ29" s="743"/>
      <c r="AK29" s="924">
        <f>IF(Tables!$E$30="Custom",'Monthly Table'!AI29,IF(Tables!$E$30="New York",INDEX('NY Curve'!$A$4:$G$256,MATCH('Monthly Table'!B29,'NY Curve'!$A$4:$A$256,0),MATCH("Super Peak Curve",'NY Curve'!$A$4:$G$4,0)),IF(Tables!$E$30="New York Flat",INDEX('NY Curve'!$A$4:$G$256,MATCH('Monthly Table'!B29,'NY Curve'!$A$4:$A$256,0),MATCH("Flat NY West",'NY Curve'!$A$4:$G$4,0)),INDEX('Michigan Curve'!$A$4:$F$256,MATCH('Monthly Table'!B29,'Michigan Curve'!$A$4:$A$256,0),MATCH("Michigan Super Peak Curve US$/MWhr",'Michigan Curve'!$A$4:$F$4,0)))))</f>
        <v>159.55140660844967</v>
      </c>
      <c r="AL29" s="965">
        <f>IF(D29&lt;=Tables!$B$21,IF($AL$10=$AI$10,AI29,IF($AL$10=$AJ$10,AJ29,IF($AL$10=$AK$10,AK29,0))),0)</f>
        <v>159.55140660844967</v>
      </c>
      <c r="AM29" s="708">
        <f t="shared" si="24"/>
        <v>227.50843619380697</v>
      </c>
      <c r="AN29" s="916">
        <f t="shared" si="25"/>
        <v>1</v>
      </c>
      <c r="AO29" s="905"/>
      <c r="AP29" s="925"/>
      <c r="AQ29" s="926">
        <f>IF(Tables!$E$30="New York",INDEX('NY Curve'!$A$4:$L$256,MATCH('Monthly Table'!B29,'NY Curve'!$A$4:$A$256,0),MATCH("New York Shoulder Hour Curve Mon-Fri",'NY Curve'!$A$4:$L$4,0)),IF(Tables!$E$30="Michigan",INDEX('Michigan Curve'!$A$4:$K$256,MATCH('Monthly Table'!B29,'Michigan Curve'!$A$4:$A$256,0),MATCH("Michigan Shoulder Hour Curve Mon-Fri",'Michigan Curve'!$A$4:$K$4,0))))</f>
        <v>29.448593391550325</v>
      </c>
      <c r="AR29" s="708">
        <f t="shared" si="26"/>
        <v>41.991503384615591</v>
      </c>
      <c r="AS29" s="927">
        <f t="shared" si="7"/>
        <v>0</v>
      </c>
      <c r="AT29" s="462"/>
      <c r="AU29" s="926">
        <f>IF(Tables!$E$30="New York",INDEX('NY Curve'!$A$4:$L$256,MATCH('Monthly Table'!$B29,'NY Curve'!$A$4:$A$256,0),MATCH("New York Saturday Super Peak",'NY Curve'!$A$4:$L$4,0)),IF(Tables!$E$30="Michigan",INDEX('Michigan Curve'!$A$4:$K$256,MATCH('Monthly Table'!$B29,'Michigan Curve'!$A$4:$A$256,0),MATCH("Michigan Saturday Super Peak",'Michigan Curve'!$A$4:$K$4,0))))</f>
        <v>59.093113558685062</v>
      </c>
      <c r="AV29" s="925">
        <f t="shared" si="8"/>
        <v>84.262383775484068</v>
      </c>
      <c r="AW29" s="927">
        <f t="shared" si="9"/>
        <v>1</v>
      </c>
      <c r="AX29" s="926">
        <f>IF(Tables!$E$30="New York",INDEX('NY Curve'!$A$4:$L$256,MATCH('Monthly Table'!$B29,'NY Curve'!$A$4:$A$256,0),MATCH("New York Saturday Shoulder Peak",'NY Curve'!$A$4:$L$4,0)),IF(Tables!$E$30="Michigan",INDEX('Michigan Curve'!$A$4:$K$256,MATCH('Monthly Table'!$B29,'Michigan Curve'!$A$4:$A$256,0),MATCH("Michigan Saturday Shoulder Peak",'Michigan Curve'!$A$4:$K$4,0))))</f>
        <v>10.906886441314935</v>
      </c>
      <c r="AY29" s="934">
        <f t="shared" si="27"/>
        <v>15.552408660968737</v>
      </c>
      <c r="AZ29" s="927">
        <f t="shared" si="10"/>
        <v>0</v>
      </c>
      <c r="BA29" s="462"/>
      <c r="BB29" s="926">
        <f>IF(Tables!$E$30="New York",INDEX('NY Curve'!$A$4:$M$256,MATCH('Monthly Table'!$B29,'NY Curve'!$A$4:$A$256,0),MATCH("NY Sunday Super Peak",'NY Curve'!$A$4:$M$4,0)),IF(Tables!$E$30="Michigan",INDEX('Michigan Curve'!$A$4:$L$256,MATCH('Monthly Table'!$B29,'Michigan Curve'!$A$4:$A$256,0),MATCH("Michigan Sunday Super Peak",'Michigan Curve'!$A$4:$L$4,0))))</f>
        <v>52.339611645944792</v>
      </c>
      <c r="BC29" s="925">
        <f t="shared" si="28"/>
        <v>74.632392466350396</v>
      </c>
      <c r="BD29" s="927">
        <f t="shared" si="11"/>
        <v>1</v>
      </c>
      <c r="BE29" s="462"/>
      <c r="BF29" s="598">
        <f t="shared" si="12"/>
        <v>37438</v>
      </c>
      <c r="BG29" s="583">
        <f t="shared" si="29"/>
        <v>176</v>
      </c>
      <c r="BH29" s="583">
        <f t="shared" si="13"/>
        <v>176</v>
      </c>
      <c r="BI29" s="315">
        <f t="shared" si="30"/>
        <v>176</v>
      </c>
      <c r="BJ29" s="987">
        <f>IF('Monthly Table'!D29&lt;=Tables!$B$21,IF($BJ$10=$BG$10,BG29,IF($BJ$10=$BH$10,BH29,IF($BJ$10=$BI$10,BI29,0))),0)</f>
        <v>176</v>
      </c>
      <c r="BK29" s="43"/>
      <c r="BL29" s="987">
        <f t="shared" si="31"/>
        <v>32</v>
      </c>
      <c r="BM29" s="987">
        <f t="shared" si="32"/>
        <v>40</v>
      </c>
      <c r="BO29" s="987">
        <f t="shared" si="14"/>
        <v>0</v>
      </c>
      <c r="BP29" s="987">
        <f t="shared" si="33"/>
        <v>0</v>
      </c>
      <c r="BR29" s="993">
        <f>IF(BJ29&gt;0,INDEX(OperationalDetail,MATCH("Capacity Degradation",ODColumn,0),MATCH('Monthly Table'!C29,ODRow,0)),0)</f>
        <v>1.1599999999999999E-2</v>
      </c>
      <c r="BS29" s="994">
        <f>BJ29*(1-BR29)*Tables!$C$10</f>
        <v>56362.521599999993</v>
      </c>
      <c r="BT29" s="601">
        <f t="shared" si="15"/>
        <v>8992.7196012791264</v>
      </c>
      <c r="BU29" s="601">
        <f t="shared" si="16"/>
        <v>12822.949149155666</v>
      </c>
      <c r="BV29" s="462"/>
      <c r="BW29" s="785">
        <f>$BO29*(1-$BR29)*Tables!$C$36</f>
        <v>0</v>
      </c>
      <c r="BX29" s="602">
        <f t="shared" si="34"/>
        <v>0</v>
      </c>
      <c r="BY29" s="601">
        <f t="shared" si="35"/>
        <v>0</v>
      </c>
      <c r="BZ29" s="462"/>
      <c r="CA29" s="785">
        <f>$BL29*(1-$BR29)*Tables!$C$36</f>
        <v>10247.7312</v>
      </c>
      <c r="CB29" s="602">
        <f t="shared" si="36"/>
        <v>605.57034352047992</v>
      </c>
      <c r="CC29" s="601">
        <f t="shared" si="37"/>
        <v>863.49825920240175</v>
      </c>
      <c r="CD29" s="785">
        <f>$BP29*(1-$BR29)*Tables!$C$36</f>
        <v>0</v>
      </c>
      <c r="CE29" s="602">
        <f t="shared" si="38"/>
        <v>0</v>
      </c>
      <c r="CF29" s="601">
        <f t="shared" si="39"/>
        <v>0</v>
      </c>
      <c r="CH29" s="785">
        <f>$BM29*(1-$BR29)*Tables!$C$36</f>
        <v>12809.664000000001</v>
      </c>
      <c r="CI29" s="602">
        <f t="shared" si="40"/>
        <v>670.45283907503983</v>
      </c>
      <c r="CJ29" s="601">
        <f t="shared" si="41"/>
        <v>956.01587101007988</v>
      </c>
      <c r="CK29" s="304"/>
      <c r="CL29" s="304">
        <f t="shared" si="42"/>
        <v>2001</v>
      </c>
      <c r="CM29" s="1018">
        <f>INDEX(OperationalDetail,MATCH("Degraded Heat Rate",ODColumn,0),MATCH('Monthly Table'!CL29,ODRow,0))/1000</f>
        <v>12.065606799999999</v>
      </c>
      <c r="CN29" s="737">
        <f t="shared" si="17"/>
        <v>51.512931227950205</v>
      </c>
      <c r="CO29" s="1019">
        <f>IF(A29="January",(CO28*(1+Assumptions!$E$32)),CO28)</f>
        <v>6.8703375000000015</v>
      </c>
      <c r="CP29" s="741">
        <f t="shared" si="18"/>
        <v>58.38326872795021</v>
      </c>
      <c r="CQ29" s="304"/>
      <c r="CR29" s="575">
        <f t="shared" si="43"/>
        <v>2002</v>
      </c>
      <c r="CS29" s="575" t="str">
        <f t="shared" si="44"/>
        <v/>
      </c>
      <c r="CT29" s="575">
        <f t="shared" si="45"/>
        <v>2002</v>
      </c>
      <c r="CU29" s="575" t="str">
        <f t="shared" si="46"/>
        <v/>
      </c>
      <c r="CV29" s="575">
        <f t="shared" si="47"/>
        <v>2002</v>
      </c>
      <c r="CW29" s="576">
        <f t="shared" si="19"/>
        <v>2002</v>
      </c>
      <c r="CX29" s="787">
        <f>INDEX('NY Curve'!$A$4:$G$256,MATCH('Monthly Table'!B29,'NY Curve'!$A$4:$A$256,0),MATCH("New York 5 X 16",'NY Curve'!$A$4:$G$4,0))</f>
        <v>74</v>
      </c>
      <c r="CY29" s="632">
        <f t="shared" si="20"/>
        <v>1.4259256062350401</v>
      </c>
      <c r="CZ29" s="633">
        <f t="shared" si="21"/>
        <v>105.51849486139297</v>
      </c>
      <c r="DB29" s="857"/>
      <c r="DC29" s="857"/>
    </row>
    <row r="30" spans="1:112" ht="18.75" customHeight="1">
      <c r="A30" s="17" t="s">
        <v>444</v>
      </c>
      <c r="B30" s="508">
        <v>37469</v>
      </c>
      <c r="C30" s="43">
        <f t="shared" si="0"/>
        <v>2002</v>
      </c>
      <c r="D30" s="719">
        <f t="shared" si="48"/>
        <v>2</v>
      </c>
      <c r="E30" s="972">
        <v>22</v>
      </c>
      <c r="F30" s="971">
        <v>5</v>
      </c>
      <c r="G30" s="971">
        <v>4</v>
      </c>
      <c r="H30" s="971">
        <v>0</v>
      </c>
      <c r="I30" s="976">
        <f t="shared" si="22"/>
        <v>31</v>
      </c>
      <c r="J30" s="621"/>
      <c r="K30" s="572">
        <f>INDEX(FX!$A$3:$C$362,MATCH(B30,FX!$A$3:$A$362,0),MATCH("Monthly Curve",FX!$A$2:$C$2,0))</f>
        <v>1.42484759188735</v>
      </c>
      <c r="L30" s="572"/>
      <c r="M30" s="1057">
        <v>2.6269999999999998</v>
      </c>
      <c r="N30" s="1067">
        <v>0.13500000000000001</v>
      </c>
      <c r="O30" s="315">
        <v>0.02</v>
      </c>
      <c r="P30" s="797">
        <f t="shared" si="1"/>
        <v>0.155</v>
      </c>
      <c r="Q30" s="732">
        <f t="shared" si="2"/>
        <v>2.7819999999999996</v>
      </c>
      <c r="R30" s="722">
        <f>Assumptions!$B$34</f>
        <v>0.3124588923076923</v>
      </c>
      <c r="S30" s="730">
        <f t="shared" si="3"/>
        <v>4.2763848929382995</v>
      </c>
      <c r="T30" s="572"/>
      <c r="V30" s="581">
        <f>Assumptions!$B$42</f>
        <v>0</v>
      </c>
      <c r="W30" s="581"/>
      <c r="X30" s="461"/>
      <c r="Y30" s="783">
        <f>Assumptions!$B$7</f>
        <v>312</v>
      </c>
      <c r="Z30" s="570">
        <f t="shared" si="4"/>
        <v>0</v>
      </c>
      <c r="AA30" s="592">
        <f t="shared" si="5"/>
        <v>0</v>
      </c>
      <c r="AB30" s="589">
        <f t="shared" si="6"/>
        <v>0</v>
      </c>
      <c r="AC30" s="462"/>
      <c r="AD30" s="1027">
        <f>IF(Tables!$E$30="Michigan",INDEX('Michigan Curve'!$A$4:$S$256,MATCH('Monthly Table'!B30,'Michigan Curve'!$A$4:$A$256,0),MATCH("Michigan Selected Option Value US$/month",'Michigan Curve'!$A$4:$S$4,0)),INDEX('NY Curve'!$A$4:$T$256,MATCH('Monthly Table'!B30,'NY Curve'!$A$4:$A$256,0),MATCH("New York Selected Option Value US$/month",'NY Curve'!$A$4:$T$4,0)))</f>
        <v>1004633.229012588</v>
      </c>
      <c r="AE30" s="601">
        <f t="shared" si="23"/>
        <v>1431449.2370885988</v>
      </c>
      <c r="AF30" s="462"/>
      <c r="AG30" s="915"/>
      <c r="AH30" s="462"/>
      <c r="AI30" s="799">
        <f>Assumptions!$B$50</f>
        <v>65</v>
      </c>
      <c r="AJ30" s="743"/>
      <c r="AK30" s="924">
        <f>IF(Tables!$E$30="Custom",'Monthly Table'!AI30,IF(Tables!$E$30="New York",INDEX('NY Curve'!$A$4:$G$256,MATCH('Monthly Table'!B30,'NY Curve'!$A$4:$A$256,0),MATCH("Super Peak Curve",'NY Curve'!$A$4:$G$4,0)),IF(Tables!$E$30="New York Flat",INDEX('NY Curve'!$A$4:$G$256,MATCH('Monthly Table'!B30,'NY Curve'!$A$4:$A$256,0),MATCH("Flat NY West",'NY Curve'!$A$4:$G$4,0)),INDEX('Michigan Curve'!$A$4:$F$256,MATCH('Monthly Table'!B30,'Michigan Curve'!$A$4:$A$256,0),MATCH("Michigan Super Peak Curve US$/MWhr",'Michigan Curve'!$A$4:$F$4,0)))))</f>
        <v>159.55140660844967</v>
      </c>
      <c r="AL30" s="965">
        <f>IF(D30&lt;=Tables!$B$21,IF($AL$10=$AI$10,AI30,IF($AL$10=$AJ$10,AJ30,IF($AL$10=$AK$10,AK30,0))),0)</f>
        <v>159.55140660844967</v>
      </c>
      <c r="AM30" s="708">
        <f t="shared" si="24"/>
        <v>227.33643748828894</v>
      </c>
      <c r="AN30" s="916">
        <f t="shared" si="25"/>
        <v>1</v>
      </c>
      <c r="AO30" s="905"/>
      <c r="AP30" s="925"/>
      <c r="AQ30" s="926">
        <f>IF(Tables!$E$30="New York",INDEX('NY Curve'!$A$4:$L$256,MATCH('Monthly Table'!B30,'NY Curve'!$A$4:$A$256,0),MATCH("New York Shoulder Hour Curve Mon-Fri",'NY Curve'!$A$4:$L$4,0)),IF(Tables!$E$30="Michigan",INDEX('Michigan Curve'!$A$4:$K$256,MATCH('Monthly Table'!B30,'Michigan Curve'!$A$4:$A$256,0),MATCH("Michigan Shoulder Hour Curve Mon-Fri",'Michigan Curve'!$A$4:$K$4,0))))</f>
        <v>29.448593391550325</v>
      </c>
      <c r="AR30" s="708">
        <f t="shared" si="26"/>
        <v>41.959757378420207</v>
      </c>
      <c r="AS30" s="927">
        <f t="shared" si="7"/>
        <v>0</v>
      </c>
      <c r="AT30" s="462"/>
      <c r="AU30" s="926">
        <f>IF(Tables!$E$30="New York",INDEX('NY Curve'!$A$4:$L$256,MATCH('Monthly Table'!$B30,'NY Curve'!$A$4:$A$256,0),MATCH("New York Saturday Super Peak",'NY Curve'!$A$4:$L$4,0)),IF(Tables!$E$30="Michigan",INDEX('Michigan Curve'!$A$4:$K$256,MATCH('Monthly Table'!$B30,'Michigan Curve'!$A$4:$A$256,0),MATCH("Michigan Saturday Super Peak",'Michigan Curve'!$A$4:$K$4,0))))</f>
        <v>59.093119999323314</v>
      </c>
      <c r="AV30" s="925">
        <f t="shared" si="8"/>
        <v>84.198689728146022</v>
      </c>
      <c r="AW30" s="927">
        <f t="shared" si="9"/>
        <v>1</v>
      </c>
      <c r="AX30" s="926">
        <f>IF(Tables!$E$30="New York",INDEX('NY Curve'!$A$4:$L$256,MATCH('Monthly Table'!$B30,'NY Curve'!$A$4:$A$256,0),MATCH("New York Saturday Shoulder Peak",'NY Curve'!$A$4:$L$4,0)),IF(Tables!$E$30="Michigan",INDEX('Michigan Curve'!$A$4:$K$256,MATCH('Monthly Table'!$B30,'Michigan Curve'!$A$4:$A$256,0),MATCH("Michigan Saturday Shoulder Peak",'Michigan Curve'!$A$4:$K$4,0))))</f>
        <v>10.906887630071218</v>
      </c>
      <c r="AY30" s="934">
        <f t="shared" si="27"/>
        <v>15.540652574692901</v>
      </c>
      <c r="AZ30" s="927">
        <f t="shared" si="10"/>
        <v>0</v>
      </c>
      <c r="BA30" s="462"/>
      <c r="BB30" s="926">
        <f>IF(Tables!$E$30="New York",INDEX('NY Curve'!$A$4:$M$256,MATCH('Monthly Table'!$B30,'NY Curve'!$A$4:$A$256,0),MATCH("NY Sunday Super Peak",'NY Curve'!$A$4:$M$4,0)),IF(Tables!$E$30="Michigan",INDEX('Michigan Curve'!$A$4:$L$256,MATCH('Monthly Table'!$B30,'Michigan Curve'!$A$4:$A$256,0),MATCH("Michigan Sunday Super Peak",'Michigan Curve'!$A$4:$L$4,0))))</f>
        <v>52.339614866263915</v>
      </c>
      <c r="BC30" s="925">
        <f t="shared" si="28"/>
        <v>74.575974202507481</v>
      </c>
      <c r="BD30" s="927">
        <f t="shared" si="11"/>
        <v>1</v>
      </c>
      <c r="BE30" s="462"/>
      <c r="BF30" s="598">
        <f t="shared" si="12"/>
        <v>37469</v>
      </c>
      <c r="BG30" s="583">
        <f t="shared" si="29"/>
        <v>176</v>
      </c>
      <c r="BH30" s="583">
        <f t="shared" si="13"/>
        <v>176</v>
      </c>
      <c r="BI30" s="315">
        <f t="shared" si="30"/>
        <v>176</v>
      </c>
      <c r="BJ30" s="987">
        <f>IF('Monthly Table'!D30&lt;=Tables!$B$21,IF($BJ$10=$BG$10,BG30,IF($BJ$10=$BH$10,BH30,IF($BJ$10=$BI$10,BI30,0))),0)</f>
        <v>176</v>
      </c>
      <c r="BK30" s="43"/>
      <c r="BL30" s="987">
        <f t="shared" si="31"/>
        <v>40</v>
      </c>
      <c r="BM30" s="987">
        <f t="shared" si="32"/>
        <v>32</v>
      </c>
      <c r="BO30" s="987">
        <f t="shared" si="14"/>
        <v>0</v>
      </c>
      <c r="BP30" s="987">
        <f t="shared" si="33"/>
        <v>0</v>
      </c>
      <c r="BR30" s="993">
        <f>IF(BJ30&gt;0,INDEX(OperationalDetail,MATCH("Capacity Degradation",ODColumn,0),MATCH('Monthly Table'!C30,ODRow,0)),0)</f>
        <v>1.1599999999999999E-2</v>
      </c>
      <c r="BS30" s="994">
        <f>BJ30*(1-BR30)*Tables!$C$10</f>
        <v>56362.521599999993</v>
      </c>
      <c r="BT30" s="601">
        <f t="shared" si="15"/>
        <v>8992.7196012791264</v>
      </c>
      <c r="BU30" s="601">
        <f t="shared" si="16"/>
        <v>12813.254868400734</v>
      </c>
      <c r="BV30" s="462"/>
      <c r="BW30" s="785">
        <f>$BO30*(1-$BR30)*Tables!$C$36</f>
        <v>0</v>
      </c>
      <c r="BX30" s="602">
        <f t="shared" si="34"/>
        <v>0</v>
      </c>
      <c r="BY30" s="601">
        <f t="shared" si="35"/>
        <v>0</v>
      </c>
      <c r="BZ30" s="462"/>
      <c r="CA30" s="785">
        <f>$BL30*(1-$BR30)*Tables!$C$36</f>
        <v>12809.664000000001</v>
      </c>
      <c r="CB30" s="602">
        <f t="shared" si="36"/>
        <v>756.96301190301199</v>
      </c>
      <c r="CC30" s="601">
        <f t="shared" si="37"/>
        <v>1078.556924657802</v>
      </c>
      <c r="CD30" s="785">
        <f>$BP30*(1-$BR30)*Tables!$C$36</f>
        <v>0</v>
      </c>
      <c r="CE30" s="602">
        <f t="shared" si="38"/>
        <v>0</v>
      </c>
      <c r="CF30" s="601">
        <f t="shared" si="39"/>
        <v>0</v>
      </c>
      <c r="CH30" s="785">
        <f>$BM30*(1-$BR30)*Tables!$C$36</f>
        <v>10247.7312</v>
      </c>
      <c r="CI30" s="602">
        <f t="shared" si="40"/>
        <v>536.36230426099655</v>
      </c>
      <c r="CJ30" s="601">
        <f t="shared" si="41"/>
        <v>764.23453760543111</v>
      </c>
      <c r="CK30" s="304"/>
      <c r="CL30" s="304">
        <f t="shared" si="42"/>
        <v>2001</v>
      </c>
      <c r="CM30" s="1018">
        <f>INDEX(OperationalDetail,MATCH("Degraded Heat Rate",ODColumn,0),MATCH('Monthly Table'!CL30,ODRow,0))/1000</f>
        <v>12.065606799999999</v>
      </c>
      <c r="CN30" s="737">
        <f t="shared" si="17"/>
        <v>51.597178643653614</v>
      </c>
      <c r="CO30" s="1019">
        <f>IF(A30="January",(CO29*(1+Assumptions!$E$32)),CO29)</f>
        <v>6.8703375000000015</v>
      </c>
      <c r="CP30" s="741">
        <f t="shared" si="18"/>
        <v>58.467516143653611</v>
      </c>
      <c r="CQ30" s="304"/>
      <c r="CR30" s="575">
        <f t="shared" si="43"/>
        <v>2002</v>
      </c>
      <c r="CS30" s="575" t="str">
        <f t="shared" si="44"/>
        <v/>
      </c>
      <c r="CT30" s="575">
        <f t="shared" si="45"/>
        <v>2002</v>
      </c>
      <c r="CU30" s="575" t="str">
        <f t="shared" si="46"/>
        <v/>
      </c>
      <c r="CV30" s="575">
        <f t="shared" si="47"/>
        <v>2002</v>
      </c>
      <c r="CW30" s="576">
        <f t="shared" si="19"/>
        <v>2002</v>
      </c>
      <c r="CX30" s="787">
        <f>INDEX('NY Curve'!$A$4:$G$256,MATCH('Monthly Table'!B30,'NY Curve'!$A$4:$A$256,0),MATCH("New York 5 X 16",'NY Curve'!$A$4:$G$4,0))</f>
        <v>66.5</v>
      </c>
      <c r="CY30" s="632">
        <f t="shared" si="20"/>
        <v>1.42484759188735</v>
      </c>
      <c r="CZ30" s="633">
        <f t="shared" si="21"/>
        <v>94.752364860508777</v>
      </c>
      <c r="DB30" s="857"/>
      <c r="DC30" s="857"/>
    </row>
    <row r="31" spans="1:112" ht="18.75" customHeight="1">
      <c r="A31" s="17" t="s">
        <v>445</v>
      </c>
      <c r="B31" s="508">
        <v>37500</v>
      </c>
      <c r="C31" s="43">
        <f t="shared" si="0"/>
        <v>2002</v>
      </c>
      <c r="D31" s="719">
        <f t="shared" si="48"/>
        <v>2</v>
      </c>
      <c r="E31" s="972">
        <v>20</v>
      </c>
      <c r="F31" s="971">
        <v>4</v>
      </c>
      <c r="G31" s="971">
        <v>5</v>
      </c>
      <c r="H31" s="971">
        <v>1</v>
      </c>
      <c r="I31" s="976">
        <f t="shared" si="22"/>
        <v>30</v>
      </c>
      <c r="J31" s="621"/>
      <c r="K31" s="572">
        <f>INDEX(FX!$A$3:$C$362,MATCH(B31,FX!$A$3:$A$362,0),MATCH("Monthly Curve",FX!$A$2:$C$2,0))</f>
        <v>1.4237647899783901</v>
      </c>
      <c r="L31" s="572"/>
      <c r="M31" s="1057">
        <v>2.6339999999999999</v>
      </c>
      <c r="N31" s="1067">
        <v>0.13500000000000001</v>
      </c>
      <c r="O31" s="315">
        <v>0.02</v>
      </c>
      <c r="P31" s="797">
        <f t="shared" si="1"/>
        <v>0.155</v>
      </c>
      <c r="Q31" s="732">
        <f t="shared" si="2"/>
        <v>2.7890000000000001</v>
      </c>
      <c r="R31" s="722">
        <f>Assumptions!$B$34</f>
        <v>0.3124588923076923</v>
      </c>
      <c r="S31" s="730">
        <f t="shared" si="3"/>
        <v>4.2833388915574222</v>
      </c>
      <c r="T31" s="572"/>
      <c r="V31" s="581">
        <f>Assumptions!$B$42</f>
        <v>0</v>
      </c>
      <c r="W31" s="581"/>
      <c r="X31" s="461"/>
      <c r="Y31" s="783">
        <f>Assumptions!$B$7</f>
        <v>312</v>
      </c>
      <c r="Z31" s="570">
        <f t="shared" si="4"/>
        <v>0</v>
      </c>
      <c r="AA31" s="592">
        <f t="shared" si="5"/>
        <v>0</v>
      </c>
      <c r="AB31" s="589">
        <f t="shared" si="6"/>
        <v>0</v>
      </c>
      <c r="AC31" s="462"/>
      <c r="AD31" s="1027">
        <f>IF(Tables!$E$30="Michigan",INDEX('Michigan Curve'!$A$4:$S$256,MATCH('Monthly Table'!B31,'Michigan Curve'!$A$4:$A$256,0),MATCH("Michigan Selected Option Value US$/month",'Michigan Curve'!$A$4:$S$4,0)),INDEX('NY Curve'!$A$4:$T$256,MATCH('Monthly Table'!B31,'NY Curve'!$A$4:$A$256,0),MATCH("New York Selected Option Value US$/month",'NY Curve'!$A$4:$T$4,0)))</f>
        <v>442492.18188154494</v>
      </c>
      <c r="AE31" s="601">
        <f t="shared" si="23"/>
        <v>630004.78840365738</v>
      </c>
      <c r="AF31" s="462"/>
      <c r="AG31" s="915"/>
      <c r="AH31" s="462"/>
      <c r="AI31" s="799">
        <f>Assumptions!$B$50</f>
        <v>65</v>
      </c>
      <c r="AJ31" s="743"/>
      <c r="AK31" s="924">
        <f>IF(Tables!$E$30="Custom",'Monthly Table'!AI31,IF(Tables!$E$30="New York",INDEX('NY Curve'!$A$4:$G$256,MATCH('Monthly Table'!B31,'NY Curve'!$A$4:$A$256,0),MATCH("Super Peak Curve",'NY Curve'!$A$4:$G$4,0)),IF(Tables!$E$30="New York Flat",INDEX('NY Curve'!$A$4:$G$256,MATCH('Monthly Table'!B31,'NY Curve'!$A$4:$A$256,0),MATCH("Flat NY West",'NY Curve'!$A$4:$G$4,0)),INDEX('Michigan Curve'!$A$4:$F$256,MATCH('Monthly Table'!B31,'Michigan Curve'!$A$4:$A$256,0),MATCH("Michigan Super Peak Curve US$/MWhr",'Michigan Curve'!$A$4:$F$4,0)))))</f>
        <v>42.226562276482582</v>
      </c>
      <c r="AL31" s="965">
        <f>IF(D31&lt;=Tables!$B$21,IF($AL$10=$AI$10,AI31,IF($AL$10=$AJ$10,AJ31,IF($AL$10=$AK$10,AK31,0))),0)</f>
        <v>42.226562276482582</v>
      </c>
      <c r="AM31" s="708">
        <f t="shared" si="24"/>
        <v>60.120692571085634</v>
      </c>
      <c r="AN31" s="916">
        <f t="shared" si="25"/>
        <v>1</v>
      </c>
      <c r="AO31" s="905"/>
      <c r="AP31" s="925"/>
      <c r="AQ31" s="926">
        <f>IF(Tables!$E$30="New York",INDEX('NY Curve'!$A$4:$L$256,MATCH('Monthly Table'!B31,'NY Curve'!$A$4:$A$256,0),MATCH("New York Shoulder Hour Curve Mon-Fri",'NY Curve'!$A$4:$L$4,0)),IF(Tables!$E$30="Michigan",INDEX('Michigan Curve'!$A$4:$K$256,MATCH('Monthly Table'!B31,'Michigan Curve'!$A$4:$A$256,0),MATCH("Michigan Shoulder Hour Curve Mon-Fri",'Michigan Curve'!$A$4:$K$4,0))))</f>
        <v>20.273437723517418</v>
      </c>
      <c r="AR31" s="708">
        <f t="shared" si="26"/>
        <v>28.864606802563745</v>
      </c>
      <c r="AS31" s="927">
        <f t="shared" si="7"/>
        <v>0</v>
      </c>
      <c r="AT31" s="462"/>
      <c r="AU31" s="926">
        <f>IF(Tables!$E$30="New York",INDEX('NY Curve'!$A$4:$L$256,MATCH('Monthly Table'!$B31,'NY Curve'!$A$4:$A$256,0),MATCH("New York Saturday Super Peak",'NY Curve'!$A$4:$L$4,0)),IF(Tables!$E$30="Michigan",INDEX('Michigan Curve'!$A$4:$K$256,MATCH('Monthly Table'!$B31,'Michigan Curve'!$A$4:$A$256,0),MATCH("Michigan Saturday Super Peak",'Michigan Curve'!$A$4:$K$4,0))))</f>
        <v>33.781249821186066</v>
      </c>
      <c r="AV31" s="925">
        <f t="shared" si="8"/>
        <v>48.096554056868506</v>
      </c>
      <c r="AW31" s="927">
        <f t="shared" si="9"/>
        <v>0</v>
      </c>
      <c r="AX31" s="926">
        <f>IF(Tables!$E$30="New York",INDEX('NY Curve'!$A$4:$L$256,MATCH('Monthly Table'!$B31,'NY Curve'!$A$4:$A$256,0),MATCH("New York Saturday Shoulder Peak",'NY Curve'!$A$4:$L$4,0)),IF(Tables!$E$30="Michigan",INDEX('Michigan Curve'!$A$4:$K$256,MATCH('Monthly Table'!$B31,'Michigan Curve'!$A$4:$A$256,0),MATCH("Michigan Saturday Shoulder Peak",'Michigan Curve'!$A$4:$K$4,0))))</f>
        <v>16.218750178813934</v>
      </c>
      <c r="AY31" s="934">
        <f t="shared" si="27"/>
        <v>23.091685442050998</v>
      </c>
      <c r="AZ31" s="927">
        <f t="shared" si="10"/>
        <v>0</v>
      </c>
      <c r="BA31" s="462"/>
      <c r="BB31" s="926">
        <f>IF(Tables!$E$30="New York",INDEX('NY Curve'!$A$4:$M$256,MATCH('Monthly Table'!$B31,'NY Curve'!$A$4:$A$256,0),MATCH("NY Sunday Super Peak",'NY Curve'!$A$4:$M$4,0)),IF(Tables!$E$30="Michigan",INDEX('Michigan Curve'!$A$4:$L$256,MATCH('Monthly Table'!$B31,'Michigan Curve'!$A$4:$A$256,0),MATCH("Michigan Sunday Super Peak",'Michigan Curve'!$A$4:$L$4,0))))</f>
        <v>32.429999828338623</v>
      </c>
      <c r="BC31" s="925">
        <f t="shared" si="28"/>
        <v>46.172691894593768</v>
      </c>
      <c r="BD31" s="927">
        <f t="shared" si="11"/>
        <v>0</v>
      </c>
      <c r="BE31" s="462"/>
      <c r="BF31" s="598">
        <f t="shared" si="12"/>
        <v>37500</v>
      </c>
      <c r="BG31" s="583">
        <f t="shared" si="29"/>
        <v>160</v>
      </c>
      <c r="BH31" s="583">
        <f t="shared" si="13"/>
        <v>160</v>
      </c>
      <c r="BI31" s="315">
        <f t="shared" si="30"/>
        <v>160</v>
      </c>
      <c r="BJ31" s="987">
        <f>IF('Monthly Table'!D31&lt;=Tables!$B$21,IF($BJ$10=$BG$10,BG31,IF($BJ$10=$BH$10,BH31,IF($BJ$10=$BI$10,BI31,0))),0)</f>
        <v>160</v>
      </c>
      <c r="BK31" s="43"/>
      <c r="BL31" s="987">
        <f t="shared" si="31"/>
        <v>0</v>
      </c>
      <c r="BM31" s="987">
        <f t="shared" si="32"/>
        <v>0</v>
      </c>
      <c r="BO31" s="987">
        <f t="shared" si="14"/>
        <v>0</v>
      </c>
      <c r="BP31" s="987">
        <f t="shared" si="33"/>
        <v>0</v>
      </c>
      <c r="BR31" s="993">
        <f>IF(BJ31&gt;0,INDEX(OperationalDetail,MATCH("Capacity Degradation",ODColumn,0),MATCH('Monthly Table'!C31,ODRow,0)),0)</f>
        <v>1.1599999999999999E-2</v>
      </c>
      <c r="BS31" s="994">
        <f>BJ31*(1-BR31)*Tables!$C$10</f>
        <v>51238.656000000003</v>
      </c>
      <c r="BT31" s="601">
        <f t="shared" si="15"/>
        <v>2163.632298547268</v>
      </c>
      <c r="BU31" s="601">
        <f t="shared" si="16"/>
        <v>3080.5034851316123</v>
      </c>
      <c r="BV31" s="462"/>
      <c r="BW31" s="785">
        <f>$BO31*(1-$BR31)*Tables!$C$36</f>
        <v>0</v>
      </c>
      <c r="BX31" s="602">
        <f t="shared" si="34"/>
        <v>0</v>
      </c>
      <c r="BY31" s="601">
        <f t="shared" si="35"/>
        <v>0</v>
      </c>
      <c r="BZ31" s="462"/>
      <c r="CA31" s="785">
        <f>$BL31*(1-$BR31)*Tables!$C$36</f>
        <v>0</v>
      </c>
      <c r="CB31" s="602">
        <f t="shared" si="36"/>
        <v>0</v>
      </c>
      <c r="CC31" s="601">
        <f t="shared" si="37"/>
        <v>0</v>
      </c>
      <c r="CD31" s="785">
        <f>$BP31*(1-$BR31)*Tables!$C$36</f>
        <v>0</v>
      </c>
      <c r="CE31" s="602">
        <f t="shared" si="38"/>
        <v>0</v>
      </c>
      <c r="CF31" s="601">
        <f t="shared" si="39"/>
        <v>0</v>
      </c>
      <c r="CH31" s="785">
        <f>$BM31*(1-$BR31)*Tables!$C$36</f>
        <v>0</v>
      </c>
      <c r="CI31" s="602">
        <f t="shared" si="40"/>
        <v>0</v>
      </c>
      <c r="CJ31" s="601">
        <f t="shared" si="41"/>
        <v>0</v>
      </c>
      <c r="CK31" s="304"/>
      <c r="CL31" s="304">
        <f t="shared" si="42"/>
        <v>2001</v>
      </c>
      <c r="CM31" s="1018">
        <f>INDEX(OperationalDetail,MATCH("Degraded Heat Rate",ODColumn,0),MATCH('Monthly Table'!CL31,ODRow,0))/1000</f>
        <v>12.065606799999999</v>
      </c>
      <c r="CN31" s="737">
        <f t="shared" si="17"/>
        <v>51.681082856679694</v>
      </c>
      <c r="CO31" s="1019">
        <f>IF(A31="January",(CO30*(1+Assumptions!$E$32)),CO30)</f>
        <v>6.8703375000000015</v>
      </c>
      <c r="CP31" s="741">
        <f t="shared" si="18"/>
        <v>58.551420356679699</v>
      </c>
      <c r="CQ31" s="304"/>
      <c r="CR31" s="575">
        <f t="shared" si="43"/>
        <v>2002</v>
      </c>
      <c r="CS31" s="575" t="str">
        <f t="shared" si="44"/>
        <v/>
      </c>
      <c r="CT31" s="575" t="str">
        <f t="shared" si="45"/>
        <v/>
      </c>
      <c r="CU31" s="575" t="str">
        <f t="shared" si="46"/>
        <v/>
      </c>
      <c r="CV31" s="575" t="str">
        <f t="shared" si="47"/>
        <v/>
      </c>
      <c r="CW31" s="576">
        <f t="shared" si="19"/>
        <v>2002</v>
      </c>
      <c r="CX31" s="787">
        <f>INDEX('NY Curve'!$A$4:$G$256,MATCH('Monthly Table'!B31,'NY Curve'!$A$4:$A$256,0),MATCH("New York 5 X 16",'NY Curve'!$A$4:$G$4,0))</f>
        <v>30</v>
      </c>
      <c r="CY31" s="632">
        <f t="shared" si="20"/>
        <v>1.4237647899783901</v>
      </c>
      <c r="CZ31" s="633">
        <f t="shared" si="21"/>
        <v>42.712943699351705</v>
      </c>
      <c r="DB31" s="857"/>
      <c r="DC31" s="857"/>
    </row>
    <row r="32" spans="1:112" ht="18.75" customHeight="1">
      <c r="A32" s="17" t="s">
        <v>446</v>
      </c>
      <c r="B32" s="508">
        <v>37530</v>
      </c>
      <c r="C32" s="43">
        <f t="shared" si="0"/>
        <v>2002</v>
      </c>
      <c r="D32" s="719">
        <f t="shared" si="48"/>
        <v>2</v>
      </c>
      <c r="E32" s="972">
        <v>23</v>
      </c>
      <c r="F32" s="971">
        <v>4</v>
      </c>
      <c r="G32" s="971">
        <v>4</v>
      </c>
      <c r="H32" s="971">
        <v>0</v>
      </c>
      <c r="I32" s="976">
        <f t="shared" si="22"/>
        <v>31</v>
      </c>
      <c r="J32" s="621"/>
      <c r="K32" s="572">
        <f>INDEX(FX!$A$3:$C$362,MATCH(B32,FX!$A$3:$A$362,0),MATCH("Monthly Curve",FX!$A$2:$C$2,0))</f>
        <v>1.4227311296518399</v>
      </c>
      <c r="L32" s="572"/>
      <c r="M32" s="1057">
        <v>2.6610000000000005</v>
      </c>
      <c r="N32" s="1067">
        <v>0.13500000000000001</v>
      </c>
      <c r="O32" s="315">
        <v>0.02</v>
      </c>
      <c r="P32" s="797">
        <f t="shared" si="1"/>
        <v>0.155</v>
      </c>
      <c r="Q32" s="732">
        <f t="shared" si="2"/>
        <v>2.8160000000000003</v>
      </c>
      <c r="R32" s="722">
        <f>Assumptions!$B$34</f>
        <v>0.3124588923076923</v>
      </c>
      <c r="S32" s="730">
        <f t="shared" si="3"/>
        <v>4.3188697534072737</v>
      </c>
      <c r="T32" s="572"/>
      <c r="V32" s="581">
        <f>Assumptions!$B$42</f>
        <v>0</v>
      </c>
      <c r="W32" s="581"/>
      <c r="X32" s="461"/>
      <c r="Y32" s="783">
        <f>Assumptions!$B$7</f>
        <v>312</v>
      </c>
      <c r="Z32" s="570">
        <f t="shared" si="4"/>
        <v>0</v>
      </c>
      <c r="AA32" s="592">
        <f t="shared" si="5"/>
        <v>0</v>
      </c>
      <c r="AB32" s="589">
        <f t="shared" si="6"/>
        <v>0</v>
      </c>
      <c r="AC32" s="462"/>
      <c r="AD32" s="1027">
        <f>IF(Tables!$E$30="Michigan",INDEX('Michigan Curve'!$A$4:$S$256,MATCH('Monthly Table'!B32,'Michigan Curve'!$A$4:$A$256,0),MATCH("Michigan Selected Option Value US$/month",'Michigan Curve'!$A$4:$S$4,0)),INDEX('NY Curve'!$A$4:$T$256,MATCH('Monthly Table'!B32,'NY Curve'!$A$4:$A$256,0),MATCH("New York Selected Option Value US$/month",'NY Curve'!$A$4:$T$4,0)))</f>
        <v>12298.946641803743</v>
      </c>
      <c r="AE32" s="601">
        <f t="shared" si="23"/>
        <v>17498.094249221143</v>
      </c>
      <c r="AF32" s="462"/>
      <c r="AG32" s="915"/>
      <c r="AH32" s="462"/>
      <c r="AI32" s="799">
        <f>Assumptions!$B$50</f>
        <v>65</v>
      </c>
      <c r="AJ32" s="743"/>
      <c r="AK32" s="924">
        <f>IF(Tables!$E$30="Custom",'Monthly Table'!AI32,IF(Tables!$E$30="New York",INDEX('NY Curve'!$A$4:$G$256,MATCH('Monthly Table'!B32,'NY Curve'!$A$4:$A$256,0),MATCH("Super Peak Curve",'NY Curve'!$A$4:$G$4,0)),IF(Tables!$E$30="New York Flat",INDEX('NY Curve'!$A$4:$G$256,MATCH('Monthly Table'!B32,'NY Curve'!$A$4:$A$256,0),MATCH("Flat NY West",'NY Curve'!$A$4:$G$4,0)),INDEX('Michigan Curve'!$A$4:$F$256,MATCH('Monthly Table'!B32,'Michigan Curve'!$A$4:$A$256,0),MATCH("Michigan Super Peak Curve US$/MWhr",'Michigan Curve'!$A$4:$F$4,0)))))</f>
        <v>24.349994659423828</v>
      </c>
      <c r="AL32" s="965">
        <f>IF(D32&lt;=Tables!$B$21,IF($AL$10=$AI$10,AI32,IF($AL$10=$AJ$10,AJ32,IF($AL$10=$AK$10,AK32,0))),0)</f>
        <v>24.349994659423828</v>
      </c>
      <c r="AM32" s="708">
        <f t="shared" si="24"/>
        <v>34.643495408818332</v>
      </c>
      <c r="AN32" s="916">
        <f t="shared" si="25"/>
        <v>0</v>
      </c>
      <c r="AO32" s="905"/>
      <c r="AP32" s="925"/>
      <c r="AQ32" s="926">
        <f>IF(Tables!$E$30="New York",INDEX('NY Curve'!$A$4:$L$256,MATCH('Monthly Table'!B32,'NY Curve'!$A$4:$A$256,0),MATCH("New York Shoulder Hour Curve Mon-Fri",'NY Curve'!$A$4:$L$4,0)),IF(Tables!$E$30="Michigan",INDEX('Michigan Curve'!$A$4:$K$256,MATCH('Monthly Table'!B32,'Michigan Curve'!$A$4:$A$256,0),MATCH("Michigan Shoulder Hour Curve Mon-Fri",'Michigan Curve'!$A$4:$K$4,0))))</f>
        <v>24.349994659423828</v>
      </c>
      <c r="AR32" s="708">
        <f t="shared" si="26"/>
        <v>34.643495408818332</v>
      </c>
      <c r="AS32" s="927">
        <f t="shared" si="7"/>
        <v>0</v>
      </c>
      <c r="AT32" s="462"/>
      <c r="AU32" s="926">
        <f>IF(Tables!$E$30="New York",INDEX('NY Curve'!$A$4:$L$256,MATCH('Monthly Table'!$B32,'NY Curve'!$A$4:$A$256,0),MATCH("New York Saturday Super Peak",'NY Curve'!$A$4:$L$4,0)),IF(Tables!$E$30="Michigan",INDEX('Michigan Curve'!$A$4:$K$256,MATCH('Monthly Table'!$B32,'Michigan Curve'!$A$4:$A$256,0),MATCH("Michigan Saturday Super Peak",'Michigan Curve'!$A$4:$K$4,0))))</f>
        <v>19.996000289916992</v>
      </c>
      <c r="AV32" s="925">
        <f t="shared" si="8"/>
        <v>28.448932080992119</v>
      </c>
      <c r="AW32" s="927">
        <f t="shared" si="9"/>
        <v>0</v>
      </c>
      <c r="AX32" s="926">
        <f>IF(Tables!$E$30="New York",INDEX('NY Curve'!$A$4:$L$256,MATCH('Monthly Table'!$B32,'NY Curve'!$A$4:$A$256,0),MATCH("New York Saturday Shoulder Peak",'NY Curve'!$A$4:$L$4,0)),IF(Tables!$E$30="Michigan",INDEX('Michigan Curve'!$A$4:$K$256,MATCH('Monthly Table'!$B32,'Michigan Curve'!$A$4:$A$256,0),MATCH("Michigan Saturday Shoulder Peak",'Michigan Curve'!$A$4:$K$4,0))))</f>
        <v>19.996000289916992</v>
      </c>
      <c r="AY32" s="934">
        <f t="shared" si="27"/>
        <v>28.448932080992119</v>
      </c>
      <c r="AZ32" s="927">
        <f t="shared" si="10"/>
        <v>0</v>
      </c>
      <c r="BA32" s="462"/>
      <c r="BB32" s="926">
        <f>IF(Tables!$E$30="New York",INDEX('NY Curve'!$A$4:$M$256,MATCH('Monthly Table'!$B32,'NY Curve'!$A$4:$A$256,0),MATCH("NY Sunday Super Peak",'NY Curve'!$A$4:$M$4,0)),IF(Tables!$E$30="Michigan",INDEX('Michigan Curve'!$A$4:$L$256,MATCH('Monthly Table'!$B32,'Michigan Curve'!$A$4:$A$256,0),MATCH("Michigan Sunday Super Peak",'Michigan Curve'!$A$4:$L$4,0))))</f>
        <v>18.996500015258789</v>
      </c>
      <c r="BC32" s="925">
        <f t="shared" si="28"/>
        <v>27.026911926140333</v>
      </c>
      <c r="BD32" s="927">
        <f t="shared" si="11"/>
        <v>0</v>
      </c>
      <c r="BE32" s="462"/>
      <c r="BF32" s="598">
        <f t="shared" si="12"/>
        <v>37530</v>
      </c>
      <c r="BG32" s="583">
        <f t="shared" si="29"/>
        <v>0</v>
      </c>
      <c r="BH32" s="583">
        <f t="shared" si="13"/>
        <v>0</v>
      </c>
      <c r="BI32" s="315">
        <f t="shared" si="30"/>
        <v>0</v>
      </c>
      <c r="BJ32" s="987">
        <f>IF('Monthly Table'!D32&lt;=Tables!$B$21,IF($BJ$10=$BG$10,BG32,IF($BJ$10=$BH$10,BH32,IF($BJ$10=$BI$10,BI32,0))),0)</f>
        <v>0</v>
      </c>
      <c r="BK32" s="43"/>
      <c r="BL32" s="987">
        <f t="shared" si="31"/>
        <v>0</v>
      </c>
      <c r="BM32" s="987">
        <f t="shared" si="32"/>
        <v>0</v>
      </c>
      <c r="BO32" s="987">
        <f t="shared" si="14"/>
        <v>0</v>
      </c>
      <c r="BP32" s="987">
        <f t="shared" si="33"/>
        <v>0</v>
      </c>
      <c r="BR32" s="993">
        <f>IF(BJ32&gt;0,INDEX(OperationalDetail,MATCH("Capacity Degradation",ODColumn,0),MATCH('Monthly Table'!C32,ODRow,0)),0)</f>
        <v>0</v>
      </c>
      <c r="BS32" s="994">
        <f>BJ32*(1-BR32)*Tables!$C$10</f>
        <v>0</v>
      </c>
      <c r="BT32" s="601">
        <f t="shared" si="15"/>
        <v>0</v>
      </c>
      <c r="BU32" s="601">
        <f t="shared" si="16"/>
        <v>0</v>
      </c>
      <c r="BV32" s="462"/>
      <c r="BW32" s="785">
        <f>$BO32*(1-$BR32)*Tables!$C$36</f>
        <v>0</v>
      </c>
      <c r="BX32" s="602">
        <f t="shared" si="34"/>
        <v>0</v>
      </c>
      <c r="BY32" s="601">
        <f t="shared" si="35"/>
        <v>0</v>
      </c>
      <c r="BZ32" s="462"/>
      <c r="CA32" s="785">
        <f>$BL32*(1-$BR32)*Tables!$C$36</f>
        <v>0</v>
      </c>
      <c r="CB32" s="602">
        <f t="shared" si="36"/>
        <v>0</v>
      </c>
      <c r="CC32" s="601">
        <f t="shared" si="37"/>
        <v>0</v>
      </c>
      <c r="CD32" s="785">
        <f>$BP32*(1-$BR32)*Tables!$C$36</f>
        <v>0</v>
      </c>
      <c r="CE32" s="602">
        <f t="shared" si="38"/>
        <v>0</v>
      </c>
      <c r="CF32" s="601">
        <f t="shared" si="39"/>
        <v>0</v>
      </c>
      <c r="CH32" s="785">
        <f>$BM32*(1-$BR32)*Tables!$C$36</f>
        <v>0</v>
      </c>
      <c r="CI32" s="602">
        <f t="shared" si="40"/>
        <v>0</v>
      </c>
      <c r="CJ32" s="601">
        <f t="shared" si="41"/>
        <v>0</v>
      </c>
      <c r="CK32" s="304"/>
      <c r="CL32" s="304">
        <f t="shared" si="42"/>
        <v>2001</v>
      </c>
      <c r="CM32" s="1018">
        <f>INDEX(OperationalDetail,MATCH("Degraded Heat Rate",ODColumn,0),MATCH('Monthly Table'!CL32,ODRow,0))/1000</f>
        <v>12.065606799999999</v>
      </c>
      <c r="CN32" s="737">
        <f t="shared" si="17"/>
        <v>52.10978426502512</v>
      </c>
      <c r="CO32" s="1019">
        <f>IF(A32="January",(CO31*(1+Assumptions!$E$32)),CO31)</f>
        <v>6.8703375000000015</v>
      </c>
      <c r="CP32" s="741">
        <f t="shared" si="18"/>
        <v>58.980121765025117</v>
      </c>
      <c r="CQ32" s="304"/>
      <c r="CR32" s="575" t="str">
        <f t="shared" si="43"/>
        <v/>
      </c>
      <c r="CS32" s="575" t="str">
        <f t="shared" si="44"/>
        <v/>
      </c>
      <c r="CT32" s="575" t="str">
        <f t="shared" si="45"/>
        <v/>
      </c>
      <c r="CU32" s="575" t="str">
        <f t="shared" si="46"/>
        <v/>
      </c>
      <c r="CV32" s="575" t="str">
        <f t="shared" si="47"/>
        <v/>
      </c>
      <c r="CW32" s="576">
        <f t="shared" si="19"/>
        <v>2002</v>
      </c>
      <c r="CX32" s="787">
        <f>INDEX('NY Curve'!$A$4:$G$256,MATCH('Monthly Table'!B32,'NY Curve'!$A$4:$A$256,0),MATCH("New York 5 X 16",'NY Curve'!$A$4:$G$4,0))</f>
        <v>25.75</v>
      </c>
      <c r="CY32" s="632">
        <f t="shared" si="20"/>
        <v>1.4227311296518399</v>
      </c>
      <c r="CZ32" s="633">
        <f t="shared" si="21"/>
        <v>36.63532658853488</v>
      </c>
      <c r="DB32" s="857"/>
      <c r="DC32" s="857"/>
    </row>
    <row r="33" spans="1:107" ht="18.75" customHeight="1">
      <c r="A33" s="17" t="s">
        <v>447</v>
      </c>
      <c r="B33" s="508">
        <v>37561</v>
      </c>
      <c r="C33" s="43">
        <f t="shared" si="0"/>
        <v>2002</v>
      </c>
      <c r="D33" s="719">
        <f t="shared" si="48"/>
        <v>2</v>
      </c>
      <c r="E33" s="972">
        <v>20</v>
      </c>
      <c r="F33" s="971">
        <v>5</v>
      </c>
      <c r="G33" s="971">
        <v>4</v>
      </c>
      <c r="H33" s="971">
        <v>1</v>
      </c>
      <c r="I33" s="976">
        <f t="shared" si="22"/>
        <v>30</v>
      </c>
      <c r="J33" s="621"/>
      <c r="K33" s="572">
        <f>INDEX(FX!$A$3:$C$362,MATCH(B33,FX!$A$3:$A$362,0),MATCH("Monthly Curve",FX!$A$2:$C$2,0))</f>
        <v>1.4216874450006201</v>
      </c>
      <c r="L33" s="572"/>
      <c r="M33" s="1057">
        <v>2.7970000000000002</v>
      </c>
      <c r="N33" s="1067">
        <v>0.22</v>
      </c>
      <c r="O33" s="315">
        <v>0.02</v>
      </c>
      <c r="P33" s="797">
        <f t="shared" si="1"/>
        <v>0.24</v>
      </c>
      <c r="Q33" s="732">
        <f t="shared" si="2"/>
        <v>3.0370000000000004</v>
      </c>
      <c r="R33" s="722">
        <f>Assumptions!$B$34</f>
        <v>0.3124588923076923</v>
      </c>
      <c r="S33" s="730">
        <f t="shared" si="3"/>
        <v>4.6301236627745759</v>
      </c>
      <c r="T33" s="572"/>
      <c r="V33" s="581">
        <f>Assumptions!$B$42</f>
        <v>0</v>
      </c>
      <c r="W33" s="581"/>
      <c r="X33" s="461"/>
      <c r="Y33" s="783">
        <f>Assumptions!$B$7</f>
        <v>312</v>
      </c>
      <c r="Z33" s="570">
        <f t="shared" si="4"/>
        <v>0</v>
      </c>
      <c r="AA33" s="592">
        <f t="shared" si="5"/>
        <v>0</v>
      </c>
      <c r="AB33" s="589">
        <f t="shared" si="6"/>
        <v>0</v>
      </c>
      <c r="AC33" s="462"/>
      <c r="AD33" s="1027">
        <f>IF(Tables!$E$30="Michigan",INDEX('Michigan Curve'!$A$4:$S$256,MATCH('Monthly Table'!B33,'Michigan Curve'!$A$4:$A$256,0),MATCH("Michigan Selected Option Value US$/month",'Michigan Curve'!$A$4:$S$4,0)),INDEX('NY Curve'!$A$4:$T$256,MATCH('Monthly Table'!B33,'NY Curve'!$A$4:$A$256,0),MATCH("New York Selected Option Value US$/month",'NY Curve'!$A$4:$T$4,0)))</f>
        <v>17086.996033617899</v>
      </c>
      <c r="AE33" s="601">
        <f t="shared" si="23"/>
        <v>24292.367733769959</v>
      </c>
      <c r="AF33" s="462"/>
      <c r="AG33" s="915"/>
      <c r="AH33" s="462"/>
      <c r="AI33" s="799">
        <f>Assumptions!$B$50</f>
        <v>65</v>
      </c>
      <c r="AJ33" s="743"/>
      <c r="AK33" s="924">
        <f>IF(Tables!$E$30="Custom",'Monthly Table'!AI33,IF(Tables!$E$30="New York",INDEX('NY Curve'!$A$4:$G$256,MATCH('Monthly Table'!B33,'NY Curve'!$A$4:$A$256,0),MATCH("Super Peak Curve",'NY Curve'!$A$4:$G$4,0)),IF(Tables!$E$30="New York Flat",INDEX('NY Curve'!$A$4:$G$256,MATCH('Monthly Table'!B33,'NY Curve'!$A$4:$A$256,0),MATCH("Flat NY West",'NY Curve'!$A$4:$G$4,0)),INDEX('Michigan Curve'!$A$4:$F$256,MATCH('Monthly Table'!B33,'Michigan Curve'!$A$4:$A$256,0),MATCH("Michigan Super Peak Curve US$/MWhr",'Michigan Curve'!$A$4:$F$4,0)))))</f>
        <v>26.16839538574219</v>
      </c>
      <c r="AL33" s="965">
        <f>IF(D33&lt;=Tables!$B$21,IF($AL$10=$AI$10,AI33,IF($AL$10=$AJ$10,AJ33,IF($AL$10=$AK$10,AK33,0))),0)</f>
        <v>26.16839538574219</v>
      </c>
      <c r="AM33" s="708">
        <f t="shared" si="24"/>
        <v>37.203279175721832</v>
      </c>
      <c r="AN33" s="916">
        <f t="shared" si="25"/>
        <v>0</v>
      </c>
      <c r="AO33" s="905"/>
      <c r="AP33" s="925"/>
      <c r="AQ33" s="926">
        <f>IF(Tables!$E$30="New York",INDEX('NY Curve'!$A$4:$L$256,MATCH('Monthly Table'!B33,'NY Curve'!$A$4:$A$256,0),MATCH("New York Shoulder Hour Curve Mon-Fri",'NY Curve'!$A$4:$L$4,0)),IF(Tables!$E$30="Michigan",INDEX('Michigan Curve'!$A$4:$K$256,MATCH('Monthly Table'!B33,'Michigan Curve'!$A$4:$A$256,0),MATCH("Michigan Shoulder Hour Curve Mon-Fri",'Michigan Curve'!$A$4:$K$4,0))))</f>
        <v>22.291596069335935</v>
      </c>
      <c r="AR33" s="708">
        <f t="shared" si="26"/>
        <v>31.691682260800068</v>
      </c>
      <c r="AS33" s="927">
        <f t="shared" si="7"/>
        <v>0</v>
      </c>
      <c r="AT33" s="462"/>
      <c r="AU33" s="926">
        <f>IF(Tables!$E$30="New York",INDEX('NY Curve'!$A$4:$L$256,MATCH('Monthly Table'!$B33,'NY Curve'!$A$4:$A$256,0),MATCH("New York Saturday Super Peak",'NY Curve'!$A$4:$L$4,0)),IF(Tables!$E$30="Michigan",INDEX('Michigan Curve'!$A$4:$K$256,MATCH('Monthly Table'!$B33,'Michigan Curve'!$A$4:$A$256,0),MATCH("Michigan Saturday Super Peak",'Michigan Curve'!$A$4:$K$4,0))))</f>
        <v>21.6</v>
      </c>
      <c r="AV33" s="925">
        <f t="shared" si="8"/>
        <v>30.708448812013394</v>
      </c>
      <c r="AW33" s="927">
        <f t="shared" si="9"/>
        <v>0</v>
      </c>
      <c r="AX33" s="926">
        <f>IF(Tables!$E$30="New York",INDEX('NY Curve'!$A$4:$L$256,MATCH('Monthly Table'!$B33,'NY Curve'!$A$4:$A$256,0),MATCH("New York Saturday Shoulder Peak",'NY Curve'!$A$4:$L$4,0)),IF(Tables!$E$30="Michigan",INDEX('Michigan Curve'!$A$4:$K$256,MATCH('Monthly Table'!$B33,'Michigan Curve'!$A$4:$A$256,0),MATCH("Michigan Saturday Shoulder Peak",'Michigan Curve'!$A$4:$K$4,0))))</f>
        <v>18.399999999999999</v>
      </c>
      <c r="AY33" s="934">
        <f t="shared" si="27"/>
        <v>26.159048988011406</v>
      </c>
      <c r="AZ33" s="927">
        <f t="shared" si="10"/>
        <v>0</v>
      </c>
      <c r="BA33" s="462"/>
      <c r="BB33" s="926">
        <f>IF(Tables!$E$30="New York",INDEX('NY Curve'!$A$4:$M$256,MATCH('Monthly Table'!$B33,'NY Curve'!$A$4:$A$256,0),MATCH("NY Sunday Super Peak",'NY Curve'!$A$4:$M$4,0)),IF(Tables!$E$30="Michigan",INDEX('Michigan Curve'!$A$4:$L$256,MATCH('Monthly Table'!$B33,'Michigan Curve'!$A$4:$A$256,0),MATCH("Michigan Sunday Super Peak",'Michigan Curve'!$A$4:$L$4,0))))</f>
        <v>20.520000000000003</v>
      </c>
      <c r="BC33" s="925">
        <f t="shared" si="28"/>
        <v>29.173026371412728</v>
      </c>
      <c r="BD33" s="927">
        <f t="shared" si="11"/>
        <v>0</v>
      </c>
      <c r="BE33" s="462"/>
      <c r="BF33" s="598">
        <f t="shared" si="12"/>
        <v>37561</v>
      </c>
      <c r="BG33" s="583">
        <f t="shared" si="29"/>
        <v>0</v>
      </c>
      <c r="BH33" s="583">
        <f t="shared" si="13"/>
        <v>0</v>
      </c>
      <c r="BI33" s="315">
        <f t="shared" si="30"/>
        <v>0</v>
      </c>
      <c r="BJ33" s="987">
        <f>IF('Monthly Table'!D33&lt;=Tables!$B$21,IF($BJ$10=$BG$10,BG33,IF($BJ$10=$BH$10,BH33,IF($BJ$10=$BI$10,BI33,0))),0)</f>
        <v>0</v>
      </c>
      <c r="BK33" s="43"/>
      <c r="BL33" s="987">
        <f t="shared" si="31"/>
        <v>0</v>
      </c>
      <c r="BM33" s="987">
        <f t="shared" si="32"/>
        <v>0</v>
      </c>
      <c r="BO33" s="987">
        <f t="shared" si="14"/>
        <v>0</v>
      </c>
      <c r="BP33" s="987">
        <f t="shared" si="33"/>
        <v>0</v>
      </c>
      <c r="BR33" s="993">
        <f>IF(BJ33&gt;0,INDEX(OperationalDetail,MATCH("Capacity Degradation",ODColumn,0),MATCH('Monthly Table'!C33,ODRow,0)),0)</f>
        <v>0</v>
      </c>
      <c r="BS33" s="994">
        <f>BJ33*(1-BR33)*Tables!$C$10</f>
        <v>0</v>
      </c>
      <c r="BT33" s="601">
        <f t="shared" si="15"/>
        <v>0</v>
      </c>
      <c r="BU33" s="601">
        <f t="shared" si="16"/>
        <v>0</v>
      </c>
      <c r="BV33" s="462"/>
      <c r="BW33" s="785">
        <f>$BO33*(1-$BR33)*Tables!$C$36</f>
        <v>0</v>
      </c>
      <c r="BX33" s="602">
        <f t="shared" si="34"/>
        <v>0</v>
      </c>
      <c r="BY33" s="601">
        <f t="shared" si="35"/>
        <v>0</v>
      </c>
      <c r="BZ33" s="462"/>
      <c r="CA33" s="785">
        <f>$BL33*(1-$BR33)*Tables!$C$36</f>
        <v>0</v>
      </c>
      <c r="CB33" s="602">
        <f t="shared" si="36"/>
        <v>0</v>
      </c>
      <c r="CC33" s="601">
        <f t="shared" si="37"/>
        <v>0</v>
      </c>
      <c r="CD33" s="785">
        <f>$BP33*(1-$BR33)*Tables!$C$36</f>
        <v>0</v>
      </c>
      <c r="CE33" s="602">
        <f t="shared" si="38"/>
        <v>0</v>
      </c>
      <c r="CF33" s="601">
        <f t="shared" si="39"/>
        <v>0</v>
      </c>
      <c r="CH33" s="785">
        <f>$BM33*(1-$BR33)*Tables!$C$36</f>
        <v>0</v>
      </c>
      <c r="CI33" s="602">
        <f t="shared" si="40"/>
        <v>0</v>
      </c>
      <c r="CJ33" s="601">
        <f t="shared" si="41"/>
        <v>0</v>
      </c>
      <c r="CK33" s="304"/>
      <c r="CL33" s="304">
        <f t="shared" si="42"/>
        <v>2001</v>
      </c>
      <c r="CM33" s="1018">
        <f>INDEX(OperationalDetail,MATCH("Degraded Heat Rate",ODColumn,0),MATCH('Monthly Table'!CL33,ODRow,0))/1000</f>
        <v>12.065606799999999</v>
      </c>
      <c r="CN33" s="737">
        <f t="shared" si="17"/>
        <v>55.865251550413824</v>
      </c>
      <c r="CO33" s="1019">
        <f>IF(A33="January",(CO32*(1+Assumptions!$E$32)),CO32)</f>
        <v>6.8703375000000015</v>
      </c>
      <c r="CP33" s="741">
        <f t="shared" si="18"/>
        <v>62.735589050413822</v>
      </c>
      <c r="CQ33" s="304"/>
      <c r="CR33" s="575" t="str">
        <f t="shared" si="43"/>
        <v/>
      </c>
      <c r="CS33" s="575" t="str">
        <f t="shared" si="44"/>
        <v/>
      </c>
      <c r="CT33" s="575" t="str">
        <f t="shared" si="45"/>
        <v/>
      </c>
      <c r="CU33" s="575" t="str">
        <f t="shared" si="46"/>
        <v/>
      </c>
      <c r="CV33" s="575" t="str">
        <f t="shared" si="47"/>
        <v/>
      </c>
      <c r="CW33" s="576">
        <f t="shared" si="19"/>
        <v>2002</v>
      </c>
      <c r="CX33" s="787">
        <f>INDEX('NY Curve'!$A$4:$G$256,MATCH('Monthly Table'!B33,'NY Curve'!$A$4:$A$256,0),MATCH("New York 5 X 16",'NY Curve'!$A$4:$G$4,0))</f>
        <v>26.25</v>
      </c>
      <c r="CY33" s="632">
        <f t="shared" si="20"/>
        <v>1.4216874450006201</v>
      </c>
      <c r="CZ33" s="633">
        <f t="shared" si="21"/>
        <v>37.319295431266276</v>
      </c>
      <c r="DB33" s="857"/>
      <c r="DC33" s="857"/>
    </row>
    <row r="34" spans="1:107" s="222" customFormat="1" ht="18.75" customHeight="1">
      <c r="A34" s="222" t="s">
        <v>448</v>
      </c>
      <c r="B34" s="564">
        <v>37591</v>
      </c>
      <c r="C34" s="565">
        <f t="shared" si="0"/>
        <v>2002</v>
      </c>
      <c r="D34" s="819">
        <f t="shared" si="48"/>
        <v>2</v>
      </c>
      <c r="E34" s="972">
        <v>21</v>
      </c>
      <c r="F34" s="971">
        <v>4</v>
      </c>
      <c r="G34" s="971">
        <v>5</v>
      </c>
      <c r="H34" s="971">
        <v>1</v>
      </c>
      <c r="I34" s="976">
        <f t="shared" si="22"/>
        <v>31</v>
      </c>
      <c r="J34" s="969"/>
      <c r="K34" s="820">
        <f>INDEX(FX!$A$3:$C$362,MATCH(B34,FX!$A$3:$A$362,0),MATCH("Monthly Curve",FX!$A$2:$C$2,0))</f>
        <v>1.42067583416208</v>
      </c>
      <c r="L34" s="820"/>
      <c r="M34" s="1068">
        <v>2.923</v>
      </c>
      <c r="N34" s="1069">
        <v>0.26</v>
      </c>
      <c r="O34" s="831">
        <v>0.02</v>
      </c>
      <c r="P34" s="824">
        <f t="shared" si="1"/>
        <v>0.28000000000000003</v>
      </c>
      <c r="Q34" s="825">
        <f t="shared" si="2"/>
        <v>3.2029999999999998</v>
      </c>
      <c r="R34" s="826">
        <f>Assumptions!$B$34</f>
        <v>0.3124588923076923</v>
      </c>
      <c r="S34" s="827">
        <f t="shared" si="3"/>
        <v>4.8628835891288338</v>
      </c>
      <c r="T34" s="820"/>
      <c r="U34" s="565"/>
      <c r="V34" s="582">
        <f>Assumptions!$B$42</f>
        <v>0</v>
      </c>
      <c r="W34" s="582"/>
      <c r="X34" s="566"/>
      <c r="Y34" s="784">
        <f>Assumptions!$B$7</f>
        <v>312</v>
      </c>
      <c r="Z34" s="678">
        <f t="shared" si="4"/>
        <v>0</v>
      </c>
      <c r="AA34" s="679">
        <f t="shared" si="5"/>
        <v>0</v>
      </c>
      <c r="AB34" s="680">
        <f t="shared" si="6"/>
        <v>0</v>
      </c>
      <c r="AC34" s="828"/>
      <c r="AD34" s="1027">
        <f>IF(Tables!$E$30="Michigan",INDEX('Michigan Curve'!$A$4:$S$256,MATCH('Monthly Table'!B34,'Michigan Curve'!$A$4:$A$256,0),MATCH("Michigan Selected Option Value US$/month",'Michigan Curve'!$A$4:$S$4,0)),INDEX('NY Curve'!$A$4:$T$256,MATCH('Monthly Table'!B34,'NY Curve'!$A$4:$A$256,0),MATCH("New York Selected Option Value US$/month",'NY Curve'!$A$4:$T$4,0)))</f>
        <v>7706.0775855535303</v>
      </c>
      <c r="AE34" s="601">
        <f t="shared" si="23"/>
        <v>10947.838201973969</v>
      </c>
      <c r="AF34" s="828"/>
      <c r="AG34" s="917"/>
      <c r="AH34" s="828"/>
      <c r="AI34" s="799">
        <f>Assumptions!$B$50</f>
        <v>65</v>
      </c>
      <c r="AJ34" s="762"/>
      <c r="AK34" s="924">
        <f>IF(Tables!$E$30="Custom",'Monthly Table'!AI34,IF(Tables!$E$30="New York",INDEX('NY Curve'!$A$4:$G$256,MATCH('Monthly Table'!B34,'NY Curve'!$A$4:$A$256,0),MATCH("Super Peak Curve",'NY Curve'!$A$4:$G$4,0)),IF(Tables!$E$30="New York Flat",INDEX('NY Curve'!$A$4:$G$256,MATCH('Monthly Table'!B34,'NY Curve'!$A$4:$A$256,0),MATCH("Flat NY West",'NY Curve'!$A$4:$G$4,0)),INDEX('Michigan Curve'!$A$4:$F$256,MATCH('Monthly Table'!B34,'Michigan Curve'!$A$4:$A$256,0),MATCH("Michigan Super Peak Curve US$/MWhr",'Michigan Curve'!$A$4:$F$4,0)))))</f>
        <v>25.193994941711427</v>
      </c>
      <c r="AL34" s="966">
        <f>IF(D34&lt;=Tables!$B$21,IF($AL$10=$AI$10,AI34,IF($AL$10=$AJ$10,AJ34,IF($AL$10=$AK$10,AK34,0))),0)</f>
        <v>25.193994941711427</v>
      </c>
      <c r="AM34" s="879">
        <f t="shared" si="24"/>
        <v>35.792499779691106</v>
      </c>
      <c r="AN34" s="918">
        <f t="shared" si="25"/>
        <v>0</v>
      </c>
      <c r="AO34" s="906"/>
      <c r="AP34" s="925"/>
      <c r="AQ34" s="926">
        <f>IF(Tables!$E$30="New York",INDEX('NY Curve'!$A$4:$L$256,MATCH('Monthly Table'!B34,'NY Curve'!$A$4:$A$256,0),MATCH("New York Shoulder Hour Curve Mon-Fri",'NY Curve'!$A$4:$L$4,0)),IF(Tables!$E$30="Michigan",INDEX('Michigan Curve'!$A$4:$K$256,MATCH('Monthly Table'!B34,'Michigan Curve'!$A$4:$A$256,0),MATCH("Michigan Shoulder Hour Curve Mon-Fri",'Michigan Curve'!$A$4:$K$4,0))))</f>
        <v>24.205995140075682</v>
      </c>
      <c r="AR34" s="708">
        <f t="shared" si="26"/>
        <v>34.388872337350271</v>
      </c>
      <c r="AS34" s="927">
        <f t="shared" si="7"/>
        <v>0</v>
      </c>
      <c r="AT34" s="828"/>
      <c r="AU34" s="926">
        <f>IF(Tables!$E$30="New York",INDEX('NY Curve'!$A$4:$L$256,MATCH('Monthly Table'!$B34,'NY Curve'!$A$4:$A$256,0),MATCH("New York Saturday Super Peak",'NY Curve'!$A$4:$L$4,0)),IF(Tables!$E$30="Michigan",INDEX('Michigan Curve'!$A$4:$K$256,MATCH('Monthly Table'!$B34,'Michigan Curve'!$A$4:$A$256,0),MATCH("Michigan Saturday Super Peak",'Michigan Curve'!$A$4:$K$4,0))))</f>
        <v>20.399999999999999</v>
      </c>
      <c r="AV34" s="925">
        <f t="shared" si="8"/>
        <v>28.981787016906431</v>
      </c>
      <c r="AW34" s="927">
        <f t="shared" si="9"/>
        <v>0</v>
      </c>
      <c r="AX34" s="926">
        <f>IF(Tables!$E$30="New York",INDEX('NY Curve'!$A$4:$L$256,MATCH('Monthly Table'!$B34,'NY Curve'!$A$4:$A$256,0),MATCH("New York Saturday Shoulder Peak",'NY Curve'!$A$4:$L$4,0)),IF(Tables!$E$30="Michigan",INDEX('Michigan Curve'!$A$4:$K$256,MATCH('Monthly Table'!$B34,'Michigan Curve'!$A$4:$A$256,0),MATCH("Michigan Saturday Shoulder Peak",'Michigan Curve'!$A$4:$K$4,0))))</f>
        <v>19.600000000000001</v>
      </c>
      <c r="AY34" s="934">
        <f t="shared" si="27"/>
        <v>27.845246349576769</v>
      </c>
      <c r="AZ34" s="927">
        <f t="shared" si="10"/>
        <v>0</v>
      </c>
      <c r="BA34" s="828"/>
      <c r="BB34" s="926">
        <f>IF(Tables!$E$30="New York",INDEX('NY Curve'!$A$4:$M$256,MATCH('Monthly Table'!$B34,'NY Curve'!$A$4:$A$256,0),MATCH("NY Sunday Super Peak",'NY Curve'!$A$4:$M$4,0)),IF(Tables!$E$30="Michigan",INDEX('Michigan Curve'!$A$4:$L$256,MATCH('Monthly Table'!$B34,'Michigan Curve'!$A$4:$A$256,0),MATCH("Michigan Sunday Super Peak",'Michigan Curve'!$A$4:$L$4,0))))</f>
        <v>19.38</v>
      </c>
      <c r="BC34" s="925">
        <f t="shared" si="28"/>
        <v>27.532697666061107</v>
      </c>
      <c r="BD34" s="927">
        <f t="shared" si="11"/>
        <v>0</v>
      </c>
      <c r="BE34" s="828"/>
      <c r="BF34" s="829">
        <f t="shared" si="12"/>
        <v>37591</v>
      </c>
      <c r="BG34" s="583">
        <f t="shared" si="29"/>
        <v>0</v>
      </c>
      <c r="BH34" s="830">
        <f t="shared" si="13"/>
        <v>0</v>
      </c>
      <c r="BI34" s="315">
        <f t="shared" si="30"/>
        <v>0</v>
      </c>
      <c r="BJ34" s="988">
        <f>IF('Monthly Table'!D34&lt;=Tables!$B$21,IF($BJ$10=$BG$10,BG34,IF($BJ$10=$BH$10,BH34,IF($BJ$10=$BI$10,BI34,0))),0)</f>
        <v>0</v>
      </c>
      <c r="BK34" s="43"/>
      <c r="BL34" s="987">
        <f t="shared" si="31"/>
        <v>0</v>
      </c>
      <c r="BM34" s="987">
        <f t="shared" si="32"/>
        <v>0</v>
      </c>
      <c r="BN34" s="43"/>
      <c r="BO34" s="987">
        <f t="shared" si="14"/>
        <v>0</v>
      </c>
      <c r="BP34" s="987">
        <f t="shared" si="33"/>
        <v>0</v>
      </c>
      <c r="BQ34" s="43"/>
      <c r="BR34" s="995">
        <f>IF(BJ34&gt;0,INDEX(OperationalDetail,MATCH("Capacity Degradation",ODColumn,0),MATCH('Monthly Table'!C34,ODRow,0)),0)</f>
        <v>0</v>
      </c>
      <c r="BS34" s="996">
        <f>BJ34*(1-BR34)*Tables!$C$10</f>
        <v>0</v>
      </c>
      <c r="BT34" s="834">
        <f t="shared" si="15"/>
        <v>0</v>
      </c>
      <c r="BU34" s="834">
        <f t="shared" si="16"/>
        <v>0</v>
      </c>
      <c r="BV34" s="462"/>
      <c r="BW34" s="785">
        <f>$BO34*(1-$BR34)*Tables!$C$36</f>
        <v>0</v>
      </c>
      <c r="BX34" s="602">
        <f t="shared" si="34"/>
        <v>0</v>
      </c>
      <c r="BY34" s="601">
        <f t="shared" si="35"/>
        <v>0</v>
      </c>
      <c r="BZ34" s="828"/>
      <c r="CA34" s="785">
        <f>$BL34*(1-$BR34)*Tables!$C$36</f>
        <v>0</v>
      </c>
      <c r="CB34" s="602">
        <f t="shared" si="36"/>
        <v>0</v>
      </c>
      <c r="CC34" s="601">
        <f t="shared" si="37"/>
        <v>0</v>
      </c>
      <c r="CD34" s="785">
        <f>$BP34*(1-$BR34)*Tables!$C$36</f>
        <v>0</v>
      </c>
      <c r="CE34" s="602">
        <f t="shared" si="38"/>
        <v>0</v>
      </c>
      <c r="CF34" s="601">
        <f t="shared" si="39"/>
        <v>0</v>
      </c>
      <c r="CH34" s="785">
        <f>$BM34*(1-$BR34)*Tables!$C$36</f>
        <v>0</v>
      </c>
      <c r="CI34" s="602">
        <f t="shared" si="40"/>
        <v>0</v>
      </c>
      <c r="CJ34" s="601">
        <f t="shared" si="41"/>
        <v>0</v>
      </c>
      <c r="CK34" s="880"/>
      <c r="CL34" s="304">
        <f t="shared" si="42"/>
        <v>2001</v>
      </c>
      <c r="CM34" s="1018">
        <f>INDEX(OperationalDetail,MATCH("Degraded Heat Rate",ODColumn,0),MATCH('Monthly Table'!CL34,ODRow,0))/1000</f>
        <v>12.065606799999999</v>
      </c>
      <c r="CN34" s="835">
        <f t="shared" si="17"/>
        <v>58.673641300601261</v>
      </c>
      <c r="CO34" s="1020">
        <f>IF(A34="January",(CO33*(1+Assumptions!$E$32)),CO33)</f>
        <v>6.8703375000000015</v>
      </c>
      <c r="CP34" s="836">
        <f t="shared" si="18"/>
        <v>65.543978800601266</v>
      </c>
      <c r="CQ34" s="880"/>
      <c r="CR34" s="841" t="str">
        <f t="shared" si="43"/>
        <v/>
      </c>
      <c r="CS34" s="575" t="str">
        <f t="shared" si="44"/>
        <v/>
      </c>
      <c r="CT34" s="575" t="str">
        <f t="shared" si="45"/>
        <v/>
      </c>
      <c r="CU34" s="575" t="str">
        <f t="shared" si="46"/>
        <v/>
      </c>
      <c r="CV34" s="575" t="str">
        <f t="shared" si="47"/>
        <v/>
      </c>
      <c r="CW34" s="842">
        <f t="shared" si="19"/>
        <v>2002</v>
      </c>
      <c r="CX34" s="843">
        <f>INDEX('NY Curve'!$A$4:$G$256,MATCH('Monthly Table'!B34,'NY Curve'!$A$4:$A$256,0),MATCH("New York 5 X 16",'NY Curve'!$A$4:$G$4,0))</f>
        <v>26.75</v>
      </c>
      <c r="CY34" s="844">
        <f t="shared" si="20"/>
        <v>1.42067583416208</v>
      </c>
      <c r="CZ34" s="845">
        <f t="shared" si="21"/>
        <v>38.003078563835636</v>
      </c>
      <c r="DB34" s="881"/>
      <c r="DC34" s="881"/>
    </row>
    <row r="35" spans="1:107" ht="18.75" customHeight="1">
      <c r="A35" s="17" t="s">
        <v>437</v>
      </c>
      <c r="B35" s="508">
        <v>37622</v>
      </c>
      <c r="C35" s="43">
        <f t="shared" si="0"/>
        <v>2003</v>
      </c>
      <c r="D35" s="719">
        <f t="shared" si="48"/>
        <v>3</v>
      </c>
      <c r="E35" s="972">
        <v>22</v>
      </c>
      <c r="F35" s="971">
        <v>4</v>
      </c>
      <c r="G35" s="971">
        <v>4</v>
      </c>
      <c r="H35" s="971">
        <v>1</v>
      </c>
      <c r="I35" s="976">
        <f t="shared" si="22"/>
        <v>31</v>
      </c>
      <c r="J35" s="621"/>
      <c r="K35" s="572">
        <f>INDEX(FX!$A$3:$C$362,MATCH(B35,FX!$A$3:$A$362,0),MATCH("Monthly Curve",FX!$A$2:$C$2,0))</f>
        <v>1.41962115947708</v>
      </c>
      <c r="L35" s="572"/>
      <c r="M35" s="1057">
        <v>2.9560000000000004</v>
      </c>
      <c r="N35" s="1067">
        <v>0.27</v>
      </c>
      <c r="O35" s="315">
        <v>0.02</v>
      </c>
      <c r="P35" s="797">
        <f t="shared" si="1"/>
        <v>0.29000000000000004</v>
      </c>
      <c r="Q35" s="732">
        <f t="shared" si="2"/>
        <v>3.2460000000000004</v>
      </c>
      <c r="R35" s="722">
        <f>Assumptions!$B$34</f>
        <v>0.3124588923076923</v>
      </c>
      <c r="S35" s="730">
        <f t="shared" si="3"/>
        <v>4.9205491759702946</v>
      </c>
      <c r="T35" s="572"/>
      <c r="V35" s="581">
        <f>Assumptions!$B$42</f>
        <v>0</v>
      </c>
      <c r="W35" s="581"/>
      <c r="X35" s="461"/>
      <c r="Y35" s="783">
        <f>Assumptions!$B$7</f>
        <v>312</v>
      </c>
      <c r="Z35" s="570">
        <f t="shared" si="4"/>
        <v>0</v>
      </c>
      <c r="AA35" s="592">
        <f t="shared" si="5"/>
        <v>0</v>
      </c>
      <c r="AB35" s="589">
        <f t="shared" si="6"/>
        <v>0</v>
      </c>
      <c r="AC35" s="462"/>
      <c r="AD35" s="1027">
        <f>IF(Tables!$E$30="Michigan",INDEX('Michigan Curve'!$A$4:$S$256,MATCH('Monthly Table'!B35,'Michigan Curve'!$A$4:$A$256,0),MATCH("Michigan Selected Option Value US$/month",'Michigan Curve'!$A$4:$S$4,0)),INDEX('NY Curve'!$A$4:$T$256,MATCH('Monthly Table'!B35,'NY Curve'!$A$4:$A$256,0),MATCH("New York Selected Option Value US$/month",'NY Curve'!$A$4:$T$4,0)))</f>
        <v>95105.393070896927</v>
      </c>
      <c r="AE35" s="601">
        <f t="shared" si="23"/>
        <v>135013.62838383016</v>
      </c>
      <c r="AF35" s="462"/>
      <c r="AG35" s="915"/>
      <c r="AH35" s="462"/>
      <c r="AI35" s="799">
        <f>Assumptions!$B$50</f>
        <v>65</v>
      </c>
      <c r="AJ35" s="743"/>
      <c r="AK35" s="924">
        <f>IF(Tables!$E$30="Custom",'Monthly Table'!AI35,IF(Tables!$E$30="New York",INDEX('NY Curve'!$A$4:$G$256,MATCH('Monthly Table'!B35,'NY Curve'!$A$4:$A$256,0),MATCH("Super Peak Curve",'NY Curve'!$A$4:$G$4,0)),IF(Tables!$E$30="New York Flat",INDEX('NY Curve'!$A$4:$G$256,MATCH('Monthly Table'!B35,'NY Curve'!$A$4:$A$256,0),MATCH("Flat NY West",'NY Curve'!$A$4:$G$4,0)),INDEX('Michigan Curve'!$A$4:$F$256,MATCH('Monthly Table'!B35,'Michigan Curve'!$A$4:$A$256,0),MATCH("Michigan Super Peak Curve US$/MWhr",'Michigan Curve'!$A$4:$F$4,0)))))</f>
        <v>30.549000389099124</v>
      </c>
      <c r="AL35" s="965">
        <f>IF(D35&lt;=Tables!$B$21,IF($AL$10=$AI$10,AI35,IF($AL$10=$AJ$10,AJ35,IF($AL$10=$AK$10,AK35,0))),0)</f>
        <v>30.549000389099124</v>
      </c>
      <c r="AM35" s="708">
        <f t="shared" si="24"/>
        <v>43.368007353238667</v>
      </c>
      <c r="AN35" s="916">
        <f t="shared" si="25"/>
        <v>0</v>
      </c>
      <c r="AO35" s="905"/>
      <c r="AP35" s="925"/>
      <c r="AQ35" s="926">
        <f>IF(Tables!$E$30="New York",INDEX('NY Curve'!$A$4:$L$256,MATCH('Monthly Table'!B35,'NY Curve'!$A$4:$A$256,0),MATCH("New York Shoulder Hour Curve Mon-Fri",'NY Curve'!$A$4:$L$4,0)),IF(Tables!$E$30="Michigan",INDEX('Michigan Curve'!$A$4:$K$256,MATCH('Monthly Table'!B35,'Michigan Curve'!$A$4:$A$256,0),MATCH("Michigan Shoulder Hour Curve Mon-Fri",'Michigan Curve'!$A$4:$K$4,0))))</f>
        <v>29.351000373840332</v>
      </c>
      <c r="AR35" s="708">
        <f t="shared" si="26"/>
        <v>41.667301182523424</v>
      </c>
      <c r="AS35" s="927">
        <f t="shared" si="7"/>
        <v>0</v>
      </c>
      <c r="AT35" s="462"/>
      <c r="AU35" s="926">
        <f>IF(Tables!$E$30="New York",INDEX('NY Curve'!$A$4:$L$256,MATCH('Monthly Table'!$B35,'NY Curve'!$A$4:$A$256,0),MATCH("New York Saturday Super Peak",'NY Curve'!$A$4:$L$4,0)),IF(Tables!$E$30="Michigan",INDEX('Michigan Curve'!$A$4:$K$256,MATCH('Monthly Table'!$B35,'Michigan Curve'!$A$4:$A$256,0),MATCH("Michigan Saturday Super Peak",'Michigan Curve'!$A$4:$K$4,0))))</f>
        <v>22.44</v>
      </c>
      <c r="AV35" s="925">
        <f t="shared" si="8"/>
        <v>31.856298818665678</v>
      </c>
      <c r="AW35" s="927">
        <f t="shared" si="9"/>
        <v>0</v>
      </c>
      <c r="AX35" s="926">
        <f>IF(Tables!$E$30="New York",INDEX('NY Curve'!$A$4:$L$256,MATCH('Monthly Table'!$B35,'NY Curve'!$A$4:$A$256,0),MATCH("New York Saturday Shoulder Peak",'NY Curve'!$A$4:$L$4,0)),IF(Tables!$E$30="Michigan",INDEX('Michigan Curve'!$A$4:$K$256,MATCH('Monthly Table'!$B35,'Michigan Curve'!$A$4:$A$256,0),MATCH("Michigan Saturday Shoulder Peak",'Michigan Curve'!$A$4:$K$4,0))))</f>
        <v>21.56</v>
      </c>
      <c r="AY35" s="934">
        <f t="shared" si="27"/>
        <v>30.607032198325843</v>
      </c>
      <c r="AZ35" s="927">
        <f t="shared" si="10"/>
        <v>0</v>
      </c>
      <c r="BA35" s="462"/>
      <c r="BB35" s="926">
        <f>IF(Tables!$E$30="New York",INDEX('NY Curve'!$A$4:$M$256,MATCH('Monthly Table'!$B35,'NY Curve'!$A$4:$A$256,0),MATCH("NY Sunday Super Peak",'NY Curve'!$A$4:$M$4,0)),IF(Tables!$E$30="Michigan",INDEX('Michigan Curve'!$A$4:$L$256,MATCH('Monthly Table'!$B35,'Michigan Curve'!$A$4:$A$256,0),MATCH("Michigan Sunday Super Peak",'Michigan Curve'!$A$4:$L$4,0))))</f>
        <v>21.42</v>
      </c>
      <c r="BC35" s="925">
        <f t="shared" si="28"/>
        <v>30.408285235999056</v>
      </c>
      <c r="BD35" s="927">
        <f t="shared" si="11"/>
        <v>0</v>
      </c>
      <c r="BE35" s="462"/>
      <c r="BF35" s="598">
        <f t="shared" si="12"/>
        <v>37622</v>
      </c>
      <c r="BG35" s="583">
        <f t="shared" si="29"/>
        <v>0</v>
      </c>
      <c r="BH35" s="583">
        <f t="shared" si="13"/>
        <v>0</v>
      </c>
      <c r="BI35" s="315">
        <f t="shared" si="30"/>
        <v>0</v>
      </c>
      <c r="BJ35" s="987">
        <f>IF('Monthly Table'!D35&lt;=Tables!$B$21,IF($BJ$10=$BG$10,BG35,IF($BJ$10=$BH$10,BH35,IF($BJ$10=$BI$10,BI35,0))),0)</f>
        <v>0</v>
      </c>
      <c r="BK35" s="43"/>
      <c r="BL35" s="987">
        <f t="shared" si="31"/>
        <v>0</v>
      </c>
      <c r="BM35" s="987">
        <f t="shared" si="32"/>
        <v>0</v>
      </c>
      <c r="BO35" s="987">
        <f t="shared" si="14"/>
        <v>0</v>
      </c>
      <c r="BP35" s="987">
        <f t="shared" si="33"/>
        <v>0</v>
      </c>
      <c r="BR35" s="993">
        <f>IF(BJ35&gt;0,INDEX(OperationalDetail,MATCH("Capacity Degradation",ODColumn,0),MATCH('Monthly Table'!C35,ODRow,0)),0)</f>
        <v>0</v>
      </c>
      <c r="BS35" s="994">
        <f>BJ35*(1-BR35)*Tables!$C$10</f>
        <v>0</v>
      </c>
      <c r="BT35" s="601">
        <f t="shared" si="15"/>
        <v>0</v>
      </c>
      <c r="BU35" s="601">
        <f t="shared" si="16"/>
        <v>0</v>
      </c>
      <c r="BV35" s="462"/>
      <c r="BW35" s="785">
        <f>$BO35*(1-$BR35)*Tables!$C$36</f>
        <v>0</v>
      </c>
      <c r="BX35" s="602">
        <f t="shared" si="34"/>
        <v>0</v>
      </c>
      <c r="BY35" s="601">
        <f t="shared" si="35"/>
        <v>0</v>
      </c>
      <c r="BZ35" s="462"/>
      <c r="CA35" s="785">
        <f>$BL35*(1-$BR35)*Tables!$C$36</f>
        <v>0</v>
      </c>
      <c r="CB35" s="602">
        <f t="shared" si="36"/>
        <v>0</v>
      </c>
      <c r="CC35" s="601">
        <f t="shared" si="37"/>
        <v>0</v>
      </c>
      <c r="CD35" s="785">
        <f>$BP35*(1-$BR35)*Tables!$C$36</f>
        <v>0</v>
      </c>
      <c r="CE35" s="602">
        <f t="shared" si="38"/>
        <v>0</v>
      </c>
      <c r="CF35" s="601">
        <f t="shared" si="39"/>
        <v>0</v>
      </c>
      <c r="CH35" s="785">
        <f>$BM35*(1-$BR35)*Tables!$C$36</f>
        <v>0</v>
      </c>
      <c r="CI35" s="602">
        <f t="shared" si="40"/>
        <v>0</v>
      </c>
      <c r="CJ35" s="601">
        <f t="shared" si="41"/>
        <v>0</v>
      </c>
      <c r="CK35" s="304"/>
      <c r="CL35" s="304">
        <f t="shared" si="42"/>
        <v>2002</v>
      </c>
      <c r="CM35" s="1018">
        <f>INDEX(OperationalDetail,MATCH("Degraded Heat Rate",ODColumn,0),MATCH('Monthly Table'!CL35,ODRow,0))/1000</f>
        <v>12.098736000000001</v>
      </c>
      <c r="CN35" s="737">
        <f t="shared" si="17"/>
        <v>59.532425455082141</v>
      </c>
      <c r="CO35" s="1019">
        <f>IF(A35="January",(CO34*(1+Assumptions!$E$32)),CO34)</f>
        <v>7.0077442500000018</v>
      </c>
      <c r="CP35" s="741">
        <f t="shared" si="18"/>
        <v>66.54016970508215</v>
      </c>
      <c r="CQ35" s="304"/>
      <c r="CR35" s="575" t="str">
        <f t="shared" si="43"/>
        <v/>
      </c>
      <c r="CS35" s="575" t="str">
        <f t="shared" si="44"/>
        <v/>
      </c>
      <c r="CT35" s="575" t="str">
        <f t="shared" si="45"/>
        <v/>
      </c>
      <c r="CU35" s="575" t="str">
        <f t="shared" si="46"/>
        <v/>
      </c>
      <c r="CV35" s="575" t="str">
        <f t="shared" si="47"/>
        <v/>
      </c>
      <c r="CW35" s="576">
        <f t="shared" si="19"/>
        <v>2003</v>
      </c>
      <c r="CX35" s="787">
        <f>INDEX('NY Curve'!$A$4:$G$256,MATCH('Monthly Table'!B35,'NY Curve'!$A$4:$A$256,0),MATCH("New York 5 X 16",'NY Curve'!$A$4:$G$4,0))</f>
        <v>31.65</v>
      </c>
      <c r="CY35" s="632">
        <f t="shared" si="20"/>
        <v>1.41962115947708</v>
      </c>
      <c r="CZ35" s="633">
        <f t="shared" si="21"/>
        <v>44.931009697449582</v>
      </c>
      <c r="DB35" s="857"/>
      <c r="DC35" s="857"/>
    </row>
    <row r="36" spans="1:107" ht="18.75" customHeight="1">
      <c r="A36" s="17" t="s">
        <v>438</v>
      </c>
      <c r="B36" s="508">
        <v>37653</v>
      </c>
      <c r="C36" s="43">
        <f t="shared" si="0"/>
        <v>2003</v>
      </c>
      <c r="D36" s="719">
        <f t="shared" si="48"/>
        <v>3</v>
      </c>
      <c r="E36" s="972">
        <v>20</v>
      </c>
      <c r="F36" s="971">
        <v>4</v>
      </c>
      <c r="G36" s="971">
        <v>4</v>
      </c>
      <c r="H36" s="971">
        <v>0</v>
      </c>
      <c r="I36" s="976">
        <f t="shared" si="22"/>
        <v>28</v>
      </c>
      <c r="J36" s="621"/>
      <c r="K36" s="572">
        <f>INDEX(FX!$A$3:$C$362,MATCH(B36,FX!$A$3:$A$362,0),MATCH("Monthly Curve",FX!$A$2:$C$2,0))</f>
        <v>1.4185547224725601</v>
      </c>
      <c r="L36" s="572"/>
      <c r="M36" s="1057">
        <v>2.843</v>
      </c>
      <c r="N36" s="1067">
        <v>0.3</v>
      </c>
      <c r="O36" s="315">
        <v>0.02</v>
      </c>
      <c r="P36" s="797">
        <f t="shared" si="1"/>
        <v>0.32</v>
      </c>
      <c r="Q36" s="732">
        <f t="shared" si="2"/>
        <v>3.1629999999999998</v>
      </c>
      <c r="R36" s="722">
        <f>Assumptions!$B$34</f>
        <v>0.3124588923076923</v>
      </c>
      <c r="S36" s="730">
        <f t="shared" si="3"/>
        <v>4.7993474794883992</v>
      </c>
      <c r="T36" s="572"/>
      <c r="V36" s="581">
        <f>Assumptions!$B$42</f>
        <v>0</v>
      </c>
      <c r="W36" s="581"/>
      <c r="X36" s="461"/>
      <c r="Y36" s="783">
        <f>Assumptions!$B$7</f>
        <v>312</v>
      </c>
      <c r="Z36" s="570">
        <f t="shared" si="4"/>
        <v>0</v>
      </c>
      <c r="AA36" s="592">
        <f t="shared" si="5"/>
        <v>0</v>
      </c>
      <c r="AB36" s="589">
        <f t="shared" si="6"/>
        <v>0</v>
      </c>
      <c r="AC36" s="462"/>
      <c r="AD36" s="1027">
        <f>IF(Tables!$E$30="Michigan",INDEX('Michigan Curve'!$A$4:$S$256,MATCH('Monthly Table'!B36,'Michigan Curve'!$A$4:$A$256,0),MATCH("Michigan Selected Option Value US$/month",'Michigan Curve'!$A$4:$S$4,0)),INDEX('NY Curve'!$A$4:$T$256,MATCH('Monthly Table'!B36,'NY Curve'!$A$4:$A$256,0),MATCH("New York Selected Option Value US$/month",'NY Curve'!$A$4:$T$4,0)))</f>
        <v>91947.799999265262</v>
      </c>
      <c r="AE36" s="601">
        <f t="shared" si="23"/>
        <v>130432.9859099202</v>
      </c>
      <c r="AF36" s="462"/>
      <c r="AG36" s="915"/>
      <c r="AH36" s="462"/>
      <c r="AI36" s="799">
        <f>Assumptions!$B$50</f>
        <v>65</v>
      </c>
      <c r="AJ36" s="743"/>
      <c r="AK36" s="924">
        <f>IF(Tables!$E$30="Custom",'Monthly Table'!AI36,IF(Tables!$E$30="New York",INDEX('NY Curve'!$A$4:$G$256,MATCH('Monthly Table'!B36,'NY Curve'!$A$4:$A$256,0),MATCH("Super Peak Curve",'NY Curve'!$A$4:$G$4,0)),IF(Tables!$E$30="New York Flat",INDEX('NY Curve'!$A$4:$G$256,MATCH('Monthly Table'!B36,'NY Curve'!$A$4:$A$256,0),MATCH("Flat NY West",'NY Curve'!$A$4:$G$4,0)),INDEX('Michigan Curve'!$A$4:$F$256,MATCH('Monthly Table'!B36,'Michigan Curve'!$A$4:$A$256,0),MATCH("Michigan Super Peak Curve US$/MWhr",'Michigan Curve'!$A$4:$F$4,0)))))</f>
        <v>30.548998443603519</v>
      </c>
      <c r="AL36" s="965">
        <f>IF(D36&lt;=Tables!$B$21,IF($AL$10=$AI$10,AI36,IF($AL$10=$AJ$10,AJ36,IF($AL$10=$AK$10,AK36,0))),0)</f>
        <v>30.548998443603519</v>
      </c>
      <c r="AM36" s="708">
        <f t="shared" si="24"/>
        <v>43.335426008980662</v>
      </c>
      <c r="AN36" s="916">
        <f t="shared" si="25"/>
        <v>0</v>
      </c>
      <c r="AO36" s="905"/>
      <c r="AP36" s="925"/>
      <c r="AQ36" s="926">
        <f>IF(Tables!$E$30="New York",INDEX('NY Curve'!$A$4:$L$256,MATCH('Monthly Table'!B36,'NY Curve'!$A$4:$A$256,0),MATCH("New York Shoulder Hour Curve Mon-Fri",'NY Curve'!$A$4:$L$4,0)),IF(Tables!$E$30="Michigan",INDEX('Michigan Curve'!$A$4:$K$256,MATCH('Monthly Table'!B36,'Michigan Curve'!$A$4:$A$256,0),MATCH("Michigan Shoulder Hour Curve Mon-Fri",'Michigan Curve'!$A$4:$K$4,0))))</f>
        <v>29.350998504638671</v>
      </c>
      <c r="AR36" s="708">
        <f t="shared" si="26"/>
        <v>41.635997538040236</v>
      </c>
      <c r="AS36" s="927">
        <f t="shared" si="7"/>
        <v>0</v>
      </c>
      <c r="AT36" s="462"/>
      <c r="AU36" s="926">
        <f>IF(Tables!$E$30="New York",INDEX('NY Curve'!$A$4:$L$256,MATCH('Monthly Table'!$B36,'NY Curve'!$A$4:$A$256,0),MATCH("New York Saturday Super Peak",'NY Curve'!$A$4:$L$4,0)),IF(Tables!$E$30="Michigan",INDEX('Michigan Curve'!$A$4:$K$256,MATCH('Monthly Table'!$B36,'Michigan Curve'!$A$4:$A$256,0),MATCH("Michigan Saturday Super Peak",'Michigan Curve'!$A$4:$K$4,0))))</f>
        <v>22.435920295715331</v>
      </c>
      <c r="AV36" s="925">
        <f t="shared" si="8"/>
        <v>31.82658068850494</v>
      </c>
      <c r="AW36" s="927">
        <f t="shared" si="9"/>
        <v>0</v>
      </c>
      <c r="AX36" s="926">
        <f>IF(Tables!$E$30="New York",INDEX('NY Curve'!$A$4:$L$256,MATCH('Monthly Table'!$B36,'NY Curve'!$A$4:$A$256,0),MATCH("New York Saturday Shoulder Peak",'NY Curve'!$A$4:$L$4,0)),IF(Tables!$E$30="Michigan",INDEX('Michigan Curve'!$A$4:$K$256,MATCH('Monthly Table'!$B36,'Michigan Curve'!$A$4:$A$256,0),MATCH("Michigan Saturday Shoulder Peak",'Michigan Curve'!$A$4:$K$4,0))))</f>
        <v>21.556080284118654</v>
      </c>
      <c r="AY36" s="934">
        <f t="shared" si="27"/>
        <v>30.578479485034162</v>
      </c>
      <c r="AZ36" s="927">
        <f t="shared" si="10"/>
        <v>0</v>
      </c>
      <c r="BA36" s="462"/>
      <c r="BB36" s="926">
        <f>IF(Tables!$E$30="New York",INDEX('NY Curve'!$A$4:$M$256,MATCH('Monthly Table'!$B36,'NY Curve'!$A$4:$A$256,0),MATCH("NY Sunday Super Peak",'NY Curve'!$A$4:$M$4,0)),IF(Tables!$E$30="Michigan",INDEX('Michigan Curve'!$A$4:$L$256,MATCH('Monthly Table'!$B36,'Michigan Curve'!$A$4:$A$256,0),MATCH("Michigan Sunday Super Peak",'Michigan Curve'!$A$4:$L$4,0))))</f>
        <v>21.416431961059569</v>
      </c>
      <c r="BC36" s="925">
        <f t="shared" si="28"/>
        <v>30.380380696873324</v>
      </c>
      <c r="BD36" s="927">
        <f t="shared" si="11"/>
        <v>0</v>
      </c>
      <c r="BE36" s="462"/>
      <c r="BF36" s="598">
        <f t="shared" si="12"/>
        <v>37653</v>
      </c>
      <c r="BG36" s="583">
        <f t="shared" si="29"/>
        <v>0</v>
      </c>
      <c r="BH36" s="583">
        <f t="shared" si="13"/>
        <v>0</v>
      </c>
      <c r="BI36" s="315">
        <f t="shared" si="30"/>
        <v>0</v>
      </c>
      <c r="BJ36" s="987">
        <f>IF('Monthly Table'!D36&lt;=Tables!$B$21,IF($BJ$10=$BG$10,BG36,IF($BJ$10=$BH$10,BH36,IF($BJ$10=$BI$10,BI36,0))),0)</f>
        <v>0</v>
      </c>
      <c r="BK36" s="43"/>
      <c r="BL36" s="987">
        <f t="shared" si="31"/>
        <v>0</v>
      </c>
      <c r="BM36" s="987">
        <f t="shared" si="32"/>
        <v>0</v>
      </c>
      <c r="BO36" s="987">
        <f t="shared" si="14"/>
        <v>0</v>
      </c>
      <c r="BP36" s="987">
        <f t="shared" si="33"/>
        <v>0</v>
      </c>
      <c r="BR36" s="993">
        <f>IF(BJ36&gt;0,INDEX(OperationalDetail,MATCH("Capacity Degradation",ODColumn,0),MATCH('Monthly Table'!C36,ODRow,0)),0)</f>
        <v>0</v>
      </c>
      <c r="BS36" s="994">
        <f>BJ36*(1-BR36)*Tables!$C$10</f>
        <v>0</v>
      </c>
      <c r="BT36" s="601">
        <f t="shared" si="15"/>
        <v>0</v>
      </c>
      <c r="BU36" s="601">
        <f t="shared" si="16"/>
        <v>0</v>
      </c>
      <c r="BV36" s="462"/>
      <c r="BW36" s="785">
        <f>$BO36*(1-$BR36)*Tables!$C$36</f>
        <v>0</v>
      </c>
      <c r="BX36" s="602">
        <f t="shared" si="34"/>
        <v>0</v>
      </c>
      <c r="BY36" s="601">
        <f t="shared" si="35"/>
        <v>0</v>
      </c>
      <c r="BZ36" s="462"/>
      <c r="CA36" s="785">
        <f>$BL36*(1-$BR36)*Tables!$C$36</f>
        <v>0</v>
      </c>
      <c r="CB36" s="602">
        <f t="shared" si="36"/>
        <v>0</v>
      </c>
      <c r="CC36" s="601">
        <f t="shared" si="37"/>
        <v>0</v>
      </c>
      <c r="CD36" s="785">
        <f>$BP36*(1-$BR36)*Tables!$C$36</f>
        <v>0</v>
      </c>
      <c r="CE36" s="602">
        <f t="shared" si="38"/>
        <v>0</v>
      </c>
      <c r="CF36" s="601">
        <f t="shared" si="39"/>
        <v>0</v>
      </c>
      <c r="CH36" s="785">
        <f>$BM36*(1-$BR36)*Tables!$C$36</f>
        <v>0</v>
      </c>
      <c r="CI36" s="602">
        <f t="shared" si="40"/>
        <v>0</v>
      </c>
      <c r="CJ36" s="601">
        <f t="shared" si="41"/>
        <v>0</v>
      </c>
      <c r="CK36" s="304"/>
      <c r="CL36" s="304">
        <f t="shared" si="42"/>
        <v>2002</v>
      </c>
      <c r="CM36" s="1018">
        <f>INDEX(OperationalDetail,MATCH("Degraded Heat Rate",ODColumn,0),MATCH('Monthly Table'!CL36,ODRow,0))/1000</f>
        <v>12.098736000000001</v>
      </c>
      <c r="CN36" s="737">
        <f t="shared" si="17"/>
        <v>58.066038126595558</v>
      </c>
      <c r="CO36" s="1019">
        <f>IF(A36="January",(CO35*(1+Assumptions!$E$32)),CO35)</f>
        <v>7.0077442500000018</v>
      </c>
      <c r="CP36" s="741">
        <f t="shared" si="18"/>
        <v>65.07378237659556</v>
      </c>
      <c r="CQ36" s="304"/>
      <c r="CR36" s="575" t="str">
        <f t="shared" si="43"/>
        <v/>
      </c>
      <c r="CS36" s="575" t="str">
        <f t="shared" si="44"/>
        <v/>
      </c>
      <c r="CT36" s="575" t="str">
        <f t="shared" si="45"/>
        <v/>
      </c>
      <c r="CU36" s="575" t="str">
        <f t="shared" si="46"/>
        <v/>
      </c>
      <c r="CV36" s="575" t="str">
        <f t="shared" si="47"/>
        <v/>
      </c>
      <c r="CW36" s="576">
        <f t="shared" si="19"/>
        <v>2003</v>
      </c>
      <c r="CX36" s="787">
        <f>INDEX('NY Curve'!$A$4:$G$256,MATCH('Monthly Table'!B36,'NY Curve'!$A$4:$A$256,0),MATCH("New York 5 X 16",'NY Curve'!$A$4:$G$4,0))</f>
        <v>31.65</v>
      </c>
      <c r="CY36" s="632">
        <f t="shared" si="20"/>
        <v>1.4185547224725601</v>
      </c>
      <c r="CZ36" s="633">
        <f t="shared" si="21"/>
        <v>44.897256966256528</v>
      </c>
      <c r="DB36" s="857"/>
      <c r="DC36" s="857"/>
    </row>
    <row r="37" spans="1:107" ht="18.75" customHeight="1">
      <c r="A37" s="17" t="s">
        <v>439</v>
      </c>
      <c r="B37" s="508">
        <v>37681</v>
      </c>
      <c r="C37" s="43">
        <f t="shared" si="0"/>
        <v>2003</v>
      </c>
      <c r="D37" s="719">
        <f t="shared" si="48"/>
        <v>3</v>
      </c>
      <c r="E37" s="972">
        <v>21</v>
      </c>
      <c r="F37" s="971">
        <v>5</v>
      </c>
      <c r="G37" s="971">
        <v>5</v>
      </c>
      <c r="H37" s="971">
        <v>0</v>
      </c>
      <c r="I37" s="976">
        <f t="shared" si="22"/>
        <v>31</v>
      </c>
      <c r="J37" s="621"/>
      <c r="K37" s="572">
        <f>INDEX(FX!$A$3:$C$362,MATCH(B37,FX!$A$3:$A$362,0),MATCH("Monthly Curve",FX!$A$2:$C$2,0))</f>
        <v>1.4175891808282</v>
      </c>
      <c r="L37" s="572"/>
      <c r="M37" s="1057">
        <v>2.7280000000000002</v>
      </c>
      <c r="N37" s="1067">
        <v>0.3</v>
      </c>
      <c r="O37" s="315">
        <v>0.02</v>
      </c>
      <c r="P37" s="797">
        <f t="shared" si="1"/>
        <v>0.32</v>
      </c>
      <c r="Q37" s="732">
        <f t="shared" si="2"/>
        <v>3.048</v>
      </c>
      <c r="R37" s="722">
        <f>Assumptions!$B$34</f>
        <v>0.3124588923076923</v>
      </c>
      <c r="S37" s="730">
        <f t="shared" si="3"/>
        <v>4.6332707154720456</v>
      </c>
      <c r="T37" s="572"/>
      <c r="V37" s="581">
        <f>Assumptions!$B$42</f>
        <v>0</v>
      </c>
      <c r="W37" s="581"/>
      <c r="X37" s="461"/>
      <c r="Y37" s="783">
        <f>Assumptions!$B$7</f>
        <v>312</v>
      </c>
      <c r="Z37" s="570">
        <f t="shared" si="4"/>
        <v>0</v>
      </c>
      <c r="AA37" s="592">
        <f t="shared" si="5"/>
        <v>0</v>
      </c>
      <c r="AB37" s="589">
        <f t="shared" si="6"/>
        <v>0</v>
      </c>
      <c r="AC37" s="462"/>
      <c r="AD37" s="1027">
        <f>IF(Tables!$E$30="Michigan",INDEX('Michigan Curve'!$A$4:$S$256,MATCH('Monthly Table'!B37,'Michigan Curve'!$A$4:$A$256,0),MATCH("Michigan Selected Option Value US$/month",'Michigan Curve'!$A$4:$S$4,0)),INDEX('NY Curve'!$A$4:$T$256,MATCH('Monthly Table'!B37,'NY Curve'!$A$4:$A$256,0),MATCH("New York Selected Option Value US$/month",'NY Curve'!$A$4:$T$4,0)))</f>
        <v>12264.419010444441</v>
      </c>
      <c r="AE37" s="601">
        <f t="shared" si="23"/>
        <v>17385.907698349736</v>
      </c>
      <c r="AF37" s="462"/>
      <c r="AG37" s="915"/>
      <c r="AH37" s="462"/>
      <c r="AI37" s="799">
        <f>Assumptions!$B$50</f>
        <v>65</v>
      </c>
      <c r="AJ37" s="743"/>
      <c r="AK37" s="924">
        <f>IF(Tables!$E$30="Custom",'Monthly Table'!AI37,IF(Tables!$E$30="New York",INDEX('NY Curve'!$A$4:$G$256,MATCH('Monthly Table'!B37,'NY Curve'!$A$4:$A$256,0),MATCH("Super Peak Curve",'NY Curve'!$A$4:$G$4,0)),IF(Tables!$E$30="New York Flat",INDEX('NY Curve'!$A$4:$G$256,MATCH('Monthly Table'!B37,'NY Curve'!$A$4:$A$256,0),MATCH("Flat NY West",'NY Curve'!$A$4:$G$4,0)),INDEX('Michigan Curve'!$A$4:$F$256,MATCH('Monthly Table'!B37,'Michigan Curve'!$A$4:$A$256,0),MATCH("Michigan Super Peak Curve US$/MWhr",'Michigan Curve'!$A$4:$F$4,0)))))</f>
        <v>25.245000000000001</v>
      </c>
      <c r="AL37" s="965">
        <f>IF(D37&lt;=Tables!$B$21,IF($AL$10=$AI$10,AI37,IF($AL$10=$AJ$10,AJ37,IF($AL$10=$AK$10,AK37,0))),0)</f>
        <v>25.245000000000001</v>
      </c>
      <c r="AM37" s="708">
        <f t="shared" si="24"/>
        <v>35.787038870007912</v>
      </c>
      <c r="AN37" s="916">
        <f t="shared" si="25"/>
        <v>0</v>
      </c>
      <c r="AO37" s="905"/>
      <c r="AP37" s="925"/>
      <c r="AQ37" s="926">
        <f>IF(Tables!$E$30="New York",INDEX('NY Curve'!$A$4:$L$256,MATCH('Monthly Table'!B37,'NY Curve'!$A$4:$A$256,0),MATCH("New York Shoulder Hour Curve Mon-Fri",'NY Curve'!$A$4:$L$4,0)),IF(Tables!$E$30="Michigan",INDEX('Michigan Curve'!$A$4:$K$256,MATCH('Monthly Table'!B37,'Michigan Curve'!$A$4:$A$256,0),MATCH("Michigan Shoulder Hour Curve Mon-Fri",'Michigan Curve'!$A$4:$K$4,0))))</f>
        <v>24.254999999999999</v>
      </c>
      <c r="AR37" s="708">
        <f t="shared" si="26"/>
        <v>34.383625580987989</v>
      </c>
      <c r="AS37" s="927">
        <f t="shared" si="7"/>
        <v>0</v>
      </c>
      <c r="AT37" s="462"/>
      <c r="AU37" s="926">
        <f>IF(Tables!$E$30="New York",INDEX('NY Curve'!$A$4:$L$256,MATCH('Monthly Table'!$B37,'NY Curve'!$A$4:$A$256,0),MATCH("New York Saturday Super Peak",'NY Curve'!$A$4:$L$4,0)),IF(Tables!$E$30="Michigan",INDEX('Michigan Curve'!$A$4:$K$256,MATCH('Monthly Table'!$B37,'Michigan Curve'!$A$4:$A$256,0),MATCH("Michigan Saturday Super Peak",'Michigan Curve'!$A$4:$K$4,0))))</f>
        <v>20.399999999999999</v>
      </c>
      <c r="AV37" s="925">
        <f t="shared" si="8"/>
        <v>28.918819288895278</v>
      </c>
      <c r="AW37" s="927">
        <f t="shared" si="9"/>
        <v>0</v>
      </c>
      <c r="AX37" s="926">
        <f>IF(Tables!$E$30="New York",INDEX('NY Curve'!$A$4:$L$256,MATCH('Monthly Table'!$B37,'NY Curve'!$A$4:$A$256,0),MATCH("New York Saturday Shoulder Peak",'NY Curve'!$A$4:$L$4,0)),IF(Tables!$E$30="Michigan",INDEX('Michigan Curve'!$A$4:$K$256,MATCH('Monthly Table'!$B37,'Michigan Curve'!$A$4:$A$256,0),MATCH("Michigan Saturday Shoulder Peak",'Michigan Curve'!$A$4:$K$4,0))))</f>
        <v>19.600000000000001</v>
      </c>
      <c r="AY37" s="934">
        <f t="shared" si="27"/>
        <v>27.78474794423272</v>
      </c>
      <c r="AZ37" s="927">
        <f t="shared" si="10"/>
        <v>0</v>
      </c>
      <c r="BA37" s="462"/>
      <c r="BB37" s="926">
        <f>IF(Tables!$E$30="New York",INDEX('NY Curve'!$A$4:$M$256,MATCH('Monthly Table'!$B37,'NY Curve'!$A$4:$A$256,0),MATCH("NY Sunday Super Peak",'NY Curve'!$A$4:$M$4,0)),IF(Tables!$E$30="Michigan",INDEX('Michigan Curve'!$A$4:$L$256,MATCH('Monthly Table'!$B37,'Michigan Curve'!$A$4:$A$256,0),MATCH("Michigan Sunday Super Peak",'Michigan Curve'!$A$4:$L$4,0))))</f>
        <v>19.38</v>
      </c>
      <c r="BC37" s="925">
        <f t="shared" si="28"/>
        <v>27.472878324450512</v>
      </c>
      <c r="BD37" s="927">
        <f t="shared" si="11"/>
        <v>0</v>
      </c>
      <c r="BE37" s="462"/>
      <c r="BF37" s="598">
        <f t="shared" si="12"/>
        <v>37681</v>
      </c>
      <c r="BG37" s="583">
        <f t="shared" si="29"/>
        <v>0</v>
      </c>
      <c r="BH37" s="583">
        <f t="shared" si="13"/>
        <v>0</v>
      </c>
      <c r="BI37" s="315">
        <f t="shared" si="30"/>
        <v>0</v>
      </c>
      <c r="BJ37" s="987">
        <f>IF('Monthly Table'!D37&lt;=Tables!$B$21,IF($BJ$10=$BG$10,BG37,IF($BJ$10=$BH$10,BH37,IF($BJ$10=$BI$10,BI37,0))),0)</f>
        <v>0</v>
      </c>
      <c r="BK37" s="43"/>
      <c r="BL37" s="987">
        <f t="shared" si="31"/>
        <v>0</v>
      </c>
      <c r="BM37" s="987">
        <f t="shared" si="32"/>
        <v>0</v>
      </c>
      <c r="BO37" s="987">
        <f t="shared" si="14"/>
        <v>0</v>
      </c>
      <c r="BP37" s="987">
        <f t="shared" si="33"/>
        <v>0</v>
      </c>
      <c r="BR37" s="993">
        <f>IF(BJ37&gt;0,INDEX(OperationalDetail,MATCH("Capacity Degradation",ODColumn,0),MATCH('Monthly Table'!C37,ODRow,0)),0)</f>
        <v>0</v>
      </c>
      <c r="BS37" s="994">
        <f>BJ37*(1-BR37)*Tables!$C$10</f>
        <v>0</v>
      </c>
      <c r="BT37" s="601">
        <f t="shared" si="15"/>
        <v>0</v>
      </c>
      <c r="BU37" s="601">
        <f t="shared" si="16"/>
        <v>0</v>
      </c>
      <c r="BV37" s="462"/>
      <c r="BW37" s="785">
        <f>$BO37*(1-$BR37)*Tables!$C$36</f>
        <v>0</v>
      </c>
      <c r="BX37" s="602">
        <f t="shared" si="34"/>
        <v>0</v>
      </c>
      <c r="BY37" s="601">
        <f t="shared" si="35"/>
        <v>0</v>
      </c>
      <c r="BZ37" s="462"/>
      <c r="CA37" s="785">
        <f>$BL37*(1-$BR37)*Tables!$C$36</f>
        <v>0</v>
      </c>
      <c r="CB37" s="602">
        <f t="shared" si="36"/>
        <v>0</v>
      </c>
      <c r="CC37" s="601">
        <f t="shared" si="37"/>
        <v>0</v>
      </c>
      <c r="CD37" s="785">
        <f>$BP37*(1-$BR37)*Tables!$C$36</f>
        <v>0</v>
      </c>
      <c r="CE37" s="602">
        <f t="shared" si="38"/>
        <v>0</v>
      </c>
      <c r="CF37" s="601">
        <f t="shared" si="39"/>
        <v>0</v>
      </c>
      <c r="CH37" s="785">
        <f>$BM37*(1-$BR37)*Tables!$C$36</f>
        <v>0</v>
      </c>
      <c r="CI37" s="602">
        <f t="shared" si="40"/>
        <v>0</v>
      </c>
      <c r="CJ37" s="601">
        <f t="shared" si="41"/>
        <v>0</v>
      </c>
      <c r="CK37" s="304"/>
      <c r="CL37" s="304">
        <f t="shared" si="42"/>
        <v>2002</v>
      </c>
      <c r="CM37" s="1018">
        <f>INDEX(OperationalDetail,MATCH("Degraded Heat Rate",ODColumn,0),MATCH('Monthly Table'!CL37,ODRow,0))/1000</f>
        <v>12.098736000000001</v>
      </c>
      <c r="CN37" s="737">
        <f t="shared" si="17"/>
        <v>56.056719203027399</v>
      </c>
      <c r="CO37" s="1019">
        <f>IF(A37="January",(CO36*(1+Assumptions!$E$32)),CO36)</f>
        <v>7.0077442500000018</v>
      </c>
      <c r="CP37" s="741">
        <f t="shared" si="18"/>
        <v>63.0644634530274</v>
      </c>
      <c r="CQ37" s="304"/>
      <c r="CR37" s="575" t="str">
        <f t="shared" si="43"/>
        <v/>
      </c>
      <c r="CS37" s="575" t="str">
        <f t="shared" si="44"/>
        <v/>
      </c>
      <c r="CT37" s="575" t="str">
        <f t="shared" si="45"/>
        <v/>
      </c>
      <c r="CU37" s="575" t="str">
        <f t="shared" si="46"/>
        <v/>
      </c>
      <c r="CV37" s="575" t="str">
        <f t="shared" si="47"/>
        <v/>
      </c>
      <c r="CW37" s="576">
        <f t="shared" si="19"/>
        <v>2003</v>
      </c>
      <c r="CX37" s="787">
        <f>INDEX('NY Curve'!$A$4:$G$256,MATCH('Monthly Table'!B37,'NY Curve'!$A$4:$A$256,0),MATCH("New York 5 X 16",'NY Curve'!$A$4:$G$4,0))</f>
        <v>26.65</v>
      </c>
      <c r="CY37" s="632">
        <f t="shared" si="20"/>
        <v>1.4175891808282</v>
      </c>
      <c r="CZ37" s="633">
        <f t="shared" si="21"/>
        <v>37.778751669071525</v>
      </c>
      <c r="DB37" s="857"/>
      <c r="DC37" s="857"/>
    </row>
    <row r="38" spans="1:107" ht="18.75" customHeight="1">
      <c r="A38" s="17" t="s">
        <v>440</v>
      </c>
      <c r="B38" s="508">
        <v>37712</v>
      </c>
      <c r="C38" s="43">
        <f t="shared" si="0"/>
        <v>2003</v>
      </c>
      <c r="D38" s="719">
        <f t="shared" si="48"/>
        <v>3</v>
      </c>
      <c r="E38" s="972">
        <v>22</v>
      </c>
      <c r="F38" s="971">
        <v>4</v>
      </c>
      <c r="G38" s="971">
        <v>4</v>
      </c>
      <c r="H38" s="971">
        <v>0</v>
      </c>
      <c r="I38" s="976">
        <f t="shared" si="22"/>
        <v>30</v>
      </c>
      <c r="J38" s="621"/>
      <c r="K38" s="572">
        <f>INDEX(FX!$A$3:$C$362,MATCH(B38,FX!$A$3:$A$362,0),MATCH("Monthly Curve",FX!$A$2:$C$2,0))</f>
        <v>1.4165599623596901</v>
      </c>
      <c r="L38" s="572"/>
      <c r="M38" s="1057">
        <v>2.6605000000000003</v>
      </c>
      <c r="N38" s="1067">
        <v>0.13500000000000001</v>
      </c>
      <c r="O38" s="315">
        <v>0.02</v>
      </c>
      <c r="P38" s="797">
        <f t="shared" si="1"/>
        <v>0.155</v>
      </c>
      <c r="Q38" s="732">
        <f t="shared" si="2"/>
        <v>2.8155000000000006</v>
      </c>
      <c r="R38" s="722">
        <f>Assumptions!$B$34</f>
        <v>0.3124588923076923</v>
      </c>
      <c r="S38" s="730">
        <f t="shared" si="3"/>
        <v>4.3007834663314002</v>
      </c>
      <c r="T38" s="572"/>
      <c r="V38" s="581">
        <f>Assumptions!$B$42</f>
        <v>0</v>
      </c>
      <c r="W38" s="581"/>
      <c r="X38" s="461"/>
      <c r="Y38" s="783">
        <f>Assumptions!$B$7</f>
        <v>312</v>
      </c>
      <c r="Z38" s="570">
        <f t="shared" si="4"/>
        <v>0</v>
      </c>
      <c r="AA38" s="592">
        <f t="shared" si="5"/>
        <v>0</v>
      </c>
      <c r="AB38" s="589">
        <f t="shared" si="6"/>
        <v>0</v>
      </c>
      <c r="AC38" s="462"/>
      <c r="AD38" s="1027">
        <f>IF(Tables!$E$30="Michigan",INDEX('Michigan Curve'!$A$4:$S$256,MATCH('Monthly Table'!B38,'Michigan Curve'!$A$4:$A$256,0),MATCH("Michigan Selected Option Value US$/month",'Michigan Curve'!$A$4:$S$4,0)),INDEX('NY Curve'!$A$4:$T$256,MATCH('Monthly Table'!B38,'NY Curve'!$A$4:$A$256,0),MATCH("New York Selected Option Value US$/month",'NY Curve'!$A$4:$T$4,0)))</f>
        <v>20834.446148182953</v>
      </c>
      <c r="AE38" s="601">
        <f t="shared" si="23"/>
        <v>29513.242251455034</v>
      </c>
      <c r="AF38" s="462"/>
      <c r="AG38" s="915"/>
      <c r="AH38" s="462"/>
      <c r="AI38" s="799">
        <f>Assumptions!$B$50</f>
        <v>65</v>
      </c>
      <c r="AJ38" s="743"/>
      <c r="AK38" s="924">
        <f>IF(Tables!$E$30="Custom",'Monthly Table'!AI38,IF(Tables!$E$30="New York",INDEX('NY Curve'!$A$4:$G$256,MATCH('Monthly Table'!B38,'NY Curve'!$A$4:$A$256,0),MATCH("Super Peak Curve",'NY Curve'!$A$4:$G$4,0)),IF(Tables!$E$30="New York Flat",INDEX('NY Curve'!$A$4:$G$256,MATCH('Monthly Table'!B38,'NY Curve'!$A$4:$A$256,0),MATCH("Flat NY West",'NY Curve'!$A$4:$G$4,0)),INDEX('Michigan Curve'!$A$4:$F$256,MATCH('Monthly Table'!B38,'Michigan Curve'!$A$4:$A$256,0),MATCH("Michigan Super Peak Curve US$/MWhr",'Michigan Curve'!$A$4:$F$4,0)))))</f>
        <v>25</v>
      </c>
      <c r="AL38" s="965">
        <f>IF(D38&lt;=Tables!$B$21,IF($AL$10=$AI$10,AI38,IF($AL$10=$AJ$10,AJ38,IF($AL$10=$AK$10,AK38,0))),0)</f>
        <v>25</v>
      </c>
      <c r="AM38" s="708">
        <f t="shared" si="24"/>
        <v>35.413999058992253</v>
      </c>
      <c r="AN38" s="916">
        <f t="shared" si="25"/>
        <v>0</v>
      </c>
      <c r="AO38" s="905"/>
      <c r="AP38" s="925"/>
      <c r="AQ38" s="926">
        <f>IF(Tables!$E$30="New York",INDEX('NY Curve'!$A$4:$L$256,MATCH('Monthly Table'!B38,'NY Curve'!$A$4:$A$256,0),MATCH("New York Shoulder Hour Curve Mon-Fri",'NY Curve'!$A$4:$L$4,0)),IF(Tables!$E$30="Michigan",INDEX('Michigan Curve'!$A$4:$K$256,MATCH('Monthly Table'!B38,'Michigan Curve'!$A$4:$A$256,0),MATCH("Michigan Shoulder Hour Curve Mon-Fri",'Michigan Curve'!$A$4:$K$4,0))))</f>
        <v>25</v>
      </c>
      <c r="AR38" s="708">
        <f t="shared" si="26"/>
        <v>35.413999058992253</v>
      </c>
      <c r="AS38" s="927">
        <f t="shared" si="7"/>
        <v>0</v>
      </c>
      <c r="AT38" s="462"/>
      <c r="AU38" s="926">
        <f>IF(Tables!$E$30="New York",INDEX('NY Curve'!$A$4:$L$256,MATCH('Monthly Table'!$B38,'NY Curve'!$A$4:$A$256,0),MATCH("New York Saturday Super Peak",'NY Curve'!$A$4:$L$4,0)),IF(Tables!$E$30="Michigan",INDEX('Michigan Curve'!$A$4:$K$256,MATCH('Monthly Table'!$B38,'Michigan Curve'!$A$4:$A$256,0),MATCH("Michigan Saturday Super Peak",'Michigan Curve'!$A$4:$K$4,0))))</f>
        <v>20</v>
      </c>
      <c r="AV38" s="925">
        <f t="shared" si="8"/>
        <v>28.331199247193801</v>
      </c>
      <c r="AW38" s="927">
        <f t="shared" si="9"/>
        <v>0</v>
      </c>
      <c r="AX38" s="926">
        <f>IF(Tables!$E$30="New York",INDEX('NY Curve'!$A$4:$L$256,MATCH('Monthly Table'!$B38,'NY Curve'!$A$4:$A$256,0),MATCH("New York Saturday Shoulder Peak",'NY Curve'!$A$4:$L$4,0)),IF(Tables!$E$30="Michigan",INDEX('Michigan Curve'!$A$4:$K$256,MATCH('Monthly Table'!$B38,'Michigan Curve'!$A$4:$A$256,0),MATCH("Michigan Saturday Shoulder Peak",'Michigan Curve'!$A$4:$K$4,0))))</f>
        <v>20</v>
      </c>
      <c r="AY38" s="934">
        <f t="shared" si="27"/>
        <v>28.331199247193801</v>
      </c>
      <c r="AZ38" s="927">
        <f t="shared" si="10"/>
        <v>0</v>
      </c>
      <c r="BA38" s="462"/>
      <c r="BB38" s="926">
        <f>IF(Tables!$E$30="New York",INDEX('NY Curve'!$A$4:$M$256,MATCH('Monthly Table'!$B38,'NY Curve'!$A$4:$A$256,0),MATCH("NY Sunday Super Peak",'NY Curve'!$A$4:$M$4,0)),IF(Tables!$E$30="Michigan",INDEX('Michigan Curve'!$A$4:$L$256,MATCH('Monthly Table'!$B38,'Michigan Curve'!$A$4:$A$256,0),MATCH("Michigan Sunday Super Peak",'Michigan Curve'!$A$4:$L$4,0))))</f>
        <v>18.995000839233398</v>
      </c>
      <c r="BC38" s="925">
        <f t="shared" si="28"/>
        <v>26.907557673846743</v>
      </c>
      <c r="BD38" s="927">
        <f t="shared" si="11"/>
        <v>0</v>
      </c>
      <c r="BE38" s="462"/>
      <c r="BF38" s="598">
        <f t="shared" si="12"/>
        <v>37712</v>
      </c>
      <c r="BG38" s="583">
        <f t="shared" si="29"/>
        <v>0</v>
      </c>
      <c r="BH38" s="583">
        <f t="shared" si="13"/>
        <v>0</v>
      </c>
      <c r="BI38" s="315">
        <f t="shared" si="30"/>
        <v>0</v>
      </c>
      <c r="BJ38" s="987">
        <f>IF('Monthly Table'!D38&lt;=Tables!$B$21,IF($BJ$10=$BG$10,BG38,IF($BJ$10=$BH$10,BH38,IF($BJ$10=$BI$10,BI38,0))),0)</f>
        <v>0</v>
      </c>
      <c r="BK38" s="43"/>
      <c r="BL38" s="987">
        <f t="shared" si="31"/>
        <v>0</v>
      </c>
      <c r="BM38" s="987">
        <f t="shared" si="32"/>
        <v>0</v>
      </c>
      <c r="BO38" s="987">
        <f t="shared" si="14"/>
        <v>0</v>
      </c>
      <c r="BP38" s="987">
        <f t="shared" si="33"/>
        <v>0</v>
      </c>
      <c r="BR38" s="993">
        <f>IF(BJ38&gt;0,INDEX(OperationalDetail,MATCH("Capacity Degradation",ODColumn,0),MATCH('Monthly Table'!C38,ODRow,0)),0)</f>
        <v>0</v>
      </c>
      <c r="BS38" s="994">
        <f>BJ38*(1-BR38)*Tables!$C$10</f>
        <v>0</v>
      </c>
      <c r="BT38" s="601">
        <f t="shared" si="15"/>
        <v>0</v>
      </c>
      <c r="BU38" s="601">
        <f t="shared" si="16"/>
        <v>0</v>
      </c>
      <c r="BV38" s="462"/>
      <c r="BW38" s="785">
        <f>$BO38*(1-$BR38)*Tables!$C$36</f>
        <v>0</v>
      </c>
      <c r="BX38" s="602">
        <f t="shared" si="34"/>
        <v>0</v>
      </c>
      <c r="BY38" s="601">
        <f t="shared" si="35"/>
        <v>0</v>
      </c>
      <c r="BZ38" s="462"/>
      <c r="CA38" s="785">
        <f>$BL38*(1-$BR38)*Tables!$C$36</f>
        <v>0</v>
      </c>
      <c r="CB38" s="602">
        <f t="shared" si="36"/>
        <v>0</v>
      </c>
      <c r="CC38" s="601">
        <f t="shared" si="37"/>
        <v>0</v>
      </c>
      <c r="CD38" s="785">
        <f>$BP38*(1-$BR38)*Tables!$C$36</f>
        <v>0</v>
      </c>
      <c r="CE38" s="602">
        <f t="shared" si="38"/>
        <v>0</v>
      </c>
      <c r="CF38" s="601">
        <f t="shared" si="39"/>
        <v>0</v>
      </c>
      <c r="CH38" s="785">
        <f>$BM38*(1-$BR38)*Tables!$C$36</f>
        <v>0</v>
      </c>
      <c r="CI38" s="602">
        <f t="shared" si="40"/>
        <v>0</v>
      </c>
      <c r="CJ38" s="601">
        <f t="shared" si="41"/>
        <v>0</v>
      </c>
      <c r="CK38" s="304"/>
      <c r="CL38" s="304">
        <f t="shared" si="42"/>
        <v>2002</v>
      </c>
      <c r="CM38" s="1018">
        <f>INDEX(OperationalDetail,MATCH("Degraded Heat Rate",ODColumn,0),MATCH('Monthly Table'!CL38,ODRow,0))/1000</f>
        <v>12.098736000000001</v>
      </c>
      <c r="CN38" s="737">
        <f t="shared" si="17"/>
        <v>52.034043752308499</v>
      </c>
      <c r="CO38" s="1019">
        <f>IF(A38="January",(CO37*(1+Assumptions!$E$32)),CO37)</f>
        <v>7.0077442500000018</v>
      </c>
      <c r="CP38" s="741">
        <f t="shared" si="18"/>
        <v>59.0417880023085</v>
      </c>
      <c r="CQ38" s="304"/>
      <c r="CR38" s="575" t="str">
        <f t="shared" si="43"/>
        <v/>
      </c>
      <c r="CS38" s="575" t="str">
        <f t="shared" si="44"/>
        <v/>
      </c>
      <c r="CT38" s="575" t="str">
        <f t="shared" si="45"/>
        <v/>
      </c>
      <c r="CU38" s="575" t="str">
        <f t="shared" si="46"/>
        <v/>
      </c>
      <c r="CV38" s="575" t="str">
        <f t="shared" si="47"/>
        <v/>
      </c>
      <c r="CW38" s="576">
        <f t="shared" si="19"/>
        <v>2003</v>
      </c>
      <c r="CX38" s="787">
        <f>INDEX('NY Curve'!$A$4:$G$256,MATCH('Monthly Table'!B38,'NY Curve'!$A$4:$A$256,0),MATCH("New York 5 X 16",'NY Curve'!$A$4:$G$4,0))</f>
        <v>25.4</v>
      </c>
      <c r="CY38" s="632">
        <f t="shared" si="20"/>
        <v>1.4165599623596901</v>
      </c>
      <c r="CZ38" s="633">
        <f t="shared" si="21"/>
        <v>35.980623043936127</v>
      </c>
      <c r="DB38" s="857"/>
      <c r="DC38" s="857"/>
    </row>
    <row r="39" spans="1:107" ht="18.75" customHeight="1">
      <c r="A39" s="17" t="s">
        <v>441</v>
      </c>
      <c r="B39" s="508">
        <v>37742</v>
      </c>
      <c r="C39" s="43">
        <f t="shared" si="0"/>
        <v>2003</v>
      </c>
      <c r="D39" s="719">
        <f t="shared" si="48"/>
        <v>3</v>
      </c>
      <c r="E39" s="972">
        <v>21</v>
      </c>
      <c r="F39" s="971">
        <v>5</v>
      </c>
      <c r="G39" s="971">
        <v>4</v>
      </c>
      <c r="H39" s="971">
        <v>1</v>
      </c>
      <c r="I39" s="976">
        <f t="shared" si="22"/>
        <v>31</v>
      </c>
      <c r="J39" s="621"/>
      <c r="K39" s="572">
        <f>INDEX(FX!$A$3:$C$362,MATCH(B39,FX!$A$3:$A$362,0),MATCH("Monthly Curve",FX!$A$2:$C$2,0))</f>
        <v>1.4155776290547399</v>
      </c>
      <c r="L39" s="572"/>
      <c r="M39" s="1057">
        <v>2.6345000000000001</v>
      </c>
      <c r="N39" s="1067">
        <v>0.13500000000000001</v>
      </c>
      <c r="O39" s="315">
        <v>0.02</v>
      </c>
      <c r="P39" s="797">
        <f t="shared" si="1"/>
        <v>0.155</v>
      </c>
      <c r="Q39" s="732">
        <f t="shared" si="2"/>
        <v>2.7894999999999999</v>
      </c>
      <c r="R39" s="722">
        <f>Assumptions!$B$34</f>
        <v>0.3124588923076923</v>
      </c>
      <c r="S39" s="730">
        <f t="shared" si="3"/>
        <v>4.2612126885558892</v>
      </c>
      <c r="T39" s="572"/>
      <c r="V39" s="581">
        <f>Assumptions!$B$42</f>
        <v>0</v>
      </c>
      <c r="W39" s="581"/>
      <c r="X39" s="461"/>
      <c r="Y39" s="783">
        <f>Assumptions!$B$7</f>
        <v>312</v>
      </c>
      <c r="Z39" s="570">
        <f t="shared" si="4"/>
        <v>0</v>
      </c>
      <c r="AA39" s="592">
        <f t="shared" si="5"/>
        <v>0</v>
      </c>
      <c r="AB39" s="589">
        <f t="shared" si="6"/>
        <v>0</v>
      </c>
      <c r="AC39" s="462"/>
      <c r="AD39" s="1027">
        <f>IF(Tables!$E$30="Michigan",INDEX('Michigan Curve'!$A$4:$S$256,MATCH('Monthly Table'!B39,'Michigan Curve'!$A$4:$A$256,0),MATCH("Michigan Selected Option Value US$/month",'Michigan Curve'!$A$4:$S$4,0)),INDEX('NY Curve'!$A$4:$T$256,MATCH('Monthly Table'!B39,'NY Curve'!$A$4:$A$256,0),MATCH("New York Selected Option Value US$/month",'NY Curve'!$A$4:$T$4,0)))</f>
        <v>162818.76601297522</v>
      </c>
      <c r="AE39" s="601">
        <f t="shared" si="23"/>
        <v>230482.60275826594</v>
      </c>
      <c r="AF39" s="462"/>
      <c r="AG39" s="915"/>
      <c r="AH39" s="462"/>
      <c r="AI39" s="799">
        <f>Assumptions!$B$50</f>
        <v>65</v>
      </c>
      <c r="AJ39" s="743"/>
      <c r="AK39" s="924">
        <f>IF(Tables!$E$30="Custom",'Monthly Table'!AI39,IF(Tables!$E$30="New York",INDEX('NY Curve'!$A$4:$G$256,MATCH('Monthly Table'!B39,'NY Curve'!$A$4:$A$256,0),MATCH("Super Peak Curve",'NY Curve'!$A$4:$G$4,0)),IF(Tables!$E$30="New York Flat",INDEX('NY Curve'!$A$4:$G$256,MATCH('Monthly Table'!B39,'NY Curve'!$A$4:$A$256,0),MATCH("Flat NY West",'NY Curve'!$A$4:$G$4,0)),INDEX('Michigan Curve'!$A$4:$F$256,MATCH('Monthly Table'!B39,'Michigan Curve'!$A$4:$A$256,0),MATCH("Michigan Super Peak Curve US$/MWhr",'Michigan Curve'!$A$4:$F$4,0)))))</f>
        <v>30.942187551409006</v>
      </c>
      <c r="AL39" s="965">
        <f>IF(D39&lt;=Tables!$B$21,IF($AL$10=$AI$10,AI39,IF($AL$10=$AJ$10,AJ39,IF($AL$10=$AK$10,AK39,0))),0)</f>
        <v>30.942187551409006</v>
      </c>
      <c r="AM39" s="708">
        <f t="shared" si="24"/>
        <v>43.801068491790652</v>
      </c>
      <c r="AN39" s="916">
        <f t="shared" si="25"/>
        <v>0</v>
      </c>
      <c r="AO39" s="905"/>
      <c r="AP39" s="925"/>
      <c r="AQ39" s="926">
        <f>IF(Tables!$E$30="New York",INDEX('NY Curve'!$A$4:$L$256,MATCH('Monthly Table'!B39,'NY Curve'!$A$4:$A$256,0),MATCH("New York Shoulder Hour Curve Mon-Fri",'NY Curve'!$A$4:$L$4,0)),IF(Tables!$E$30="Michigan",INDEX('Michigan Curve'!$A$4:$K$256,MATCH('Monthly Table'!B39,'Michigan Curve'!$A$4:$A$256,0),MATCH("Michigan Shoulder Hour Curve Mon-Fri",'Michigan Curve'!$A$4:$K$4,0))))</f>
        <v>26.557812448590994</v>
      </c>
      <c r="AR39" s="708">
        <f t="shared" si="26"/>
        <v>37.594645178856894</v>
      </c>
      <c r="AS39" s="927">
        <f t="shared" si="7"/>
        <v>0</v>
      </c>
      <c r="AT39" s="462"/>
      <c r="AU39" s="926">
        <f>IF(Tables!$E$30="New York",INDEX('NY Curve'!$A$4:$L$256,MATCH('Monthly Table'!$B39,'NY Curve'!$A$4:$A$256,0),MATCH("New York Saturday Super Peak",'NY Curve'!$A$4:$L$4,0)),IF(Tables!$E$30="Michigan",INDEX('Michigan Curve'!$A$4:$K$256,MATCH('Monthly Table'!$B39,'Michigan Curve'!$A$4:$A$256,0),MATCH("Michigan Saturday Super Peak",'Michigan Curve'!$A$4:$K$4,0))))</f>
        <v>22.601250037550926</v>
      </c>
      <c r="AV39" s="925">
        <f t="shared" si="8"/>
        <v>31.993823941829692</v>
      </c>
      <c r="AW39" s="927">
        <f t="shared" si="9"/>
        <v>0</v>
      </c>
      <c r="AX39" s="926">
        <f>IF(Tables!$E$30="New York",INDEX('NY Curve'!$A$4:$L$256,MATCH('Monthly Table'!$B39,'NY Curve'!$A$4:$A$256,0),MATCH("New York Saturday Shoulder Peak",'NY Curve'!$A$4:$L$4,0)),IF(Tables!$E$30="Michigan",INDEX('Michigan Curve'!$A$4:$K$256,MATCH('Monthly Table'!$B39,'Michigan Curve'!$A$4:$A$256,0),MATCH("Michigan Saturday Shoulder Peak",'Michigan Curve'!$A$4:$K$4,0))))</f>
        <v>19.398749962449074</v>
      </c>
      <c r="AY39" s="934">
        <f t="shared" si="27"/>
        <v>27.460436478469386</v>
      </c>
      <c r="AZ39" s="927">
        <f t="shared" si="10"/>
        <v>0</v>
      </c>
      <c r="BA39" s="462"/>
      <c r="BB39" s="926">
        <f>IF(Tables!$E$30="New York",INDEX('NY Curve'!$A$4:$M$256,MATCH('Monthly Table'!$B39,'NY Curve'!$A$4:$A$256,0),MATCH("NY Sunday Super Peak",'NY Curve'!$A$4:$M$4,0)),IF(Tables!$E$30="Michigan",INDEX('Michigan Curve'!$A$4:$L$256,MATCH('Monthly Table'!$B39,'Michigan Curve'!$A$4:$A$256,0),MATCH("Michigan Sunday Super Peak",'Michigan Curve'!$A$4:$L$4,0))))</f>
        <v>21.530380382546781</v>
      </c>
      <c r="BC39" s="925">
        <f t="shared" si="28"/>
        <v>30.477924814572258</v>
      </c>
      <c r="BD39" s="927">
        <f t="shared" si="11"/>
        <v>0</v>
      </c>
      <c r="BE39" s="462"/>
      <c r="BF39" s="598">
        <f t="shared" si="12"/>
        <v>37742</v>
      </c>
      <c r="BG39" s="583">
        <f t="shared" si="29"/>
        <v>0</v>
      </c>
      <c r="BH39" s="583">
        <f t="shared" si="13"/>
        <v>0</v>
      </c>
      <c r="BI39" s="315">
        <f t="shared" si="30"/>
        <v>0</v>
      </c>
      <c r="BJ39" s="987">
        <f>IF('Monthly Table'!D39&lt;=Tables!$B$21,IF($BJ$10=$BG$10,BG39,IF($BJ$10=$BH$10,BH39,IF($BJ$10=$BI$10,BI39,0))),0)</f>
        <v>0</v>
      </c>
      <c r="BK39" s="43"/>
      <c r="BL39" s="987">
        <f t="shared" si="31"/>
        <v>0</v>
      </c>
      <c r="BM39" s="987">
        <f t="shared" si="32"/>
        <v>0</v>
      </c>
      <c r="BO39" s="987">
        <f t="shared" si="14"/>
        <v>0</v>
      </c>
      <c r="BP39" s="987">
        <f t="shared" si="33"/>
        <v>0</v>
      </c>
      <c r="BR39" s="993">
        <f>IF(BJ39&gt;0,INDEX(OperationalDetail,MATCH("Capacity Degradation",ODColumn,0),MATCH('Monthly Table'!C39,ODRow,0)),0)</f>
        <v>0</v>
      </c>
      <c r="BS39" s="994">
        <f>BJ39*(1-BR39)*Tables!$C$10</f>
        <v>0</v>
      </c>
      <c r="BT39" s="601">
        <f t="shared" si="15"/>
        <v>0</v>
      </c>
      <c r="BU39" s="601">
        <f t="shared" si="16"/>
        <v>0</v>
      </c>
      <c r="BV39" s="462"/>
      <c r="BW39" s="785">
        <f>$BO39*(1-$BR39)*Tables!$C$36</f>
        <v>0</v>
      </c>
      <c r="BX39" s="602">
        <f t="shared" si="34"/>
        <v>0</v>
      </c>
      <c r="BY39" s="601">
        <f t="shared" si="35"/>
        <v>0</v>
      </c>
      <c r="BZ39" s="462"/>
      <c r="CA39" s="785">
        <f>$BL39*(1-$BR39)*Tables!$C$36</f>
        <v>0</v>
      </c>
      <c r="CB39" s="602">
        <f t="shared" si="36"/>
        <v>0</v>
      </c>
      <c r="CC39" s="601">
        <f t="shared" si="37"/>
        <v>0</v>
      </c>
      <c r="CD39" s="785">
        <f>$BP39*(1-$BR39)*Tables!$C$36</f>
        <v>0</v>
      </c>
      <c r="CE39" s="602">
        <f t="shared" si="38"/>
        <v>0</v>
      </c>
      <c r="CF39" s="601">
        <f t="shared" si="39"/>
        <v>0</v>
      </c>
      <c r="CH39" s="785">
        <f>$BM39*(1-$BR39)*Tables!$C$36</f>
        <v>0</v>
      </c>
      <c r="CI39" s="602">
        <f t="shared" si="40"/>
        <v>0</v>
      </c>
      <c r="CJ39" s="601">
        <f t="shared" si="41"/>
        <v>0</v>
      </c>
      <c r="CK39" s="304"/>
      <c r="CL39" s="304">
        <f t="shared" si="42"/>
        <v>2002</v>
      </c>
      <c r="CM39" s="1018">
        <f>INDEX(OperationalDetail,MATCH("Degraded Heat Rate",ODColumn,0),MATCH('Monthly Table'!CL39,ODRow,0))/1000</f>
        <v>12.098736000000001</v>
      </c>
      <c r="CN39" s="737">
        <f t="shared" si="17"/>
        <v>51.555287358687927</v>
      </c>
      <c r="CO39" s="1019">
        <f>IF(A39="January",(CO38*(1+Assumptions!$E$32)),CO38)</f>
        <v>7.0077442500000018</v>
      </c>
      <c r="CP39" s="741">
        <f t="shared" si="18"/>
        <v>58.563031608687929</v>
      </c>
      <c r="CQ39" s="304"/>
      <c r="CR39" s="575" t="str">
        <f t="shared" si="43"/>
        <v/>
      </c>
      <c r="CS39" s="575" t="str">
        <f t="shared" si="44"/>
        <v/>
      </c>
      <c r="CT39" s="575" t="str">
        <f t="shared" si="45"/>
        <v/>
      </c>
      <c r="CU39" s="575" t="str">
        <f t="shared" si="46"/>
        <v/>
      </c>
      <c r="CV39" s="575" t="str">
        <f t="shared" si="47"/>
        <v/>
      </c>
      <c r="CW39" s="576">
        <f t="shared" si="19"/>
        <v>2003</v>
      </c>
      <c r="CX39" s="787">
        <f>INDEX('NY Curve'!$A$4:$G$256,MATCH('Monthly Table'!B39,'NY Curve'!$A$4:$A$256,0),MATCH("New York 5 X 16",'NY Curve'!$A$4:$G$4,0))</f>
        <v>29.65</v>
      </c>
      <c r="CY39" s="632">
        <f t="shared" si="20"/>
        <v>1.4155776290547399</v>
      </c>
      <c r="CZ39" s="633">
        <f t="shared" si="21"/>
        <v>41.971876701473036</v>
      </c>
      <c r="DB39" s="857"/>
      <c r="DC39" s="857"/>
    </row>
    <row r="40" spans="1:107" ht="18.75" customHeight="1">
      <c r="A40" s="17" t="s">
        <v>442</v>
      </c>
      <c r="B40" s="508">
        <v>37773</v>
      </c>
      <c r="C40" s="43">
        <f t="shared" si="0"/>
        <v>2003</v>
      </c>
      <c r="D40" s="719">
        <f t="shared" si="48"/>
        <v>3</v>
      </c>
      <c r="E40" s="972">
        <v>21</v>
      </c>
      <c r="F40" s="971">
        <v>4</v>
      </c>
      <c r="G40" s="971">
        <v>5</v>
      </c>
      <c r="H40" s="971">
        <v>0</v>
      </c>
      <c r="I40" s="976">
        <f t="shared" si="22"/>
        <v>30</v>
      </c>
      <c r="J40" s="621"/>
      <c r="K40" s="572">
        <f>INDEX(FX!$A$3:$C$362,MATCH(B40,FX!$A$3:$A$362,0),MATCH("Monthly Curve",FX!$A$2:$C$2,0))</f>
        <v>1.4145579704979101</v>
      </c>
      <c r="L40" s="572"/>
      <c r="M40" s="1057">
        <v>2.6435000000000004</v>
      </c>
      <c r="N40" s="1067">
        <v>0.13500000000000001</v>
      </c>
      <c r="O40" s="315">
        <v>0.02</v>
      </c>
      <c r="P40" s="797">
        <f t="shared" si="1"/>
        <v>0.155</v>
      </c>
      <c r="Q40" s="732">
        <f t="shared" si="2"/>
        <v>2.7985000000000002</v>
      </c>
      <c r="R40" s="722">
        <f>Assumptions!$B$34</f>
        <v>0.3124588923076923</v>
      </c>
      <c r="S40" s="730">
        <f t="shared" si="3"/>
        <v>4.271099372746094</v>
      </c>
      <c r="T40" s="572"/>
      <c r="U40" s="565"/>
      <c r="V40" s="581">
        <f>Assumptions!$B$42</f>
        <v>0</v>
      </c>
      <c r="W40" s="581"/>
      <c r="X40" s="818"/>
      <c r="Y40" s="783">
        <f>Assumptions!$B$7</f>
        <v>312</v>
      </c>
      <c r="Z40" s="570">
        <f t="shared" si="4"/>
        <v>0</v>
      </c>
      <c r="AA40" s="592">
        <f t="shared" si="5"/>
        <v>0</v>
      </c>
      <c r="AB40" s="589">
        <f t="shared" si="6"/>
        <v>0</v>
      </c>
      <c r="AC40" s="462"/>
      <c r="AD40" s="1027">
        <f>IF(Tables!$E$30="Michigan",INDEX('Michigan Curve'!$A$4:$S$256,MATCH('Monthly Table'!B40,'Michigan Curve'!$A$4:$A$256,0),MATCH("Michigan Selected Option Value US$/month",'Michigan Curve'!$A$4:$S$4,0)),INDEX('NY Curve'!$A$4:$T$256,MATCH('Monthly Table'!B40,'NY Curve'!$A$4:$A$256,0),MATCH("New York Selected Option Value US$/month",'NY Curve'!$A$4:$T$4,0)))</f>
        <v>570540.87474790937</v>
      </c>
      <c r="AE40" s="601">
        <f t="shared" si="23"/>
        <v>807063.14186950505</v>
      </c>
      <c r="AF40" s="462"/>
      <c r="AG40" s="915"/>
      <c r="AH40" s="462"/>
      <c r="AI40" s="799">
        <f>Assumptions!$B$50</f>
        <v>65</v>
      </c>
      <c r="AJ40" s="743"/>
      <c r="AK40" s="924">
        <f>IF(Tables!$E$30="Custom",'Monthly Table'!AI40,IF(Tables!$E$30="New York",INDEX('NY Curve'!$A$4:$G$256,MATCH('Monthly Table'!B40,'NY Curve'!$A$4:$A$256,0),MATCH("Super Peak Curve",'NY Curve'!$A$4:$G$4,0)),IF(Tables!$E$30="New York Flat",INDEX('NY Curve'!$A$4:$G$256,MATCH('Monthly Table'!B40,'NY Curve'!$A$4:$A$256,0),MATCH("Flat NY West",'NY Curve'!$A$4:$G$4,0)),INDEX('Michigan Curve'!$A$4:$F$256,MATCH('Monthly Table'!B40,'Michigan Curve'!$A$4:$A$256,0),MATCH("Michigan Super Peak Curve US$/MWhr",'Michigan Curve'!$A$4:$F$4,0)))))</f>
        <v>76.269802337583172</v>
      </c>
      <c r="AL40" s="965">
        <f>IF(D40&lt;=Tables!$B$21,IF($AL$10=$AI$10,AI40,IF($AL$10=$AJ$10,AJ40,IF($AL$10=$AK$10,AK40,0))),0)</f>
        <v>76.269802337583172</v>
      </c>
      <c r="AM40" s="708">
        <f t="shared" si="24"/>
        <v>107.88805680492841</v>
      </c>
      <c r="AN40" s="916">
        <f t="shared" si="25"/>
        <v>1</v>
      </c>
      <c r="AO40" s="905"/>
      <c r="AP40" s="925"/>
      <c r="AQ40" s="926">
        <f>IF(Tables!$E$30="New York",INDEX('NY Curve'!$A$4:$L$256,MATCH('Monthly Table'!B40,'NY Curve'!$A$4:$A$256,0),MATCH("New York Shoulder Hour Curve Mon-Fri",'NY Curve'!$A$4:$L$4,0)),IF(Tables!$E$30="Michigan",INDEX('Michigan Curve'!$A$4:$K$256,MATCH('Monthly Table'!B40,'Michigan Curve'!$A$4:$A$256,0),MATCH("Michigan Shoulder Hour Curve Mon-Fri",'Michigan Curve'!$A$4:$K$4,0))))</f>
        <v>22.23019766241682</v>
      </c>
      <c r="AR40" s="708">
        <f t="shared" si="26"/>
        <v>31.445903289115723</v>
      </c>
      <c r="AS40" s="927">
        <f t="shared" si="7"/>
        <v>0</v>
      </c>
      <c r="AT40" s="462"/>
      <c r="AU40" s="926">
        <f>IF(Tables!$E$30="New York",INDEX('NY Curve'!$A$4:$L$256,MATCH('Monthly Table'!$B40,'NY Curve'!$A$4:$A$256,0),MATCH("New York Saturday Super Peak",'NY Curve'!$A$4:$L$4,0)),IF(Tables!$E$30="Michigan",INDEX('Michigan Curve'!$A$4:$K$256,MATCH('Monthly Table'!$B40,'Michigan Curve'!$A$4:$A$256,0),MATCH("Michigan Saturday Super Peak",'Michigan Curve'!$A$4:$K$4,0))))</f>
        <v>40.264261132531217</v>
      </c>
      <c r="AV40" s="925">
        <f t="shared" si="8"/>
        <v>56.956131511231241</v>
      </c>
      <c r="AW40" s="927">
        <f t="shared" si="9"/>
        <v>0</v>
      </c>
      <c r="AX40" s="926">
        <f>IF(Tables!$E$30="New York",INDEX('NY Curve'!$A$4:$L$256,MATCH('Monthly Table'!$B40,'NY Curve'!$A$4:$A$256,0),MATCH("New York Saturday Shoulder Peak",'NY Curve'!$A$4:$L$4,0)),IF(Tables!$E$30="Michigan",INDEX('Michigan Curve'!$A$4:$K$256,MATCH('Monthly Table'!$B40,'Michigan Curve'!$A$4:$A$256,0),MATCH("Michigan Saturday Shoulder Peak",'Michigan Curve'!$A$4:$K$4,0))))</f>
        <v>11.735738867468779</v>
      </c>
      <c r="AY40" s="934">
        <f t="shared" si="27"/>
        <v>16.600882954660079</v>
      </c>
      <c r="AZ40" s="927">
        <f t="shared" si="10"/>
        <v>0</v>
      </c>
      <c r="BA40" s="462"/>
      <c r="BB40" s="926">
        <f>IF(Tables!$E$30="New York",INDEX('NY Curve'!$A$4:$M$256,MATCH('Monthly Table'!$B40,'NY Curve'!$A$4:$A$256,0),MATCH("NY Sunday Super Peak",'NY Curve'!$A$4:$M$4,0)),IF(Tables!$E$30="Michigan",INDEX('Michigan Curve'!$A$4:$L$256,MATCH('Monthly Table'!$B40,'Michigan Curve'!$A$4:$A$256,0),MATCH("Michigan Sunday Super Peak",'Michigan Curve'!$A$4:$L$4,0))))</f>
        <v>37.167010276182666</v>
      </c>
      <c r="BC40" s="925">
        <f t="shared" si="28"/>
        <v>52.57489062575192</v>
      </c>
      <c r="BD40" s="927">
        <f t="shared" si="11"/>
        <v>0</v>
      </c>
      <c r="BE40" s="462"/>
      <c r="BF40" s="598">
        <f t="shared" si="12"/>
        <v>37773</v>
      </c>
      <c r="BG40" s="583">
        <f t="shared" si="29"/>
        <v>168</v>
      </c>
      <c r="BH40" s="583">
        <f t="shared" si="13"/>
        <v>168</v>
      </c>
      <c r="BI40" s="315">
        <f t="shared" si="30"/>
        <v>168</v>
      </c>
      <c r="BJ40" s="987">
        <f>IF('Monthly Table'!D40&lt;=Tables!$B$21,IF($BJ$10=$BG$10,BG40,IF($BJ$10=$BH$10,BH40,IF($BJ$10=$BI$10,BI40,0))),0)</f>
        <v>168</v>
      </c>
      <c r="BK40" s="43"/>
      <c r="BL40" s="987">
        <f t="shared" si="31"/>
        <v>0</v>
      </c>
      <c r="BM40" s="987">
        <f t="shared" si="32"/>
        <v>0</v>
      </c>
      <c r="BO40" s="987">
        <f t="shared" si="14"/>
        <v>0</v>
      </c>
      <c r="BP40" s="987">
        <f t="shared" si="33"/>
        <v>0</v>
      </c>
      <c r="BR40" s="993">
        <f>IF(BJ40&gt;0,INDEX(OperationalDetail,MATCH("Capacity Degradation",ODColumn,0),MATCH('Monthly Table'!C40,ODRow,0)),0)</f>
        <v>1.439E-2</v>
      </c>
      <c r="BS40" s="994">
        <f>BJ40*(1-BR40)*Tables!$C$10</f>
        <v>53648.72352</v>
      </c>
      <c r="BT40" s="601">
        <f t="shared" si="15"/>
        <v>4091.7775385340492</v>
      </c>
      <c r="BU40" s="601">
        <f t="shared" si="16"/>
        <v>5788.0565306376584</v>
      </c>
      <c r="BV40" s="462"/>
      <c r="BW40" s="785">
        <f>$BO40*(1-$BR40)*Tables!$C$36</f>
        <v>0</v>
      </c>
      <c r="BX40" s="602">
        <f t="shared" si="34"/>
        <v>0</v>
      </c>
      <c r="BY40" s="601">
        <f t="shared" si="35"/>
        <v>0</v>
      </c>
      <c r="BZ40" s="462"/>
      <c r="CA40" s="785">
        <f>$BL40*(1-$BR40)*Tables!$C$36</f>
        <v>0</v>
      </c>
      <c r="CB40" s="602">
        <f t="shared" si="36"/>
        <v>0</v>
      </c>
      <c r="CC40" s="601">
        <f t="shared" si="37"/>
        <v>0</v>
      </c>
      <c r="CD40" s="785">
        <f>$BP40*(1-$BR40)*Tables!$C$36</f>
        <v>0</v>
      </c>
      <c r="CE40" s="602">
        <f t="shared" si="38"/>
        <v>0</v>
      </c>
      <c r="CF40" s="601">
        <f t="shared" si="39"/>
        <v>0</v>
      </c>
      <c r="CH40" s="785">
        <f>$BM40*(1-$BR40)*Tables!$C$36</f>
        <v>0</v>
      </c>
      <c r="CI40" s="602">
        <f t="shared" si="40"/>
        <v>0</v>
      </c>
      <c r="CJ40" s="601">
        <f t="shared" si="41"/>
        <v>0</v>
      </c>
      <c r="CK40" s="304"/>
      <c r="CL40" s="304">
        <f t="shared" si="42"/>
        <v>2002</v>
      </c>
      <c r="CM40" s="1018">
        <f>INDEX(OperationalDetail,MATCH("Degraded Heat Rate",ODColumn,0),MATCH('Monthly Table'!CL40,ODRow,0))/1000</f>
        <v>12.098736000000001</v>
      </c>
      <c r="CN40" s="737">
        <f t="shared" si="17"/>
        <v>51.674903740620586</v>
      </c>
      <c r="CO40" s="1019">
        <f>IF(A40="January",(CO39*(1+Assumptions!$E$32)),CO39)</f>
        <v>7.0077442500000018</v>
      </c>
      <c r="CP40" s="741">
        <f t="shared" si="18"/>
        <v>58.682647990620588</v>
      </c>
      <c r="CQ40" s="304"/>
      <c r="CR40" s="575">
        <f t="shared" si="43"/>
        <v>2003</v>
      </c>
      <c r="CS40" s="575" t="str">
        <f t="shared" si="44"/>
        <v/>
      </c>
      <c r="CT40" s="575" t="str">
        <f t="shared" si="45"/>
        <v/>
      </c>
      <c r="CU40" s="575" t="str">
        <f t="shared" si="46"/>
        <v/>
      </c>
      <c r="CV40" s="575" t="str">
        <f t="shared" si="47"/>
        <v/>
      </c>
      <c r="CW40" s="576">
        <f t="shared" si="19"/>
        <v>2003</v>
      </c>
      <c r="CX40" s="787">
        <f>INDEX('NY Curve'!$A$4:$G$256,MATCH('Monthly Table'!B40,'NY Curve'!$A$4:$A$256,0),MATCH("New York 5 X 16",'NY Curve'!$A$4:$G$4,0))</f>
        <v>48</v>
      </c>
      <c r="CY40" s="632">
        <f t="shared" si="20"/>
        <v>1.4145579704979101</v>
      </c>
      <c r="CZ40" s="633">
        <f t="shared" si="21"/>
        <v>67.898782583899688</v>
      </c>
      <c r="DB40" s="857"/>
      <c r="DC40" s="857"/>
    </row>
    <row r="41" spans="1:107" ht="18.75" customHeight="1">
      <c r="A41" s="17" t="s">
        <v>443</v>
      </c>
      <c r="B41" s="508">
        <v>37803</v>
      </c>
      <c r="C41" s="43">
        <f t="shared" si="0"/>
        <v>2003</v>
      </c>
      <c r="D41" s="719">
        <f t="shared" si="48"/>
        <v>3</v>
      </c>
      <c r="E41" s="972">
        <v>22</v>
      </c>
      <c r="F41" s="971">
        <v>4</v>
      </c>
      <c r="G41" s="971">
        <v>4</v>
      </c>
      <c r="H41" s="971">
        <v>1</v>
      </c>
      <c r="I41" s="976">
        <f t="shared" si="22"/>
        <v>31</v>
      </c>
      <c r="J41" s="621"/>
      <c r="K41" s="572">
        <f>INDEX(FX!$A$3:$C$362,MATCH(B41,FX!$A$3:$A$362,0),MATCH("Monthly Curve",FX!$A$2:$C$2,0))</f>
        <v>1.41357433649335</v>
      </c>
      <c r="L41" s="572"/>
      <c r="M41" s="1057">
        <v>2.6524999999999999</v>
      </c>
      <c r="N41" s="1067">
        <v>0.13500000000000001</v>
      </c>
      <c r="O41" s="315">
        <v>0.02</v>
      </c>
      <c r="P41" s="797">
        <f t="shared" si="1"/>
        <v>0.155</v>
      </c>
      <c r="Q41" s="732">
        <f t="shared" si="2"/>
        <v>2.8074999999999997</v>
      </c>
      <c r="R41" s="722">
        <f>Assumptions!$B$34</f>
        <v>0.3124588923076923</v>
      </c>
      <c r="S41" s="730">
        <f t="shared" si="3"/>
        <v>4.2810688420127718</v>
      </c>
      <c r="T41" s="572"/>
      <c r="V41" s="581"/>
      <c r="W41" s="581"/>
      <c r="X41" s="461"/>
      <c r="Y41" s="783">
        <f>Assumptions!$B$7</f>
        <v>312</v>
      </c>
      <c r="Z41" s="570">
        <f t="shared" si="4"/>
        <v>0</v>
      </c>
      <c r="AA41" s="592">
        <f t="shared" si="5"/>
        <v>0</v>
      </c>
      <c r="AB41" s="589">
        <f t="shared" si="6"/>
        <v>0</v>
      </c>
      <c r="AC41" s="462"/>
      <c r="AD41" s="1027">
        <f>IF(Tables!$E$30="Michigan",INDEX('Michigan Curve'!$A$4:$S$256,MATCH('Monthly Table'!B41,'Michigan Curve'!$A$4:$A$256,0),MATCH("Michigan Selected Option Value US$/month",'Michigan Curve'!$A$4:$S$4,0)),INDEX('NY Curve'!$A$4:$T$256,MATCH('Monthly Table'!B41,'NY Curve'!$A$4:$A$256,0),MATCH("New York Selected Option Value US$/month",'NY Curve'!$A$4:$T$4,0)))</f>
        <v>893311.9423246393</v>
      </c>
      <c r="AE41" s="601">
        <f t="shared" si="23"/>
        <v>1262762.8361531377</v>
      </c>
      <c r="AF41" s="462"/>
      <c r="AG41" s="915"/>
      <c r="AH41" s="462"/>
      <c r="AI41" s="799">
        <f>Assumptions!$B$50</f>
        <v>65</v>
      </c>
      <c r="AJ41" s="743"/>
      <c r="AK41" s="924">
        <f>IF(Tables!$E$30="Custom",'Monthly Table'!AI41,IF(Tables!$E$30="New York",INDEX('NY Curve'!$A$4:$G$256,MATCH('Monthly Table'!B41,'NY Curve'!$A$4:$A$256,0),MATCH("Super Peak Curve",'NY Curve'!$A$4:$G$4,0)),IF(Tables!$E$30="New York Flat",INDEX('NY Curve'!$A$4:$G$256,MATCH('Monthly Table'!B41,'NY Curve'!$A$4:$A$256,0),MATCH("Flat NY West",'NY Curve'!$A$4:$G$4,0)),INDEX('Michigan Curve'!$A$4:$F$256,MATCH('Monthly Table'!B41,'Michigan Curve'!$A$4:$A$256,0),MATCH("Michigan Super Peak Curve US$/MWhr",'Michigan Curve'!$A$4:$F$4,0)))))</f>
        <v>139.87121893127178</v>
      </c>
      <c r="AL41" s="965">
        <f>IF(D41&lt;=Tables!$B$21,IF($AL$10=$AI$10,AI41,IF($AL$10=$AJ$10,AJ41,IF($AL$10=$AK$10,AK41,0))),0)</f>
        <v>139.87121893127178</v>
      </c>
      <c r="AM41" s="708">
        <f t="shared" si="24"/>
        <v>197.71836549528859</v>
      </c>
      <c r="AN41" s="916">
        <f t="shared" si="25"/>
        <v>1</v>
      </c>
      <c r="AO41" s="905"/>
      <c r="AP41" s="925"/>
      <c r="AQ41" s="926">
        <f>IF(Tables!$E$30="New York",INDEX('NY Curve'!$A$4:$L$256,MATCH('Monthly Table'!B41,'NY Curve'!$A$4:$A$256,0),MATCH("New York Shoulder Hour Curve Mon-Fri",'NY Curve'!$A$4:$L$4,0)),IF(Tables!$E$30="Michigan",INDEX('Michigan Curve'!$A$4:$K$256,MATCH('Monthly Table'!B41,'Michigan Curve'!$A$4:$A$256,0),MATCH("Michigan Shoulder Hour Curve Mon-Fri",'Michigan Curve'!$A$4:$K$4,0))))</f>
        <v>28.128781068728223</v>
      </c>
      <c r="AR41" s="708">
        <f t="shared" si="26"/>
        <v>39.7621230355942</v>
      </c>
      <c r="AS41" s="927">
        <f t="shared" si="7"/>
        <v>0</v>
      </c>
      <c r="AT41" s="462"/>
      <c r="AU41" s="926">
        <f>IF(Tables!$E$30="New York",INDEX('NY Curve'!$A$4:$L$256,MATCH('Monthly Table'!$B41,'NY Curve'!$A$4:$A$256,0),MATCH("New York Saturday Super Peak",'NY Curve'!$A$4:$L$4,0)),IF(Tables!$E$30="Michigan",INDEX('Michigan Curve'!$A$4:$K$256,MATCH('Monthly Table'!$B41,'Michigan Curve'!$A$4:$A$256,0),MATCH("Michigan Saturday Super Peak",'Michigan Curve'!$A$4:$K$4,0))))</f>
        <v>58.279674554696577</v>
      </c>
      <c r="AV41" s="925">
        <f t="shared" si="8"/>
        <v>82.382652289703586</v>
      </c>
      <c r="AW41" s="927">
        <f t="shared" si="9"/>
        <v>1</v>
      </c>
      <c r="AX41" s="926">
        <f>IF(Tables!$E$30="New York",INDEX('NY Curve'!$A$4:$L$256,MATCH('Monthly Table'!$B41,'NY Curve'!$A$4:$A$256,0),MATCH("New York Saturday Shoulder Peak",'NY Curve'!$A$4:$L$4,0)),IF(Tables!$E$30="Michigan",INDEX('Michigan Curve'!$A$4:$K$256,MATCH('Monthly Table'!$B41,'Michigan Curve'!$A$4:$A$256,0),MATCH("Michigan Saturday Shoulder Peak",'Michigan Curve'!$A$4:$K$4,0))))</f>
        <v>11.720325445303425</v>
      </c>
      <c r="AY41" s="934">
        <f t="shared" si="27"/>
        <v>16.567551264830914</v>
      </c>
      <c r="AZ41" s="927">
        <f t="shared" si="10"/>
        <v>0</v>
      </c>
      <c r="BA41" s="462"/>
      <c r="BB41" s="926">
        <f>IF(Tables!$E$30="New York",INDEX('NY Curve'!$A$4:$M$256,MATCH('Monthly Table'!$B41,'NY Curve'!$A$4:$A$256,0),MATCH("NY Sunday Super Peak",'NY Curve'!$A$4:$M$4,0)),IF(Tables!$E$30="Michigan",INDEX('Michigan Curve'!$A$4:$L$256,MATCH('Monthly Table'!$B41,'Michigan Curve'!$A$4:$A$256,0),MATCH("Michigan Sunday Super Peak",'Michigan Curve'!$A$4:$L$4,0))))</f>
        <v>51.61913714388389</v>
      </c>
      <c r="BC41" s="925">
        <f t="shared" si="28"/>
        <v>72.967487538524907</v>
      </c>
      <c r="BD41" s="927">
        <f t="shared" si="11"/>
        <v>1</v>
      </c>
      <c r="BE41" s="462"/>
      <c r="BF41" s="598">
        <f t="shared" si="12"/>
        <v>37803</v>
      </c>
      <c r="BG41" s="583">
        <f t="shared" si="29"/>
        <v>176</v>
      </c>
      <c r="BH41" s="583">
        <f t="shared" si="13"/>
        <v>176</v>
      </c>
      <c r="BI41" s="315">
        <f t="shared" si="30"/>
        <v>176</v>
      </c>
      <c r="BJ41" s="987">
        <f>IF('Monthly Table'!D41&lt;=Tables!$B$21,IF($BJ$10=$BG$10,BG41,IF($BJ$10=$BH$10,BH41,IF($BJ$10=$BI$10,BI41,0))),0)</f>
        <v>176</v>
      </c>
      <c r="BK41" s="43"/>
      <c r="BL41" s="987">
        <f t="shared" si="31"/>
        <v>32</v>
      </c>
      <c r="BM41" s="987">
        <f t="shared" si="32"/>
        <v>40</v>
      </c>
      <c r="BO41" s="987">
        <f t="shared" si="14"/>
        <v>0</v>
      </c>
      <c r="BP41" s="987">
        <f t="shared" si="33"/>
        <v>0</v>
      </c>
      <c r="BR41" s="993">
        <f>IF(BJ41&gt;0,INDEX(OperationalDetail,MATCH("Capacity Degradation",ODColumn,0),MATCH('Monthly Table'!C41,ODRow,0)),0)</f>
        <v>1.439E-2</v>
      </c>
      <c r="BS41" s="994">
        <f>BJ41*(1-BR41)*Tables!$C$10</f>
        <v>56203.424639999997</v>
      </c>
      <c r="BT41" s="601">
        <f t="shared" si="15"/>
        <v>7861.2415125086745</v>
      </c>
      <c r="BU41" s="601">
        <f t="shared" si="16"/>
        <v>11112.449255058429</v>
      </c>
      <c r="BV41" s="462"/>
      <c r="BW41" s="785">
        <f>$BO41*(1-$BR41)*Tables!$C$36</f>
        <v>0</v>
      </c>
      <c r="BX41" s="602">
        <f t="shared" si="34"/>
        <v>0</v>
      </c>
      <c r="BY41" s="601">
        <f t="shared" si="35"/>
        <v>0</v>
      </c>
      <c r="BZ41" s="462"/>
      <c r="CA41" s="785">
        <f>$BL41*(1-$BR41)*Tables!$C$36</f>
        <v>10218.804480000001</v>
      </c>
      <c r="CB41" s="602">
        <f t="shared" si="36"/>
        <v>595.54859943247538</v>
      </c>
      <c r="CC41" s="601">
        <f t="shared" si="37"/>
        <v>841.85221629230523</v>
      </c>
      <c r="CD41" s="785">
        <f>$BP41*(1-$BR41)*Tables!$C$36</f>
        <v>0</v>
      </c>
      <c r="CE41" s="602">
        <f t="shared" si="38"/>
        <v>0</v>
      </c>
      <c r="CF41" s="601">
        <f t="shared" si="39"/>
        <v>0</v>
      </c>
      <c r="CH41" s="785">
        <f>$BM41*(1-$BR41)*Tables!$C$36</f>
        <v>12773.5056</v>
      </c>
      <c r="CI41" s="602">
        <f t="shared" si="40"/>
        <v>659.35733737456894</v>
      </c>
      <c r="CJ41" s="601">
        <f t="shared" si="41"/>
        <v>932.05061069127817</v>
      </c>
      <c r="CK41" s="304"/>
      <c r="CL41" s="304">
        <f t="shared" si="42"/>
        <v>2002</v>
      </c>
      <c r="CM41" s="1018">
        <f>INDEX(OperationalDetail,MATCH("Degraded Heat Rate",ODColumn,0),MATCH('Monthly Table'!CL41,ODRow,0))/1000</f>
        <v>12.098736000000001</v>
      </c>
      <c r="CN41" s="737">
        <f t="shared" si="17"/>
        <v>51.795521717338239</v>
      </c>
      <c r="CO41" s="1019">
        <f>IF(A41="January",(CO40*(1+Assumptions!$E$32)),CO40)</f>
        <v>7.0077442500000018</v>
      </c>
      <c r="CP41" s="741">
        <f t="shared" si="18"/>
        <v>58.803265967338241</v>
      </c>
      <c r="CQ41" s="304"/>
      <c r="CR41" s="575">
        <f t="shared" si="43"/>
        <v>2003</v>
      </c>
      <c r="CS41" s="575" t="str">
        <f t="shared" si="44"/>
        <v/>
      </c>
      <c r="CT41" s="575">
        <f t="shared" si="45"/>
        <v>2003</v>
      </c>
      <c r="CU41" s="575" t="str">
        <f t="shared" si="46"/>
        <v/>
      </c>
      <c r="CV41" s="575">
        <f t="shared" si="47"/>
        <v>2003</v>
      </c>
      <c r="CW41" s="576">
        <f t="shared" si="19"/>
        <v>2003</v>
      </c>
      <c r="CX41" s="787">
        <f>INDEX('NY Curve'!$A$4:$G$256,MATCH('Monthly Table'!B41,'NY Curve'!$A$4:$A$256,0),MATCH("New York 5 X 16",'NY Curve'!$A$4:$G$4,0))</f>
        <v>72</v>
      </c>
      <c r="CY41" s="632">
        <f t="shared" si="20"/>
        <v>1.41357433649335</v>
      </c>
      <c r="CZ41" s="633">
        <f t="shared" si="21"/>
        <v>101.77735222752119</v>
      </c>
      <c r="DB41" s="857"/>
      <c r="DC41" s="857"/>
    </row>
    <row r="42" spans="1:107" ht="18.75" customHeight="1">
      <c r="A42" s="17" t="s">
        <v>444</v>
      </c>
      <c r="B42" s="508">
        <v>37834</v>
      </c>
      <c r="C42" s="43">
        <f t="shared" si="0"/>
        <v>2003</v>
      </c>
      <c r="D42" s="719">
        <f t="shared" si="48"/>
        <v>3</v>
      </c>
      <c r="E42" s="972">
        <v>21</v>
      </c>
      <c r="F42" s="971">
        <v>5</v>
      </c>
      <c r="G42" s="971">
        <v>5</v>
      </c>
      <c r="H42" s="971">
        <v>0</v>
      </c>
      <c r="I42" s="976">
        <f t="shared" si="22"/>
        <v>31</v>
      </c>
      <c r="J42" s="621"/>
      <c r="K42" s="572">
        <f>INDEX(FX!$A$3:$C$362,MATCH(B42,FX!$A$3:$A$362,0),MATCH("Monthly Curve",FX!$A$2:$C$2,0))</f>
        <v>1.4125626124008901</v>
      </c>
      <c r="L42" s="572"/>
      <c r="M42" s="1057">
        <v>2.6595</v>
      </c>
      <c r="N42" s="1067">
        <v>0.13500000000000001</v>
      </c>
      <c r="O42" s="315">
        <v>0.02</v>
      </c>
      <c r="P42" s="797">
        <f t="shared" si="1"/>
        <v>0.155</v>
      </c>
      <c r="Q42" s="732">
        <f t="shared" si="2"/>
        <v>2.8145000000000002</v>
      </c>
      <c r="R42" s="722">
        <f>Assumptions!$B$34</f>
        <v>0.3124588923076923</v>
      </c>
      <c r="S42" s="730">
        <f t="shared" si="3"/>
        <v>4.2881163649099978</v>
      </c>
      <c r="T42" s="572"/>
      <c r="V42" s="581"/>
      <c r="W42" s="581"/>
      <c r="X42" s="461"/>
      <c r="Y42" s="783">
        <f>Assumptions!$B$7</f>
        <v>312</v>
      </c>
      <c r="Z42" s="570">
        <f t="shared" si="4"/>
        <v>0</v>
      </c>
      <c r="AA42" s="592">
        <f t="shared" si="5"/>
        <v>0</v>
      </c>
      <c r="AB42" s="589">
        <f t="shared" si="6"/>
        <v>0</v>
      </c>
      <c r="AC42" s="462"/>
      <c r="AD42" s="1027">
        <f>IF(Tables!$E$30="Michigan",INDEX('Michigan Curve'!$A$4:$S$256,MATCH('Monthly Table'!B42,'Michigan Curve'!$A$4:$A$256,0),MATCH("Michigan Selected Option Value US$/month",'Michigan Curve'!$A$4:$S$4,0)),INDEX('NY Curve'!$A$4:$T$256,MATCH('Monthly Table'!B42,'NY Curve'!$A$4:$A$256,0),MATCH("New York Selected Option Value US$/month",'NY Curve'!$A$4:$T$4,0)))</f>
        <v>895779.05632243771</v>
      </c>
      <c r="AE42" s="601">
        <f t="shared" si="23"/>
        <v>1265344.0039328267</v>
      </c>
      <c r="AF42" s="462"/>
      <c r="AG42" s="915"/>
      <c r="AH42" s="462"/>
      <c r="AI42" s="799">
        <f>Assumptions!$B$50</f>
        <v>65</v>
      </c>
      <c r="AJ42" s="743"/>
      <c r="AK42" s="924">
        <f>IF(Tables!$E$30="Custom",'Monthly Table'!AI42,IF(Tables!$E$30="New York",INDEX('NY Curve'!$A$4:$G$256,MATCH('Monthly Table'!B42,'NY Curve'!$A$4:$A$256,0),MATCH("Super Peak Curve",'NY Curve'!$A$4:$G$4,0)),IF(Tables!$E$30="New York Flat",INDEX('NY Curve'!$A$4:$G$256,MATCH('Monthly Table'!B42,'NY Curve'!$A$4:$A$256,0),MATCH("Flat NY West",'NY Curve'!$A$4:$G$4,0)),INDEX('Michigan Curve'!$A$4:$F$256,MATCH('Monthly Table'!B42,'Michigan Curve'!$A$4:$A$256,0),MATCH("Michigan Super Peak Curve US$/MWhr",'Michigan Curve'!$A$4:$F$4,0)))))</f>
        <v>139.87121893127178</v>
      </c>
      <c r="AL42" s="965">
        <f>IF(D42&lt;=Tables!$B$21,IF($AL$10=$AI$10,AI42,IF($AL$10=$AJ$10,AJ42,IF($AL$10=$AK$10,AK42,0))),0)</f>
        <v>139.87121893127178</v>
      </c>
      <c r="AM42" s="708">
        <f t="shared" si="24"/>
        <v>197.5768544132541</v>
      </c>
      <c r="AN42" s="916">
        <f t="shared" si="25"/>
        <v>1</v>
      </c>
      <c r="AO42" s="905"/>
      <c r="AP42" s="925"/>
      <c r="AQ42" s="926">
        <f>IF(Tables!$E$30="New York",INDEX('NY Curve'!$A$4:$L$256,MATCH('Monthly Table'!B42,'NY Curve'!$A$4:$A$256,0),MATCH("New York Shoulder Hour Curve Mon-Fri",'NY Curve'!$A$4:$L$4,0)),IF(Tables!$E$30="Michigan",INDEX('Michigan Curve'!$A$4:$K$256,MATCH('Monthly Table'!B42,'Michigan Curve'!$A$4:$A$256,0),MATCH("Michigan Shoulder Hour Curve Mon-Fri",'Michigan Curve'!$A$4:$K$4,0))))</f>
        <v>28.128781068728223</v>
      </c>
      <c r="AR42" s="708">
        <f t="shared" si="26"/>
        <v>39.733664470095441</v>
      </c>
      <c r="AS42" s="927">
        <f t="shared" si="7"/>
        <v>0</v>
      </c>
      <c r="AT42" s="462"/>
      <c r="AU42" s="926">
        <f>IF(Tables!$E$30="New York",INDEX('NY Curve'!$A$4:$L$256,MATCH('Monthly Table'!$B42,'NY Curve'!$A$4:$A$256,0),MATCH("New York Saturday Super Peak",'NY Curve'!$A$4:$L$4,0)),IF(Tables!$E$30="Michigan",INDEX('Michigan Curve'!$A$4:$K$256,MATCH('Monthly Table'!$B42,'Michigan Curve'!$A$4:$A$256,0),MATCH("Michigan Saturday Super Peak",'Michigan Curve'!$A$4:$K$4,0))))</f>
        <v>58.279680906677008</v>
      </c>
      <c r="AV42" s="925">
        <f t="shared" si="8"/>
        <v>82.323698311425943</v>
      </c>
      <c r="AW42" s="927">
        <f t="shared" si="9"/>
        <v>1</v>
      </c>
      <c r="AX42" s="926">
        <f>IF(Tables!$E$30="New York",INDEX('NY Curve'!$A$4:$L$256,MATCH('Monthly Table'!$B42,'NY Curve'!$A$4:$A$256,0),MATCH("New York Saturday Shoulder Peak",'NY Curve'!$A$4:$L$4,0)),IF(Tables!$E$30="Michigan",INDEX('Michigan Curve'!$A$4:$K$256,MATCH('Monthly Table'!$B42,'Michigan Curve'!$A$4:$A$256,0),MATCH("Michigan Saturday Shoulder Peak",'Michigan Curve'!$A$4:$K$4,0))))</f>
        <v>11.720326722717523</v>
      </c>
      <c r="AY42" s="934">
        <f t="shared" si="27"/>
        <v>16.555695333633828</v>
      </c>
      <c r="AZ42" s="927">
        <f t="shared" si="10"/>
        <v>0</v>
      </c>
      <c r="BA42" s="462"/>
      <c r="BB42" s="926">
        <f>IF(Tables!$E$30="New York",INDEX('NY Curve'!$A$4:$M$256,MATCH('Monthly Table'!$B42,'NY Curve'!$A$4:$A$256,0),MATCH("NY Sunday Super Peak",'NY Curve'!$A$4:$M$4,0)),IF(Tables!$E$30="Michigan",INDEX('Michigan Curve'!$A$4:$L$256,MATCH('Monthly Table'!$B42,'Michigan Curve'!$A$4:$A$256,0),MATCH("Michigan Sunday Super Peak",'Michigan Curve'!$A$4:$L$4,0))))</f>
        <v>51.619140319874106</v>
      </c>
      <c r="BC42" s="925">
        <f t="shared" si="28"/>
        <v>72.91526770012949</v>
      </c>
      <c r="BD42" s="927">
        <f t="shared" si="11"/>
        <v>1</v>
      </c>
      <c r="BE42" s="462"/>
      <c r="BF42" s="598">
        <f t="shared" si="12"/>
        <v>37834</v>
      </c>
      <c r="BG42" s="583">
        <f t="shared" si="29"/>
        <v>168</v>
      </c>
      <c r="BH42" s="583">
        <f t="shared" si="13"/>
        <v>168</v>
      </c>
      <c r="BI42" s="315">
        <f t="shared" si="30"/>
        <v>168</v>
      </c>
      <c r="BJ42" s="987">
        <f>IF('Monthly Table'!D42&lt;=Tables!$B$21,IF($BJ$10=$BG$10,BG42,IF($BJ$10=$BH$10,BH42,IF($BJ$10=$BI$10,BI42,0))),0)</f>
        <v>168</v>
      </c>
      <c r="BK42" s="43"/>
      <c r="BL42" s="987">
        <f t="shared" si="31"/>
        <v>40</v>
      </c>
      <c r="BM42" s="987">
        <f t="shared" si="32"/>
        <v>40</v>
      </c>
      <c r="BO42" s="987">
        <f t="shared" si="14"/>
        <v>0</v>
      </c>
      <c r="BP42" s="987">
        <f t="shared" si="33"/>
        <v>0</v>
      </c>
      <c r="BR42" s="993">
        <f>IF(BJ42&gt;0,INDEX(OperationalDetail,MATCH("Capacity Degradation",ODColumn,0),MATCH('Monthly Table'!C42,ODRow,0)),0)</f>
        <v>1.439E-2</v>
      </c>
      <c r="BS42" s="994">
        <f>BJ42*(1-BR42)*Tables!$C$10</f>
        <v>53648.72352</v>
      </c>
      <c r="BT42" s="601">
        <f t="shared" si="15"/>
        <v>7503.91235284919</v>
      </c>
      <c r="BU42" s="601">
        <f t="shared" si="16"/>
        <v>10599.746036367962</v>
      </c>
      <c r="BV42" s="462"/>
      <c r="BW42" s="785">
        <f>$BO42*(1-$BR42)*Tables!$C$36</f>
        <v>0</v>
      </c>
      <c r="BX42" s="602">
        <f t="shared" si="34"/>
        <v>0</v>
      </c>
      <c r="BY42" s="601">
        <f t="shared" si="35"/>
        <v>0</v>
      </c>
      <c r="BZ42" s="462"/>
      <c r="CA42" s="785">
        <f>$BL42*(1-$BR42)*Tables!$C$36</f>
        <v>12773.5056</v>
      </c>
      <c r="CB42" s="602">
        <f t="shared" si="36"/>
        <v>744.43583042765192</v>
      </c>
      <c r="CC42" s="601">
        <f t="shared" si="37"/>
        <v>1051.5622213937099</v>
      </c>
      <c r="CD42" s="785">
        <f>$BP42*(1-$BR42)*Tables!$C$36</f>
        <v>0</v>
      </c>
      <c r="CE42" s="602">
        <f t="shared" si="38"/>
        <v>0</v>
      </c>
      <c r="CF42" s="601">
        <f t="shared" si="39"/>
        <v>0</v>
      </c>
      <c r="CH42" s="785">
        <f>$BM42*(1-$BR42)*Tables!$C$36</f>
        <v>12773.5056</v>
      </c>
      <c r="CI42" s="602">
        <f t="shared" si="40"/>
        <v>659.35737794309773</v>
      </c>
      <c r="CJ42" s="601">
        <f t="shared" si="41"/>
        <v>931.38358029310314</v>
      </c>
      <c r="CK42" s="304"/>
      <c r="CL42" s="304">
        <f t="shared" si="42"/>
        <v>2002</v>
      </c>
      <c r="CM42" s="1018">
        <f>INDEX(OperationalDetail,MATCH("Degraded Heat Rate",ODColumn,0),MATCH('Monthly Table'!CL42,ODRow,0))/1000</f>
        <v>12.098736000000001</v>
      </c>
      <c r="CN42" s="737">
        <f t="shared" si="17"/>
        <v>51.88078783632573</v>
      </c>
      <c r="CO42" s="1019">
        <f>IF(A42="January",(CO41*(1+Assumptions!$E$32)),CO41)</f>
        <v>7.0077442500000018</v>
      </c>
      <c r="CP42" s="741">
        <f t="shared" si="18"/>
        <v>58.888532086325732</v>
      </c>
      <c r="CQ42" s="304"/>
      <c r="CR42" s="575">
        <f t="shared" si="43"/>
        <v>2003</v>
      </c>
      <c r="CS42" s="575" t="str">
        <f t="shared" si="44"/>
        <v/>
      </c>
      <c r="CT42" s="575">
        <f t="shared" si="45"/>
        <v>2003</v>
      </c>
      <c r="CU42" s="575" t="str">
        <f t="shared" si="46"/>
        <v/>
      </c>
      <c r="CV42" s="575">
        <f t="shared" si="47"/>
        <v>2003</v>
      </c>
      <c r="CW42" s="576">
        <f t="shared" si="19"/>
        <v>2003</v>
      </c>
      <c r="CX42" s="787">
        <f>INDEX('NY Curve'!$A$4:$G$256,MATCH('Monthly Table'!B42,'NY Curve'!$A$4:$A$256,0),MATCH("New York 5 X 16",'NY Curve'!$A$4:$G$4,0))</f>
        <v>64.5</v>
      </c>
      <c r="CY42" s="632">
        <f t="shared" si="20"/>
        <v>1.4125626124008901</v>
      </c>
      <c r="CZ42" s="633">
        <f t="shared" si="21"/>
        <v>91.110288499857404</v>
      </c>
      <c r="DB42" s="857"/>
      <c r="DC42" s="857"/>
    </row>
    <row r="43" spans="1:107" ht="18.75" customHeight="1">
      <c r="A43" s="17" t="s">
        <v>445</v>
      </c>
      <c r="B43" s="508">
        <v>37865</v>
      </c>
      <c r="C43" s="43">
        <f t="shared" si="0"/>
        <v>2003</v>
      </c>
      <c r="D43" s="719">
        <f t="shared" si="48"/>
        <v>3</v>
      </c>
      <c r="E43" s="972">
        <v>21</v>
      </c>
      <c r="F43" s="971">
        <v>4</v>
      </c>
      <c r="G43" s="971">
        <v>4</v>
      </c>
      <c r="H43" s="971">
        <v>1</v>
      </c>
      <c r="I43" s="976">
        <f t="shared" si="22"/>
        <v>30</v>
      </c>
      <c r="J43" s="621"/>
      <c r="K43" s="572">
        <f>INDEX(FX!$A$3:$C$362,MATCH(B43,FX!$A$3:$A$362,0),MATCH("Monthly Curve",FX!$A$2:$C$2,0))</f>
        <v>1.4115514442814601</v>
      </c>
      <c r="L43" s="572"/>
      <c r="M43" s="1057">
        <v>2.6664999999999996</v>
      </c>
      <c r="N43" s="1067">
        <v>0.13500000000000001</v>
      </c>
      <c r="O43" s="315">
        <v>0.02</v>
      </c>
      <c r="P43" s="797">
        <f t="shared" si="1"/>
        <v>0.155</v>
      </c>
      <c r="Q43" s="732">
        <f t="shared" si="2"/>
        <v>2.8214999999999999</v>
      </c>
      <c r="R43" s="722">
        <f>Assumptions!$B$34</f>
        <v>0.3124588923076923</v>
      </c>
      <c r="S43" s="730">
        <f t="shared" si="3"/>
        <v>4.2951512923478319</v>
      </c>
      <c r="T43" s="572"/>
      <c r="V43" s="581"/>
      <c r="W43" s="581"/>
      <c r="X43" s="461"/>
      <c r="Y43" s="783">
        <f>Assumptions!$B$7</f>
        <v>312</v>
      </c>
      <c r="Z43" s="570">
        <f t="shared" si="4"/>
        <v>0</v>
      </c>
      <c r="AA43" s="592">
        <f t="shared" si="5"/>
        <v>0</v>
      </c>
      <c r="AB43" s="589">
        <f t="shared" si="6"/>
        <v>0</v>
      </c>
      <c r="AC43" s="462"/>
      <c r="AD43" s="1027">
        <f>IF(Tables!$E$30="Michigan",INDEX('Michigan Curve'!$A$4:$S$256,MATCH('Monthly Table'!B43,'Michigan Curve'!$A$4:$A$256,0),MATCH("Michigan Selected Option Value US$/month",'Michigan Curve'!$A$4:$S$4,0)),INDEX('NY Curve'!$A$4:$T$256,MATCH('Monthly Table'!B43,'NY Curve'!$A$4:$A$256,0),MATCH("New York Selected Option Value US$/month",'NY Curve'!$A$4:$T$4,0)))</f>
        <v>438253.78448003047</v>
      </c>
      <c r="AE43" s="601">
        <f t="shared" si="23"/>
        <v>618617.76244460279</v>
      </c>
      <c r="AF43" s="462"/>
      <c r="AG43" s="915"/>
      <c r="AH43" s="462"/>
      <c r="AI43" s="799">
        <f>Assumptions!$B$50</f>
        <v>65</v>
      </c>
      <c r="AJ43" s="743"/>
      <c r="AK43" s="924">
        <f>IF(Tables!$E$30="Custom",'Monthly Table'!AI43,IF(Tables!$E$30="New York",INDEX('NY Curve'!$A$4:$G$256,MATCH('Monthly Table'!B43,'NY Curve'!$A$4:$A$256,0),MATCH("Super Peak Curve",'NY Curve'!$A$4:$G$4,0)),IF(Tables!$E$30="New York Flat",INDEX('NY Curve'!$A$4:$G$256,MATCH('Monthly Table'!B43,'NY Curve'!$A$4:$A$256,0),MATCH("Flat NY West",'NY Curve'!$A$4:$G$4,0)),INDEX('Michigan Curve'!$A$4:$F$256,MATCH('Monthly Table'!B43,'Michigan Curve'!$A$4:$A$256,0),MATCH("Michigan Super Peak Curve US$/MWhr",'Michigan Curve'!$A$4:$F$4,0)))))</f>
        <v>42.564374774694443</v>
      </c>
      <c r="AL43" s="965">
        <f>IF(D43&lt;=Tables!$B$21,IF($AL$10=$AI$10,AI43,IF($AL$10=$AJ$10,AJ43,IF($AL$10=$AK$10,AK43,0))),0)</f>
        <v>42.564374774694443</v>
      </c>
      <c r="AM43" s="708">
        <f t="shared" si="24"/>
        <v>60.081804688157284</v>
      </c>
      <c r="AN43" s="916">
        <f t="shared" si="25"/>
        <v>1</v>
      </c>
      <c r="AO43" s="905"/>
      <c r="AP43" s="925"/>
      <c r="AQ43" s="926">
        <f>IF(Tables!$E$30="New York",INDEX('NY Curve'!$A$4:$L$256,MATCH('Monthly Table'!B43,'NY Curve'!$A$4:$A$256,0),MATCH("New York Shoulder Hour Curve Mon-Fri",'NY Curve'!$A$4:$L$4,0)),IF(Tables!$E$30="Michigan",INDEX('Michigan Curve'!$A$4:$K$256,MATCH('Monthly Table'!B43,'Michigan Curve'!$A$4:$A$256,0),MATCH("Michigan Shoulder Hour Curve Mon-Fri",'Michigan Curve'!$A$4:$K$4,0))))</f>
        <v>20.435625225305557</v>
      </c>
      <c r="AR43" s="708">
        <f t="shared" si="26"/>
        <v>28.845936301574696</v>
      </c>
      <c r="AS43" s="927">
        <f t="shared" si="7"/>
        <v>0</v>
      </c>
      <c r="AT43" s="462"/>
      <c r="AU43" s="926">
        <f>IF(Tables!$E$30="New York",INDEX('NY Curve'!$A$4:$L$256,MATCH('Monthly Table'!$B43,'NY Curve'!$A$4:$A$256,0),MATCH("New York Saturday Super Peak",'NY Curve'!$A$4:$L$4,0)),IF(Tables!$E$30="Michigan",INDEX('Michigan Curve'!$A$4:$K$256,MATCH('Monthly Table'!$B43,'Michigan Curve'!$A$4:$A$256,0),MATCH("Michigan Saturday Super Peak",'Michigan Curve'!$A$4:$K$4,0))))</f>
        <v>33.781249821186066</v>
      </c>
      <c r="AV43" s="925">
        <f t="shared" si="8"/>
        <v>47.683971974728003</v>
      </c>
      <c r="AW43" s="927">
        <f t="shared" si="9"/>
        <v>0</v>
      </c>
      <c r="AX43" s="926">
        <f>IF(Tables!$E$30="New York",INDEX('NY Curve'!$A$4:$L$256,MATCH('Monthly Table'!$B43,'NY Curve'!$A$4:$A$256,0),MATCH("New York Saturday Shoulder Peak",'NY Curve'!$A$4:$L$4,0)),IF(Tables!$E$30="Michigan",INDEX('Michigan Curve'!$A$4:$K$256,MATCH('Monthly Table'!$B43,'Michigan Curve'!$A$4:$A$256,0),MATCH("Michigan Saturday Shoulder Peak",'Michigan Curve'!$A$4:$K$4,0))))</f>
        <v>16.218750178813934</v>
      </c>
      <c r="AY43" s="934">
        <f t="shared" si="27"/>
        <v>22.893600239344998</v>
      </c>
      <c r="AZ43" s="927">
        <f t="shared" si="10"/>
        <v>0</v>
      </c>
      <c r="BA43" s="462"/>
      <c r="BB43" s="926">
        <f>IF(Tables!$E$30="New York",INDEX('NY Curve'!$A$4:$M$256,MATCH('Monthly Table'!$B43,'NY Curve'!$A$4:$A$256,0),MATCH("NY Sunday Super Peak",'NY Curve'!$A$4:$M$4,0)),IF(Tables!$E$30="Michigan",INDEX('Michigan Curve'!$A$4:$L$256,MATCH('Monthly Table'!$B43,'Michigan Curve'!$A$4:$A$256,0),MATCH("Michigan Sunday Super Peak",'Michigan Curve'!$A$4:$L$4,0))))</f>
        <v>32.429999828338623</v>
      </c>
      <c r="BC43" s="925">
        <f t="shared" si="28"/>
        <v>45.776613095738888</v>
      </c>
      <c r="BD43" s="927">
        <f t="shared" si="11"/>
        <v>0</v>
      </c>
      <c r="BE43" s="462"/>
      <c r="BF43" s="598">
        <f t="shared" si="12"/>
        <v>37865</v>
      </c>
      <c r="BG43" s="583">
        <f t="shared" si="29"/>
        <v>168</v>
      </c>
      <c r="BH43" s="583">
        <f t="shared" si="13"/>
        <v>168</v>
      </c>
      <c r="BI43" s="315">
        <f t="shared" si="30"/>
        <v>168</v>
      </c>
      <c r="BJ43" s="987">
        <f>IF('Monthly Table'!D43&lt;=Tables!$B$21,IF($BJ$10=$BG$10,BG43,IF($BJ$10=$BH$10,BH43,IF($BJ$10=$BI$10,BI43,0))),0)</f>
        <v>168</v>
      </c>
      <c r="BK43" s="43"/>
      <c r="BL43" s="987">
        <f t="shared" si="31"/>
        <v>0</v>
      </c>
      <c r="BM43" s="987">
        <f t="shared" si="32"/>
        <v>0</v>
      </c>
      <c r="BO43" s="987">
        <f t="shared" si="14"/>
        <v>0</v>
      </c>
      <c r="BP43" s="987">
        <f t="shared" si="33"/>
        <v>0</v>
      </c>
      <c r="BR43" s="993">
        <f>IF(BJ43&gt;0,INDEX(OperationalDetail,MATCH("Capacity Degradation",ODColumn,0),MATCH('Monthly Table'!C43,ODRow,0)),0)</f>
        <v>1.439E-2</v>
      </c>
      <c r="BS43" s="994">
        <f>BJ43*(1-BR43)*Tables!$C$10</f>
        <v>53648.72352</v>
      </c>
      <c r="BT43" s="601">
        <f t="shared" si="15"/>
        <v>2283.5243740892442</v>
      </c>
      <c r="BU43" s="601">
        <f t="shared" si="16"/>
        <v>3223.3121282975899</v>
      </c>
      <c r="BV43" s="462"/>
      <c r="BW43" s="785">
        <f>$BO43*(1-$BR43)*Tables!$C$36</f>
        <v>0</v>
      </c>
      <c r="BX43" s="602">
        <f t="shared" si="34"/>
        <v>0</v>
      </c>
      <c r="BY43" s="601">
        <f t="shared" si="35"/>
        <v>0</v>
      </c>
      <c r="BZ43" s="462"/>
      <c r="CA43" s="785">
        <f>$BL43*(1-$BR43)*Tables!$C$36</f>
        <v>0</v>
      </c>
      <c r="CB43" s="602">
        <f t="shared" si="36"/>
        <v>0</v>
      </c>
      <c r="CC43" s="601">
        <f t="shared" si="37"/>
        <v>0</v>
      </c>
      <c r="CD43" s="785">
        <f>$BP43*(1-$BR43)*Tables!$C$36</f>
        <v>0</v>
      </c>
      <c r="CE43" s="602">
        <f t="shared" si="38"/>
        <v>0</v>
      </c>
      <c r="CF43" s="601">
        <f t="shared" si="39"/>
        <v>0</v>
      </c>
      <c r="CH43" s="785">
        <f>$BM43*(1-$BR43)*Tables!$C$36</f>
        <v>0</v>
      </c>
      <c r="CI43" s="602">
        <f t="shared" si="40"/>
        <v>0</v>
      </c>
      <c r="CJ43" s="601">
        <f t="shared" si="41"/>
        <v>0</v>
      </c>
      <c r="CK43" s="304"/>
      <c r="CL43" s="304">
        <f t="shared" si="42"/>
        <v>2002</v>
      </c>
      <c r="CM43" s="1018">
        <f>INDEX(OperationalDetail,MATCH("Degraded Heat Rate",ODColumn,0),MATCH('Monthly Table'!CL43,ODRow,0))/1000</f>
        <v>12.098736000000001</v>
      </c>
      <c r="CN43" s="737">
        <f t="shared" si="17"/>
        <v>51.965901566175241</v>
      </c>
      <c r="CO43" s="1019">
        <f>IF(A43="January",(CO42*(1+Assumptions!$E$32)),CO42)</f>
        <v>7.0077442500000018</v>
      </c>
      <c r="CP43" s="741">
        <f t="shared" si="18"/>
        <v>58.973645816175242</v>
      </c>
      <c r="CQ43" s="304"/>
      <c r="CR43" s="575">
        <f t="shared" si="43"/>
        <v>2003</v>
      </c>
      <c r="CS43" s="575" t="str">
        <f t="shared" si="44"/>
        <v/>
      </c>
      <c r="CT43" s="575" t="str">
        <f t="shared" si="45"/>
        <v/>
      </c>
      <c r="CU43" s="575" t="str">
        <f t="shared" si="46"/>
        <v/>
      </c>
      <c r="CV43" s="575" t="str">
        <f t="shared" si="47"/>
        <v/>
      </c>
      <c r="CW43" s="576">
        <f t="shared" si="19"/>
        <v>2003</v>
      </c>
      <c r="CX43" s="787">
        <f>INDEX('NY Curve'!$A$4:$G$256,MATCH('Monthly Table'!B43,'NY Curve'!$A$4:$A$256,0),MATCH("New York 5 X 16",'NY Curve'!$A$4:$G$4,0))</f>
        <v>29.65</v>
      </c>
      <c r="CY43" s="632">
        <f t="shared" si="20"/>
        <v>1.4115514442814601</v>
      </c>
      <c r="CZ43" s="633">
        <f t="shared" si="21"/>
        <v>41.852500322945289</v>
      </c>
      <c r="DB43" s="857"/>
      <c r="DC43" s="857"/>
    </row>
    <row r="44" spans="1:107" ht="18.75" customHeight="1">
      <c r="A44" s="17" t="s">
        <v>446</v>
      </c>
      <c r="B44" s="508">
        <v>37895</v>
      </c>
      <c r="C44" s="43">
        <f t="shared" si="0"/>
        <v>2003</v>
      </c>
      <c r="D44" s="719">
        <f t="shared" si="48"/>
        <v>3</v>
      </c>
      <c r="E44" s="972">
        <v>23</v>
      </c>
      <c r="F44" s="971">
        <v>4</v>
      </c>
      <c r="G44" s="971">
        <v>4</v>
      </c>
      <c r="H44" s="971">
        <v>0</v>
      </c>
      <c r="I44" s="976">
        <f t="shared" si="22"/>
        <v>31</v>
      </c>
      <c r="J44" s="621"/>
      <c r="K44" s="572">
        <f>INDEX(FX!$A$3:$C$362,MATCH(B44,FX!$A$3:$A$362,0),MATCH("Monthly Curve",FX!$A$2:$C$2,0))</f>
        <v>1.4105753144369799</v>
      </c>
      <c r="L44" s="572"/>
      <c r="M44" s="1057">
        <v>2.6935000000000002</v>
      </c>
      <c r="N44" s="1067">
        <v>0.13500000000000001</v>
      </c>
      <c r="O44" s="315">
        <v>0.02</v>
      </c>
      <c r="P44" s="797">
        <f t="shared" si="1"/>
        <v>0.155</v>
      </c>
      <c r="Q44" s="732">
        <f t="shared" si="2"/>
        <v>2.8485</v>
      </c>
      <c r="R44" s="722">
        <f>Assumptions!$B$34</f>
        <v>0.3124588923076923</v>
      </c>
      <c r="S44" s="730">
        <f t="shared" si="3"/>
        <v>4.3304826754814298</v>
      </c>
      <c r="T44" s="572"/>
      <c r="V44" s="581"/>
      <c r="W44" s="581"/>
      <c r="X44" s="461"/>
      <c r="Y44" s="783">
        <f>Assumptions!$B$7</f>
        <v>312</v>
      </c>
      <c r="Z44" s="570">
        <f t="shared" si="4"/>
        <v>0</v>
      </c>
      <c r="AA44" s="592">
        <f t="shared" si="5"/>
        <v>0</v>
      </c>
      <c r="AB44" s="589">
        <f t="shared" si="6"/>
        <v>0</v>
      </c>
      <c r="AC44" s="462"/>
      <c r="AD44" s="1027">
        <f>IF(Tables!$E$30="Michigan",INDEX('Michigan Curve'!$A$4:$S$256,MATCH('Monthly Table'!B44,'Michigan Curve'!$A$4:$A$256,0),MATCH("Michigan Selected Option Value US$/month",'Michigan Curve'!$A$4:$S$4,0)),INDEX('NY Curve'!$A$4:$T$256,MATCH('Monthly Table'!B44,'NY Curve'!$A$4:$A$256,0),MATCH("New York Selected Option Value US$/month",'NY Curve'!$A$4:$T$4,0)))</f>
        <v>13071.227708832748</v>
      </c>
      <c r="AE44" s="601">
        <f t="shared" si="23"/>
        <v>18437.951135464118</v>
      </c>
      <c r="AF44" s="462"/>
      <c r="AG44" s="915"/>
      <c r="AH44" s="462"/>
      <c r="AI44" s="799">
        <f>Assumptions!$B$50</f>
        <v>65</v>
      </c>
      <c r="AJ44" s="743"/>
      <c r="AK44" s="924">
        <f>IF(Tables!$E$30="Custom",'Monthly Table'!AI44,IF(Tables!$E$30="New York",INDEX('NY Curve'!$A$4:$G$256,MATCH('Monthly Table'!B44,'NY Curve'!$A$4:$A$256,0),MATCH("Super Peak Curve",'NY Curve'!$A$4:$G$4,0)),IF(Tables!$E$30="New York Flat",INDEX('NY Curve'!$A$4:$G$256,MATCH('Monthly Table'!B44,'NY Curve'!$A$4:$A$256,0),MATCH("Flat NY West",'NY Curve'!$A$4:$G$4,0)),INDEX('Michigan Curve'!$A$4:$F$256,MATCH('Monthly Table'!B44,'Michigan Curve'!$A$4:$A$256,0),MATCH("Michigan Super Peak Curve US$/MWhr",'Michigan Curve'!$A$4:$F$4,0)))))</f>
        <v>24.599994659423828</v>
      </c>
      <c r="AL44" s="965">
        <f>IF(D44&lt;=Tables!$B$21,IF($AL$10=$AI$10,AI44,IF($AL$10=$AJ$10,AJ44,IF($AL$10=$AK$10,AK44,0))),0)</f>
        <v>24.599994659423828</v>
      </c>
      <c r="AM44" s="708">
        <f t="shared" si="24"/>
        <v>34.700145201864792</v>
      </c>
      <c r="AN44" s="916">
        <f t="shared" si="25"/>
        <v>0</v>
      </c>
      <c r="AO44" s="905"/>
      <c r="AP44" s="925"/>
      <c r="AQ44" s="926">
        <f>IF(Tables!$E$30="New York",INDEX('NY Curve'!$A$4:$L$256,MATCH('Monthly Table'!B44,'NY Curve'!$A$4:$A$256,0),MATCH("New York Shoulder Hour Curve Mon-Fri",'NY Curve'!$A$4:$L$4,0)),IF(Tables!$E$30="Michigan",INDEX('Michigan Curve'!$A$4:$K$256,MATCH('Monthly Table'!B44,'Michigan Curve'!$A$4:$A$256,0),MATCH("Michigan Shoulder Hour Curve Mon-Fri",'Michigan Curve'!$A$4:$K$4,0))))</f>
        <v>24.599994659423828</v>
      </c>
      <c r="AR44" s="708">
        <f t="shared" si="26"/>
        <v>34.700145201864792</v>
      </c>
      <c r="AS44" s="927">
        <f t="shared" si="7"/>
        <v>0</v>
      </c>
      <c r="AT44" s="462"/>
      <c r="AU44" s="926">
        <f>IF(Tables!$E$30="New York",INDEX('NY Curve'!$A$4:$L$256,MATCH('Monthly Table'!$B44,'NY Curve'!$A$4:$A$256,0),MATCH("New York Saturday Super Peak",'NY Curve'!$A$4:$L$4,0)),IF(Tables!$E$30="Michigan",INDEX('Michigan Curve'!$A$4:$K$256,MATCH('Monthly Table'!$B44,'Michigan Curve'!$A$4:$A$256,0),MATCH("Michigan Saturday Super Peak",'Michigan Curve'!$A$4:$K$4,0))))</f>
        <v>19.996000289916992</v>
      </c>
      <c r="AV44" s="925">
        <f t="shared" si="8"/>
        <v>28.205864396431604</v>
      </c>
      <c r="AW44" s="927">
        <f t="shared" si="9"/>
        <v>0</v>
      </c>
      <c r="AX44" s="926">
        <f>IF(Tables!$E$30="New York",INDEX('NY Curve'!$A$4:$L$256,MATCH('Monthly Table'!$B44,'NY Curve'!$A$4:$A$256,0),MATCH("New York Saturday Shoulder Peak",'NY Curve'!$A$4:$L$4,0)),IF(Tables!$E$30="Michigan",INDEX('Michigan Curve'!$A$4:$K$256,MATCH('Monthly Table'!$B44,'Michigan Curve'!$A$4:$A$256,0),MATCH("Michigan Saturday Shoulder Peak",'Michigan Curve'!$A$4:$K$4,0))))</f>
        <v>19.996000289916992</v>
      </c>
      <c r="AY44" s="934">
        <f t="shared" si="27"/>
        <v>28.205864396431604</v>
      </c>
      <c r="AZ44" s="927">
        <f t="shared" si="10"/>
        <v>0</v>
      </c>
      <c r="BA44" s="462"/>
      <c r="BB44" s="926">
        <f>IF(Tables!$E$30="New York",INDEX('NY Curve'!$A$4:$M$256,MATCH('Monthly Table'!$B44,'NY Curve'!$A$4:$A$256,0),MATCH("NY Sunday Super Peak",'NY Curve'!$A$4:$M$4,0)),IF(Tables!$E$30="Michigan",INDEX('Michigan Curve'!$A$4:$L$256,MATCH('Monthly Table'!$B44,'Michigan Curve'!$A$4:$A$256,0),MATCH("Michigan Sunday Super Peak",'Michigan Curve'!$A$4:$L$4,0))))</f>
        <v>18.996500015258789</v>
      </c>
      <c r="BC44" s="925">
        <f t="shared" si="28"/>
        <v>26.79599398222576</v>
      </c>
      <c r="BD44" s="927">
        <f t="shared" si="11"/>
        <v>0</v>
      </c>
      <c r="BE44" s="462"/>
      <c r="BF44" s="598">
        <f t="shared" si="12"/>
        <v>37895</v>
      </c>
      <c r="BG44" s="583">
        <f t="shared" si="29"/>
        <v>0</v>
      </c>
      <c r="BH44" s="583">
        <f t="shared" si="13"/>
        <v>0</v>
      </c>
      <c r="BI44" s="315">
        <f t="shared" si="30"/>
        <v>0</v>
      </c>
      <c r="BJ44" s="987">
        <f>IF('Monthly Table'!D44&lt;=Tables!$B$21,IF($BJ$10=$BG$10,BG44,IF($BJ$10=$BH$10,BH44,IF($BJ$10=$BI$10,BI44,0))),0)</f>
        <v>0</v>
      </c>
      <c r="BK44" s="43"/>
      <c r="BL44" s="987">
        <f t="shared" si="31"/>
        <v>0</v>
      </c>
      <c r="BM44" s="987">
        <f t="shared" si="32"/>
        <v>0</v>
      </c>
      <c r="BO44" s="987">
        <f t="shared" si="14"/>
        <v>0</v>
      </c>
      <c r="BP44" s="987">
        <f t="shared" si="33"/>
        <v>0</v>
      </c>
      <c r="BR44" s="993">
        <f>IF(BJ44&gt;0,INDEX(OperationalDetail,MATCH("Capacity Degradation",ODColumn,0),MATCH('Monthly Table'!C44,ODRow,0)),0)</f>
        <v>0</v>
      </c>
      <c r="BS44" s="994">
        <f>BJ44*(1-BR44)*Tables!$C$10</f>
        <v>0</v>
      </c>
      <c r="BT44" s="601">
        <f t="shared" si="15"/>
        <v>0</v>
      </c>
      <c r="BU44" s="601">
        <f t="shared" si="16"/>
        <v>0</v>
      </c>
      <c r="BV44" s="462"/>
      <c r="BW44" s="785">
        <f>$BO44*(1-$BR44)*Tables!$C$36</f>
        <v>0</v>
      </c>
      <c r="BX44" s="602">
        <f t="shared" si="34"/>
        <v>0</v>
      </c>
      <c r="BY44" s="601">
        <f t="shared" si="35"/>
        <v>0</v>
      </c>
      <c r="BZ44" s="462"/>
      <c r="CA44" s="785">
        <f>$BL44*(1-$BR44)*Tables!$C$36</f>
        <v>0</v>
      </c>
      <c r="CB44" s="602">
        <f t="shared" si="36"/>
        <v>0</v>
      </c>
      <c r="CC44" s="601">
        <f t="shared" si="37"/>
        <v>0</v>
      </c>
      <c r="CD44" s="785">
        <f>$BP44*(1-$BR44)*Tables!$C$36</f>
        <v>0</v>
      </c>
      <c r="CE44" s="602">
        <f t="shared" si="38"/>
        <v>0</v>
      </c>
      <c r="CF44" s="601">
        <f t="shared" si="39"/>
        <v>0</v>
      </c>
      <c r="CH44" s="785">
        <f>$BM44*(1-$BR44)*Tables!$C$36</f>
        <v>0</v>
      </c>
      <c r="CI44" s="602">
        <f t="shared" si="40"/>
        <v>0</v>
      </c>
      <c r="CJ44" s="601">
        <f t="shared" si="41"/>
        <v>0</v>
      </c>
      <c r="CK44" s="304"/>
      <c r="CL44" s="304">
        <f t="shared" si="42"/>
        <v>2002</v>
      </c>
      <c r="CM44" s="1018">
        <f>INDEX(OperationalDetail,MATCH("Degraded Heat Rate",ODColumn,0),MATCH('Monthly Table'!CL44,ODRow,0))/1000</f>
        <v>12.098736000000001</v>
      </c>
      <c r="CN44" s="737">
        <f t="shared" si="17"/>
        <v>52.393366643223494</v>
      </c>
      <c r="CO44" s="1019">
        <f>IF(A44="January",(CO43*(1+Assumptions!$E$32)),CO43)</f>
        <v>7.0077442500000018</v>
      </c>
      <c r="CP44" s="741">
        <f t="shared" si="18"/>
        <v>59.401110893223496</v>
      </c>
      <c r="CQ44" s="304"/>
      <c r="CR44" s="575" t="str">
        <f t="shared" si="43"/>
        <v/>
      </c>
      <c r="CS44" s="575" t="str">
        <f t="shared" si="44"/>
        <v/>
      </c>
      <c r="CT44" s="575" t="str">
        <f t="shared" si="45"/>
        <v/>
      </c>
      <c r="CU44" s="575" t="str">
        <f t="shared" si="46"/>
        <v/>
      </c>
      <c r="CV44" s="575" t="str">
        <f t="shared" si="47"/>
        <v/>
      </c>
      <c r="CW44" s="576">
        <f t="shared" si="19"/>
        <v>2003</v>
      </c>
      <c r="CX44" s="787">
        <f>INDEX('NY Curve'!$A$4:$G$256,MATCH('Monthly Table'!B44,'NY Curve'!$A$4:$A$256,0),MATCH("New York 5 X 16",'NY Curve'!$A$4:$G$4,0))</f>
        <v>25.4</v>
      </c>
      <c r="CY44" s="632">
        <f t="shared" si="20"/>
        <v>1.4105753144369799</v>
      </c>
      <c r="CZ44" s="633">
        <f t="shared" si="21"/>
        <v>35.828612986699291</v>
      </c>
      <c r="DB44" s="857"/>
      <c r="DC44" s="857"/>
    </row>
    <row r="45" spans="1:107" ht="18.75" customHeight="1">
      <c r="A45" s="17" t="s">
        <v>447</v>
      </c>
      <c r="B45" s="508">
        <v>37926</v>
      </c>
      <c r="C45" s="43">
        <f t="shared" si="0"/>
        <v>2003</v>
      </c>
      <c r="D45" s="719">
        <f t="shared" si="48"/>
        <v>3</v>
      </c>
      <c r="E45" s="972">
        <v>19</v>
      </c>
      <c r="F45" s="971">
        <v>5</v>
      </c>
      <c r="G45" s="971">
        <v>5</v>
      </c>
      <c r="H45" s="971">
        <v>1</v>
      </c>
      <c r="I45" s="976">
        <f t="shared" si="22"/>
        <v>30</v>
      </c>
      <c r="J45" s="621"/>
      <c r="K45" s="572">
        <f>INDEX(FX!$A$3:$C$362,MATCH(B45,FX!$A$3:$A$362,0),MATCH("Monthly Curve",FX!$A$2:$C$2,0))</f>
        <v>1.40956971671875</v>
      </c>
      <c r="L45" s="572"/>
      <c r="M45" s="1057">
        <v>2.8294999999999999</v>
      </c>
      <c r="N45" s="1067">
        <v>0.22</v>
      </c>
      <c r="O45" s="315">
        <v>0.02</v>
      </c>
      <c r="P45" s="797">
        <f t="shared" si="1"/>
        <v>0.24</v>
      </c>
      <c r="Q45" s="732">
        <f t="shared" si="2"/>
        <v>3.0695000000000001</v>
      </c>
      <c r="R45" s="722">
        <f>Assumptions!$B$34</f>
        <v>0.3124588923076923</v>
      </c>
      <c r="S45" s="730">
        <f t="shared" si="3"/>
        <v>4.6391331377758949</v>
      </c>
      <c r="T45" s="572"/>
      <c r="V45" s="581"/>
      <c r="W45" s="581"/>
      <c r="X45" s="461"/>
      <c r="Y45" s="783">
        <f>Assumptions!$B$7</f>
        <v>312</v>
      </c>
      <c r="Z45" s="570">
        <f t="shared" si="4"/>
        <v>0</v>
      </c>
      <c r="AA45" s="592">
        <f t="shared" si="5"/>
        <v>0</v>
      </c>
      <c r="AB45" s="589">
        <f t="shared" si="6"/>
        <v>0</v>
      </c>
      <c r="AC45" s="462"/>
      <c r="AD45" s="1027">
        <f>IF(Tables!$E$30="Michigan",INDEX('Michigan Curve'!$A$4:$S$256,MATCH('Monthly Table'!B45,'Michigan Curve'!$A$4:$A$256,0),MATCH("Michigan Selected Option Value US$/month",'Michigan Curve'!$A$4:$S$4,0)),INDEX('NY Curve'!$A$4:$T$256,MATCH('Monthly Table'!B45,'NY Curve'!$A$4:$A$256,0),MATCH("New York Selected Option Value US$/month",'NY Curve'!$A$4:$T$4,0)))</f>
        <v>19121.593432766927</v>
      </c>
      <c r="AE45" s="601">
        <f t="shared" si="23"/>
        <v>26953.219038236388</v>
      </c>
      <c r="AF45" s="462"/>
      <c r="AG45" s="915"/>
      <c r="AH45" s="462"/>
      <c r="AI45" s="799">
        <f>Assumptions!$B$50</f>
        <v>65</v>
      </c>
      <c r="AJ45" s="743"/>
      <c r="AK45" s="924">
        <f>IF(Tables!$E$30="Custom",'Monthly Table'!AI45,IF(Tables!$E$30="New York",INDEX('NY Curve'!$A$4:$G$256,MATCH('Monthly Table'!B45,'NY Curve'!$A$4:$A$256,0),MATCH("Super Peak Curve",'NY Curve'!$A$4:$G$4,0)),IF(Tables!$E$30="New York Flat",INDEX('NY Curve'!$A$4:$G$256,MATCH('Monthly Table'!B45,'NY Curve'!$A$4:$A$256,0),MATCH("Flat NY West",'NY Curve'!$A$4:$G$4,0)),INDEX('Michigan Curve'!$A$4:$F$256,MATCH('Monthly Table'!B45,'Michigan Curve'!$A$4:$A$256,0),MATCH("Michigan Super Peak Curve US$/MWhr",'Michigan Curve'!$A$4:$F$4,0)))))</f>
        <v>26.43839538574219</v>
      </c>
      <c r="AL45" s="965">
        <f>IF(D45&lt;=Tables!$B$21,IF($AL$10=$AI$10,AI45,IF($AL$10=$AJ$10,AJ45,IF($AL$10=$AK$10,AK45,0))),0)</f>
        <v>26.43839538574219</v>
      </c>
      <c r="AM45" s="708">
        <f t="shared" si="24"/>
        <v>37.266761494378926</v>
      </c>
      <c r="AN45" s="916">
        <f t="shared" si="25"/>
        <v>0</v>
      </c>
      <c r="AO45" s="905"/>
      <c r="AP45" s="925"/>
      <c r="AQ45" s="926">
        <f>IF(Tables!$E$30="New York",INDEX('NY Curve'!$A$4:$L$256,MATCH('Monthly Table'!B45,'NY Curve'!$A$4:$A$256,0),MATCH("New York Shoulder Hour Curve Mon-Fri",'NY Curve'!$A$4:$L$4,0)),IF(Tables!$E$30="Michigan",INDEX('Michigan Curve'!$A$4:$K$256,MATCH('Monthly Table'!B45,'Michigan Curve'!$A$4:$A$256,0),MATCH("Michigan Shoulder Hour Curve Mon-Fri",'Michigan Curve'!$A$4:$K$4,0))))</f>
        <v>22.521596069335935</v>
      </c>
      <c r="AR45" s="708">
        <f t="shared" si="26"/>
        <v>31.745759791507968</v>
      </c>
      <c r="AS45" s="927">
        <f t="shared" si="7"/>
        <v>0</v>
      </c>
      <c r="AT45" s="462"/>
      <c r="AU45" s="926">
        <f>IF(Tables!$E$30="New York",INDEX('NY Curve'!$A$4:$L$256,MATCH('Monthly Table'!$B45,'NY Curve'!$A$4:$A$256,0),MATCH("New York Saturday Super Peak",'NY Curve'!$A$4:$L$4,0)),IF(Tables!$E$30="Michigan",INDEX('Michigan Curve'!$A$4:$K$256,MATCH('Monthly Table'!$B45,'Michigan Curve'!$A$4:$A$256,0),MATCH("Michigan Saturday Super Peak",'Michigan Curve'!$A$4:$K$4,0))))</f>
        <v>21.6</v>
      </c>
      <c r="AV45" s="925">
        <f t="shared" si="8"/>
        <v>30.446705881125002</v>
      </c>
      <c r="AW45" s="927">
        <f t="shared" si="9"/>
        <v>0</v>
      </c>
      <c r="AX45" s="926">
        <f>IF(Tables!$E$30="New York",INDEX('NY Curve'!$A$4:$L$256,MATCH('Monthly Table'!$B45,'NY Curve'!$A$4:$A$256,0),MATCH("New York Saturday Shoulder Peak",'NY Curve'!$A$4:$L$4,0)),IF(Tables!$E$30="Michigan",INDEX('Michigan Curve'!$A$4:$K$256,MATCH('Monthly Table'!$B45,'Michigan Curve'!$A$4:$A$256,0),MATCH("Michigan Saturday Shoulder Peak",'Michigan Curve'!$A$4:$K$4,0))))</f>
        <v>18.399999999999999</v>
      </c>
      <c r="AY45" s="934">
        <f t="shared" si="27"/>
        <v>25.936082787624997</v>
      </c>
      <c r="AZ45" s="927">
        <f t="shared" si="10"/>
        <v>0</v>
      </c>
      <c r="BA45" s="462"/>
      <c r="BB45" s="926">
        <f>IF(Tables!$E$30="New York",INDEX('NY Curve'!$A$4:$M$256,MATCH('Monthly Table'!$B45,'NY Curve'!$A$4:$A$256,0),MATCH("NY Sunday Super Peak",'NY Curve'!$A$4:$M$4,0)),IF(Tables!$E$30="Michigan",INDEX('Michigan Curve'!$A$4:$L$256,MATCH('Monthly Table'!$B45,'Michigan Curve'!$A$4:$A$256,0),MATCH("Michigan Sunday Super Peak",'Michigan Curve'!$A$4:$L$4,0))))</f>
        <v>20.520000000000003</v>
      </c>
      <c r="BC45" s="925">
        <f t="shared" si="28"/>
        <v>28.924370587068754</v>
      </c>
      <c r="BD45" s="927">
        <f t="shared" si="11"/>
        <v>0</v>
      </c>
      <c r="BE45" s="462"/>
      <c r="BF45" s="598">
        <f t="shared" si="12"/>
        <v>37926</v>
      </c>
      <c r="BG45" s="583">
        <f t="shared" si="29"/>
        <v>0</v>
      </c>
      <c r="BH45" s="583">
        <f t="shared" si="13"/>
        <v>0</v>
      </c>
      <c r="BI45" s="315">
        <f t="shared" si="30"/>
        <v>0</v>
      </c>
      <c r="BJ45" s="987">
        <f>IF('Monthly Table'!D45&lt;=Tables!$B$21,IF($BJ$10=$BG$10,BG45,IF($BJ$10=$BH$10,BH45,IF($BJ$10=$BI$10,BI45,0))),0)</f>
        <v>0</v>
      </c>
      <c r="BK45" s="43"/>
      <c r="BL45" s="987">
        <f t="shared" si="31"/>
        <v>0</v>
      </c>
      <c r="BM45" s="987">
        <f t="shared" si="32"/>
        <v>0</v>
      </c>
      <c r="BO45" s="987">
        <f t="shared" si="14"/>
        <v>0</v>
      </c>
      <c r="BP45" s="987">
        <f t="shared" si="33"/>
        <v>0</v>
      </c>
      <c r="BR45" s="993">
        <f>IF(BJ45&gt;0,INDEX(OperationalDetail,MATCH("Capacity Degradation",ODColumn,0),MATCH('Monthly Table'!C45,ODRow,0)),0)</f>
        <v>0</v>
      </c>
      <c r="BS45" s="994">
        <f>BJ45*(1-BR45)*Tables!$C$10</f>
        <v>0</v>
      </c>
      <c r="BT45" s="601">
        <f t="shared" si="15"/>
        <v>0</v>
      </c>
      <c r="BU45" s="601">
        <f t="shared" si="16"/>
        <v>0</v>
      </c>
      <c r="BV45" s="462"/>
      <c r="BW45" s="785">
        <f>$BO45*(1-$BR45)*Tables!$C$36</f>
        <v>0</v>
      </c>
      <c r="BX45" s="602">
        <f t="shared" si="34"/>
        <v>0</v>
      </c>
      <c r="BY45" s="601">
        <f t="shared" si="35"/>
        <v>0</v>
      </c>
      <c r="BZ45" s="462"/>
      <c r="CA45" s="785">
        <f>$BL45*(1-$BR45)*Tables!$C$36</f>
        <v>0</v>
      </c>
      <c r="CB45" s="602">
        <f t="shared" si="36"/>
        <v>0</v>
      </c>
      <c r="CC45" s="601">
        <f t="shared" si="37"/>
        <v>0</v>
      </c>
      <c r="CD45" s="785">
        <f>$BP45*(1-$BR45)*Tables!$C$36</f>
        <v>0</v>
      </c>
      <c r="CE45" s="602">
        <f t="shared" si="38"/>
        <v>0</v>
      </c>
      <c r="CF45" s="601">
        <f t="shared" si="39"/>
        <v>0</v>
      </c>
      <c r="CH45" s="785">
        <f>$BM45*(1-$BR45)*Tables!$C$36</f>
        <v>0</v>
      </c>
      <c r="CI45" s="602">
        <f t="shared" si="40"/>
        <v>0</v>
      </c>
      <c r="CJ45" s="601">
        <f t="shared" si="41"/>
        <v>0</v>
      </c>
      <c r="CK45" s="304"/>
      <c r="CL45" s="304">
        <f t="shared" si="42"/>
        <v>2002</v>
      </c>
      <c r="CM45" s="1018">
        <f>INDEX(OperationalDetail,MATCH("Degraded Heat Rate",ODColumn,0),MATCH('Monthly Table'!CL45,ODRow,0))/1000</f>
        <v>12.098736000000001</v>
      </c>
      <c r="CN45" s="737">
        <f t="shared" si="17"/>
        <v>56.127647102802179</v>
      </c>
      <c r="CO45" s="1019">
        <f>IF(A45="January",(CO44*(1+Assumptions!$E$32)),CO44)</f>
        <v>7.0077442500000018</v>
      </c>
      <c r="CP45" s="741">
        <f t="shared" si="18"/>
        <v>63.135391352802181</v>
      </c>
      <c r="CQ45" s="304"/>
      <c r="CR45" s="575" t="str">
        <f t="shared" si="43"/>
        <v/>
      </c>
      <c r="CS45" s="575" t="str">
        <f t="shared" si="44"/>
        <v/>
      </c>
      <c r="CT45" s="575" t="str">
        <f t="shared" si="45"/>
        <v/>
      </c>
      <c r="CU45" s="575" t="str">
        <f t="shared" si="46"/>
        <v/>
      </c>
      <c r="CV45" s="575" t="str">
        <f t="shared" si="47"/>
        <v/>
      </c>
      <c r="CW45" s="576">
        <f t="shared" si="19"/>
        <v>2003</v>
      </c>
      <c r="CX45" s="787">
        <f>INDEX('NY Curve'!$A$4:$G$256,MATCH('Monthly Table'!B45,'NY Curve'!$A$4:$A$256,0),MATCH("New York 5 X 16",'NY Curve'!$A$4:$G$4,0))</f>
        <v>25.9</v>
      </c>
      <c r="CY45" s="632">
        <f t="shared" si="20"/>
        <v>1.40956971671875</v>
      </c>
      <c r="CZ45" s="633">
        <f t="shared" si="21"/>
        <v>36.507855663015626</v>
      </c>
      <c r="DB45" s="857"/>
      <c r="DC45" s="857"/>
    </row>
    <row r="46" spans="1:107" s="222" customFormat="1" ht="18.75" customHeight="1">
      <c r="A46" s="222" t="s">
        <v>448</v>
      </c>
      <c r="B46" s="564">
        <v>37956</v>
      </c>
      <c r="C46" s="565">
        <f t="shared" si="0"/>
        <v>2003</v>
      </c>
      <c r="D46" s="819">
        <f t="shared" si="48"/>
        <v>3</v>
      </c>
      <c r="E46" s="972">
        <v>22</v>
      </c>
      <c r="F46" s="971">
        <v>4</v>
      </c>
      <c r="G46" s="971">
        <v>4</v>
      </c>
      <c r="H46" s="971">
        <v>1</v>
      </c>
      <c r="I46" s="976">
        <f t="shared" si="22"/>
        <v>31</v>
      </c>
      <c r="J46" s="969"/>
      <c r="K46" s="820">
        <f>INDEX(FX!$A$3:$C$362,MATCH(B46,FX!$A$3:$A$362,0),MATCH("Monthly Curve",FX!$A$2:$C$2,0))</f>
        <v>1.4085972806200899</v>
      </c>
      <c r="L46" s="820"/>
      <c r="M46" s="1068">
        <v>2.9555000000000002</v>
      </c>
      <c r="N46" s="1069">
        <v>0.26</v>
      </c>
      <c r="O46" s="831">
        <v>0.02</v>
      </c>
      <c r="P46" s="824">
        <f t="shared" si="1"/>
        <v>0.28000000000000003</v>
      </c>
      <c r="Q46" s="825">
        <f t="shared" si="2"/>
        <v>3.2355000000000005</v>
      </c>
      <c r="R46" s="826">
        <f>Assumptions!$B$34</f>
        <v>0.3124588923076923</v>
      </c>
      <c r="S46" s="827">
        <f t="shared" si="3"/>
        <v>4.869975393753994</v>
      </c>
      <c r="T46" s="820"/>
      <c r="U46" s="565"/>
      <c r="V46" s="582"/>
      <c r="W46" s="582"/>
      <c r="X46" s="566"/>
      <c r="Y46" s="784">
        <f>Assumptions!$B$7</f>
        <v>312</v>
      </c>
      <c r="Z46" s="678">
        <f t="shared" si="4"/>
        <v>0</v>
      </c>
      <c r="AA46" s="679">
        <f t="shared" si="5"/>
        <v>0</v>
      </c>
      <c r="AB46" s="680">
        <f t="shared" si="6"/>
        <v>0</v>
      </c>
      <c r="AC46" s="828"/>
      <c r="AD46" s="1027">
        <f>IF(Tables!$E$30="Michigan",INDEX('Michigan Curve'!$A$4:$S$256,MATCH('Monthly Table'!B46,'Michigan Curve'!$A$4:$A$256,0),MATCH("Michigan Selected Option Value US$/month",'Michigan Curve'!$A$4:$S$4,0)),INDEX('NY Curve'!$A$4:$T$256,MATCH('Monthly Table'!B46,'NY Curve'!$A$4:$A$256,0),MATCH("New York Selected Option Value US$/month",'NY Curve'!$A$4:$T$4,0)))</f>
        <v>10402.134480440316</v>
      </c>
      <c r="AE46" s="601">
        <f t="shared" si="23"/>
        <v>14652.418341792702</v>
      </c>
      <c r="AF46" s="828"/>
      <c r="AG46" s="917"/>
      <c r="AH46" s="828"/>
      <c r="AI46" s="799">
        <f>Assumptions!$B$50</f>
        <v>65</v>
      </c>
      <c r="AJ46" s="762"/>
      <c r="AK46" s="924">
        <f>IF(Tables!$E$30="Custom",'Monthly Table'!AI46,IF(Tables!$E$30="New York",INDEX('NY Curve'!$A$4:$G$256,MATCH('Monthly Table'!B46,'NY Curve'!$A$4:$A$256,0),MATCH("Super Peak Curve",'NY Curve'!$A$4:$G$4,0)),IF(Tables!$E$30="New York Flat",INDEX('NY Curve'!$A$4:$G$256,MATCH('Monthly Table'!B46,'NY Curve'!$A$4:$A$256,0),MATCH("Flat NY West",'NY Curve'!$A$4:$G$4,0)),INDEX('Michigan Curve'!$A$4:$F$256,MATCH('Monthly Table'!B46,'Michigan Curve'!$A$4:$A$256,0),MATCH("Michigan Super Peak Curve US$/MWhr",'Michigan Curve'!$A$4:$F$4,0)))))</f>
        <v>25.448994941711426</v>
      </c>
      <c r="AL46" s="966">
        <f>IF(D46&lt;=Tables!$B$21,IF($AL$10=$AI$10,AI46,IF($AL$10=$AJ$10,AJ46,IF($AL$10=$AK$10,AK46,0))),0)</f>
        <v>25.448994941711426</v>
      </c>
      <c r="AM46" s="879">
        <f t="shared" si="24"/>
        <v>35.847385069409135</v>
      </c>
      <c r="AN46" s="918">
        <f t="shared" si="25"/>
        <v>0</v>
      </c>
      <c r="AO46" s="906"/>
      <c r="AP46" s="925"/>
      <c r="AQ46" s="926">
        <f>IF(Tables!$E$30="New York",INDEX('NY Curve'!$A$4:$L$256,MATCH('Monthly Table'!B46,'NY Curve'!$A$4:$A$256,0),MATCH("New York Shoulder Hour Curve Mon-Fri",'NY Curve'!$A$4:$L$4,0)),IF(Tables!$E$30="Michigan",INDEX('Michigan Curve'!$A$4:$K$256,MATCH('Monthly Table'!B46,'Michigan Curve'!$A$4:$A$256,0),MATCH("Michigan Shoulder Hour Curve Mon-Fri",'Michigan Curve'!$A$4:$K$4,0))))</f>
        <v>24.450995140075683</v>
      </c>
      <c r="AR46" s="708">
        <f t="shared" si="26"/>
        <v>34.441605262765641</v>
      </c>
      <c r="AS46" s="927">
        <f t="shared" si="7"/>
        <v>0</v>
      </c>
      <c r="AT46" s="828"/>
      <c r="AU46" s="926">
        <f>IF(Tables!$E$30="New York",INDEX('NY Curve'!$A$4:$L$256,MATCH('Monthly Table'!$B46,'NY Curve'!$A$4:$A$256,0),MATCH("New York Saturday Super Peak",'NY Curve'!$A$4:$L$4,0)),IF(Tables!$E$30="Michigan",INDEX('Michigan Curve'!$A$4:$K$256,MATCH('Monthly Table'!$B46,'Michigan Curve'!$A$4:$A$256,0),MATCH("Michigan Saturday Super Peak",'Michigan Curve'!$A$4:$K$4,0))))</f>
        <v>20.399999999999999</v>
      </c>
      <c r="AV46" s="925">
        <f t="shared" si="8"/>
        <v>28.735384524649831</v>
      </c>
      <c r="AW46" s="927">
        <f t="shared" si="9"/>
        <v>0</v>
      </c>
      <c r="AX46" s="926">
        <f>IF(Tables!$E$30="New York",INDEX('NY Curve'!$A$4:$L$256,MATCH('Monthly Table'!$B46,'NY Curve'!$A$4:$A$256,0),MATCH("New York Saturday Shoulder Peak",'NY Curve'!$A$4:$L$4,0)),IF(Tables!$E$30="Michigan",INDEX('Michigan Curve'!$A$4:$K$256,MATCH('Monthly Table'!$B46,'Michigan Curve'!$A$4:$A$256,0),MATCH("Michigan Saturday Shoulder Peak",'Michigan Curve'!$A$4:$K$4,0))))</f>
        <v>19.600000000000001</v>
      </c>
      <c r="AY46" s="934">
        <f t="shared" si="27"/>
        <v>27.608506700153765</v>
      </c>
      <c r="AZ46" s="927">
        <f t="shared" si="10"/>
        <v>0</v>
      </c>
      <c r="BA46" s="828"/>
      <c r="BB46" s="926">
        <f>IF(Tables!$E$30="New York",INDEX('NY Curve'!$A$4:$M$256,MATCH('Monthly Table'!$B46,'NY Curve'!$A$4:$A$256,0),MATCH("NY Sunday Super Peak",'NY Curve'!$A$4:$M$4,0)),IF(Tables!$E$30="Michigan",INDEX('Michigan Curve'!$A$4:$L$256,MATCH('Monthly Table'!$B46,'Michigan Curve'!$A$4:$A$256,0),MATCH("Michigan Sunday Super Peak",'Michigan Curve'!$A$4:$L$4,0))))</f>
        <v>19.38</v>
      </c>
      <c r="BC46" s="925">
        <f t="shared" si="28"/>
        <v>27.298615298417342</v>
      </c>
      <c r="BD46" s="927">
        <f t="shared" si="11"/>
        <v>0</v>
      </c>
      <c r="BE46" s="828"/>
      <c r="BF46" s="829">
        <f t="shared" si="12"/>
        <v>37956</v>
      </c>
      <c r="BG46" s="583">
        <f t="shared" si="29"/>
        <v>0</v>
      </c>
      <c r="BH46" s="830">
        <f t="shared" si="13"/>
        <v>0</v>
      </c>
      <c r="BI46" s="315">
        <f t="shared" si="30"/>
        <v>0</v>
      </c>
      <c r="BJ46" s="988">
        <f>IF('Monthly Table'!D46&lt;=Tables!$B$21,IF($BJ$10=$BG$10,BG46,IF($BJ$10=$BH$10,BH46,IF($BJ$10=$BI$10,BI46,0))),0)</f>
        <v>0</v>
      </c>
      <c r="BK46" s="43"/>
      <c r="BL46" s="987">
        <f t="shared" si="31"/>
        <v>0</v>
      </c>
      <c r="BM46" s="987">
        <f t="shared" si="32"/>
        <v>0</v>
      </c>
      <c r="BN46" s="43"/>
      <c r="BO46" s="987">
        <f t="shared" si="14"/>
        <v>0</v>
      </c>
      <c r="BP46" s="987">
        <f t="shared" si="33"/>
        <v>0</v>
      </c>
      <c r="BQ46" s="43"/>
      <c r="BR46" s="995">
        <f>IF(BJ46&gt;0,INDEX(OperationalDetail,MATCH("Capacity Degradation",ODColumn,0),MATCH('Monthly Table'!C46,ODRow,0)),0)</f>
        <v>0</v>
      </c>
      <c r="BS46" s="996">
        <f>BJ46*(1-BR46)*Tables!$C$10</f>
        <v>0</v>
      </c>
      <c r="BT46" s="834">
        <f t="shared" si="15"/>
        <v>0</v>
      </c>
      <c r="BU46" s="834">
        <f t="shared" si="16"/>
        <v>0</v>
      </c>
      <c r="BV46" s="462"/>
      <c r="BW46" s="785">
        <f>$BO46*(1-$BR46)*Tables!$C$36</f>
        <v>0</v>
      </c>
      <c r="BX46" s="602">
        <f t="shared" si="34"/>
        <v>0</v>
      </c>
      <c r="BY46" s="601">
        <f t="shared" si="35"/>
        <v>0</v>
      </c>
      <c r="BZ46" s="828"/>
      <c r="CA46" s="785">
        <f>$BL46*(1-$BR46)*Tables!$C$36</f>
        <v>0</v>
      </c>
      <c r="CB46" s="602">
        <f t="shared" si="36"/>
        <v>0</v>
      </c>
      <c r="CC46" s="601">
        <f t="shared" si="37"/>
        <v>0</v>
      </c>
      <c r="CD46" s="785">
        <f>$BP46*(1-$BR46)*Tables!$C$36</f>
        <v>0</v>
      </c>
      <c r="CE46" s="602">
        <f t="shared" si="38"/>
        <v>0</v>
      </c>
      <c r="CF46" s="601">
        <f t="shared" si="39"/>
        <v>0</v>
      </c>
      <c r="CH46" s="785">
        <f>$BM46*(1-$BR46)*Tables!$C$36</f>
        <v>0</v>
      </c>
      <c r="CI46" s="602">
        <f t="shared" si="40"/>
        <v>0</v>
      </c>
      <c r="CJ46" s="601">
        <f t="shared" si="41"/>
        <v>0</v>
      </c>
      <c r="CK46" s="880"/>
      <c r="CL46" s="304">
        <f t="shared" si="42"/>
        <v>2002</v>
      </c>
      <c r="CM46" s="1018">
        <f>INDEX(OperationalDetail,MATCH("Degraded Heat Rate",ODColumn,0),MATCH('Monthly Table'!CL46,ODRow,0))/1000</f>
        <v>12.098736000000001</v>
      </c>
      <c r="CN46" s="835">
        <f t="shared" si="17"/>
        <v>58.920546615525623</v>
      </c>
      <c r="CO46" s="1020">
        <f>IF(A46="January",(CO45*(1+Assumptions!$E$32)),CO45)</f>
        <v>7.0077442500000018</v>
      </c>
      <c r="CP46" s="836">
        <f t="shared" si="18"/>
        <v>65.928290865525625</v>
      </c>
      <c r="CQ46" s="880"/>
      <c r="CR46" s="841" t="str">
        <f t="shared" si="43"/>
        <v/>
      </c>
      <c r="CS46" s="575" t="str">
        <f t="shared" si="44"/>
        <v/>
      </c>
      <c r="CT46" s="575" t="str">
        <f t="shared" si="45"/>
        <v/>
      </c>
      <c r="CU46" s="575" t="str">
        <f t="shared" si="46"/>
        <v/>
      </c>
      <c r="CV46" s="575" t="str">
        <f t="shared" si="47"/>
        <v/>
      </c>
      <c r="CW46" s="842">
        <f t="shared" si="19"/>
        <v>2003</v>
      </c>
      <c r="CX46" s="843">
        <f>INDEX('NY Curve'!$A$4:$G$256,MATCH('Monthly Table'!B46,'NY Curve'!$A$4:$A$256,0),MATCH("New York 5 X 16",'NY Curve'!$A$4:$G$4,0))</f>
        <v>26.4</v>
      </c>
      <c r="CY46" s="844">
        <f t="shared" si="20"/>
        <v>1.4085972806200899</v>
      </c>
      <c r="CZ46" s="845">
        <f t="shared" si="21"/>
        <v>37.186968208370374</v>
      </c>
      <c r="DB46" s="881"/>
      <c r="DC46" s="881"/>
    </row>
    <row r="47" spans="1:107" ht="18.75" customHeight="1">
      <c r="A47" s="17" t="s">
        <v>437</v>
      </c>
      <c r="B47" s="508">
        <v>37987</v>
      </c>
      <c r="C47" s="43">
        <f t="shared" si="0"/>
        <v>2004</v>
      </c>
      <c r="D47" s="719">
        <f t="shared" si="48"/>
        <v>4</v>
      </c>
      <c r="E47" s="972">
        <v>21</v>
      </c>
      <c r="F47" s="971">
        <v>5</v>
      </c>
      <c r="G47" s="971">
        <v>4</v>
      </c>
      <c r="H47" s="971">
        <v>1</v>
      </c>
      <c r="I47" s="976">
        <f t="shared" si="22"/>
        <v>31</v>
      </c>
      <c r="J47" s="621"/>
      <c r="K47" s="572">
        <f>INDEX(FX!$A$3:$C$362,MATCH(B47,FX!$A$3:$A$362,0),MATCH("Monthly Curve",FX!$A$2:$C$2,0))</f>
        <v>1.4075686015837401</v>
      </c>
      <c r="L47" s="572"/>
      <c r="M47" s="1057">
        <v>2.9960000000000004</v>
      </c>
      <c r="N47" s="1067">
        <v>0.27</v>
      </c>
      <c r="O47" s="315">
        <v>0.05</v>
      </c>
      <c r="P47" s="797">
        <f t="shared" si="1"/>
        <v>0.32</v>
      </c>
      <c r="Q47" s="732">
        <f t="shared" si="2"/>
        <v>3.3160000000000003</v>
      </c>
      <c r="R47" s="723">
        <f>IF(A47="January",(R46+R46*Assumptions!$E$32),R46)</f>
        <v>0.31870807015384617</v>
      </c>
      <c r="S47" s="730">
        <f t="shared" si="3"/>
        <v>4.9862055530055285</v>
      </c>
      <c r="T47" s="572"/>
      <c r="V47" s="581"/>
      <c r="W47" s="581"/>
      <c r="X47" s="461"/>
      <c r="Y47" s="588">
        <f>Tables!$D$36</f>
        <v>312</v>
      </c>
      <c r="Z47" s="570">
        <f t="shared" si="4"/>
        <v>0</v>
      </c>
      <c r="AA47" s="592">
        <f t="shared" si="5"/>
        <v>0</v>
      </c>
      <c r="AB47" s="589">
        <f t="shared" si="6"/>
        <v>0</v>
      </c>
      <c r="AC47" s="462"/>
      <c r="AD47" s="1027">
        <f>IF(Tables!$E$30="Michigan",INDEX('Michigan Curve'!$A$4:$S$256,MATCH('Monthly Table'!B47,'Michigan Curve'!$A$4:$A$256,0),MATCH("Michigan Selected Option Value US$/month",'Michigan Curve'!$A$4:$S$4,0)),INDEX('NY Curve'!$A$4:$T$256,MATCH('Monthly Table'!B47,'NY Curve'!$A$4:$A$256,0),MATCH("New York Selected Option Value US$/month",'NY Curve'!$A$4:$T$4,0)))</f>
        <v>66869.42717106847</v>
      </c>
      <c r="AE47" s="601">
        <f t="shared" si="23"/>
        <v>94123.306091886596</v>
      </c>
      <c r="AF47" s="462"/>
      <c r="AG47" s="915"/>
      <c r="AH47" s="462"/>
      <c r="AI47" s="799">
        <f>Assumptions!$B$50</f>
        <v>65</v>
      </c>
      <c r="AJ47" s="743"/>
      <c r="AK47" s="924">
        <f>IF(Tables!$E$30="Custom",'Monthly Table'!AI47,IF(Tables!$E$30="New York",INDEX('NY Curve'!$A$4:$G$256,MATCH('Monthly Table'!B47,'NY Curve'!$A$4:$A$256,0),MATCH("Super Peak Curve",'NY Curve'!$A$4:$G$4,0)),IF(Tables!$E$30="New York Flat",INDEX('NY Curve'!$A$4:$G$256,MATCH('Monthly Table'!B47,'NY Curve'!$A$4:$A$256,0),MATCH("Flat NY West",'NY Curve'!$A$4:$G$4,0)),INDEX('Michigan Curve'!$A$4:$F$256,MATCH('Monthly Table'!B47,'Michigan Curve'!$A$4:$A$256,0),MATCH("Michigan Super Peak Curve US$/MWhr",'Michigan Curve'!$A$4:$F$4,0)))))</f>
        <v>30.804000389099123</v>
      </c>
      <c r="AL47" s="965">
        <f>IF(D47&lt;=Tables!$B$21,IF($AL$10=$AI$10,AI47,IF($AL$10=$AJ$10,AJ47,IF($AL$10=$AK$10,AK47,0))),0)</f>
        <v>30.804000389099123</v>
      </c>
      <c r="AM47" s="708">
        <f t="shared" si="24"/>
        <v>43.358743750869237</v>
      </c>
      <c r="AN47" s="916">
        <f t="shared" si="25"/>
        <v>0</v>
      </c>
      <c r="AO47" s="905"/>
      <c r="AP47" s="925"/>
      <c r="AQ47" s="926">
        <f>IF(Tables!$E$30="New York",INDEX('NY Curve'!$A$4:$L$256,MATCH('Monthly Table'!B47,'NY Curve'!$A$4:$A$256,0),MATCH("New York Shoulder Hour Curve Mon-Fri",'NY Curve'!$A$4:$L$4,0)),IF(Tables!$E$30="Michigan",INDEX('Michigan Curve'!$A$4:$K$256,MATCH('Monthly Table'!B47,'Michigan Curve'!$A$4:$A$256,0),MATCH("Michigan Shoulder Hour Curve Mon-Fri",'Michigan Curve'!$A$4:$K$4,0))))</f>
        <v>29.596000373840333</v>
      </c>
      <c r="AR47" s="708">
        <f t="shared" si="26"/>
        <v>41.658400858678284</v>
      </c>
      <c r="AS47" s="927">
        <f t="shared" si="7"/>
        <v>0</v>
      </c>
      <c r="AT47" s="462"/>
      <c r="AU47" s="926">
        <f>IF(Tables!$E$30="New York",INDEX('NY Curve'!$A$4:$L$256,MATCH('Monthly Table'!$B47,'NY Curve'!$A$4:$A$256,0),MATCH("New York Saturday Super Peak",'NY Curve'!$A$4:$L$4,0)),IF(Tables!$E$30="Michigan",INDEX('Michigan Curve'!$A$4:$K$256,MATCH('Monthly Table'!$B47,'Michigan Curve'!$A$4:$A$256,0),MATCH("Michigan Saturday Super Peak",'Michigan Curve'!$A$4:$K$4,0))))</f>
        <v>22.44</v>
      </c>
      <c r="AV47" s="925">
        <f t="shared" si="8"/>
        <v>31.585839419539131</v>
      </c>
      <c r="AW47" s="927">
        <f t="shared" si="9"/>
        <v>0</v>
      </c>
      <c r="AX47" s="926">
        <f>IF(Tables!$E$30="New York",INDEX('NY Curve'!$A$4:$L$256,MATCH('Monthly Table'!$B47,'NY Curve'!$A$4:$A$256,0),MATCH("New York Saturday Shoulder Peak",'NY Curve'!$A$4:$L$4,0)),IF(Tables!$E$30="Michigan",INDEX('Michigan Curve'!$A$4:$K$256,MATCH('Monthly Table'!$B47,'Michigan Curve'!$A$4:$A$256,0),MATCH("Michigan Saturday Shoulder Peak",'Michigan Curve'!$A$4:$K$4,0))))</f>
        <v>21.56</v>
      </c>
      <c r="AY47" s="934">
        <f t="shared" si="27"/>
        <v>30.347179050145435</v>
      </c>
      <c r="AZ47" s="927">
        <f t="shared" si="10"/>
        <v>0</v>
      </c>
      <c r="BA47" s="462"/>
      <c r="BB47" s="926">
        <f>IF(Tables!$E$30="New York",INDEX('NY Curve'!$A$4:$M$256,MATCH('Monthly Table'!$B47,'NY Curve'!$A$4:$A$256,0),MATCH("NY Sunday Super Peak",'NY Curve'!$A$4:$M$4,0)),IF(Tables!$E$30="Michigan",INDEX('Michigan Curve'!$A$4:$L$256,MATCH('Monthly Table'!$B47,'Michigan Curve'!$A$4:$A$256,0),MATCH("Michigan Sunday Super Peak",'Michigan Curve'!$A$4:$L$4,0))))</f>
        <v>21.42</v>
      </c>
      <c r="BC47" s="925">
        <f t="shared" si="28"/>
        <v>30.150119445923714</v>
      </c>
      <c r="BD47" s="927">
        <f t="shared" si="11"/>
        <v>0</v>
      </c>
      <c r="BE47" s="462"/>
      <c r="BF47" s="598">
        <f t="shared" si="12"/>
        <v>37987</v>
      </c>
      <c r="BG47" s="583">
        <f t="shared" si="29"/>
        <v>0</v>
      </c>
      <c r="BH47" s="764">
        <f>IF(Tables!$B$36="Combined Cycle",($BF47-$BF46)*24*Assumptions!$B$21,0)</f>
        <v>0</v>
      </c>
      <c r="BI47" s="315">
        <f t="shared" si="30"/>
        <v>0</v>
      </c>
      <c r="BJ47" s="987">
        <f>IF('Monthly Table'!D47&lt;=Tables!$B$21,IF($BJ$10=$BG$10,BG47,IF($BJ$10=$BH$10,BH47,IF($BJ$10=$BI$10,BI47,0))),0)</f>
        <v>0</v>
      </c>
      <c r="BK47" s="43"/>
      <c r="BL47" s="987">
        <f t="shared" si="31"/>
        <v>0</v>
      </c>
      <c r="BM47" s="987">
        <f t="shared" si="32"/>
        <v>0</v>
      </c>
      <c r="BO47" s="987">
        <f t="shared" si="14"/>
        <v>0</v>
      </c>
      <c r="BP47" s="987">
        <f t="shared" si="33"/>
        <v>0</v>
      </c>
      <c r="BR47" s="993">
        <f>IF(BJ47&gt;0,INDEX(OperationalDetail,MATCH("Capacity Degradation",ODColumn,0),MATCH('Monthly Table'!C47,ODRow,0)),0)</f>
        <v>0</v>
      </c>
      <c r="BS47" s="994">
        <f>BJ47*(1-BR47)*Tables!$C$36</f>
        <v>0</v>
      </c>
      <c r="BT47" s="601">
        <f t="shared" si="15"/>
        <v>0</v>
      </c>
      <c r="BU47" s="601">
        <f t="shared" si="16"/>
        <v>0</v>
      </c>
      <c r="BV47" s="462"/>
      <c r="BW47" s="785">
        <f>$BO47*(1-$BR47)*Tables!$C$36</f>
        <v>0</v>
      </c>
      <c r="BX47" s="602">
        <f t="shared" si="34"/>
        <v>0</v>
      </c>
      <c r="BY47" s="601">
        <f t="shared" si="35"/>
        <v>0</v>
      </c>
      <c r="BZ47" s="462"/>
      <c r="CA47" s="785">
        <f>$BL47*(1-$BR47)*Tables!$C$36</f>
        <v>0</v>
      </c>
      <c r="CB47" s="602">
        <f t="shared" si="36"/>
        <v>0</v>
      </c>
      <c r="CC47" s="601">
        <f t="shared" si="37"/>
        <v>0</v>
      </c>
      <c r="CD47" s="785">
        <f>$BP47*(1-$BR47)*Tables!$C$36</f>
        <v>0</v>
      </c>
      <c r="CE47" s="602">
        <f t="shared" si="38"/>
        <v>0</v>
      </c>
      <c r="CF47" s="601">
        <f t="shared" si="39"/>
        <v>0</v>
      </c>
      <c r="CH47" s="785">
        <f>$BM47*(1-$BR47)*Tables!$C$36</f>
        <v>0</v>
      </c>
      <c r="CI47" s="602">
        <f t="shared" si="40"/>
        <v>0</v>
      </c>
      <c r="CJ47" s="601">
        <f t="shared" si="41"/>
        <v>0</v>
      </c>
      <c r="CK47" s="304"/>
      <c r="CL47" s="304">
        <f t="shared" si="42"/>
        <v>2003</v>
      </c>
      <c r="CM47" s="1018">
        <f>INDEX(OperationalDetail,MATCH("Degraded Heat Rate",ODColumn,0),MATCH('Monthly Table'!CL47,ODRow,0))/1000</f>
        <v>12.132104399999998</v>
      </c>
      <c r="CN47" s="737">
        <f t="shared" si="17"/>
        <v>60.49316632892279</v>
      </c>
      <c r="CO47" s="1021">
        <f>IF(Tables!B36="Combined Cycle",'Monthly Table'!CO46+'O &amp; M'!I51,'Monthly Table'!CO46*(1+Assumptions!E32))</f>
        <v>7.1478991350000021</v>
      </c>
      <c r="CP47" s="741">
        <f t="shared" si="18"/>
        <v>67.641065463922786</v>
      </c>
      <c r="CQ47" s="304"/>
      <c r="CR47" s="575" t="str">
        <f t="shared" si="43"/>
        <v/>
      </c>
      <c r="CS47" s="575" t="str">
        <f t="shared" si="44"/>
        <v/>
      </c>
      <c r="CT47" s="575" t="str">
        <f t="shared" si="45"/>
        <v/>
      </c>
      <c r="CU47" s="575" t="str">
        <f t="shared" si="46"/>
        <v/>
      </c>
      <c r="CV47" s="575" t="str">
        <f t="shared" si="47"/>
        <v/>
      </c>
      <c r="CW47" s="576">
        <f t="shared" si="19"/>
        <v>2004</v>
      </c>
      <c r="CX47" s="787">
        <f>INDEX('NY Curve'!$A$4:$G$256,MATCH('Monthly Table'!B47,'NY Curve'!$A$4:$A$256,0),MATCH("New York 5 X 16",'NY Curve'!$A$4:$G$4,0))</f>
        <v>31.65</v>
      </c>
      <c r="CY47" s="632">
        <f t="shared" si="20"/>
        <v>1.4075686015837401</v>
      </c>
      <c r="CZ47" s="633">
        <f t="shared" si="21"/>
        <v>44.549546240125373</v>
      </c>
      <c r="DB47" s="857"/>
      <c r="DC47" s="857"/>
    </row>
    <row r="48" spans="1:107" ht="18.75" customHeight="1">
      <c r="A48" s="17" t="s">
        <v>438</v>
      </c>
      <c r="B48" s="508">
        <v>38018</v>
      </c>
      <c r="C48" s="43">
        <f t="shared" si="0"/>
        <v>2004</v>
      </c>
      <c r="D48" s="719">
        <f t="shared" si="48"/>
        <v>4</v>
      </c>
      <c r="E48" s="972">
        <v>20</v>
      </c>
      <c r="F48" s="971">
        <v>4</v>
      </c>
      <c r="G48" s="971">
        <v>5</v>
      </c>
      <c r="H48" s="971">
        <v>0</v>
      </c>
      <c r="I48" s="976">
        <f t="shared" si="22"/>
        <v>29</v>
      </c>
      <c r="J48" s="621"/>
      <c r="K48" s="572">
        <f>INDEX(FX!$A$3:$C$362,MATCH(B48,FX!$A$3:$A$362,0),MATCH("Monthly Curve",FX!$A$2:$C$2,0))</f>
        <v>1.40651281544275</v>
      </c>
      <c r="L48" s="572"/>
      <c r="M48" s="1057">
        <v>2.883</v>
      </c>
      <c r="N48" s="1067">
        <v>0.3</v>
      </c>
      <c r="O48" s="315">
        <v>0.05</v>
      </c>
      <c r="P48" s="797">
        <f t="shared" si="1"/>
        <v>0.35</v>
      </c>
      <c r="Q48" s="732">
        <f t="shared" si="2"/>
        <v>3.2329999999999997</v>
      </c>
      <c r="R48" s="723">
        <f>IF(A48="January",(R47+R47*Assumptions!$E$32),R47)</f>
        <v>0.31870807015384617</v>
      </c>
      <c r="S48" s="730">
        <f t="shared" si="3"/>
        <v>4.8659640024802568</v>
      </c>
      <c r="T48" s="572"/>
      <c r="V48" s="581"/>
      <c r="W48" s="581"/>
      <c r="X48" s="461"/>
      <c r="Y48" s="588">
        <f>Tables!$D$36</f>
        <v>312</v>
      </c>
      <c r="Z48" s="570">
        <f t="shared" si="4"/>
        <v>0</v>
      </c>
      <c r="AA48" s="592">
        <f t="shared" si="5"/>
        <v>0</v>
      </c>
      <c r="AB48" s="589">
        <f t="shared" si="6"/>
        <v>0</v>
      </c>
      <c r="AC48" s="462"/>
      <c r="AD48" s="1027">
        <f>IF(Tables!$E$30="Michigan",INDEX('Michigan Curve'!$A$4:$S$256,MATCH('Monthly Table'!B48,'Michigan Curve'!$A$4:$A$256,0),MATCH("Michigan Selected Option Value US$/month",'Michigan Curve'!$A$4:$S$4,0)),INDEX('NY Curve'!$A$4:$T$256,MATCH('Monthly Table'!B48,'NY Curve'!$A$4:$A$256,0),MATCH("New York Selected Option Value US$/month",'NY Curve'!$A$4:$T$4,0)))</f>
        <v>65127.686706221466</v>
      </c>
      <c r="AE48" s="601">
        <f t="shared" si="23"/>
        <v>91602.925992440913</v>
      </c>
      <c r="AF48" s="462"/>
      <c r="AG48" s="915"/>
      <c r="AH48" s="462"/>
      <c r="AI48" s="799">
        <f>Assumptions!$B$50</f>
        <v>65</v>
      </c>
      <c r="AJ48" s="743"/>
      <c r="AK48" s="924">
        <f>IF(Tables!$E$30="Custom",'Monthly Table'!AI48,IF(Tables!$E$30="New York",INDEX('NY Curve'!$A$4:$G$256,MATCH('Monthly Table'!B48,'NY Curve'!$A$4:$A$256,0),MATCH("Super Peak Curve",'NY Curve'!$A$4:$G$4,0)),IF(Tables!$E$30="New York Flat",INDEX('NY Curve'!$A$4:$G$256,MATCH('Monthly Table'!B48,'NY Curve'!$A$4:$A$256,0),MATCH("Flat NY West",'NY Curve'!$A$4:$G$4,0)),INDEX('Michigan Curve'!$A$4:$F$256,MATCH('Monthly Table'!B48,'Michigan Curve'!$A$4:$A$256,0),MATCH("Michigan Super Peak Curve US$/MWhr",'Michigan Curve'!$A$4:$F$4,0)))))</f>
        <v>30.803998443603518</v>
      </c>
      <c r="AL48" s="965">
        <f>IF(D48&lt;=Tables!$B$21,IF($AL$10=$AI$10,AI48,IF($AL$10=$AJ$10,AJ48,IF($AL$10=$AK$10,AK48,0))),0)</f>
        <v>30.803998443603518</v>
      </c>
      <c r="AM48" s="708">
        <f t="shared" si="24"/>
        <v>43.32621857780687</v>
      </c>
      <c r="AN48" s="916">
        <f t="shared" si="25"/>
        <v>0</v>
      </c>
      <c r="AO48" s="905"/>
      <c r="AP48" s="925"/>
      <c r="AQ48" s="926">
        <f>IF(Tables!$E$30="New York",INDEX('NY Curve'!$A$4:$L$256,MATCH('Monthly Table'!B48,'NY Curve'!$A$4:$A$256,0),MATCH("New York Shoulder Hour Curve Mon-Fri",'NY Curve'!$A$4:$L$4,0)),IF(Tables!$E$30="Michigan",INDEX('Michigan Curve'!$A$4:$K$256,MATCH('Monthly Table'!B48,'Michigan Curve'!$A$4:$A$256,0),MATCH("Michigan Shoulder Hour Curve Mon-Fri",'Michigan Curve'!$A$4:$K$4,0))))</f>
        <v>29.595998504638672</v>
      </c>
      <c r="AR48" s="708">
        <f t="shared" si="26"/>
        <v>41.627151182598759</v>
      </c>
      <c r="AS48" s="927">
        <f t="shared" si="7"/>
        <v>0</v>
      </c>
      <c r="AT48" s="462"/>
      <c r="AU48" s="926">
        <f>IF(Tables!$E$30="New York",INDEX('NY Curve'!$A$4:$L$256,MATCH('Monthly Table'!$B48,'NY Curve'!$A$4:$A$256,0),MATCH("New York Saturday Super Peak",'NY Curve'!$A$4:$L$4,0)),IF(Tables!$E$30="Michigan",INDEX('Michigan Curve'!$A$4:$K$256,MATCH('Monthly Table'!$B48,'Michigan Curve'!$A$4:$A$256,0),MATCH("Michigan Saturday Super Peak",'Michigan Curve'!$A$4:$K$4,0))))</f>
        <v>22.435920295715331</v>
      </c>
      <c r="AV48" s="925">
        <f t="shared" si="8"/>
        <v>31.556409422175705</v>
      </c>
      <c r="AW48" s="927">
        <f t="shared" si="9"/>
        <v>0</v>
      </c>
      <c r="AX48" s="926">
        <f>IF(Tables!$E$30="New York",INDEX('NY Curve'!$A$4:$L$256,MATCH('Monthly Table'!$B48,'NY Curve'!$A$4:$A$256,0),MATCH("New York Saturday Shoulder Peak",'NY Curve'!$A$4:$L$4,0)),IF(Tables!$E$30="Michigan",INDEX('Michigan Curve'!$A$4:$K$256,MATCH('Monthly Table'!$B48,'Michigan Curve'!$A$4:$A$256,0),MATCH("Michigan Saturday Shoulder Peak",'Michigan Curve'!$A$4:$K$4,0))))</f>
        <v>21.556080284118654</v>
      </c>
      <c r="AY48" s="934">
        <f t="shared" si="27"/>
        <v>30.318903170325683</v>
      </c>
      <c r="AZ48" s="927">
        <f t="shared" si="10"/>
        <v>0</v>
      </c>
      <c r="BA48" s="462"/>
      <c r="BB48" s="926">
        <f>IF(Tables!$E$30="New York",INDEX('NY Curve'!$A$4:$M$256,MATCH('Monthly Table'!$B48,'NY Curve'!$A$4:$A$256,0),MATCH("NY Sunday Super Peak",'NY Curve'!$A$4:$M$4,0)),IF(Tables!$E$30="Michigan",INDEX('Michigan Curve'!$A$4:$L$256,MATCH('Monthly Table'!$B48,'Michigan Curve'!$A$4:$A$256,0),MATCH("Michigan Sunday Super Peak",'Michigan Curve'!$A$4:$L$4,0))))</f>
        <v>21.416431961059569</v>
      </c>
      <c r="BC48" s="925">
        <f t="shared" si="28"/>
        <v>30.12248601428799</v>
      </c>
      <c r="BD48" s="927">
        <f t="shared" si="11"/>
        <v>0</v>
      </c>
      <c r="BE48" s="462"/>
      <c r="BF48" s="598">
        <f t="shared" si="12"/>
        <v>38018</v>
      </c>
      <c r="BG48" s="583">
        <f t="shared" si="29"/>
        <v>0</v>
      </c>
      <c r="BH48" s="764">
        <f>IF(Tables!$B$36="Combined Cycle",(BF48-BF47)*24*Assumptions!$B$21,0)</f>
        <v>0</v>
      </c>
      <c r="BI48" s="315">
        <f t="shared" si="30"/>
        <v>0</v>
      </c>
      <c r="BJ48" s="987">
        <f>IF('Monthly Table'!D48&lt;=Tables!$B$21,IF($BJ$10=$BG$10,BG48,IF($BJ$10=$BH$10,BH48,IF($BJ$10=$BI$10,BI48,0))),0)</f>
        <v>0</v>
      </c>
      <c r="BK48" s="43"/>
      <c r="BL48" s="987">
        <f t="shared" si="31"/>
        <v>0</v>
      </c>
      <c r="BM48" s="987">
        <f t="shared" si="32"/>
        <v>0</v>
      </c>
      <c r="BO48" s="987">
        <f t="shared" si="14"/>
        <v>0</v>
      </c>
      <c r="BP48" s="987">
        <f t="shared" si="33"/>
        <v>0</v>
      </c>
      <c r="BR48" s="993">
        <f>IF(BJ48&gt;0,INDEX(OperationalDetail,MATCH("Capacity Degradation",ODColumn,0),MATCH('Monthly Table'!C48,ODRow,0)),0)</f>
        <v>0</v>
      </c>
      <c r="BS48" s="994">
        <f>BJ48*(1-BR48)*Tables!$C$36</f>
        <v>0</v>
      </c>
      <c r="BT48" s="601">
        <f t="shared" si="15"/>
        <v>0</v>
      </c>
      <c r="BU48" s="601">
        <f t="shared" si="16"/>
        <v>0</v>
      </c>
      <c r="BV48" s="462"/>
      <c r="BW48" s="785">
        <f>$BO48*(1-$BR48)*Tables!$C$36</f>
        <v>0</v>
      </c>
      <c r="BX48" s="602">
        <f t="shared" si="34"/>
        <v>0</v>
      </c>
      <c r="BY48" s="601">
        <f t="shared" si="35"/>
        <v>0</v>
      </c>
      <c r="BZ48" s="462"/>
      <c r="CA48" s="785">
        <f>$BL48*(1-$BR48)*Tables!$C$36</f>
        <v>0</v>
      </c>
      <c r="CB48" s="602">
        <f t="shared" si="36"/>
        <v>0</v>
      </c>
      <c r="CC48" s="601">
        <f t="shared" si="37"/>
        <v>0</v>
      </c>
      <c r="CD48" s="785">
        <f>$BP48*(1-$BR48)*Tables!$C$36</f>
        <v>0</v>
      </c>
      <c r="CE48" s="602">
        <f t="shared" si="38"/>
        <v>0</v>
      </c>
      <c r="CF48" s="601">
        <f t="shared" si="39"/>
        <v>0</v>
      </c>
      <c r="CH48" s="785">
        <f>$BM48*(1-$BR48)*Tables!$C$36</f>
        <v>0</v>
      </c>
      <c r="CI48" s="602">
        <f t="shared" si="40"/>
        <v>0</v>
      </c>
      <c r="CJ48" s="601">
        <f t="shared" si="41"/>
        <v>0</v>
      </c>
      <c r="CK48" s="304"/>
      <c r="CL48" s="304">
        <f t="shared" si="42"/>
        <v>2003</v>
      </c>
      <c r="CM48" s="1018">
        <f>INDEX(OperationalDetail,MATCH("Degraded Heat Rate",ODColumn,0),MATCH('Monthly Table'!CL48,ODRow,0))/1000</f>
        <v>12.132104399999998</v>
      </c>
      <c r="CN48" s="737">
        <f t="shared" si="17"/>
        <v>59.034383284732321</v>
      </c>
      <c r="CO48" s="1019">
        <f>IF(A48="January",(CO47*(1+Assumptions!$E$32)),CO47)</f>
        <v>7.1478991350000021</v>
      </c>
      <c r="CP48" s="741">
        <f t="shared" si="18"/>
        <v>66.182282419732317</v>
      </c>
      <c r="CQ48" s="304"/>
      <c r="CR48" s="575" t="str">
        <f t="shared" si="43"/>
        <v/>
      </c>
      <c r="CS48" s="575" t="str">
        <f t="shared" si="44"/>
        <v/>
      </c>
      <c r="CT48" s="575" t="str">
        <f t="shared" si="45"/>
        <v/>
      </c>
      <c r="CU48" s="575" t="str">
        <f t="shared" si="46"/>
        <v/>
      </c>
      <c r="CV48" s="575" t="str">
        <f t="shared" si="47"/>
        <v/>
      </c>
      <c r="CW48" s="576">
        <f t="shared" si="19"/>
        <v>2004</v>
      </c>
      <c r="CX48" s="787">
        <f>INDEX('NY Curve'!$A$4:$G$256,MATCH('Monthly Table'!B48,'NY Curve'!$A$4:$A$256,0),MATCH("New York 5 X 16",'NY Curve'!$A$4:$G$4,0))</f>
        <v>31.65</v>
      </c>
      <c r="CY48" s="632">
        <f t="shared" si="20"/>
        <v>1.40651281544275</v>
      </c>
      <c r="CZ48" s="633">
        <f t="shared" si="21"/>
        <v>44.516130608763035</v>
      </c>
      <c r="DB48" s="857"/>
      <c r="DC48" s="857"/>
    </row>
    <row r="49" spans="1:107" ht="18.75" customHeight="1">
      <c r="A49" s="17" t="s">
        <v>439</v>
      </c>
      <c r="B49" s="508">
        <v>38047</v>
      </c>
      <c r="C49" s="43">
        <f t="shared" si="0"/>
        <v>2004</v>
      </c>
      <c r="D49" s="719">
        <f t="shared" si="48"/>
        <v>4</v>
      </c>
      <c r="E49" s="972">
        <v>23</v>
      </c>
      <c r="F49" s="971">
        <v>4</v>
      </c>
      <c r="G49" s="971">
        <v>4</v>
      </c>
      <c r="H49" s="971">
        <v>0</v>
      </c>
      <c r="I49" s="976">
        <f t="shared" si="22"/>
        <v>31</v>
      </c>
      <c r="J49" s="621"/>
      <c r="K49" s="572">
        <f>INDEX(FX!$A$3:$C$362,MATCH(B49,FX!$A$3:$A$362,0),MATCH("Monthly Curve",FX!$A$2:$C$2,0))</f>
        <v>1.4055238183243299</v>
      </c>
      <c r="L49" s="572"/>
      <c r="M49" s="1057">
        <v>2.7680000000000002</v>
      </c>
      <c r="N49" s="1067">
        <v>0.3</v>
      </c>
      <c r="O49" s="315">
        <v>0.05</v>
      </c>
      <c r="P49" s="797">
        <f t="shared" si="1"/>
        <v>0.35</v>
      </c>
      <c r="Q49" s="732">
        <f t="shared" si="2"/>
        <v>3.1179999999999999</v>
      </c>
      <c r="R49" s="723">
        <f>IF(A49="January",(R48+R48*Assumptions!$E$32),R48)</f>
        <v>0.31870807015384617</v>
      </c>
      <c r="S49" s="730">
        <f t="shared" si="3"/>
        <v>4.7011313356891069</v>
      </c>
      <c r="T49" s="572"/>
      <c r="V49" s="581"/>
      <c r="W49" s="581"/>
      <c r="X49" s="461"/>
      <c r="Y49" s="588">
        <f>Tables!$D$36</f>
        <v>312</v>
      </c>
      <c r="Z49" s="570">
        <f t="shared" si="4"/>
        <v>0</v>
      </c>
      <c r="AA49" s="592">
        <f t="shared" si="5"/>
        <v>0</v>
      </c>
      <c r="AB49" s="589">
        <f t="shared" si="6"/>
        <v>0</v>
      </c>
      <c r="AC49" s="462"/>
      <c r="AD49" s="1027">
        <f>IF(Tables!$E$30="Michigan",INDEX('Michigan Curve'!$A$4:$S$256,MATCH('Monthly Table'!B49,'Michigan Curve'!$A$4:$A$256,0),MATCH("Michigan Selected Option Value US$/month",'Michigan Curve'!$A$4:$S$4,0)),INDEX('NY Curve'!$A$4:$T$256,MATCH('Monthly Table'!B49,'NY Curve'!$A$4:$A$256,0),MATCH("New York Selected Option Value US$/month",'NY Curve'!$A$4:$T$4,0)))</f>
        <v>12110.022718247001</v>
      </c>
      <c r="AE49" s="601">
        <f t="shared" si="23"/>
        <v>17020.925370944904</v>
      </c>
      <c r="AF49" s="462"/>
      <c r="AG49" s="915"/>
      <c r="AH49" s="462"/>
      <c r="AI49" s="799">
        <f>Assumptions!$B$50</f>
        <v>65</v>
      </c>
      <c r="AJ49" s="743"/>
      <c r="AK49" s="924">
        <f>IF(Tables!$E$30="Custom",'Monthly Table'!AI49,IF(Tables!$E$30="New York",INDEX('NY Curve'!$A$4:$G$256,MATCH('Monthly Table'!B49,'NY Curve'!$A$4:$A$256,0),MATCH("Super Peak Curve",'NY Curve'!$A$4:$G$4,0)),IF(Tables!$E$30="New York Flat",INDEX('NY Curve'!$A$4:$G$256,MATCH('Monthly Table'!B49,'NY Curve'!$A$4:$A$256,0),MATCH("Flat NY West",'NY Curve'!$A$4:$G$4,0)),INDEX('Michigan Curve'!$A$4:$F$256,MATCH('Monthly Table'!B49,'Michigan Curve'!$A$4:$A$256,0),MATCH("Michigan Super Peak Curve US$/MWhr",'Michigan Curve'!$A$4:$F$4,0)))))</f>
        <v>25.5</v>
      </c>
      <c r="AL49" s="965">
        <f>IF(D49&lt;=Tables!$B$21,IF($AL$10=$AI$10,AI49,IF($AL$10=$AJ$10,AJ49,IF($AL$10=$AK$10,AK49,0))),0)</f>
        <v>25.5</v>
      </c>
      <c r="AM49" s="708">
        <f t="shared" si="24"/>
        <v>35.840857367270416</v>
      </c>
      <c r="AN49" s="916">
        <f t="shared" si="25"/>
        <v>0</v>
      </c>
      <c r="AO49" s="905"/>
      <c r="AP49" s="925"/>
      <c r="AQ49" s="926">
        <f>IF(Tables!$E$30="New York",INDEX('NY Curve'!$A$4:$L$256,MATCH('Monthly Table'!B49,'NY Curve'!$A$4:$A$256,0),MATCH("New York Shoulder Hour Curve Mon-Fri",'NY Curve'!$A$4:$L$4,0)),IF(Tables!$E$30="Michigan",INDEX('Michigan Curve'!$A$4:$K$256,MATCH('Monthly Table'!B49,'Michigan Curve'!$A$4:$A$256,0),MATCH("Michigan Shoulder Hour Curve Mon-Fri",'Michigan Curve'!$A$4:$K$4,0))))</f>
        <v>24.5</v>
      </c>
      <c r="AR49" s="708">
        <f t="shared" si="26"/>
        <v>34.435333548946083</v>
      </c>
      <c r="AS49" s="927">
        <f t="shared" si="7"/>
        <v>0</v>
      </c>
      <c r="AT49" s="462"/>
      <c r="AU49" s="926">
        <f>IF(Tables!$E$30="New York",INDEX('NY Curve'!$A$4:$L$256,MATCH('Monthly Table'!$B49,'NY Curve'!$A$4:$A$256,0),MATCH("New York Saturday Super Peak",'NY Curve'!$A$4:$L$4,0)),IF(Tables!$E$30="Michigan",INDEX('Michigan Curve'!$A$4:$K$256,MATCH('Monthly Table'!$B49,'Michigan Curve'!$A$4:$A$256,0),MATCH("Michigan Saturday Super Peak",'Michigan Curve'!$A$4:$K$4,0))))</f>
        <v>20.399999999999999</v>
      </c>
      <c r="AV49" s="925">
        <f t="shared" si="8"/>
        <v>28.672685893816329</v>
      </c>
      <c r="AW49" s="927">
        <f t="shared" si="9"/>
        <v>0</v>
      </c>
      <c r="AX49" s="926">
        <f>IF(Tables!$E$30="New York",INDEX('NY Curve'!$A$4:$L$256,MATCH('Monthly Table'!$B49,'NY Curve'!$A$4:$A$256,0),MATCH("New York Saturday Shoulder Peak",'NY Curve'!$A$4:$L$4,0)),IF(Tables!$E$30="Michigan",INDEX('Michigan Curve'!$A$4:$K$256,MATCH('Monthly Table'!$B49,'Michigan Curve'!$A$4:$A$256,0),MATCH("Michigan Saturday Shoulder Peak",'Michigan Curve'!$A$4:$K$4,0))))</f>
        <v>19.600000000000001</v>
      </c>
      <c r="AY49" s="934">
        <f t="shared" si="27"/>
        <v>27.54826683915687</v>
      </c>
      <c r="AZ49" s="927">
        <f t="shared" si="10"/>
        <v>0</v>
      </c>
      <c r="BA49" s="462"/>
      <c r="BB49" s="926">
        <f>IF(Tables!$E$30="New York",INDEX('NY Curve'!$A$4:$M$256,MATCH('Monthly Table'!$B49,'NY Curve'!$A$4:$A$256,0),MATCH("NY Sunday Super Peak",'NY Curve'!$A$4:$M$4,0)),IF(Tables!$E$30="Michigan",INDEX('Michigan Curve'!$A$4:$L$256,MATCH('Monthly Table'!$B49,'Michigan Curve'!$A$4:$A$256,0),MATCH("Michigan Sunday Super Peak",'Michigan Curve'!$A$4:$L$4,0))))</f>
        <v>19.38</v>
      </c>
      <c r="BC49" s="925">
        <f t="shared" si="28"/>
        <v>27.239051599125514</v>
      </c>
      <c r="BD49" s="927">
        <f t="shared" si="11"/>
        <v>0</v>
      </c>
      <c r="BE49" s="462"/>
      <c r="BF49" s="598">
        <f t="shared" si="12"/>
        <v>38047</v>
      </c>
      <c r="BG49" s="583">
        <f t="shared" si="29"/>
        <v>0</v>
      </c>
      <c r="BH49" s="764">
        <f>IF(Tables!$B$36="Combined Cycle",(BF49-BF48)*24*Assumptions!$B$21,0)</f>
        <v>0</v>
      </c>
      <c r="BI49" s="315">
        <f t="shared" si="30"/>
        <v>0</v>
      </c>
      <c r="BJ49" s="987">
        <f>IF('Monthly Table'!D49&lt;=Tables!$B$21,IF($BJ$10=$BG$10,BG49,IF($BJ$10=$BH$10,BH49,IF($BJ$10=$BI$10,BI49,0))),0)</f>
        <v>0</v>
      </c>
      <c r="BK49" s="43"/>
      <c r="BL49" s="987">
        <f t="shared" si="31"/>
        <v>0</v>
      </c>
      <c r="BM49" s="987">
        <f t="shared" si="32"/>
        <v>0</v>
      </c>
      <c r="BO49" s="987">
        <f t="shared" si="14"/>
        <v>0</v>
      </c>
      <c r="BP49" s="987">
        <f t="shared" si="33"/>
        <v>0</v>
      </c>
      <c r="BR49" s="993">
        <f>IF(BJ49&gt;0,INDEX(OperationalDetail,MATCH("Capacity Degradation",ODColumn,0),MATCH('Monthly Table'!C49,ODRow,0)),0)</f>
        <v>0</v>
      </c>
      <c r="BS49" s="994">
        <f>BJ49*(1-BR49)*Tables!$C$36</f>
        <v>0</v>
      </c>
      <c r="BT49" s="601">
        <f t="shared" si="15"/>
        <v>0</v>
      </c>
      <c r="BU49" s="601">
        <f t="shared" si="16"/>
        <v>0</v>
      </c>
      <c r="BV49" s="462"/>
      <c r="BW49" s="785">
        <f>$BO49*(1-$BR49)*Tables!$C$36</f>
        <v>0</v>
      </c>
      <c r="BX49" s="602">
        <f t="shared" si="34"/>
        <v>0</v>
      </c>
      <c r="BY49" s="601">
        <f t="shared" si="35"/>
        <v>0</v>
      </c>
      <c r="BZ49" s="462"/>
      <c r="CA49" s="785">
        <f>$BL49*(1-$BR49)*Tables!$C$36</f>
        <v>0</v>
      </c>
      <c r="CB49" s="602">
        <f t="shared" si="36"/>
        <v>0</v>
      </c>
      <c r="CC49" s="601">
        <f t="shared" si="37"/>
        <v>0</v>
      </c>
      <c r="CD49" s="785">
        <f>$BP49*(1-$BR49)*Tables!$C$36</f>
        <v>0</v>
      </c>
      <c r="CE49" s="602">
        <f t="shared" si="38"/>
        <v>0</v>
      </c>
      <c r="CF49" s="601">
        <f t="shared" si="39"/>
        <v>0</v>
      </c>
      <c r="CH49" s="785">
        <f>$BM49*(1-$BR49)*Tables!$C$36</f>
        <v>0</v>
      </c>
      <c r="CI49" s="602">
        <f t="shared" si="40"/>
        <v>0</v>
      </c>
      <c r="CJ49" s="601">
        <f t="shared" si="41"/>
        <v>0</v>
      </c>
      <c r="CK49" s="304"/>
      <c r="CL49" s="304">
        <f t="shared" si="42"/>
        <v>2003</v>
      </c>
      <c r="CM49" s="1018">
        <f>INDEX(OperationalDetail,MATCH("Degraded Heat Rate",ODColumn,0),MATCH('Monthly Table'!CL49,ODRow,0))/1000</f>
        <v>12.132104399999998</v>
      </c>
      <c r="CN49" s="737">
        <f t="shared" si="17"/>
        <v>57.034616162691677</v>
      </c>
      <c r="CO49" s="1019">
        <f>IF(A49="January",(CO48*(1+Assumptions!$E$32)),CO48)</f>
        <v>7.1478991350000021</v>
      </c>
      <c r="CP49" s="741">
        <f t="shared" si="18"/>
        <v>64.18251529769168</v>
      </c>
      <c r="CQ49" s="304"/>
      <c r="CR49" s="575" t="str">
        <f t="shared" si="43"/>
        <v/>
      </c>
      <c r="CS49" s="575" t="str">
        <f t="shared" si="44"/>
        <v/>
      </c>
      <c r="CT49" s="575" t="str">
        <f t="shared" si="45"/>
        <v/>
      </c>
      <c r="CU49" s="575" t="str">
        <f t="shared" si="46"/>
        <v/>
      </c>
      <c r="CV49" s="575" t="str">
        <f t="shared" si="47"/>
        <v/>
      </c>
      <c r="CW49" s="576">
        <f t="shared" si="19"/>
        <v>2004</v>
      </c>
      <c r="CX49" s="787">
        <f>INDEX('NY Curve'!$A$4:$G$256,MATCH('Monthly Table'!B49,'NY Curve'!$A$4:$A$256,0),MATCH("New York 5 X 16",'NY Curve'!$A$4:$G$4,0))</f>
        <v>26.65</v>
      </c>
      <c r="CY49" s="632">
        <f t="shared" si="20"/>
        <v>1.4055238183243299</v>
      </c>
      <c r="CZ49" s="633">
        <f t="shared" si="21"/>
        <v>37.457209758343389</v>
      </c>
      <c r="DB49" s="857"/>
      <c r="DC49" s="857"/>
    </row>
    <row r="50" spans="1:107" ht="18.75" customHeight="1">
      <c r="A50" s="17" t="s">
        <v>440</v>
      </c>
      <c r="B50" s="508">
        <v>38078</v>
      </c>
      <c r="C50" s="43">
        <f t="shared" si="0"/>
        <v>2004</v>
      </c>
      <c r="D50" s="719">
        <f t="shared" si="48"/>
        <v>4</v>
      </c>
      <c r="E50" s="972">
        <v>22</v>
      </c>
      <c r="F50" s="971">
        <v>4</v>
      </c>
      <c r="G50" s="971">
        <v>4</v>
      </c>
      <c r="H50" s="971">
        <v>0</v>
      </c>
      <c r="I50" s="976">
        <f t="shared" si="22"/>
        <v>30</v>
      </c>
      <c r="J50" s="621"/>
      <c r="K50" s="572">
        <f>INDEX(FX!$A$3:$C$362,MATCH(B50,FX!$A$3:$A$362,0),MATCH("Monthly Curve",FX!$A$2:$C$2,0))</f>
        <v>1.4042469732017999</v>
      </c>
      <c r="L50" s="572"/>
      <c r="M50" s="1057">
        <v>2.7005000000000003</v>
      </c>
      <c r="N50" s="1067">
        <v>0.13500000000000001</v>
      </c>
      <c r="O50" s="315">
        <v>0.05</v>
      </c>
      <c r="P50" s="797">
        <f t="shared" si="1"/>
        <v>0.185</v>
      </c>
      <c r="Q50" s="732">
        <f t="shared" si="2"/>
        <v>2.8855000000000004</v>
      </c>
      <c r="R50" s="723">
        <f>IF(A50="January",(R49+R49*Assumptions!$E$32),R49)</f>
        <v>0.31870807015384617</v>
      </c>
      <c r="S50" s="730">
        <f t="shared" si="3"/>
        <v>4.3706627113276406</v>
      </c>
      <c r="T50" s="572"/>
      <c r="V50" s="581"/>
      <c r="W50" s="581"/>
      <c r="X50" s="461"/>
      <c r="Y50" s="588">
        <f>Tables!$D$36</f>
        <v>312</v>
      </c>
      <c r="Z50" s="570">
        <f t="shared" si="4"/>
        <v>0</v>
      </c>
      <c r="AA50" s="592">
        <f t="shared" si="5"/>
        <v>0</v>
      </c>
      <c r="AB50" s="589">
        <f t="shared" si="6"/>
        <v>0</v>
      </c>
      <c r="AC50" s="462"/>
      <c r="AD50" s="1027">
        <f>IF(Tables!$E$30="Michigan",INDEX('Michigan Curve'!$A$4:$S$256,MATCH('Monthly Table'!B50,'Michigan Curve'!$A$4:$A$256,0),MATCH("Michigan Selected Option Value US$/month",'Michigan Curve'!$A$4:$S$4,0)),INDEX('NY Curve'!$A$4:$T$256,MATCH('Monthly Table'!B50,'NY Curve'!$A$4:$A$256,0),MATCH("New York Selected Option Value US$/month",'NY Curve'!$A$4:$T$4,0)))</f>
        <v>17867.588911518629</v>
      </c>
      <c r="AE50" s="601">
        <f t="shared" si="23"/>
        <v>25090.507647414077</v>
      </c>
      <c r="AF50" s="462"/>
      <c r="AG50" s="915"/>
      <c r="AH50" s="462"/>
      <c r="AI50" s="799">
        <f>Assumptions!$B$50</f>
        <v>65</v>
      </c>
      <c r="AJ50" s="743"/>
      <c r="AK50" s="924">
        <f>IF(Tables!$E$30="Custom",'Monthly Table'!AI50,IF(Tables!$E$30="New York",INDEX('NY Curve'!$A$4:$G$256,MATCH('Monthly Table'!B50,'NY Curve'!$A$4:$A$256,0),MATCH("Super Peak Curve",'NY Curve'!$A$4:$G$4,0)),IF(Tables!$E$30="New York Flat",INDEX('NY Curve'!$A$4:$G$256,MATCH('Monthly Table'!B50,'NY Curve'!$A$4:$A$256,0),MATCH("Flat NY West",'NY Curve'!$A$4:$G$4,0)),INDEX('Michigan Curve'!$A$4:$F$256,MATCH('Monthly Table'!B50,'Michigan Curve'!$A$4:$A$256,0),MATCH("Michigan Super Peak Curve US$/MWhr",'Michigan Curve'!$A$4:$F$4,0)))))</f>
        <v>25.25</v>
      </c>
      <c r="AL50" s="965">
        <f>IF(D50&lt;=Tables!$B$21,IF($AL$10=$AI$10,AI50,IF($AL$10=$AJ$10,AJ50,IF($AL$10=$AK$10,AK50,0))),0)</f>
        <v>25.25</v>
      </c>
      <c r="AM50" s="708">
        <f t="shared" si="24"/>
        <v>35.457236073345449</v>
      </c>
      <c r="AN50" s="916">
        <f t="shared" si="25"/>
        <v>0</v>
      </c>
      <c r="AO50" s="905"/>
      <c r="AP50" s="925"/>
      <c r="AQ50" s="926">
        <f>IF(Tables!$E$30="New York",INDEX('NY Curve'!$A$4:$L$256,MATCH('Monthly Table'!B50,'NY Curve'!$A$4:$A$256,0),MATCH("New York Shoulder Hour Curve Mon-Fri",'NY Curve'!$A$4:$L$4,0)),IF(Tables!$E$30="Michigan",INDEX('Michigan Curve'!$A$4:$K$256,MATCH('Monthly Table'!B50,'Michigan Curve'!$A$4:$A$256,0),MATCH("Michigan Shoulder Hour Curve Mon-Fri",'Michigan Curve'!$A$4:$K$4,0))))</f>
        <v>25.25</v>
      </c>
      <c r="AR50" s="708">
        <f t="shared" si="26"/>
        <v>35.457236073345449</v>
      </c>
      <c r="AS50" s="927">
        <f t="shared" si="7"/>
        <v>0</v>
      </c>
      <c r="AT50" s="462"/>
      <c r="AU50" s="926">
        <f>IF(Tables!$E$30="New York",INDEX('NY Curve'!$A$4:$L$256,MATCH('Monthly Table'!$B50,'NY Curve'!$A$4:$A$256,0),MATCH("New York Saturday Super Peak",'NY Curve'!$A$4:$L$4,0)),IF(Tables!$E$30="Michigan",INDEX('Michigan Curve'!$A$4:$K$256,MATCH('Monthly Table'!$B50,'Michigan Curve'!$A$4:$A$256,0),MATCH("Michigan Saturday Super Peak",'Michigan Curve'!$A$4:$K$4,0))))</f>
        <v>20</v>
      </c>
      <c r="AV50" s="925">
        <f t="shared" si="8"/>
        <v>28.084939464035998</v>
      </c>
      <c r="AW50" s="927">
        <f t="shared" si="9"/>
        <v>0</v>
      </c>
      <c r="AX50" s="926">
        <f>IF(Tables!$E$30="New York",INDEX('NY Curve'!$A$4:$L$256,MATCH('Monthly Table'!$B50,'NY Curve'!$A$4:$A$256,0),MATCH("New York Saturday Shoulder Peak",'NY Curve'!$A$4:$L$4,0)),IF(Tables!$E$30="Michigan",INDEX('Michigan Curve'!$A$4:$K$256,MATCH('Monthly Table'!$B50,'Michigan Curve'!$A$4:$A$256,0),MATCH("Michigan Saturday Shoulder Peak",'Michigan Curve'!$A$4:$K$4,0))))</f>
        <v>20</v>
      </c>
      <c r="AY50" s="934">
        <f t="shared" si="27"/>
        <v>28.084939464035998</v>
      </c>
      <c r="AZ50" s="927">
        <f t="shared" si="10"/>
        <v>0</v>
      </c>
      <c r="BA50" s="462"/>
      <c r="BB50" s="926">
        <f>IF(Tables!$E$30="New York",INDEX('NY Curve'!$A$4:$M$256,MATCH('Monthly Table'!$B50,'NY Curve'!$A$4:$A$256,0),MATCH("NY Sunday Super Peak",'NY Curve'!$A$4:$M$4,0)),IF(Tables!$E$30="Michigan",INDEX('Michigan Curve'!$A$4:$L$256,MATCH('Monthly Table'!$B50,'Michigan Curve'!$A$4:$A$256,0),MATCH("Michigan Sunday Super Peak",'Michigan Curve'!$A$4:$L$4,0))))</f>
        <v>18.995000839233398</v>
      </c>
      <c r="BC50" s="925">
        <f t="shared" si="28"/>
        <v>26.673672434459149</v>
      </c>
      <c r="BD50" s="927">
        <f t="shared" si="11"/>
        <v>0</v>
      </c>
      <c r="BE50" s="462"/>
      <c r="BF50" s="598">
        <f t="shared" si="12"/>
        <v>38078</v>
      </c>
      <c r="BG50" s="583">
        <f t="shared" si="29"/>
        <v>0</v>
      </c>
      <c r="BH50" s="764">
        <f>IF(Tables!$B$36="Combined Cycle",(BF50-BF49)*24*Assumptions!$B$21,0)</f>
        <v>0</v>
      </c>
      <c r="BI50" s="315">
        <f t="shared" si="30"/>
        <v>0</v>
      </c>
      <c r="BJ50" s="987">
        <f>IF('Monthly Table'!D50&lt;=Tables!$B$21,IF($BJ$10=$BG$10,BG50,IF($BJ$10=$BH$10,BH50,IF($BJ$10=$BI$10,BI50,0))),0)</f>
        <v>0</v>
      </c>
      <c r="BK50" s="43"/>
      <c r="BL50" s="987">
        <f t="shared" si="31"/>
        <v>0</v>
      </c>
      <c r="BM50" s="987">
        <f t="shared" si="32"/>
        <v>0</v>
      </c>
      <c r="BO50" s="987">
        <f t="shared" si="14"/>
        <v>0</v>
      </c>
      <c r="BP50" s="987">
        <f t="shared" si="33"/>
        <v>0</v>
      </c>
      <c r="BR50" s="993">
        <f>IF(BJ50&gt;0,INDEX(OperationalDetail,MATCH("Capacity Degradation",ODColumn,0),MATCH('Monthly Table'!C50,ODRow,0)),0)</f>
        <v>0</v>
      </c>
      <c r="BS50" s="994">
        <f>BJ50*(1-BR50)*Tables!$C$36</f>
        <v>0</v>
      </c>
      <c r="BT50" s="601">
        <f t="shared" si="15"/>
        <v>0</v>
      </c>
      <c r="BU50" s="601">
        <f t="shared" si="16"/>
        <v>0</v>
      </c>
      <c r="BV50" s="462"/>
      <c r="BW50" s="785">
        <f>$BO50*(1-$BR50)*Tables!$C$36</f>
        <v>0</v>
      </c>
      <c r="BX50" s="602">
        <f t="shared" si="34"/>
        <v>0</v>
      </c>
      <c r="BY50" s="601">
        <f t="shared" si="35"/>
        <v>0</v>
      </c>
      <c r="BZ50" s="462"/>
      <c r="CA50" s="785">
        <f>$BL50*(1-$BR50)*Tables!$C$36</f>
        <v>0</v>
      </c>
      <c r="CB50" s="602">
        <f t="shared" si="36"/>
        <v>0</v>
      </c>
      <c r="CC50" s="601">
        <f t="shared" si="37"/>
        <v>0</v>
      </c>
      <c r="CD50" s="785">
        <f>$BP50*(1-$BR50)*Tables!$C$36</f>
        <v>0</v>
      </c>
      <c r="CE50" s="602">
        <f t="shared" si="38"/>
        <v>0</v>
      </c>
      <c r="CF50" s="601">
        <f t="shared" si="39"/>
        <v>0</v>
      </c>
      <c r="CH50" s="785">
        <f>$BM50*(1-$BR50)*Tables!$C$36</f>
        <v>0</v>
      </c>
      <c r="CI50" s="602">
        <f t="shared" si="40"/>
        <v>0</v>
      </c>
      <c r="CJ50" s="601">
        <f t="shared" si="41"/>
        <v>0</v>
      </c>
      <c r="CK50" s="304"/>
      <c r="CL50" s="304">
        <f t="shared" si="42"/>
        <v>2003</v>
      </c>
      <c r="CM50" s="1018">
        <f>INDEX(OperationalDetail,MATCH("Degraded Heat Rate",ODColumn,0),MATCH('Monthly Table'!CL50,ODRow,0))/1000</f>
        <v>12.132104399999998</v>
      </c>
      <c r="CN50" s="737">
        <f t="shared" si="17"/>
        <v>53.025336311013987</v>
      </c>
      <c r="CO50" s="1019">
        <f>IF(A50="January",(CO49*(1+Assumptions!$E$32)),CO49)</f>
        <v>7.1478991350000021</v>
      </c>
      <c r="CP50" s="741">
        <f t="shared" si="18"/>
        <v>60.17323544601399</v>
      </c>
      <c r="CQ50" s="304"/>
      <c r="CR50" s="575" t="str">
        <f t="shared" si="43"/>
        <v/>
      </c>
      <c r="CS50" s="575" t="str">
        <f t="shared" si="44"/>
        <v/>
      </c>
      <c r="CT50" s="575" t="str">
        <f t="shared" si="45"/>
        <v/>
      </c>
      <c r="CU50" s="575" t="str">
        <f t="shared" si="46"/>
        <v/>
      </c>
      <c r="CV50" s="575" t="str">
        <f t="shared" si="47"/>
        <v/>
      </c>
      <c r="CW50" s="576">
        <f t="shared" si="19"/>
        <v>2004</v>
      </c>
      <c r="CX50" s="787">
        <f>INDEX('NY Curve'!$A$4:$G$256,MATCH('Monthly Table'!B50,'NY Curve'!$A$4:$A$256,0),MATCH("New York 5 X 16",'NY Curve'!$A$4:$G$4,0))</f>
        <v>25.4</v>
      </c>
      <c r="CY50" s="632">
        <f t="shared" si="20"/>
        <v>1.4042469732017999</v>
      </c>
      <c r="CZ50" s="633">
        <f t="shared" si="21"/>
        <v>35.667873119325719</v>
      </c>
      <c r="DB50" s="857"/>
      <c r="DC50" s="857"/>
    </row>
    <row r="51" spans="1:107" ht="18.75" customHeight="1">
      <c r="A51" s="17" t="s">
        <v>441</v>
      </c>
      <c r="B51" s="508">
        <v>38108</v>
      </c>
      <c r="C51" s="43">
        <f t="shared" si="0"/>
        <v>2004</v>
      </c>
      <c r="D51" s="719">
        <f t="shared" si="48"/>
        <v>4</v>
      </c>
      <c r="E51" s="972">
        <v>20</v>
      </c>
      <c r="F51" s="971">
        <v>5</v>
      </c>
      <c r="G51" s="971">
        <v>5</v>
      </c>
      <c r="H51" s="971">
        <v>1</v>
      </c>
      <c r="I51" s="976">
        <f t="shared" si="22"/>
        <v>31</v>
      </c>
      <c r="J51" s="621"/>
      <c r="K51" s="572">
        <f>INDEX(FX!$A$3:$C$362,MATCH(B51,FX!$A$3:$A$362,0),MATCH("Monthly Curve",FX!$A$2:$C$2,0))</f>
        <v>1.4027718067593999</v>
      </c>
      <c r="L51" s="572"/>
      <c r="M51" s="1057">
        <v>2.6745000000000001</v>
      </c>
      <c r="N51" s="1067">
        <v>0.13500000000000001</v>
      </c>
      <c r="O51" s="315">
        <v>0.05</v>
      </c>
      <c r="P51" s="797">
        <f t="shared" si="1"/>
        <v>0.185</v>
      </c>
      <c r="Q51" s="732">
        <f t="shared" si="2"/>
        <v>2.8594999999999997</v>
      </c>
      <c r="R51" s="723">
        <f>IF(A51="January",(R50+R50*Assumptions!$E$32),R50)</f>
        <v>0.31870807015384617</v>
      </c>
      <c r="S51" s="730">
        <f t="shared" si="3"/>
        <v>4.3299340515823497</v>
      </c>
      <c r="T51" s="572"/>
      <c r="V51" s="583"/>
      <c r="W51" s="583"/>
      <c r="X51" s="461"/>
      <c r="Y51" s="588">
        <f>Tables!$D$36</f>
        <v>312</v>
      </c>
      <c r="Z51" s="570">
        <f t="shared" si="4"/>
        <v>0</v>
      </c>
      <c r="AA51" s="592">
        <f t="shared" si="5"/>
        <v>0</v>
      </c>
      <c r="AB51" s="589">
        <f t="shared" si="6"/>
        <v>0</v>
      </c>
      <c r="AC51" s="462"/>
      <c r="AD51" s="1027">
        <f>IF(Tables!$E$30="Michigan",INDEX('Michigan Curve'!$A$4:$S$256,MATCH('Monthly Table'!B51,'Michigan Curve'!$A$4:$A$256,0),MATCH("Michigan Selected Option Value US$/month",'Michigan Curve'!$A$4:$S$4,0)),INDEX('NY Curve'!$A$4:$T$256,MATCH('Monthly Table'!B51,'NY Curve'!$A$4:$A$256,0),MATCH("New York Selected Option Value US$/month",'NY Curve'!$A$4:$T$4,0)))</f>
        <v>102853.39725130462</v>
      </c>
      <c r="AE51" s="601">
        <f t="shared" si="23"/>
        <v>144279.84589355488</v>
      </c>
      <c r="AF51" s="462"/>
      <c r="AG51" s="915"/>
      <c r="AH51" s="462"/>
      <c r="AI51" s="799">
        <f>Assumptions!$B$50</f>
        <v>65</v>
      </c>
      <c r="AJ51" s="743"/>
      <c r="AK51" s="924">
        <f>IF(Tables!$E$30="Custom",'Monthly Table'!AI51,IF(Tables!$E$30="New York",INDEX('NY Curve'!$A$4:$G$256,MATCH('Monthly Table'!B51,'NY Curve'!$A$4:$A$256,0),MATCH("Super Peak Curve",'NY Curve'!$A$4:$G$4,0)),IF(Tables!$E$30="New York Flat",INDEX('NY Curve'!$A$4:$G$256,MATCH('Monthly Table'!B51,'NY Curve'!$A$4:$A$256,0),MATCH("Flat NY West",'NY Curve'!$A$4:$G$4,0)),INDEX('Michigan Curve'!$A$4:$F$256,MATCH('Monthly Table'!B51,'Michigan Curve'!$A$4:$A$256,0),MATCH("Michigan Super Peak Curve US$/MWhr",'Michigan Curve'!$A$4:$F$4,0)))))</f>
        <v>31.211250051856041</v>
      </c>
      <c r="AL51" s="965">
        <f>IF(D51&lt;=Tables!$B$21,IF($AL$10=$AI$10,AI51,IF($AL$10=$AJ$10,AJ51,IF($AL$10=$AK$10,AK51,0))),0)</f>
        <v>31.211250051856041</v>
      </c>
      <c r="AM51" s="708">
        <f t="shared" si="24"/>
        <v>43.782261626461512</v>
      </c>
      <c r="AN51" s="916">
        <f t="shared" si="25"/>
        <v>0</v>
      </c>
      <c r="AO51" s="905"/>
      <c r="AP51" s="925"/>
      <c r="AQ51" s="926">
        <f>IF(Tables!$E$30="New York",INDEX('NY Curve'!$A$4:$L$256,MATCH('Monthly Table'!B51,'NY Curve'!$A$4:$A$256,0),MATCH("New York Shoulder Hour Curve Mon-Fri",'NY Curve'!$A$4:$L$4,0)),IF(Tables!$E$30="Michigan",INDEX('Michigan Curve'!$A$4:$K$256,MATCH('Monthly Table'!B51,'Michigan Curve'!$A$4:$A$256,0),MATCH("Michigan Shoulder Hour Curve Mon-Fri",'Michigan Curve'!$A$4:$K$4,0))))</f>
        <v>26.788749948143959</v>
      </c>
      <c r="AR51" s="708">
        <f t="shared" si="26"/>
        <v>37.578503165583683</v>
      </c>
      <c r="AS51" s="927">
        <f t="shared" si="7"/>
        <v>0</v>
      </c>
      <c r="AT51" s="462"/>
      <c r="AU51" s="926">
        <f>IF(Tables!$E$30="New York",INDEX('NY Curve'!$A$4:$L$256,MATCH('Monthly Table'!$B51,'NY Curve'!$A$4:$A$256,0),MATCH("New York Saturday Super Peak",'NY Curve'!$A$4:$L$4,0)),IF(Tables!$E$30="Michigan",INDEX('Michigan Curve'!$A$4:$K$256,MATCH('Monthly Table'!$B51,'Michigan Curve'!$A$4:$A$256,0),MATCH("Michigan Saturday Super Peak",'Michigan Curve'!$A$4:$K$4,0))))</f>
        <v>22.601250037550926</v>
      </c>
      <c r="AV51" s="925">
        <f t="shared" si="8"/>
        <v>31.704396350196269</v>
      </c>
      <c r="AW51" s="927">
        <f t="shared" si="9"/>
        <v>0</v>
      </c>
      <c r="AX51" s="926">
        <f>IF(Tables!$E$30="New York",INDEX('NY Curve'!$A$4:$L$256,MATCH('Monthly Table'!$B51,'NY Curve'!$A$4:$A$256,0),MATCH("New York Saturday Shoulder Peak",'NY Curve'!$A$4:$L$4,0)),IF(Tables!$E$30="Michigan",INDEX('Michigan Curve'!$A$4:$K$256,MATCH('Monthly Table'!$B51,'Michigan Curve'!$A$4:$A$256,0),MATCH("Michigan Saturday Shoulder Peak",'Michigan Curve'!$A$4:$K$4,0))))</f>
        <v>19.398749962449074</v>
      </c>
      <c r="AY51" s="934">
        <f t="shared" si="27"/>
        <v>27.21201953369853</v>
      </c>
      <c r="AZ51" s="927">
        <f t="shared" si="10"/>
        <v>0</v>
      </c>
      <c r="BA51" s="462"/>
      <c r="BB51" s="926">
        <f>IF(Tables!$E$30="New York",INDEX('NY Curve'!$A$4:$M$256,MATCH('Monthly Table'!$B51,'NY Curve'!$A$4:$A$256,0),MATCH("NY Sunday Super Peak",'NY Curve'!$A$4:$M$4,0)),IF(Tables!$E$30="Michigan",INDEX('Michigan Curve'!$A$4:$L$256,MATCH('Monthly Table'!$B51,'Michigan Curve'!$A$4:$A$256,0),MATCH("Michigan Sunday Super Peak",'Michigan Curve'!$A$4:$L$4,0))))</f>
        <v>21.530380382546781</v>
      </c>
      <c r="BC51" s="925">
        <f t="shared" si="28"/>
        <v>30.202210589442288</v>
      </c>
      <c r="BD51" s="927">
        <f t="shared" si="11"/>
        <v>0</v>
      </c>
      <c r="BE51" s="462"/>
      <c r="BF51" s="598">
        <f t="shared" si="12"/>
        <v>38108</v>
      </c>
      <c r="BG51" s="583">
        <f t="shared" si="29"/>
        <v>0</v>
      </c>
      <c r="BH51" s="764">
        <f>IF(Tables!$B$36="Combined Cycle",(BF51-BF50)*24*Assumptions!$B$21,0)</f>
        <v>0</v>
      </c>
      <c r="BI51" s="315">
        <f t="shared" si="30"/>
        <v>0</v>
      </c>
      <c r="BJ51" s="987">
        <f>IF('Monthly Table'!D51&lt;=Tables!$B$21,IF($BJ$10=$BG$10,BG51,IF($BJ$10=$BH$10,BH51,IF($BJ$10=$BI$10,BI51,0))),0)</f>
        <v>0</v>
      </c>
      <c r="BK51" s="43"/>
      <c r="BL51" s="987">
        <f t="shared" si="31"/>
        <v>0</v>
      </c>
      <c r="BM51" s="987">
        <f t="shared" si="32"/>
        <v>0</v>
      </c>
      <c r="BO51" s="987">
        <f t="shared" si="14"/>
        <v>0</v>
      </c>
      <c r="BP51" s="987">
        <f t="shared" si="33"/>
        <v>0</v>
      </c>
      <c r="BR51" s="993">
        <f>IF(BJ51&gt;0,INDEX(OperationalDetail,MATCH("Capacity Degradation",ODColumn,0),MATCH('Monthly Table'!C51,ODRow,0)),0)</f>
        <v>0</v>
      </c>
      <c r="BS51" s="994">
        <f>BJ51*(1-BR51)*Tables!$C$36</f>
        <v>0</v>
      </c>
      <c r="BT51" s="601">
        <f t="shared" si="15"/>
        <v>0</v>
      </c>
      <c r="BU51" s="601">
        <f t="shared" si="16"/>
        <v>0</v>
      </c>
      <c r="BV51" s="462"/>
      <c r="BW51" s="785">
        <f>$BO51*(1-$BR51)*Tables!$C$36</f>
        <v>0</v>
      </c>
      <c r="BX51" s="602">
        <f t="shared" si="34"/>
        <v>0</v>
      </c>
      <c r="BY51" s="601">
        <f t="shared" si="35"/>
        <v>0</v>
      </c>
      <c r="BZ51" s="462"/>
      <c r="CA51" s="785">
        <f>$BL51*(1-$BR51)*Tables!$C$36</f>
        <v>0</v>
      </c>
      <c r="CB51" s="602">
        <f t="shared" si="36"/>
        <v>0</v>
      </c>
      <c r="CC51" s="601">
        <f t="shared" si="37"/>
        <v>0</v>
      </c>
      <c r="CD51" s="785">
        <f>$BP51*(1-$BR51)*Tables!$C$36</f>
        <v>0</v>
      </c>
      <c r="CE51" s="602">
        <f t="shared" si="38"/>
        <v>0</v>
      </c>
      <c r="CF51" s="601">
        <f t="shared" si="39"/>
        <v>0</v>
      </c>
      <c r="CH51" s="785">
        <f>$BM51*(1-$BR51)*Tables!$C$36</f>
        <v>0</v>
      </c>
      <c r="CI51" s="602">
        <f t="shared" si="40"/>
        <v>0</v>
      </c>
      <c r="CJ51" s="601">
        <f t="shared" si="41"/>
        <v>0</v>
      </c>
      <c r="CK51" s="304"/>
      <c r="CL51" s="304">
        <f t="shared" si="42"/>
        <v>2003</v>
      </c>
      <c r="CM51" s="1018">
        <f>INDEX(OperationalDetail,MATCH("Degraded Heat Rate",ODColumn,0),MATCH('Monthly Table'!CL51,ODRow,0))/1000</f>
        <v>12.132104399999998</v>
      </c>
      <c r="CN51" s="737">
        <f t="shared" si="17"/>
        <v>52.531211958912039</v>
      </c>
      <c r="CO51" s="1019">
        <f>IF(A51="January",(CO50*(1+Assumptions!$E$32)),CO50)</f>
        <v>7.1478991350000021</v>
      </c>
      <c r="CP51" s="741">
        <f t="shared" si="18"/>
        <v>59.679111093912041</v>
      </c>
      <c r="CQ51" s="304"/>
      <c r="CR51" s="575" t="str">
        <f t="shared" si="43"/>
        <v/>
      </c>
      <c r="CS51" s="575" t="str">
        <f t="shared" si="44"/>
        <v/>
      </c>
      <c r="CT51" s="575" t="str">
        <f t="shared" si="45"/>
        <v/>
      </c>
      <c r="CU51" s="575" t="str">
        <f t="shared" si="46"/>
        <v/>
      </c>
      <c r="CV51" s="575" t="str">
        <f t="shared" si="47"/>
        <v/>
      </c>
      <c r="CW51" s="576">
        <f t="shared" si="19"/>
        <v>2004</v>
      </c>
      <c r="CX51" s="787">
        <f>INDEX('NY Curve'!$A$4:$G$256,MATCH('Monthly Table'!B51,'NY Curve'!$A$4:$A$256,0),MATCH("New York 5 X 16",'NY Curve'!$A$4:$G$4,0))</f>
        <v>29.65</v>
      </c>
      <c r="CY51" s="632">
        <f t="shared" si="20"/>
        <v>1.4027718067593999</v>
      </c>
      <c r="CZ51" s="633">
        <f t="shared" si="21"/>
        <v>41.592184070416209</v>
      </c>
      <c r="DB51" s="857"/>
      <c r="DC51" s="857"/>
    </row>
    <row r="52" spans="1:107" ht="18.75" customHeight="1">
      <c r="A52" s="17" t="s">
        <v>442</v>
      </c>
      <c r="B52" s="508">
        <v>38139</v>
      </c>
      <c r="C52" s="43">
        <f t="shared" si="0"/>
        <v>2004</v>
      </c>
      <c r="D52" s="719">
        <f t="shared" si="48"/>
        <v>4</v>
      </c>
      <c r="E52" s="972">
        <v>22</v>
      </c>
      <c r="F52" s="971">
        <v>4</v>
      </c>
      <c r="G52" s="971">
        <v>4</v>
      </c>
      <c r="H52" s="971">
        <v>0</v>
      </c>
      <c r="I52" s="976">
        <f t="shared" si="22"/>
        <v>30</v>
      </c>
      <c r="J52" s="621"/>
      <c r="K52" s="572">
        <f>INDEX(FX!$A$3:$C$362,MATCH(B52,FX!$A$3:$A$362,0),MATCH("Monthly Curve",FX!$A$2:$C$2,0))</f>
        <v>1.4012280845882199</v>
      </c>
      <c r="L52" s="572"/>
      <c r="M52" s="1057">
        <v>2.6835000000000004</v>
      </c>
      <c r="N52" s="1067">
        <v>0.13500000000000001</v>
      </c>
      <c r="O52" s="315">
        <v>0.05</v>
      </c>
      <c r="P52" s="797">
        <f t="shared" si="1"/>
        <v>0.185</v>
      </c>
      <c r="Q52" s="732">
        <f t="shared" si="2"/>
        <v>2.8685</v>
      </c>
      <c r="R52" s="723">
        <f>IF(A52="January",(R51+R51*Assumptions!$E$32),R51)</f>
        <v>0.31870807015384617</v>
      </c>
      <c r="S52" s="730">
        <f t="shared" si="3"/>
        <v>4.3381308307951549</v>
      </c>
      <c r="T52" s="572"/>
      <c r="U52" s="565"/>
      <c r="V52" s="581"/>
      <c r="W52" s="581"/>
      <c r="X52" s="818"/>
      <c r="Y52" s="588">
        <f>Tables!$D$36</f>
        <v>312</v>
      </c>
      <c r="Z52" s="570">
        <f t="shared" si="4"/>
        <v>0</v>
      </c>
      <c r="AA52" s="592">
        <f t="shared" si="5"/>
        <v>0</v>
      </c>
      <c r="AB52" s="589">
        <f t="shared" si="6"/>
        <v>0</v>
      </c>
      <c r="AC52" s="462"/>
      <c r="AD52" s="1027">
        <f>IF(Tables!$E$30="Michigan",INDEX('Michigan Curve'!$A$4:$S$256,MATCH('Monthly Table'!B52,'Michigan Curve'!$A$4:$A$256,0),MATCH("Michigan Selected Option Value US$/month",'Michigan Curve'!$A$4:$S$4,0)),INDEX('NY Curve'!$A$4:$T$256,MATCH('Monthly Table'!B52,'NY Curve'!$A$4:$A$256,0),MATCH("New York Selected Option Value US$/month",'NY Curve'!$A$4:$T$4,0)))</f>
        <v>413405.72406698065</v>
      </c>
      <c r="AE52" s="601">
        <f t="shared" si="23"/>
        <v>579275.71089218149</v>
      </c>
      <c r="AF52" s="462"/>
      <c r="AG52" s="915"/>
      <c r="AH52" s="462"/>
      <c r="AI52" s="799">
        <f>Assumptions!$B$50</f>
        <v>65</v>
      </c>
      <c r="AJ52" s="743"/>
      <c r="AK52" s="924">
        <f>IF(Tables!$E$30="Custom",'Monthly Table'!AI52,IF(Tables!$E$30="New York",INDEX('NY Curve'!$A$4:$G$256,MATCH('Monthly Table'!B52,'NY Curve'!$A$4:$A$256,0),MATCH("Super Peak Curve",'NY Curve'!$A$4:$G$4,0)),IF(Tables!$E$30="New York Flat",INDEX('NY Curve'!$A$4:$G$256,MATCH('Monthly Table'!B52,'NY Curve'!$A$4:$A$256,0),MATCH("Flat NY West",'NY Curve'!$A$4:$G$4,0)),INDEX('Michigan Curve'!$A$4:$F$256,MATCH('Monthly Table'!B52,'Michigan Curve'!$A$4:$A$256,0),MATCH("Michigan Super Peak Curve US$/MWhr",'Michigan Curve'!$A$4:$F$4,0)))))</f>
        <v>70.936995023690443</v>
      </c>
      <c r="AL52" s="965">
        <f>IF(D52&lt;=Tables!$B$21,IF($AL$10=$AI$10,AI52,IF($AL$10=$AJ$10,AJ52,IF($AL$10=$AK$10,AK52,0))),0)</f>
        <v>70.936995023690443</v>
      </c>
      <c r="AM52" s="708">
        <f t="shared" si="24"/>
        <v>99.398909663489846</v>
      </c>
      <c r="AN52" s="916">
        <f t="shared" si="25"/>
        <v>1</v>
      </c>
      <c r="AO52" s="905"/>
      <c r="AP52" s="925"/>
      <c r="AQ52" s="926">
        <f>IF(Tables!$E$30="New York",INDEX('NY Curve'!$A$4:$L$256,MATCH('Monthly Table'!B52,'NY Curve'!$A$4:$A$256,0),MATCH("New York Shoulder Hour Curve Mon-Fri",'NY Curve'!$A$4:$L$4,0)),IF(Tables!$E$30="Michigan",INDEX('Michigan Curve'!$A$4:$K$256,MATCH('Monthly Table'!B52,'Michigan Curve'!$A$4:$A$256,0),MATCH("Michigan Shoulder Hour Curve Mon-Fri",'Michigan Curve'!$A$4:$K$4,0))))</f>
        <v>21.563004976309561</v>
      </c>
      <c r="AR52" s="708">
        <f t="shared" si="26"/>
        <v>30.214688160920499</v>
      </c>
      <c r="AS52" s="927">
        <f t="shared" si="7"/>
        <v>0</v>
      </c>
      <c r="AT52" s="462"/>
      <c r="AU52" s="926">
        <f>IF(Tables!$E$30="New York",INDEX('NY Curve'!$A$4:$L$256,MATCH('Monthly Table'!$B52,'NY Curve'!$A$4:$A$256,0),MATCH("New York Saturday Super Peak",'NY Curve'!$A$4:$L$4,0)),IF(Tables!$E$30="Michigan",INDEX('Michigan Curve'!$A$4:$K$256,MATCH('Monthly Table'!$B52,'Michigan Curve'!$A$4:$A$256,0),MATCH("Michigan Saturday Super Peak",'Michigan Curve'!$A$4:$K$4,0))))</f>
        <v>39.878094499804355</v>
      </c>
      <c r="AV52" s="925">
        <f t="shared" si="8"/>
        <v>55.878305972988883</v>
      </c>
      <c r="AW52" s="927">
        <f t="shared" si="9"/>
        <v>0</v>
      </c>
      <c r="AX52" s="926">
        <f>IF(Tables!$E$30="New York",INDEX('NY Curve'!$A$4:$L$256,MATCH('Monthly Table'!$B52,'NY Curve'!$A$4:$A$256,0),MATCH("New York Saturday Shoulder Peak",'NY Curve'!$A$4:$L$4,0)),IF(Tables!$E$30="Michigan",INDEX('Michigan Curve'!$A$4:$K$256,MATCH('Monthly Table'!$B52,'Michigan Curve'!$A$4:$A$256,0),MATCH("Michigan Saturday Shoulder Peak",'Michigan Curve'!$A$4:$K$4,0))))</f>
        <v>12.121905500195645</v>
      </c>
      <c r="AY52" s="934">
        <f t="shared" si="27"/>
        <v>16.985554425598551</v>
      </c>
      <c r="AZ52" s="927">
        <f t="shared" si="10"/>
        <v>0</v>
      </c>
      <c r="BA52" s="462"/>
      <c r="BB52" s="926">
        <f>IF(Tables!$E$30="New York",INDEX('NY Curve'!$A$4:$M$256,MATCH('Monthly Table'!$B52,'NY Curve'!$A$4:$A$256,0),MATCH("NY Sunday Super Peak",'NY Curve'!$A$4:$M$4,0)),IF(Tables!$E$30="Michigan",INDEX('Michigan Curve'!$A$4:$L$256,MATCH('Monthly Table'!$B52,'Michigan Curve'!$A$4:$A$256,0),MATCH("Michigan Sunday Super Peak",'Michigan Curve'!$A$4:$L$4,0))))</f>
        <v>36.810548769050172</v>
      </c>
      <c r="BC52" s="925">
        <f t="shared" si="28"/>
        <v>51.579974744297431</v>
      </c>
      <c r="BD52" s="927">
        <f t="shared" si="11"/>
        <v>0</v>
      </c>
      <c r="BE52" s="462"/>
      <c r="BF52" s="598">
        <f t="shared" si="12"/>
        <v>38139</v>
      </c>
      <c r="BG52" s="583">
        <f t="shared" si="29"/>
        <v>176</v>
      </c>
      <c r="BH52" s="764">
        <f>IF(Tables!$B$36="Combined Cycle",(BF52-BF51)*24*Assumptions!$B$21,0)</f>
        <v>0</v>
      </c>
      <c r="BI52" s="315">
        <f t="shared" si="30"/>
        <v>176</v>
      </c>
      <c r="BJ52" s="987">
        <f>IF('Monthly Table'!D52&lt;=Tables!$B$21,IF($BJ$10=$BG$10,BG52,IF($BJ$10=$BH$10,BH52,IF($BJ$10=$BI$10,BI52,0))),0)</f>
        <v>176</v>
      </c>
      <c r="BK52" s="43"/>
      <c r="BL52" s="987">
        <f t="shared" si="31"/>
        <v>0</v>
      </c>
      <c r="BM52" s="987">
        <f t="shared" si="32"/>
        <v>0</v>
      </c>
      <c r="BO52" s="987">
        <f t="shared" si="14"/>
        <v>0</v>
      </c>
      <c r="BP52" s="987">
        <f t="shared" si="33"/>
        <v>0</v>
      </c>
      <c r="BR52" s="993">
        <f>IF(BJ52&gt;0,INDEX(OperationalDetail,MATCH("Capacity Degradation",ODColumn,0),MATCH('Monthly Table'!C52,ODRow,0)),0)</f>
        <v>1.6980000000000002E-2</v>
      </c>
      <c r="BS52" s="994">
        <f>BJ52*(1-BR52)*Tables!$C$36</f>
        <v>56055.732479999999</v>
      </c>
      <c r="BT52" s="601">
        <f t="shared" si="15"/>
        <v>3976.4252159830826</v>
      </c>
      <c r="BU52" s="601">
        <f t="shared" si="16"/>
        <v>5571.8786889002731</v>
      </c>
      <c r="BV52" s="462"/>
      <c r="BW52" s="785">
        <f>$BO52*(1-$BR52)*Tables!$C$36</f>
        <v>0</v>
      </c>
      <c r="BX52" s="602">
        <f t="shared" si="34"/>
        <v>0</v>
      </c>
      <c r="BY52" s="601">
        <f t="shared" si="35"/>
        <v>0</v>
      </c>
      <c r="BZ52" s="462"/>
      <c r="CA52" s="785">
        <f>$BL52*(1-$BR52)*Tables!$C$36</f>
        <v>0</v>
      </c>
      <c r="CB52" s="602">
        <f t="shared" si="36"/>
        <v>0</v>
      </c>
      <c r="CC52" s="601">
        <f t="shared" si="37"/>
        <v>0</v>
      </c>
      <c r="CD52" s="785">
        <f>$BP52*(1-$BR52)*Tables!$C$36</f>
        <v>0</v>
      </c>
      <c r="CE52" s="602">
        <f t="shared" si="38"/>
        <v>0</v>
      </c>
      <c r="CF52" s="601">
        <f t="shared" si="39"/>
        <v>0</v>
      </c>
      <c r="CH52" s="785">
        <f>$BM52*(1-$BR52)*Tables!$C$36</f>
        <v>0</v>
      </c>
      <c r="CI52" s="602">
        <f t="shared" si="40"/>
        <v>0</v>
      </c>
      <c r="CJ52" s="601">
        <f t="shared" si="41"/>
        <v>0</v>
      </c>
      <c r="CK52" s="304"/>
      <c r="CL52" s="304">
        <f t="shared" si="42"/>
        <v>2003</v>
      </c>
      <c r="CM52" s="1018">
        <f>INDEX(OperationalDetail,MATCH("Degraded Heat Rate",ODColumn,0),MATCH('Monthly Table'!CL52,ODRow,0))/1000</f>
        <v>12.132104399999998</v>
      </c>
      <c r="CN52" s="737">
        <f t="shared" si="17"/>
        <v>52.630656140065547</v>
      </c>
      <c r="CO52" s="1019">
        <f>IF(A52="January",(CO51*(1+Assumptions!$E$32)),CO51)</f>
        <v>7.1478991350000021</v>
      </c>
      <c r="CP52" s="741">
        <f t="shared" si="18"/>
        <v>59.77855527506555</v>
      </c>
      <c r="CQ52" s="304"/>
      <c r="CR52" s="575">
        <f t="shared" si="43"/>
        <v>2004</v>
      </c>
      <c r="CS52" s="575" t="str">
        <f t="shared" si="44"/>
        <v/>
      </c>
      <c r="CT52" s="575" t="str">
        <f t="shared" si="45"/>
        <v/>
      </c>
      <c r="CU52" s="575" t="str">
        <f t="shared" si="46"/>
        <v/>
      </c>
      <c r="CV52" s="575" t="str">
        <f t="shared" si="47"/>
        <v/>
      </c>
      <c r="CW52" s="576">
        <f t="shared" si="19"/>
        <v>2004</v>
      </c>
      <c r="CX52" s="787">
        <f>INDEX('NY Curve'!$A$4:$G$256,MATCH('Monthly Table'!B52,'NY Curve'!$A$4:$A$256,0),MATCH("New York 5 X 16",'NY Curve'!$A$4:$G$4,0))</f>
        <v>47.75</v>
      </c>
      <c r="CY52" s="632">
        <f t="shared" si="20"/>
        <v>1.4012280845882199</v>
      </c>
      <c r="CZ52" s="633">
        <f t="shared" si="21"/>
        <v>66.908641039087499</v>
      </c>
      <c r="DB52" s="857"/>
      <c r="DC52" s="857"/>
    </row>
    <row r="53" spans="1:107" ht="18.75" customHeight="1">
      <c r="A53" s="17" t="s">
        <v>443</v>
      </c>
      <c r="B53" s="508">
        <v>38169</v>
      </c>
      <c r="C53" s="43">
        <f t="shared" si="0"/>
        <v>2004</v>
      </c>
      <c r="D53" s="719">
        <f t="shared" si="48"/>
        <v>4</v>
      </c>
      <c r="E53" s="972">
        <v>21</v>
      </c>
      <c r="F53" s="971">
        <v>5</v>
      </c>
      <c r="G53" s="971">
        <v>4</v>
      </c>
      <c r="H53" s="971">
        <v>1</v>
      </c>
      <c r="I53" s="976">
        <f t="shared" si="22"/>
        <v>31</v>
      </c>
      <c r="J53" s="621"/>
      <c r="K53" s="572">
        <f>INDEX(FX!$A$3:$C$362,MATCH(B53,FX!$A$3:$A$362,0),MATCH("Monthly Curve",FX!$A$2:$C$2,0))</f>
        <v>1.39971546738061</v>
      </c>
      <c r="L53" s="572"/>
      <c r="M53" s="1057">
        <v>2.6924999999999999</v>
      </c>
      <c r="N53" s="1067">
        <v>0.13500000000000001</v>
      </c>
      <c r="O53" s="315">
        <v>0.05</v>
      </c>
      <c r="P53" s="797">
        <f t="shared" si="1"/>
        <v>0.185</v>
      </c>
      <c r="Q53" s="732">
        <f t="shared" si="2"/>
        <v>2.8774999999999995</v>
      </c>
      <c r="R53" s="723">
        <f>IF(A53="January",(R52+R52*Assumptions!$E$32),R52)</f>
        <v>0.31870807015384617</v>
      </c>
      <c r="S53" s="730">
        <f t="shared" si="3"/>
        <v>4.3463893275415506</v>
      </c>
      <c r="T53" s="572"/>
      <c r="V53" s="581"/>
      <c r="W53" s="581"/>
      <c r="X53" s="461"/>
      <c r="Y53" s="588">
        <f>Tables!$D$36</f>
        <v>312</v>
      </c>
      <c r="Z53" s="570">
        <f t="shared" si="4"/>
        <v>0</v>
      </c>
      <c r="AA53" s="592">
        <f t="shared" si="5"/>
        <v>0</v>
      </c>
      <c r="AB53" s="589">
        <f t="shared" si="6"/>
        <v>0</v>
      </c>
      <c r="AC53" s="462"/>
      <c r="AD53" s="1027">
        <f>IF(Tables!$E$30="Michigan",INDEX('Michigan Curve'!$A$4:$S$256,MATCH('Monthly Table'!B53,'Michigan Curve'!$A$4:$A$256,0),MATCH("Michigan Selected Option Value US$/month",'Michigan Curve'!$A$4:$S$4,0)),INDEX('NY Curve'!$A$4:$T$256,MATCH('Monthly Table'!B53,'NY Curve'!$A$4:$A$256,0),MATCH("New York Selected Option Value US$/month",'NY Curve'!$A$4:$T$4,0)))</f>
        <v>665965.16803876311</v>
      </c>
      <c r="AE53" s="601">
        <f t="shared" si="23"/>
        <v>932161.74644058384</v>
      </c>
      <c r="AF53" s="462"/>
      <c r="AG53" s="915"/>
      <c r="AH53" s="462"/>
      <c r="AI53" s="799">
        <f>Assumptions!$B$50</f>
        <v>65</v>
      </c>
      <c r="AJ53" s="743"/>
      <c r="AK53" s="924">
        <f>IF(Tables!$E$30="Custom",'Monthly Table'!AI53,IF(Tables!$E$30="New York",INDEX('NY Curve'!$A$4:$G$256,MATCH('Monthly Table'!B53,'NY Curve'!$A$4:$A$256,0),MATCH("Super Peak Curve",'NY Curve'!$A$4:$G$4,0)),IF(Tables!$E$30="New York Flat",INDEX('NY Curve'!$A$4:$G$256,MATCH('Monthly Table'!B53,'NY Curve'!$A$4:$A$256,0),MATCH("Flat NY West",'NY Curve'!$A$4:$G$4,0)),INDEX('Michigan Curve'!$A$4:$F$256,MATCH('Monthly Table'!B53,'Michigan Curve'!$A$4:$A$256,0),MATCH("Michigan Super Peak Curve US$/MWhr",'Michigan Curve'!$A$4:$F$4,0)))))</f>
        <v>123.14372230823246</v>
      </c>
      <c r="AL53" s="965">
        <f>IF(D53&lt;=Tables!$B$21,IF($AL$10=$AI$10,AI53,IF($AL$10=$AJ$10,AJ53,IF($AL$10=$AK$10,AK53,0))),0)</f>
        <v>123.14372230823246</v>
      </c>
      <c r="AM53" s="708">
        <f t="shared" si="24"/>
        <v>172.36617282565564</v>
      </c>
      <c r="AN53" s="916">
        <f t="shared" si="25"/>
        <v>1</v>
      </c>
      <c r="AO53" s="905"/>
      <c r="AP53" s="925"/>
      <c r="AQ53" s="926">
        <f>IF(Tables!$E$30="New York",INDEX('NY Curve'!$A$4:$L$256,MATCH('Monthly Table'!B53,'NY Curve'!$A$4:$A$256,0),MATCH("New York Shoulder Hour Curve Mon-Fri",'NY Curve'!$A$4:$L$4,0)),IF(Tables!$E$30="Michigan",INDEX('Michigan Curve'!$A$4:$K$256,MATCH('Monthly Table'!B53,'Michigan Curve'!$A$4:$A$256,0),MATCH("Michigan Shoulder Hour Curve Mon-Fri",'Michigan Curve'!$A$4:$K$4,0))))</f>
        <v>26.856277691767545</v>
      </c>
      <c r="AR53" s="708">
        <f t="shared" si="26"/>
        <v>37.591147281435859</v>
      </c>
      <c r="AS53" s="927">
        <f t="shared" si="7"/>
        <v>0</v>
      </c>
      <c r="AT53" s="462"/>
      <c r="AU53" s="926">
        <f>IF(Tables!$E$30="New York",INDEX('NY Curve'!$A$4:$L$256,MATCH('Monthly Table'!$B53,'NY Curve'!$A$4:$A$256,0),MATCH("New York Saturday Super Peak",'NY Curve'!$A$4:$L$4,0)),IF(Tables!$E$30="Michigan",INDEX('Michigan Curve'!$A$4:$K$256,MATCH('Monthly Table'!$B53,'Michigan Curve'!$A$4:$A$256,0),MATCH("Michigan Saturday Super Peak",'Michigan Curve'!$A$4:$K$4,0))))</f>
        <v>57.467070410508477</v>
      </c>
      <c r="AV53" s="925">
        <f t="shared" si="8"/>
        <v>80.437547318639304</v>
      </c>
      <c r="AW53" s="927">
        <f t="shared" si="9"/>
        <v>1</v>
      </c>
      <c r="AX53" s="926">
        <f>IF(Tables!$E$30="New York",INDEX('NY Curve'!$A$4:$L$256,MATCH('Monthly Table'!$B53,'NY Curve'!$A$4:$A$256,0),MATCH("New York Saturday Shoulder Peak",'NY Curve'!$A$4:$L$4,0)),IF(Tables!$E$30="Michigan",INDEX('Michigan Curve'!$A$4:$K$256,MATCH('Monthly Table'!$B53,'Michigan Curve'!$A$4:$A$256,0),MATCH("Michigan Saturday Shoulder Peak",'Michigan Curve'!$A$4:$K$4,0))))</f>
        <v>12.53292958949152</v>
      </c>
      <c r="AY53" s="934">
        <f t="shared" si="27"/>
        <v>17.542535398003398</v>
      </c>
      <c r="AZ53" s="927">
        <f t="shared" si="10"/>
        <v>0</v>
      </c>
      <c r="BA53" s="462"/>
      <c r="BB53" s="926">
        <f>IF(Tables!$E$30="New York",INDEX('NY Curve'!$A$4:$M$256,MATCH('Monthly Table'!$B53,'NY Curve'!$A$4:$A$256,0),MATCH("NY Sunday Super Peak",'NY Curve'!$A$4:$M$4,0)),IF(Tables!$E$30="Michigan",INDEX('Michigan Curve'!$A$4:$L$256,MATCH('Monthly Table'!$B53,'Michigan Curve'!$A$4:$A$256,0),MATCH("Michigan Sunday Super Peak",'Michigan Curve'!$A$4:$L$4,0))))</f>
        <v>50.89940208902928</v>
      </c>
      <c r="BC53" s="925">
        <f t="shared" si="28"/>
        <v>71.244680384439221</v>
      </c>
      <c r="BD53" s="927">
        <f t="shared" si="11"/>
        <v>1</v>
      </c>
      <c r="BE53" s="462"/>
      <c r="BF53" s="598">
        <f t="shared" si="12"/>
        <v>38169</v>
      </c>
      <c r="BG53" s="583">
        <f t="shared" si="29"/>
        <v>168</v>
      </c>
      <c r="BH53" s="764">
        <f>IF(Tables!$B$36="Combined Cycle",(BF53-BF52)*24*Assumptions!$B$21,0)</f>
        <v>0</v>
      </c>
      <c r="BI53" s="315">
        <f t="shared" si="30"/>
        <v>168</v>
      </c>
      <c r="BJ53" s="987">
        <f>IF('Monthly Table'!D53&lt;=Tables!$B$21,IF($BJ$10=$BG$10,BG53,IF($BJ$10=$BH$10,BH53,IF($BJ$10=$BI$10,BI53,0))),0)</f>
        <v>168</v>
      </c>
      <c r="BK53" s="43"/>
      <c r="BL53" s="987">
        <f t="shared" si="31"/>
        <v>40</v>
      </c>
      <c r="BM53" s="987">
        <f t="shared" si="32"/>
        <v>40</v>
      </c>
      <c r="BO53" s="987">
        <f t="shared" si="14"/>
        <v>0</v>
      </c>
      <c r="BP53" s="987">
        <f t="shared" si="33"/>
        <v>0</v>
      </c>
      <c r="BR53" s="993">
        <f>IF(BJ53&gt;0,INDEX(OperationalDetail,MATCH("Capacity Degradation",ODColumn,0),MATCH('Monthly Table'!C53,ODRow,0)),0)</f>
        <v>1.6980000000000002E-2</v>
      </c>
      <c r="BS53" s="994">
        <f>BJ53*(1-BR53)*Tables!$C$36</f>
        <v>53507.744639999997</v>
      </c>
      <c r="BT53" s="601">
        <f t="shared" si="15"/>
        <v>6589.1428472879734</v>
      </c>
      <c r="BU53" s="601">
        <f t="shared" si="16"/>
        <v>9222.925160129289</v>
      </c>
      <c r="BV53" s="462"/>
      <c r="BW53" s="785">
        <f>$BO53*(1-$BR53)*Tables!$C$36</f>
        <v>0</v>
      </c>
      <c r="BX53" s="602">
        <f t="shared" si="34"/>
        <v>0</v>
      </c>
      <c r="BY53" s="601">
        <f t="shared" si="35"/>
        <v>0</v>
      </c>
      <c r="BZ53" s="462"/>
      <c r="CA53" s="785">
        <f>$BL53*(1-$BR53)*Tables!$C$36</f>
        <v>12739.939199999999</v>
      </c>
      <c r="CB53" s="602">
        <f t="shared" si="36"/>
        <v>732.12698303199704</v>
      </c>
      <c r="CC53" s="601">
        <f t="shared" si="37"/>
        <v>1024.7694622365877</v>
      </c>
      <c r="CD53" s="785">
        <f>$BP53*(1-$BR53)*Tables!$C$36</f>
        <v>0</v>
      </c>
      <c r="CE53" s="602">
        <f t="shared" si="38"/>
        <v>0</v>
      </c>
      <c r="CF53" s="601">
        <f t="shared" si="39"/>
        <v>0</v>
      </c>
      <c r="CH53" s="785">
        <f>$BM53*(1-$BR53)*Tables!$C$36</f>
        <v>12739.939199999999</v>
      </c>
      <c r="CI53" s="602">
        <f t="shared" si="40"/>
        <v>648.45528793058588</v>
      </c>
      <c r="CJ53" s="601">
        <f t="shared" si="41"/>
        <v>907.65289642118807</v>
      </c>
      <c r="CK53" s="304"/>
      <c r="CL53" s="304">
        <f t="shared" si="42"/>
        <v>2003</v>
      </c>
      <c r="CM53" s="1018">
        <f>INDEX(OperationalDetail,MATCH("Degraded Heat Rate",ODColumn,0),MATCH('Monthly Table'!CL53,ODRow,0))/1000</f>
        <v>12.132104399999998</v>
      </c>
      <c r="CN53" s="737">
        <f t="shared" si="17"/>
        <v>52.730849084779877</v>
      </c>
      <c r="CO53" s="1019">
        <f>IF(A53="January",(CO52*(1+Assumptions!$E$32)),CO52)</f>
        <v>7.1478991350000021</v>
      </c>
      <c r="CP53" s="741">
        <f t="shared" si="18"/>
        <v>59.878748219779879</v>
      </c>
      <c r="CQ53" s="304"/>
      <c r="CR53" s="575">
        <f t="shared" si="43"/>
        <v>2004</v>
      </c>
      <c r="CS53" s="575" t="str">
        <f t="shared" si="44"/>
        <v/>
      </c>
      <c r="CT53" s="575">
        <f t="shared" si="45"/>
        <v>2004</v>
      </c>
      <c r="CU53" s="575" t="str">
        <f t="shared" si="46"/>
        <v/>
      </c>
      <c r="CV53" s="575">
        <f t="shared" si="47"/>
        <v>2004</v>
      </c>
      <c r="CW53" s="576">
        <f t="shared" si="19"/>
        <v>2004</v>
      </c>
      <c r="CX53" s="787">
        <f>INDEX('NY Curve'!$A$4:$G$256,MATCH('Monthly Table'!B53,'NY Curve'!$A$4:$A$256,0),MATCH("New York 5 X 16",'NY Curve'!$A$4:$G$4,0))</f>
        <v>71</v>
      </c>
      <c r="CY53" s="632">
        <f t="shared" si="20"/>
        <v>1.39971546738061</v>
      </c>
      <c r="CZ53" s="633">
        <f t="shared" si="21"/>
        <v>99.379798184023315</v>
      </c>
      <c r="DB53" s="857"/>
      <c r="DC53" s="857"/>
    </row>
    <row r="54" spans="1:107" ht="18.75" customHeight="1">
      <c r="A54" s="17" t="s">
        <v>444</v>
      </c>
      <c r="B54" s="508">
        <v>38200</v>
      </c>
      <c r="C54" s="43">
        <f t="shared" si="0"/>
        <v>2004</v>
      </c>
      <c r="D54" s="719">
        <f t="shared" si="48"/>
        <v>4</v>
      </c>
      <c r="E54" s="972">
        <v>22</v>
      </c>
      <c r="F54" s="971">
        <v>4</v>
      </c>
      <c r="G54" s="971">
        <v>5</v>
      </c>
      <c r="H54" s="971">
        <v>0</v>
      </c>
      <c r="I54" s="976">
        <f t="shared" si="22"/>
        <v>31</v>
      </c>
      <c r="J54" s="621"/>
      <c r="K54" s="572">
        <f>INDEX(FX!$A$3:$C$362,MATCH(B54,FX!$A$3:$A$362,0),MATCH("Monthly Curve",FX!$A$2:$C$2,0))</f>
        <v>1.39813318341772</v>
      </c>
      <c r="L54" s="572"/>
      <c r="M54" s="1057">
        <v>2.6995</v>
      </c>
      <c r="N54" s="1067">
        <v>0.13500000000000001</v>
      </c>
      <c r="O54" s="315">
        <v>0.05</v>
      </c>
      <c r="P54" s="797">
        <f t="shared" si="1"/>
        <v>0.185</v>
      </c>
      <c r="Q54" s="732">
        <f t="shared" si="2"/>
        <v>2.8845000000000001</v>
      </c>
      <c r="R54" s="723">
        <f>IF(A54="January",(R53+R53*Assumptions!$E$32),R53)</f>
        <v>0.31870807015384617</v>
      </c>
      <c r="S54" s="730">
        <f t="shared" si="3"/>
        <v>4.3516232377222597</v>
      </c>
      <c r="T54" s="572"/>
      <c r="V54" s="581"/>
      <c r="W54" s="581"/>
      <c r="X54" s="461"/>
      <c r="Y54" s="588">
        <f>Tables!$D$36</f>
        <v>312</v>
      </c>
      <c r="Z54" s="570">
        <f t="shared" si="4"/>
        <v>0</v>
      </c>
      <c r="AA54" s="592">
        <f t="shared" si="5"/>
        <v>0</v>
      </c>
      <c r="AB54" s="589">
        <f t="shared" si="6"/>
        <v>0</v>
      </c>
      <c r="AC54" s="462"/>
      <c r="AD54" s="1027">
        <f>IF(Tables!$E$30="Michigan",INDEX('Michigan Curve'!$A$4:$S$256,MATCH('Monthly Table'!B54,'Michigan Curve'!$A$4:$A$256,0),MATCH("Michigan Selected Option Value US$/month",'Michigan Curve'!$A$4:$S$4,0)),INDEX('NY Curve'!$A$4:$T$256,MATCH('Monthly Table'!B54,'NY Curve'!$A$4:$A$256,0),MATCH("New York Selected Option Value US$/month",'NY Curve'!$A$4:$T$4,0)))</f>
        <v>661013.56807647087</v>
      </c>
      <c r="AE54" s="601">
        <f t="shared" si="23"/>
        <v>924185.00421706191</v>
      </c>
      <c r="AF54" s="462"/>
      <c r="AG54" s="915"/>
      <c r="AH54" s="462"/>
      <c r="AI54" s="799">
        <f>Assumptions!$B$50</f>
        <v>65</v>
      </c>
      <c r="AJ54" s="743"/>
      <c r="AK54" s="924">
        <f>IF(Tables!$E$30="Custom",'Monthly Table'!AI54,IF(Tables!$E$30="New York",INDEX('NY Curve'!$A$4:$G$256,MATCH('Monthly Table'!B54,'NY Curve'!$A$4:$A$256,0),MATCH("Super Peak Curve",'NY Curve'!$A$4:$G$4,0)),IF(Tables!$E$30="New York Flat",INDEX('NY Curve'!$A$4:$G$256,MATCH('Monthly Table'!B54,'NY Curve'!$A$4:$A$256,0),MATCH("Flat NY West",'NY Curve'!$A$4:$G$4,0)),INDEX('Michigan Curve'!$A$4:$F$256,MATCH('Monthly Table'!B54,'Michigan Curve'!$A$4:$A$256,0),MATCH("Michigan Super Peak Curve US$/MWhr",'Michigan Curve'!$A$4:$F$4,0)))))</f>
        <v>123.14372230823246</v>
      </c>
      <c r="AL54" s="965">
        <f>IF(D54&lt;=Tables!$B$21,IF($AL$10=$AI$10,AI54,IF($AL$10=$AJ$10,AJ54,IF($AL$10=$AK$10,AK54,0))),0)</f>
        <v>123.14372230823246</v>
      </c>
      <c r="AM54" s="708">
        <f t="shared" si="24"/>
        <v>172.17132448871675</v>
      </c>
      <c r="AN54" s="916">
        <f t="shared" si="25"/>
        <v>1</v>
      </c>
      <c r="AO54" s="905"/>
      <c r="AP54" s="925"/>
      <c r="AQ54" s="926">
        <f>IF(Tables!$E$30="New York",INDEX('NY Curve'!$A$4:$L$256,MATCH('Monthly Table'!B54,'NY Curve'!$A$4:$A$256,0),MATCH("New York Shoulder Hour Curve Mon-Fri",'NY Curve'!$A$4:$L$4,0)),IF(Tables!$E$30="Michigan",INDEX('Michigan Curve'!$A$4:$K$256,MATCH('Monthly Table'!B54,'Michigan Curve'!$A$4:$A$256,0),MATCH("Michigan Shoulder Hour Curve Mon-Fri",'Michigan Curve'!$A$4:$K$4,0))))</f>
        <v>26.856277691767545</v>
      </c>
      <c r="AR54" s="708">
        <f t="shared" si="26"/>
        <v>37.548653023941256</v>
      </c>
      <c r="AS54" s="927">
        <f t="shared" si="7"/>
        <v>0</v>
      </c>
      <c r="AT54" s="462"/>
      <c r="AU54" s="926">
        <f>IF(Tables!$E$30="New York",INDEX('NY Curve'!$A$4:$L$256,MATCH('Monthly Table'!$B54,'NY Curve'!$A$4:$A$256,0),MATCH("New York Saturday Super Peak",'NY Curve'!$A$4:$L$4,0)),IF(Tables!$E$30="Michigan",INDEX('Michigan Curve'!$A$4:$K$256,MATCH('Monthly Table'!$B54,'Michigan Curve'!$A$4:$A$256,0),MATCH("Michigan Saturday Super Peak",'Michigan Curve'!$A$4:$K$4,0))))</f>
        <v>57.467076673922087</v>
      </c>
      <c r="AV54" s="925">
        <f t="shared" si="8"/>
        <v>80.346626851820886</v>
      </c>
      <c r="AW54" s="927">
        <f t="shared" si="9"/>
        <v>1</v>
      </c>
      <c r="AX54" s="926">
        <f>IF(Tables!$E$30="New York",INDEX('NY Curve'!$A$4:$L$256,MATCH('Monthly Table'!$B54,'NY Curve'!$A$4:$A$256,0),MATCH("New York Saturday Shoulder Peak",'NY Curve'!$A$4:$L$4,0)),IF(Tables!$E$30="Michigan",INDEX('Michigan Curve'!$A$4:$K$256,MATCH('Monthly Table'!$B54,'Michigan Curve'!$A$4:$A$256,0),MATCH("Michigan Saturday Shoulder Peak",'Michigan Curve'!$A$4:$K$4,0))))</f>
        <v>12.532930955472441</v>
      </c>
      <c r="AY54" s="934">
        <f t="shared" si="27"/>
        <v>17.52270665432917</v>
      </c>
      <c r="AZ54" s="927">
        <f t="shared" si="10"/>
        <v>0</v>
      </c>
      <c r="BA54" s="462"/>
      <c r="BB54" s="926">
        <f>IF(Tables!$E$30="New York",INDEX('NY Curve'!$A$4:$M$256,MATCH('Monthly Table'!$B54,'NY Curve'!$A$4:$A$256,0),MATCH("NY Sunday Super Peak",'NY Curve'!$A$4:$M$4,0)),IF(Tables!$E$30="Michigan",INDEX('Michigan Curve'!$A$4:$L$256,MATCH('Monthly Table'!$B54,'Michigan Curve'!$A$4:$A$256,0),MATCH("Michigan Sunday Super Peak",'Michigan Curve'!$A$4:$L$4,0))))</f>
        <v>50.899405220736085</v>
      </c>
      <c r="BC54" s="925">
        <f t="shared" si="28"/>
        <v>71.164147455336263</v>
      </c>
      <c r="BD54" s="927">
        <f t="shared" si="11"/>
        <v>1</v>
      </c>
      <c r="BE54" s="462"/>
      <c r="BF54" s="598">
        <f t="shared" si="12"/>
        <v>38200</v>
      </c>
      <c r="BG54" s="583">
        <f t="shared" si="29"/>
        <v>176</v>
      </c>
      <c r="BH54" s="764">
        <f>IF(Tables!$B$36="Combined Cycle",(BF54-BF53)*24*Assumptions!$B$21,0)</f>
        <v>0</v>
      </c>
      <c r="BI54" s="315">
        <f t="shared" si="30"/>
        <v>176</v>
      </c>
      <c r="BJ54" s="987">
        <f>IF('Monthly Table'!D54&lt;=Tables!$B$21,IF($BJ$10=$BG$10,BG54,IF($BJ$10=$BH$10,BH54,IF($BJ$10=$BI$10,BI54,0))),0)</f>
        <v>176</v>
      </c>
      <c r="BK54" s="43"/>
      <c r="BL54" s="987">
        <f t="shared" si="31"/>
        <v>32</v>
      </c>
      <c r="BM54" s="987">
        <f t="shared" si="32"/>
        <v>40</v>
      </c>
      <c r="BO54" s="987">
        <f t="shared" si="14"/>
        <v>0</v>
      </c>
      <c r="BP54" s="987">
        <f t="shared" si="33"/>
        <v>0</v>
      </c>
      <c r="BR54" s="993">
        <f>IF(BJ54&gt;0,INDEX(OperationalDetail,MATCH("Capacity Degradation",ODColumn,0),MATCH('Monthly Table'!C54,ODRow,0)),0)</f>
        <v>1.6980000000000002E-2</v>
      </c>
      <c r="BS54" s="994">
        <f>BJ54*(1-BR54)*Tables!$C$36</f>
        <v>56055.732479999999</v>
      </c>
      <c r="BT54" s="601">
        <f t="shared" si="15"/>
        <v>6902.9115543016869</v>
      </c>
      <c r="BU54" s="601">
        <f t="shared" si="16"/>
        <v>9651.1897062667795</v>
      </c>
      <c r="BV54" s="462"/>
      <c r="BW54" s="785">
        <f>$BO54*(1-$BR54)*Tables!$C$36</f>
        <v>0</v>
      </c>
      <c r="BX54" s="602">
        <f t="shared" si="34"/>
        <v>0</v>
      </c>
      <c r="BY54" s="601">
        <f t="shared" si="35"/>
        <v>0</v>
      </c>
      <c r="BZ54" s="462"/>
      <c r="CA54" s="785">
        <f>$BL54*(1-$BR54)*Tables!$C$36</f>
        <v>10191.951360000001</v>
      </c>
      <c r="CB54" s="602">
        <f t="shared" si="36"/>
        <v>585.70165026200459</v>
      </c>
      <c r="CC54" s="601">
        <f t="shared" si="37"/>
        <v>818.88891281382848</v>
      </c>
      <c r="CD54" s="785">
        <f>$BP54*(1-$BR54)*Tables!$C$36</f>
        <v>0</v>
      </c>
      <c r="CE54" s="602">
        <f t="shared" si="38"/>
        <v>0</v>
      </c>
      <c r="CF54" s="601">
        <f t="shared" si="39"/>
        <v>0</v>
      </c>
      <c r="CH54" s="785">
        <f>$BM54*(1-$BR54)*Tables!$C$36</f>
        <v>12739.939199999999</v>
      </c>
      <c r="CI54" s="602">
        <f t="shared" si="40"/>
        <v>648.45532782834027</v>
      </c>
      <c r="CJ54" s="601">
        <f t="shared" si="41"/>
        <v>906.62691180081856</v>
      </c>
      <c r="CK54" s="304"/>
      <c r="CL54" s="304">
        <f t="shared" si="42"/>
        <v>2003</v>
      </c>
      <c r="CM54" s="1018">
        <f>INDEX(OperationalDetail,MATCH("Degraded Heat Rate",ODColumn,0),MATCH('Monthly Table'!CL54,ODRow,0))/1000</f>
        <v>12.132104399999998</v>
      </c>
      <c r="CN54" s="737">
        <f t="shared" si="17"/>
        <v>52.794347429512463</v>
      </c>
      <c r="CO54" s="1019">
        <f>IF(A54="January",(CO53*(1+Assumptions!$E$32)),CO53)</f>
        <v>7.1478991350000021</v>
      </c>
      <c r="CP54" s="741">
        <f t="shared" si="18"/>
        <v>59.942246564512466</v>
      </c>
      <c r="CQ54" s="304"/>
      <c r="CR54" s="575">
        <f t="shared" si="43"/>
        <v>2004</v>
      </c>
      <c r="CS54" s="575" t="str">
        <f t="shared" si="44"/>
        <v/>
      </c>
      <c r="CT54" s="575">
        <f t="shared" si="45"/>
        <v>2004</v>
      </c>
      <c r="CU54" s="575" t="str">
        <f t="shared" si="46"/>
        <v/>
      </c>
      <c r="CV54" s="575">
        <f t="shared" si="47"/>
        <v>2004</v>
      </c>
      <c r="CW54" s="576">
        <f t="shared" si="19"/>
        <v>2004</v>
      </c>
      <c r="CX54" s="787">
        <f>INDEX('NY Curve'!$A$4:$G$256,MATCH('Monthly Table'!B54,'NY Curve'!$A$4:$A$256,0),MATCH("New York 5 X 16",'NY Curve'!$A$4:$G$4,0))</f>
        <v>63.5</v>
      </c>
      <c r="CY54" s="632">
        <f t="shared" si="20"/>
        <v>1.39813318341772</v>
      </c>
      <c r="CZ54" s="633">
        <f t="shared" si="21"/>
        <v>88.781457147025222</v>
      </c>
      <c r="DB54" s="857"/>
      <c r="DC54" s="857"/>
    </row>
    <row r="55" spans="1:107" ht="18.75" customHeight="1">
      <c r="A55" s="17" t="s">
        <v>445</v>
      </c>
      <c r="B55" s="508">
        <v>38231</v>
      </c>
      <c r="C55" s="43">
        <f t="shared" si="0"/>
        <v>2004</v>
      </c>
      <c r="D55" s="719">
        <f t="shared" si="48"/>
        <v>4</v>
      </c>
      <c r="E55" s="972">
        <v>21</v>
      </c>
      <c r="F55" s="971">
        <v>4</v>
      </c>
      <c r="G55" s="971">
        <v>4</v>
      </c>
      <c r="H55" s="971">
        <v>1</v>
      </c>
      <c r="I55" s="976">
        <f t="shared" si="22"/>
        <v>30</v>
      </c>
      <c r="J55" s="621"/>
      <c r="K55" s="572">
        <f>INDEX(FX!$A$3:$C$362,MATCH(B55,FX!$A$3:$A$362,0),MATCH("Monthly Curve",FX!$A$2:$C$2,0))</f>
        <v>1.3965314091205401</v>
      </c>
      <c r="L55" s="572"/>
      <c r="M55" s="1057">
        <v>2.7064999999999997</v>
      </c>
      <c r="N55" s="1067">
        <v>0.13500000000000001</v>
      </c>
      <c r="O55" s="315">
        <v>0.05</v>
      </c>
      <c r="P55" s="797">
        <f t="shared" si="1"/>
        <v>0.185</v>
      </c>
      <c r="Q55" s="732">
        <f t="shared" si="2"/>
        <v>2.8914999999999997</v>
      </c>
      <c r="R55" s="723">
        <f>IF(A55="January",(R54+R54*Assumptions!$E$32),R54)</f>
        <v>0.31870807015384617</v>
      </c>
      <c r="S55" s="730">
        <f t="shared" si="3"/>
        <v>4.3567786396258876</v>
      </c>
      <c r="T55" s="572"/>
      <c r="V55" s="581"/>
      <c r="W55" s="581"/>
      <c r="X55" s="461"/>
      <c r="Y55" s="588">
        <f>Tables!$D$36</f>
        <v>312</v>
      </c>
      <c r="Z55" s="570">
        <f t="shared" si="4"/>
        <v>0</v>
      </c>
      <c r="AA55" s="592">
        <f t="shared" si="5"/>
        <v>0</v>
      </c>
      <c r="AB55" s="589">
        <f t="shared" si="6"/>
        <v>0</v>
      </c>
      <c r="AC55" s="462"/>
      <c r="AD55" s="1027">
        <f>IF(Tables!$E$30="Michigan",INDEX('Michigan Curve'!$A$4:$S$256,MATCH('Monthly Table'!B55,'Michigan Curve'!$A$4:$A$256,0),MATCH("Michigan Selected Option Value US$/month",'Michigan Curve'!$A$4:$S$4,0)),INDEX('NY Curve'!$A$4:$T$256,MATCH('Monthly Table'!B55,'NY Curve'!$A$4:$A$256,0),MATCH("New York Selected Option Value US$/month",'NY Curve'!$A$4:$T$4,0)))</f>
        <v>345486.80327758461</v>
      </c>
      <c r="AE55" s="601">
        <f t="shared" si="23"/>
        <v>482483.17221379606</v>
      </c>
      <c r="AF55" s="462"/>
      <c r="AG55" s="915"/>
      <c r="AH55" s="462"/>
      <c r="AI55" s="799">
        <f>Assumptions!$B$50</f>
        <v>65</v>
      </c>
      <c r="AJ55" s="743"/>
      <c r="AK55" s="924">
        <f>IF(Tables!$E$30="Custom",'Monthly Table'!AI55,IF(Tables!$E$30="New York",INDEX('NY Curve'!$A$4:$G$256,MATCH('Monthly Table'!B55,'NY Curve'!$A$4:$A$256,0),MATCH("Super Peak Curve",'NY Curve'!$A$4:$G$4,0)),IF(Tables!$E$30="New York Flat",INDEX('NY Curve'!$A$4:$G$256,MATCH('Monthly Table'!B55,'NY Curve'!$A$4:$A$256,0),MATCH("Flat NY West",'NY Curve'!$A$4:$G$4,0)),INDEX('Michigan Curve'!$A$4:$F$256,MATCH('Monthly Table'!B55,'Michigan Curve'!$A$4:$A$256,0),MATCH("Michigan Super Peak Curve US$/MWhr",'Michigan Curve'!$A$4:$F$4,0)))))</f>
        <v>42.902187272906303</v>
      </c>
      <c r="AL55" s="965">
        <f>IF(D55&lt;=Tables!$B$21,IF($AL$10=$AI$10,AI55,IF($AL$10=$AJ$10,AJ55,IF($AL$10=$AK$10,AK55,0))),0)</f>
        <v>42.902187272906303</v>
      </c>
      <c r="AM55" s="708">
        <f t="shared" si="24"/>
        <v>59.91425204658514</v>
      </c>
      <c r="AN55" s="916">
        <f t="shared" si="25"/>
        <v>0</v>
      </c>
      <c r="AO55" s="905"/>
      <c r="AP55" s="925"/>
      <c r="AQ55" s="926">
        <f>IF(Tables!$E$30="New York",INDEX('NY Curve'!$A$4:$L$256,MATCH('Monthly Table'!B55,'NY Curve'!$A$4:$A$256,0),MATCH("New York Shoulder Hour Curve Mon-Fri",'NY Curve'!$A$4:$L$4,0)),IF(Tables!$E$30="Michigan",INDEX('Michigan Curve'!$A$4:$K$256,MATCH('Monthly Table'!B55,'Michigan Curve'!$A$4:$A$256,0),MATCH("Michigan Shoulder Hour Curve Mon-Fri",'Michigan Curve'!$A$4:$K$4,0))))</f>
        <v>20.597812727093697</v>
      </c>
      <c r="AR55" s="708">
        <f t="shared" si="26"/>
        <v>28.765492432569154</v>
      </c>
      <c r="AS55" s="927">
        <f t="shared" si="7"/>
        <v>0</v>
      </c>
      <c r="AT55" s="462"/>
      <c r="AU55" s="926">
        <f>IF(Tables!$E$30="New York",INDEX('NY Curve'!$A$4:$L$256,MATCH('Monthly Table'!$B55,'NY Curve'!$A$4:$A$256,0),MATCH("New York Saturday Super Peak",'NY Curve'!$A$4:$L$4,0)),IF(Tables!$E$30="Michigan",INDEX('Michigan Curve'!$A$4:$K$256,MATCH('Monthly Table'!$B55,'Michigan Curve'!$A$4:$A$256,0),MATCH("Michigan Saturday Super Peak",'Michigan Curve'!$A$4:$K$4,0))))</f>
        <v>33.781249821186066</v>
      </c>
      <c r="AV55" s="925">
        <f t="shared" si="8"/>
        <v>47.176576414633971</v>
      </c>
      <c r="AW55" s="927">
        <f t="shared" si="9"/>
        <v>0</v>
      </c>
      <c r="AX55" s="926">
        <f>IF(Tables!$E$30="New York",INDEX('NY Curve'!$A$4:$L$256,MATCH('Monthly Table'!$B55,'NY Curve'!$A$4:$A$256,0),MATCH("New York Saturday Shoulder Peak",'NY Curve'!$A$4:$L$4,0)),IF(Tables!$E$30="Michigan",INDEX('Michigan Curve'!$A$4:$K$256,MATCH('Monthly Table'!$B55,'Michigan Curve'!$A$4:$A$256,0),MATCH("Michigan Saturday Shoulder Peak",'Michigan Curve'!$A$4:$K$4,0))))</f>
        <v>16.218750178813934</v>
      </c>
      <c r="AY55" s="934">
        <f t="shared" si="27"/>
        <v>22.649994041393036</v>
      </c>
      <c r="AZ55" s="927">
        <f t="shared" si="10"/>
        <v>0</v>
      </c>
      <c r="BA55" s="462"/>
      <c r="BB55" s="926">
        <f>IF(Tables!$E$30="New York",INDEX('NY Curve'!$A$4:$M$256,MATCH('Monthly Table'!$B55,'NY Curve'!$A$4:$A$256,0),MATCH("NY Sunday Super Peak",'NY Curve'!$A$4:$M$4,0)),IF(Tables!$E$30="Michigan",INDEX('Michigan Curve'!$A$4:$L$256,MATCH('Monthly Table'!$B55,'Michigan Curve'!$A$4:$A$256,0),MATCH("Michigan Sunday Super Peak",'Michigan Curve'!$A$4:$L$4,0))))</f>
        <v>32.429999828338623</v>
      </c>
      <c r="BC55" s="925">
        <f t="shared" si="28"/>
        <v>45.289513358048609</v>
      </c>
      <c r="BD55" s="927">
        <f t="shared" si="11"/>
        <v>0</v>
      </c>
      <c r="BE55" s="462"/>
      <c r="BF55" s="598">
        <f t="shared" si="12"/>
        <v>38231</v>
      </c>
      <c r="BG55" s="583">
        <f t="shared" si="29"/>
        <v>0</v>
      </c>
      <c r="BH55" s="764">
        <f>IF(Tables!$B$36="Combined Cycle",(BF55-BF54)*24*Assumptions!$B$21,0)</f>
        <v>0</v>
      </c>
      <c r="BI55" s="315">
        <f t="shared" si="30"/>
        <v>0</v>
      </c>
      <c r="BJ55" s="987">
        <f>IF('Monthly Table'!D55&lt;=Tables!$B$21,IF($BJ$10=$BG$10,BG55,IF($BJ$10=$BH$10,BH55,IF($BJ$10=$BI$10,BI55,0))),0)</f>
        <v>0</v>
      </c>
      <c r="BK55" s="43"/>
      <c r="BL55" s="987">
        <f t="shared" si="31"/>
        <v>0</v>
      </c>
      <c r="BM55" s="987">
        <f t="shared" si="32"/>
        <v>0</v>
      </c>
      <c r="BO55" s="987">
        <f t="shared" si="14"/>
        <v>0</v>
      </c>
      <c r="BP55" s="987">
        <f t="shared" si="33"/>
        <v>0</v>
      </c>
      <c r="BR55" s="993">
        <f>IF(BJ55&gt;0,INDEX(OperationalDetail,MATCH("Capacity Degradation",ODColumn,0),MATCH('Monthly Table'!C55,ODRow,0)),0)</f>
        <v>0</v>
      </c>
      <c r="BS55" s="994">
        <f>BJ55*(1-BR55)*Tables!$C$36</f>
        <v>0</v>
      </c>
      <c r="BT55" s="601">
        <f t="shared" si="15"/>
        <v>0</v>
      </c>
      <c r="BU55" s="601">
        <f t="shared" si="16"/>
        <v>0</v>
      </c>
      <c r="BV55" s="462"/>
      <c r="BW55" s="785">
        <f>$BO55*(1-$BR55)*Tables!$C$36</f>
        <v>0</v>
      </c>
      <c r="BX55" s="602">
        <f t="shared" si="34"/>
        <v>0</v>
      </c>
      <c r="BY55" s="601">
        <f t="shared" si="35"/>
        <v>0</v>
      </c>
      <c r="BZ55" s="462"/>
      <c r="CA55" s="785">
        <f>$BL55*(1-$BR55)*Tables!$C$36</f>
        <v>0</v>
      </c>
      <c r="CB55" s="602">
        <f t="shared" si="36"/>
        <v>0</v>
      </c>
      <c r="CC55" s="601">
        <f t="shared" si="37"/>
        <v>0</v>
      </c>
      <c r="CD55" s="785">
        <f>$BP55*(1-$BR55)*Tables!$C$36</f>
        <v>0</v>
      </c>
      <c r="CE55" s="602">
        <f t="shared" si="38"/>
        <v>0</v>
      </c>
      <c r="CF55" s="601">
        <f t="shared" si="39"/>
        <v>0</v>
      </c>
      <c r="CH55" s="785">
        <f>$BM55*(1-$BR55)*Tables!$C$36</f>
        <v>0</v>
      </c>
      <c r="CI55" s="602">
        <f t="shared" si="40"/>
        <v>0</v>
      </c>
      <c r="CJ55" s="601">
        <f t="shared" si="41"/>
        <v>0</v>
      </c>
      <c r="CK55" s="304"/>
      <c r="CL55" s="304">
        <f t="shared" si="42"/>
        <v>2003</v>
      </c>
      <c r="CM55" s="1018">
        <f>INDEX(OperationalDetail,MATCH("Degraded Heat Rate",ODColumn,0),MATCH('Monthly Table'!CL55,ODRow,0))/1000</f>
        <v>12.132104399999998</v>
      </c>
      <c r="CN55" s="737">
        <f t="shared" si="17"/>
        <v>52.856893303631232</v>
      </c>
      <c r="CO55" s="1019">
        <f>IF(A55="January",(CO54*(1+Assumptions!$E$32)),CO54)</f>
        <v>7.1478991350000021</v>
      </c>
      <c r="CP55" s="741">
        <f t="shared" si="18"/>
        <v>60.004792438631235</v>
      </c>
      <c r="CQ55" s="304"/>
      <c r="CR55" s="575" t="str">
        <f t="shared" si="43"/>
        <v/>
      </c>
      <c r="CS55" s="575" t="str">
        <f t="shared" si="44"/>
        <v/>
      </c>
      <c r="CT55" s="575" t="str">
        <f t="shared" si="45"/>
        <v/>
      </c>
      <c r="CU55" s="575" t="str">
        <f t="shared" si="46"/>
        <v/>
      </c>
      <c r="CV55" s="575" t="str">
        <f t="shared" si="47"/>
        <v/>
      </c>
      <c r="CW55" s="576">
        <f t="shared" si="19"/>
        <v>2004</v>
      </c>
      <c r="CX55" s="787">
        <f>INDEX('NY Curve'!$A$4:$G$256,MATCH('Monthly Table'!B55,'NY Curve'!$A$4:$A$256,0),MATCH("New York 5 X 16",'NY Curve'!$A$4:$G$4,0))</f>
        <v>29.65</v>
      </c>
      <c r="CY55" s="632">
        <f t="shared" si="20"/>
        <v>1.3965314091205401</v>
      </c>
      <c r="CZ55" s="633">
        <f t="shared" si="21"/>
        <v>41.407156280424012</v>
      </c>
      <c r="DB55" s="857"/>
      <c r="DC55" s="857"/>
    </row>
    <row r="56" spans="1:107" ht="18.75" customHeight="1">
      <c r="A56" s="17" t="s">
        <v>446</v>
      </c>
      <c r="B56" s="508">
        <v>38261</v>
      </c>
      <c r="C56" s="43">
        <f t="shared" si="0"/>
        <v>2004</v>
      </c>
      <c r="D56" s="719">
        <f t="shared" si="48"/>
        <v>4</v>
      </c>
      <c r="E56" s="972">
        <v>21</v>
      </c>
      <c r="F56" s="971">
        <v>5</v>
      </c>
      <c r="G56" s="971">
        <v>5</v>
      </c>
      <c r="H56" s="971">
        <v>0</v>
      </c>
      <c r="I56" s="976">
        <f t="shared" si="22"/>
        <v>31</v>
      </c>
      <c r="J56" s="621"/>
      <c r="K56" s="572">
        <f>INDEX(FX!$A$3:$C$362,MATCH(B56,FX!$A$3:$A$362,0),MATCH("Monthly Curve",FX!$A$2:$C$2,0))</f>
        <v>1.39496281625372</v>
      </c>
      <c r="L56" s="572"/>
      <c r="M56" s="1057">
        <v>2.7335000000000003</v>
      </c>
      <c r="N56" s="1067">
        <v>0.13500000000000001</v>
      </c>
      <c r="O56" s="315">
        <v>0.05</v>
      </c>
      <c r="P56" s="797">
        <f t="shared" si="1"/>
        <v>0.185</v>
      </c>
      <c r="Q56" s="732">
        <f t="shared" si="2"/>
        <v>2.9184999999999999</v>
      </c>
      <c r="R56" s="723">
        <f>IF(A56="January",(R55+R55*Assumptions!$E$32),R55)</f>
        <v>0.31870807015384617</v>
      </c>
      <c r="S56" s="730">
        <f t="shared" si="3"/>
        <v>4.3899070493903283</v>
      </c>
      <c r="T56" s="572"/>
      <c r="V56" s="584"/>
      <c r="W56" s="584"/>
      <c r="X56" s="461"/>
      <c r="Y56" s="588">
        <f>Tables!$D$36</f>
        <v>312</v>
      </c>
      <c r="Z56" s="570">
        <f t="shared" si="4"/>
        <v>0</v>
      </c>
      <c r="AA56" s="592">
        <f t="shared" si="5"/>
        <v>0</v>
      </c>
      <c r="AB56" s="589">
        <f t="shared" si="6"/>
        <v>0</v>
      </c>
      <c r="AC56" s="462"/>
      <c r="AD56" s="1027">
        <f>IF(Tables!$E$30="Michigan",INDEX('Michigan Curve'!$A$4:$S$256,MATCH('Monthly Table'!B56,'Michigan Curve'!$A$4:$A$256,0),MATCH("Michigan Selected Option Value US$/month",'Michigan Curve'!$A$4:$S$4,0)),INDEX('NY Curve'!$A$4:$T$256,MATCH('Monthly Table'!B56,'NY Curve'!$A$4:$A$256,0),MATCH("New York Selected Option Value US$/month",'NY Curve'!$A$4:$T$4,0)))</f>
        <v>9075.8593286015694</v>
      </c>
      <c r="AE56" s="601">
        <f t="shared" si="23"/>
        <v>12660.486288948641</v>
      </c>
      <c r="AF56" s="462"/>
      <c r="AG56" s="915"/>
      <c r="AH56" s="462"/>
      <c r="AI56" s="799">
        <f>Assumptions!$B$50</f>
        <v>65</v>
      </c>
      <c r="AJ56" s="743"/>
      <c r="AK56" s="924">
        <f>IF(Tables!$E$30="Custom",'Monthly Table'!AI56,IF(Tables!$E$30="New York",INDEX('NY Curve'!$A$4:$G$256,MATCH('Monthly Table'!B56,'NY Curve'!$A$4:$A$256,0),MATCH("Super Peak Curve",'NY Curve'!$A$4:$G$4,0)),IF(Tables!$E$30="New York Flat",INDEX('NY Curve'!$A$4:$G$256,MATCH('Monthly Table'!B56,'NY Curve'!$A$4:$A$256,0),MATCH("Flat NY West",'NY Curve'!$A$4:$G$4,0)),INDEX('Michigan Curve'!$A$4:$F$256,MATCH('Monthly Table'!B56,'Michigan Curve'!$A$4:$A$256,0),MATCH("Michigan Super Peak Curve US$/MWhr",'Michigan Curve'!$A$4:$F$4,0)))))</f>
        <v>24.849994659423828</v>
      </c>
      <c r="AL56" s="965">
        <f>IF(D56&lt;=Tables!$B$21,IF($AL$10=$AI$10,AI56,IF($AL$10=$AJ$10,AJ56,IF($AL$10=$AK$10,AK56,0))),0)</f>
        <v>24.849994659423828</v>
      </c>
      <c r="AM56" s="708">
        <f t="shared" si="24"/>
        <v>34.664818533999764</v>
      </c>
      <c r="AN56" s="916">
        <f t="shared" si="25"/>
        <v>0</v>
      </c>
      <c r="AO56" s="905"/>
      <c r="AP56" s="925"/>
      <c r="AQ56" s="926">
        <f>IF(Tables!$E$30="New York",INDEX('NY Curve'!$A$4:$L$256,MATCH('Monthly Table'!B56,'NY Curve'!$A$4:$A$256,0),MATCH("New York Shoulder Hour Curve Mon-Fri",'NY Curve'!$A$4:$L$4,0)),IF(Tables!$E$30="Michigan",INDEX('Michigan Curve'!$A$4:$K$256,MATCH('Monthly Table'!B56,'Michigan Curve'!$A$4:$A$256,0),MATCH("Michigan Shoulder Hour Curve Mon-Fri",'Michigan Curve'!$A$4:$K$4,0))))</f>
        <v>24.849994659423828</v>
      </c>
      <c r="AR56" s="708">
        <f t="shared" si="26"/>
        <v>34.664818533999764</v>
      </c>
      <c r="AS56" s="927">
        <f t="shared" si="7"/>
        <v>0</v>
      </c>
      <c r="AT56" s="462"/>
      <c r="AU56" s="926">
        <f>IF(Tables!$E$30="New York",INDEX('NY Curve'!$A$4:$L$256,MATCH('Monthly Table'!$B56,'NY Curve'!$A$4:$A$256,0),MATCH("New York Saturday Super Peak",'NY Curve'!$A$4:$L$4,0)),IF(Tables!$E$30="Michigan",INDEX('Michigan Curve'!$A$4:$K$256,MATCH('Monthly Table'!$B56,'Michigan Curve'!$A$4:$A$256,0),MATCH("Michigan Saturday Super Peak",'Michigan Curve'!$A$4:$K$4,0))))</f>
        <v>19.996000289916992</v>
      </c>
      <c r="AV56" s="925">
        <f t="shared" si="8"/>
        <v>27.89367687823281</v>
      </c>
      <c r="AW56" s="927">
        <f t="shared" si="9"/>
        <v>0</v>
      </c>
      <c r="AX56" s="926">
        <f>IF(Tables!$E$30="New York",INDEX('NY Curve'!$A$4:$L$256,MATCH('Monthly Table'!$B56,'NY Curve'!$A$4:$A$256,0),MATCH("New York Saturday Shoulder Peak",'NY Curve'!$A$4:$L$4,0)),IF(Tables!$E$30="Michigan",INDEX('Michigan Curve'!$A$4:$K$256,MATCH('Monthly Table'!$B56,'Michigan Curve'!$A$4:$A$256,0),MATCH("Michigan Saturday Shoulder Peak",'Michigan Curve'!$A$4:$K$4,0))))</f>
        <v>19.996000289916992</v>
      </c>
      <c r="AY56" s="934">
        <f t="shared" si="27"/>
        <v>27.89367687823281</v>
      </c>
      <c r="AZ56" s="927">
        <f t="shared" si="10"/>
        <v>0</v>
      </c>
      <c r="BA56" s="462"/>
      <c r="BB56" s="926">
        <f>IF(Tables!$E$30="New York",INDEX('NY Curve'!$A$4:$M$256,MATCH('Monthly Table'!$B56,'NY Curve'!$A$4:$A$256,0),MATCH("NY Sunday Super Peak",'NY Curve'!$A$4:$M$4,0)),IF(Tables!$E$30="Michigan",INDEX('Michigan Curve'!$A$4:$L$256,MATCH('Monthly Table'!$B56,'Michigan Curve'!$A$4:$A$256,0),MATCH("Michigan Sunday Super Peak",'Michigan Curve'!$A$4:$L$4,0))))</f>
        <v>18.996500015258789</v>
      </c>
      <c r="BC56" s="925">
        <f t="shared" si="28"/>
        <v>26.499411160249235</v>
      </c>
      <c r="BD56" s="927">
        <f t="shared" si="11"/>
        <v>0</v>
      </c>
      <c r="BE56" s="462"/>
      <c r="BF56" s="598">
        <f t="shared" si="12"/>
        <v>38261</v>
      </c>
      <c r="BG56" s="583">
        <f t="shared" si="29"/>
        <v>0</v>
      </c>
      <c r="BH56" s="764">
        <f>IF(Tables!$B$36="Combined Cycle",(BF56-BF55)*24*Assumptions!$B$21,0)</f>
        <v>0</v>
      </c>
      <c r="BI56" s="315">
        <f t="shared" si="30"/>
        <v>0</v>
      </c>
      <c r="BJ56" s="987">
        <f>IF('Monthly Table'!D56&lt;=Tables!$B$21,IF($BJ$10=$BG$10,BG56,IF($BJ$10=$BH$10,BH56,IF($BJ$10=$BI$10,BI56,0))),0)</f>
        <v>0</v>
      </c>
      <c r="BK56" s="43"/>
      <c r="BL56" s="987">
        <f t="shared" si="31"/>
        <v>0</v>
      </c>
      <c r="BM56" s="987">
        <f t="shared" si="32"/>
        <v>0</v>
      </c>
      <c r="BO56" s="987">
        <f t="shared" si="14"/>
        <v>0</v>
      </c>
      <c r="BP56" s="987">
        <f t="shared" si="33"/>
        <v>0</v>
      </c>
      <c r="BR56" s="993">
        <f>IF(BJ56&gt;0,INDEX(OperationalDetail,MATCH("Capacity Degradation",ODColumn,0),MATCH('Monthly Table'!C56,ODRow,0)),0)</f>
        <v>0</v>
      </c>
      <c r="BS56" s="994">
        <f>BJ56*(1-BR56)*Tables!$C$36</f>
        <v>0</v>
      </c>
      <c r="BT56" s="601">
        <f t="shared" si="15"/>
        <v>0</v>
      </c>
      <c r="BU56" s="601">
        <f t="shared" si="16"/>
        <v>0</v>
      </c>
      <c r="BV56" s="462"/>
      <c r="BW56" s="785">
        <f>$BO56*(1-$BR56)*Tables!$C$36</f>
        <v>0</v>
      </c>
      <c r="BX56" s="602">
        <f t="shared" si="34"/>
        <v>0</v>
      </c>
      <c r="BY56" s="601">
        <f t="shared" si="35"/>
        <v>0</v>
      </c>
      <c r="BZ56" s="462"/>
      <c r="CA56" s="785">
        <f>$BL56*(1-$BR56)*Tables!$C$36</f>
        <v>0</v>
      </c>
      <c r="CB56" s="602">
        <f t="shared" si="36"/>
        <v>0</v>
      </c>
      <c r="CC56" s="601">
        <f t="shared" si="37"/>
        <v>0</v>
      </c>
      <c r="CD56" s="785">
        <f>$BP56*(1-$BR56)*Tables!$C$36</f>
        <v>0</v>
      </c>
      <c r="CE56" s="602">
        <f t="shared" si="38"/>
        <v>0</v>
      </c>
      <c r="CF56" s="601">
        <f t="shared" si="39"/>
        <v>0</v>
      </c>
      <c r="CH56" s="785">
        <f>$BM56*(1-$BR56)*Tables!$C$36</f>
        <v>0</v>
      </c>
      <c r="CI56" s="602">
        <f t="shared" si="40"/>
        <v>0</v>
      </c>
      <c r="CJ56" s="601">
        <f t="shared" si="41"/>
        <v>0</v>
      </c>
      <c r="CK56" s="304"/>
      <c r="CL56" s="304">
        <f t="shared" si="42"/>
        <v>2003</v>
      </c>
      <c r="CM56" s="1018">
        <f>INDEX(OperationalDetail,MATCH("Degraded Heat Rate",ODColumn,0),MATCH('Monthly Table'!CL56,ODRow,0))/1000</f>
        <v>12.132104399999998</v>
      </c>
      <c r="CN56" s="737">
        <f t="shared" si="17"/>
        <v>53.258810629499408</v>
      </c>
      <c r="CO56" s="1019">
        <f>IF(A56="January",(CO55*(1+Assumptions!$E$32)),CO55)</f>
        <v>7.1478991350000021</v>
      </c>
      <c r="CP56" s="741">
        <f t="shared" si="18"/>
        <v>60.406709764499411</v>
      </c>
      <c r="CQ56" s="304"/>
      <c r="CR56" s="575" t="str">
        <f t="shared" si="43"/>
        <v/>
      </c>
      <c r="CS56" s="575" t="str">
        <f t="shared" si="44"/>
        <v/>
      </c>
      <c r="CT56" s="575" t="str">
        <f t="shared" si="45"/>
        <v/>
      </c>
      <c r="CU56" s="575" t="str">
        <f t="shared" si="46"/>
        <v/>
      </c>
      <c r="CV56" s="575" t="str">
        <f t="shared" si="47"/>
        <v/>
      </c>
      <c r="CW56" s="576">
        <f t="shared" si="19"/>
        <v>2004</v>
      </c>
      <c r="CX56" s="787">
        <f>INDEX('NY Curve'!$A$4:$G$256,MATCH('Monthly Table'!B56,'NY Curve'!$A$4:$A$256,0),MATCH("New York 5 X 16",'NY Curve'!$A$4:$G$4,0))</f>
        <v>25.4</v>
      </c>
      <c r="CY56" s="632">
        <f t="shared" si="20"/>
        <v>1.39496281625372</v>
      </c>
      <c r="CZ56" s="633">
        <f t="shared" si="21"/>
        <v>35.432055532844487</v>
      </c>
      <c r="DB56" s="857"/>
      <c r="DC56" s="857"/>
    </row>
    <row r="57" spans="1:107" ht="18.75" customHeight="1">
      <c r="A57" s="17" t="s">
        <v>447</v>
      </c>
      <c r="B57" s="508">
        <v>38292</v>
      </c>
      <c r="C57" s="43">
        <f t="shared" si="0"/>
        <v>2004</v>
      </c>
      <c r="D57" s="719">
        <f t="shared" si="48"/>
        <v>4</v>
      </c>
      <c r="E57" s="972">
        <v>21</v>
      </c>
      <c r="F57" s="971">
        <v>4</v>
      </c>
      <c r="G57" s="971">
        <v>4</v>
      </c>
      <c r="H57" s="971">
        <v>1</v>
      </c>
      <c r="I57" s="976">
        <f t="shared" si="22"/>
        <v>30</v>
      </c>
      <c r="J57" s="621"/>
      <c r="K57" s="572">
        <f>INDEX(FX!$A$3:$C$362,MATCH(B57,FX!$A$3:$A$362,0),MATCH("Monthly Curve",FX!$A$2:$C$2,0))</f>
        <v>1.3933229037038699</v>
      </c>
      <c r="L57" s="572"/>
      <c r="M57" s="1057">
        <v>2.8694999999999999</v>
      </c>
      <c r="N57" s="1067">
        <v>0.22</v>
      </c>
      <c r="O57" s="315">
        <v>0.05</v>
      </c>
      <c r="P57" s="797">
        <f t="shared" si="1"/>
        <v>0.27</v>
      </c>
      <c r="Q57" s="732">
        <f t="shared" si="2"/>
        <v>3.1395</v>
      </c>
      <c r="R57" s="723">
        <f>IF(A57="January",(R56+R56*Assumptions!$E$32),R56)</f>
        <v>0.31870807015384617</v>
      </c>
      <c r="S57" s="730">
        <f t="shared" si="3"/>
        <v>4.6930453263321459</v>
      </c>
      <c r="T57" s="572"/>
      <c r="V57" s="584"/>
      <c r="W57" s="584"/>
      <c r="X57" s="461"/>
      <c r="Y57" s="588">
        <f>Tables!$D$36</f>
        <v>312</v>
      </c>
      <c r="Z57" s="570">
        <f t="shared" si="4"/>
        <v>0</v>
      </c>
      <c r="AA57" s="592">
        <f t="shared" si="5"/>
        <v>0</v>
      </c>
      <c r="AB57" s="589">
        <f t="shared" si="6"/>
        <v>0</v>
      </c>
      <c r="AC57" s="462"/>
      <c r="AD57" s="1027">
        <f>IF(Tables!$E$30="Michigan",INDEX('Michigan Curve'!$A$4:$S$256,MATCH('Monthly Table'!B57,'Michigan Curve'!$A$4:$A$256,0),MATCH("Michigan Selected Option Value US$/month",'Michigan Curve'!$A$4:$S$4,0)),INDEX('NY Curve'!$A$4:$T$256,MATCH('Monthly Table'!B57,'NY Curve'!$A$4:$A$256,0),MATCH("New York Selected Option Value US$/month",'NY Curve'!$A$4:$T$4,0)))</f>
        <v>19071.087345192169</v>
      </c>
      <c r="AE57" s="601">
        <f t="shared" si="23"/>
        <v>26572.182796593279</v>
      </c>
      <c r="AF57" s="462"/>
      <c r="AG57" s="915"/>
      <c r="AH57" s="462"/>
      <c r="AI57" s="799">
        <f>Assumptions!$B$50</f>
        <v>65</v>
      </c>
      <c r="AJ57" s="743"/>
      <c r="AK57" s="924">
        <f>IF(Tables!$E$30="Custom",'Monthly Table'!AI57,IF(Tables!$E$30="New York",INDEX('NY Curve'!$A$4:$G$256,MATCH('Monthly Table'!B57,'NY Curve'!$A$4:$A$256,0),MATCH("Super Peak Curve",'NY Curve'!$A$4:$G$4,0)),IF(Tables!$E$30="New York Flat",INDEX('NY Curve'!$A$4:$G$256,MATCH('Monthly Table'!B57,'NY Curve'!$A$4:$A$256,0),MATCH("Flat NY West",'NY Curve'!$A$4:$G$4,0)),INDEX('Michigan Curve'!$A$4:$F$256,MATCH('Monthly Table'!B57,'Michigan Curve'!$A$4:$A$256,0),MATCH("Michigan Super Peak Curve US$/MWhr",'Michigan Curve'!$A$4:$F$4,0)))))</f>
        <v>26.70839538574219</v>
      </c>
      <c r="AL57" s="965">
        <f>IF(D57&lt;=Tables!$B$21,IF($AL$10=$AI$10,AI57,IF($AL$10=$AJ$10,AJ57,IF($AL$10=$AK$10,AK57,0))),0)</f>
        <v>26.70839538574219</v>
      </c>
      <c r="AM57" s="708">
        <f t="shared" si="24"/>
        <v>37.21341901213335</v>
      </c>
      <c r="AN57" s="916">
        <f t="shared" si="25"/>
        <v>0</v>
      </c>
      <c r="AO57" s="905"/>
      <c r="AP57" s="925"/>
      <c r="AQ57" s="926">
        <f>IF(Tables!$E$30="New York",INDEX('NY Curve'!$A$4:$L$256,MATCH('Monthly Table'!B57,'NY Curve'!$A$4:$A$256,0),MATCH("New York Shoulder Hour Curve Mon-Fri",'NY Curve'!$A$4:$L$4,0)),IF(Tables!$E$30="Michigan",INDEX('Michigan Curve'!$A$4:$K$256,MATCH('Monthly Table'!B57,'Michigan Curve'!$A$4:$A$256,0),MATCH("Michigan Shoulder Hour Curve Mon-Fri",'Michigan Curve'!$A$4:$K$4,0))))</f>
        <v>22.751596069335935</v>
      </c>
      <c r="AR57" s="708">
        <f t="shared" si="26"/>
        <v>31.700319899224699</v>
      </c>
      <c r="AS57" s="927">
        <f t="shared" si="7"/>
        <v>0</v>
      </c>
      <c r="AT57" s="462"/>
      <c r="AU57" s="926">
        <f>IF(Tables!$E$30="New York",INDEX('NY Curve'!$A$4:$L$256,MATCH('Monthly Table'!$B57,'NY Curve'!$A$4:$A$256,0),MATCH("New York Saturday Super Peak",'NY Curve'!$A$4:$L$4,0)),IF(Tables!$E$30="Michigan",INDEX('Michigan Curve'!$A$4:$K$256,MATCH('Monthly Table'!$B57,'Michigan Curve'!$A$4:$A$256,0),MATCH("Michigan Saturday Super Peak",'Michigan Curve'!$A$4:$K$4,0))))</f>
        <v>21.6</v>
      </c>
      <c r="AV57" s="925">
        <f t="shared" si="8"/>
        <v>30.095774720003593</v>
      </c>
      <c r="AW57" s="927">
        <f t="shared" si="9"/>
        <v>0</v>
      </c>
      <c r="AX57" s="926">
        <f>IF(Tables!$E$30="New York",INDEX('NY Curve'!$A$4:$L$256,MATCH('Monthly Table'!$B57,'NY Curve'!$A$4:$A$256,0),MATCH("New York Saturday Shoulder Peak",'NY Curve'!$A$4:$L$4,0)),IF(Tables!$E$30="Michigan",INDEX('Michigan Curve'!$A$4:$K$256,MATCH('Monthly Table'!$B57,'Michigan Curve'!$A$4:$A$256,0),MATCH("Michigan Saturday Shoulder Peak",'Michigan Curve'!$A$4:$K$4,0))))</f>
        <v>18.399999999999999</v>
      </c>
      <c r="AY57" s="934">
        <f t="shared" si="27"/>
        <v>25.637141428151203</v>
      </c>
      <c r="AZ57" s="927">
        <f t="shared" si="10"/>
        <v>0</v>
      </c>
      <c r="BA57" s="462"/>
      <c r="BB57" s="926">
        <f>IF(Tables!$E$30="New York",INDEX('NY Curve'!$A$4:$M$256,MATCH('Monthly Table'!$B57,'NY Curve'!$A$4:$A$256,0),MATCH("NY Sunday Super Peak",'NY Curve'!$A$4:$M$4,0)),IF(Tables!$E$30="Michigan",INDEX('Michigan Curve'!$A$4:$L$256,MATCH('Monthly Table'!$B57,'Michigan Curve'!$A$4:$A$256,0),MATCH("Michigan Sunday Super Peak",'Michigan Curve'!$A$4:$L$4,0))))</f>
        <v>20.520000000000003</v>
      </c>
      <c r="BC57" s="925">
        <f t="shared" si="28"/>
        <v>28.590985984003414</v>
      </c>
      <c r="BD57" s="927">
        <f t="shared" si="11"/>
        <v>0</v>
      </c>
      <c r="BE57" s="462"/>
      <c r="BF57" s="598">
        <f t="shared" si="12"/>
        <v>38292</v>
      </c>
      <c r="BG57" s="583">
        <f t="shared" si="29"/>
        <v>0</v>
      </c>
      <c r="BH57" s="764">
        <f>IF(Tables!$B$36="Combined Cycle",(BF57-BF56)*24*Assumptions!$B$21,0)</f>
        <v>0</v>
      </c>
      <c r="BI57" s="315">
        <f t="shared" si="30"/>
        <v>0</v>
      </c>
      <c r="BJ57" s="987">
        <f>IF('Monthly Table'!D57&lt;=Tables!$B$21,IF($BJ$10=$BG$10,BG57,IF($BJ$10=$BH$10,BH57,IF($BJ$10=$BI$10,BI57,0))),0)</f>
        <v>0</v>
      </c>
      <c r="BK57" s="43"/>
      <c r="BL57" s="987">
        <f t="shared" si="31"/>
        <v>0</v>
      </c>
      <c r="BM57" s="987">
        <f t="shared" si="32"/>
        <v>0</v>
      </c>
      <c r="BO57" s="987">
        <f t="shared" si="14"/>
        <v>0</v>
      </c>
      <c r="BP57" s="987">
        <f t="shared" si="33"/>
        <v>0</v>
      </c>
      <c r="BR57" s="993">
        <f>IF(BJ57&gt;0,INDEX(OperationalDetail,MATCH("Capacity Degradation",ODColumn,0),MATCH('Monthly Table'!C57,ODRow,0)),0)</f>
        <v>0</v>
      </c>
      <c r="BS57" s="994">
        <f>BJ57*(1-BR57)*Tables!$C$36</f>
        <v>0</v>
      </c>
      <c r="BT57" s="601">
        <f t="shared" si="15"/>
        <v>0</v>
      </c>
      <c r="BU57" s="601">
        <f t="shared" si="16"/>
        <v>0</v>
      </c>
      <c r="BV57" s="462"/>
      <c r="BW57" s="785">
        <f>$BO57*(1-$BR57)*Tables!$C$36</f>
        <v>0</v>
      </c>
      <c r="BX57" s="602">
        <f t="shared" si="34"/>
        <v>0</v>
      </c>
      <c r="BY57" s="601">
        <f t="shared" si="35"/>
        <v>0</v>
      </c>
      <c r="BZ57" s="462"/>
      <c r="CA57" s="785">
        <f>$BL57*(1-$BR57)*Tables!$C$36</f>
        <v>0</v>
      </c>
      <c r="CB57" s="602">
        <f t="shared" si="36"/>
        <v>0</v>
      </c>
      <c r="CC57" s="601">
        <f t="shared" si="37"/>
        <v>0</v>
      </c>
      <c r="CD57" s="785">
        <f>$BP57*(1-$BR57)*Tables!$C$36</f>
        <v>0</v>
      </c>
      <c r="CE57" s="602">
        <f t="shared" si="38"/>
        <v>0</v>
      </c>
      <c r="CF57" s="601">
        <f t="shared" si="39"/>
        <v>0</v>
      </c>
      <c r="CH57" s="785">
        <f>$BM57*(1-$BR57)*Tables!$C$36</f>
        <v>0</v>
      </c>
      <c r="CI57" s="602">
        <f t="shared" si="40"/>
        <v>0</v>
      </c>
      <c r="CJ57" s="601">
        <f t="shared" si="41"/>
        <v>0</v>
      </c>
      <c r="CK57" s="304"/>
      <c r="CL57" s="304">
        <f t="shared" si="42"/>
        <v>2003</v>
      </c>
      <c r="CM57" s="1018">
        <f>INDEX(OperationalDetail,MATCH("Degraded Heat Rate",ODColumn,0),MATCH('Monthly Table'!CL57,ODRow,0))/1000</f>
        <v>12.132104399999998</v>
      </c>
      <c r="CN57" s="737">
        <f t="shared" si="17"/>
        <v>56.936515852993651</v>
      </c>
      <c r="CO57" s="1019">
        <f>IF(A57="January",(CO56*(1+Assumptions!$E$32)),CO56)</f>
        <v>7.1478991350000021</v>
      </c>
      <c r="CP57" s="741">
        <f t="shared" si="18"/>
        <v>64.084414987993654</v>
      </c>
      <c r="CQ57" s="304"/>
      <c r="CR57" s="575" t="str">
        <f t="shared" si="43"/>
        <v/>
      </c>
      <c r="CS57" s="575" t="str">
        <f t="shared" si="44"/>
        <v/>
      </c>
      <c r="CT57" s="575" t="str">
        <f t="shared" si="45"/>
        <v/>
      </c>
      <c r="CU57" s="575" t="str">
        <f t="shared" si="46"/>
        <v/>
      </c>
      <c r="CV57" s="575" t="str">
        <f t="shared" si="47"/>
        <v/>
      </c>
      <c r="CW57" s="576">
        <f t="shared" si="19"/>
        <v>2004</v>
      </c>
      <c r="CX57" s="787">
        <f>INDEX('NY Curve'!$A$4:$G$256,MATCH('Monthly Table'!B57,'NY Curve'!$A$4:$A$256,0),MATCH("New York 5 X 16",'NY Curve'!$A$4:$G$4,0))</f>
        <v>25.9</v>
      </c>
      <c r="CY57" s="632">
        <f t="shared" si="20"/>
        <v>1.3933229037038699</v>
      </c>
      <c r="CZ57" s="633">
        <f t="shared" si="21"/>
        <v>36.087063205930228</v>
      </c>
      <c r="DB57" s="857"/>
      <c r="DC57" s="857"/>
    </row>
    <row r="58" spans="1:107" s="222" customFormat="1" ht="18.75" customHeight="1">
      <c r="A58" s="222" t="s">
        <v>448</v>
      </c>
      <c r="B58" s="564">
        <v>38322</v>
      </c>
      <c r="C58" s="565">
        <f t="shared" si="0"/>
        <v>2004</v>
      </c>
      <c r="D58" s="819">
        <f t="shared" si="48"/>
        <v>4</v>
      </c>
      <c r="E58" s="972">
        <v>23</v>
      </c>
      <c r="F58" s="971">
        <v>3</v>
      </c>
      <c r="G58" s="971">
        <v>4</v>
      </c>
      <c r="H58" s="971">
        <v>1</v>
      </c>
      <c r="I58" s="976">
        <f t="shared" si="22"/>
        <v>31</v>
      </c>
      <c r="J58" s="969"/>
      <c r="K58" s="820">
        <f>INDEX(FX!$A$3:$C$362,MATCH(B58,FX!$A$3:$A$362,0),MATCH("Monthly Curve",FX!$A$2:$C$2,0))</f>
        <v>1.3917175416810199</v>
      </c>
      <c r="L58" s="820"/>
      <c r="M58" s="1068">
        <v>2.9955000000000003</v>
      </c>
      <c r="N58" s="1069">
        <v>0.26</v>
      </c>
      <c r="O58" s="831">
        <v>0.05</v>
      </c>
      <c r="P58" s="824">
        <f t="shared" si="1"/>
        <v>0.31</v>
      </c>
      <c r="Q58" s="825">
        <f t="shared" si="2"/>
        <v>3.3055000000000003</v>
      </c>
      <c r="R58" s="837">
        <f>IF(A58="January",(R57+R57*Assumptions!$E$32),R57)</f>
        <v>0.31870807015384617</v>
      </c>
      <c r="S58" s="827">
        <f t="shared" si="3"/>
        <v>4.9190304041804582</v>
      </c>
      <c r="T58" s="820"/>
      <c r="U58" s="565"/>
      <c r="V58" s="838"/>
      <c r="W58" s="838"/>
      <c r="X58" s="566"/>
      <c r="Y58" s="839">
        <f>Tables!$D$36</f>
        <v>312</v>
      </c>
      <c r="Z58" s="678">
        <f t="shared" si="4"/>
        <v>0</v>
      </c>
      <c r="AA58" s="679">
        <f t="shared" si="5"/>
        <v>0</v>
      </c>
      <c r="AB58" s="680">
        <f t="shared" si="6"/>
        <v>0</v>
      </c>
      <c r="AC58" s="828"/>
      <c r="AD58" s="1027">
        <f>IF(Tables!$E$30="Michigan",INDEX('Michigan Curve'!$A$4:$S$256,MATCH('Monthly Table'!B58,'Michigan Curve'!$A$4:$A$256,0),MATCH("Michigan Selected Option Value US$/month",'Michigan Curve'!$A$4:$S$4,0)),INDEX('NY Curve'!$A$4:$T$256,MATCH('Monthly Table'!B58,'NY Curve'!$A$4:$A$256,0),MATCH("New York Selected Option Value US$/month",'NY Curve'!$A$4:$T$4,0)))</f>
        <v>10029.715784000613</v>
      </c>
      <c r="AE58" s="601">
        <f t="shared" si="23"/>
        <v>13958.531394668657</v>
      </c>
      <c r="AF58" s="828"/>
      <c r="AG58" s="917"/>
      <c r="AH58" s="828"/>
      <c r="AI58" s="799">
        <f>Assumptions!$B$50</f>
        <v>65</v>
      </c>
      <c r="AJ58" s="762"/>
      <c r="AK58" s="924">
        <f>IF(Tables!$E$30="Custom",'Monthly Table'!AI58,IF(Tables!$E$30="New York",INDEX('NY Curve'!$A$4:$G$256,MATCH('Monthly Table'!B58,'NY Curve'!$A$4:$A$256,0),MATCH("Super Peak Curve",'NY Curve'!$A$4:$G$4,0)),IF(Tables!$E$30="New York Flat",INDEX('NY Curve'!$A$4:$G$256,MATCH('Monthly Table'!B58,'NY Curve'!$A$4:$A$256,0),MATCH("Flat NY West",'NY Curve'!$A$4:$G$4,0)),INDEX('Michigan Curve'!$A$4:$F$256,MATCH('Monthly Table'!B58,'Michigan Curve'!$A$4:$A$256,0),MATCH("Michigan Super Peak Curve US$/MWhr",'Michigan Curve'!$A$4:$F$4,0)))))</f>
        <v>25.703994941711425</v>
      </c>
      <c r="AL58" s="966">
        <f>IF(D58&lt;=Tables!$B$21,IF($AL$10=$AI$10,AI58,IF($AL$10=$AJ$10,AJ58,IF($AL$10=$AK$10,AK58,0))),0)</f>
        <v>25.703994941711425</v>
      </c>
      <c r="AM58" s="879">
        <f t="shared" si="24"/>
        <v>35.772700651659996</v>
      </c>
      <c r="AN58" s="918">
        <f t="shared" si="25"/>
        <v>0</v>
      </c>
      <c r="AO58" s="906"/>
      <c r="AP58" s="925"/>
      <c r="AQ58" s="926">
        <f>IF(Tables!$E$30="New York",INDEX('NY Curve'!$A$4:$L$256,MATCH('Monthly Table'!B58,'NY Curve'!$A$4:$A$256,0),MATCH("New York Shoulder Hour Curve Mon-Fri",'NY Curve'!$A$4:$L$4,0)),IF(Tables!$E$30="Michigan",INDEX('Michigan Curve'!$A$4:$K$256,MATCH('Monthly Table'!B58,'Michigan Curve'!$A$4:$A$256,0),MATCH("Michigan Shoulder Hour Curve Mon-Fri",'Michigan Curve'!$A$4:$K$4,0))))</f>
        <v>24.695995140075684</v>
      </c>
      <c r="AR58" s="708">
        <f t="shared" si="26"/>
        <v>34.369849645712549</v>
      </c>
      <c r="AS58" s="927">
        <f t="shared" si="7"/>
        <v>0</v>
      </c>
      <c r="AT58" s="828"/>
      <c r="AU58" s="926">
        <f>IF(Tables!$E$30="New York",INDEX('NY Curve'!$A$4:$L$256,MATCH('Monthly Table'!$B58,'NY Curve'!$A$4:$A$256,0),MATCH("New York Saturday Super Peak",'NY Curve'!$A$4:$L$4,0)),IF(Tables!$E$30="Michigan",INDEX('Michigan Curve'!$A$4:$K$256,MATCH('Monthly Table'!$B58,'Michigan Curve'!$A$4:$A$256,0),MATCH("Michigan Saturday Super Peak",'Michigan Curve'!$A$4:$K$4,0))))</f>
        <v>20.399999999999999</v>
      </c>
      <c r="AV58" s="925">
        <f t="shared" si="8"/>
        <v>28.391037850292804</v>
      </c>
      <c r="AW58" s="927">
        <f t="shared" si="9"/>
        <v>0</v>
      </c>
      <c r="AX58" s="926">
        <f>IF(Tables!$E$30="New York",INDEX('NY Curve'!$A$4:$L$256,MATCH('Monthly Table'!$B58,'NY Curve'!$A$4:$A$256,0),MATCH("New York Saturday Shoulder Peak",'NY Curve'!$A$4:$L$4,0)),IF(Tables!$E$30="Michigan",INDEX('Michigan Curve'!$A$4:$K$256,MATCH('Monthly Table'!$B58,'Michigan Curve'!$A$4:$A$256,0),MATCH("Michigan Saturday Shoulder Peak",'Michigan Curve'!$A$4:$K$4,0))))</f>
        <v>19.600000000000001</v>
      </c>
      <c r="AY58" s="934">
        <f t="shared" si="27"/>
        <v>27.277663816947992</v>
      </c>
      <c r="AZ58" s="927">
        <f t="shared" si="10"/>
        <v>0</v>
      </c>
      <c r="BA58" s="828"/>
      <c r="BB58" s="926">
        <f>IF(Tables!$E$30="New York",INDEX('NY Curve'!$A$4:$M$256,MATCH('Monthly Table'!$B58,'NY Curve'!$A$4:$A$256,0),MATCH("NY Sunday Super Peak",'NY Curve'!$A$4:$M$4,0)),IF(Tables!$E$30="Michigan",INDEX('Michigan Curve'!$A$4:$L$256,MATCH('Monthly Table'!$B58,'Michigan Curve'!$A$4:$A$256,0),MATCH("Michigan Sunday Super Peak",'Michigan Curve'!$A$4:$L$4,0))))</f>
        <v>19.38</v>
      </c>
      <c r="BC58" s="925">
        <f t="shared" si="28"/>
        <v>26.971485957778164</v>
      </c>
      <c r="BD58" s="927">
        <f t="shared" si="11"/>
        <v>0</v>
      </c>
      <c r="BE58" s="828"/>
      <c r="BF58" s="829">
        <f t="shared" si="12"/>
        <v>38322</v>
      </c>
      <c r="BG58" s="583">
        <f t="shared" si="29"/>
        <v>0</v>
      </c>
      <c r="BH58" s="840">
        <f>IF(Tables!$B$36="Combined Cycle",(BF58-BF57)*24*Assumptions!$B$21,0)</f>
        <v>0</v>
      </c>
      <c r="BI58" s="315">
        <f t="shared" si="30"/>
        <v>0</v>
      </c>
      <c r="BJ58" s="988">
        <f>IF('Monthly Table'!D58&lt;=Tables!$B$21,IF($BJ$10=$BG$10,BG58,IF($BJ$10=$BH$10,BH58,IF($BJ$10=$BI$10,BI58,0))),0)</f>
        <v>0</v>
      </c>
      <c r="BK58" s="43"/>
      <c r="BL58" s="987">
        <f t="shared" si="31"/>
        <v>0</v>
      </c>
      <c r="BM58" s="987">
        <f t="shared" si="32"/>
        <v>0</v>
      </c>
      <c r="BN58" s="43"/>
      <c r="BO58" s="987">
        <f t="shared" si="14"/>
        <v>0</v>
      </c>
      <c r="BP58" s="987">
        <f t="shared" si="33"/>
        <v>0</v>
      </c>
      <c r="BQ58" s="43"/>
      <c r="BR58" s="995">
        <f>IF(BJ58&gt;0,INDEX(OperationalDetail,MATCH("Capacity Degradation",ODColumn,0),MATCH('Monthly Table'!C58,ODRow,0)),0)</f>
        <v>0</v>
      </c>
      <c r="BS58" s="994">
        <f>BJ58*(1-BR58)*Tables!$C$36</f>
        <v>0</v>
      </c>
      <c r="BT58" s="834">
        <f t="shared" si="15"/>
        <v>0</v>
      </c>
      <c r="BU58" s="834">
        <f t="shared" si="16"/>
        <v>0</v>
      </c>
      <c r="BV58" s="462"/>
      <c r="BW58" s="785">
        <f>$BO58*(1-$BR58)*Tables!$C$36</f>
        <v>0</v>
      </c>
      <c r="BX58" s="602">
        <f t="shared" si="34"/>
        <v>0</v>
      </c>
      <c r="BY58" s="601">
        <f t="shared" si="35"/>
        <v>0</v>
      </c>
      <c r="BZ58" s="828"/>
      <c r="CA58" s="785">
        <f>$BL58*(1-$BR58)*Tables!$C$36</f>
        <v>0</v>
      </c>
      <c r="CB58" s="602">
        <f t="shared" si="36"/>
        <v>0</v>
      </c>
      <c r="CC58" s="601">
        <f t="shared" si="37"/>
        <v>0</v>
      </c>
      <c r="CD58" s="785">
        <f>$BP58*(1-$BR58)*Tables!$C$36</f>
        <v>0</v>
      </c>
      <c r="CE58" s="602">
        <f t="shared" si="38"/>
        <v>0</v>
      </c>
      <c r="CF58" s="601">
        <f t="shared" si="39"/>
        <v>0</v>
      </c>
      <c r="CH58" s="785">
        <f>$BM58*(1-$BR58)*Tables!$C$36</f>
        <v>0</v>
      </c>
      <c r="CI58" s="602">
        <f t="shared" si="40"/>
        <v>0</v>
      </c>
      <c r="CJ58" s="601">
        <f t="shared" si="41"/>
        <v>0</v>
      </c>
      <c r="CK58" s="880"/>
      <c r="CL58" s="304">
        <f t="shared" si="42"/>
        <v>2003</v>
      </c>
      <c r="CM58" s="1018">
        <f>INDEX(OperationalDetail,MATCH("Degraded Heat Rate",ODColumn,0),MATCH('Monthly Table'!CL58,ODRow,0))/1000</f>
        <v>12.132104399999998</v>
      </c>
      <c r="CN58" s="835">
        <f t="shared" si="17"/>
        <v>59.678190410291506</v>
      </c>
      <c r="CO58" s="1020">
        <f>IF(A58="January",(CO57*(1+Assumptions!$E$32)),CO57)</f>
        <v>7.1478991350000021</v>
      </c>
      <c r="CP58" s="836">
        <f t="shared" si="18"/>
        <v>66.826089545291509</v>
      </c>
      <c r="CQ58" s="880"/>
      <c r="CR58" s="841" t="str">
        <f t="shared" si="43"/>
        <v/>
      </c>
      <c r="CS58" s="575" t="str">
        <f t="shared" si="44"/>
        <v/>
      </c>
      <c r="CT58" s="575" t="str">
        <f t="shared" si="45"/>
        <v/>
      </c>
      <c r="CU58" s="575" t="str">
        <f t="shared" si="46"/>
        <v/>
      </c>
      <c r="CV58" s="575" t="str">
        <f t="shared" si="47"/>
        <v/>
      </c>
      <c r="CW58" s="842">
        <f t="shared" si="19"/>
        <v>2004</v>
      </c>
      <c r="CX58" s="843">
        <f>INDEX('NY Curve'!$A$4:$G$256,MATCH('Monthly Table'!B58,'NY Curve'!$A$4:$A$256,0),MATCH("New York 5 X 16",'NY Curve'!$A$4:$G$4,0))</f>
        <v>26.4</v>
      </c>
      <c r="CY58" s="844">
        <f t="shared" si="20"/>
        <v>1.3917175416810199</v>
      </c>
      <c r="CZ58" s="845">
        <f t="shared" si="21"/>
        <v>36.741343100378927</v>
      </c>
      <c r="DB58" s="881"/>
      <c r="DC58" s="881"/>
    </row>
    <row r="59" spans="1:107" ht="18.75" customHeight="1">
      <c r="A59" s="17" t="s">
        <v>437</v>
      </c>
      <c r="B59" s="508">
        <v>38353</v>
      </c>
      <c r="C59" s="43">
        <f t="shared" si="0"/>
        <v>2005</v>
      </c>
      <c r="D59" s="719">
        <f t="shared" si="48"/>
        <v>5</v>
      </c>
      <c r="E59" s="972">
        <v>21</v>
      </c>
      <c r="F59" s="971">
        <v>4</v>
      </c>
      <c r="G59" s="971">
        <v>5</v>
      </c>
      <c r="H59" s="971">
        <v>1</v>
      </c>
      <c r="I59" s="976">
        <f t="shared" si="22"/>
        <v>31</v>
      </c>
      <c r="J59" s="621"/>
      <c r="K59" s="572">
        <f>INDEX(FX!$A$3:$C$362,MATCH(B59,FX!$A$3:$A$362,0),MATCH("Monthly Curve",FX!$A$2:$C$2,0))</f>
        <v>1.3900397793041499</v>
      </c>
      <c r="L59" s="572"/>
      <c r="M59" s="1057">
        <v>3.0460000000000003</v>
      </c>
      <c r="N59" s="1067">
        <v>0.27</v>
      </c>
      <c r="O59" s="315">
        <v>0.05</v>
      </c>
      <c r="P59" s="797">
        <f t="shared" si="1"/>
        <v>0.32</v>
      </c>
      <c r="Q59" s="732">
        <f t="shared" si="2"/>
        <v>3.3660000000000001</v>
      </c>
      <c r="R59" s="723">
        <f>IF(A59="January",(R58+R58*Assumptions!$E$32),R58)</f>
        <v>0.32508223155692312</v>
      </c>
      <c r="S59" s="730">
        <f t="shared" si="3"/>
        <v>5.0039561286946919</v>
      </c>
      <c r="T59" s="572"/>
      <c r="V59" s="584"/>
      <c r="W59" s="584"/>
      <c r="X59" s="461"/>
      <c r="Y59" s="588">
        <f>Tables!$D$36</f>
        <v>312</v>
      </c>
      <c r="Z59" s="570">
        <f t="shared" si="4"/>
        <v>0</v>
      </c>
      <c r="AA59" s="592">
        <f t="shared" si="5"/>
        <v>0</v>
      </c>
      <c r="AB59" s="589">
        <f t="shared" si="6"/>
        <v>0</v>
      </c>
      <c r="AC59" s="462"/>
      <c r="AD59" s="1027">
        <f>IF(Tables!$E$30="Michigan",INDEX('Michigan Curve'!$A$4:$S$256,MATCH('Monthly Table'!B59,'Michigan Curve'!$A$4:$A$256,0),MATCH("Michigan Selected Option Value US$/month",'Michigan Curve'!$A$4:$S$4,0)),INDEX('NY Curve'!$A$4:$T$256,MATCH('Monthly Table'!B59,'NY Curve'!$A$4:$A$256,0),MATCH("New York Selected Option Value US$/month",'NY Curve'!$A$4:$T$4,0)))</f>
        <v>60668.322530048281</v>
      </c>
      <c r="AE59" s="601">
        <f t="shared" si="23"/>
        <v>84331.381660421292</v>
      </c>
      <c r="AF59" s="462"/>
      <c r="AG59" s="915"/>
      <c r="AH59" s="462"/>
      <c r="AI59" s="799">
        <f>Assumptions!$B$50</f>
        <v>65</v>
      </c>
      <c r="AJ59" s="743"/>
      <c r="AK59" s="924">
        <f>IF(Tables!$E$30="Custom",'Monthly Table'!AI59,IF(Tables!$E$30="New York",INDEX('NY Curve'!$A$4:$G$256,MATCH('Monthly Table'!B59,'NY Curve'!$A$4:$A$256,0),MATCH("Super Peak Curve",'NY Curve'!$A$4:$G$4,0)),IF(Tables!$E$30="New York Flat",INDEX('NY Curve'!$A$4:$G$256,MATCH('Monthly Table'!B59,'NY Curve'!$A$4:$A$256,0),MATCH("Flat NY West",'NY Curve'!$A$4:$G$4,0)),INDEX('Michigan Curve'!$A$4:$F$256,MATCH('Monthly Table'!B59,'Michigan Curve'!$A$4:$A$256,0),MATCH("Michigan Super Peak Curve US$/MWhr",'Michigan Curve'!$A$4:$F$4,0)))))</f>
        <v>31.314000389099125</v>
      </c>
      <c r="AL59" s="965">
        <f>IF(D59&lt;=Tables!$B$21,IF($AL$10=$AI$10,AI59,IF($AL$10=$AJ$10,AJ59,IF($AL$10=$AK$10,AK59,0))),0)</f>
        <v>31.314000389099125</v>
      </c>
      <c r="AM59" s="708">
        <f t="shared" si="24"/>
        <v>43.52770618999341</v>
      </c>
      <c r="AN59" s="916">
        <f t="shared" si="25"/>
        <v>0</v>
      </c>
      <c r="AO59" s="905"/>
      <c r="AP59" s="925"/>
      <c r="AQ59" s="926">
        <f>IF(Tables!$E$30="New York",INDEX('NY Curve'!$A$4:$L$256,MATCH('Monthly Table'!B59,'NY Curve'!$A$4:$A$256,0),MATCH("New York Shoulder Hour Curve Mon-Fri",'NY Curve'!$A$4:$L$4,0)),IF(Tables!$E$30="Michigan",INDEX('Michigan Curve'!$A$4:$K$256,MATCH('Monthly Table'!B59,'Michigan Curve'!$A$4:$A$256,0),MATCH("Michigan Shoulder Hour Curve Mon-Fri",'Michigan Curve'!$A$4:$K$4,0))))</f>
        <v>30.086000373840331</v>
      </c>
      <c r="AR59" s="708">
        <f t="shared" si="26"/>
        <v>41.820737319797587</v>
      </c>
      <c r="AS59" s="927">
        <f t="shared" si="7"/>
        <v>0</v>
      </c>
      <c r="AT59" s="462"/>
      <c r="AU59" s="926">
        <f>IF(Tables!$E$30="New York",INDEX('NY Curve'!$A$4:$L$256,MATCH('Monthly Table'!$B59,'NY Curve'!$A$4:$A$256,0),MATCH("New York Saturday Super Peak",'NY Curve'!$A$4:$L$4,0)),IF(Tables!$E$30="Michigan",INDEX('Michigan Curve'!$A$4:$K$256,MATCH('Monthly Table'!$B59,'Michigan Curve'!$A$4:$A$256,0),MATCH("Michigan Saturday Super Peak",'Michigan Curve'!$A$4:$K$4,0))))</f>
        <v>22.44</v>
      </c>
      <c r="AV59" s="925">
        <f t="shared" si="8"/>
        <v>31.192492647585127</v>
      </c>
      <c r="AW59" s="927">
        <f t="shared" si="9"/>
        <v>0</v>
      </c>
      <c r="AX59" s="926">
        <f>IF(Tables!$E$30="New York",INDEX('NY Curve'!$A$4:$L$256,MATCH('Monthly Table'!$B59,'NY Curve'!$A$4:$A$256,0),MATCH("New York Saturday Shoulder Peak",'NY Curve'!$A$4:$L$4,0)),IF(Tables!$E$30="Michigan",INDEX('Michigan Curve'!$A$4:$K$256,MATCH('Monthly Table'!$B59,'Michigan Curve'!$A$4:$A$256,0),MATCH("Michigan Saturday Shoulder Peak",'Michigan Curve'!$A$4:$K$4,0))))</f>
        <v>21.56</v>
      </c>
      <c r="AY59" s="934">
        <f t="shared" si="27"/>
        <v>29.969257641797469</v>
      </c>
      <c r="AZ59" s="927">
        <f t="shared" si="10"/>
        <v>0</v>
      </c>
      <c r="BA59" s="462"/>
      <c r="BB59" s="926">
        <f>IF(Tables!$E$30="New York",INDEX('NY Curve'!$A$4:$M$256,MATCH('Monthly Table'!$B59,'NY Curve'!$A$4:$A$256,0),MATCH("NY Sunday Super Peak",'NY Curve'!$A$4:$M$4,0)),IF(Tables!$E$30="Michigan",INDEX('Michigan Curve'!$A$4:$L$256,MATCH('Monthly Table'!$B59,'Michigan Curve'!$A$4:$A$256,0),MATCH("Michigan Sunday Super Peak",'Michigan Curve'!$A$4:$L$4,0))))</f>
        <v>21.42</v>
      </c>
      <c r="BC59" s="925">
        <f t="shared" si="28"/>
        <v>29.774652072694892</v>
      </c>
      <c r="BD59" s="927">
        <f t="shared" si="11"/>
        <v>0</v>
      </c>
      <c r="BE59" s="462"/>
      <c r="BF59" s="598">
        <f t="shared" si="12"/>
        <v>38353</v>
      </c>
      <c r="BG59" s="583">
        <f t="shared" si="29"/>
        <v>0</v>
      </c>
      <c r="BH59" s="764">
        <f>IF(Tables!$B$36="Combined Cycle",(BF59-BF58)*24*Assumptions!$B$21,0)</f>
        <v>0</v>
      </c>
      <c r="BI59" s="315">
        <f t="shared" si="30"/>
        <v>0</v>
      </c>
      <c r="BJ59" s="987">
        <f>IF('Monthly Table'!D59&lt;=Tables!$B$21,IF($BJ$10=$BG$10,BG59,IF($BJ$10=$BH$10,BH59,IF($BJ$10=$BI$10,BI59,0))),0)</f>
        <v>0</v>
      </c>
      <c r="BK59" s="43"/>
      <c r="BL59" s="987">
        <f t="shared" si="31"/>
        <v>0</v>
      </c>
      <c r="BM59" s="987">
        <f t="shared" si="32"/>
        <v>0</v>
      </c>
      <c r="BO59" s="987">
        <f t="shared" si="14"/>
        <v>0</v>
      </c>
      <c r="BP59" s="987">
        <f t="shared" si="33"/>
        <v>0</v>
      </c>
      <c r="BR59" s="993">
        <f>IF(BJ59&gt;0,INDEX(OperationalDetail,MATCH("Capacity Degradation",ODColumn,0),MATCH('Monthly Table'!C59,ODRow,0)),0)</f>
        <v>0</v>
      </c>
      <c r="BS59" s="994">
        <f>BJ59*(1-BR59)*Tables!$C$36</f>
        <v>0</v>
      </c>
      <c r="BT59" s="601">
        <f t="shared" si="15"/>
        <v>0</v>
      </c>
      <c r="BU59" s="601">
        <f t="shared" si="16"/>
        <v>0</v>
      </c>
      <c r="BV59" s="462"/>
      <c r="BW59" s="785">
        <f>$BO59*(1-$BR59)*Tables!$C$36</f>
        <v>0</v>
      </c>
      <c r="BX59" s="602">
        <f t="shared" si="34"/>
        <v>0</v>
      </c>
      <c r="BY59" s="601">
        <f t="shared" si="35"/>
        <v>0</v>
      </c>
      <c r="BZ59" s="462"/>
      <c r="CA59" s="785">
        <f>$BL59*(1-$BR59)*Tables!$C$36</f>
        <v>0</v>
      </c>
      <c r="CB59" s="602">
        <f t="shared" si="36"/>
        <v>0</v>
      </c>
      <c r="CC59" s="601">
        <f t="shared" si="37"/>
        <v>0</v>
      </c>
      <c r="CD59" s="785">
        <f>$BP59*(1-$BR59)*Tables!$C$36</f>
        <v>0</v>
      </c>
      <c r="CE59" s="602">
        <f t="shared" si="38"/>
        <v>0</v>
      </c>
      <c r="CF59" s="601">
        <f t="shared" si="39"/>
        <v>0</v>
      </c>
      <c r="CH59" s="785">
        <f>$BM59*(1-$BR59)*Tables!$C$36</f>
        <v>0</v>
      </c>
      <c r="CI59" s="602">
        <f t="shared" si="40"/>
        <v>0</v>
      </c>
      <c r="CJ59" s="601">
        <f t="shared" si="41"/>
        <v>0</v>
      </c>
      <c r="CK59" s="304"/>
      <c r="CL59" s="304">
        <f t="shared" si="42"/>
        <v>2004</v>
      </c>
      <c r="CM59" s="1018">
        <f>INDEX(OperationalDetail,MATCH("Degraded Heat Rate",ODColumn,0),MATCH('Monthly Table'!CL59,ODRow,0))/1000</f>
        <v>12.163080799999999</v>
      </c>
      <c r="CN59" s="737">
        <f t="shared" si="17"/>
        <v>60.863522712968731</v>
      </c>
      <c r="CO59" s="1019">
        <f>IF(A59="January",(CO58*(1+Assumptions!$E$32)),CO58)</f>
        <v>7.2908571177000026</v>
      </c>
      <c r="CP59" s="741">
        <f t="shared" si="18"/>
        <v>68.154379830668731</v>
      </c>
      <c r="CQ59" s="304"/>
      <c r="CR59" s="575" t="str">
        <f t="shared" si="43"/>
        <v/>
      </c>
      <c r="CS59" s="575" t="str">
        <f t="shared" si="44"/>
        <v/>
      </c>
      <c r="CT59" s="575" t="str">
        <f t="shared" si="45"/>
        <v/>
      </c>
      <c r="CU59" s="575" t="str">
        <f t="shared" si="46"/>
        <v/>
      </c>
      <c r="CV59" s="575" t="str">
        <f t="shared" si="47"/>
        <v/>
      </c>
      <c r="CW59" s="576">
        <f t="shared" si="19"/>
        <v>2005</v>
      </c>
      <c r="CX59" s="787">
        <f>INDEX('NY Curve'!$A$4:$G$256,MATCH('Monthly Table'!B59,'NY Curve'!$A$4:$A$256,0),MATCH("New York 5 X 16",'NY Curve'!$A$4:$G$4,0))</f>
        <v>31.75</v>
      </c>
      <c r="CY59" s="632">
        <f t="shared" si="20"/>
        <v>1.3900397793041499</v>
      </c>
      <c r="CZ59" s="633">
        <f t="shared" si="21"/>
        <v>44.13376299290676</v>
      </c>
      <c r="DB59" s="857"/>
      <c r="DC59" s="857"/>
    </row>
    <row r="60" spans="1:107" ht="18.75" customHeight="1">
      <c r="A60" s="17" t="s">
        <v>438</v>
      </c>
      <c r="B60" s="508">
        <v>38384</v>
      </c>
      <c r="C60" s="43">
        <f t="shared" si="0"/>
        <v>2005</v>
      </c>
      <c r="D60" s="719">
        <f t="shared" si="48"/>
        <v>5</v>
      </c>
      <c r="E60" s="972">
        <v>20</v>
      </c>
      <c r="F60" s="971">
        <v>4</v>
      </c>
      <c r="G60" s="971">
        <v>4</v>
      </c>
      <c r="H60" s="971">
        <v>0</v>
      </c>
      <c r="I60" s="976">
        <f t="shared" si="22"/>
        <v>28</v>
      </c>
      <c r="J60" s="621"/>
      <c r="K60" s="572">
        <f>INDEX(FX!$A$3:$C$362,MATCH(B60,FX!$A$3:$A$362,0),MATCH("Monthly Curve",FX!$A$2:$C$2,0))</f>
        <v>1.3883428942165801</v>
      </c>
      <c r="L60" s="572"/>
      <c r="M60" s="1057">
        <v>2.9330000000000003</v>
      </c>
      <c r="N60" s="1067">
        <v>0.3</v>
      </c>
      <c r="O60" s="315">
        <v>0.05</v>
      </c>
      <c r="P60" s="797">
        <f t="shared" si="1"/>
        <v>0.35</v>
      </c>
      <c r="Q60" s="732">
        <f t="shared" si="2"/>
        <v>3.2829999999999999</v>
      </c>
      <c r="R60" s="723">
        <f>IF(A60="January",(R59+R59*Assumptions!$E$32),R59)</f>
        <v>0.32508223155692312</v>
      </c>
      <c r="S60" s="730">
        <f t="shared" si="3"/>
        <v>4.8830119532699552</v>
      </c>
      <c r="T60" s="572"/>
      <c r="V60" s="584"/>
      <c r="W60" s="584"/>
      <c r="X60" s="461"/>
      <c r="Y60" s="588">
        <f>Tables!$D$36</f>
        <v>312</v>
      </c>
      <c r="Z60" s="570">
        <f t="shared" si="4"/>
        <v>0</v>
      </c>
      <c r="AA60" s="592">
        <f t="shared" si="5"/>
        <v>0</v>
      </c>
      <c r="AB60" s="589">
        <f t="shared" si="6"/>
        <v>0</v>
      </c>
      <c r="AC60" s="462"/>
      <c r="AD60" s="1027">
        <f>IF(Tables!$E$30="Michigan",INDEX('Michigan Curve'!$A$4:$S$256,MATCH('Monthly Table'!B60,'Michigan Curve'!$A$4:$A$256,0),MATCH("Michigan Selected Option Value US$/month",'Michigan Curve'!$A$4:$S$4,0)),INDEX('NY Curve'!$A$4:$T$256,MATCH('Monthly Table'!B60,'NY Curve'!$A$4:$A$256,0),MATCH("New York Selected Option Value US$/month",'NY Curve'!$A$4:$T$4,0)))</f>
        <v>60498.322961945218</v>
      </c>
      <c r="AE60" s="601">
        <f t="shared" si="23"/>
        <v>83992.416796236401</v>
      </c>
      <c r="AF60" s="462"/>
      <c r="AG60" s="915"/>
      <c r="AH60" s="462"/>
      <c r="AI60" s="799">
        <f>Assumptions!$B$50</f>
        <v>65</v>
      </c>
      <c r="AJ60" s="743"/>
      <c r="AK60" s="924">
        <f>IF(Tables!$E$30="Custom",'Monthly Table'!AI60,IF(Tables!$E$30="New York",INDEX('NY Curve'!$A$4:$G$256,MATCH('Monthly Table'!B60,'NY Curve'!$A$4:$A$256,0),MATCH("Super Peak Curve",'NY Curve'!$A$4:$G$4,0)),IF(Tables!$E$30="New York Flat",INDEX('NY Curve'!$A$4:$G$256,MATCH('Monthly Table'!B60,'NY Curve'!$A$4:$A$256,0),MATCH("Flat NY West",'NY Curve'!$A$4:$G$4,0)),INDEX('Michigan Curve'!$A$4:$F$256,MATCH('Monthly Table'!B60,'Michigan Curve'!$A$4:$A$256,0),MATCH("Michigan Super Peak Curve US$/MWhr",'Michigan Curve'!$A$4:$F$4,0)))))</f>
        <v>31.313998443603516</v>
      </c>
      <c r="AL60" s="965">
        <f>IF(D60&lt;=Tables!$B$21,IF($AL$10=$AI$10,AI60,IF($AL$10=$AJ$10,AJ60,IF($AL$10=$AK$10,AK60,0))),0)</f>
        <v>31.313998443603516</v>
      </c>
      <c r="AM60" s="708">
        <f t="shared" si="24"/>
        <v>43.474567228685991</v>
      </c>
      <c r="AN60" s="916">
        <f t="shared" si="25"/>
        <v>0</v>
      </c>
      <c r="AO60" s="905"/>
      <c r="AP60" s="925"/>
      <c r="AQ60" s="926">
        <f>IF(Tables!$E$30="New York",INDEX('NY Curve'!$A$4:$L$256,MATCH('Monthly Table'!B60,'NY Curve'!$A$4:$A$256,0),MATCH("New York Shoulder Hour Curve Mon-Fri",'NY Curve'!$A$4:$L$4,0)),IF(Tables!$E$30="Michigan",INDEX('Michigan Curve'!$A$4:$K$256,MATCH('Monthly Table'!B60,'Michigan Curve'!$A$4:$A$256,0),MATCH("Michigan Shoulder Hour Curve Mon-Fri",'Michigan Curve'!$A$4:$K$4,0))))</f>
        <v>30.085998504638674</v>
      </c>
      <c r="AR60" s="708">
        <f t="shared" si="26"/>
        <v>41.769682239325761</v>
      </c>
      <c r="AS60" s="927">
        <f t="shared" si="7"/>
        <v>0</v>
      </c>
      <c r="AT60" s="462"/>
      <c r="AU60" s="926">
        <f>IF(Tables!$E$30="New York",INDEX('NY Curve'!$A$4:$L$256,MATCH('Monthly Table'!$B60,'NY Curve'!$A$4:$A$256,0),MATCH("New York Saturday Super Peak",'NY Curve'!$A$4:$L$4,0)),IF(Tables!$E$30="Michigan",INDEX('Michigan Curve'!$A$4:$K$256,MATCH('Monthly Table'!$B60,'Michigan Curve'!$A$4:$A$256,0),MATCH("Michigan Saturday Super Peak",'Michigan Curve'!$A$4:$K$4,0))))</f>
        <v>22.435920295715331</v>
      </c>
      <c r="AV60" s="925">
        <f t="shared" si="8"/>
        <v>31.148750517765933</v>
      </c>
      <c r="AW60" s="927">
        <f t="shared" si="9"/>
        <v>0</v>
      </c>
      <c r="AX60" s="926">
        <f>IF(Tables!$E$30="New York",INDEX('NY Curve'!$A$4:$L$256,MATCH('Monthly Table'!$B60,'NY Curve'!$A$4:$A$256,0),MATCH("New York Saturday Shoulder Peak",'NY Curve'!$A$4:$L$4,0)),IF(Tables!$E$30="Michigan",INDEX('Michigan Curve'!$A$4:$K$256,MATCH('Monthly Table'!$B60,'Michigan Curve'!$A$4:$A$256,0),MATCH("Michigan Saturday Shoulder Peak",'Michigan Curve'!$A$4:$K$4,0))))</f>
        <v>21.556080284118654</v>
      </c>
      <c r="AY60" s="934">
        <f t="shared" si="27"/>
        <v>29.927230889618251</v>
      </c>
      <c r="AZ60" s="927">
        <f t="shared" si="10"/>
        <v>0</v>
      </c>
      <c r="BA60" s="462"/>
      <c r="BB60" s="926">
        <f>IF(Tables!$E$30="New York",INDEX('NY Curve'!$A$4:$M$256,MATCH('Monthly Table'!$B60,'NY Curve'!$A$4:$A$256,0),MATCH("NY Sunday Super Peak",'NY Curve'!$A$4:$M$4,0)),IF(Tables!$E$30="Michigan",INDEX('Michigan Curve'!$A$4:$L$256,MATCH('Monthly Table'!$B60,'Michigan Curve'!$A$4:$A$256,0),MATCH("Michigan Sunday Super Peak",'Michigan Curve'!$A$4:$L$4,0))))</f>
        <v>21.416431961059569</v>
      </c>
      <c r="BC60" s="925">
        <f t="shared" si="28"/>
        <v>29.733351132609911</v>
      </c>
      <c r="BD60" s="927">
        <f t="shared" si="11"/>
        <v>0</v>
      </c>
      <c r="BE60" s="462"/>
      <c r="BF60" s="598">
        <f t="shared" si="12"/>
        <v>38384</v>
      </c>
      <c r="BG60" s="583">
        <f t="shared" si="29"/>
        <v>0</v>
      </c>
      <c r="BH60" s="764">
        <f>IF(Tables!$B$36="Combined Cycle",(BF60-BF59)*24*Assumptions!$B$21,0)</f>
        <v>0</v>
      </c>
      <c r="BI60" s="315">
        <f t="shared" si="30"/>
        <v>0</v>
      </c>
      <c r="BJ60" s="987">
        <f>IF('Monthly Table'!D60&lt;=Tables!$B$21,IF($BJ$10=$BG$10,BG60,IF($BJ$10=$BH$10,BH60,IF($BJ$10=$BI$10,BI60,0))),0)</f>
        <v>0</v>
      </c>
      <c r="BK60" s="43"/>
      <c r="BL60" s="987">
        <f t="shared" si="31"/>
        <v>0</v>
      </c>
      <c r="BM60" s="987">
        <f t="shared" si="32"/>
        <v>0</v>
      </c>
      <c r="BO60" s="987">
        <f t="shared" si="14"/>
        <v>0</v>
      </c>
      <c r="BP60" s="987">
        <f t="shared" si="33"/>
        <v>0</v>
      </c>
      <c r="BR60" s="993">
        <f>IF(BJ60&gt;0,INDEX(OperationalDetail,MATCH("Capacity Degradation",ODColumn,0),MATCH('Monthly Table'!C60,ODRow,0)),0)</f>
        <v>0</v>
      </c>
      <c r="BS60" s="994">
        <f>BJ60*(1-BR60)*Tables!$C$36</f>
        <v>0</v>
      </c>
      <c r="BT60" s="601">
        <f t="shared" si="15"/>
        <v>0</v>
      </c>
      <c r="BU60" s="601">
        <f t="shared" si="16"/>
        <v>0</v>
      </c>
      <c r="BV60" s="462"/>
      <c r="BW60" s="785">
        <f>$BO60*(1-$BR60)*Tables!$C$36</f>
        <v>0</v>
      </c>
      <c r="BX60" s="602">
        <f t="shared" si="34"/>
        <v>0</v>
      </c>
      <c r="BY60" s="601">
        <f t="shared" si="35"/>
        <v>0</v>
      </c>
      <c r="BZ60" s="462"/>
      <c r="CA60" s="785">
        <f>$BL60*(1-$BR60)*Tables!$C$36</f>
        <v>0</v>
      </c>
      <c r="CB60" s="602">
        <f t="shared" si="36"/>
        <v>0</v>
      </c>
      <c r="CC60" s="601">
        <f t="shared" si="37"/>
        <v>0</v>
      </c>
      <c r="CD60" s="785">
        <f>$BP60*(1-$BR60)*Tables!$C$36</f>
        <v>0</v>
      </c>
      <c r="CE60" s="602">
        <f t="shared" si="38"/>
        <v>0</v>
      </c>
      <c r="CF60" s="601">
        <f t="shared" si="39"/>
        <v>0</v>
      </c>
      <c r="CH60" s="785">
        <f>$BM60*(1-$BR60)*Tables!$C$36</f>
        <v>0</v>
      </c>
      <c r="CI60" s="602">
        <f t="shared" si="40"/>
        <v>0</v>
      </c>
      <c r="CJ60" s="601">
        <f t="shared" si="41"/>
        <v>0</v>
      </c>
      <c r="CK60" s="304"/>
      <c r="CL60" s="304">
        <f t="shared" si="42"/>
        <v>2004</v>
      </c>
      <c r="CM60" s="1018">
        <f>INDEX(OperationalDetail,MATCH("Degraded Heat Rate",ODColumn,0),MATCH('Monthly Table'!CL60,ODRow,0))/1000</f>
        <v>12.163080799999999</v>
      </c>
      <c r="CN60" s="737">
        <f t="shared" si="17"/>
        <v>59.392468934988287</v>
      </c>
      <c r="CO60" s="1019">
        <f>IF(A60="January",(CO59*(1+Assumptions!$E$32)),CO59)</f>
        <v>7.2908571177000026</v>
      </c>
      <c r="CP60" s="741">
        <f t="shared" si="18"/>
        <v>66.683326052688287</v>
      </c>
      <c r="CQ60" s="304"/>
      <c r="CR60" s="575" t="str">
        <f t="shared" si="43"/>
        <v/>
      </c>
      <c r="CS60" s="575" t="str">
        <f t="shared" si="44"/>
        <v/>
      </c>
      <c r="CT60" s="575" t="str">
        <f t="shared" si="45"/>
        <v/>
      </c>
      <c r="CU60" s="575" t="str">
        <f t="shared" si="46"/>
        <v/>
      </c>
      <c r="CV60" s="575" t="str">
        <f t="shared" si="47"/>
        <v/>
      </c>
      <c r="CW60" s="576">
        <f t="shared" si="19"/>
        <v>2005</v>
      </c>
      <c r="CX60" s="787">
        <f>INDEX('NY Curve'!$A$4:$G$256,MATCH('Monthly Table'!B60,'NY Curve'!$A$4:$A$256,0),MATCH("New York 5 X 16",'NY Curve'!$A$4:$G$4,0))</f>
        <v>31.75</v>
      </c>
      <c r="CY60" s="632">
        <f t="shared" si="20"/>
        <v>1.3883428942165801</v>
      </c>
      <c r="CZ60" s="633">
        <f t="shared" si="21"/>
        <v>44.079886891376418</v>
      </c>
      <c r="DB60" s="857"/>
      <c r="DC60" s="857"/>
    </row>
    <row r="61" spans="1:107" ht="18.75" customHeight="1">
      <c r="A61" s="17" t="s">
        <v>439</v>
      </c>
      <c r="B61" s="508">
        <v>38412</v>
      </c>
      <c r="C61" s="43">
        <f t="shared" si="0"/>
        <v>2005</v>
      </c>
      <c r="D61" s="719">
        <f t="shared" si="48"/>
        <v>5</v>
      </c>
      <c r="E61" s="972">
        <v>23</v>
      </c>
      <c r="F61" s="971">
        <v>4</v>
      </c>
      <c r="G61" s="971">
        <v>4</v>
      </c>
      <c r="H61" s="971">
        <v>0</v>
      </c>
      <c r="I61" s="976">
        <f t="shared" si="22"/>
        <v>31</v>
      </c>
      <c r="J61" s="621"/>
      <c r="K61" s="572">
        <f>INDEX(FX!$A$3:$C$362,MATCH(B61,FX!$A$3:$A$362,0),MATCH("Monthly Curve",FX!$A$2:$C$2,0))</f>
        <v>1.3867938513079501</v>
      </c>
      <c r="L61" s="572"/>
      <c r="M61" s="1057">
        <v>2.8180000000000001</v>
      </c>
      <c r="N61" s="1067">
        <v>0.3</v>
      </c>
      <c r="O61" s="315">
        <v>0.05</v>
      </c>
      <c r="P61" s="797">
        <f t="shared" si="1"/>
        <v>0.35</v>
      </c>
      <c r="Q61" s="732">
        <f t="shared" si="2"/>
        <v>3.1679999999999997</v>
      </c>
      <c r="R61" s="723">
        <f>IF(A61="January",(R60+R60*Assumptions!$E$32),R60)</f>
        <v>0.32508223155692312</v>
      </c>
      <c r="S61" s="730">
        <f t="shared" si="3"/>
        <v>4.7184451525005082</v>
      </c>
      <c r="T61" s="572"/>
      <c r="V61" s="584"/>
      <c r="W61" s="584"/>
      <c r="X61" s="461"/>
      <c r="Y61" s="588">
        <f>Tables!$D$36</f>
        <v>312</v>
      </c>
      <c r="Z61" s="570">
        <f t="shared" si="4"/>
        <v>0</v>
      </c>
      <c r="AA61" s="592">
        <f t="shared" si="5"/>
        <v>0</v>
      </c>
      <c r="AB61" s="589">
        <f t="shared" si="6"/>
        <v>0</v>
      </c>
      <c r="AC61" s="462"/>
      <c r="AD61" s="1027">
        <f>IF(Tables!$E$30="Michigan",INDEX('Michigan Curve'!$A$4:$S$256,MATCH('Monthly Table'!B61,'Michigan Curve'!$A$4:$A$256,0),MATCH("Michigan Selected Option Value US$/month",'Michigan Curve'!$A$4:$S$4,0)),INDEX('NY Curve'!$A$4:$T$256,MATCH('Monthly Table'!B61,'NY Curve'!$A$4:$A$256,0),MATCH("New York Selected Option Value US$/month",'NY Curve'!$A$4:$T$4,0)))</f>
        <v>22030.523339477139</v>
      </c>
      <c r="AE61" s="601">
        <f t="shared" si="23"/>
        <v>30551.794308283184</v>
      </c>
      <c r="AF61" s="462"/>
      <c r="AG61" s="915"/>
      <c r="AH61" s="462"/>
      <c r="AI61" s="799">
        <f>Assumptions!$B$50</f>
        <v>65</v>
      </c>
      <c r="AJ61" s="743"/>
      <c r="AK61" s="924">
        <f>IF(Tables!$E$30="Custom",'Monthly Table'!AI61,IF(Tables!$E$30="New York",INDEX('NY Curve'!$A$4:$G$256,MATCH('Monthly Table'!B61,'NY Curve'!$A$4:$A$256,0),MATCH("Super Peak Curve",'NY Curve'!$A$4:$G$4,0)),IF(Tables!$E$30="New York Flat",INDEX('NY Curve'!$A$4:$G$256,MATCH('Monthly Table'!B61,'NY Curve'!$A$4:$A$256,0),MATCH("Flat NY West",'NY Curve'!$A$4:$G$4,0)),INDEX('Michigan Curve'!$A$4:$F$256,MATCH('Monthly Table'!B61,'Michigan Curve'!$A$4:$A$256,0),MATCH("Michigan Super Peak Curve US$/MWhr",'Michigan Curve'!$A$4:$F$4,0)))))</f>
        <v>26.01</v>
      </c>
      <c r="AL61" s="965">
        <f>IF(D61&lt;=Tables!$B$21,IF($AL$10=$AI$10,AI61,IF($AL$10=$AJ$10,AJ61,IF($AL$10=$AK$10,AK61,0))),0)</f>
        <v>26.01</v>
      </c>
      <c r="AM61" s="708">
        <f t="shared" si="24"/>
        <v>36.070508072519786</v>
      </c>
      <c r="AN61" s="916">
        <f t="shared" si="25"/>
        <v>0</v>
      </c>
      <c r="AO61" s="905"/>
      <c r="AP61" s="925"/>
      <c r="AQ61" s="926">
        <f>IF(Tables!$E$30="New York",INDEX('NY Curve'!$A$4:$L$256,MATCH('Monthly Table'!B61,'NY Curve'!$A$4:$A$256,0),MATCH("New York Shoulder Hour Curve Mon-Fri",'NY Curve'!$A$4:$L$4,0)),IF(Tables!$E$30="Michigan",INDEX('Michigan Curve'!$A$4:$K$256,MATCH('Monthly Table'!B61,'Michigan Curve'!$A$4:$A$256,0),MATCH("Michigan Shoulder Hour Curve Mon-Fri",'Michigan Curve'!$A$4:$K$4,0))))</f>
        <v>24.99</v>
      </c>
      <c r="AR61" s="708">
        <f t="shared" si="26"/>
        <v>34.655978344185669</v>
      </c>
      <c r="AS61" s="927">
        <f t="shared" si="7"/>
        <v>0</v>
      </c>
      <c r="AT61" s="462"/>
      <c r="AU61" s="926">
        <f>IF(Tables!$E$30="New York",INDEX('NY Curve'!$A$4:$L$256,MATCH('Monthly Table'!$B61,'NY Curve'!$A$4:$A$256,0),MATCH("New York Saturday Super Peak",'NY Curve'!$A$4:$L$4,0)),IF(Tables!$E$30="Michigan",INDEX('Michigan Curve'!$A$4:$K$256,MATCH('Monthly Table'!$B61,'Michigan Curve'!$A$4:$A$256,0),MATCH("Michigan Saturday Super Peak",'Michigan Curve'!$A$4:$K$4,0))))</f>
        <v>20.399999999999999</v>
      </c>
      <c r="AV61" s="925">
        <f t="shared" si="8"/>
        <v>28.290594566682181</v>
      </c>
      <c r="AW61" s="927">
        <f t="shared" si="9"/>
        <v>0</v>
      </c>
      <c r="AX61" s="926">
        <f>IF(Tables!$E$30="New York",INDEX('NY Curve'!$A$4:$L$256,MATCH('Monthly Table'!$B61,'NY Curve'!$A$4:$A$256,0),MATCH("New York Saturday Shoulder Peak",'NY Curve'!$A$4:$L$4,0)),IF(Tables!$E$30="Michigan",INDEX('Michigan Curve'!$A$4:$K$256,MATCH('Monthly Table'!$B61,'Michigan Curve'!$A$4:$A$256,0),MATCH("Michigan Saturday Shoulder Peak",'Michigan Curve'!$A$4:$K$4,0))))</f>
        <v>19.600000000000001</v>
      </c>
      <c r="AY61" s="934">
        <f t="shared" si="27"/>
        <v>27.181159485635824</v>
      </c>
      <c r="AZ61" s="927">
        <f t="shared" si="10"/>
        <v>0</v>
      </c>
      <c r="BA61" s="462"/>
      <c r="BB61" s="926">
        <f>IF(Tables!$E$30="New York",INDEX('NY Curve'!$A$4:$M$256,MATCH('Monthly Table'!$B61,'NY Curve'!$A$4:$A$256,0),MATCH("NY Sunday Super Peak",'NY Curve'!$A$4:$M$4,0)),IF(Tables!$E$30="Michigan",INDEX('Michigan Curve'!$A$4:$L$256,MATCH('Monthly Table'!$B61,'Michigan Curve'!$A$4:$A$256,0),MATCH("Michigan Sunday Super Peak",'Michigan Curve'!$A$4:$L$4,0))))</f>
        <v>19.38</v>
      </c>
      <c r="BC61" s="925">
        <f t="shared" si="28"/>
        <v>26.876064838348071</v>
      </c>
      <c r="BD61" s="927">
        <f t="shared" si="11"/>
        <v>0</v>
      </c>
      <c r="BE61" s="462"/>
      <c r="BF61" s="598">
        <f t="shared" si="12"/>
        <v>38412</v>
      </c>
      <c r="BG61" s="583">
        <f t="shared" si="29"/>
        <v>0</v>
      </c>
      <c r="BH61" s="764">
        <f>IF(Tables!$B$36="Combined Cycle",(BF61-BF60)*24*Assumptions!$B$21,0)</f>
        <v>0</v>
      </c>
      <c r="BI61" s="315">
        <f t="shared" si="30"/>
        <v>0</v>
      </c>
      <c r="BJ61" s="987">
        <f>IF('Monthly Table'!D61&lt;=Tables!$B$21,IF($BJ$10=$BG$10,BG61,IF($BJ$10=$BH$10,BH61,IF($BJ$10=$BI$10,BI61,0))),0)</f>
        <v>0</v>
      </c>
      <c r="BK61" s="43"/>
      <c r="BL61" s="987">
        <f t="shared" si="31"/>
        <v>0</v>
      </c>
      <c r="BM61" s="987">
        <f t="shared" si="32"/>
        <v>0</v>
      </c>
      <c r="BO61" s="987">
        <f t="shared" si="14"/>
        <v>0</v>
      </c>
      <c r="BP61" s="987">
        <f t="shared" si="33"/>
        <v>0</v>
      </c>
      <c r="BR61" s="993">
        <f>IF(BJ61&gt;0,INDEX(OperationalDetail,MATCH("Capacity Degradation",ODColumn,0),MATCH('Monthly Table'!C61,ODRow,0)),0)</f>
        <v>0</v>
      </c>
      <c r="BS61" s="994">
        <f>BJ61*(1-BR61)*Tables!$C$36</f>
        <v>0</v>
      </c>
      <c r="BT61" s="601">
        <f t="shared" si="15"/>
        <v>0</v>
      </c>
      <c r="BU61" s="601">
        <f t="shared" si="16"/>
        <v>0</v>
      </c>
      <c r="BV61" s="462"/>
      <c r="BW61" s="785">
        <f>$BO61*(1-$BR61)*Tables!$C$36</f>
        <v>0</v>
      </c>
      <c r="BX61" s="602">
        <f t="shared" si="34"/>
        <v>0</v>
      </c>
      <c r="BY61" s="601">
        <f t="shared" si="35"/>
        <v>0</v>
      </c>
      <c r="BZ61" s="462"/>
      <c r="CA61" s="785">
        <f>$BL61*(1-$BR61)*Tables!$C$36</f>
        <v>0</v>
      </c>
      <c r="CB61" s="602">
        <f t="shared" si="36"/>
        <v>0</v>
      </c>
      <c r="CC61" s="601">
        <f t="shared" si="37"/>
        <v>0</v>
      </c>
      <c r="CD61" s="785">
        <f>$BP61*(1-$BR61)*Tables!$C$36</f>
        <v>0</v>
      </c>
      <c r="CE61" s="602">
        <f t="shared" si="38"/>
        <v>0</v>
      </c>
      <c r="CF61" s="601">
        <f t="shared" si="39"/>
        <v>0</v>
      </c>
      <c r="CH61" s="785">
        <f>$BM61*(1-$BR61)*Tables!$C$36</f>
        <v>0</v>
      </c>
      <c r="CI61" s="602">
        <f t="shared" si="40"/>
        <v>0</v>
      </c>
      <c r="CJ61" s="601">
        <f t="shared" si="41"/>
        <v>0</v>
      </c>
      <c r="CK61" s="304"/>
      <c r="CL61" s="304">
        <f t="shared" si="42"/>
        <v>2004</v>
      </c>
      <c r="CM61" s="1018">
        <f>INDEX(OperationalDetail,MATCH("Degraded Heat Rate",ODColumn,0),MATCH('Monthly Table'!CL61,ODRow,0))/1000</f>
        <v>12.163080799999999</v>
      </c>
      <c r="CN61" s="737">
        <f t="shared" si="17"/>
        <v>57.390829640231999</v>
      </c>
      <c r="CO61" s="1019">
        <f>IF(A61="January",(CO60*(1+Assumptions!$E$32)),CO60)</f>
        <v>7.2908571177000026</v>
      </c>
      <c r="CP61" s="741">
        <f t="shared" si="18"/>
        <v>64.681686757931999</v>
      </c>
      <c r="CQ61" s="304"/>
      <c r="CR61" s="575" t="str">
        <f t="shared" si="43"/>
        <v/>
      </c>
      <c r="CS61" s="575" t="str">
        <f t="shared" si="44"/>
        <v/>
      </c>
      <c r="CT61" s="575" t="str">
        <f t="shared" si="45"/>
        <v/>
      </c>
      <c r="CU61" s="575" t="str">
        <f t="shared" si="46"/>
        <v/>
      </c>
      <c r="CV61" s="575" t="str">
        <f t="shared" si="47"/>
        <v/>
      </c>
      <c r="CW61" s="576">
        <f t="shared" si="19"/>
        <v>2005</v>
      </c>
      <c r="CX61" s="787">
        <f>INDEX('NY Curve'!$A$4:$G$256,MATCH('Monthly Table'!B61,'NY Curve'!$A$4:$A$256,0),MATCH("New York 5 X 16",'NY Curve'!$A$4:$G$4,0))</f>
        <v>26.75</v>
      </c>
      <c r="CY61" s="632">
        <f t="shared" si="20"/>
        <v>1.3867938513079501</v>
      </c>
      <c r="CZ61" s="633">
        <f t="shared" si="21"/>
        <v>37.096735522487663</v>
      </c>
      <c r="DB61" s="857"/>
      <c r="DC61" s="857"/>
    </row>
    <row r="62" spans="1:107" ht="18.75" customHeight="1">
      <c r="A62" s="17" t="s">
        <v>440</v>
      </c>
      <c r="B62" s="508">
        <v>38443</v>
      </c>
      <c r="C62" s="43">
        <f t="shared" si="0"/>
        <v>2005</v>
      </c>
      <c r="D62" s="719">
        <f t="shared" si="48"/>
        <v>5</v>
      </c>
      <c r="E62" s="972">
        <v>21</v>
      </c>
      <c r="F62" s="971">
        <v>5</v>
      </c>
      <c r="G62" s="971">
        <v>4</v>
      </c>
      <c r="H62" s="971">
        <v>0</v>
      </c>
      <c r="I62" s="976">
        <f t="shared" si="22"/>
        <v>30</v>
      </c>
      <c r="J62" s="621"/>
      <c r="K62" s="572">
        <f>INDEX(FX!$A$3:$C$362,MATCH(B62,FX!$A$3:$A$362,0),MATCH("Monthly Curve",FX!$A$2:$C$2,0))</f>
        <v>1.38506078421694</v>
      </c>
      <c r="L62" s="572"/>
      <c r="M62" s="1057">
        <v>2.7505000000000002</v>
      </c>
      <c r="N62" s="1067">
        <v>0.13500000000000001</v>
      </c>
      <c r="O62" s="315">
        <v>0.05</v>
      </c>
      <c r="P62" s="797">
        <f t="shared" si="1"/>
        <v>0.185</v>
      </c>
      <c r="Q62" s="732">
        <f t="shared" si="2"/>
        <v>2.9355000000000002</v>
      </c>
      <c r="R62" s="723">
        <f>IF(A62="January",(R61+R61*Assumptions!$E$32),R61)</f>
        <v>0.32508223155692312</v>
      </c>
      <c r="S62" s="730">
        <f t="shared" si="3"/>
        <v>4.3909281636257509</v>
      </c>
      <c r="T62" s="572"/>
      <c r="V62" s="584"/>
      <c r="W62" s="584"/>
      <c r="X62" s="461"/>
      <c r="Y62" s="588">
        <f>Tables!$D$36</f>
        <v>312</v>
      </c>
      <c r="Z62" s="570">
        <f t="shared" si="4"/>
        <v>0</v>
      </c>
      <c r="AA62" s="592">
        <f t="shared" si="5"/>
        <v>0</v>
      </c>
      <c r="AB62" s="589">
        <f t="shared" si="6"/>
        <v>0</v>
      </c>
      <c r="AC62" s="462"/>
      <c r="AD62" s="1027">
        <f>IF(Tables!$E$30="Michigan",INDEX('Michigan Curve'!$A$4:$S$256,MATCH('Monthly Table'!B62,'Michigan Curve'!$A$4:$A$256,0),MATCH("Michigan Selected Option Value US$/month",'Michigan Curve'!$A$4:$S$4,0)),INDEX('NY Curve'!$A$4:$T$256,MATCH('Monthly Table'!B62,'NY Curve'!$A$4:$A$256,0),MATCH("New York Selected Option Value US$/month",'NY Curve'!$A$4:$T$4,0)))</f>
        <v>28609.313405374178</v>
      </c>
      <c r="AE62" s="601">
        <f t="shared" si="23"/>
        <v>39625.638061155776</v>
      </c>
      <c r="AF62" s="462"/>
      <c r="AG62" s="915"/>
      <c r="AH62" s="462"/>
      <c r="AI62" s="799">
        <f>Assumptions!$B$50</f>
        <v>65</v>
      </c>
      <c r="AJ62" s="743"/>
      <c r="AK62" s="924">
        <f>IF(Tables!$E$30="Custom",'Monthly Table'!AI62,IF(Tables!$E$30="New York",INDEX('NY Curve'!$A$4:$G$256,MATCH('Monthly Table'!B62,'NY Curve'!$A$4:$A$256,0),MATCH("Super Peak Curve",'NY Curve'!$A$4:$G$4,0)),IF(Tables!$E$30="New York Flat",INDEX('NY Curve'!$A$4:$G$256,MATCH('Monthly Table'!B62,'NY Curve'!$A$4:$A$256,0),MATCH("Flat NY West",'NY Curve'!$A$4:$G$4,0)),INDEX('Michigan Curve'!$A$4:$F$256,MATCH('Monthly Table'!B62,'Michigan Curve'!$A$4:$A$256,0),MATCH("Michigan Super Peak Curve US$/MWhr",'Michigan Curve'!$A$4:$F$4,0)))))</f>
        <v>25.75</v>
      </c>
      <c r="AL62" s="965">
        <f>IF(D62&lt;=Tables!$B$21,IF($AL$10=$AI$10,AI62,IF($AL$10=$AJ$10,AJ62,IF($AL$10=$AK$10,AK62,0))),0)</f>
        <v>25.75</v>
      </c>
      <c r="AM62" s="708">
        <f t="shared" si="24"/>
        <v>35.665315193586203</v>
      </c>
      <c r="AN62" s="916">
        <f t="shared" si="25"/>
        <v>0</v>
      </c>
      <c r="AO62" s="905"/>
      <c r="AP62" s="925"/>
      <c r="AQ62" s="926">
        <f>IF(Tables!$E$30="New York",INDEX('NY Curve'!$A$4:$L$256,MATCH('Monthly Table'!B62,'NY Curve'!$A$4:$A$256,0),MATCH("New York Shoulder Hour Curve Mon-Fri",'NY Curve'!$A$4:$L$4,0)),IF(Tables!$E$30="Michigan",INDEX('Michigan Curve'!$A$4:$K$256,MATCH('Monthly Table'!B62,'Michigan Curve'!$A$4:$A$256,0),MATCH("Michigan Shoulder Hour Curve Mon-Fri",'Michigan Curve'!$A$4:$K$4,0))))</f>
        <v>25.75</v>
      </c>
      <c r="AR62" s="708">
        <f t="shared" si="26"/>
        <v>35.665315193586203</v>
      </c>
      <c r="AS62" s="927">
        <f t="shared" si="7"/>
        <v>0</v>
      </c>
      <c r="AT62" s="462"/>
      <c r="AU62" s="926">
        <f>IF(Tables!$E$30="New York",INDEX('NY Curve'!$A$4:$L$256,MATCH('Monthly Table'!$B62,'NY Curve'!$A$4:$A$256,0),MATCH("New York Saturday Super Peak",'NY Curve'!$A$4:$L$4,0)),IF(Tables!$E$30="Michigan",INDEX('Michigan Curve'!$A$4:$K$256,MATCH('Monthly Table'!$B62,'Michigan Curve'!$A$4:$A$256,0),MATCH("Michigan Saturday Super Peak",'Michigan Curve'!$A$4:$K$4,0))))</f>
        <v>20</v>
      </c>
      <c r="AV62" s="925">
        <f t="shared" si="8"/>
        <v>27.701215684338798</v>
      </c>
      <c r="AW62" s="927">
        <f t="shared" si="9"/>
        <v>0</v>
      </c>
      <c r="AX62" s="926">
        <f>IF(Tables!$E$30="New York",INDEX('NY Curve'!$A$4:$L$256,MATCH('Monthly Table'!$B62,'NY Curve'!$A$4:$A$256,0),MATCH("New York Saturday Shoulder Peak",'NY Curve'!$A$4:$L$4,0)),IF(Tables!$E$30="Michigan",INDEX('Michigan Curve'!$A$4:$K$256,MATCH('Monthly Table'!$B62,'Michigan Curve'!$A$4:$A$256,0),MATCH("Michigan Saturday Shoulder Peak",'Michigan Curve'!$A$4:$K$4,0))))</f>
        <v>20</v>
      </c>
      <c r="AY62" s="934">
        <f t="shared" si="27"/>
        <v>27.701215684338798</v>
      </c>
      <c r="AZ62" s="927">
        <f t="shared" si="10"/>
        <v>0</v>
      </c>
      <c r="BA62" s="462"/>
      <c r="BB62" s="926">
        <f>IF(Tables!$E$30="New York",INDEX('NY Curve'!$A$4:$M$256,MATCH('Monthly Table'!$B62,'NY Curve'!$A$4:$A$256,0),MATCH("NY Sunday Super Peak",'NY Curve'!$A$4:$M$4,0)),IF(Tables!$E$30="Michigan",INDEX('Michigan Curve'!$A$4:$L$256,MATCH('Monthly Table'!$B62,'Michigan Curve'!$A$4:$A$256,0),MATCH("Michigan Sunday Super Peak",'Michigan Curve'!$A$4:$L$4,0))))</f>
        <v>18.995000839233398</v>
      </c>
      <c r="BC62" s="925">
        <f t="shared" si="28"/>
        <v>26.309230758590044</v>
      </c>
      <c r="BD62" s="927">
        <f t="shared" si="11"/>
        <v>0</v>
      </c>
      <c r="BE62" s="462"/>
      <c r="BF62" s="598">
        <f t="shared" si="12"/>
        <v>38443</v>
      </c>
      <c r="BG62" s="583">
        <f t="shared" si="29"/>
        <v>0</v>
      </c>
      <c r="BH62" s="764">
        <f>IF(Tables!$B$36="Combined Cycle",(BF62-BF61)*24*Assumptions!$B$21,0)</f>
        <v>0</v>
      </c>
      <c r="BI62" s="315">
        <f t="shared" si="30"/>
        <v>0</v>
      </c>
      <c r="BJ62" s="987">
        <f>IF('Monthly Table'!D62&lt;=Tables!$B$21,IF($BJ$10=$BG$10,BG62,IF($BJ$10=$BH$10,BH62,IF($BJ$10=$BI$10,BI62,0))),0)</f>
        <v>0</v>
      </c>
      <c r="BK62" s="43"/>
      <c r="BL62" s="987">
        <f t="shared" si="31"/>
        <v>0</v>
      </c>
      <c r="BM62" s="987">
        <f t="shared" si="32"/>
        <v>0</v>
      </c>
      <c r="BO62" s="987">
        <f t="shared" si="14"/>
        <v>0</v>
      </c>
      <c r="BP62" s="987">
        <f t="shared" si="33"/>
        <v>0</v>
      </c>
      <c r="BR62" s="993">
        <f>IF(BJ62&gt;0,INDEX(OperationalDetail,MATCH("Capacity Degradation",ODColumn,0),MATCH('Monthly Table'!C62,ODRow,0)),0)</f>
        <v>0</v>
      </c>
      <c r="BS62" s="994">
        <f>BJ62*(1-BR62)*Tables!$C$36</f>
        <v>0</v>
      </c>
      <c r="BT62" s="601">
        <f t="shared" si="15"/>
        <v>0</v>
      </c>
      <c r="BU62" s="601">
        <f t="shared" si="16"/>
        <v>0</v>
      </c>
      <c r="BV62" s="462"/>
      <c r="BW62" s="785">
        <f>$BO62*(1-$BR62)*Tables!$C$36</f>
        <v>0</v>
      </c>
      <c r="BX62" s="602">
        <f t="shared" si="34"/>
        <v>0</v>
      </c>
      <c r="BY62" s="601">
        <f t="shared" si="35"/>
        <v>0</v>
      </c>
      <c r="BZ62" s="462"/>
      <c r="CA62" s="785">
        <f>$BL62*(1-$BR62)*Tables!$C$36</f>
        <v>0</v>
      </c>
      <c r="CB62" s="602">
        <f t="shared" si="36"/>
        <v>0</v>
      </c>
      <c r="CC62" s="601">
        <f t="shared" si="37"/>
        <v>0</v>
      </c>
      <c r="CD62" s="785">
        <f>$BP62*(1-$BR62)*Tables!$C$36</f>
        <v>0</v>
      </c>
      <c r="CE62" s="602">
        <f t="shared" si="38"/>
        <v>0</v>
      </c>
      <c r="CF62" s="601">
        <f t="shared" si="39"/>
        <v>0</v>
      </c>
      <c r="CH62" s="785">
        <f>$BM62*(1-$BR62)*Tables!$C$36</f>
        <v>0</v>
      </c>
      <c r="CI62" s="602">
        <f t="shared" si="40"/>
        <v>0</v>
      </c>
      <c r="CJ62" s="601">
        <f t="shared" si="41"/>
        <v>0</v>
      </c>
      <c r="CK62" s="304"/>
      <c r="CL62" s="304">
        <f t="shared" si="42"/>
        <v>2004</v>
      </c>
      <c r="CM62" s="1018">
        <f>INDEX(OperationalDetail,MATCH("Degraded Heat Rate",ODColumn,0),MATCH('Monthly Table'!CL62,ODRow,0))/1000</f>
        <v>12.163080799999999</v>
      </c>
      <c r="CN62" s="737">
        <f t="shared" si="17"/>
        <v>53.407214041175628</v>
      </c>
      <c r="CO62" s="1019">
        <f>IF(A62="January",(CO61*(1+Assumptions!$E$32)),CO61)</f>
        <v>7.2908571177000026</v>
      </c>
      <c r="CP62" s="741">
        <f t="shared" si="18"/>
        <v>60.698071158875628</v>
      </c>
      <c r="CQ62" s="304"/>
      <c r="CR62" s="575" t="str">
        <f t="shared" si="43"/>
        <v/>
      </c>
      <c r="CS62" s="575" t="str">
        <f t="shared" si="44"/>
        <v/>
      </c>
      <c r="CT62" s="575" t="str">
        <f t="shared" si="45"/>
        <v/>
      </c>
      <c r="CU62" s="575" t="str">
        <f t="shared" si="46"/>
        <v/>
      </c>
      <c r="CV62" s="575" t="str">
        <f t="shared" si="47"/>
        <v/>
      </c>
      <c r="CW62" s="576">
        <f t="shared" si="19"/>
        <v>2005</v>
      </c>
      <c r="CX62" s="787">
        <f>INDEX('NY Curve'!$A$4:$G$256,MATCH('Monthly Table'!B62,'NY Curve'!$A$4:$A$256,0),MATCH("New York 5 X 16",'NY Curve'!$A$4:$G$4,0))</f>
        <v>25.5</v>
      </c>
      <c r="CY62" s="632">
        <f t="shared" si="20"/>
        <v>1.38506078421694</v>
      </c>
      <c r="CZ62" s="633">
        <f t="shared" si="21"/>
        <v>35.31904999753197</v>
      </c>
      <c r="DB62" s="857"/>
      <c r="DC62" s="857"/>
    </row>
    <row r="63" spans="1:107" ht="18.75" customHeight="1">
      <c r="A63" s="17" t="s">
        <v>441</v>
      </c>
      <c r="B63" s="508">
        <v>38473</v>
      </c>
      <c r="C63" s="43">
        <f t="shared" si="0"/>
        <v>2005</v>
      </c>
      <c r="D63" s="719">
        <f t="shared" si="48"/>
        <v>5</v>
      </c>
      <c r="E63" s="972">
        <v>21</v>
      </c>
      <c r="F63" s="971">
        <v>4</v>
      </c>
      <c r="G63" s="971">
        <v>5</v>
      </c>
      <c r="H63" s="971">
        <v>1</v>
      </c>
      <c r="I63" s="976">
        <f t="shared" si="22"/>
        <v>31</v>
      </c>
      <c r="J63" s="621"/>
      <c r="K63" s="572">
        <f>INDEX(FX!$A$3:$C$362,MATCH(B63,FX!$A$3:$A$362,0),MATCH("Monthly Curve",FX!$A$2:$C$2,0))</f>
        <v>1.3838833547190701</v>
      </c>
      <c r="L63" s="572"/>
      <c r="M63" s="1057">
        <v>2.7244999999999999</v>
      </c>
      <c r="N63" s="1067">
        <v>0.13500000000000001</v>
      </c>
      <c r="O63" s="315">
        <v>0.05</v>
      </c>
      <c r="P63" s="797">
        <f t="shared" si="1"/>
        <v>0.185</v>
      </c>
      <c r="Q63" s="732">
        <f t="shared" si="2"/>
        <v>2.9094999999999995</v>
      </c>
      <c r="R63" s="723">
        <f>IF(A63="January",(R62+R62*Assumptions!$E$32),R62)</f>
        <v>0.32508223155692312</v>
      </c>
      <c r="S63" s="730">
        <f t="shared" si="3"/>
        <v>4.3514908521120566</v>
      </c>
      <c r="T63" s="572"/>
      <c r="V63" s="584"/>
      <c r="W63" s="584"/>
      <c r="X63" s="461"/>
      <c r="Y63" s="588">
        <f>Tables!$D$36</f>
        <v>312</v>
      </c>
      <c r="Z63" s="570">
        <f t="shared" si="4"/>
        <v>0</v>
      </c>
      <c r="AA63" s="592">
        <f t="shared" si="5"/>
        <v>0</v>
      </c>
      <c r="AB63" s="589">
        <f t="shared" si="6"/>
        <v>0</v>
      </c>
      <c r="AC63" s="462"/>
      <c r="AD63" s="1027">
        <f>IF(Tables!$E$30="Michigan",INDEX('Michigan Curve'!$A$4:$S$256,MATCH('Monthly Table'!B63,'Michigan Curve'!$A$4:$A$256,0),MATCH("Michigan Selected Option Value US$/month",'Michigan Curve'!$A$4:$S$4,0)),INDEX('NY Curve'!$A$4:$T$256,MATCH('Monthly Table'!B63,'NY Curve'!$A$4:$A$256,0),MATCH("New York Selected Option Value US$/month",'NY Curve'!$A$4:$T$4,0)))</f>
        <v>88315.176037359357</v>
      </c>
      <c r="AE63" s="601">
        <f t="shared" si="23"/>
        <v>122217.9020871861</v>
      </c>
      <c r="AF63" s="462"/>
      <c r="AG63" s="915"/>
      <c r="AH63" s="462"/>
      <c r="AI63" s="799">
        <f>Assumptions!$B$50</f>
        <v>65</v>
      </c>
      <c r="AJ63" s="743"/>
      <c r="AK63" s="924">
        <f>IF(Tables!$E$30="Custom",'Monthly Table'!AI63,IF(Tables!$E$30="New York",INDEX('NY Curve'!$A$4:$G$256,MATCH('Monthly Table'!B63,'NY Curve'!$A$4:$A$256,0),MATCH("Super Peak Curve",'NY Curve'!$A$4:$G$4,0)),IF(Tables!$E$30="New York Flat",INDEX('NY Curve'!$A$4:$G$256,MATCH('Monthly Table'!B63,'NY Curve'!$A$4:$A$256,0),MATCH("Flat NY West",'NY Curve'!$A$4:$G$4,0)),INDEX('Michigan Curve'!$A$4:$F$256,MATCH('Monthly Table'!B63,'Michigan Curve'!$A$4:$A$256,0),MATCH("Michigan Super Peak Curve US$/MWhr",'Michigan Curve'!$A$4:$F$4,0)))))</f>
        <v>31.749375052750111</v>
      </c>
      <c r="AL63" s="965">
        <f>IF(D63&lt;=Tables!$B$21,IF($AL$10=$AI$10,AI63,IF($AL$10=$AJ$10,AJ63,IF($AL$10=$AK$10,AK63,0))),0)</f>
        <v>31.749375052750111</v>
      </c>
      <c r="AM63" s="708">
        <f t="shared" si="24"/>
        <v>43.937431658233777</v>
      </c>
      <c r="AN63" s="916">
        <f t="shared" si="25"/>
        <v>0</v>
      </c>
      <c r="AO63" s="905"/>
      <c r="AP63" s="925"/>
      <c r="AQ63" s="926">
        <f>IF(Tables!$E$30="New York",INDEX('NY Curve'!$A$4:$L$256,MATCH('Monthly Table'!B63,'NY Curve'!$A$4:$A$256,0),MATCH("New York Shoulder Hour Curve Mon-Fri",'NY Curve'!$A$4:$L$4,0)),IF(Tables!$E$30="Michigan",INDEX('Michigan Curve'!$A$4:$K$256,MATCH('Monthly Table'!B63,'Michigan Curve'!$A$4:$A$256,0),MATCH("Michigan Shoulder Hour Curve Mon-Fri",'Michigan Curve'!$A$4:$K$4,0))))</f>
        <v>27.250624947249889</v>
      </c>
      <c r="AR63" s="708">
        <f t="shared" si="26"/>
        <v>37.711686270191358</v>
      </c>
      <c r="AS63" s="927">
        <f t="shared" si="7"/>
        <v>0</v>
      </c>
      <c r="AT63" s="462"/>
      <c r="AU63" s="926">
        <f>IF(Tables!$E$30="New York",INDEX('NY Curve'!$A$4:$L$256,MATCH('Monthly Table'!$B63,'NY Curve'!$A$4:$A$256,0),MATCH("New York Saturday Super Peak",'NY Curve'!$A$4:$L$4,0)),IF(Tables!$E$30="Michigan",INDEX('Michigan Curve'!$A$4:$K$256,MATCH('Monthly Table'!$B63,'Michigan Curve'!$A$4:$A$256,0),MATCH("Michigan Saturday Super Peak",'Michigan Curve'!$A$4:$K$4,0))))</f>
        <v>22.601250037550926</v>
      </c>
      <c r="AV63" s="925">
        <f t="shared" si="8"/>
        <v>31.277493722810483</v>
      </c>
      <c r="AW63" s="927">
        <f t="shared" si="9"/>
        <v>0</v>
      </c>
      <c r="AX63" s="926">
        <f>IF(Tables!$E$30="New York",INDEX('NY Curve'!$A$4:$L$256,MATCH('Monthly Table'!$B63,'NY Curve'!$A$4:$A$256,0),MATCH("New York Saturday Shoulder Peak",'NY Curve'!$A$4:$L$4,0)),IF(Tables!$E$30="Michigan",INDEX('Michigan Curve'!$A$4:$K$256,MATCH('Monthly Table'!$B63,'Michigan Curve'!$A$4:$A$256,0),MATCH("Michigan Saturday Shoulder Peak",'Michigan Curve'!$A$4:$K$4,0))))</f>
        <v>19.398749962449074</v>
      </c>
      <c r="AY63" s="934">
        <f t="shared" si="27"/>
        <v>26.845607175390459</v>
      </c>
      <c r="AZ63" s="927">
        <f t="shared" si="10"/>
        <v>0</v>
      </c>
      <c r="BA63" s="462"/>
      <c r="BB63" s="926">
        <f>IF(Tables!$E$30="New York",INDEX('NY Curve'!$A$4:$M$256,MATCH('Monthly Table'!$B63,'NY Curve'!$A$4:$A$256,0),MATCH("NY Sunday Super Peak",'NY Curve'!$A$4:$M$4,0)),IF(Tables!$E$30="Michigan",INDEX('Michigan Curve'!$A$4:$L$256,MATCH('Monthly Table'!$B63,'Michigan Curve'!$A$4:$A$256,0),MATCH("Michigan Sunday Super Peak",'Michigan Curve'!$A$4:$L$4,0))))</f>
        <v>21.530380382546781</v>
      </c>
      <c r="BC63" s="925">
        <f t="shared" si="28"/>
        <v>29.795535032176495</v>
      </c>
      <c r="BD63" s="927">
        <f t="shared" si="11"/>
        <v>0</v>
      </c>
      <c r="BE63" s="462"/>
      <c r="BF63" s="598">
        <f t="shared" si="12"/>
        <v>38473</v>
      </c>
      <c r="BG63" s="583">
        <f t="shared" si="29"/>
        <v>0</v>
      </c>
      <c r="BH63" s="764">
        <f>IF(Tables!$B$36="Combined Cycle",(BF63-BF62)*24*Assumptions!$B$21,0)</f>
        <v>0</v>
      </c>
      <c r="BI63" s="315">
        <f t="shared" si="30"/>
        <v>0</v>
      </c>
      <c r="BJ63" s="987">
        <f>IF('Monthly Table'!D63&lt;=Tables!$B$21,IF($BJ$10=$BG$10,BG63,IF($BJ$10=$BH$10,BH63,IF($BJ$10=$BI$10,BI63,0))),0)</f>
        <v>0</v>
      </c>
      <c r="BK63" s="43"/>
      <c r="BL63" s="987">
        <f t="shared" si="31"/>
        <v>0</v>
      </c>
      <c r="BM63" s="987">
        <f t="shared" si="32"/>
        <v>0</v>
      </c>
      <c r="BO63" s="987">
        <f t="shared" si="14"/>
        <v>0</v>
      </c>
      <c r="BP63" s="987">
        <f t="shared" si="33"/>
        <v>0</v>
      </c>
      <c r="BR63" s="993">
        <f>IF(BJ63&gt;0,INDEX(OperationalDetail,MATCH("Capacity Degradation",ODColumn,0),MATCH('Monthly Table'!C63,ODRow,0)),0)</f>
        <v>0</v>
      </c>
      <c r="BS63" s="994">
        <f>BJ63*(1-BR63)*Tables!$C$36</f>
        <v>0</v>
      </c>
      <c r="BT63" s="601">
        <f t="shared" si="15"/>
        <v>0</v>
      </c>
      <c r="BU63" s="601">
        <f t="shared" si="16"/>
        <v>0</v>
      </c>
      <c r="BV63" s="462"/>
      <c r="BW63" s="785">
        <f>$BO63*(1-$BR63)*Tables!$C$36</f>
        <v>0</v>
      </c>
      <c r="BX63" s="602">
        <f t="shared" si="34"/>
        <v>0</v>
      </c>
      <c r="BY63" s="601">
        <f t="shared" si="35"/>
        <v>0</v>
      </c>
      <c r="BZ63" s="462"/>
      <c r="CA63" s="785">
        <f>$BL63*(1-$BR63)*Tables!$C$36</f>
        <v>0</v>
      </c>
      <c r="CB63" s="602">
        <f t="shared" si="36"/>
        <v>0</v>
      </c>
      <c r="CC63" s="601">
        <f t="shared" si="37"/>
        <v>0</v>
      </c>
      <c r="CD63" s="785">
        <f>$BP63*(1-$BR63)*Tables!$C$36</f>
        <v>0</v>
      </c>
      <c r="CE63" s="602">
        <f t="shared" si="38"/>
        <v>0</v>
      </c>
      <c r="CF63" s="601">
        <f t="shared" si="39"/>
        <v>0</v>
      </c>
      <c r="CH63" s="785">
        <f>$BM63*(1-$BR63)*Tables!$C$36</f>
        <v>0</v>
      </c>
      <c r="CI63" s="602">
        <f t="shared" si="40"/>
        <v>0</v>
      </c>
      <c r="CJ63" s="601">
        <f t="shared" si="41"/>
        <v>0</v>
      </c>
      <c r="CK63" s="304"/>
      <c r="CL63" s="304">
        <f t="shared" si="42"/>
        <v>2004</v>
      </c>
      <c r="CM63" s="1018">
        <f>INDEX(OperationalDetail,MATCH("Degraded Heat Rate",ODColumn,0),MATCH('Monthly Table'!CL63,ODRow,0))/1000</f>
        <v>12.163080799999999</v>
      </c>
      <c r="CN63" s="737">
        <f t="shared" si="17"/>
        <v>52.927534834699792</v>
      </c>
      <c r="CO63" s="1019">
        <f>IF(A63="January",(CO62*(1+Assumptions!$E$32)),CO62)</f>
        <v>7.2908571177000026</v>
      </c>
      <c r="CP63" s="741">
        <f t="shared" si="18"/>
        <v>60.218391952399791</v>
      </c>
      <c r="CQ63" s="304"/>
      <c r="CR63" s="575" t="str">
        <f t="shared" si="43"/>
        <v/>
      </c>
      <c r="CS63" s="575" t="str">
        <f t="shared" si="44"/>
        <v/>
      </c>
      <c r="CT63" s="575" t="str">
        <f t="shared" si="45"/>
        <v/>
      </c>
      <c r="CU63" s="575" t="str">
        <f t="shared" si="46"/>
        <v/>
      </c>
      <c r="CV63" s="575" t="str">
        <f t="shared" si="47"/>
        <v/>
      </c>
      <c r="CW63" s="576">
        <f t="shared" si="19"/>
        <v>2005</v>
      </c>
      <c r="CX63" s="787">
        <f>INDEX('NY Curve'!$A$4:$G$256,MATCH('Monthly Table'!B63,'NY Curve'!$A$4:$A$256,0),MATCH("New York 5 X 16",'NY Curve'!$A$4:$G$4,0))</f>
        <v>29.75</v>
      </c>
      <c r="CY63" s="632">
        <f t="shared" si="20"/>
        <v>1.3838833547190701</v>
      </c>
      <c r="CZ63" s="633">
        <f t="shared" si="21"/>
        <v>41.170529802892332</v>
      </c>
      <c r="DB63" s="857"/>
      <c r="DC63" s="857"/>
    </row>
    <row r="64" spans="1:107" ht="18.75" customHeight="1">
      <c r="A64" s="17" t="s">
        <v>442</v>
      </c>
      <c r="B64" s="508">
        <v>38504</v>
      </c>
      <c r="C64" s="43">
        <f t="shared" si="0"/>
        <v>2005</v>
      </c>
      <c r="D64" s="719">
        <f t="shared" si="48"/>
        <v>5</v>
      </c>
      <c r="E64" s="972">
        <v>22</v>
      </c>
      <c r="F64" s="971">
        <v>4</v>
      </c>
      <c r="G64" s="971">
        <v>4</v>
      </c>
      <c r="H64" s="971">
        <v>0</v>
      </c>
      <c r="I64" s="976">
        <f t="shared" si="22"/>
        <v>30</v>
      </c>
      <c r="J64" s="621"/>
      <c r="K64" s="572">
        <f>INDEX(FX!$A$3:$C$362,MATCH(B64,FX!$A$3:$A$362,0),MATCH("Monthly Curve",FX!$A$2:$C$2,0))</f>
        <v>1.3827692446859201</v>
      </c>
      <c r="L64" s="572"/>
      <c r="M64" s="1057">
        <v>2.7335000000000003</v>
      </c>
      <c r="N64" s="1067">
        <v>0.13500000000000001</v>
      </c>
      <c r="O64" s="315">
        <v>0.05</v>
      </c>
      <c r="P64" s="797">
        <f t="shared" si="1"/>
        <v>0.185</v>
      </c>
      <c r="Q64" s="732">
        <f t="shared" si="2"/>
        <v>2.9184999999999999</v>
      </c>
      <c r="R64" s="723">
        <f>IF(A64="January",(R63+R63*Assumptions!$E$32),R63)</f>
        <v>0.32508223155692312</v>
      </c>
      <c r="S64" s="730">
        <f t="shared" si="3"/>
        <v>4.3606942721727808</v>
      </c>
      <c r="T64" s="572"/>
      <c r="U64" s="565"/>
      <c r="V64" s="581"/>
      <c r="W64" s="581"/>
      <c r="X64" s="818"/>
      <c r="Y64" s="588">
        <f>Tables!$D$36</f>
        <v>312</v>
      </c>
      <c r="Z64" s="570">
        <f t="shared" si="4"/>
        <v>0</v>
      </c>
      <c r="AA64" s="592">
        <f t="shared" si="5"/>
        <v>0</v>
      </c>
      <c r="AB64" s="589">
        <f t="shared" si="6"/>
        <v>0</v>
      </c>
      <c r="AC64" s="462"/>
      <c r="AD64" s="1027">
        <f>IF(Tables!$E$30="Michigan",INDEX('Michigan Curve'!$A$4:$S$256,MATCH('Monthly Table'!B64,'Michigan Curve'!$A$4:$A$256,0),MATCH("Michigan Selected Option Value US$/month",'Michigan Curve'!$A$4:$S$4,0)),INDEX('NY Curve'!$A$4:$T$256,MATCH('Monthly Table'!B64,'NY Curve'!$A$4:$A$256,0),MATCH("New York Selected Option Value US$/month",'NY Curve'!$A$4:$T$4,0)))</f>
        <v>286853.7533324738</v>
      </c>
      <c r="AE64" s="601">
        <f t="shared" si="23"/>
        <v>396652.54783086607</v>
      </c>
      <c r="AF64" s="462"/>
      <c r="AG64" s="915"/>
      <c r="AH64" s="462"/>
      <c r="AI64" s="799">
        <f>Assumptions!$B$50</f>
        <v>65</v>
      </c>
      <c r="AJ64" s="743"/>
      <c r="AK64" s="924">
        <f>IF(Tables!$E$30="Custom",'Monthly Table'!AI64,IF(Tables!$E$30="New York",INDEX('NY Curve'!$A$4:$G$256,MATCH('Monthly Table'!B64,'NY Curve'!$A$4:$A$256,0),MATCH("Super Peak Curve",'NY Curve'!$A$4:$G$4,0)),IF(Tables!$E$30="New York Flat",INDEX('NY Curve'!$A$4:$G$256,MATCH('Monthly Table'!B64,'NY Curve'!$A$4:$A$256,0),MATCH("Flat NY West",'NY Curve'!$A$4:$G$4,0)),INDEX('Michigan Curve'!$A$4:$F$256,MATCH('Monthly Table'!B64,'Michigan Curve'!$A$4:$A$256,0),MATCH("Michigan Super Peak Curve US$/MWhr",'Michigan Curve'!$A$4:$F$4,0)))))</f>
        <v>70.936995023690443</v>
      </c>
      <c r="AL64" s="965">
        <f>IF(D64&lt;=Tables!$B$21,IF($AL$10=$AI$10,AI64,IF($AL$10=$AJ$10,AJ64,IF($AL$10=$AK$10,AK64,0))),0)</f>
        <v>70.936995023690443</v>
      </c>
      <c r="AM64" s="708">
        <f t="shared" si="24"/>
        <v>98.089495029197309</v>
      </c>
      <c r="AN64" s="916">
        <f t="shared" si="25"/>
        <v>1</v>
      </c>
      <c r="AO64" s="905"/>
      <c r="AP64" s="925"/>
      <c r="AQ64" s="926">
        <f>IF(Tables!$E$30="New York",INDEX('NY Curve'!$A$4:$L$256,MATCH('Monthly Table'!B64,'NY Curve'!$A$4:$A$256,0),MATCH("New York Shoulder Hour Curve Mon-Fri",'NY Curve'!$A$4:$L$4,0)),IF(Tables!$E$30="Michigan",INDEX('Michigan Curve'!$A$4:$K$256,MATCH('Monthly Table'!B64,'Michigan Curve'!$A$4:$A$256,0),MATCH("Michigan Shoulder Hour Curve Mon-Fri",'Michigan Curve'!$A$4:$K$4,0))))</f>
        <v>21.563004976309561</v>
      </c>
      <c r="AR64" s="708">
        <f t="shared" si="26"/>
        <v>29.816660104250307</v>
      </c>
      <c r="AS64" s="927">
        <f t="shared" si="7"/>
        <v>0</v>
      </c>
      <c r="AT64" s="462"/>
      <c r="AU64" s="926">
        <f>IF(Tables!$E$30="New York",INDEX('NY Curve'!$A$4:$L$256,MATCH('Monthly Table'!$B64,'NY Curve'!$A$4:$A$256,0),MATCH("New York Saturday Super Peak",'NY Curve'!$A$4:$L$4,0)),IF(Tables!$E$30="Michigan",INDEX('Michigan Curve'!$A$4:$K$256,MATCH('Monthly Table'!$B64,'Michigan Curve'!$A$4:$A$256,0),MATCH("Michigan Saturday Super Peak",'Michigan Curve'!$A$4:$K$4,0))))</f>
        <v>39.878094499804355</v>
      </c>
      <c r="AV64" s="925">
        <f t="shared" si="8"/>
        <v>55.142202611008216</v>
      </c>
      <c r="AW64" s="927">
        <f t="shared" si="9"/>
        <v>0</v>
      </c>
      <c r="AX64" s="926">
        <f>IF(Tables!$E$30="New York",INDEX('NY Curve'!$A$4:$L$256,MATCH('Monthly Table'!$B64,'NY Curve'!$A$4:$A$256,0),MATCH("New York Saturday Shoulder Peak",'NY Curve'!$A$4:$L$4,0)),IF(Tables!$E$30="Michigan",INDEX('Michigan Curve'!$A$4:$K$256,MATCH('Monthly Table'!$B64,'Michigan Curve'!$A$4:$A$256,0),MATCH("Michigan Saturday Shoulder Peak",'Michigan Curve'!$A$4:$K$4,0))))</f>
        <v>12.121905500195645</v>
      </c>
      <c r="AY64" s="934">
        <f t="shared" si="27"/>
        <v>16.761798112659633</v>
      </c>
      <c r="AZ64" s="927">
        <f t="shared" si="10"/>
        <v>0</v>
      </c>
      <c r="BA64" s="462"/>
      <c r="BB64" s="926">
        <f>IF(Tables!$E$30="New York",INDEX('NY Curve'!$A$4:$M$256,MATCH('Monthly Table'!$B64,'NY Curve'!$A$4:$A$256,0),MATCH("NY Sunday Super Peak",'NY Curve'!$A$4:$M$4,0)),IF(Tables!$E$30="Michigan",INDEX('Michigan Curve'!$A$4:$L$256,MATCH('Monthly Table'!$B64,'Michigan Curve'!$A$4:$A$256,0),MATCH("Michigan Sunday Super Peak",'Michigan Curve'!$A$4:$L$4,0))))</f>
        <v>36.810548769050172</v>
      </c>
      <c r="BC64" s="925">
        <f t="shared" si="28"/>
        <v>50.900494717853732</v>
      </c>
      <c r="BD64" s="927">
        <f t="shared" si="11"/>
        <v>0</v>
      </c>
      <c r="BE64" s="462"/>
      <c r="BF64" s="598">
        <f t="shared" si="12"/>
        <v>38504</v>
      </c>
      <c r="BG64" s="583">
        <f t="shared" si="29"/>
        <v>176</v>
      </c>
      <c r="BH64" s="764">
        <f>IF(Tables!$B$36="Combined Cycle",(BF64-BF63)*24*Assumptions!$B$21,0)</f>
        <v>0</v>
      </c>
      <c r="BI64" s="315">
        <f t="shared" si="30"/>
        <v>176</v>
      </c>
      <c r="BJ64" s="987">
        <f>IF('Monthly Table'!D64&lt;=Tables!$B$21,IF($BJ$10=$BG$10,BG64,IF($BJ$10=$BH$10,BH64,IF($BJ$10=$BI$10,BI64,0))),0)</f>
        <v>176</v>
      </c>
      <c r="BK64" s="43"/>
      <c r="BL64" s="987">
        <f t="shared" si="31"/>
        <v>0</v>
      </c>
      <c r="BM64" s="987">
        <f t="shared" si="32"/>
        <v>0</v>
      </c>
      <c r="BO64" s="987">
        <f t="shared" si="14"/>
        <v>0</v>
      </c>
      <c r="BP64" s="987">
        <f t="shared" si="33"/>
        <v>0</v>
      </c>
      <c r="BR64" s="993">
        <f>IF(BJ64&gt;0,INDEX(OperationalDetail,MATCH("Capacity Degradation",ODColumn,0),MATCH('Monthly Table'!C64,ODRow,0)),0)</f>
        <v>1.9570000000000001E-2</v>
      </c>
      <c r="BS64" s="994">
        <f>BJ64*(1-BR64)*Tables!$C$36</f>
        <v>55908.04032</v>
      </c>
      <c r="BT64" s="601">
        <f t="shared" si="15"/>
        <v>3965.9483779641246</v>
      </c>
      <c r="BU64" s="601">
        <f t="shared" si="16"/>
        <v>5483.9914430608023</v>
      </c>
      <c r="BV64" s="462"/>
      <c r="BW64" s="785">
        <f>$BO64*(1-$BR64)*Tables!$C$36</f>
        <v>0</v>
      </c>
      <c r="BX64" s="602">
        <f t="shared" si="34"/>
        <v>0</v>
      </c>
      <c r="BY64" s="601">
        <f t="shared" si="35"/>
        <v>0</v>
      </c>
      <c r="BZ64" s="462"/>
      <c r="CA64" s="785">
        <f>$BL64*(1-$BR64)*Tables!$C$36</f>
        <v>0</v>
      </c>
      <c r="CB64" s="602">
        <f t="shared" si="36"/>
        <v>0</v>
      </c>
      <c r="CC64" s="601">
        <f t="shared" si="37"/>
        <v>0</v>
      </c>
      <c r="CD64" s="785">
        <f>$BP64*(1-$BR64)*Tables!$C$36</f>
        <v>0</v>
      </c>
      <c r="CE64" s="602">
        <f t="shared" si="38"/>
        <v>0</v>
      </c>
      <c r="CF64" s="601">
        <f t="shared" si="39"/>
        <v>0</v>
      </c>
      <c r="CH64" s="785">
        <f>$BM64*(1-$BR64)*Tables!$C$36</f>
        <v>0</v>
      </c>
      <c r="CI64" s="602">
        <f t="shared" si="40"/>
        <v>0</v>
      </c>
      <c r="CJ64" s="601">
        <f t="shared" si="41"/>
        <v>0</v>
      </c>
      <c r="CK64" s="304"/>
      <c r="CL64" s="304">
        <f t="shared" si="42"/>
        <v>2004</v>
      </c>
      <c r="CM64" s="1018">
        <f>INDEX(OperationalDetail,MATCH("Degraded Heat Rate",ODColumn,0),MATCH('Monthly Table'!CL64,ODRow,0))/1000</f>
        <v>12.163080799999999</v>
      </c>
      <c r="CN64" s="737">
        <f t="shared" si="17"/>
        <v>53.03947677653472</v>
      </c>
      <c r="CO64" s="1019">
        <f>IF(A64="January",(CO63*(1+Assumptions!$E$32)),CO63)</f>
        <v>7.2908571177000026</v>
      </c>
      <c r="CP64" s="741">
        <f t="shared" si="18"/>
        <v>60.33033389423472</v>
      </c>
      <c r="CQ64" s="304"/>
      <c r="CR64" s="575">
        <f t="shared" si="43"/>
        <v>2005</v>
      </c>
      <c r="CS64" s="575" t="str">
        <f t="shared" si="44"/>
        <v/>
      </c>
      <c r="CT64" s="575" t="str">
        <f t="shared" si="45"/>
        <v/>
      </c>
      <c r="CU64" s="575" t="str">
        <f t="shared" si="46"/>
        <v/>
      </c>
      <c r="CV64" s="575" t="str">
        <f t="shared" si="47"/>
        <v/>
      </c>
      <c r="CW64" s="576">
        <f t="shared" si="19"/>
        <v>2005</v>
      </c>
      <c r="CX64" s="787">
        <f>INDEX('NY Curve'!$A$4:$G$256,MATCH('Monthly Table'!B64,'NY Curve'!$A$4:$A$256,0),MATCH("New York 5 X 16",'NY Curve'!$A$4:$G$4,0))</f>
        <v>47.75</v>
      </c>
      <c r="CY64" s="632">
        <f t="shared" si="20"/>
        <v>1.3827692446859201</v>
      </c>
      <c r="CZ64" s="633">
        <f t="shared" si="21"/>
        <v>66.027231433752689</v>
      </c>
      <c r="DB64" s="857"/>
      <c r="DC64" s="857"/>
    </row>
    <row r="65" spans="1:107" ht="18.75" customHeight="1">
      <c r="A65" s="17" t="s">
        <v>443</v>
      </c>
      <c r="B65" s="508">
        <v>38534</v>
      </c>
      <c r="C65" s="43">
        <f t="shared" si="0"/>
        <v>2005</v>
      </c>
      <c r="D65" s="719">
        <f t="shared" si="48"/>
        <v>5</v>
      </c>
      <c r="E65" s="972">
        <v>20</v>
      </c>
      <c r="F65" s="971">
        <v>5</v>
      </c>
      <c r="G65" s="971">
        <v>5</v>
      </c>
      <c r="H65" s="971">
        <v>1</v>
      </c>
      <c r="I65" s="976">
        <f t="shared" si="22"/>
        <v>31</v>
      </c>
      <c r="J65" s="621"/>
      <c r="K65" s="572">
        <f>INDEX(FX!$A$3:$C$362,MATCH(B65,FX!$A$3:$A$362,0),MATCH("Monthly Curve",FX!$A$2:$C$2,0))</f>
        <v>1.3816921595032801</v>
      </c>
      <c r="L65" s="572"/>
      <c r="M65" s="1057">
        <v>2.7425000000000002</v>
      </c>
      <c r="N65" s="1067">
        <v>0.13500000000000001</v>
      </c>
      <c r="O65" s="315">
        <v>0.05</v>
      </c>
      <c r="P65" s="797">
        <f t="shared" si="1"/>
        <v>0.185</v>
      </c>
      <c r="Q65" s="732">
        <f t="shared" si="2"/>
        <v>2.9275000000000002</v>
      </c>
      <c r="R65" s="723">
        <f>IF(A65="January",(R64+R64*Assumptions!$E$32),R64)</f>
        <v>0.32508223155692312</v>
      </c>
      <c r="S65" s="730">
        <f t="shared" si="3"/>
        <v>4.3699860285027761</v>
      </c>
      <c r="T65" s="572"/>
      <c r="V65" s="581"/>
      <c r="W65" s="581"/>
      <c r="X65" s="461"/>
      <c r="Y65" s="588">
        <f>Tables!$D$36</f>
        <v>312</v>
      </c>
      <c r="Z65" s="570">
        <f t="shared" si="4"/>
        <v>0</v>
      </c>
      <c r="AA65" s="592">
        <f t="shared" si="5"/>
        <v>0</v>
      </c>
      <c r="AB65" s="589">
        <f t="shared" si="6"/>
        <v>0</v>
      </c>
      <c r="AC65" s="462"/>
      <c r="AD65" s="1027">
        <f>IF(Tables!$E$30="Michigan",INDEX('Michigan Curve'!$A$4:$S$256,MATCH('Monthly Table'!B65,'Michigan Curve'!$A$4:$A$256,0),MATCH("Michigan Selected Option Value US$/month",'Michigan Curve'!$A$4:$S$4,0)),INDEX('NY Curve'!$A$4:$T$256,MATCH('Monthly Table'!B65,'NY Curve'!$A$4:$A$256,0),MATCH("New York Selected Option Value US$/month",'NY Curve'!$A$4:$T$4,0)))</f>
        <v>524302.49650079338</v>
      </c>
      <c r="AE65" s="601">
        <f t="shared" si="23"/>
        <v>724424.64862314216</v>
      </c>
      <c r="AF65" s="462"/>
      <c r="AG65" s="915"/>
      <c r="AH65" s="462"/>
      <c r="AI65" s="799">
        <f>Assumptions!$B$50</f>
        <v>65</v>
      </c>
      <c r="AJ65" s="743"/>
      <c r="AK65" s="924">
        <f>IF(Tables!$E$30="Custom",'Monthly Table'!AI65,IF(Tables!$E$30="New York",INDEX('NY Curve'!$A$4:$G$256,MATCH('Monthly Table'!B65,'NY Curve'!$A$4:$A$256,0),MATCH("Super Peak Curve",'NY Curve'!$A$4:$G$4,0)),IF(Tables!$E$30="New York Flat",INDEX('NY Curve'!$A$4:$G$256,MATCH('Monthly Table'!B65,'NY Curve'!$A$4:$A$256,0),MATCH("Flat NY West",'NY Curve'!$A$4:$G$4,0)),INDEX('Michigan Curve'!$A$4:$F$256,MATCH('Monthly Table'!B65,'Michigan Curve'!$A$4:$A$256,0),MATCH("Michigan Super Peak Curve US$/MWhr",'Michigan Curve'!$A$4:$F$4,0)))))</f>
        <v>115.75761258963468</v>
      </c>
      <c r="AL65" s="965">
        <f>IF(D65&lt;=Tables!$B$21,IF($AL$10=$AI$10,AI65,IF($AL$10=$AJ$10,AJ65,IF($AL$10=$AK$10,AK65,0))),0)</f>
        <v>115.75761258963468</v>
      </c>
      <c r="AM65" s="708">
        <f t="shared" si="24"/>
        <v>159.9413857179164</v>
      </c>
      <c r="AN65" s="916">
        <f t="shared" si="25"/>
        <v>1</v>
      </c>
      <c r="AO65" s="905"/>
      <c r="AP65" s="925"/>
      <c r="AQ65" s="926">
        <f>IF(Tables!$E$30="New York",INDEX('NY Curve'!$A$4:$L$256,MATCH('Monthly Table'!B65,'NY Curve'!$A$4:$A$256,0),MATCH("New York Shoulder Hour Curve Mon-Fri",'NY Curve'!$A$4:$L$4,0)),IF(Tables!$E$30="Michigan",INDEX('Michigan Curve'!$A$4:$K$256,MATCH('Monthly Table'!B65,'Michigan Curve'!$A$4:$A$256,0),MATCH("Michigan Shoulder Hour Curve Mon-Fri",'Michigan Curve'!$A$4:$K$4,0))))</f>
        <v>26.242387410365318</v>
      </c>
      <c r="AR65" s="708">
        <f t="shared" si="26"/>
        <v>36.258900931549348</v>
      </c>
      <c r="AS65" s="927">
        <f t="shared" si="7"/>
        <v>0</v>
      </c>
      <c r="AT65" s="462"/>
      <c r="AU65" s="926">
        <f>IF(Tables!$E$30="New York",INDEX('NY Curve'!$A$4:$L$256,MATCH('Monthly Table'!$B65,'NY Curve'!$A$4:$A$256,0),MATCH("New York Saturday Super Peak",'NY Curve'!$A$4:$L$4,0)),IF(Tables!$E$30="Michigan",INDEX('Michigan Curve'!$A$4:$K$256,MATCH('Monthly Table'!$B65,'Michigan Curve'!$A$4:$A$256,0),MATCH("Michigan Saturday Super Peak",'Michigan Curve'!$A$4:$K$4,0))))</f>
        <v>57.063611839960757</v>
      </c>
      <c r="AV65" s="925">
        <f t="shared" si="8"/>
        <v>78.84434507221232</v>
      </c>
      <c r="AW65" s="927">
        <f t="shared" si="9"/>
        <v>1</v>
      </c>
      <c r="AX65" s="926">
        <f>IF(Tables!$E$30="New York",INDEX('NY Curve'!$A$4:$L$256,MATCH('Monthly Table'!$B65,'NY Curve'!$A$4:$A$256,0),MATCH("New York Saturday Shoulder Peak",'NY Curve'!$A$4:$L$4,0)),IF(Tables!$E$30="Michigan",INDEX('Michigan Curve'!$A$4:$K$256,MATCH('Monthly Table'!$B65,'Michigan Curve'!$A$4:$A$256,0),MATCH("Michigan Saturday Shoulder Peak",'Michigan Curve'!$A$4:$K$4,0))))</f>
        <v>12.936388160039241</v>
      </c>
      <c r="AY65" s="934">
        <f t="shared" si="27"/>
        <v>17.874106093017282</v>
      </c>
      <c r="AZ65" s="927">
        <f t="shared" si="10"/>
        <v>0</v>
      </c>
      <c r="BA65" s="462"/>
      <c r="BB65" s="926">
        <f>IF(Tables!$E$30="New York",INDEX('NY Curve'!$A$4:$M$256,MATCH('Monthly Table'!$B65,'NY Curve'!$A$4:$A$256,0),MATCH("NY Sunday Super Peak",'NY Curve'!$A$4:$M$4,0)),IF(Tables!$E$30="Michigan",INDEX('Michigan Curve'!$A$4:$L$256,MATCH('Monthly Table'!$B65,'Michigan Curve'!$A$4:$A$256,0),MATCH("Michigan Sunday Super Peak",'Michigan Curve'!$A$4:$L$4,0))))</f>
        <v>50.542053091388041</v>
      </c>
      <c r="BC65" s="925">
        <f t="shared" si="28"/>
        <v>69.833558481569369</v>
      </c>
      <c r="BD65" s="927">
        <f t="shared" si="11"/>
        <v>1</v>
      </c>
      <c r="BE65" s="462"/>
      <c r="BF65" s="598">
        <f t="shared" si="12"/>
        <v>38534</v>
      </c>
      <c r="BG65" s="583">
        <f t="shared" si="29"/>
        <v>160</v>
      </c>
      <c r="BH65" s="764">
        <f>IF(Tables!$B$36="Combined Cycle",(BF65-BF64)*24*Assumptions!$B$21,0)</f>
        <v>0</v>
      </c>
      <c r="BI65" s="315">
        <f t="shared" si="30"/>
        <v>160</v>
      </c>
      <c r="BJ65" s="987">
        <f>IF('Monthly Table'!D65&lt;=Tables!$B$21,IF($BJ$10=$BG$10,BG65,IF($BJ$10=$BH$10,BH65,IF($BJ$10=$BI$10,BI65,0))),0)</f>
        <v>160</v>
      </c>
      <c r="BK65" s="43"/>
      <c r="BL65" s="987">
        <f t="shared" si="31"/>
        <v>40</v>
      </c>
      <c r="BM65" s="987">
        <f t="shared" si="32"/>
        <v>48</v>
      </c>
      <c r="BO65" s="987">
        <f t="shared" si="14"/>
        <v>0</v>
      </c>
      <c r="BP65" s="987">
        <f t="shared" si="33"/>
        <v>0</v>
      </c>
      <c r="BR65" s="993">
        <f>IF(BJ65&gt;0,INDEX(OperationalDetail,MATCH("Capacity Degradation",ODColumn,0),MATCH('Monthly Table'!C65,ODRow,0)),0)</f>
        <v>1.9570000000000001E-2</v>
      </c>
      <c r="BS65" s="994">
        <f>BJ65*(1-BR65)*Tables!$C$36</f>
        <v>50825.491199999997</v>
      </c>
      <c r="BT65" s="601">
        <f t="shared" si="15"/>
        <v>5883.4375200074865</v>
      </c>
      <c r="BU65" s="601">
        <f t="shared" si="16"/>
        <v>8129.0994923217668</v>
      </c>
      <c r="BV65" s="462"/>
      <c r="BW65" s="785">
        <f>$BO65*(1-$BR65)*Tables!$C$36</f>
        <v>0</v>
      </c>
      <c r="BX65" s="602">
        <f t="shared" si="34"/>
        <v>0</v>
      </c>
      <c r="BY65" s="601">
        <f t="shared" si="35"/>
        <v>0</v>
      </c>
      <c r="BZ65" s="462"/>
      <c r="CA65" s="785">
        <f>$BL65*(1-$BR65)*Tables!$C$36</f>
        <v>12706.372799999999</v>
      </c>
      <c r="CB65" s="602">
        <f t="shared" si="36"/>
        <v>725.07152535303533</v>
      </c>
      <c r="CC65" s="601">
        <f t="shared" si="37"/>
        <v>1001.8256416593726</v>
      </c>
      <c r="CD65" s="785">
        <f>$BP65*(1-$BR65)*Tables!$C$36</f>
        <v>0</v>
      </c>
      <c r="CE65" s="602">
        <f t="shared" si="38"/>
        <v>0</v>
      </c>
      <c r="CF65" s="601">
        <f t="shared" si="39"/>
        <v>0</v>
      </c>
      <c r="CH65" s="785">
        <f>$BM65*(1-$BR65)*Tables!$C$36</f>
        <v>15247.647359999999</v>
      </c>
      <c r="CI65" s="602">
        <f t="shared" si="40"/>
        <v>770.64740238788272</v>
      </c>
      <c r="CJ65" s="601">
        <f t="shared" si="41"/>
        <v>1064.7974736209069</v>
      </c>
      <c r="CK65" s="304"/>
      <c r="CL65" s="304">
        <f t="shared" si="42"/>
        <v>2004</v>
      </c>
      <c r="CM65" s="1018">
        <f>INDEX(OperationalDetail,MATCH("Degraded Heat Rate",ODColumn,0),MATCH('Monthly Table'!CL65,ODRow,0))/1000</f>
        <v>12.163080799999999</v>
      </c>
      <c r="CN65" s="737">
        <f t="shared" si="17"/>
        <v>53.152493159550367</v>
      </c>
      <c r="CO65" s="1019">
        <f>IF(A65="January",(CO64*(1+Assumptions!$E$32)),CO64)</f>
        <v>7.2908571177000026</v>
      </c>
      <c r="CP65" s="741">
        <f t="shared" si="18"/>
        <v>60.443350277250367</v>
      </c>
      <c r="CQ65" s="304"/>
      <c r="CR65" s="575">
        <f t="shared" si="43"/>
        <v>2005</v>
      </c>
      <c r="CS65" s="575" t="str">
        <f t="shared" si="44"/>
        <v/>
      </c>
      <c r="CT65" s="575">
        <f t="shared" si="45"/>
        <v>2005</v>
      </c>
      <c r="CU65" s="575" t="str">
        <f t="shared" si="46"/>
        <v/>
      </c>
      <c r="CV65" s="575">
        <f t="shared" si="47"/>
        <v>2005</v>
      </c>
      <c r="CW65" s="576">
        <f t="shared" si="19"/>
        <v>2005</v>
      </c>
      <c r="CX65" s="787">
        <f>INDEX('NY Curve'!$A$4:$G$256,MATCH('Monthly Table'!B65,'NY Curve'!$A$4:$A$256,0),MATCH("New York 5 X 16",'NY Curve'!$A$4:$G$4,0))</f>
        <v>71</v>
      </c>
      <c r="CY65" s="632">
        <f t="shared" si="20"/>
        <v>1.3816921595032801</v>
      </c>
      <c r="CZ65" s="633">
        <f t="shared" si="21"/>
        <v>98.100143324732883</v>
      </c>
      <c r="DB65" s="857"/>
      <c r="DC65" s="857"/>
    </row>
    <row r="66" spans="1:107" ht="18.75" customHeight="1">
      <c r="A66" s="17" t="s">
        <v>444</v>
      </c>
      <c r="B66" s="508">
        <v>38565</v>
      </c>
      <c r="C66" s="43">
        <f t="shared" si="0"/>
        <v>2005</v>
      </c>
      <c r="D66" s="719">
        <f t="shared" si="48"/>
        <v>5</v>
      </c>
      <c r="E66" s="972">
        <v>23</v>
      </c>
      <c r="F66" s="971">
        <v>4</v>
      </c>
      <c r="G66" s="971">
        <v>4</v>
      </c>
      <c r="H66" s="971">
        <v>0</v>
      </c>
      <c r="I66" s="976">
        <f t="shared" si="22"/>
        <v>31</v>
      </c>
      <c r="J66" s="621"/>
      <c r="K66" s="572">
        <f>INDEX(FX!$A$3:$C$362,MATCH(B66,FX!$A$3:$A$362,0),MATCH("Monthly Curve",FX!$A$2:$C$2,0))</f>
        <v>1.38058029221068</v>
      </c>
      <c r="L66" s="572"/>
      <c r="M66" s="1057">
        <v>2.7494999999999998</v>
      </c>
      <c r="N66" s="1067">
        <v>0.13500000000000001</v>
      </c>
      <c r="O66" s="315">
        <v>0.05</v>
      </c>
      <c r="P66" s="797">
        <f t="shared" si="1"/>
        <v>0.185</v>
      </c>
      <c r="Q66" s="732">
        <f t="shared" si="2"/>
        <v>2.9344999999999999</v>
      </c>
      <c r="R66" s="723">
        <f>IF(A66="January",(R65+R65*Assumptions!$E$32),R65)</f>
        <v>0.32508223155692312</v>
      </c>
      <c r="S66" s="730">
        <f t="shared" si="3"/>
        <v>4.3763950990491631</v>
      </c>
      <c r="T66" s="572"/>
      <c r="V66" s="581"/>
      <c r="W66" s="581"/>
      <c r="X66" s="461"/>
      <c r="Y66" s="588">
        <f>Tables!$D$36</f>
        <v>312</v>
      </c>
      <c r="Z66" s="570">
        <f t="shared" si="4"/>
        <v>0</v>
      </c>
      <c r="AA66" s="592">
        <f t="shared" si="5"/>
        <v>0</v>
      </c>
      <c r="AB66" s="589">
        <f t="shared" si="6"/>
        <v>0</v>
      </c>
      <c r="AC66" s="462"/>
      <c r="AD66" s="1027">
        <f>IF(Tables!$E$30="Michigan",INDEX('Michigan Curve'!$A$4:$S$256,MATCH('Monthly Table'!B66,'Michigan Curve'!$A$4:$A$256,0),MATCH("Michigan Selected Option Value US$/month",'Michigan Curve'!$A$4:$S$4,0)),INDEX('NY Curve'!$A$4:$T$256,MATCH('Monthly Table'!B66,'NY Curve'!$A$4:$A$256,0),MATCH("New York Selected Option Value US$/month",'NY Curve'!$A$4:$T$4,0)))</f>
        <v>490762.42966718646</v>
      </c>
      <c r="AE66" s="601">
        <f t="shared" si="23"/>
        <v>677536.93855594762</v>
      </c>
      <c r="AF66" s="462"/>
      <c r="AG66" s="915"/>
      <c r="AH66" s="462"/>
      <c r="AI66" s="799">
        <f>Assumptions!$B$50</f>
        <v>65</v>
      </c>
      <c r="AJ66" s="743"/>
      <c r="AK66" s="924">
        <f>IF(Tables!$E$30="Custom",'Monthly Table'!AI66,IF(Tables!$E$30="New York",INDEX('NY Curve'!$A$4:$G$256,MATCH('Monthly Table'!B66,'NY Curve'!$A$4:$A$256,0),MATCH("Super Peak Curve",'NY Curve'!$A$4:$G$4,0)),IF(Tables!$E$30="New York Flat",INDEX('NY Curve'!$A$4:$G$256,MATCH('Monthly Table'!B66,'NY Curve'!$A$4:$A$256,0),MATCH("Flat NY West",'NY Curve'!$A$4:$G$4,0)),INDEX('Michigan Curve'!$A$4:$F$256,MATCH('Monthly Table'!B66,'Michigan Curve'!$A$4:$A$256,0),MATCH("Michigan Super Peak Curve US$/MWhr",'Michigan Curve'!$A$4:$F$4,0)))))</f>
        <v>115.75761258963468</v>
      </c>
      <c r="AL66" s="965">
        <f>IF(D66&lt;=Tables!$B$21,IF($AL$10=$AI$10,AI66,IF($AL$10=$AJ$10,AJ66,IF($AL$10=$AK$10,AK66,0))),0)</f>
        <v>115.75761258963468</v>
      </c>
      <c r="AM66" s="708">
        <f t="shared" si="24"/>
        <v>159.81267861460853</v>
      </c>
      <c r="AN66" s="916">
        <f t="shared" si="25"/>
        <v>1</v>
      </c>
      <c r="AO66" s="905"/>
      <c r="AP66" s="925"/>
      <c r="AQ66" s="926">
        <f>IF(Tables!$E$30="New York",INDEX('NY Curve'!$A$4:$L$256,MATCH('Monthly Table'!B66,'NY Curve'!$A$4:$A$256,0),MATCH("New York Shoulder Hour Curve Mon-Fri",'NY Curve'!$A$4:$L$4,0)),IF(Tables!$E$30="Michigan",INDEX('Michigan Curve'!$A$4:$K$256,MATCH('Monthly Table'!B66,'Michigan Curve'!$A$4:$A$256,0),MATCH("Michigan Shoulder Hour Curve Mon-Fri",'Michigan Curve'!$A$4:$K$4,0))))</f>
        <v>26.242387410365318</v>
      </c>
      <c r="AR66" s="708">
        <f t="shared" si="26"/>
        <v>36.229722879308021</v>
      </c>
      <c r="AS66" s="927">
        <f t="shared" si="7"/>
        <v>0</v>
      </c>
      <c r="AT66" s="462"/>
      <c r="AU66" s="926">
        <f>IF(Tables!$E$30="New York",INDEX('NY Curve'!$A$4:$L$256,MATCH('Monthly Table'!$B66,'NY Curve'!$A$4:$A$256,0),MATCH("New York Saturday Super Peak",'NY Curve'!$A$4:$L$4,0)),IF(Tables!$E$30="Michigan",INDEX('Michigan Curve'!$A$4:$K$256,MATCH('Monthly Table'!$B66,'Michigan Curve'!$A$4:$A$256,0),MATCH("Michigan Saturday Super Peak",'Michigan Curve'!$A$4:$K$4,0))))</f>
        <v>57.063618059400874</v>
      </c>
      <c r="AV66" s="925">
        <f t="shared" si="8"/>
        <v>78.780906495046295</v>
      </c>
      <c r="AW66" s="927">
        <f t="shared" si="9"/>
        <v>1</v>
      </c>
      <c r="AX66" s="926">
        <f>IF(Tables!$E$30="New York",INDEX('NY Curve'!$A$4:$L$256,MATCH('Monthly Table'!$B66,'NY Curve'!$A$4:$A$256,0),MATCH("New York Saturday Shoulder Peak",'NY Curve'!$A$4:$L$4,0)),IF(Tables!$E$30="Michigan",INDEX('Michigan Curve'!$A$4:$K$256,MATCH('Monthly Table'!$B66,'Michigan Curve'!$A$4:$A$256,0),MATCH("Michigan Saturday Shoulder Peak",'Michigan Curve'!$A$4:$K$4,0))))</f>
        <v>12.936389569993658</v>
      </c>
      <c r="AY66" s="934">
        <f t="shared" si="27"/>
        <v>17.859724492693037</v>
      </c>
      <c r="AZ66" s="927">
        <f t="shared" si="10"/>
        <v>0</v>
      </c>
      <c r="BA66" s="462"/>
      <c r="BB66" s="926">
        <f>IF(Tables!$E$30="New York",INDEX('NY Curve'!$A$4:$M$256,MATCH('Monthly Table'!$B66,'NY Curve'!$A$4:$A$256,0),MATCH("NY Sunday Super Peak",'NY Curve'!$A$4:$M$4,0)),IF(Tables!$E$30="Michigan",INDEX('Michigan Curve'!$A$4:$L$256,MATCH('Monthly Table'!$B66,'Michigan Curve'!$A$4:$A$256,0),MATCH("Michigan Sunday Super Peak",'Michigan Curve'!$A$4:$L$4,0))))</f>
        <v>50.542056201108103</v>
      </c>
      <c r="BC66" s="925">
        <f t="shared" si="28"/>
        <v>69.777366719054442</v>
      </c>
      <c r="BD66" s="927">
        <f t="shared" si="11"/>
        <v>1</v>
      </c>
      <c r="BE66" s="462"/>
      <c r="BF66" s="598">
        <f t="shared" si="12"/>
        <v>38565</v>
      </c>
      <c r="BG66" s="583">
        <f t="shared" si="29"/>
        <v>184</v>
      </c>
      <c r="BH66" s="764">
        <f>IF(Tables!$B$36="Combined Cycle",(BF66-BF65)*24*Assumptions!$B$21,0)</f>
        <v>0</v>
      </c>
      <c r="BI66" s="315">
        <f t="shared" si="30"/>
        <v>184</v>
      </c>
      <c r="BJ66" s="987">
        <f>IF('Monthly Table'!D66&lt;=Tables!$B$21,IF($BJ$10=$BG$10,BG66,IF($BJ$10=$BH$10,BH66,IF($BJ$10=$BI$10,BI66,0))),0)</f>
        <v>184</v>
      </c>
      <c r="BK66" s="43"/>
      <c r="BL66" s="987">
        <f t="shared" si="31"/>
        <v>32</v>
      </c>
      <c r="BM66" s="987">
        <f t="shared" si="32"/>
        <v>32</v>
      </c>
      <c r="BO66" s="987">
        <f t="shared" si="14"/>
        <v>0</v>
      </c>
      <c r="BP66" s="987">
        <f t="shared" si="33"/>
        <v>0</v>
      </c>
      <c r="BR66" s="993">
        <f>IF(BJ66&gt;0,INDEX(OperationalDetail,MATCH("Capacity Degradation",ODColumn,0),MATCH('Monthly Table'!C66,ODRow,0)),0)</f>
        <v>1.9570000000000001E-2</v>
      </c>
      <c r="BS66" s="994">
        <f>BJ66*(1-BR66)*Tables!$C$36</f>
        <v>58449.314880000005</v>
      </c>
      <c r="BT66" s="601">
        <f t="shared" si="15"/>
        <v>6765.9531480086098</v>
      </c>
      <c r="BU66" s="601">
        <f t="shared" si="16"/>
        <v>9340.9415741614976</v>
      </c>
      <c r="BV66" s="462"/>
      <c r="BW66" s="785">
        <f>$BO66*(1-$BR66)*Tables!$C$36</f>
        <v>0</v>
      </c>
      <c r="BX66" s="602">
        <f t="shared" si="34"/>
        <v>0</v>
      </c>
      <c r="BY66" s="601">
        <f t="shared" si="35"/>
        <v>0</v>
      </c>
      <c r="BZ66" s="462"/>
      <c r="CA66" s="785">
        <f>$BL66*(1-$BR66)*Tables!$C$36</f>
        <v>10165.098239999999</v>
      </c>
      <c r="CB66" s="602">
        <f t="shared" si="36"/>
        <v>580.05728350364802</v>
      </c>
      <c r="CC66" s="601">
        <f t="shared" si="37"/>
        <v>800.81565395839959</v>
      </c>
      <c r="CD66" s="785">
        <f>$BP66*(1-$BR66)*Tables!$C$36</f>
        <v>0</v>
      </c>
      <c r="CE66" s="602">
        <f t="shared" si="38"/>
        <v>0</v>
      </c>
      <c r="CF66" s="601">
        <f t="shared" si="39"/>
        <v>0</v>
      </c>
      <c r="CH66" s="785">
        <f>$BM66*(1-$BR66)*Tables!$C$36</f>
        <v>10165.098239999999</v>
      </c>
      <c r="CI66" s="602">
        <f t="shared" si="40"/>
        <v>513.76496653586503</v>
      </c>
      <c r="CJ66" s="601">
        <f t="shared" si="41"/>
        <v>709.29378762769477</v>
      </c>
      <c r="CK66" s="304"/>
      <c r="CL66" s="304">
        <f t="shared" si="42"/>
        <v>2004</v>
      </c>
      <c r="CM66" s="1018">
        <f>INDEX(OperationalDetail,MATCH("Degraded Heat Rate",ODColumn,0),MATCH('Monthly Table'!CL66,ODRow,0))/1000</f>
        <v>12.163080799999999</v>
      </c>
      <c r="CN66" s="737">
        <f t="shared" si="17"/>
        <v>53.230447202458969</v>
      </c>
      <c r="CO66" s="1019">
        <f>IF(A66="January",(CO65*(1+Assumptions!$E$32)),CO65)</f>
        <v>7.2908571177000026</v>
      </c>
      <c r="CP66" s="741">
        <f t="shared" si="18"/>
        <v>60.521304320158968</v>
      </c>
      <c r="CQ66" s="304"/>
      <c r="CR66" s="575">
        <f t="shared" si="43"/>
        <v>2005</v>
      </c>
      <c r="CS66" s="575" t="str">
        <f t="shared" si="44"/>
        <v/>
      </c>
      <c r="CT66" s="575">
        <f t="shared" si="45"/>
        <v>2005</v>
      </c>
      <c r="CU66" s="575" t="str">
        <f t="shared" si="46"/>
        <v/>
      </c>
      <c r="CV66" s="575">
        <f t="shared" si="47"/>
        <v>2005</v>
      </c>
      <c r="CW66" s="576">
        <f t="shared" si="19"/>
        <v>2005</v>
      </c>
      <c r="CX66" s="787">
        <f>INDEX('NY Curve'!$A$4:$G$256,MATCH('Monthly Table'!B66,'NY Curve'!$A$4:$A$256,0),MATCH("New York 5 X 16",'NY Curve'!$A$4:$G$4,0))</f>
        <v>63.5</v>
      </c>
      <c r="CY66" s="632">
        <f t="shared" si="20"/>
        <v>1.38058029221068</v>
      </c>
      <c r="CZ66" s="633">
        <f t="shared" si="21"/>
        <v>87.666848555378181</v>
      </c>
      <c r="DB66" s="857"/>
      <c r="DC66" s="857"/>
    </row>
    <row r="67" spans="1:107" ht="18.75" customHeight="1">
      <c r="A67" s="17" t="s">
        <v>445</v>
      </c>
      <c r="B67" s="508">
        <v>38596</v>
      </c>
      <c r="C67" s="43">
        <f t="shared" si="0"/>
        <v>2005</v>
      </c>
      <c r="D67" s="719">
        <f t="shared" si="48"/>
        <v>5</v>
      </c>
      <c r="E67" s="972">
        <v>21</v>
      </c>
      <c r="F67" s="971">
        <v>4</v>
      </c>
      <c r="G67" s="971">
        <v>4</v>
      </c>
      <c r="H67" s="971">
        <v>1</v>
      </c>
      <c r="I67" s="976">
        <f t="shared" si="22"/>
        <v>30</v>
      </c>
      <c r="J67" s="621"/>
      <c r="K67" s="572">
        <f>INDEX(FX!$A$3:$C$362,MATCH(B67,FX!$A$3:$A$362,0),MATCH("Monthly Curve",FX!$A$2:$C$2,0))</f>
        <v>1.37946956271916</v>
      </c>
      <c r="L67" s="572"/>
      <c r="M67" s="1057">
        <v>2.7565000000000004</v>
      </c>
      <c r="N67" s="1067">
        <v>0.13500000000000001</v>
      </c>
      <c r="O67" s="315">
        <v>0.05</v>
      </c>
      <c r="P67" s="797">
        <f t="shared" si="1"/>
        <v>0.185</v>
      </c>
      <c r="Q67" s="732">
        <f t="shared" si="2"/>
        <v>2.9415000000000004</v>
      </c>
      <c r="R67" s="723">
        <f>IF(A67="January",(R66+R66*Assumptions!$E$32),R66)</f>
        <v>0.32508223155692312</v>
      </c>
      <c r="S67" s="730">
        <f t="shared" si="3"/>
        <v>4.3827919502953332</v>
      </c>
      <c r="T67" s="572"/>
      <c r="V67" s="581"/>
      <c r="W67" s="581"/>
      <c r="X67" s="461"/>
      <c r="Y67" s="588">
        <f>Tables!$D$36</f>
        <v>312</v>
      </c>
      <c r="Z67" s="570">
        <f t="shared" si="4"/>
        <v>0</v>
      </c>
      <c r="AA67" s="592">
        <f t="shared" si="5"/>
        <v>0</v>
      </c>
      <c r="AB67" s="589">
        <f t="shared" si="6"/>
        <v>0</v>
      </c>
      <c r="AC67" s="462"/>
      <c r="AD67" s="1027">
        <f>IF(Tables!$E$30="Michigan",INDEX('Michigan Curve'!$A$4:$S$256,MATCH('Monthly Table'!B67,'Michigan Curve'!$A$4:$A$256,0),MATCH("Michigan Selected Option Value US$/month",'Michigan Curve'!$A$4:$S$4,0)),INDEX('NY Curve'!$A$4:$T$256,MATCH('Monthly Table'!B67,'NY Curve'!$A$4:$A$256,0),MATCH("New York Selected Option Value US$/month",'NY Curve'!$A$4:$T$4,0)))</f>
        <v>310109.66874316469</v>
      </c>
      <c r="AE67" s="601">
        <f t="shared" si="23"/>
        <v>427786.84913611697</v>
      </c>
      <c r="AF67" s="462"/>
      <c r="AG67" s="915"/>
      <c r="AH67" s="462"/>
      <c r="AI67" s="799">
        <f>Assumptions!$B$50</f>
        <v>65</v>
      </c>
      <c r="AJ67" s="743"/>
      <c r="AK67" s="924">
        <f>IF(Tables!$E$30="Custom",'Monthly Table'!AI67,IF(Tables!$E$30="New York",INDEX('NY Curve'!$A$4:$G$256,MATCH('Monthly Table'!B67,'NY Curve'!$A$4:$A$256,0),MATCH("Super Peak Curve",'NY Curve'!$A$4:$G$4,0)),IF(Tables!$E$30="New York Flat",INDEX('NY Curve'!$A$4:$G$256,MATCH('Monthly Table'!B67,'NY Curve'!$A$4:$A$256,0),MATCH("Flat NY West",'NY Curve'!$A$4:$G$4,0)),INDEX('Michigan Curve'!$A$4:$F$256,MATCH('Monthly Table'!B67,'Michigan Curve'!$A$4:$A$256,0),MATCH("Michigan Super Peak Curve US$/MWhr",'Michigan Curve'!$A$4:$F$4,0)))))</f>
        <v>43.577812269330025</v>
      </c>
      <c r="AL67" s="965">
        <f>IF(D67&lt;=Tables!$B$21,IF($AL$10=$AI$10,AI67,IF($AL$10=$AJ$10,AJ67,IF($AL$10=$AK$10,AK67,0))),0)</f>
        <v>43.577812269330025</v>
      </c>
      <c r="AM67" s="708">
        <f t="shared" si="24"/>
        <v>60.114265635430336</v>
      </c>
      <c r="AN67" s="916">
        <f t="shared" si="25"/>
        <v>0</v>
      </c>
      <c r="AO67" s="905"/>
      <c r="AP67" s="925"/>
      <c r="AQ67" s="926">
        <f>IF(Tables!$E$30="New York",INDEX('NY Curve'!$A$4:$L$256,MATCH('Monthly Table'!B67,'NY Curve'!$A$4:$A$256,0),MATCH("New York Shoulder Hour Curve Mon-Fri",'NY Curve'!$A$4:$L$4,0)),IF(Tables!$E$30="Michigan",INDEX('Michigan Curve'!$A$4:$K$256,MATCH('Monthly Table'!B67,'Michigan Curve'!$A$4:$A$256,0),MATCH("Michigan Shoulder Hour Curve Mon-Fri",'Michigan Curve'!$A$4:$K$4,0))))</f>
        <v>20.922187730669975</v>
      </c>
      <c r="AR67" s="708">
        <f t="shared" si="26"/>
        <v>28.861521159955487</v>
      </c>
      <c r="AS67" s="927">
        <f t="shared" si="7"/>
        <v>0</v>
      </c>
      <c r="AT67" s="462"/>
      <c r="AU67" s="926">
        <f>IF(Tables!$E$30="New York",INDEX('NY Curve'!$A$4:$L$256,MATCH('Monthly Table'!$B67,'NY Curve'!$A$4:$A$256,0),MATCH("New York Saturday Super Peak",'NY Curve'!$A$4:$L$4,0)),IF(Tables!$E$30="Michigan",INDEX('Michigan Curve'!$A$4:$K$256,MATCH('Monthly Table'!$B67,'Michigan Curve'!$A$4:$A$256,0),MATCH("Michigan Saturday Super Peak",'Michigan Curve'!$A$4:$K$4,0))))</f>
        <v>33.781249821186066</v>
      </c>
      <c r="AV67" s="925">
        <f t="shared" si="8"/>
        <v>46.600205918938244</v>
      </c>
      <c r="AW67" s="927">
        <f t="shared" si="9"/>
        <v>0</v>
      </c>
      <c r="AX67" s="926">
        <f>IF(Tables!$E$30="New York",INDEX('NY Curve'!$A$4:$L$256,MATCH('Monthly Table'!$B67,'NY Curve'!$A$4:$A$256,0),MATCH("New York Saturday Shoulder Peak",'NY Curve'!$A$4:$L$4,0)),IF(Tables!$E$30="Michigan",INDEX('Michigan Curve'!$A$4:$K$256,MATCH('Monthly Table'!$B67,'Michigan Curve'!$A$4:$A$256,0),MATCH("Michigan Saturday Shoulder Peak",'Michigan Curve'!$A$4:$K$4,0))))</f>
        <v>16.218750178813934</v>
      </c>
      <c r="AY67" s="934">
        <f t="shared" si="27"/>
        <v>22.373272217019757</v>
      </c>
      <c r="AZ67" s="927">
        <f t="shared" si="10"/>
        <v>0</v>
      </c>
      <c r="BA67" s="462"/>
      <c r="BB67" s="926">
        <f>IF(Tables!$E$30="New York",INDEX('NY Curve'!$A$4:$M$256,MATCH('Monthly Table'!$B67,'NY Curve'!$A$4:$A$256,0),MATCH("NY Sunday Super Peak",'NY Curve'!$A$4:$M$4,0)),IF(Tables!$E$30="Michigan",INDEX('Michigan Curve'!$A$4:$L$256,MATCH('Monthly Table'!$B67,'Michigan Curve'!$A$4:$A$256,0),MATCH("Michigan Sunday Super Peak",'Michigan Curve'!$A$4:$L$4,0))))</f>
        <v>32.429999828338623</v>
      </c>
      <c r="BC67" s="925">
        <f t="shared" si="28"/>
        <v>44.736197682180716</v>
      </c>
      <c r="BD67" s="927">
        <f t="shared" si="11"/>
        <v>0</v>
      </c>
      <c r="BE67" s="462"/>
      <c r="BF67" s="598">
        <f t="shared" si="12"/>
        <v>38596</v>
      </c>
      <c r="BG67" s="583">
        <f t="shared" si="29"/>
        <v>0</v>
      </c>
      <c r="BH67" s="764">
        <f>IF(Tables!$B$36="Combined Cycle",(BF67-BF66)*24*Assumptions!$B$21,0)</f>
        <v>0</v>
      </c>
      <c r="BI67" s="315">
        <f t="shared" si="30"/>
        <v>0</v>
      </c>
      <c r="BJ67" s="987">
        <f>IF('Monthly Table'!D67&lt;=Tables!$B$21,IF($BJ$10=$BG$10,BG67,IF($BJ$10=$BH$10,BH67,IF($BJ$10=$BI$10,BI67,0))),0)</f>
        <v>0</v>
      </c>
      <c r="BK67" s="43"/>
      <c r="BL67" s="987">
        <f t="shared" si="31"/>
        <v>0</v>
      </c>
      <c r="BM67" s="987">
        <f t="shared" si="32"/>
        <v>0</v>
      </c>
      <c r="BO67" s="987">
        <f t="shared" si="14"/>
        <v>0</v>
      </c>
      <c r="BP67" s="987">
        <f t="shared" si="33"/>
        <v>0</v>
      </c>
      <c r="BR67" s="993">
        <f>IF(BJ67&gt;0,INDEX(OperationalDetail,MATCH("Capacity Degradation",ODColumn,0),MATCH('Monthly Table'!C67,ODRow,0)),0)</f>
        <v>0</v>
      </c>
      <c r="BS67" s="994">
        <f>BJ67*(1-BR67)*Tables!$C$36</f>
        <v>0</v>
      </c>
      <c r="BT67" s="601">
        <f t="shared" si="15"/>
        <v>0</v>
      </c>
      <c r="BU67" s="601">
        <f t="shared" si="16"/>
        <v>0</v>
      </c>
      <c r="BV67" s="462"/>
      <c r="BW67" s="785">
        <f>$BO67*(1-$BR67)*Tables!$C$36</f>
        <v>0</v>
      </c>
      <c r="BX67" s="602">
        <f t="shared" si="34"/>
        <v>0</v>
      </c>
      <c r="BY67" s="601">
        <f t="shared" si="35"/>
        <v>0</v>
      </c>
      <c r="BZ67" s="462"/>
      <c r="CA67" s="785">
        <f>$BL67*(1-$BR67)*Tables!$C$36</f>
        <v>0</v>
      </c>
      <c r="CB67" s="602">
        <f t="shared" si="36"/>
        <v>0</v>
      </c>
      <c r="CC67" s="601">
        <f t="shared" si="37"/>
        <v>0</v>
      </c>
      <c r="CD67" s="785">
        <f>$BP67*(1-$BR67)*Tables!$C$36</f>
        <v>0</v>
      </c>
      <c r="CE67" s="602">
        <f t="shared" si="38"/>
        <v>0</v>
      </c>
      <c r="CF67" s="601">
        <f t="shared" si="39"/>
        <v>0</v>
      </c>
      <c r="CH67" s="785">
        <f>$BM67*(1-$BR67)*Tables!$C$36</f>
        <v>0</v>
      </c>
      <c r="CI67" s="602">
        <f t="shared" si="40"/>
        <v>0</v>
      </c>
      <c r="CJ67" s="601">
        <f t="shared" si="41"/>
        <v>0</v>
      </c>
      <c r="CK67" s="304"/>
      <c r="CL67" s="304">
        <f t="shared" si="42"/>
        <v>2004</v>
      </c>
      <c r="CM67" s="1018">
        <f>INDEX(OperationalDetail,MATCH("Degraded Heat Rate",ODColumn,0),MATCH('Monthly Table'!CL67,ODRow,0))/1000</f>
        <v>12.163080799999999</v>
      </c>
      <c r="CN67" s="737">
        <f t="shared" si="17"/>
        <v>53.30825262103172</v>
      </c>
      <c r="CO67" s="1019">
        <f>IF(A67="January",(CO66*(1+Assumptions!$E$32)),CO66)</f>
        <v>7.2908571177000026</v>
      </c>
      <c r="CP67" s="741">
        <f t="shared" si="18"/>
        <v>60.59910973873172</v>
      </c>
      <c r="CQ67" s="304"/>
      <c r="CR67" s="575" t="str">
        <f t="shared" si="43"/>
        <v/>
      </c>
      <c r="CS67" s="575" t="str">
        <f t="shared" si="44"/>
        <v/>
      </c>
      <c r="CT67" s="575" t="str">
        <f t="shared" si="45"/>
        <v/>
      </c>
      <c r="CU67" s="575" t="str">
        <f t="shared" si="46"/>
        <v/>
      </c>
      <c r="CV67" s="575" t="str">
        <f t="shared" si="47"/>
        <v/>
      </c>
      <c r="CW67" s="576">
        <f t="shared" si="19"/>
        <v>2005</v>
      </c>
      <c r="CX67" s="787">
        <f>INDEX('NY Curve'!$A$4:$G$256,MATCH('Monthly Table'!B67,'NY Curve'!$A$4:$A$256,0),MATCH("New York 5 X 16",'NY Curve'!$A$4:$G$4,0))</f>
        <v>29.75</v>
      </c>
      <c r="CY67" s="632">
        <f t="shared" si="20"/>
        <v>1.37946956271916</v>
      </c>
      <c r="CZ67" s="633">
        <f t="shared" si="21"/>
        <v>41.039219490895007</v>
      </c>
      <c r="DB67" s="857"/>
      <c r="DC67" s="857"/>
    </row>
    <row r="68" spans="1:107" ht="18.75" customHeight="1">
      <c r="A68" s="17" t="s">
        <v>446</v>
      </c>
      <c r="B68" s="508">
        <v>38626</v>
      </c>
      <c r="C68" s="43">
        <f t="shared" si="0"/>
        <v>2005</v>
      </c>
      <c r="D68" s="719">
        <f t="shared" si="48"/>
        <v>5</v>
      </c>
      <c r="E68" s="972">
        <v>21</v>
      </c>
      <c r="F68" s="971">
        <v>5</v>
      </c>
      <c r="G68" s="971">
        <v>5</v>
      </c>
      <c r="H68" s="971">
        <v>0</v>
      </c>
      <c r="I68" s="976">
        <f t="shared" si="22"/>
        <v>31</v>
      </c>
      <c r="J68" s="621"/>
      <c r="K68" s="572">
        <f>INDEX(FX!$A$3:$C$362,MATCH(B68,FX!$A$3:$A$362,0),MATCH("Monthly Curve",FX!$A$2:$C$2,0))</f>
        <v>1.37839574531224</v>
      </c>
      <c r="L68" s="572"/>
      <c r="M68" s="1057">
        <v>2.7835000000000001</v>
      </c>
      <c r="N68" s="1067">
        <v>0.13500000000000001</v>
      </c>
      <c r="O68" s="315">
        <v>0.05</v>
      </c>
      <c r="P68" s="797">
        <f t="shared" si="1"/>
        <v>0.185</v>
      </c>
      <c r="Q68" s="732">
        <f t="shared" si="2"/>
        <v>2.9684999999999997</v>
      </c>
      <c r="R68" s="723">
        <f>IF(A68="January",(R67+R67*Assumptions!$E$32),R67)</f>
        <v>0.32508223155692312</v>
      </c>
      <c r="S68" s="730">
        <f t="shared" si="3"/>
        <v>4.4168500015163072</v>
      </c>
      <c r="T68" s="572"/>
      <c r="V68" s="584"/>
      <c r="W68" s="584"/>
      <c r="X68" s="461"/>
      <c r="Y68" s="588">
        <f>Tables!$D$36</f>
        <v>312</v>
      </c>
      <c r="Z68" s="570">
        <f t="shared" si="4"/>
        <v>0</v>
      </c>
      <c r="AA68" s="592">
        <f t="shared" si="5"/>
        <v>0</v>
      </c>
      <c r="AB68" s="589">
        <f t="shared" si="6"/>
        <v>0</v>
      </c>
      <c r="AC68" s="462"/>
      <c r="AD68" s="1027">
        <f>IF(Tables!$E$30="Michigan",INDEX('Michigan Curve'!$A$4:$S$256,MATCH('Monthly Table'!B68,'Michigan Curve'!$A$4:$A$256,0),MATCH("Michigan Selected Option Value US$/month",'Michigan Curve'!$A$4:$S$4,0)),INDEX('NY Curve'!$A$4:$T$256,MATCH('Monthly Table'!B68,'NY Curve'!$A$4:$A$256,0),MATCH("New York Selected Option Value US$/month",'NY Curve'!$A$4:$T$4,0)))</f>
        <v>17057.200463620658</v>
      </c>
      <c r="AE68" s="601">
        <f t="shared" si="23"/>
        <v>23511.572545992683</v>
      </c>
      <c r="AF68" s="462"/>
      <c r="AG68" s="915"/>
      <c r="AH68" s="462"/>
      <c r="AI68" s="799">
        <f>Assumptions!$B$50</f>
        <v>65</v>
      </c>
      <c r="AJ68" s="743"/>
      <c r="AK68" s="924">
        <f>IF(Tables!$E$30="Custom",'Monthly Table'!AI68,IF(Tables!$E$30="New York",INDEX('NY Curve'!$A$4:$G$256,MATCH('Monthly Table'!B68,'NY Curve'!$A$4:$A$256,0),MATCH("Super Peak Curve",'NY Curve'!$A$4:$G$4,0)),IF(Tables!$E$30="New York Flat",INDEX('NY Curve'!$A$4:$G$256,MATCH('Monthly Table'!B68,'NY Curve'!$A$4:$A$256,0),MATCH("Flat NY West",'NY Curve'!$A$4:$G$4,0)),INDEX('Michigan Curve'!$A$4:$F$256,MATCH('Monthly Table'!B68,'Michigan Curve'!$A$4:$A$256,0),MATCH("Michigan Super Peak Curve US$/MWhr",'Michigan Curve'!$A$4:$F$4,0)))))</f>
        <v>25.349994659423828</v>
      </c>
      <c r="AL68" s="965">
        <f>IF(D68&lt;=Tables!$B$21,IF($AL$10=$AI$10,AI68,IF($AL$10=$AJ$10,AJ68,IF($AL$10=$AK$10,AK68,0))),0)</f>
        <v>25.349994659423828</v>
      </c>
      <c r="AM68" s="708">
        <f t="shared" si="24"/>
        <v>34.942324782237812</v>
      </c>
      <c r="AN68" s="916">
        <f t="shared" si="25"/>
        <v>0</v>
      </c>
      <c r="AO68" s="905"/>
      <c r="AP68" s="925"/>
      <c r="AQ68" s="926">
        <f>IF(Tables!$E$30="New York",INDEX('NY Curve'!$A$4:$L$256,MATCH('Monthly Table'!B68,'NY Curve'!$A$4:$A$256,0),MATCH("New York Shoulder Hour Curve Mon-Fri",'NY Curve'!$A$4:$L$4,0)),IF(Tables!$E$30="Michigan",INDEX('Michigan Curve'!$A$4:$K$256,MATCH('Monthly Table'!B68,'Michigan Curve'!$A$4:$A$256,0),MATCH("Michigan Shoulder Hour Curve Mon-Fri",'Michigan Curve'!$A$4:$K$4,0))))</f>
        <v>25.349994659423828</v>
      </c>
      <c r="AR68" s="708">
        <f t="shared" si="26"/>
        <v>34.942324782237812</v>
      </c>
      <c r="AS68" s="927">
        <f t="shared" si="7"/>
        <v>0</v>
      </c>
      <c r="AT68" s="462"/>
      <c r="AU68" s="926">
        <f>IF(Tables!$E$30="New York",INDEX('NY Curve'!$A$4:$L$256,MATCH('Monthly Table'!$B68,'NY Curve'!$A$4:$A$256,0),MATCH("New York Saturday Super Peak",'NY Curve'!$A$4:$L$4,0)),IF(Tables!$E$30="Michigan",INDEX('Michigan Curve'!$A$4:$K$256,MATCH('Monthly Table'!$B68,'Michigan Curve'!$A$4:$A$256,0),MATCH("Michigan Saturday Super Peak",'Michigan Curve'!$A$4:$K$4,0))))</f>
        <v>19.996000289916992</v>
      </c>
      <c r="AV68" s="925">
        <f t="shared" si="8"/>
        <v>27.562401722883898</v>
      </c>
      <c r="AW68" s="927">
        <f t="shared" si="9"/>
        <v>0</v>
      </c>
      <c r="AX68" s="926">
        <f>IF(Tables!$E$30="New York",INDEX('NY Curve'!$A$4:$L$256,MATCH('Monthly Table'!$B68,'NY Curve'!$A$4:$A$256,0),MATCH("New York Saturday Shoulder Peak",'NY Curve'!$A$4:$L$4,0)),IF(Tables!$E$30="Michigan",INDEX('Michigan Curve'!$A$4:$K$256,MATCH('Monthly Table'!$B68,'Michigan Curve'!$A$4:$A$256,0),MATCH("Michigan Saturday Shoulder Peak",'Michigan Curve'!$A$4:$K$4,0))))</f>
        <v>19.996000289916992</v>
      </c>
      <c r="AY68" s="934">
        <f t="shared" si="27"/>
        <v>27.562401722883898</v>
      </c>
      <c r="AZ68" s="927">
        <f t="shared" si="10"/>
        <v>0</v>
      </c>
      <c r="BA68" s="462"/>
      <c r="BB68" s="926">
        <f>IF(Tables!$E$30="New York",INDEX('NY Curve'!$A$4:$M$256,MATCH('Monthly Table'!$B68,'NY Curve'!$A$4:$A$256,0),MATCH("NY Sunday Super Peak",'NY Curve'!$A$4:$M$4,0)),IF(Tables!$E$30="Michigan",INDEX('Michigan Curve'!$A$4:$L$256,MATCH('Monthly Table'!$B68,'Michigan Curve'!$A$4:$A$256,0),MATCH("Michigan Sunday Super Peak",'Michigan Curve'!$A$4:$L$4,0))))</f>
        <v>18.996500015258789</v>
      </c>
      <c r="BC68" s="925">
        <f t="shared" si="28"/>
        <v>26.184694796856615</v>
      </c>
      <c r="BD68" s="927">
        <f t="shared" si="11"/>
        <v>0</v>
      </c>
      <c r="BE68" s="462"/>
      <c r="BF68" s="598">
        <f t="shared" si="12"/>
        <v>38626</v>
      </c>
      <c r="BG68" s="583">
        <f t="shared" si="29"/>
        <v>0</v>
      </c>
      <c r="BH68" s="764">
        <f>IF(Tables!$B$36="Combined Cycle",(BF68-BF67)*24*Assumptions!$B$21,0)</f>
        <v>0</v>
      </c>
      <c r="BI68" s="315">
        <f t="shared" si="30"/>
        <v>0</v>
      </c>
      <c r="BJ68" s="987">
        <f>IF('Monthly Table'!D68&lt;=Tables!$B$21,IF($BJ$10=$BG$10,BG68,IF($BJ$10=$BH$10,BH68,IF($BJ$10=$BI$10,BI68,0))),0)</f>
        <v>0</v>
      </c>
      <c r="BK68" s="43"/>
      <c r="BL68" s="987">
        <f t="shared" si="31"/>
        <v>0</v>
      </c>
      <c r="BM68" s="987">
        <f t="shared" si="32"/>
        <v>0</v>
      </c>
      <c r="BO68" s="987">
        <f t="shared" si="14"/>
        <v>0</v>
      </c>
      <c r="BP68" s="987">
        <f t="shared" si="33"/>
        <v>0</v>
      </c>
      <c r="BR68" s="993">
        <f>IF(BJ68&gt;0,INDEX(OperationalDetail,MATCH("Capacity Degradation",ODColumn,0),MATCH('Monthly Table'!C68,ODRow,0)),0)</f>
        <v>0</v>
      </c>
      <c r="BS68" s="994">
        <f>BJ68*(1-BR68)*Tables!$C$36</f>
        <v>0</v>
      </c>
      <c r="BT68" s="601">
        <f t="shared" si="15"/>
        <v>0</v>
      </c>
      <c r="BU68" s="601">
        <f t="shared" si="16"/>
        <v>0</v>
      </c>
      <c r="BV68" s="462"/>
      <c r="BW68" s="785">
        <f>$BO68*(1-$BR68)*Tables!$C$36</f>
        <v>0</v>
      </c>
      <c r="BX68" s="602">
        <f t="shared" si="34"/>
        <v>0</v>
      </c>
      <c r="BY68" s="601">
        <f t="shared" si="35"/>
        <v>0</v>
      </c>
      <c r="BZ68" s="462"/>
      <c r="CA68" s="785">
        <f>$BL68*(1-$BR68)*Tables!$C$36</f>
        <v>0</v>
      </c>
      <c r="CB68" s="602">
        <f t="shared" si="36"/>
        <v>0</v>
      </c>
      <c r="CC68" s="601">
        <f t="shared" si="37"/>
        <v>0</v>
      </c>
      <c r="CD68" s="785">
        <f>$BP68*(1-$BR68)*Tables!$C$36</f>
        <v>0</v>
      </c>
      <c r="CE68" s="602">
        <f t="shared" si="38"/>
        <v>0</v>
      </c>
      <c r="CF68" s="601">
        <f t="shared" si="39"/>
        <v>0</v>
      </c>
      <c r="CH68" s="785">
        <f>$BM68*(1-$BR68)*Tables!$C$36</f>
        <v>0</v>
      </c>
      <c r="CI68" s="602">
        <f t="shared" si="40"/>
        <v>0</v>
      </c>
      <c r="CJ68" s="601">
        <f t="shared" si="41"/>
        <v>0</v>
      </c>
      <c r="CK68" s="304"/>
      <c r="CL68" s="304">
        <f t="shared" si="42"/>
        <v>2004</v>
      </c>
      <c r="CM68" s="1018">
        <f>INDEX(OperationalDetail,MATCH("Degraded Heat Rate",ODColumn,0),MATCH('Monthly Table'!CL68,ODRow,0))/1000</f>
        <v>12.163080799999999</v>
      </c>
      <c r="CN68" s="737">
        <f t="shared" si="17"/>
        <v>53.722503449922968</v>
      </c>
      <c r="CO68" s="1019">
        <f>IF(A68="January",(CO67*(1+Assumptions!$E$32)),CO67)</f>
        <v>7.2908571177000026</v>
      </c>
      <c r="CP68" s="741">
        <f t="shared" si="18"/>
        <v>61.013360567622968</v>
      </c>
      <c r="CQ68" s="304"/>
      <c r="CR68" s="575" t="str">
        <f t="shared" si="43"/>
        <v/>
      </c>
      <c r="CS68" s="575" t="str">
        <f t="shared" si="44"/>
        <v/>
      </c>
      <c r="CT68" s="575" t="str">
        <f t="shared" si="45"/>
        <v/>
      </c>
      <c r="CU68" s="575" t="str">
        <f t="shared" si="46"/>
        <v/>
      </c>
      <c r="CV68" s="575" t="str">
        <f t="shared" si="47"/>
        <v/>
      </c>
      <c r="CW68" s="576">
        <f t="shared" si="19"/>
        <v>2005</v>
      </c>
      <c r="CX68" s="787">
        <f>INDEX('NY Curve'!$A$4:$G$256,MATCH('Monthly Table'!B68,'NY Curve'!$A$4:$A$256,0),MATCH("New York 5 X 16",'NY Curve'!$A$4:$G$4,0))</f>
        <v>25.5</v>
      </c>
      <c r="CY68" s="632">
        <f t="shared" si="20"/>
        <v>1.37839574531224</v>
      </c>
      <c r="CZ68" s="633">
        <f t="shared" si="21"/>
        <v>35.149091505462117</v>
      </c>
      <c r="DB68" s="857"/>
      <c r="DC68" s="857"/>
    </row>
    <row r="69" spans="1:107" ht="18.75" customHeight="1">
      <c r="A69" s="17" t="s">
        <v>447</v>
      </c>
      <c r="B69" s="508">
        <v>38657</v>
      </c>
      <c r="C69" s="43">
        <f t="shared" ref="C69:C132" si="49">YEAR(B69)</f>
        <v>2005</v>
      </c>
      <c r="D69" s="719">
        <f t="shared" si="48"/>
        <v>5</v>
      </c>
      <c r="E69" s="972">
        <v>21</v>
      </c>
      <c r="F69" s="971">
        <v>4</v>
      </c>
      <c r="G69" s="971">
        <v>4</v>
      </c>
      <c r="H69" s="971">
        <v>1</v>
      </c>
      <c r="I69" s="976">
        <f t="shared" si="22"/>
        <v>30</v>
      </c>
      <c r="J69" s="621"/>
      <c r="K69" s="572">
        <f>INDEX(FX!$A$3:$C$362,MATCH(B69,FX!$A$3:$A$362,0),MATCH("Monthly Curve",FX!$A$2:$C$2,0))</f>
        <v>1.3772872508860099</v>
      </c>
      <c r="L69" s="572"/>
      <c r="M69" s="1057">
        <v>2.9194999999999998</v>
      </c>
      <c r="N69" s="1067">
        <v>0.22</v>
      </c>
      <c r="O69" s="315">
        <v>0.05</v>
      </c>
      <c r="P69" s="797">
        <f t="shared" si="1"/>
        <v>0.27</v>
      </c>
      <c r="Q69" s="732">
        <f t="shared" si="2"/>
        <v>3.1894999999999998</v>
      </c>
      <c r="R69" s="723">
        <f>IF(A69="January",(R68+R68*Assumptions!$E$32),R68)</f>
        <v>0.32508223155692312</v>
      </c>
      <c r="S69" s="730">
        <f t="shared" si="3"/>
        <v>4.7179399182578514</v>
      </c>
      <c r="T69" s="572"/>
      <c r="V69" s="584"/>
      <c r="W69" s="584"/>
      <c r="X69" s="461"/>
      <c r="Y69" s="588">
        <f>Tables!$D$36</f>
        <v>312</v>
      </c>
      <c r="Z69" s="570">
        <f t="shared" si="4"/>
        <v>0</v>
      </c>
      <c r="AA69" s="592">
        <f t="shared" si="5"/>
        <v>0</v>
      </c>
      <c r="AB69" s="589">
        <f t="shared" ref="AB69:AB132" si="50">AA69*K69</f>
        <v>0</v>
      </c>
      <c r="AC69" s="462"/>
      <c r="AD69" s="1027">
        <f>IF(Tables!$E$30="Michigan",INDEX('Michigan Curve'!$A$4:$S$256,MATCH('Monthly Table'!B69,'Michigan Curve'!$A$4:$A$256,0),MATCH("Michigan Selected Option Value US$/month",'Michigan Curve'!$A$4:$S$4,0)),INDEX('NY Curve'!$A$4:$T$256,MATCH('Monthly Table'!B69,'NY Curve'!$A$4:$A$256,0),MATCH("New York Selected Option Value US$/month",'NY Curve'!$A$4:$T$4,0)))</f>
        <v>32481.44501166651</v>
      </c>
      <c r="AE69" s="601">
        <f t="shared" si="23"/>
        <v>44736.280104923266</v>
      </c>
      <c r="AF69" s="462"/>
      <c r="AG69" s="915"/>
      <c r="AH69" s="462"/>
      <c r="AI69" s="799">
        <f>Assumptions!$B$50</f>
        <v>65</v>
      </c>
      <c r="AJ69" s="743"/>
      <c r="AK69" s="924">
        <f>IF(Tables!$E$30="Custom",'Monthly Table'!AI69,IF(Tables!$E$30="New York",INDEX('NY Curve'!$A$4:$G$256,MATCH('Monthly Table'!B69,'NY Curve'!$A$4:$A$256,0),MATCH("Super Peak Curve",'NY Curve'!$A$4:$G$4,0)),IF(Tables!$E$30="New York Flat",INDEX('NY Curve'!$A$4:$G$256,MATCH('Monthly Table'!B69,'NY Curve'!$A$4:$A$256,0),MATCH("Flat NY West",'NY Curve'!$A$4:$G$4,0)),INDEX('Michigan Curve'!$A$4:$F$256,MATCH('Monthly Table'!B69,'Michigan Curve'!$A$4:$A$256,0),MATCH("Michigan Super Peak Curve US$/MWhr",'Michigan Curve'!$A$4:$F$4,0)))))</f>
        <v>27.248395385742189</v>
      </c>
      <c r="AL69" s="965">
        <f>IF(D69&lt;=Tables!$B$21,IF($AL$10=$AI$10,AI69,IF($AL$10=$AJ$10,AJ69,IF($AL$10=$AK$10,AK69,0))),0)</f>
        <v>27.248395385742189</v>
      </c>
      <c r="AM69" s="708">
        <f t="shared" si="24"/>
        <v>37.528867571883893</v>
      </c>
      <c r="AN69" s="916">
        <f t="shared" si="25"/>
        <v>0</v>
      </c>
      <c r="AO69" s="905"/>
      <c r="AP69" s="925"/>
      <c r="AQ69" s="926">
        <f>IF(Tables!$E$30="New York",INDEX('NY Curve'!$A$4:$L$256,MATCH('Monthly Table'!B69,'NY Curve'!$A$4:$A$256,0),MATCH("New York Shoulder Hour Curve Mon-Fri",'NY Curve'!$A$4:$L$4,0)),IF(Tables!$E$30="Michigan",INDEX('Michigan Curve'!$A$4:$K$256,MATCH('Monthly Table'!B69,'Michigan Curve'!$A$4:$A$256,0),MATCH("Michigan Shoulder Hour Curve Mon-Fri",'Michigan Curve'!$A$4:$K$4,0))))</f>
        <v>23.211596069335936</v>
      </c>
      <c r="AR69" s="708">
        <f t="shared" si="26"/>
        <v>31.969035339012205</v>
      </c>
      <c r="AS69" s="927">
        <f t="shared" si="7"/>
        <v>0</v>
      </c>
      <c r="AT69" s="462"/>
      <c r="AU69" s="926">
        <f>IF(Tables!$E$30="New York",INDEX('NY Curve'!$A$4:$L$256,MATCH('Monthly Table'!$B69,'NY Curve'!$A$4:$A$256,0),MATCH("New York Saturday Super Peak",'NY Curve'!$A$4:$L$4,0)),IF(Tables!$E$30="Michigan",INDEX('Michigan Curve'!$A$4:$K$256,MATCH('Monthly Table'!$B69,'Michigan Curve'!$A$4:$A$256,0),MATCH("Michigan Saturday Super Peak",'Michigan Curve'!$A$4:$K$4,0))))</f>
        <v>21.6</v>
      </c>
      <c r="AV69" s="925">
        <f t="shared" si="8"/>
        <v>29.749404619137817</v>
      </c>
      <c r="AW69" s="927">
        <f t="shared" si="9"/>
        <v>0</v>
      </c>
      <c r="AX69" s="926">
        <f>IF(Tables!$E$30="New York",INDEX('NY Curve'!$A$4:$L$256,MATCH('Monthly Table'!$B69,'NY Curve'!$A$4:$A$256,0),MATCH("New York Saturday Shoulder Peak",'NY Curve'!$A$4:$L$4,0)),IF(Tables!$E$30="Michigan",INDEX('Michigan Curve'!$A$4:$K$256,MATCH('Monthly Table'!$B69,'Michigan Curve'!$A$4:$A$256,0),MATCH("Michigan Saturday Shoulder Peak",'Michigan Curve'!$A$4:$K$4,0))))</f>
        <v>18.399999999999999</v>
      </c>
      <c r="AY69" s="934">
        <f t="shared" si="27"/>
        <v>25.342085416302581</v>
      </c>
      <c r="AZ69" s="927">
        <f t="shared" si="10"/>
        <v>0</v>
      </c>
      <c r="BA69" s="462"/>
      <c r="BB69" s="926">
        <f>IF(Tables!$E$30="New York",INDEX('NY Curve'!$A$4:$M$256,MATCH('Monthly Table'!$B69,'NY Curve'!$A$4:$A$256,0),MATCH("NY Sunday Super Peak",'NY Curve'!$A$4:$M$4,0)),IF(Tables!$E$30="Michigan",INDEX('Michigan Curve'!$A$4:$L$256,MATCH('Monthly Table'!$B69,'Michigan Curve'!$A$4:$A$256,0),MATCH("Michigan Sunday Super Peak",'Michigan Curve'!$A$4:$L$4,0))))</f>
        <v>20.520000000000003</v>
      </c>
      <c r="BC69" s="925">
        <f t="shared" si="28"/>
        <v>28.261934388180926</v>
      </c>
      <c r="BD69" s="927">
        <f t="shared" si="11"/>
        <v>0</v>
      </c>
      <c r="BE69" s="462"/>
      <c r="BF69" s="598">
        <f t="shared" si="12"/>
        <v>38657</v>
      </c>
      <c r="BG69" s="583">
        <f t="shared" si="29"/>
        <v>0</v>
      </c>
      <c r="BH69" s="764">
        <f>IF(Tables!$B$36="Combined Cycle",(BF69-BF68)*24*Assumptions!$B$21,0)</f>
        <v>0</v>
      </c>
      <c r="BI69" s="315">
        <f t="shared" si="30"/>
        <v>0</v>
      </c>
      <c r="BJ69" s="987">
        <f>IF('Monthly Table'!D69&lt;=Tables!$B$21,IF($BJ$10=$BG$10,BG69,IF($BJ$10=$BH$10,BH69,IF($BJ$10=$BI$10,BI69,0))),0)</f>
        <v>0</v>
      </c>
      <c r="BK69" s="43"/>
      <c r="BL69" s="987">
        <f t="shared" si="31"/>
        <v>0</v>
      </c>
      <c r="BM69" s="987">
        <f t="shared" si="32"/>
        <v>0</v>
      </c>
      <c r="BO69" s="987">
        <f t="shared" si="14"/>
        <v>0</v>
      </c>
      <c r="BP69" s="987">
        <f t="shared" si="33"/>
        <v>0</v>
      </c>
      <c r="BR69" s="993">
        <f>IF(BJ69&gt;0,INDEX(OperationalDetail,MATCH("Capacity Degradation",ODColumn,0),MATCH('Monthly Table'!C69,ODRow,0)),0)</f>
        <v>0</v>
      </c>
      <c r="BS69" s="994">
        <f>BJ69*(1-BR69)*Tables!$C$36</f>
        <v>0</v>
      </c>
      <c r="BT69" s="601">
        <f t="shared" si="15"/>
        <v>0</v>
      </c>
      <c r="BU69" s="601">
        <f t="shared" si="16"/>
        <v>0</v>
      </c>
      <c r="BV69" s="462"/>
      <c r="BW69" s="785">
        <f>$BO69*(1-$BR69)*Tables!$C$36</f>
        <v>0</v>
      </c>
      <c r="BX69" s="602">
        <f t="shared" si="34"/>
        <v>0</v>
      </c>
      <c r="BY69" s="601">
        <f t="shared" si="35"/>
        <v>0</v>
      </c>
      <c r="BZ69" s="462"/>
      <c r="CA69" s="785">
        <f>$BL69*(1-$BR69)*Tables!$C$36</f>
        <v>0</v>
      </c>
      <c r="CB69" s="602">
        <f t="shared" si="36"/>
        <v>0</v>
      </c>
      <c r="CC69" s="601">
        <f t="shared" si="37"/>
        <v>0</v>
      </c>
      <c r="CD69" s="785">
        <f>$BP69*(1-$BR69)*Tables!$C$36</f>
        <v>0</v>
      </c>
      <c r="CE69" s="602">
        <f t="shared" si="38"/>
        <v>0</v>
      </c>
      <c r="CF69" s="601">
        <f t="shared" si="39"/>
        <v>0</v>
      </c>
      <c r="CH69" s="785">
        <f>$BM69*(1-$BR69)*Tables!$C$36</f>
        <v>0</v>
      </c>
      <c r="CI69" s="602">
        <f t="shared" si="40"/>
        <v>0</v>
      </c>
      <c r="CJ69" s="601">
        <f t="shared" si="41"/>
        <v>0</v>
      </c>
      <c r="CK69" s="304"/>
      <c r="CL69" s="304">
        <f t="shared" si="42"/>
        <v>2004</v>
      </c>
      <c r="CM69" s="1018">
        <f>INDEX(OperationalDetail,MATCH("Degraded Heat Rate",ODColumn,0),MATCH('Monthly Table'!CL69,ODRow,0))/1000</f>
        <v>12.163080799999999</v>
      </c>
      <c r="CN69" s="737">
        <f t="shared" si="17"/>
        <v>57.384684435315641</v>
      </c>
      <c r="CO69" s="1019">
        <f>IF(A69="January",(CO68*(1+Assumptions!$E$32)),CO68)</f>
        <v>7.2908571177000026</v>
      </c>
      <c r="CP69" s="741">
        <f t="shared" si="18"/>
        <v>64.675541553015648</v>
      </c>
      <c r="CQ69" s="304"/>
      <c r="CR69" s="575" t="str">
        <f t="shared" si="43"/>
        <v/>
      </c>
      <c r="CS69" s="575" t="str">
        <f t="shared" si="44"/>
        <v/>
      </c>
      <c r="CT69" s="575" t="str">
        <f t="shared" si="45"/>
        <v/>
      </c>
      <c r="CU69" s="575" t="str">
        <f t="shared" si="46"/>
        <v/>
      </c>
      <c r="CV69" s="575" t="str">
        <f t="shared" si="47"/>
        <v/>
      </c>
      <c r="CW69" s="576">
        <f t="shared" si="19"/>
        <v>2005</v>
      </c>
      <c r="CX69" s="787">
        <f>INDEX('NY Curve'!$A$4:$G$256,MATCH('Monthly Table'!B69,'NY Curve'!$A$4:$A$256,0),MATCH("New York 5 X 16",'NY Curve'!$A$4:$G$4,0))</f>
        <v>26</v>
      </c>
      <c r="CY69" s="632">
        <f t="shared" si="20"/>
        <v>1.3772872508860099</v>
      </c>
      <c r="CZ69" s="633">
        <f t="shared" si="21"/>
        <v>35.809468523036259</v>
      </c>
      <c r="DB69" s="857"/>
      <c r="DC69" s="857"/>
    </row>
    <row r="70" spans="1:107" s="222" customFormat="1" ht="18.75" customHeight="1">
      <c r="A70" s="222" t="s">
        <v>448</v>
      </c>
      <c r="B70" s="564">
        <v>38687</v>
      </c>
      <c r="C70" s="565">
        <f t="shared" si="49"/>
        <v>2005</v>
      </c>
      <c r="D70" s="819">
        <f t="shared" si="48"/>
        <v>5</v>
      </c>
      <c r="E70" s="972">
        <v>21</v>
      </c>
      <c r="F70" s="971">
        <v>5</v>
      </c>
      <c r="G70" s="971">
        <v>4</v>
      </c>
      <c r="H70" s="971">
        <v>1</v>
      </c>
      <c r="I70" s="976">
        <f t="shared" si="22"/>
        <v>31</v>
      </c>
      <c r="J70" s="969"/>
      <c r="K70" s="820">
        <f>INDEX(FX!$A$3:$C$362,MATCH(B70,FX!$A$3:$A$362,0),MATCH("Monthly Curve",FX!$A$2:$C$2,0))</f>
        <v>1.37621559398927</v>
      </c>
      <c r="L70" s="820"/>
      <c r="M70" s="1068">
        <v>3.0455000000000001</v>
      </c>
      <c r="N70" s="1069">
        <v>0.26</v>
      </c>
      <c r="O70" s="831">
        <v>0.05</v>
      </c>
      <c r="P70" s="824">
        <f t="shared" ref="P70:P133" si="51">N70+O70</f>
        <v>0.31</v>
      </c>
      <c r="Q70" s="825">
        <f t="shared" ref="Q70:Q133" si="52">SUM(M70:O70)</f>
        <v>3.3555000000000001</v>
      </c>
      <c r="R70" s="837">
        <f>IF(A70="January",(R69+R69*Assumptions!$E$32),R69)</f>
        <v>0.32508223155692312</v>
      </c>
      <c r="S70" s="827">
        <f t="shared" ref="S70:S133" si="53">(Q70*K70)+R70</f>
        <v>4.9429736571879186</v>
      </c>
      <c r="T70" s="820"/>
      <c r="U70" s="567"/>
      <c r="V70" s="838"/>
      <c r="W70" s="838"/>
      <c r="X70" s="566"/>
      <c r="Y70" s="839">
        <f>Tables!$D$36</f>
        <v>312</v>
      </c>
      <c r="Z70" s="678">
        <f t="shared" ref="Z70:Z133" si="54">IF($Z$10=$V$10,V70,IF($Z$10=$W$10,W70,IF($Z$10=$X$10,X70,0)))</f>
        <v>0</v>
      </c>
      <c r="AA70" s="679">
        <f t="shared" ref="AA70:AA133" si="55">Y70*Z70</f>
        <v>0</v>
      </c>
      <c r="AB70" s="680">
        <f t="shared" si="50"/>
        <v>0</v>
      </c>
      <c r="AC70" s="828"/>
      <c r="AD70" s="1027">
        <f>IF(Tables!$E$30="Michigan",INDEX('Michigan Curve'!$A$4:$S$256,MATCH('Monthly Table'!B70,'Michigan Curve'!$A$4:$A$256,0),MATCH("Michigan Selected Option Value US$/month",'Michigan Curve'!$A$4:$S$4,0)),INDEX('NY Curve'!$A$4:$T$256,MATCH('Monthly Table'!B70,'NY Curve'!$A$4:$A$256,0),MATCH("New York Selected Option Value US$/month",'NY Curve'!$A$4:$T$4,0)))</f>
        <v>18913.929187615708</v>
      </c>
      <c r="AE70" s="601">
        <f t="shared" si="23"/>
        <v>26029.644291605542</v>
      </c>
      <c r="AF70" s="828"/>
      <c r="AG70" s="917"/>
      <c r="AH70" s="828"/>
      <c r="AI70" s="799">
        <f>Assumptions!$B$50</f>
        <v>65</v>
      </c>
      <c r="AJ70" s="762"/>
      <c r="AK70" s="924">
        <f>IF(Tables!$E$30="Custom",'Monthly Table'!AI70,IF(Tables!$E$30="New York",INDEX('NY Curve'!$A$4:$G$256,MATCH('Monthly Table'!B70,'NY Curve'!$A$4:$A$256,0),MATCH("Super Peak Curve",'NY Curve'!$A$4:$G$4,0)),IF(Tables!$E$30="New York Flat",INDEX('NY Curve'!$A$4:$G$256,MATCH('Monthly Table'!B70,'NY Curve'!$A$4:$A$256,0),MATCH("Flat NY West",'NY Curve'!$A$4:$G$4,0)),INDEX('Michigan Curve'!$A$4:$F$256,MATCH('Monthly Table'!B70,'Michigan Curve'!$A$4:$A$256,0),MATCH("Michigan Super Peak Curve US$/MWhr",'Michigan Curve'!$A$4:$F$4,0)))))</f>
        <v>26.213994941711427</v>
      </c>
      <c r="AL70" s="966">
        <f>IF(D70&lt;=Tables!$B$21,IF($AL$10=$AI$10,AI70,IF($AL$10=$AJ$10,AJ70,IF($AL$10=$AK$10,AK70,0))),0)</f>
        <v>26.213994941711427</v>
      </c>
      <c r="AM70" s="879">
        <f t="shared" si="24"/>
        <v>36.076108619539106</v>
      </c>
      <c r="AN70" s="918">
        <f t="shared" si="25"/>
        <v>0</v>
      </c>
      <c r="AO70" s="906"/>
      <c r="AP70" s="925"/>
      <c r="AQ70" s="926">
        <f>IF(Tables!$E$30="New York",INDEX('NY Curve'!$A$4:$L$256,MATCH('Monthly Table'!B70,'NY Curve'!$A$4:$A$256,0),MATCH("New York Shoulder Hour Curve Mon-Fri",'NY Curve'!$A$4:$L$4,0)),IF(Tables!$E$30="Michigan",INDEX('Michigan Curve'!$A$4:$K$256,MATCH('Monthly Table'!B70,'Michigan Curve'!$A$4:$A$256,0),MATCH("Michigan Shoulder Hour Curve Mon-Fri",'Michigan Curve'!$A$4:$K$4,0))))</f>
        <v>25.185995140075683</v>
      </c>
      <c r="AR70" s="708">
        <f t="shared" si="26"/>
        <v>34.661359261910121</v>
      </c>
      <c r="AS70" s="927">
        <f t="shared" si="7"/>
        <v>0</v>
      </c>
      <c r="AT70" s="828"/>
      <c r="AU70" s="926">
        <f>IF(Tables!$E$30="New York",INDEX('NY Curve'!$A$4:$L$256,MATCH('Monthly Table'!$B70,'NY Curve'!$A$4:$A$256,0),MATCH("New York Saturday Super Peak",'NY Curve'!$A$4:$L$4,0)),IF(Tables!$E$30="Michigan",INDEX('Michigan Curve'!$A$4:$K$256,MATCH('Monthly Table'!$B70,'Michigan Curve'!$A$4:$A$256,0),MATCH("Michigan Saturday Super Peak",'Michigan Curve'!$A$4:$K$4,0))))</f>
        <v>20.399999999999999</v>
      </c>
      <c r="AV70" s="925">
        <f t="shared" si="8"/>
        <v>28.074798117381103</v>
      </c>
      <c r="AW70" s="927">
        <f t="shared" si="9"/>
        <v>0</v>
      </c>
      <c r="AX70" s="926">
        <f>IF(Tables!$E$30="New York",INDEX('NY Curve'!$A$4:$L$256,MATCH('Monthly Table'!$B70,'NY Curve'!$A$4:$A$256,0),MATCH("New York Saturday Shoulder Peak",'NY Curve'!$A$4:$L$4,0)),IF(Tables!$E$30="Michigan",INDEX('Michigan Curve'!$A$4:$K$256,MATCH('Monthly Table'!$B70,'Michigan Curve'!$A$4:$A$256,0),MATCH("Michigan Saturday Shoulder Peak",'Michigan Curve'!$A$4:$K$4,0))))</f>
        <v>19.600000000000001</v>
      </c>
      <c r="AY70" s="934">
        <f t="shared" si="27"/>
        <v>26.973825642189695</v>
      </c>
      <c r="AZ70" s="927">
        <f t="shared" si="10"/>
        <v>0</v>
      </c>
      <c r="BA70" s="828"/>
      <c r="BB70" s="926">
        <f>IF(Tables!$E$30="New York",INDEX('NY Curve'!$A$4:$M$256,MATCH('Monthly Table'!$B70,'NY Curve'!$A$4:$A$256,0),MATCH("NY Sunday Super Peak",'NY Curve'!$A$4:$M$4,0)),IF(Tables!$E$30="Michigan",INDEX('Michigan Curve'!$A$4:$L$256,MATCH('Monthly Table'!$B70,'Michigan Curve'!$A$4:$A$256,0),MATCH("Michigan Sunday Super Peak",'Michigan Curve'!$A$4:$L$4,0))))</f>
        <v>19.38</v>
      </c>
      <c r="BC70" s="925">
        <f t="shared" si="28"/>
        <v>26.671058211512051</v>
      </c>
      <c r="BD70" s="927">
        <f t="shared" si="11"/>
        <v>0</v>
      </c>
      <c r="BE70" s="828"/>
      <c r="BF70" s="829">
        <f t="shared" ref="BF70:BF133" si="56">B70</f>
        <v>38687</v>
      </c>
      <c r="BG70" s="583">
        <f t="shared" si="29"/>
        <v>0</v>
      </c>
      <c r="BH70" s="840">
        <f>IF(Tables!$B$36="Combined Cycle",(BF70-BF69)*24*Assumptions!$B$21,0)</f>
        <v>0</v>
      </c>
      <c r="BI70" s="315">
        <f t="shared" si="30"/>
        <v>0</v>
      </c>
      <c r="BJ70" s="988">
        <f>IF('Monthly Table'!D70&lt;=Tables!$B$21,IF($BJ$10=$BG$10,BG70,IF($BJ$10=$BH$10,BH70,IF($BJ$10=$BI$10,BI70,0))),0)</f>
        <v>0</v>
      </c>
      <c r="BK70" s="43"/>
      <c r="BL70" s="987">
        <f t="shared" si="31"/>
        <v>0</v>
      </c>
      <c r="BM70" s="987">
        <f t="shared" si="32"/>
        <v>0</v>
      </c>
      <c r="BN70" s="43"/>
      <c r="BO70" s="987">
        <f t="shared" si="14"/>
        <v>0</v>
      </c>
      <c r="BP70" s="987">
        <f t="shared" si="33"/>
        <v>0</v>
      </c>
      <c r="BQ70" s="43"/>
      <c r="BR70" s="995">
        <f>IF(BJ70&gt;0,INDEX(OperationalDetail,MATCH("Capacity Degradation",ODColumn,0),MATCH('Monthly Table'!C70,ODRow,0)),0)</f>
        <v>0</v>
      </c>
      <c r="BS70" s="994">
        <f>BJ70*(1-BR70)*Tables!$C$36</f>
        <v>0</v>
      </c>
      <c r="BT70" s="834">
        <f t="shared" si="15"/>
        <v>0</v>
      </c>
      <c r="BU70" s="834">
        <f t="shared" si="16"/>
        <v>0</v>
      </c>
      <c r="BV70" s="462"/>
      <c r="BW70" s="785">
        <f>$BO70*(1-$BR70)*Tables!$C$36</f>
        <v>0</v>
      </c>
      <c r="BX70" s="602">
        <f t="shared" si="34"/>
        <v>0</v>
      </c>
      <c r="BY70" s="601">
        <f t="shared" si="35"/>
        <v>0</v>
      </c>
      <c r="BZ70" s="828"/>
      <c r="CA70" s="785">
        <f>$BL70*(1-$BR70)*Tables!$C$36</f>
        <v>0</v>
      </c>
      <c r="CB70" s="602">
        <f t="shared" si="36"/>
        <v>0</v>
      </c>
      <c r="CC70" s="601">
        <f t="shared" si="37"/>
        <v>0</v>
      </c>
      <c r="CD70" s="785">
        <f>$BP70*(1-$BR70)*Tables!$C$36</f>
        <v>0</v>
      </c>
      <c r="CE70" s="602">
        <f t="shared" si="38"/>
        <v>0</v>
      </c>
      <c r="CF70" s="601">
        <f t="shared" si="39"/>
        <v>0</v>
      </c>
      <c r="CH70" s="785">
        <f>$BM70*(1-$BR70)*Tables!$C$36</f>
        <v>0</v>
      </c>
      <c r="CI70" s="602">
        <f t="shared" si="40"/>
        <v>0</v>
      </c>
      <c r="CJ70" s="601">
        <f t="shared" si="41"/>
        <v>0</v>
      </c>
      <c r="CK70" s="880"/>
      <c r="CL70" s="304">
        <f t="shared" si="42"/>
        <v>2004</v>
      </c>
      <c r="CM70" s="1018">
        <f>INDEX(OperationalDetail,MATCH("Degraded Heat Rate",ODColumn,0),MATCH('Monthly Table'!CL70,ODRow,0))/1000</f>
        <v>12.163080799999999</v>
      </c>
      <c r="CN70" s="835">
        <f t="shared" si="17"/>
        <v>60.121787984648151</v>
      </c>
      <c r="CO70" s="1020">
        <f>IF(A70="January",(CO69*(1+Assumptions!$E$32)),CO69)</f>
        <v>7.2908571177000026</v>
      </c>
      <c r="CP70" s="836">
        <f t="shared" ref="CP70:CP133" si="57">CN70+CO70</f>
        <v>67.412645102348151</v>
      </c>
      <c r="CQ70" s="880"/>
      <c r="CR70" s="841" t="str">
        <f t="shared" si="43"/>
        <v/>
      </c>
      <c r="CS70" s="575" t="str">
        <f t="shared" si="44"/>
        <v/>
      </c>
      <c r="CT70" s="575" t="str">
        <f t="shared" si="45"/>
        <v/>
      </c>
      <c r="CU70" s="575" t="str">
        <f t="shared" si="46"/>
        <v/>
      </c>
      <c r="CV70" s="575" t="str">
        <f t="shared" si="47"/>
        <v/>
      </c>
      <c r="CW70" s="842">
        <f t="shared" ref="CW70:CW133" si="58">YEAR(BF70)</f>
        <v>2005</v>
      </c>
      <c r="CX70" s="843">
        <f>INDEX('NY Curve'!$A$4:$G$256,MATCH('Monthly Table'!B70,'NY Curve'!$A$4:$A$256,0),MATCH("New York 5 X 16",'NY Curve'!$A$4:$G$4,0))</f>
        <v>26.5</v>
      </c>
      <c r="CY70" s="844">
        <f t="shared" ref="CY70:CY133" si="59">K70</f>
        <v>1.37621559398927</v>
      </c>
      <c r="CZ70" s="845">
        <f t="shared" ref="CZ70:CZ133" si="60">CX70*CY70</f>
        <v>36.469713240715656</v>
      </c>
      <c r="DB70" s="881"/>
      <c r="DC70" s="881"/>
    </row>
    <row r="71" spans="1:107" ht="18.75" customHeight="1">
      <c r="A71" s="17" t="s">
        <v>437</v>
      </c>
      <c r="B71" s="508">
        <v>38718</v>
      </c>
      <c r="C71" s="43">
        <f t="shared" si="49"/>
        <v>2006</v>
      </c>
      <c r="D71" s="719">
        <f t="shared" si="48"/>
        <v>6</v>
      </c>
      <c r="E71" s="972">
        <v>21</v>
      </c>
      <c r="F71" s="971">
        <v>4</v>
      </c>
      <c r="G71" s="971">
        <v>5</v>
      </c>
      <c r="H71" s="971">
        <v>1</v>
      </c>
      <c r="I71" s="976">
        <f t="shared" si="22"/>
        <v>31</v>
      </c>
      <c r="J71" s="621"/>
      <c r="K71" s="572">
        <f>INDEX(FX!$A$3:$C$362,MATCH(B71,FX!$A$3:$A$362,0),MATCH("Monthly Curve",FX!$A$2:$C$2,0))</f>
        <v>1.3751093295553001</v>
      </c>
      <c r="L71" s="572"/>
      <c r="M71" s="1057">
        <v>3.1010000000000004</v>
      </c>
      <c r="N71" s="1067">
        <v>0.27</v>
      </c>
      <c r="O71" s="315">
        <v>0.05</v>
      </c>
      <c r="P71" s="797">
        <f t="shared" si="51"/>
        <v>0.32</v>
      </c>
      <c r="Q71" s="732">
        <f t="shared" si="52"/>
        <v>3.4210000000000003</v>
      </c>
      <c r="R71" s="723">
        <f>IF(A71="January",(R70+R70*Assumptions!$E$32),R70)</f>
        <v>0.33158387618806157</v>
      </c>
      <c r="S71" s="730">
        <f t="shared" si="53"/>
        <v>5.0358328925967442</v>
      </c>
      <c r="T71" s="572"/>
      <c r="U71" s="509"/>
      <c r="V71" s="584"/>
      <c r="W71" s="584"/>
      <c r="X71" s="461"/>
      <c r="Y71" s="588">
        <f>Tables!$D$36</f>
        <v>312</v>
      </c>
      <c r="Z71" s="570">
        <f t="shared" si="54"/>
        <v>0</v>
      </c>
      <c r="AA71" s="592">
        <f t="shared" si="55"/>
        <v>0</v>
      </c>
      <c r="AB71" s="589">
        <f t="shared" si="50"/>
        <v>0</v>
      </c>
      <c r="AC71" s="462"/>
      <c r="AD71" s="1027">
        <f>IF(Tables!$E$30="Michigan",INDEX('Michigan Curve'!$A$4:$S$256,MATCH('Monthly Table'!B71,'Michigan Curve'!$A$4:$A$256,0),MATCH("Michigan Selected Option Value US$/month",'Michigan Curve'!$A$4:$S$4,0)),INDEX('NY Curve'!$A$4:$T$256,MATCH('Monthly Table'!B71,'NY Curve'!$A$4:$A$256,0),MATCH("New York Selected Option Value US$/month",'NY Curve'!$A$4:$T$4,0)))</f>
        <v>76344.747675459017</v>
      </c>
      <c r="AE71" s="601">
        <f t="shared" si="23"/>
        <v>104982.374791069</v>
      </c>
      <c r="AF71" s="462"/>
      <c r="AG71" s="915"/>
      <c r="AH71" s="462"/>
      <c r="AI71" s="799">
        <f>Assumptions!$B$50</f>
        <v>65</v>
      </c>
      <c r="AJ71" s="743"/>
      <c r="AK71" s="924">
        <f>IF(Tables!$E$30="Custom",'Monthly Table'!AI71,IF(Tables!$E$30="New York",INDEX('NY Curve'!$A$4:$G$256,MATCH('Monthly Table'!B71,'NY Curve'!$A$4:$A$256,0),MATCH("Super Peak Curve",'NY Curve'!$A$4:$G$4,0)),IF(Tables!$E$30="New York Flat",INDEX('NY Curve'!$A$4:$G$256,MATCH('Monthly Table'!B71,'NY Curve'!$A$4:$A$256,0),MATCH("Flat NY West",'NY Curve'!$A$4:$G$4,0)),INDEX('Michigan Curve'!$A$4:$F$256,MATCH('Monthly Table'!B71,'Michigan Curve'!$A$4:$A$256,0),MATCH("Michigan Super Peak Curve US$/MWhr",'Michigan Curve'!$A$4:$F$4,0)))))</f>
        <v>31.824000389099123</v>
      </c>
      <c r="AL71" s="965">
        <f>IF(D71&lt;=Tables!$B$21,IF($AL$10=$AI$10,AI71,IF($AL$10=$AJ$10,AJ71,IF($AL$10=$AK$10,AK71,0))),0)</f>
        <v>31.824000389099123</v>
      </c>
      <c r="AM71" s="708">
        <f t="shared" si="24"/>
        <v>43.7614798388217</v>
      </c>
      <c r="AN71" s="916">
        <f t="shared" si="25"/>
        <v>0</v>
      </c>
      <c r="AO71" s="905"/>
      <c r="AP71" s="925"/>
      <c r="AQ71" s="926">
        <f>IF(Tables!$E$30="New York",INDEX('NY Curve'!$A$4:$L$256,MATCH('Monthly Table'!B71,'NY Curve'!$A$4:$A$256,0),MATCH("New York Shoulder Hour Curve Mon-Fri",'NY Curve'!$A$4:$L$4,0)),IF(Tables!$E$30="Michigan",INDEX('Michigan Curve'!$A$4:$K$256,MATCH('Monthly Table'!B71,'Michigan Curve'!$A$4:$A$256,0),MATCH("Michigan Shoulder Hour Curve Mon-Fri",'Michigan Curve'!$A$4:$K$4,0))))</f>
        <v>30.576000373840333</v>
      </c>
      <c r="AR71" s="708">
        <f t="shared" si="26"/>
        <v>42.045343374554186</v>
      </c>
      <c r="AS71" s="927">
        <f t="shared" si="7"/>
        <v>0</v>
      </c>
      <c r="AT71" s="462"/>
      <c r="AU71" s="926">
        <f>IF(Tables!$E$30="New York",INDEX('NY Curve'!$A$4:$L$256,MATCH('Monthly Table'!$B71,'NY Curve'!$A$4:$A$256,0),MATCH("New York Saturday Super Peak",'NY Curve'!$A$4:$L$4,0)),IF(Tables!$E$30="Michigan",INDEX('Michigan Curve'!$A$4:$K$256,MATCH('Monthly Table'!$B71,'Michigan Curve'!$A$4:$A$256,0),MATCH("Michigan Saturday Super Peak",'Michigan Curve'!$A$4:$K$4,0))))</f>
        <v>22.44</v>
      </c>
      <c r="AV71" s="925">
        <f t="shared" si="8"/>
        <v>30.857453355220937</v>
      </c>
      <c r="AW71" s="927">
        <f t="shared" si="9"/>
        <v>0</v>
      </c>
      <c r="AX71" s="926">
        <f>IF(Tables!$E$30="New York",INDEX('NY Curve'!$A$4:$L$256,MATCH('Monthly Table'!$B71,'NY Curve'!$A$4:$A$256,0),MATCH("New York Saturday Shoulder Peak",'NY Curve'!$A$4:$L$4,0)),IF(Tables!$E$30="Michigan",INDEX('Michigan Curve'!$A$4:$K$256,MATCH('Monthly Table'!$B71,'Michigan Curve'!$A$4:$A$256,0),MATCH("Michigan Saturday Shoulder Peak",'Michigan Curve'!$A$4:$K$4,0))))</f>
        <v>21.56</v>
      </c>
      <c r="AY71" s="934">
        <f t="shared" si="27"/>
        <v>29.647357145212268</v>
      </c>
      <c r="AZ71" s="927">
        <f t="shared" si="10"/>
        <v>0</v>
      </c>
      <c r="BA71" s="462"/>
      <c r="BB71" s="926">
        <f>IF(Tables!$E$30="New York",INDEX('NY Curve'!$A$4:$M$256,MATCH('Monthly Table'!$B71,'NY Curve'!$A$4:$A$256,0),MATCH("NY Sunday Super Peak",'NY Curve'!$A$4:$M$4,0)),IF(Tables!$E$30="Michigan",INDEX('Michigan Curve'!$A$4:$L$256,MATCH('Monthly Table'!$B71,'Michigan Curve'!$A$4:$A$256,0),MATCH("Michigan Sunday Super Peak",'Michigan Curve'!$A$4:$L$4,0))))</f>
        <v>21.42</v>
      </c>
      <c r="BC71" s="925">
        <f t="shared" si="28"/>
        <v>29.454841839074529</v>
      </c>
      <c r="BD71" s="927">
        <f t="shared" si="11"/>
        <v>0</v>
      </c>
      <c r="BE71" s="462"/>
      <c r="BF71" s="598">
        <f t="shared" si="56"/>
        <v>38718</v>
      </c>
      <c r="BG71" s="583">
        <f t="shared" si="29"/>
        <v>0</v>
      </c>
      <c r="BH71" s="764">
        <f>IF(Tables!$B$36="Combined Cycle",(BF71-BF70)*24*Assumptions!$B$21,0)</f>
        <v>0</v>
      </c>
      <c r="BI71" s="315">
        <f t="shared" si="30"/>
        <v>0</v>
      </c>
      <c r="BJ71" s="987">
        <f>IF('Monthly Table'!D71&lt;=Tables!$B$21,IF($BJ$10=$BG$10,BG71,IF($BJ$10=$BH$10,BH71,IF($BJ$10=$BI$10,BI71,0))),0)</f>
        <v>0</v>
      </c>
      <c r="BK71" s="43"/>
      <c r="BL71" s="987">
        <f t="shared" si="31"/>
        <v>0</v>
      </c>
      <c r="BM71" s="987">
        <f t="shared" si="32"/>
        <v>0</v>
      </c>
      <c r="BO71" s="987">
        <f t="shared" si="14"/>
        <v>0</v>
      </c>
      <c r="BP71" s="987">
        <f t="shared" si="33"/>
        <v>0</v>
      </c>
      <c r="BR71" s="993">
        <f>IF(BJ71&gt;0,INDEX(OperationalDetail,MATCH("Capacity Degradation",ODColumn,0),MATCH('Monthly Table'!C71,ODRow,0)),0)</f>
        <v>0</v>
      </c>
      <c r="BS71" s="994">
        <f>BJ71*(1-BR71)*Tables!$C$36</f>
        <v>0</v>
      </c>
      <c r="BT71" s="601">
        <f t="shared" si="15"/>
        <v>0</v>
      </c>
      <c r="BU71" s="601">
        <f t="shared" si="16"/>
        <v>0</v>
      </c>
      <c r="BV71" s="462"/>
      <c r="BW71" s="785">
        <f>$BO71*(1-$BR71)*Tables!$C$36</f>
        <v>0</v>
      </c>
      <c r="BX71" s="602">
        <f t="shared" si="34"/>
        <v>0</v>
      </c>
      <c r="BY71" s="601">
        <f t="shared" si="35"/>
        <v>0</v>
      </c>
      <c r="BZ71" s="462"/>
      <c r="CA71" s="785">
        <f>$BL71*(1-$BR71)*Tables!$C$36</f>
        <v>0</v>
      </c>
      <c r="CB71" s="602">
        <f t="shared" si="36"/>
        <v>0</v>
      </c>
      <c r="CC71" s="601">
        <f t="shared" si="37"/>
        <v>0</v>
      </c>
      <c r="CD71" s="785">
        <f>$BP71*(1-$BR71)*Tables!$C$36</f>
        <v>0</v>
      </c>
      <c r="CE71" s="602">
        <f t="shared" si="38"/>
        <v>0</v>
      </c>
      <c r="CF71" s="601">
        <f t="shared" si="39"/>
        <v>0</v>
      </c>
      <c r="CH71" s="785">
        <f>$BM71*(1-$BR71)*Tables!$C$36</f>
        <v>0</v>
      </c>
      <c r="CI71" s="602">
        <f t="shared" si="40"/>
        <v>0</v>
      </c>
      <c r="CJ71" s="601">
        <f t="shared" si="41"/>
        <v>0</v>
      </c>
      <c r="CK71" s="304"/>
      <c r="CL71" s="304">
        <f t="shared" si="42"/>
        <v>2005</v>
      </c>
      <c r="CM71" s="1018">
        <f>INDEX(OperationalDetail,MATCH("Degraded Heat Rate",ODColumn,0),MATCH('Monthly Table'!CL71,ODRow,0))/1000</f>
        <v>12.194057200000001</v>
      </c>
      <c r="CN71" s="737">
        <f t="shared" si="17"/>
        <v>61.407234341966159</v>
      </c>
      <c r="CO71" s="1019">
        <f>IF(A71="January",(CO70*(1+Assumptions!$E$32)),CO70)</f>
        <v>7.4366742600540023</v>
      </c>
      <c r="CP71" s="741">
        <f t="shared" si="57"/>
        <v>68.843908602020164</v>
      </c>
      <c r="CQ71" s="304"/>
      <c r="CR71" s="575" t="str">
        <f t="shared" si="43"/>
        <v/>
      </c>
      <c r="CS71" s="575" t="str">
        <f t="shared" si="44"/>
        <v/>
      </c>
      <c r="CT71" s="575" t="str">
        <f t="shared" si="45"/>
        <v/>
      </c>
      <c r="CU71" s="575" t="str">
        <f t="shared" si="46"/>
        <v/>
      </c>
      <c r="CV71" s="575" t="str">
        <f t="shared" si="47"/>
        <v/>
      </c>
      <c r="CW71" s="576">
        <f t="shared" si="58"/>
        <v>2006</v>
      </c>
      <c r="CX71" s="787">
        <f>INDEX('NY Curve'!$A$4:$G$256,MATCH('Monthly Table'!B71,'NY Curve'!$A$4:$A$256,0),MATCH("New York 5 X 16",'NY Curve'!$A$4:$G$4,0))</f>
        <v>31.85</v>
      </c>
      <c r="CY71" s="632">
        <f t="shared" si="59"/>
        <v>1.3751093295553001</v>
      </c>
      <c r="CZ71" s="633">
        <f t="shared" si="60"/>
        <v>43.797232146336306</v>
      </c>
      <c r="DB71" s="857"/>
      <c r="DC71" s="857"/>
    </row>
    <row r="72" spans="1:107" ht="18.75" customHeight="1">
      <c r="A72" s="17" t="s">
        <v>438</v>
      </c>
      <c r="B72" s="508">
        <v>38749</v>
      </c>
      <c r="C72" s="43">
        <f t="shared" si="49"/>
        <v>2006</v>
      </c>
      <c r="D72" s="719">
        <f t="shared" si="48"/>
        <v>6</v>
      </c>
      <c r="E72" s="972">
        <v>20</v>
      </c>
      <c r="F72" s="971">
        <v>4</v>
      </c>
      <c r="G72" s="971">
        <v>4</v>
      </c>
      <c r="H72" s="971">
        <v>0</v>
      </c>
      <c r="I72" s="976">
        <f t="shared" si="22"/>
        <v>28</v>
      </c>
      <c r="J72" s="621"/>
      <c r="K72" s="572">
        <f>INDEX(FX!$A$3:$C$362,MATCH(B72,FX!$A$3:$A$362,0),MATCH("Monthly Curve",FX!$A$2:$C$2,0))</f>
        <v>1.3740041964560299</v>
      </c>
      <c r="L72" s="572"/>
      <c r="M72" s="1057">
        <v>2.988</v>
      </c>
      <c r="N72" s="1067">
        <v>0.3</v>
      </c>
      <c r="O72" s="315">
        <v>0.05</v>
      </c>
      <c r="P72" s="797">
        <f t="shared" si="51"/>
        <v>0.35</v>
      </c>
      <c r="Q72" s="732">
        <f t="shared" si="52"/>
        <v>3.3379999999999996</v>
      </c>
      <c r="R72" s="723">
        <f>IF(A72="January",(R71+R71*Assumptions!$E$32),R71)</f>
        <v>0.33158387618806157</v>
      </c>
      <c r="S72" s="730">
        <f t="shared" si="53"/>
        <v>4.9180098839582893</v>
      </c>
      <c r="T72" s="572"/>
      <c r="U72" s="509"/>
      <c r="V72" s="584"/>
      <c r="W72" s="584"/>
      <c r="X72" s="461"/>
      <c r="Y72" s="588">
        <f>Tables!$D$36</f>
        <v>312</v>
      </c>
      <c r="Z72" s="570">
        <f t="shared" si="54"/>
        <v>0</v>
      </c>
      <c r="AA72" s="592">
        <f t="shared" si="55"/>
        <v>0</v>
      </c>
      <c r="AB72" s="589">
        <f t="shared" si="50"/>
        <v>0</v>
      </c>
      <c r="AC72" s="462"/>
      <c r="AD72" s="1027">
        <f>IF(Tables!$E$30="Michigan",INDEX('Michigan Curve'!$A$4:$S$256,MATCH('Monthly Table'!B72,'Michigan Curve'!$A$4:$A$256,0),MATCH("Michigan Selected Option Value US$/month",'Michigan Curve'!$A$4:$S$4,0)),INDEX('NY Curve'!$A$4:$T$256,MATCH('Monthly Table'!B72,'NY Curve'!$A$4:$A$256,0),MATCH("New York Selected Option Value US$/month",'NY Curve'!$A$4:$T$4,0)))</f>
        <v>75393.28652695319</v>
      </c>
      <c r="AE72" s="601">
        <f t="shared" si="23"/>
        <v>103590.69207264554</v>
      </c>
      <c r="AF72" s="462"/>
      <c r="AG72" s="915"/>
      <c r="AH72" s="462"/>
      <c r="AI72" s="799">
        <f>Assumptions!$B$50</f>
        <v>65</v>
      </c>
      <c r="AJ72" s="743"/>
      <c r="AK72" s="924">
        <f>IF(Tables!$E$30="Custom",'Monthly Table'!AI72,IF(Tables!$E$30="New York",INDEX('NY Curve'!$A$4:$G$256,MATCH('Monthly Table'!B72,'NY Curve'!$A$4:$A$256,0),MATCH("Super Peak Curve",'NY Curve'!$A$4:$G$4,0)),IF(Tables!$E$30="New York Flat",INDEX('NY Curve'!$A$4:$G$256,MATCH('Monthly Table'!B72,'NY Curve'!$A$4:$A$256,0),MATCH("Flat NY West",'NY Curve'!$A$4:$G$4,0)),INDEX('Michigan Curve'!$A$4:$F$256,MATCH('Monthly Table'!B72,'Michigan Curve'!$A$4:$A$256,0),MATCH("Michigan Super Peak Curve US$/MWhr",'Michigan Curve'!$A$4:$F$4,0)))))</f>
        <v>31.823998443603518</v>
      </c>
      <c r="AL72" s="965">
        <f>IF(D72&lt;=Tables!$B$21,IF($AL$10=$AI$10,AI72,IF($AL$10=$AJ$10,AJ72,IF($AL$10=$AK$10,AK72,0))),0)</f>
        <v>31.823998443603518</v>
      </c>
      <c r="AM72" s="708">
        <f t="shared" si="24"/>
        <v>43.726307409521397</v>
      </c>
      <c r="AN72" s="916">
        <f t="shared" si="25"/>
        <v>0</v>
      </c>
      <c r="AO72" s="905"/>
      <c r="AP72" s="925"/>
      <c r="AQ72" s="926">
        <f>IF(Tables!$E$30="New York",INDEX('NY Curve'!$A$4:$L$256,MATCH('Monthly Table'!B72,'NY Curve'!$A$4:$A$256,0),MATCH("New York Shoulder Hour Curve Mon-Fri",'NY Curve'!$A$4:$L$4,0)),IF(Tables!$E$30="Michigan",INDEX('Michigan Curve'!$A$4:$K$256,MATCH('Monthly Table'!B72,'Michigan Curve'!$A$4:$A$256,0),MATCH("Michigan Shoulder Hour Curve Mon-Fri",'Michigan Curve'!$A$4:$K$4,0))))</f>
        <v>30.575998504638672</v>
      </c>
      <c r="AR72" s="708">
        <f t="shared" si="26"/>
        <v>42.011550256206831</v>
      </c>
      <c r="AS72" s="927">
        <f t="shared" si="7"/>
        <v>0</v>
      </c>
      <c r="AT72" s="462"/>
      <c r="AU72" s="926">
        <f>IF(Tables!$E$30="New York",INDEX('NY Curve'!$A$4:$L$256,MATCH('Monthly Table'!$B72,'NY Curve'!$A$4:$A$256,0),MATCH("New York Saturday Super Peak",'NY Curve'!$A$4:$L$4,0)),IF(Tables!$E$30="Michigan",INDEX('Michigan Curve'!$A$4:$K$256,MATCH('Monthly Table'!$B72,'Michigan Curve'!$A$4:$A$256,0),MATCH("Michigan Saturday Super Peak",'Michigan Curve'!$A$4:$K$4,0))))</f>
        <v>22.435920295715331</v>
      </c>
      <c r="AV72" s="925">
        <f t="shared" si="8"/>
        <v>30.827048637665875</v>
      </c>
      <c r="AW72" s="927">
        <f t="shared" si="9"/>
        <v>0</v>
      </c>
      <c r="AX72" s="926">
        <f>IF(Tables!$E$30="New York",INDEX('NY Curve'!$A$4:$L$256,MATCH('Monthly Table'!$B72,'NY Curve'!$A$4:$A$256,0),MATCH("New York Saturday Shoulder Peak",'NY Curve'!$A$4:$L$4,0)),IF(Tables!$E$30="Michigan",INDEX('Michigan Curve'!$A$4:$K$256,MATCH('Monthly Table'!$B72,'Michigan Curve'!$A$4:$A$256,0),MATCH("Michigan Saturday Shoulder Peak",'Michigan Curve'!$A$4:$K$4,0))))</f>
        <v>21.556080284118654</v>
      </c>
      <c r="AY72" s="934">
        <f t="shared" si="27"/>
        <v>29.618144769522118</v>
      </c>
      <c r="AZ72" s="927">
        <f t="shared" si="10"/>
        <v>0</v>
      </c>
      <c r="BA72" s="462"/>
      <c r="BB72" s="926">
        <f>IF(Tables!$E$30="New York",INDEX('NY Curve'!$A$4:$M$256,MATCH('Monthly Table'!$B72,'NY Curve'!$A$4:$A$256,0),MATCH("NY Sunday Super Peak",'NY Curve'!$A$4:$M$4,0)),IF(Tables!$E$30="Michigan",INDEX('Michigan Curve'!$A$4:$L$256,MATCH('Monthly Table'!$B72,'Michigan Curve'!$A$4:$A$256,0),MATCH("Michigan Sunday Super Peak",'Michigan Curve'!$A$4:$L$4,0))))</f>
        <v>21.416431961059569</v>
      </c>
      <c r="BC72" s="925">
        <f t="shared" si="28"/>
        <v>29.426267387610888</v>
      </c>
      <c r="BD72" s="927">
        <f t="shared" si="11"/>
        <v>0</v>
      </c>
      <c r="BE72" s="462"/>
      <c r="BF72" s="598">
        <f t="shared" si="56"/>
        <v>38749</v>
      </c>
      <c r="BG72" s="583">
        <f t="shared" si="29"/>
        <v>0</v>
      </c>
      <c r="BH72" s="764">
        <f>IF(Tables!$B$36="Combined Cycle",(BF72-BF71)*24*Assumptions!$B$21,0)</f>
        <v>0</v>
      </c>
      <c r="BI72" s="315">
        <f t="shared" si="30"/>
        <v>0</v>
      </c>
      <c r="BJ72" s="987">
        <f>IF('Monthly Table'!D72&lt;=Tables!$B$21,IF($BJ$10=$BG$10,BG72,IF($BJ$10=$BH$10,BH72,IF($BJ$10=$BI$10,BI72,0))),0)</f>
        <v>0</v>
      </c>
      <c r="BK72" s="43"/>
      <c r="BL72" s="987">
        <f t="shared" si="31"/>
        <v>0</v>
      </c>
      <c r="BM72" s="987">
        <f t="shared" si="32"/>
        <v>0</v>
      </c>
      <c r="BO72" s="987">
        <f t="shared" si="14"/>
        <v>0</v>
      </c>
      <c r="BP72" s="987">
        <f t="shared" si="33"/>
        <v>0</v>
      </c>
      <c r="BR72" s="993">
        <f>IF(BJ72&gt;0,INDEX(OperationalDetail,MATCH("Capacity Degradation",ODColumn,0),MATCH('Monthly Table'!C72,ODRow,0)),0)</f>
        <v>0</v>
      </c>
      <c r="BS72" s="994">
        <f>BJ72*(1-BR72)*Tables!$C$36</f>
        <v>0</v>
      </c>
      <c r="BT72" s="601">
        <f t="shared" si="15"/>
        <v>0</v>
      </c>
      <c r="BU72" s="601">
        <f t="shared" si="16"/>
        <v>0</v>
      </c>
      <c r="BV72" s="462"/>
      <c r="BW72" s="785">
        <f>$BO72*(1-$BR72)*Tables!$C$36</f>
        <v>0</v>
      </c>
      <c r="BX72" s="602">
        <f t="shared" si="34"/>
        <v>0</v>
      </c>
      <c r="BY72" s="601">
        <f t="shared" si="35"/>
        <v>0</v>
      </c>
      <c r="BZ72" s="462"/>
      <c r="CA72" s="785">
        <f>$BL72*(1-$BR72)*Tables!$C$36</f>
        <v>0</v>
      </c>
      <c r="CB72" s="602">
        <f t="shared" si="36"/>
        <v>0</v>
      </c>
      <c r="CC72" s="601">
        <f t="shared" si="37"/>
        <v>0</v>
      </c>
      <c r="CD72" s="785">
        <f>$BP72*(1-$BR72)*Tables!$C$36</f>
        <v>0</v>
      </c>
      <c r="CE72" s="602">
        <f t="shared" si="38"/>
        <v>0</v>
      </c>
      <c r="CF72" s="601">
        <f t="shared" si="39"/>
        <v>0</v>
      </c>
      <c r="CH72" s="785">
        <f>$BM72*(1-$BR72)*Tables!$C$36</f>
        <v>0</v>
      </c>
      <c r="CI72" s="602">
        <f t="shared" si="40"/>
        <v>0</v>
      </c>
      <c r="CJ72" s="601">
        <f t="shared" si="41"/>
        <v>0</v>
      </c>
      <c r="CK72" s="304"/>
      <c r="CL72" s="304">
        <f t="shared" si="42"/>
        <v>2005</v>
      </c>
      <c r="CM72" s="1018">
        <f>INDEX(OperationalDetail,MATCH("Degraded Heat Rate",ODColumn,0),MATCH('Monthly Table'!CL72,ODRow,0))/1000</f>
        <v>12.194057200000001</v>
      </c>
      <c r="CN72" s="737">
        <f t="shared" si="17"/>
        <v>59.970493835152752</v>
      </c>
      <c r="CO72" s="1019">
        <f>IF(A72="January",(CO71*(1+Assumptions!$E$32)),CO71)</f>
        <v>7.4366742600540023</v>
      </c>
      <c r="CP72" s="741">
        <f t="shared" si="57"/>
        <v>67.407168095206757</v>
      </c>
      <c r="CQ72" s="304"/>
      <c r="CR72" s="575" t="str">
        <f t="shared" si="43"/>
        <v/>
      </c>
      <c r="CS72" s="575" t="str">
        <f t="shared" si="44"/>
        <v/>
      </c>
      <c r="CT72" s="575" t="str">
        <f t="shared" si="45"/>
        <v/>
      </c>
      <c r="CU72" s="575" t="str">
        <f t="shared" si="46"/>
        <v/>
      </c>
      <c r="CV72" s="575" t="str">
        <f t="shared" si="47"/>
        <v/>
      </c>
      <c r="CW72" s="576">
        <f t="shared" si="58"/>
        <v>2006</v>
      </c>
      <c r="CX72" s="787">
        <f>INDEX('NY Curve'!$A$4:$G$256,MATCH('Monthly Table'!B72,'NY Curve'!$A$4:$A$256,0),MATCH("New York 5 X 16",'NY Curve'!$A$4:$G$4,0))</f>
        <v>31.85</v>
      </c>
      <c r="CY72" s="632">
        <f t="shared" si="59"/>
        <v>1.3740041964560299</v>
      </c>
      <c r="CZ72" s="633">
        <f t="shared" si="60"/>
        <v>43.762033657124555</v>
      </c>
      <c r="DB72" s="857"/>
      <c r="DC72" s="857"/>
    </row>
    <row r="73" spans="1:107" ht="18.75" customHeight="1">
      <c r="A73" s="17" t="s">
        <v>439</v>
      </c>
      <c r="B73" s="508">
        <v>38777</v>
      </c>
      <c r="C73" s="43">
        <f t="shared" si="49"/>
        <v>2006</v>
      </c>
      <c r="D73" s="719">
        <f t="shared" si="48"/>
        <v>6</v>
      </c>
      <c r="E73" s="972">
        <v>23</v>
      </c>
      <c r="F73" s="971">
        <v>4</v>
      </c>
      <c r="G73" s="971">
        <v>4</v>
      </c>
      <c r="H73" s="971">
        <v>0</v>
      </c>
      <c r="I73" s="976">
        <f t="shared" si="22"/>
        <v>31</v>
      </c>
      <c r="J73" s="621"/>
      <c r="K73" s="572">
        <f>INDEX(FX!$A$3:$C$362,MATCH(B73,FX!$A$3:$A$362,0),MATCH("Monthly Curve",FX!$A$2:$C$2,0))</f>
        <v>1.3730069830417799</v>
      </c>
      <c r="L73" s="572"/>
      <c r="M73" s="1057">
        <v>2.8730000000000002</v>
      </c>
      <c r="N73" s="1067">
        <v>0.3</v>
      </c>
      <c r="O73" s="315">
        <v>0.05</v>
      </c>
      <c r="P73" s="797">
        <f t="shared" si="51"/>
        <v>0.35</v>
      </c>
      <c r="Q73" s="732">
        <f t="shared" si="52"/>
        <v>3.2229999999999999</v>
      </c>
      <c r="R73" s="723">
        <f>IF(A73="January",(R72+R72*Assumptions!$E$32),R72)</f>
        <v>0.33158387618806157</v>
      </c>
      <c r="S73" s="730">
        <f t="shared" si="53"/>
        <v>4.7567853825317181</v>
      </c>
      <c r="T73" s="572"/>
      <c r="U73" s="509"/>
      <c r="V73" s="584"/>
      <c r="W73" s="584"/>
      <c r="X73" s="461"/>
      <c r="Y73" s="588">
        <f>Tables!$D$36</f>
        <v>312</v>
      </c>
      <c r="Z73" s="570">
        <f t="shared" si="54"/>
        <v>0</v>
      </c>
      <c r="AA73" s="592">
        <f t="shared" si="55"/>
        <v>0</v>
      </c>
      <c r="AB73" s="589">
        <f t="shared" si="50"/>
        <v>0</v>
      </c>
      <c r="AC73" s="462"/>
      <c r="AD73" s="1027">
        <f>IF(Tables!$E$30="Michigan",INDEX('Michigan Curve'!$A$4:$S$256,MATCH('Monthly Table'!B73,'Michigan Curve'!$A$4:$A$256,0),MATCH("Michigan Selected Option Value US$/month",'Michigan Curve'!$A$4:$S$4,0)),INDEX('NY Curve'!$A$4:$T$256,MATCH('Monthly Table'!B73,'NY Curve'!$A$4:$A$256,0),MATCH("New York Selected Option Value US$/month",'NY Curve'!$A$4:$T$4,0)))</f>
        <v>30968.974206319603</v>
      </c>
      <c r="AE73" s="601">
        <f t="shared" si="23"/>
        <v>42520.617842917578</v>
      </c>
      <c r="AF73" s="462"/>
      <c r="AG73" s="915"/>
      <c r="AH73" s="462"/>
      <c r="AI73" s="799">
        <f>Assumptions!$B$50</f>
        <v>65</v>
      </c>
      <c r="AJ73" s="743"/>
      <c r="AK73" s="924">
        <f>IF(Tables!$E$30="Custom",'Monthly Table'!AI73,IF(Tables!$E$30="New York",INDEX('NY Curve'!$A$4:$G$256,MATCH('Monthly Table'!B73,'NY Curve'!$A$4:$A$256,0),MATCH("Super Peak Curve",'NY Curve'!$A$4:$G$4,0)),IF(Tables!$E$30="New York Flat",INDEX('NY Curve'!$A$4:$G$256,MATCH('Monthly Table'!B73,'NY Curve'!$A$4:$A$256,0),MATCH("Flat NY West",'NY Curve'!$A$4:$G$4,0)),INDEX('Michigan Curve'!$A$4:$F$256,MATCH('Monthly Table'!B73,'Michigan Curve'!$A$4:$A$256,0),MATCH("Michigan Super Peak Curve US$/MWhr",'Michigan Curve'!$A$4:$F$4,0)))))</f>
        <v>26.52</v>
      </c>
      <c r="AL73" s="965">
        <f>IF(D73&lt;=Tables!$B$21,IF($AL$10=$AI$10,AI73,IF($AL$10=$AJ$10,AJ73,IF($AL$10=$AK$10,AK73,0))),0)</f>
        <v>26.52</v>
      </c>
      <c r="AM73" s="708">
        <f t="shared" si="24"/>
        <v>36.412145190268006</v>
      </c>
      <c r="AN73" s="916">
        <f t="shared" si="25"/>
        <v>0</v>
      </c>
      <c r="AO73" s="905"/>
      <c r="AP73" s="925"/>
      <c r="AQ73" s="926">
        <f>IF(Tables!$E$30="New York",INDEX('NY Curve'!$A$4:$L$256,MATCH('Monthly Table'!B73,'NY Curve'!$A$4:$A$256,0),MATCH("New York Shoulder Hour Curve Mon-Fri",'NY Curve'!$A$4:$L$4,0)),IF(Tables!$E$30="Michigan",INDEX('Michigan Curve'!$A$4:$K$256,MATCH('Monthly Table'!B73,'Michigan Curve'!$A$4:$A$256,0),MATCH("Michigan Shoulder Hour Curve Mon-Fri",'Michigan Curve'!$A$4:$K$4,0))))</f>
        <v>25.48</v>
      </c>
      <c r="AR73" s="708">
        <f t="shared" si="26"/>
        <v>34.984217927904552</v>
      </c>
      <c r="AS73" s="927">
        <f t="shared" si="7"/>
        <v>0</v>
      </c>
      <c r="AT73" s="462"/>
      <c r="AU73" s="926">
        <f>IF(Tables!$E$30="New York",INDEX('NY Curve'!$A$4:$L$256,MATCH('Monthly Table'!$B73,'NY Curve'!$A$4:$A$256,0),MATCH("New York Saturday Super Peak",'NY Curve'!$A$4:$L$4,0)),IF(Tables!$E$30="Michigan",INDEX('Michigan Curve'!$A$4:$K$256,MATCH('Monthly Table'!$B73,'Michigan Curve'!$A$4:$A$256,0),MATCH("Michigan Saturday Super Peak",'Michigan Curve'!$A$4:$K$4,0))))</f>
        <v>20.399999999999999</v>
      </c>
      <c r="AV73" s="925">
        <f t="shared" si="8"/>
        <v>28.009342454052309</v>
      </c>
      <c r="AW73" s="927">
        <f t="shared" si="9"/>
        <v>0</v>
      </c>
      <c r="AX73" s="926">
        <f>IF(Tables!$E$30="New York",INDEX('NY Curve'!$A$4:$L$256,MATCH('Monthly Table'!$B73,'NY Curve'!$A$4:$A$256,0),MATCH("New York Saturday Shoulder Peak",'NY Curve'!$A$4:$L$4,0)),IF(Tables!$E$30="Michigan",INDEX('Michigan Curve'!$A$4:$K$256,MATCH('Monthly Table'!$B73,'Michigan Curve'!$A$4:$A$256,0),MATCH("Michigan Saturday Shoulder Peak",'Michigan Curve'!$A$4:$K$4,0))))</f>
        <v>19.600000000000001</v>
      </c>
      <c r="AY73" s="934">
        <f t="shared" si="27"/>
        <v>26.91093686761889</v>
      </c>
      <c r="AZ73" s="927">
        <f t="shared" si="10"/>
        <v>0</v>
      </c>
      <c r="BA73" s="462"/>
      <c r="BB73" s="926">
        <f>IF(Tables!$E$30="New York",INDEX('NY Curve'!$A$4:$M$256,MATCH('Monthly Table'!$B73,'NY Curve'!$A$4:$A$256,0),MATCH("NY Sunday Super Peak",'NY Curve'!$A$4:$M$4,0)),IF(Tables!$E$30="Michigan",INDEX('Michigan Curve'!$A$4:$L$256,MATCH('Monthly Table'!$B73,'Michigan Curve'!$A$4:$A$256,0),MATCH("Michigan Sunday Super Peak",'Michigan Curve'!$A$4:$L$4,0))))</f>
        <v>19.38</v>
      </c>
      <c r="BC73" s="925">
        <f t="shared" si="28"/>
        <v>26.608875331349694</v>
      </c>
      <c r="BD73" s="927">
        <f t="shared" si="11"/>
        <v>0</v>
      </c>
      <c r="BE73" s="462"/>
      <c r="BF73" s="598">
        <f t="shared" si="56"/>
        <v>38777</v>
      </c>
      <c r="BG73" s="583">
        <f t="shared" si="29"/>
        <v>0</v>
      </c>
      <c r="BH73" s="764">
        <f>IF(Tables!$B$36="Combined Cycle",(BF73-BF72)*24*Assumptions!$B$21,0)</f>
        <v>0</v>
      </c>
      <c r="BI73" s="315">
        <f t="shared" si="30"/>
        <v>0</v>
      </c>
      <c r="BJ73" s="987">
        <f>IF('Monthly Table'!D73&lt;=Tables!$B$21,IF($BJ$10=$BG$10,BG73,IF($BJ$10=$BH$10,BH73,IF($BJ$10=$BI$10,BI73,0))),0)</f>
        <v>0</v>
      </c>
      <c r="BK73" s="43"/>
      <c r="BL73" s="987">
        <f t="shared" si="31"/>
        <v>0</v>
      </c>
      <c r="BM73" s="987">
        <f t="shared" si="32"/>
        <v>0</v>
      </c>
      <c r="BO73" s="987">
        <f t="shared" si="14"/>
        <v>0</v>
      </c>
      <c r="BP73" s="987">
        <f t="shared" si="33"/>
        <v>0</v>
      </c>
      <c r="BR73" s="993">
        <f>IF(BJ73&gt;0,INDEX(OperationalDetail,MATCH("Capacity Degradation",ODColumn,0),MATCH('Monthly Table'!C73,ODRow,0)),0)</f>
        <v>0</v>
      </c>
      <c r="BS73" s="994">
        <f>BJ73*(1-BR73)*Tables!$C$36</f>
        <v>0</v>
      </c>
      <c r="BT73" s="601">
        <f t="shared" si="15"/>
        <v>0</v>
      </c>
      <c r="BU73" s="601">
        <f t="shared" si="16"/>
        <v>0</v>
      </c>
      <c r="BV73" s="462"/>
      <c r="BW73" s="785">
        <f>$BO73*(1-$BR73)*Tables!$C$36</f>
        <v>0</v>
      </c>
      <c r="BX73" s="602">
        <f t="shared" si="34"/>
        <v>0</v>
      </c>
      <c r="BY73" s="601">
        <f t="shared" si="35"/>
        <v>0</v>
      </c>
      <c r="BZ73" s="462"/>
      <c r="CA73" s="785">
        <f>$BL73*(1-$BR73)*Tables!$C$36</f>
        <v>0</v>
      </c>
      <c r="CB73" s="602">
        <f t="shared" si="36"/>
        <v>0</v>
      </c>
      <c r="CC73" s="601">
        <f t="shared" si="37"/>
        <v>0</v>
      </c>
      <c r="CD73" s="785">
        <f>$BP73*(1-$BR73)*Tables!$C$36</f>
        <v>0</v>
      </c>
      <c r="CE73" s="602">
        <f t="shared" si="38"/>
        <v>0</v>
      </c>
      <c r="CF73" s="601">
        <f t="shared" si="39"/>
        <v>0</v>
      </c>
      <c r="CH73" s="785">
        <f>$BM73*(1-$BR73)*Tables!$C$36</f>
        <v>0</v>
      </c>
      <c r="CI73" s="602">
        <f t="shared" si="40"/>
        <v>0</v>
      </c>
      <c r="CJ73" s="601">
        <f t="shared" si="41"/>
        <v>0</v>
      </c>
      <c r="CK73" s="304"/>
      <c r="CL73" s="304">
        <f t="shared" si="42"/>
        <v>2005</v>
      </c>
      <c r="CM73" s="1018">
        <f>INDEX(OperationalDetail,MATCH("Degraded Heat Rate",ODColumn,0),MATCH('Monthly Table'!CL73,ODRow,0))/1000</f>
        <v>12.194057200000001</v>
      </c>
      <c r="CN73" s="737">
        <f t="shared" si="17"/>
        <v>58.004513042715658</v>
      </c>
      <c r="CO73" s="1019">
        <f>IF(A73="January",(CO72*(1+Assumptions!$E$32)),CO72)</f>
        <v>7.4366742600540023</v>
      </c>
      <c r="CP73" s="741">
        <f t="shared" si="57"/>
        <v>65.441187302769663</v>
      </c>
      <c r="CQ73" s="304"/>
      <c r="CR73" s="575" t="str">
        <f t="shared" si="43"/>
        <v/>
      </c>
      <c r="CS73" s="575" t="str">
        <f t="shared" si="44"/>
        <v/>
      </c>
      <c r="CT73" s="575" t="str">
        <f t="shared" si="45"/>
        <v/>
      </c>
      <c r="CU73" s="575" t="str">
        <f t="shared" si="46"/>
        <v/>
      </c>
      <c r="CV73" s="575" t="str">
        <f t="shared" si="47"/>
        <v/>
      </c>
      <c r="CW73" s="576">
        <f t="shared" si="58"/>
        <v>2006</v>
      </c>
      <c r="CX73" s="787">
        <f>INDEX('NY Curve'!$A$4:$G$256,MATCH('Monthly Table'!B73,'NY Curve'!$A$4:$A$256,0),MATCH("New York 5 X 16",'NY Curve'!$A$4:$G$4,0))</f>
        <v>26.85</v>
      </c>
      <c r="CY73" s="632">
        <f t="shared" si="59"/>
        <v>1.3730069830417799</v>
      </c>
      <c r="CZ73" s="633">
        <f t="shared" si="60"/>
        <v>36.865237494671796</v>
      </c>
      <c r="DB73" s="857"/>
      <c r="DC73" s="857"/>
    </row>
    <row r="74" spans="1:107" ht="18.75" customHeight="1">
      <c r="A74" s="17" t="s">
        <v>440</v>
      </c>
      <c r="B74" s="508">
        <v>38808</v>
      </c>
      <c r="C74" s="43">
        <f t="shared" si="49"/>
        <v>2006</v>
      </c>
      <c r="D74" s="719">
        <f t="shared" si="48"/>
        <v>6</v>
      </c>
      <c r="E74" s="972">
        <v>20</v>
      </c>
      <c r="F74" s="971">
        <v>5</v>
      </c>
      <c r="G74" s="971">
        <v>5</v>
      </c>
      <c r="H74" s="971">
        <v>0</v>
      </c>
      <c r="I74" s="976">
        <f t="shared" si="22"/>
        <v>30</v>
      </c>
      <c r="J74" s="621"/>
      <c r="K74" s="572">
        <f>INDEX(FX!$A$3:$C$362,MATCH(B74,FX!$A$3:$A$362,0),MATCH("Monthly Curve",FX!$A$2:$C$2,0))</f>
        <v>1.3719039995232301</v>
      </c>
      <c r="L74" s="572"/>
      <c r="M74" s="1057">
        <v>2.8055000000000003</v>
      </c>
      <c r="N74" s="1067">
        <v>0.13500000000000001</v>
      </c>
      <c r="O74" s="315">
        <v>0.05</v>
      </c>
      <c r="P74" s="797">
        <f t="shared" si="51"/>
        <v>0.185</v>
      </c>
      <c r="Q74" s="732">
        <f t="shared" si="52"/>
        <v>2.9904999999999999</v>
      </c>
      <c r="R74" s="723">
        <f>IF(A74="January",(R73+R73*Assumptions!$E$32),R73)</f>
        <v>0.33158387618806157</v>
      </c>
      <c r="S74" s="730">
        <f t="shared" si="53"/>
        <v>4.4342627867622815</v>
      </c>
      <c r="T74" s="572"/>
      <c r="U74" s="509"/>
      <c r="V74" s="584"/>
      <c r="W74" s="584"/>
      <c r="X74" s="461"/>
      <c r="Y74" s="588">
        <f>Tables!$D$36</f>
        <v>312</v>
      </c>
      <c r="Z74" s="570">
        <f t="shared" si="54"/>
        <v>0</v>
      </c>
      <c r="AA74" s="592">
        <f t="shared" si="55"/>
        <v>0</v>
      </c>
      <c r="AB74" s="589">
        <f t="shared" si="50"/>
        <v>0</v>
      </c>
      <c r="AC74" s="462"/>
      <c r="AD74" s="1027">
        <f>IF(Tables!$E$30="Michigan",INDEX('Michigan Curve'!$A$4:$S$256,MATCH('Monthly Table'!B74,'Michigan Curve'!$A$4:$A$256,0),MATCH("Michigan Selected Option Value US$/month",'Michigan Curve'!$A$4:$S$4,0)),INDEX('NY Curve'!$A$4:$T$256,MATCH('Monthly Table'!B74,'NY Curve'!$A$4:$A$256,0),MATCH("New York Selected Option Value US$/month",'NY Curve'!$A$4:$T$4,0)))</f>
        <v>37393.253776254591</v>
      </c>
      <c r="AE74" s="601">
        <f t="shared" si="23"/>
        <v>51299.954410830796</v>
      </c>
      <c r="AF74" s="462"/>
      <c r="AG74" s="915"/>
      <c r="AH74" s="462"/>
      <c r="AI74" s="799">
        <f>Assumptions!$B$50</f>
        <v>65</v>
      </c>
      <c r="AJ74" s="743"/>
      <c r="AK74" s="924">
        <f>IF(Tables!$E$30="Custom",'Monthly Table'!AI74,IF(Tables!$E$30="New York",INDEX('NY Curve'!$A$4:$G$256,MATCH('Monthly Table'!B74,'NY Curve'!$A$4:$A$256,0),MATCH("Super Peak Curve",'NY Curve'!$A$4:$G$4,0)),IF(Tables!$E$30="New York Flat",INDEX('NY Curve'!$A$4:$G$256,MATCH('Monthly Table'!B74,'NY Curve'!$A$4:$A$256,0),MATCH("Flat NY West",'NY Curve'!$A$4:$G$4,0)),INDEX('Michigan Curve'!$A$4:$F$256,MATCH('Monthly Table'!B74,'Michigan Curve'!$A$4:$A$256,0),MATCH("Michigan Super Peak Curve US$/MWhr",'Michigan Curve'!$A$4:$F$4,0)))))</f>
        <v>26.25</v>
      </c>
      <c r="AL74" s="965">
        <f>IF(D74&lt;=Tables!$B$21,IF($AL$10=$AI$10,AI74,IF($AL$10=$AJ$10,AJ74,IF($AL$10=$AK$10,AK74,0))),0)</f>
        <v>26.25</v>
      </c>
      <c r="AM74" s="708">
        <f t="shared" si="24"/>
        <v>36.012479987484788</v>
      </c>
      <c r="AN74" s="916">
        <f t="shared" si="25"/>
        <v>0</v>
      </c>
      <c r="AO74" s="905"/>
      <c r="AP74" s="925"/>
      <c r="AQ74" s="926">
        <f>IF(Tables!$E$30="New York",INDEX('NY Curve'!$A$4:$L$256,MATCH('Monthly Table'!B74,'NY Curve'!$A$4:$A$256,0),MATCH("New York Shoulder Hour Curve Mon-Fri",'NY Curve'!$A$4:$L$4,0)),IF(Tables!$E$30="Michigan",INDEX('Michigan Curve'!$A$4:$K$256,MATCH('Monthly Table'!B74,'Michigan Curve'!$A$4:$A$256,0),MATCH("Michigan Shoulder Hour Curve Mon-Fri",'Michigan Curve'!$A$4:$K$4,0))))</f>
        <v>26.25</v>
      </c>
      <c r="AR74" s="708">
        <f t="shared" si="26"/>
        <v>36.012479987484788</v>
      </c>
      <c r="AS74" s="927">
        <f t="shared" si="7"/>
        <v>0</v>
      </c>
      <c r="AT74" s="462"/>
      <c r="AU74" s="926">
        <f>IF(Tables!$E$30="New York",INDEX('NY Curve'!$A$4:$L$256,MATCH('Monthly Table'!$B74,'NY Curve'!$A$4:$A$256,0),MATCH("New York Saturday Super Peak",'NY Curve'!$A$4:$L$4,0)),IF(Tables!$E$30="Michigan",INDEX('Michigan Curve'!$A$4:$K$256,MATCH('Monthly Table'!$B74,'Michigan Curve'!$A$4:$A$256,0),MATCH("Michigan Saturday Super Peak",'Michigan Curve'!$A$4:$K$4,0))))</f>
        <v>20</v>
      </c>
      <c r="AV74" s="925">
        <f t="shared" si="8"/>
        <v>27.438079990464601</v>
      </c>
      <c r="AW74" s="927">
        <f t="shared" si="9"/>
        <v>0</v>
      </c>
      <c r="AX74" s="926">
        <f>IF(Tables!$E$30="New York",INDEX('NY Curve'!$A$4:$L$256,MATCH('Monthly Table'!$B74,'NY Curve'!$A$4:$A$256,0),MATCH("New York Saturday Shoulder Peak",'NY Curve'!$A$4:$L$4,0)),IF(Tables!$E$30="Michigan",INDEX('Michigan Curve'!$A$4:$K$256,MATCH('Monthly Table'!$B74,'Michigan Curve'!$A$4:$A$256,0),MATCH("Michigan Saturday Shoulder Peak",'Michigan Curve'!$A$4:$K$4,0))))</f>
        <v>20</v>
      </c>
      <c r="AY74" s="934">
        <f t="shared" si="27"/>
        <v>27.438079990464601</v>
      </c>
      <c r="AZ74" s="927">
        <f t="shared" si="10"/>
        <v>0</v>
      </c>
      <c r="BA74" s="462"/>
      <c r="BB74" s="926">
        <f>IF(Tables!$E$30="New York",INDEX('NY Curve'!$A$4:$M$256,MATCH('Monthly Table'!$B74,'NY Curve'!$A$4:$A$256,0),MATCH("NY Sunday Super Peak",'NY Curve'!$A$4:$M$4,0)),IF(Tables!$E$30="Michigan",INDEX('Michigan Curve'!$A$4:$L$256,MATCH('Monthly Table'!$B74,'Michigan Curve'!$A$4:$A$256,0),MATCH("Michigan Sunday Super Peak",'Michigan Curve'!$A$4:$L$4,0))))</f>
        <v>18.995000839233398</v>
      </c>
      <c r="BC74" s="925">
        <f t="shared" si="28"/>
        <v>26.05931762229141</v>
      </c>
      <c r="BD74" s="927">
        <f t="shared" si="11"/>
        <v>0</v>
      </c>
      <c r="BE74" s="462"/>
      <c r="BF74" s="598">
        <f t="shared" si="56"/>
        <v>38808</v>
      </c>
      <c r="BG74" s="583">
        <f t="shared" si="29"/>
        <v>0</v>
      </c>
      <c r="BH74" s="764">
        <f>IF(Tables!$B$36="Combined Cycle",(BF74-BF73)*24*Assumptions!$B$21,0)</f>
        <v>0</v>
      </c>
      <c r="BI74" s="315">
        <f t="shared" si="30"/>
        <v>0</v>
      </c>
      <c r="BJ74" s="987">
        <f>IF('Monthly Table'!D74&lt;=Tables!$B$21,IF($BJ$10=$BG$10,BG74,IF($BJ$10=$BH$10,BH74,IF($BJ$10=$BI$10,BI74,0))),0)</f>
        <v>0</v>
      </c>
      <c r="BK74" s="43"/>
      <c r="BL74" s="987">
        <f t="shared" si="31"/>
        <v>0</v>
      </c>
      <c r="BM74" s="987">
        <f t="shared" si="32"/>
        <v>0</v>
      </c>
      <c r="BO74" s="987">
        <f t="shared" si="14"/>
        <v>0</v>
      </c>
      <c r="BP74" s="987">
        <f t="shared" si="33"/>
        <v>0</v>
      </c>
      <c r="BR74" s="993">
        <f>IF(BJ74&gt;0,INDEX(OperationalDetail,MATCH("Capacity Degradation",ODColumn,0),MATCH('Monthly Table'!C74,ODRow,0)),0)</f>
        <v>0</v>
      </c>
      <c r="BS74" s="994">
        <f>BJ74*(1-BR74)*Tables!$C$36</f>
        <v>0</v>
      </c>
      <c r="BT74" s="601">
        <f t="shared" si="15"/>
        <v>0</v>
      </c>
      <c r="BU74" s="601">
        <f t="shared" si="16"/>
        <v>0</v>
      </c>
      <c r="BV74" s="462"/>
      <c r="BW74" s="785">
        <f>$BO74*(1-$BR74)*Tables!$C$36</f>
        <v>0</v>
      </c>
      <c r="BX74" s="602">
        <f t="shared" si="34"/>
        <v>0</v>
      </c>
      <c r="BY74" s="601">
        <f t="shared" si="35"/>
        <v>0</v>
      </c>
      <c r="BZ74" s="462"/>
      <c r="CA74" s="785">
        <f>$BL74*(1-$BR74)*Tables!$C$36</f>
        <v>0</v>
      </c>
      <c r="CB74" s="602">
        <f t="shared" si="36"/>
        <v>0</v>
      </c>
      <c r="CC74" s="601">
        <f t="shared" si="37"/>
        <v>0</v>
      </c>
      <c r="CD74" s="785">
        <f>$BP74*(1-$BR74)*Tables!$C$36</f>
        <v>0</v>
      </c>
      <c r="CE74" s="602">
        <f t="shared" si="38"/>
        <v>0</v>
      </c>
      <c r="CF74" s="601">
        <f t="shared" si="39"/>
        <v>0</v>
      </c>
      <c r="CH74" s="785">
        <f>$BM74*(1-$BR74)*Tables!$C$36</f>
        <v>0</v>
      </c>
      <c r="CI74" s="602">
        <f t="shared" si="40"/>
        <v>0</v>
      </c>
      <c r="CJ74" s="601">
        <f t="shared" si="41"/>
        <v>0</v>
      </c>
      <c r="CK74" s="304"/>
      <c r="CL74" s="304">
        <f t="shared" si="42"/>
        <v>2005</v>
      </c>
      <c r="CM74" s="1018">
        <f>INDEX(OperationalDetail,MATCH("Degraded Heat Rate",ODColumn,0),MATCH('Monthly Table'!CL74,ODRow,0))/1000</f>
        <v>12.194057200000001</v>
      </c>
      <c r="CN74" s="737">
        <f t="shared" si="17"/>
        <v>54.071654061610673</v>
      </c>
      <c r="CO74" s="1019">
        <f>IF(A74="January",(CO73*(1+Assumptions!$E$32)),CO73)</f>
        <v>7.4366742600540023</v>
      </c>
      <c r="CP74" s="741">
        <f t="shared" si="57"/>
        <v>61.508328321664678</v>
      </c>
      <c r="CQ74" s="304"/>
      <c r="CR74" s="575" t="str">
        <f t="shared" si="43"/>
        <v/>
      </c>
      <c r="CS74" s="575" t="str">
        <f t="shared" si="44"/>
        <v/>
      </c>
      <c r="CT74" s="575" t="str">
        <f t="shared" si="45"/>
        <v/>
      </c>
      <c r="CU74" s="575" t="str">
        <f t="shared" si="46"/>
        <v/>
      </c>
      <c r="CV74" s="575" t="str">
        <f t="shared" si="47"/>
        <v/>
      </c>
      <c r="CW74" s="576">
        <f t="shared" si="58"/>
        <v>2006</v>
      </c>
      <c r="CX74" s="787">
        <f>INDEX('NY Curve'!$A$4:$G$256,MATCH('Monthly Table'!B74,'NY Curve'!$A$4:$A$256,0),MATCH("New York 5 X 16",'NY Curve'!$A$4:$G$4,0))</f>
        <v>25.6</v>
      </c>
      <c r="CY74" s="632">
        <f t="shared" si="59"/>
        <v>1.3719039995232301</v>
      </c>
      <c r="CZ74" s="633">
        <f t="shared" si="60"/>
        <v>35.120742387794692</v>
      </c>
      <c r="DB74" s="857"/>
      <c r="DC74" s="857"/>
    </row>
    <row r="75" spans="1:107" ht="18.75" customHeight="1">
      <c r="A75" s="17" t="s">
        <v>441</v>
      </c>
      <c r="B75" s="508">
        <v>38838</v>
      </c>
      <c r="C75" s="43">
        <f t="shared" si="49"/>
        <v>2006</v>
      </c>
      <c r="D75" s="719">
        <f t="shared" si="48"/>
        <v>6</v>
      </c>
      <c r="E75" s="972">
        <v>22</v>
      </c>
      <c r="F75" s="971">
        <v>4</v>
      </c>
      <c r="G75" s="971">
        <v>4</v>
      </c>
      <c r="H75" s="971">
        <v>1</v>
      </c>
      <c r="I75" s="976">
        <f t="shared" si="22"/>
        <v>31</v>
      </c>
      <c r="J75" s="621"/>
      <c r="K75" s="572">
        <f>INDEX(FX!$A$3:$C$362,MATCH(B75,FX!$A$3:$A$362,0),MATCH("Monthly Curve",FX!$A$2:$C$2,0))</f>
        <v>1.37083766970919</v>
      </c>
      <c r="L75" s="572"/>
      <c r="M75" s="1057">
        <v>2.7795000000000001</v>
      </c>
      <c r="N75" s="1067">
        <v>0.13500000000000001</v>
      </c>
      <c r="O75" s="315">
        <v>0.05</v>
      </c>
      <c r="P75" s="797">
        <f t="shared" si="51"/>
        <v>0.185</v>
      </c>
      <c r="Q75" s="732">
        <f t="shared" si="52"/>
        <v>2.9645000000000001</v>
      </c>
      <c r="R75" s="723">
        <f>IF(A75="January",(R74+R74*Assumptions!$E$32),R74)</f>
        <v>0.33158387618806157</v>
      </c>
      <c r="S75" s="730">
        <f t="shared" si="53"/>
        <v>4.3954321480409559</v>
      </c>
      <c r="T75" s="572"/>
      <c r="U75" s="509"/>
      <c r="V75" s="584"/>
      <c r="W75" s="584"/>
      <c r="X75" s="461"/>
      <c r="Y75" s="588">
        <f>Tables!$D$36</f>
        <v>312</v>
      </c>
      <c r="Z75" s="570">
        <f t="shared" si="54"/>
        <v>0</v>
      </c>
      <c r="AA75" s="592">
        <f t="shared" si="55"/>
        <v>0</v>
      </c>
      <c r="AB75" s="589">
        <f t="shared" si="50"/>
        <v>0</v>
      </c>
      <c r="AC75" s="462"/>
      <c r="AD75" s="1027">
        <f>IF(Tables!$E$30="Michigan",INDEX('Michigan Curve'!$A$4:$S$256,MATCH('Monthly Table'!B75,'Michigan Curve'!$A$4:$A$256,0),MATCH("Michigan Selected Option Value US$/month",'Michigan Curve'!$A$4:$S$4,0)),INDEX('NY Curve'!$A$4:$T$256,MATCH('Monthly Table'!B75,'NY Curve'!$A$4:$A$256,0),MATCH("New York Selected Option Value US$/month",'NY Curve'!$A$4:$T$4,0)))</f>
        <v>95437.251241403806</v>
      </c>
      <c r="AE75" s="601">
        <f t="shared" si="23"/>
        <v>130828.97909521649</v>
      </c>
      <c r="AF75" s="462"/>
      <c r="AG75" s="915"/>
      <c r="AH75" s="462"/>
      <c r="AI75" s="799">
        <f>Assumptions!$B$50</f>
        <v>65</v>
      </c>
      <c r="AJ75" s="743"/>
      <c r="AK75" s="924">
        <f>IF(Tables!$E$30="Custom",'Monthly Table'!AI75,IF(Tables!$E$30="New York",INDEX('NY Curve'!$A$4:$G$256,MATCH('Monthly Table'!B75,'NY Curve'!$A$4:$A$256,0),MATCH("Super Peak Curve",'NY Curve'!$A$4:$G$4,0)),IF(Tables!$E$30="New York Flat",INDEX('NY Curve'!$A$4:$G$256,MATCH('Monthly Table'!B75,'NY Curve'!$A$4:$A$256,0),MATCH("Flat NY West",'NY Curve'!$A$4:$G$4,0)),INDEX('Michigan Curve'!$A$4:$F$256,MATCH('Monthly Table'!B75,'Michigan Curve'!$A$4:$A$256,0),MATCH("Michigan Super Peak Curve US$/MWhr",'Michigan Curve'!$A$4:$F$4,0)))))</f>
        <v>32.28750005364418</v>
      </c>
      <c r="AL75" s="965">
        <f>IF(D75&lt;=Tables!$B$21,IF($AL$10=$AI$10,AI75,IF($AL$10=$AJ$10,AJ75,IF($AL$10=$AK$10,AK75,0))),0)</f>
        <v>32.28750005364418</v>
      </c>
      <c r="AM75" s="708">
        <f t="shared" si="24"/>
        <v>44.260921334272936</v>
      </c>
      <c r="AN75" s="916">
        <f t="shared" si="25"/>
        <v>0</v>
      </c>
      <c r="AO75" s="905"/>
      <c r="AP75" s="925"/>
      <c r="AQ75" s="926">
        <f>IF(Tables!$E$30="New York",INDEX('NY Curve'!$A$4:$L$256,MATCH('Monthly Table'!B75,'NY Curve'!$A$4:$A$256,0),MATCH("New York Shoulder Hour Curve Mon-Fri",'NY Curve'!$A$4:$L$4,0)),IF(Tables!$E$30="Michigan",INDEX('Michigan Curve'!$A$4:$K$256,MATCH('Monthly Table'!B75,'Michigan Curve'!$A$4:$A$256,0),MATCH("Michigan Shoulder Hour Curve Mon-Fri",'Michigan Curve'!$A$4:$K$4,0))))</f>
        <v>27.71249994635582</v>
      </c>
      <c r="AR75" s="708">
        <f t="shared" si="26"/>
        <v>37.989338848278464</v>
      </c>
      <c r="AS75" s="927">
        <f t="shared" ref="AS75:AS138" si="61">IF(AR75&gt;($CP75+$BF$4),1,0)</f>
        <v>0</v>
      </c>
      <c r="AT75" s="462"/>
      <c r="AU75" s="926">
        <f>IF(Tables!$E$30="New York",INDEX('NY Curve'!$A$4:$L$256,MATCH('Monthly Table'!$B75,'NY Curve'!$A$4:$A$256,0),MATCH("New York Saturday Super Peak",'NY Curve'!$A$4:$L$4,0)),IF(Tables!$E$30="Michigan",INDEX('Michigan Curve'!$A$4:$K$256,MATCH('Monthly Table'!$B75,'Michigan Curve'!$A$4:$A$256,0),MATCH("Michigan Saturday Super Peak",'Michigan Curve'!$A$4:$K$4,0))))</f>
        <v>22.601250037550926</v>
      </c>
      <c r="AV75" s="925">
        <f t="shared" ref="AV75:AV138" si="62">AU75*K75</f>
        <v>30.982644933991054</v>
      </c>
      <c r="AW75" s="927">
        <f t="shared" ref="AW75:AW138" si="63">IF(AV75&gt;($CP75+$BF$4),1,0)</f>
        <v>0</v>
      </c>
      <c r="AX75" s="926">
        <f>IF(Tables!$E$30="New York",INDEX('NY Curve'!$A$4:$L$256,MATCH('Monthly Table'!$B75,'NY Curve'!$A$4:$A$256,0),MATCH("New York Saturday Shoulder Peak",'NY Curve'!$A$4:$L$4,0)),IF(Tables!$E$30="Michigan",INDEX('Michigan Curve'!$A$4:$K$256,MATCH('Monthly Table'!$B75,'Michigan Curve'!$A$4:$A$256,0),MATCH("Michigan Saturday Shoulder Peak",'Michigan Curve'!$A$4:$K$4,0))))</f>
        <v>19.398749962449074</v>
      </c>
      <c r="AY75" s="934">
        <f t="shared" si="27"/>
        <v>26.592537193794925</v>
      </c>
      <c r="AZ75" s="927">
        <f t="shared" ref="AZ75:AZ138" si="64">IF(AY75&gt;($CP75+$BF$4),1,0)</f>
        <v>0</v>
      </c>
      <c r="BA75" s="462"/>
      <c r="BB75" s="926">
        <f>IF(Tables!$E$30="New York",INDEX('NY Curve'!$A$4:$M$256,MATCH('Monthly Table'!$B75,'NY Curve'!$A$4:$A$256,0),MATCH("NY Sunday Super Peak",'NY Curve'!$A$4:$M$4,0)),IF(Tables!$E$30="Michigan",INDEX('Michigan Curve'!$A$4:$L$256,MATCH('Monthly Table'!$B75,'Michigan Curve'!$A$4:$A$256,0),MATCH("Michigan Sunday Super Peak",'Michigan Curve'!$A$4:$L$4,0))))</f>
        <v>21.530380382546781</v>
      </c>
      <c r="BC75" s="925">
        <f t="shared" si="28"/>
        <v>29.514656471562887</v>
      </c>
      <c r="BD75" s="927">
        <f t="shared" ref="BD75:BD138" si="65">IF(BC75&gt;($CP75+$BF$4),1,0)</f>
        <v>0</v>
      </c>
      <c r="BE75" s="462"/>
      <c r="BF75" s="598">
        <f t="shared" si="56"/>
        <v>38838</v>
      </c>
      <c r="BG75" s="583">
        <f t="shared" si="29"/>
        <v>0</v>
      </c>
      <c r="BH75" s="764">
        <f>IF(Tables!$B$36="Combined Cycle",(BF75-BF74)*24*Assumptions!$B$21,0)</f>
        <v>0</v>
      </c>
      <c r="BI75" s="315">
        <f t="shared" si="30"/>
        <v>0</v>
      </c>
      <c r="BJ75" s="987">
        <f>IF('Monthly Table'!D75&lt;=Tables!$B$21,IF($BJ$10=$BG$10,BG75,IF($BJ$10=$BH$10,BH75,IF($BJ$10=$BI$10,BI75,0))),0)</f>
        <v>0</v>
      </c>
      <c r="BK75" s="43"/>
      <c r="BL75" s="987">
        <f t="shared" si="31"/>
        <v>0</v>
      </c>
      <c r="BM75" s="987">
        <f t="shared" si="32"/>
        <v>0</v>
      </c>
      <c r="BO75" s="987">
        <f t="shared" ref="BO75:BO138" si="66">IF(AS75=1,BJ75,0)</f>
        <v>0</v>
      </c>
      <c r="BP75" s="987">
        <f t="shared" si="33"/>
        <v>0</v>
      </c>
      <c r="BR75" s="993">
        <f>IF(BJ75&gt;0,INDEX(OperationalDetail,MATCH("Capacity Degradation",ODColumn,0),MATCH('Monthly Table'!C75,ODRow,0)),0)</f>
        <v>0</v>
      </c>
      <c r="BS75" s="994">
        <f>BJ75*(1-BR75)*Tables!$C$36</f>
        <v>0</v>
      </c>
      <c r="BT75" s="601">
        <f t="shared" ref="BT75:BT138" si="67">BS75*AL75/1000</f>
        <v>0</v>
      </c>
      <c r="BU75" s="601">
        <f t="shared" ref="BU75:BU138" si="68">BT75*K75</f>
        <v>0</v>
      </c>
      <c r="BV75" s="462"/>
      <c r="BW75" s="785">
        <f>$BO75*(1-$BR75)*Tables!$C$36</f>
        <v>0</v>
      </c>
      <c r="BX75" s="602">
        <f t="shared" si="34"/>
        <v>0</v>
      </c>
      <c r="BY75" s="601">
        <f t="shared" si="35"/>
        <v>0</v>
      </c>
      <c r="BZ75" s="462"/>
      <c r="CA75" s="785">
        <f>$BL75*(1-$BR75)*Tables!$C$36</f>
        <v>0</v>
      </c>
      <c r="CB75" s="602">
        <f t="shared" si="36"/>
        <v>0</v>
      </c>
      <c r="CC75" s="601">
        <f t="shared" si="37"/>
        <v>0</v>
      </c>
      <c r="CD75" s="785">
        <f>$BP75*(1-$BR75)*Tables!$C$36</f>
        <v>0</v>
      </c>
      <c r="CE75" s="602">
        <f t="shared" si="38"/>
        <v>0</v>
      </c>
      <c r="CF75" s="601">
        <f t="shared" si="39"/>
        <v>0</v>
      </c>
      <c r="CH75" s="785">
        <f>$BM75*(1-$BR75)*Tables!$C$36</f>
        <v>0</v>
      </c>
      <c r="CI75" s="602">
        <f t="shared" si="40"/>
        <v>0</v>
      </c>
      <c r="CJ75" s="601">
        <f t="shared" si="41"/>
        <v>0</v>
      </c>
      <c r="CK75" s="304"/>
      <c r="CL75" s="304">
        <f t="shared" si="42"/>
        <v>2005</v>
      </c>
      <c r="CM75" s="1018">
        <f>INDEX(OperationalDetail,MATCH("Degraded Heat Rate",ODColumn,0),MATCH('Monthly Table'!CL75,ODRow,0))/1000</f>
        <v>12.194057200000001</v>
      </c>
      <c r="CN75" s="737">
        <f t="shared" ref="CN75:CN138" si="69">S75*CM75</f>
        <v>53.598151031930293</v>
      </c>
      <c r="CO75" s="1019">
        <f>IF(A75="January",(CO74*(1+Assumptions!$E$32)),CO74)</f>
        <v>7.4366742600540023</v>
      </c>
      <c r="CP75" s="741">
        <f t="shared" si="57"/>
        <v>61.034825291984298</v>
      </c>
      <c r="CQ75" s="304"/>
      <c r="CR75" s="575" t="str">
        <f t="shared" si="43"/>
        <v/>
      </c>
      <c r="CS75" s="575" t="str">
        <f t="shared" si="44"/>
        <v/>
      </c>
      <c r="CT75" s="575" t="str">
        <f t="shared" si="45"/>
        <v/>
      </c>
      <c r="CU75" s="575" t="str">
        <f t="shared" si="46"/>
        <v/>
      </c>
      <c r="CV75" s="575" t="str">
        <f t="shared" si="47"/>
        <v/>
      </c>
      <c r="CW75" s="576">
        <f t="shared" si="58"/>
        <v>2006</v>
      </c>
      <c r="CX75" s="787">
        <f>INDEX('NY Curve'!$A$4:$G$256,MATCH('Monthly Table'!B75,'NY Curve'!$A$4:$A$256,0),MATCH("New York 5 X 16",'NY Curve'!$A$4:$G$4,0))</f>
        <v>29.85</v>
      </c>
      <c r="CY75" s="632">
        <f t="shared" si="59"/>
        <v>1.37083766970919</v>
      </c>
      <c r="CZ75" s="633">
        <f t="shared" si="60"/>
        <v>40.919504440819324</v>
      </c>
      <c r="DB75" s="857"/>
      <c r="DC75" s="857"/>
    </row>
    <row r="76" spans="1:107" ht="18.75" customHeight="1">
      <c r="A76" s="17" t="s">
        <v>442</v>
      </c>
      <c r="B76" s="508">
        <v>38869</v>
      </c>
      <c r="C76" s="43">
        <f t="shared" si="49"/>
        <v>2006</v>
      </c>
      <c r="D76" s="719">
        <f t="shared" si="48"/>
        <v>6</v>
      </c>
      <c r="E76" s="972">
        <v>22</v>
      </c>
      <c r="F76" s="971">
        <v>4</v>
      </c>
      <c r="G76" s="971">
        <v>4</v>
      </c>
      <c r="H76" s="971">
        <v>0</v>
      </c>
      <c r="I76" s="976">
        <f t="shared" ref="I76:I139" si="70">SUM(E76:H76)</f>
        <v>30</v>
      </c>
      <c r="J76" s="621"/>
      <c r="K76" s="572">
        <f>INDEX(FX!$A$3:$C$362,MATCH(B76,FX!$A$3:$A$362,0),MATCH("Monthly Curve",FX!$A$2:$C$2,0))</f>
        <v>1.36973690367967</v>
      </c>
      <c r="L76" s="572"/>
      <c r="M76" s="1057">
        <v>2.7885000000000004</v>
      </c>
      <c r="N76" s="1067">
        <v>0.13500000000000001</v>
      </c>
      <c r="O76" s="315">
        <v>0.05</v>
      </c>
      <c r="P76" s="797">
        <f t="shared" si="51"/>
        <v>0.185</v>
      </c>
      <c r="Q76" s="732">
        <f t="shared" si="52"/>
        <v>2.9735000000000005</v>
      </c>
      <c r="R76" s="723">
        <f>IF(A76="January",(R75+R75*Assumptions!$E$32),R75)</f>
        <v>0.33158387618806157</v>
      </c>
      <c r="S76" s="730">
        <f t="shared" si="53"/>
        <v>4.4044965592795613</v>
      </c>
      <c r="T76" s="572"/>
      <c r="U76" s="567"/>
      <c r="V76" s="581"/>
      <c r="W76" s="581"/>
      <c r="X76" s="818"/>
      <c r="Y76" s="588">
        <f>Tables!$D$36</f>
        <v>312</v>
      </c>
      <c r="Z76" s="570">
        <f t="shared" si="54"/>
        <v>0</v>
      </c>
      <c r="AA76" s="592">
        <f t="shared" si="55"/>
        <v>0</v>
      </c>
      <c r="AB76" s="589">
        <f t="shared" si="50"/>
        <v>0</v>
      </c>
      <c r="AC76" s="462"/>
      <c r="AD76" s="1027">
        <f>IF(Tables!$E$30="Michigan",INDEX('Michigan Curve'!$A$4:$S$256,MATCH('Monthly Table'!B76,'Michigan Curve'!$A$4:$A$256,0),MATCH("Michigan Selected Option Value US$/month",'Michigan Curve'!$A$4:$S$4,0)),INDEX('NY Curve'!$A$4:$T$256,MATCH('Monthly Table'!B76,'NY Curve'!$A$4:$A$256,0),MATCH("New York Selected Option Value US$/month",'NY Curve'!$A$4:$T$4,0)))</f>
        <v>248012.02213484142</v>
      </c>
      <c r="AE76" s="601">
        <f t="shared" ref="AE76:AE139" si="71">AD76*K76</f>
        <v>339711.2192743115</v>
      </c>
      <c r="AF76" s="462"/>
      <c r="AG76" s="915"/>
      <c r="AH76" s="462"/>
      <c r="AI76" s="799">
        <f>Assumptions!$B$50</f>
        <v>65</v>
      </c>
      <c r="AJ76" s="743"/>
      <c r="AK76" s="924">
        <f>IF(Tables!$E$30="Custom",'Monthly Table'!AI76,IF(Tables!$E$30="New York",INDEX('NY Curve'!$A$4:$G$256,MATCH('Monthly Table'!B76,'NY Curve'!$A$4:$A$256,0),MATCH("Super Peak Curve",'NY Curve'!$A$4:$G$4,0)),IF(Tables!$E$30="New York Flat",INDEX('NY Curve'!$A$4:$G$256,MATCH('Monthly Table'!B76,'NY Curve'!$A$4:$A$256,0),MATCH("Flat NY West",'NY Curve'!$A$4:$G$4,0)),INDEX('Michigan Curve'!$A$4:$F$256,MATCH('Monthly Table'!B76,'Michigan Curve'!$A$4:$A$256,0),MATCH("Michigan Super Peak Curve US$/MWhr",'Michigan Curve'!$A$4:$F$4,0)))))</f>
        <v>72.710803198453831</v>
      </c>
      <c r="AL76" s="965">
        <f>IF(D76&lt;=Tables!$B$21,IF($AL$10=$AI$10,AI76,IF($AL$10=$AJ$10,AJ76,IF($AL$10=$AK$10,AK76,0))),0)</f>
        <v>72.710803198453831</v>
      </c>
      <c r="AM76" s="708">
        <f t="shared" ref="AM76:AM139" si="72">+AL76*K76</f>
        <v>99.594670437112001</v>
      </c>
      <c r="AN76" s="916">
        <f t="shared" ref="AN76:AN139" si="73">IF((AL76*K76)&gt;(CP76+$BF$4),1,0)</f>
        <v>1</v>
      </c>
      <c r="AO76" s="905"/>
      <c r="AP76" s="925"/>
      <c r="AQ76" s="926">
        <f>IF(Tables!$E$30="New York",INDEX('NY Curve'!$A$4:$L$256,MATCH('Monthly Table'!B76,'NY Curve'!$A$4:$A$256,0),MATCH("New York Shoulder Hour Curve Mon-Fri",'NY Curve'!$A$4:$L$4,0)),IF(Tables!$E$30="Michigan",INDEX('Michigan Curve'!$A$4:$K$256,MATCH('Monthly Table'!B76,'Michigan Curve'!$A$4:$A$256,0),MATCH("Michigan Shoulder Hour Curve Mon-Fri",'Michigan Curve'!$A$4:$K$4,0))))</f>
        <v>21.789196801546172</v>
      </c>
      <c r="AR76" s="708">
        <f t="shared" ref="AR76:AR139" si="74">AQ76*K76</f>
        <v>29.845466960616825</v>
      </c>
      <c r="AS76" s="927">
        <f t="shared" si="61"/>
        <v>0</v>
      </c>
      <c r="AT76" s="462"/>
      <c r="AU76" s="926">
        <f>IF(Tables!$E$30="New York",INDEX('NY Curve'!$A$4:$L$256,MATCH('Monthly Table'!$B76,'NY Curve'!$A$4:$A$256,0),MATCH("New York Saturday Super Peak",'NY Curve'!$A$4:$L$4,0)),IF(Tables!$E$30="Michigan",INDEX('Michigan Curve'!$A$4:$K$256,MATCH('Monthly Table'!$B76,'Michigan Curve'!$A$4:$A$256,0),MATCH("Michigan Saturday Super Peak",'Michigan Curve'!$A$4:$K$4,0))))</f>
        <v>40.010177421371417</v>
      </c>
      <c r="AV76" s="925">
        <f t="shared" si="62"/>
        <v>54.803416536823526</v>
      </c>
      <c r="AW76" s="927">
        <f t="shared" si="63"/>
        <v>0</v>
      </c>
      <c r="AX76" s="926">
        <f>IF(Tables!$E$30="New York",INDEX('NY Curve'!$A$4:$L$256,MATCH('Monthly Table'!$B76,'NY Curve'!$A$4:$A$256,0),MATCH("New York Saturday Shoulder Peak",'NY Curve'!$A$4:$L$4,0)),IF(Tables!$E$30="Michigan",INDEX('Michigan Curve'!$A$4:$K$256,MATCH('Monthly Table'!$B76,'Michigan Curve'!$A$4:$A$256,0),MATCH("Michigan Saturday Shoulder Peak",'Michigan Curve'!$A$4:$K$4,0))))</f>
        <v>11.98982257862858</v>
      </c>
      <c r="AY76" s="934">
        <f t="shared" ref="AY76:AY139" si="75">AX76*K76</f>
        <v>16.42290245451931</v>
      </c>
      <c r="AZ76" s="927">
        <f t="shared" si="64"/>
        <v>0</v>
      </c>
      <c r="BA76" s="462"/>
      <c r="BB76" s="926">
        <f>IF(Tables!$E$30="New York",INDEX('NY Curve'!$A$4:$M$256,MATCH('Monthly Table'!$B76,'NY Curve'!$A$4:$A$256,0),MATCH("NY Sunday Super Peak",'NY Curve'!$A$4:$M$4,0)),IF(Tables!$E$30="Michigan",INDEX('Michigan Curve'!$A$4:$L$256,MATCH('Monthly Table'!$B76,'Michigan Curve'!$A$4:$A$256,0),MATCH("Michigan Sunday Super Peak",'Michigan Curve'!$A$4:$L$4,0))))</f>
        <v>36.932471465881306</v>
      </c>
      <c r="BC76" s="925">
        <f t="shared" ref="BC76:BC139" si="76">BB76*K76</f>
        <v>50.587769110914024</v>
      </c>
      <c r="BD76" s="927">
        <f t="shared" si="65"/>
        <v>0</v>
      </c>
      <c r="BE76" s="462"/>
      <c r="BF76" s="598">
        <f t="shared" si="56"/>
        <v>38869</v>
      </c>
      <c r="BG76" s="583">
        <f t="shared" ref="BG76:BG139" si="77">IF($AN76=1,$E76*$BF$5,0)</f>
        <v>176</v>
      </c>
      <c r="BH76" s="764">
        <f>IF(Tables!$B$36="Combined Cycle",(BF76-BF75)*24*Assumptions!$B$21,0)</f>
        <v>0</v>
      </c>
      <c r="BI76" s="315">
        <f t="shared" ref="BI76:BI139" si="78">IF($AN76=1,$E76*$BF$5,0)</f>
        <v>176</v>
      </c>
      <c r="BJ76" s="987">
        <f>IF('Monthly Table'!D76&lt;=Tables!$B$21,IF($BJ$10=$BG$10,BG76,IF($BJ$10=$BH$10,BH76,IF($BJ$10=$BI$10,BI76,0))),0)</f>
        <v>176</v>
      </c>
      <c r="BK76" s="43"/>
      <c r="BL76" s="987">
        <f t="shared" ref="BL76:BL139" si="79">IF($AW76=1,$F76*$BF$5,0)</f>
        <v>0</v>
      </c>
      <c r="BM76" s="987">
        <f t="shared" ref="BM76:BM139" si="80">IF($BD76=1,($G76+H76)*$BF$5,0)</f>
        <v>0</v>
      </c>
      <c r="BO76" s="987">
        <f t="shared" si="66"/>
        <v>0</v>
      </c>
      <c r="BP76" s="987">
        <f t="shared" ref="BP76:BP139" si="81">IF(AZ76=1,F76*$BF$5,0)</f>
        <v>0</v>
      </c>
      <c r="BR76" s="993">
        <f>IF(BJ76&gt;0,INDEX(OperationalDetail,MATCH("Capacity Degradation",ODColumn,0),MATCH('Monthly Table'!C76,ODRow,0)),0)</f>
        <v>2.16E-3</v>
      </c>
      <c r="BS76" s="994">
        <f>BJ76*(1-BR76)*Tables!$C$36</f>
        <v>56900.828159999997</v>
      </c>
      <c r="BT76" s="601">
        <f t="shared" si="67"/>
        <v>4137.3049181707993</v>
      </c>
      <c r="BU76" s="601">
        <f t="shared" si="68"/>
        <v>5667.0192281939417</v>
      </c>
      <c r="BV76" s="462"/>
      <c r="BW76" s="785">
        <f>$BO76*(1-$BR76)*Tables!$C$36</f>
        <v>0</v>
      </c>
      <c r="BX76" s="602">
        <f t="shared" ref="BX76:BX139" si="82">(BW76*AQ76)/1000</f>
        <v>0</v>
      </c>
      <c r="BY76" s="601">
        <f t="shared" ref="BY76:BY139" si="83">BX76*K76</f>
        <v>0</v>
      </c>
      <c r="BZ76" s="462"/>
      <c r="CA76" s="785">
        <f>$BL76*(1-$BR76)*Tables!$C$36</f>
        <v>0</v>
      </c>
      <c r="CB76" s="602">
        <f t="shared" ref="CB76:CB139" si="84">(CA76*AU76)/1000</f>
        <v>0</v>
      </c>
      <c r="CC76" s="601">
        <f t="shared" ref="CC76:CC139" si="85">CB76*K76</f>
        <v>0</v>
      </c>
      <c r="CD76" s="785">
        <f>$BP76*(1-$BR76)*Tables!$C$36</f>
        <v>0</v>
      </c>
      <c r="CE76" s="602">
        <f t="shared" ref="CE76:CE139" si="86">(CD76*AX76)/1000</f>
        <v>0</v>
      </c>
      <c r="CF76" s="601">
        <f t="shared" ref="CF76:CF139" si="87">CE76*K76</f>
        <v>0</v>
      </c>
      <c r="CH76" s="785">
        <f>$BM76*(1-$BR76)*Tables!$C$36</f>
        <v>0</v>
      </c>
      <c r="CI76" s="602">
        <f t="shared" ref="CI76:CI139" si="88">(CH76*BB76)/1000</f>
        <v>0</v>
      </c>
      <c r="CJ76" s="601">
        <f t="shared" ref="CJ76:CJ139" si="89">CI76*K76</f>
        <v>0</v>
      </c>
      <c r="CK76" s="304"/>
      <c r="CL76" s="304">
        <f t="shared" ref="CL76:CL139" si="90">C76-1</f>
        <v>2005</v>
      </c>
      <c r="CM76" s="1018">
        <f>INDEX(OperationalDetail,MATCH("Degraded Heat Rate",ODColumn,0),MATCH('Monthly Table'!CL76,ODRow,0))/1000</f>
        <v>12.194057200000001</v>
      </c>
      <c r="CN76" s="737">
        <f t="shared" si="69"/>
        <v>53.708682981058168</v>
      </c>
      <c r="CO76" s="1019">
        <f>IF(A76="January",(CO75*(1+Assumptions!$E$32)),CO75)</f>
        <v>7.4366742600540023</v>
      </c>
      <c r="CP76" s="741">
        <f t="shared" si="57"/>
        <v>61.145357241112173</v>
      </c>
      <c r="CQ76" s="304"/>
      <c r="CR76" s="575">
        <f t="shared" ref="CR76:CR139" si="91">IF(BJ76=0,"",C76)</f>
        <v>2006</v>
      </c>
      <c r="CS76" s="575" t="str">
        <f t="shared" ref="CS76:CS139" si="92">IF(BO76=0,"",$C76)</f>
        <v/>
      </c>
      <c r="CT76" s="575" t="str">
        <f t="shared" ref="CT76:CT139" si="93">IF(BL76=0,"",$C76)</f>
        <v/>
      </c>
      <c r="CU76" s="575" t="str">
        <f t="shared" ref="CU76:CU139" si="94">IF(BP76=0,"",$C76)</f>
        <v/>
      </c>
      <c r="CV76" s="575" t="str">
        <f t="shared" ref="CV76:CV139" si="95">IF(BD76=0,"",$C76)</f>
        <v/>
      </c>
      <c r="CW76" s="576">
        <f t="shared" si="58"/>
        <v>2006</v>
      </c>
      <c r="CX76" s="787">
        <f>INDEX('NY Curve'!$A$4:$G$256,MATCH('Monthly Table'!B76,'NY Curve'!$A$4:$A$256,0),MATCH("New York 5 X 16",'NY Curve'!$A$4:$G$4,0))</f>
        <v>48</v>
      </c>
      <c r="CY76" s="632">
        <f t="shared" si="59"/>
        <v>1.36973690367967</v>
      </c>
      <c r="CZ76" s="633">
        <f t="shared" si="60"/>
        <v>65.747371376624159</v>
      </c>
      <c r="DB76" s="857"/>
      <c r="DC76" s="857"/>
    </row>
    <row r="77" spans="1:107" ht="18.75" customHeight="1">
      <c r="A77" s="17" t="s">
        <v>443</v>
      </c>
      <c r="B77" s="508">
        <v>38899</v>
      </c>
      <c r="C77" s="43">
        <f t="shared" si="49"/>
        <v>2006</v>
      </c>
      <c r="D77" s="719">
        <f t="shared" si="48"/>
        <v>6</v>
      </c>
      <c r="E77" s="972">
        <v>20</v>
      </c>
      <c r="F77" s="971">
        <v>5</v>
      </c>
      <c r="G77" s="971">
        <v>5</v>
      </c>
      <c r="H77" s="971">
        <v>1</v>
      </c>
      <c r="I77" s="976">
        <f t="shared" si="70"/>
        <v>31</v>
      </c>
      <c r="J77" s="621"/>
      <c r="K77" s="572">
        <f>INDEX(FX!$A$3:$C$362,MATCH(B77,FX!$A$3:$A$362,0),MATCH("Monthly Curve",FX!$A$2:$C$2,0))</f>
        <v>1.3686727173878199</v>
      </c>
      <c r="L77" s="572"/>
      <c r="M77" s="1057">
        <v>2.7974999999999999</v>
      </c>
      <c r="N77" s="1067">
        <v>0.13500000000000001</v>
      </c>
      <c r="O77" s="315">
        <v>0.05</v>
      </c>
      <c r="P77" s="797">
        <f t="shared" si="51"/>
        <v>0.185</v>
      </c>
      <c r="Q77" s="732">
        <f t="shared" si="52"/>
        <v>2.9824999999999999</v>
      </c>
      <c r="R77" s="723">
        <f>IF(A77="January",(R76+R76*Assumptions!$E$32),R76)</f>
        <v>0.33158387618806157</v>
      </c>
      <c r="S77" s="730">
        <f t="shared" si="53"/>
        <v>4.4136502557972346</v>
      </c>
      <c r="T77" s="572"/>
      <c r="U77" s="509"/>
      <c r="V77" s="581"/>
      <c r="W77" s="581"/>
      <c r="X77" s="461"/>
      <c r="Y77" s="588">
        <f>Tables!$D$36</f>
        <v>312</v>
      </c>
      <c r="Z77" s="570">
        <f t="shared" si="54"/>
        <v>0</v>
      </c>
      <c r="AA77" s="592">
        <f t="shared" si="55"/>
        <v>0</v>
      </c>
      <c r="AB77" s="589">
        <f t="shared" si="50"/>
        <v>0</v>
      </c>
      <c r="AC77" s="462"/>
      <c r="AD77" s="1027">
        <f>IF(Tables!$E$30="Michigan",INDEX('Michigan Curve'!$A$4:$S$256,MATCH('Monthly Table'!B77,'Michigan Curve'!$A$4:$A$256,0),MATCH("Michigan Selected Option Value US$/month",'Michigan Curve'!$A$4:$S$4,0)),INDEX('NY Curve'!$A$4:$T$256,MATCH('Monthly Table'!B77,'NY Curve'!$A$4:$A$256,0),MATCH("New York Selected Option Value US$/month",'NY Curve'!$A$4:$T$4,0)))</f>
        <v>451384.89232359221</v>
      </c>
      <c r="AE77" s="601">
        <f t="shared" si="71"/>
        <v>617798.18716433947</v>
      </c>
      <c r="AF77" s="462"/>
      <c r="AG77" s="915"/>
      <c r="AH77" s="462"/>
      <c r="AI77" s="799">
        <f>Assumptions!$B$50</f>
        <v>65</v>
      </c>
      <c r="AJ77" s="743"/>
      <c r="AK77" s="924">
        <f>IF(Tables!$E$30="Custom",'Monthly Table'!AI77,IF(Tables!$E$30="New York",INDEX('NY Curve'!$A$4:$G$256,MATCH('Monthly Table'!B77,'NY Curve'!$A$4:$A$256,0),MATCH("Super Peak Curve",'NY Curve'!$A$4:$G$4,0)),IF(Tables!$E$30="New York Flat",INDEX('NY Curve'!$A$4:$G$256,MATCH('Monthly Table'!B77,'NY Curve'!$A$4:$A$256,0),MATCH("Flat NY West",'NY Curve'!$A$4:$G$4,0)),INDEX('Michigan Curve'!$A$4:$F$256,MATCH('Monthly Table'!B77,'Michigan Curve'!$A$4:$A$256,0),MATCH("Michigan Super Peak Curve US$/MWhr",'Michigan Curve'!$A$4:$F$4,0)))))</f>
        <v>121.29422033989924</v>
      </c>
      <c r="AL77" s="965">
        <f>IF(D77&lt;=Tables!$B$21,IF($AL$10=$AI$10,AI77,IF($AL$10=$AJ$10,AJ77,IF($AL$10=$AK$10,AK77,0))),0)</f>
        <v>121.29422033989924</v>
      </c>
      <c r="AM77" s="708">
        <f t="shared" si="72"/>
        <v>166.01209015604687</v>
      </c>
      <c r="AN77" s="916">
        <f t="shared" si="73"/>
        <v>1</v>
      </c>
      <c r="AO77" s="905"/>
      <c r="AP77" s="925"/>
      <c r="AQ77" s="926">
        <f>IF(Tables!$E$30="New York",INDEX('NY Curve'!$A$4:$L$256,MATCH('Monthly Table'!B77,'NY Curve'!$A$4:$A$256,0),MATCH("New York Shoulder Hour Curve Mon-Fri",'NY Curve'!$A$4:$L$4,0)),IF(Tables!$E$30="Michigan",INDEX('Michigan Curve'!$A$4:$K$256,MATCH('Monthly Table'!B77,'Michigan Curve'!$A$4:$A$256,0),MATCH("Michigan Shoulder Hour Curve Mon-Fri",'Michigan Curve'!$A$4:$K$4,0))))</f>
        <v>26.70577966010076</v>
      </c>
      <c r="AR77" s="708">
        <f t="shared" si="74"/>
        <v>36.551472017350477</v>
      </c>
      <c r="AS77" s="927">
        <f t="shared" si="61"/>
        <v>0</v>
      </c>
      <c r="AT77" s="462"/>
      <c r="AU77" s="926">
        <f>IF(Tables!$E$30="New York",INDEX('NY Curve'!$A$4:$L$256,MATCH('Monthly Table'!$B77,'NY Curve'!$A$4:$A$256,0),MATCH("New York Saturday Super Peak",'NY Curve'!$A$4:$L$4,0)),IF(Tables!$E$30="Michigan",INDEX('Michigan Curve'!$A$4:$K$256,MATCH('Monthly Table'!$B77,'Michigan Curve'!$A$4:$A$256,0),MATCH("Michigan Saturday Super Peak",'Michigan Curve'!$A$4:$K$4,0))))</f>
        <v>57.368887998600989</v>
      </c>
      <c r="AV77" s="925">
        <f t="shared" si="62"/>
        <v>78.519231830562703</v>
      </c>
      <c r="AW77" s="927">
        <f t="shared" si="63"/>
        <v>1</v>
      </c>
      <c r="AX77" s="926">
        <f>IF(Tables!$E$30="New York",INDEX('NY Curve'!$A$4:$L$256,MATCH('Monthly Table'!$B77,'NY Curve'!$A$4:$A$256,0),MATCH("New York Saturday Shoulder Peak",'NY Curve'!$A$4:$L$4,0)),IF(Tables!$E$30="Michigan",INDEX('Michigan Curve'!$A$4:$K$256,MATCH('Monthly Table'!$B77,'Michigan Curve'!$A$4:$A$256,0),MATCH("Michigan Saturday Shoulder Peak",'Michigan Curve'!$A$4:$K$4,0))))</f>
        <v>12.631112001399007</v>
      </c>
      <c r="AY77" s="934">
        <f t="shared" si="75"/>
        <v>17.287858386584684</v>
      </c>
      <c r="AZ77" s="927">
        <f t="shared" si="64"/>
        <v>0</v>
      </c>
      <c r="BA77" s="462"/>
      <c r="BB77" s="926">
        <f>IF(Tables!$E$30="New York",INDEX('NY Curve'!$A$4:$M$256,MATCH('Monthly Table'!$B77,'NY Curve'!$A$4:$A$256,0),MATCH("NY Sunday Super Peak",'NY Curve'!$A$4:$M$4,0)),IF(Tables!$E$30="Michigan",INDEX('Michigan Curve'!$A$4:$L$256,MATCH('Monthly Table'!$B77,'Michigan Curve'!$A$4:$A$256,0),MATCH("Michigan Sunday Super Peak",'Michigan Curve'!$A$4:$L$4,0))))</f>
        <v>50.812440529547445</v>
      </c>
      <c r="BC77" s="925">
        <f t="shared" si="76"/>
        <v>69.545601056682699</v>
      </c>
      <c r="BD77" s="927">
        <f t="shared" si="65"/>
        <v>1</v>
      </c>
      <c r="BE77" s="462"/>
      <c r="BF77" s="598">
        <f t="shared" si="56"/>
        <v>38899</v>
      </c>
      <c r="BG77" s="583">
        <f t="shared" si="77"/>
        <v>160</v>
      </c>
      <c r="BH77" s="764">
        <f>IF(Tables!$B$36="Combined Cycle",(BF77-BF76)*24*Assumptions!$B$21,0)</f>
        <v>0</v>
      </c>
      <c r="BI77" s="315">
        <f t="shared" si="78"/>
        <v>160</v>
      </c>
      <c r="BJ77" s="987">
        <f>IF('Monthly Table'!D77&lt;=Tables!$B$21,IF($BJ$10=$BG$10,BG77,IF($BJ$10=$BH$10,BH77,IF($BJ$10=$BI$10,BI77,0))),0)</f>
        <v>160</v>
      </c>
      <c r="BK77" s="43"/>
      <c r="BL77" s="987">
        <f t="shared" si="79"/>
        <v>40</v>
      </c>
      <c r="BM77" s="987">
        <f t="shared" si="80"/>
        <v>48</v>
      </c>
      <c r="BO77" s="987">
        <f t="shared" si="66"/>
        <v>0</v>
      </c>
      <c r="BP77" s="987">
        <f t="shared" si="81"/>
        <v>0</v>
      </c>
      <c r="BR77" s="993">
        <f>IF(BJ77&gt;0,INDEX(OperationalDetail,MATCH("Capacity Degradation",ODColumn,0),MATCH('Monthly Table'!C77,ODRow,0)),0)</f>
        <v>2.16E-3</v>
      </c>
      <c r="BS77" s="994">
        <f>BJ77*(1-BR77)*Tables!$C$36</f>
        <v>51728.025599999994</v>
      </c>
      <c r="BT77" s="601">
        <f t="shared" si="67"/>
        <v>6274.3105348743484</v>
      </c>
      <c r="BU77" s="601">
        <f t="shared" si="68"/>
        <v>8587.4776495014994</v>
      </c>
      <c r="BV77" s="462"/>
      <c r="BW77" s="785">
        <f>$BO77*(1-$BR77)*Tables!$C$36</f>
        <v>0</v>
      </c>
      <c r="BX77" s="602">
        <f t="shared" si="82"/>
        <v>0</v>
      </c>
      <c r="BY77" s="601">
        <f t="shared" si="83"/>
        <v>0</v>
      </c>
      <c r="BZ77" s="462"/>
      <c r="CA77" s="785">
        <f>$BL77*(1-$BR77)*Tables!$C$36</f>
        <v>12932.006399999998</v>
      </c>
      <c r="CB77" s="602">
        <f t="shared" si="84"/>
        <v>741.89482675879105</v>
      </c>
      <c r="CC77" s="601">
        <f t="shared" si="85"/>
        <v>1015.4112085559204</v>
      </c>
      <c r="CD77" s="785">
        <f>$BP77*(1-$BR77)*Tables!$C$36</f>
        <v>0</v>
      </c>
      <c r="CE77" s="602">
        <f t="shared" si="86"/>
        <v>0</v>
      </c>
      <c r="CF77" s="601">
        <f t="shared" si="87"/>
        <v>0</v>
      </c>
      <c r="CH77" s="785">
        <f>$BM77*(1-$BR77)*Tables!$C$36</f>
        <v>15518.407679999998</v>
      </c>
      <c r="CI77" s="602">
        <f t="shared" si="88"/>
        <v>788.52816735327224</v>
      </c>
      <c r="CJ77" s="601">
        <f t="shared" si="89"/>
        <v>1079.2369895482407</v>
      </c>
      <c r="CK77" s="304"/>
      <c r="CL77" s="304">
        <f t="shared" si="90"/>
        <v>2005</v>
      </c>
      <c r="CM77" s="1018">
        <f>INDEX(OperationalDetail,MATCH("Degraded Heat Rate",ODColumn,0),MATCH('Monthly Table'!CL77,ODRow,0))/1000</f>
        <v>12.194057200000001</v>
      </c>
      <c r="CN77" s="737">
        <f t="shared" si="69"/>
        <v>53.820303679986118</v>
      </c>
      <c r="CO77" s="1019">
        <f>IF(A77="January",(CO76*(1+Assumptions!$E$32)),CO76)</f>
        <v>7.4366742600540023</v>
      </c>
      <c r="CP77" s="741">
        <f t="shared" si="57"/>
        <v>61.256977940040123</v>
      </c>
      <c r="CQ77" s="304"/>
      <c r="CR77" s="575">
        <f t="shared" si="91"/>
        <v>2006</v>
      </c>
      <c r="CS77" s="575" t="str">
        <f t="shared" si="92"/>
        <v/>
      </c>
      <c r="CT77" s="575">
        <f t="shared" si="93"/>
        <v>2006</v>
      </c>
      <c r="CU77" s="575" t="str">
        <f t="shared" si="94"/>
        <v/>
      </c>
      <c r="CV77" s="575">
        <f t="shared" si="95"/>
        <v>2006</v>
      </c>
      <c r="CW77" s="576">
        <f t="shared" si="58"/>
        <v>2006</v>
      </c>
      <c r="CX77" s="787">
        <f>INDEX('NY Curve'!$A$4:$G$256,MATCH('Monthly Table'!B77,'NY Curve'!$A$4:$A$256,0),MATCH("New York 5 X 16",'NY Curve'!$A$4:$G$4,0))</f>
        <v>71.5</v>
      </c>
      <c r="CY77" s="632">
        <f t="shared" si="59"/>
        <v>1.3686727173878199</v>
      </c>
      <c r="CZ77" s="633">
        <f t="shared" si="60"/>
        <v>97.860099293229126</v>
      </c>
      <c r="DB77" s="857"/>
      <c r="DC77" s="857"/>
    </row>
    <row r="78" spans="1:107" ht="18.75" customHeight="1">
      <c r="A78" s="17" t="s">
        <v>444</v>
      </c>
      <c r="B78" s="508">
        <v>38930</v>
      </c>
      <c r="C78" s="43">
        <f t="shared" si="49"/>
        <v>2006</v>
      </c>
      <c r="D78" s="719">
        <f t="shared" si="48"/>
        <v>6</v>
      </c>
      <c r="E78" s="972">
        <v>23</v>
      </c>
      <c r="F78" s="971">
        <v>4</v>
      </c>
      <c r="G78" s="971">
        <v>4</v>
      </c>
      <c r="H78" s="971">
        <v>0</v>
      </c>
      <c r="I78" s="976">
        <f t="shared" si="70"/>
        <v>31</v>
      </c>
      <c r="J78" s="621"/>
      <c r="K78" s="572">
        <f>INDEX(FX!$A$3:$C$362,MATCH(B78,FX!$A$3:$A$362,0),MATCH("Monthly Curve",FX!$A$2:$C$2,0))</f>
        <v>1.3675741638183101</v>
      </c>
      <c r="L78" s="572"/>
      <c r="M78" s="1057">
        <v>2.8045</v>
      </c>
      <c r="N78" s="1067">
        <v>0.13500000000000001</v>
      </c>
      <c r="O78" s="315">
        <v>0.05</v>
      </c>
      <c r="P78" s="797">
        <f t="shared" si="51"/>
        <v>0.185</v>
      </c>
      <c r="Q78" s="732">
        <f t="shared" si="52"/>
        <v>2.9894999999999996</v>
      </c>
      <c r="R78" s="723">
        <f>IF(A78="January",(R77+R77*Assumptions!$E$32),R77)</f>
        <v>0.33158387618806157</v>
      </c>
      <c r="S78" s="730">
        <f t="shared" si="53"/>
        <v>4.4199468389228995</v>
      </c>
      <c r="T78" s="572"/>
      <c r="U78" s="509"/>
      <c r="V78" s="581"/>
      <c r="W78" s="581"/>
      <c r="X78" s="461"/>
      <c r="Y78" s="588">
        <f>Tables!$D$36</f>
        <v>312</v>
      </c>
      <c r="Z78" s="570">
        <f t="shared" si="54"/>
        <v>0</v>
      </c>
      <c r="AA78" s="592">
        <f t="shared" si="55"/>
        <v>0</v>
      </c>
      <c r="AB78" s="589">
        <f t="shared" si="50"/>
        <v>0</v>
      </c>
      <c r="AC78" s="462"/>
      <c r="AD78" s="1027">
        <f>IF(Tables!$E$30="Michigan",INDEX('Michigan Curve'!$A$4:$S$256,MATCH('Monthly Table'!B78,'Michigan Curve'!$A$4:$A$256,0),MATCH("Michigan Selected Option Value US$/month",'Michigan Curve'!$A$4:$S$4,0)),INDEX('NY Curve'!$A$4:$T$256,MATCH('Monthly Table'!B78,'NY Curve'!$A$4:$A$256,0),MATCH("New York Selected Option Value US$/month",'NY Curve'!$A$4:$T$4,0)))</f>
        <v>415871.37658931781</v>
      </c>
      <c r="AE78" s="601">
        <f t="shared" si="71"/>
        <v>568734.9500951058</v>
      </c>
      <c r="AF78" s="462"/>
      <c r="AG78" s="915"/>
      <c r="AH78" s="462"/>
      <c r="AI78" s="799">
        <f>Assumptions!$B$50</f>
        <v>65</v>
      </c>
      <c r="AJ78" s="743"/>
      <c r="AK78" s="924">
        <f>IF(Tables!$E$30="Custom",'Monthly Table'!AI78,IF(Tables!$E$30="New York",INDEX('NY Curve'!$A$4:$G$256,MATCH('Monthly Table'!B78,'NY Curve'!$A$4:$A$256,0),MATCH("Super Peak Curve",'NY Curve'!$A$4:$G$4,0)),IF(Tables!$E$30="New York Flat",INDEX('NY Curve'!$A$4:$G$256,MATCH('Monthly Table'!B78,'NY Curve'!$A$4:$A$256,0),MATCH("Flat NY West",'NY Curve'!$A$4:$G$4,0)),INDEX('Michigan Curve'!$A$4:$F$256,MATCH('Monthly Table'!B78,'Michigan Curve'!$A$4:$A$256,0),MATCH("Michigan Super Peak Curve US$/MWhr",'Michigan Curve'!$A$4:$F$4,0)))))</f>
        <v>121.29422033989924</v>
      </c>
      <c r="AL78" s="965">
        <f>IF(D78&lt;=Tables!$B$21,IF($AL$10=$AI$10,AI78,IF($AL$10=$AJ$10,AJ78,IF($AL$10=$AK$10,AK78,0))),0)</f>
        <v>121.29422033989924</v>
      </c>
      <c r="AM78" s="708">
        <f t="shared" si="72"/>
        <v>165.87884195733156</v>
      </c>
      <c r="AN78" s="916">
        <f t="shared" si="73"/>
        <v>1</v>
      </c>
      <c r="AO78" s="905"/>
      <c r="AP78" s="925"/>
      <c r="AQ78" s="926">
        <f>IF(Tables!$E$30="New York",INDEX('NY Curve'!$A$4:$L$256,MATCH('Monthly Table'!B78,'NY Curve'!$A$4:$A$256,0),MATCH("New York Shoulder Hour Curve Mon-Fri",'NY Curve'!$A$4:$L$4,0)),IF(Tables!$E$30="Michigan",INDEX('Michigan Curve'!$A$4:$K$256,MATCH('Monthly Table'!B78,'Michigan Curve'!$A$4:$A$256,0),MATCH("Michigan Shoulder Hour Curve Mon-Fri",'Michigan Curve'!$A$4:$K$4,0))))</f>
        <v>26.70577966010076</v>
      </c>
      <c r="AR78" s="708">
        <f t="shared" si="74"/>
        <v>36.522134287778329</v>
      </c>
      <c r="AS78" s="927">
        <f t="shared" si="61"/>
        <v>0</v>
      </c>
      <c r="AT78" s="462"/>
      <c r="AU78" s="926">
        <f>IF(Tables!$E$30="New York",INDEX('NY Curve'!$A$4:$L$256,MATCH('Monthly Table'!$B78,'NY Curve'!$A$4:$A$256,0),MATCH("New York Saturday Super Peak",'NY Curve'!$A$4:$L$4,0)),IF(Tables!$E$30="Michigan",INDEX('Michigan Curve'!$A$4:$K$256,MATCH('Monthly Table'!$B78,'Michigan Curve'!$A$4:$A$256,0),MATCH("Michigan Saturday Super Peak",'Michigan Curve'!$A$4:$K$4,0))))</f>
        <v>57.36889425131357</v>
      </c>
      <c r="AV78" s="925">
        <f t="shared" si="62"/>
        <v>78.45621758492122</v>
      </c>
      <c r="AW78" s="927">
        <f t="shared" si="63"/>
        <v>1</v>
      </c>
      <c r="AX78" s="926">
        <f>IF(Tables!$E$30="New York",INDEX('NY Curve'!$A$4:$L$256,MATCH('Monthly Table'!$B78,'NY Curve'!$A$4:$A$256,0),MATCH("New York Saturday Shoulder Peak",'NY Curve'!$A$4:$L$4,0)),IF(Tables!$E$30="Michigan",INDEX('Michigan Curve'!$A$4:$K$256,MATCH('Monthly Table'!$B78,'Michigan Curve'!$A$4:$A$256,0),MATCH("Michigan Saturday Shoulder Peak",'Michigan Curve'!$A$4:$K$4,0))))</f>
        <v>12.631113378080963</v>
      </c>
      <c r="AY78" s="934">
        <f t="shared" si="75"/>
        <v>17.273984316123343</v>
      </c>
      <c r="AZ78" s="927">
        <f t="shared" si="64"/>
        <v>0</v>
      </c>
      <c r="BA78" s="462"/>
      <c r="BB78" s="926">
        <f>IF(Tables!$E$30="New York",INDEX('NY Curve'!$A$4:$M$256,MATCH('Monthly Table'!$B78,'NY Curve'!$A$4:$A$256,0),MATCH("NY Sunday Super Peak",'NY Curve'!$A$4:$M$4,0)),IF(Tables!$E$30="Michigan",INDEX('Michigan Curve'!$A$4:$L$256,MATCH('Monthly Table'!$B78,'Michigan Curve'!$A$4:$A$256,0),MATCH("Michigan Sunday Super Peak",'Michigan Curve'!$A$4:$L$4,0))))</f>
        <v>50.812443655903735</v>
      </c>
      <c r="BC78" s="925">
        <f t="shared" si="76"/>
        <v>69.489785144287552</v>
      </c>
      <c r="BD78" s="927">
        <f t="shared" si="65"/>
        <v>1</v>
      </c>
      <c r="BE78" s="462"/>
      <c r="BF78" s="598">
        <f t="shared" si="56"/>
        <v>38930</v>
      </c>
      <c r="BG78" s="583">
        <f t="shared" si="77"/>
        <v>184</v>
      </c>
      <c r="BH78" s="764">
        <f>IF(Tables!$B$36="Combined Cycle",(BF78-BF77)*24*Assumptions!$B$21,0)</f>
        <v>0</v>
      </c>
      <c r="BI78" s="315">
        <f t="shared" si="78"/>
        <v>184</v>
      </c>
      <c r="BJ78" s="987">
        <f>IF('Monthly Table'!D78&lt;=Tables!$B$21,IF($BJ$10=$BG$10,BG78,IF($BJ$10=$BH$10,BH78,IF($BJ$10=$BI$10,BI78,0))),0)</f>
        <v>184</v>
      </c>
      <c r="BK78" s="43"/>
      <c r="BL78" s="987">
        <f t="shared" si="79"/>
        <v>32</v>
      </c>
      <c r="BM78" s="987">
        <f t="shared" si="80"/>
        <v>32</v>
      </c>
      <c r="BO78" s="987">
        <f t="shared" si="66"/>
        <v>0</v>
      </c>
      <c r="BP78" s="987">
        <f t="shared" si="81"/>
        <v>0</v>
      </c>
      <c r="BR78" s="993">
        <f>IF(BJ78&gt;0,INDEX(OperationalDetail,MATCH("Capacity Degradation",ODColumn,0),MATCH('Monthly Table'!C78,ODRow,0)),0)</f>
        <v>2.16E-3</v>
      </c>
      <c r="BS78" s="994">
        <f>BJ78*(1-BR78)*Tables!$C$36</f>
        <v>59487.229439999996</v>
      </c>
      <c r="BT78" s="601">
        <f t="shared" si="67"/>
        <v>7215.4571151055006</v>
      </c>
      <c r="BU78" s="601">
        <f t="shared" si="68"/>
        <v>9867.6727307572819</v>
      </c>
      <c r="BV78" s="462"/>
      <c r="BW78" s="785">
        <f>$BO78*(1-$BR78)*Tables!$C$36</f>
        <v>0</v>
      </c>
      <c r="BX78" s="602">
        <f t="shared" si="82"/>
        <v>0</v>
      </c>
      <c r="BY78" s="601">
        <f t="shared" si="83"/>
        <v>0</v>
      </c>
      <c r="BZ78" s="462"/>
      <c r="CA78" s="785">
        <f>$BL78*(1-$BR78)*Tables!$C$36</f>
        <v>10345.60512</v>
      </c>
      <c r="CB78" s="602">
        <f t="shared" si="84"/>
        <v>593.51592609512829</v>
      </c>
      <c r="CC78" s="601">
        <f t="shared" si="85"/>
        <v>811.67704634239499</v>
      </c>
      <c r="CD78" s="785">
        <f>$BP78*(1-$BR78)*Tables!$C$36</f>
        <v>0</v>
      </c>
      <c r="CE78" s="602">
        <f t="shared" si="86"/>
        <v>0</v>
      </c>
      <c r="CF78" s="601">
        <f t="shared" si="87"/>
        <v>0</v>
      </c>
      <c r="CH78" s="785">
        <f>$BM78*(1-$BR78)*Tables!$C$36</f>
        <v>10345.60512</v>
      </c>
      <c r="CI78" s="602">
        <f t="shared" si="88"/>
        <v>525.6854772462292</v>
      </c>
      <c r="CJ78" s="601">
        <f t="shared" si="89"/>
        <v>718.9138769764412</v>
      </c>
      <c r="CK78" s="304"/>
      <c r="CL78" s="304">
        <f t="shared" si="90"/>
        <v>2005</v>
      </c>
      <c r="CM78" s="1018">
        <f>INDEX(OperationalDetail,MATCH("Degraded Heat Rate",ODColumn,0),MATCH('Monthly Table'!CL78,ODRow,0))/1000</f>
        <v>12.194057200000001</v>
      </c>
      <c r="CN78" s="737">
        <f t="shared" si="69"/>
        <v>53.897084574785026</v>
      </c>
      <c r="CO78" s="1019">
        <f>IF(A78="January",(CO77*(1+Assumptions!$E$32)),CO77)</f>
        <v>7.4366742600540023</v>
      </c>
      <c r="CP78" s="741">
        <f t="shared" si="57"/>
        <v>61.333758834839031</v>
      </c>
      <c r="CQ78" s="304"/>
      <c r="CR78" s="575">
        <f t="shared" si="91"/>
        <v>2006</v>
      </c>
      <c r="CS78" s="575" t="str">
        <f t="shared" si="92"/>
        <v/>
      </c>
      <c r="CT78" s="575">
        <f t="shared" si="93"/>
        <v>2006</v>
      </c>
      <c r="CU78" s="575" t="str">
        <f t="shared" si="94"/>
        <v/>
      </c>
      <c r="CV78" s="575">
        <f t="shared" si="95"/>
        <v>2006</v>
      </c>
      <c r="CW78" s="576">
        <f t="shared" si="58"/>
        <v>2006</v>
      </c>
      <c r="CX78" s="787">
        <f>INDEX('NY Curve'!$A$4:$G$256,MATCH('Monthly Table'!B78,'NY Curve'!$A$4:$A$256,0),MATCH("New York 5 X 16",'NY Curve'!$A$4:$G$4,0))</f>
        <v>64</v>
      </c>
      <c r="CY78" s="632">
        <f t="shared" si="59"/>
        <v>1.3675741638183101</v>
      </c>
      <c r="CZ78" s="633">
        <f t="shared" si="60"/>
        <v>87.524746484371846</v>
      </c>
      <c r="DB78" s="857"/>
      <c r="DC78" s="857"/>
    </row>
    <row r="79" spans="1:107" ht="18.75" customHeight="1">
      <c r="A79" s="17" t="s">
        <v>445</v>
      </c>
      <c r="B79" s="508">
        <v>38961</v>
      </c>
      <c r="C79" s="43">
        <f t="shared" si="49"/>
        <v>2006</v>
      </c>
      <c r="D79" s="719">
        <f t="shared" si="48"/>
        <v>6</v>
      </c>
      <c r="E79" s="972">
        <v>20</v>
      </c>
      <c r="F79" s="971">
        <v>5</v>
      </c>
      <c r="G79" s="971">
        <v>4</v>
      </c>
      <c r="H79" s="971">
        <v>1</v>
      </c>
      <c r="I79" s="976">
        <f t="shared" si="70"/>
        <v>30</v>
      </c>
      <c r="J79" s="621"/>
      <c r="K79" s="572">
        <f>INDEX(FX!$A$3:$C$362,MATCH(B79,FX!$A$3:$A$362,0),MATCH("Monthly Curve",FX!$A$2:$C$2,0))</f>
        <v>1.3664767326905001</v>
      </c>
      <c r="L79" s="572"/>
      <c r="M79" s="1057">
        <v>2.8115000000000006</v>
      </c>
      <c r="N79" s="1067">
        <v>0.13500000000000001</v>
      </c>
      <c r="O79" s="315">
        <v>0.05</v>
      </c>
      <c r="P79" s="797">
        <f t="shared" si="51"/>
        <v>0.185</v>
      </c>
      <c r="Q79" s="732">
        <f t="shared" si="52"/>
        <v>2.9965000000000002</v>
      </c>
      <c r="R79" s="723">
        <f>IF(A79="January",(R78+R78*Assumptions!$E$32),R78)</f>
        <v>0.33158387618806157</v>
      </c>
      <c r="S79" s="730">
        <f t="shared" si="53"/>
        <v>4.4262314056951455</v>
      </c>
      <c r="T79" s="572"/>
      <c r="U79" s="509"/>
      <c r="V79" s="581"/>
      <c r="W79" s="581"/>
      <c r="X79" s="461"/>
      <c r="Y79" s="588">
        <f>Tables!$D$36</f>
        <v>312</v>
      </c>
      <c r="Z79" s="570">
        <f t="shared" si="54"/>
        <v>0</v>
      </c>
      <c r="AA79" s="592">
        <f t="shared" si="55"/>
        <v>0</v>
      </c>
      <c r="AB79" s="589">
        <f t="shared" si="50"/>
        <v>0</v>
      </c>
      <c r="AC79" s="462"/>
      <c r="AD79" s="1027">
        <f>IF(Tables!$E$30="Michigan",INDEX('Michigan Curve'!$A$4:$S$256,MATCH('Monthly Table'!B79,'Michigan Curve'!$A$4:$A$256,0),MATCH("Michigan Selected Option Value US$/month",'Michigan Curve'!$A$4:$S$4,0)),INDEX('NY Curve'!$A$4:$T$256,MATCH('Monthly Table'!B79,'NY Curve'!$A$4:$A$256,0),MATCH("New York Selected Option Value US$/month",'NY Curve'!$A$4:$T$4,0)))</f>
        <v>329712.44473271648</v>
      </c>
      <c r="AE79" s="601">
        <f t="shared" si="71"/>
        <v>450544.3842057595</v>
      </c>
      <c r="AF79" s="462"/>
      <c r="AG79" s="915"/>
      <c r="AH79" s="462"/>
      <c r="AI79" s="799">
        <f>Assumptions!$B$50</f>
        <v>65</v>
      </c>
      <c r="AJ79" s="743"/>
      <c r="AK79" s="924">
        <f>IF(Tables!$E$30="Custom",'Monthly Table'!AI79,IF(Tables!$E$30="New York",INDEX('NY Curve'!$A$4:$G$256,MATCH('Monthly Table'!B79,'NY Curve'!$A$4:$A$256,0),MATCH("Super Peak Curve",'NY Curve'!$A$4:$G$4,0)),IF(Tables!$E$30="New York Flat",INDEX('NY Curve'!$A$4:$G$256,MATCH('Monthly Table'!B79,'NY Curve'!$A$4:$A$256,0),MATCH("Flat NY West",'NY Curve'!$A$4:$G$4,0)),INDEX('Michigan Curve'!$A$4:$F$256,MATCH('Monthly Table'!B79,'Michigan Curve'!$A$4:$A$256,0),MATCH("Michigan Super Peak Curve US$/MWhr",'Michigan Curve'!$A$4:$F$4,0)))))</f>
        <v>44.253437265753746</v>
      </c>
      <c r="AL79" s="965">
        <f>IF(D79&lt;=Tables!$B$21,IF($AL$10=$AI$10,AI79,IF($AL$10=$AJ$10,AJ79,IF($AL$10=$AK$10,AK79,0))),0)</f>
        <v>44.253437265753746</v>
      </c>
      <c r="AM79" s="708">
        <f t="shared" si="72"/>
        <v>60.471292365231193</v>
      </c>
      <c r="AN79" s="916">
        <f t="shared" si="73"/>
        <v>0</v>
      </c>
      <c r="AO79" s="905"/>
      <c r="AP79" s="925"/>
      <c r="AQ79" s="926">
        <f>IF(Tables!$E$30="New York",INDEX('NY Curve'!$A$4:$L$256,MATCH('Monthly Table'!B79,'NY Curve'!$A$4:$A$256,0),MATCH("New York Shoulder Hour Curve Mon-Fri",'NY Curve'!$A$4:$L$4,0)),IF(Tables!$E$30="Michigan",INDEX('Michigan Curve'!$A$4:$K$256,MATCH('Monthly Table'!B79,'Michigan Curve'!$A$4:$A$256,0),MATCH("Michigan Shoulder Hour Curve Mon-Fri",'Michigan Curve'!$A$4:$K$4,0))))</f>
        <v>21.246562734246254</v>
      </c>
      <c r="AR79" s="708">
        <f t="shared" si="74"/>
        <v>29.032933625996559</v>
      </c>
      <c r="AS79" s="927">
        <f t="shared" si="61"/>
        <v>0</v>
      </c>
      <c r="AT79" s="462"/>
      <c r="AU79" s="926">
        <f>IF(Tables!$E$30="New York",INDEX('NY Curve'!$A$4:$L$256,MATCH('Monthly Table'!$B79,'NY Curve'!$A$4:$A$256,0),MATCH("New York Saturday Super Peak",'NY Curve'!$A$4:$L$4,0)),IF(Tables!$E$30="Michigan",INDEX('Michigan Curve'!$A$4:$K$256,MATCH('Monthly Table'!$B79,'Michigan Curve'!$A$4:$A$256,0),MATCH("Michigan Saturday Super Peak",'Michigan Curve'!$A$4:$K$4,0))))</f>
        <v>33.781249821186066</v>
      </c>
      <c r="AV79" s="925">
        <f t="shared" si="62"/>
        <v>46.161291881855874</v>
      </c>
      <c r="AW79" s="927">
        <f t="shared" si="63"/>
        <v>0</v>
      </c>
      <c r="AX79" s="926">
        <f>IF(Tables!$E$30="New York",INDEX('NY Curve'!$A$4:$L$256,MATCH('Monthly Table'!$B79,'NY Curve'!$A$4:$A$256,0),MATCH("New York Saturday Shoulder Peak",'NY Curve'!$A$4:$L$4,0)),IF(Tables!$E$30="Michigan",INDEX('Michigan Curve'!$A$4:$K$256,MATCH('Monthly Table'!$B79,'Michigan Curve'!$A$4:$A$256,0),MATCH("Michigan Saturday Shoulder Peak",'Michigan Curve'!$A$4:$K$4,0))))</f>
        <v>16.218750178813934</v>
      </c>
      <c r="AY79" s="934">
        <f t="shared" si="75"/>
        <v>22.162544752669127</v>
      </c>
      <c r="AZ79" s="927">
        <f t="shared" si="64"/>
        <v>0</v>
      </c>
      <c r="BA79" s="462"/>
      <c r="BB79" s="926">
        <f>IF(Tables!$E$30="New York",INDEX('NY Curve'!$A$4:$M$256,MATCH('Monthly Table'!$B79,'NY Curve'!$A$4:$A$256,0),MATCH("NY Sunday Super Peak",'NY Curve'!$A$4:$M$4,0)),IF(Tables!$E$30="Michigan",INDEX('Michigan Curve'!$A$4:$L$256,MATCH('Monthly Table'!$B79,'Michigan Curve'!$A$4:$A$256,0),MATCH("Michigan Sunday Super Peak",'Michigan Curve'!$A$4:$L$4,0))))</f>
        <v>32.429999828338623</v>
      </c>
      <c r="BC79" s="925">
        <f t="shared" si="76"/>
        <v>44.314840206581643</v>
      </c>
      <c r="BD79" s="927">
        <f t="shared" si="65"/>
        <v>0</v>
      </c>
      <c r="BE79" s="462"/>
      <c r="BF79" s="598">
        <f t="shared" si="56"/>
        <v>38961</v>
      </c>
      <c r="BG79" s="583">
        <f t="shared" si="77"/>
        <v>0</v>
      </c>
      <c r="BH79" s="764">
        <f>IF(Tables!$B$36="Combined Cycle",(BF79-BF78)*24*Assumptions!$B$21,0)</f>
        <v>0</v>
      </c>
      <c r="BI79" s="315">
        <f t="shared" si="78"/>
        <v>0</v>
      </c>
      <c r="BJ79" s="987">
        <f>IF('Monthly Table'!D79&lt;=Tables!$B$21,IF($BJ$10=$BG$10,BG79,IF($BJ$10=$BH$10,BH79,IF($BJ$10=$BI$10,BI79,0))),0)</f>
        <v>0</v>
      </c>
      <c r="BK79" s="43"/>
      <c r="BL79" s="987">
        <f t="shared" si="79"/>
        <v>0</v>
      </c>
      <c r="BM79" s="987">
        <f t="shared" si="80"/>
        <v>0</v>
      </c>
      <c r="BO79" s="987">
        <f t="shared" si="66"/>
        <v>0</v>
      </c>
      <c r="BP79" s="987">
        <f t="shared" si="81"/>
        <v>0</v>
      </c>
      <c r="BR79" s="993">
        <f>IF(BJ79&gt;0,INDEX(OperationalDetail,MATCH("Capacity Degradation",ODColumn,0),MATCH('Monthly Table'!C79,ODRow,0)),0)</f>
        <v>0</v>
      </c>
      <c r="BS79" s="994">
        <f>BJ79*(1-BR79)*Tables!$C$36</f>
        <v>0</v>
      </c>
      <c r="BT79" s="601">
        <f t="shared" si="67"/>
        <v>0</v>
      </c>
      <c r="BU79" s="601">
        <f t="shared" si="68"/>
        <v>0</v>
      </c>
      <c r="BV79" s="462"/>
      <c r="BW79" s="785">
        <f>$BO79*(1-$BR79)*Tables!$C$36</f>
        <v>0</v>
      </c>
      <c r="BX79" s="602">
        <f t="shared" si="82"/>
        <v>0</v>
      </c>
      <c r="BY79" s="601">
        <f t="shared" si="83"/>
        <v>0</v>
      </c>
      <c r="BZ79" s="462"/>
      <c r="CA79" s="785">
        <f>$BL79*(1-$BR79)*Tables!$C$36</f>
        <v>0</v>
      </c>
      <c r="CB79" s="602">
        <f t="shared" si="84"/>
        <v>0</v>
      </c>
      <c r="CC79" s="601">
        <f t="shared" si="85"/>
        <v>0</v>
      </c>
      <c r="CD79" s="785">
        <f>$BP79*(1-$BR79)*Tables!$C$36</f>
        <v>0</v>
      </c>
      <c r="CE79" s="602">
        <f t="shared" si="86"/>
        <v>0</v>
      </c>
      <c r="CF79" s="601">
        <f t="shared" si="87"/>
        <v>0</v>
      </c>
      <c r="CH79" s="785">
        <f>$BM79*(1-$BR79)*Tables!$C$36</f>
        <v>0</v>
      </c>
      <c r="CI79" s="602">
        <f t="shared" si="88"/>
        <v>0</v>
      </c>
      <c r="CJ79" s="601">
        <f t="shared" si="89"/>
        <v>0</v>
      </c>
      <c r="CK79" s="304"/>
      <c r="CL79" s="304">
        <f t="shared" si="90"/>
        <v>2005</v>
      </c>
      <c r="CM79" s="1018">
        <f>INDEX(OperationalDetail,MATCH("Degraded Heat Rate",ODColumn,0),MATCH('Monthly Table'!CL79,ODRow,0))/1000</f>
        <v>12.194057200000001</v>
      </c>
      <c r="CN79" s="737">
        <f t="shared" si="69"/>
        <v>53.973718941483014</v>
      </c>
      <c r="CO79" s="1019">
        <f>IF(A79="January",(CO78*(1+Assumptions!$E$32)),CO78)</f>
        <v>7.4366742600540023</v>
      </c>
      <c r="CP79" s="741">
        <f t="shared" si="57"/>
        <v>61.410393201537019</v>
      </c>
      <c r="CQ79" s="304"/>
      <c r="CR79" s="575" t="str">
        <f t="shared" si="91"/>
        <v/>
      </c>
      <c r="CS79" s="575" t="str">
        <f t="shared" si="92"/>
        <v/>
      </c>
      <c r="CT79" s="575" t="str">
        <f t="shared" si="93"/>
        <v/>
      </c>
      <c r="CU79" s="575" t="str">
        <f t="shared" si="94"/>
        <v/>
      </c>
      <c r="CV79" s="575" t="str">
        <f t="shared" si="95"/>
        <v/>
      </c>
      <c r="CW79" s="576">
        <f t="shared" si="58"/>
        <v>2006</v>
      </c>
      <c r="CX79" s="787">
        <f>INDEX('NY Curve'!$A$4:$G$256,MATCH('Monthly Table'!B79,'NY Curve'!$A$4:$A$256,0),MATCH("New York 5 X 16",'NY Curve'!$A$4:$G$4,0))</f>
        <v>29.85</v>
      </c>
      <c r="CY79" s="632">
        <f t="shared" si="59"/>
        <v>1.3664767326905001</v>
      </c>
      <c r="CZ79" s="633">
        <f t="shared" si="60"/>
        <v>40.789330470811429</v>
      </c>
      <c r="DB79" s="857"/>
      <c r="DC79" s="857"/>
    </row>
    <row r="80" spans="1:107" ht="18.75" customHeight="1">
      <c r="A80" s="17" t="s">
        <v>446</v>
      </c>
      <c r="B80" s="508">
        <v>38991</v>
      </c>
      <c r="C80" s="43">
        <f t="shared" si="49"/>
        <v>2006</v>
      </c>
      <c r="D80" s="719">
        <f t="shared" si="48"/>
        <v>6</v>
      </c>
      <c r="E80" s="972">
        <v>22</v>
      </c>
      <c r="F80" s="971">
        <v>4</v>
      </c>
      <c r="G80" s="971">
        <v>5</v>
      </c>
      <c r="H80" s="971">
        <v>0</v>
      </c>
      <c r="I80" s="976">
        <f t="shared" si="70"/>
        <v>31</v>
      </c>
      <c r="J80" s="621"/>
      <c r="K80" s="572">
        <f>INDEX(FX!$A$3:$C$362,MATCH(B80,FX!$A$3:$A$362,0),MATCH("Monthly Curve",FX!$A$2:$C$2,0))</f>
        <v>1.3654157700620699</v>
      </c>
      <c r="L80" s="572"/>
      <c r="M80" s="1057">
        <v>2.8385000000000002</v>
      </c>
      <c r="N80" s="1067">
        <v>0.13500000000000001</v>
      </c>
      <c r="O80" s="315">
        <v>0.05</v>
      </c>
      <c r="P80" s="797">
        <f t="shared" si="51"/>
        <v>0.185</v>
      </c>
      <c r="Q80" s="732">
        <f t="shared" si="52"/>
        <v>3.0235000000000003</v>
      </c>
      <c r="R80" s="723">
        <f>IF(A80="January",(R79+R79*Assumptions!$E$32),R79)</f>
        <v>0.33158387618806157</v>
      </c>
      <c r="S80" s="730">
        <f t="shared" si="53"/>
        <v>4.4599184569707306</v>
      </c>
      <c r="T80" s="572"/>
      <c r="U80" s="509"/>
      <c r="V80" s="584"/>
      <c r="W80" s="584"/>
      <c r="X80" s="461"/>
      <c r="Y80" s="588">
        <f>Tables!$D$36</f>
        <v>312</v>
      </c>
      <c r="Z80" s="570">
        <f t="shared" si="54"/>
        <v>0</v>
      </c>
      <c r="AA80" s="592">
        <f t="shared" si="55"/>
        <v>0</v>
      </c>
      <c r="AB80" s="589">
        <f t="shared" si="50"/>
        <v>0</v>
      </c>
      <c r="AC80" s="462"/>
      <c r="AD80" s="1027">
        <f>IF(Tables!$E$30="Michigan",INDEX('Michigan Curve'!$A$4:$S$256,MATCH('Monthly Table'!B80,'Michigan Curve'!$A$4:$A$256,0),MATCH("Michigan Selected Option Value US$/month",'Michigan Curve'!$A$4:$S$4,0)),INDEX('NY Curve'!$A$4:$T$256,MATCH('Monthly Table'!B80,'NY Curve'!$A$4:$A$256,0),MATCH("New York Selected Option Value US$/month",'NY Curve'!$A$4:$T$4,0)))</f>
        <v>23692.308908008967</v>
      </c>
      <c r="AE80" s="601">
        <f t="shared" si="71"/>
        <v>32349.852212177502</v>
      </c>
      <c r="AF80" s="462"/>
      <c r="AG80" s="915"/>
      <c r="AH80" s="462"/>
      <c r="AI80" s="799">
        <f>Assumptions!$B$50</f>
        <v>65</v>
      </c>
      <c r="AJ80" s="743"/>
      <c r="AK80" s="924">
        <f>IF(Tables!$E$30="Custom",'Monthly Table'!AI80,IF(Tables!$E$30="New York",INDEX('NY Curve'!$A$4:$G$256,MATCH('Monthly Table'!B80,'NY Curve'!$A$4:$A$256,0),MATCH("Super Peak Curve",'NY Curve'!$A$4:$G$4,0)),IF(Tables!$E$30="New York Flat",INDEX('NY Curve'!$A$4:$G$256,MATCH('Monthly Table'!B80,'NY Curve'!$A$4:$A$256,0),MATCH("Flat NY West",'NY Curve'!$A$4:$G$4,0)),INDEX('Michigan Curve'!$A$4:$F$256,MATCH('Monthly Table'!B80,'Michigan Curve'!$A$4:$A$256,0),MATCH("Michigan Super Peak Curve US$/MWhr",'Michigan Curve'!$A$4:$F$4,0)))))</f>
        <v>25.849994659423828</v>
      </c>
      <c r="AL80" s="965">
        <f>IF(D80&lt;=Tables!$B$21,IF($AL$10=$AI$10,AI80,IF($AL$10=$AJ$10,AJ80,IF($AL$10=$AK$10,AK80,0))),0)</f>
        <v>25.849994659423828</v>
      </c>
      <c r="AM80" s="708">
        <f t="shared" si="72"/>
        <v>35.295990363997582</v>
      </c>
      <c r="AN80" s="916">
        <f t="shared" si="73"/>
        <v>0</v>
      </c>
      <c r="AO80" s="905"/>
      <c r="AP80" s="925"/>
      <c r="AQ80" s="926">
        <f>IF(Tables!$E$30="New York",INDEX('NY Curve'!$A$4:$L$256,MATCH('Monthly Table'!B80,'NY Curve'!$A$4:$A$256,0),MATCH("New York Shoulder Hour Curve Mon-Fri",'NY Curve'!$A$4:$L$4,0)),IF(Tables!$E$30="Michigan",INDEX('Michigan Curve'!$A$4:$K$256,MATCH('Monthly Table'!B80,'Michigan Curve'!$A$4:$A$256,0),MATCH("Michigan Shoulder Hour Curve Mon-Fri",'Michigan Curve'!$A$4:$K$4,0))))</f>
        <v>25.849994659423828</v>
      </c>
      <c r="AR80" s="708">
        <f t="shared" si="74"/>
        <v>35.295990363997582</v>
      </c>
      <c r="AS80" s="927">
        <f t="shared" si="61"/>
        <v>0</v>
      </c>
      <c r="AT80" s="462"/>
      <c r="AU80" s="926">
        <f>IF(Tables!$E$30="New York",INDEX('NY Curve'!$A$4:$L$256,MATCH('Monthly Table'!$B80,'NY Curve'!$A$4:$A$256,0),MATCH("New York Saturday Super Peak",'NY Curve'!$A$4:$L$4,0)),IF(Tables!$E$30="Michigan",INDEX('Michigan Curve'!$A$4:$K$256,MATCH('Monthly Table'!$B80,'Michigan Curve'!$A$4:$A$256,0),MATCH("Michigan Saturday Super Peak",'Michigan Curve'!$A$4:$K$4,0))))</f>
        <v>19.996000289916992</v>
      </c>
      <c r="AV80" s="925">
        <f t="shared" si="62"/>
        <v>27.302854134018382</v>
      </c>
      <c r="AW80" s="927">
        <f t="shared" si="63"/>
        <v>0</v>
      </c>
      <c r="AX80" s="926">
        <f>IF(Tables!$E$30="New York",INDEX('NY Curve'!$A$4:$L$256,MATCH('Monthly Table'!$B80,'NY Curve'!$A$4:$A$256,0),MATCH("New York Saturday Shoulder Peak",'NY Curve'!$A$4:$L$4,0)),IF(Tables!$E$30="Michigan",INDEX('Michigan Curve'!$A$4:$K$256,MATCH('Monthly Table'!$B80,'Michigan Curve'!$A$4:$A$256,0),MATCH("Michigan Saturday Shoulder Peak",'Michigan Curve'!$A$4:$K$4,0))))</f>
        <v>19.996000289916992</v>
      </c>
      <c r="AY80" s="934">
        <f t="shared" si="75"/>
        <v>27.302854134018382</v>
      </c>
      <c r="AZ80" s="927">
        <f t="shared" si="64"/>
        <v>0</v>
      </c>
      <c r="BA80" s="462"/>
      <c r="BB80" s="926">
        <f>IF(Tables!$E$30="New York",INDEX('NY Curve'!$A$4:$M$256,MATCH('Monthly Table'!$B80,'NY Curve'!$A$4:$A$256,0),MATCH("NY Sunday Super Peak",'NY Curve'!$A$4:$M$4,0)),IF(Tables!$E$30="Michigan",INDEX('Michigan Curve'!$A$4:$L$256,MATCH('Monthly Table'!$B80,'Michigan Curve'!$A$4:$A$256,0),MATCH("Michigan Sunday Super Peak",'Michigan Curve'!$A$4:$L$4,0))))</f>
        <v>18.996500015258789</v>
      </c>
      <c r="BC80" s="925">
        <f t="shared" si="76"/>
        <v>25.938120696818704</v>
      </c>
      <c r="BD80" s="927">
        <f t="shared" si="65"/>
        <v>0</v>
      </c>
      <c r="BE80" s="462"/>
      <c r="BF80" s="598">
        <f t="shared" si="56"/>
        <v>38991</v>
      </c>
      <c r="BG80" s="583">
        <f t="shared" si="77"/>
        <v>0</v>
      </c>
      <c r="BH80" s="764">
        <f>IF(Tables!$B$36="Combined Cycle",(BF80-BF79)*24*Assumptions!$B$21,0)</f>
        <v>0</v>
      </c>
      <c r="BI80" s="315">
        <f t="shared" si="78"/>
        <v>0</v>
      </c>
      <c r="BJ80" s="987">
        <f>IF('Monthly Table'!D80&lt;=Tables!$B$21,IF($BJ$10=$BG$10,BG80,IF($BJ$10=$BH$10,BH80,IF($BJ$10=$BI$10,BI80,0))),0)</f>
        <v>0</v>
      </c>
      <c r="BK80" s="43"/>
      <c r="BL80" s="987">
        <f t="shared" si="79"/>
        <v>0</v>
      </c>
      <c r="BM80" s="987">
        <f t="shared" si="80"/>
        <v>0</v>
      </c>
      <c r="BO80" s="987">
        <f t="shared" si="66"/>
        <v>0</v>
      </c>
      <c r="BP80" s="987">
        <f t="shared" si="81"/>
        <v>0</v>
      </c>
      <c r="BR80" s="993">
        <f>IF(BJ80&gt;0,INDEX(OperationalDetail,MATCH("Capacity Degradation",ODColumn,0),MATCH('Monthly Table'!C80,ODRow,0)),0)</f>
        <v>0</v>
      </c>
      <c r="BS80" s="994">
        <f>BJ80*(1-BR80)*Tables!$C$36</f>
        <v>0</v>
      </c>
      <c r="BT80" s="601">
        <f t="shared" si="67"/>
        <v>0</v>
      </c>
      <c r="BU80" s="601">
        <f t="shared" si="68"/>
        <v>0</v>
      </c>
      <c r="BV80" s="462"/>
      <c r="BW80" s="785">
        <f>$BO80*(1-$BR80)*Tables!$C$36</f>
        <v>0</v>
      </c>
      <c r="BX80" s="602">
        <f t="shared" si="82"/>
        <v>0</v>
      </c>
      <c r="BY80" s="601">
        <f t="shared" si="83"/>
        <v>0</v>
      </c>
      <c r="BZ80" s="462"/>
      <c r="CA80" s="785">
        <f>$BL80*(1-$BR80)*Tables!$C$36</f>
        <v>0</v>
      </c>
      <c r="CB80" s="602">
        <f t="shared" si="84"/>
        <v>0</v>
      </c>
      <c r="CC80" s="601">
        <f t="shared" si="85"/>
        <v>0</v>
      </c>
      <c r="CD80" s="785">
        <f>$BP80*(1-$BR80)*Tables!$C$36</f>
        <v>0</v>
      </c>
      <c r="CE80" s="602">
        <f t="shared" si="86"/>
        <v>0</v>
      </c>
      <c r="CF80" s="601">
        <f t="shared" si="87"/>
        <v>0</v>
      </c>
      <c r="CH80" s="785">
        <f>$BM80*(1-$BR80)*Tables!$C$36</f>
        <v>0</v>
      </c>
      <c r="CI80" s="602">
        <f t="shared" si="88"/>
        <v>0</v>
      </c>
      <c r="CJ80" s="601">
        <f t="shared" si="89"/>
        <v>0</v>
      </c>
      <c r="CK80" s="304"/>
      <c r="CL80" s="304">
        <f t="shared" si="90"/>
        <v>2005</v>
      </c>
      <c r="CM80" s="1018">
        <f>INDEX(OperationalDetail,MATCH("Degraded Heat Rate",ODColumn,0),MATCH('Monthly Table'!CL80,ODRow,0))/1000</f>
        <v>12.194057200000001</v>
      </c>
      <c r="CN80" s="737">
        <f t="shared" si="69"/>
        <v>54.384500771636837</v>
      </c>
      <c r="CO80" s="1019">
        <f>IF(A80="January",(CO79*(1+Assumptions!$E$32)),CO79)</f>
        <v>7.4366742600540023</v>
      </c>
      <c r="CP80" s="741">
        <f t="shared" si="57"/>
        <v>61.821175031690842</v>
      </c>
      <c r="CQ80" s="304"/>
      <c r="CR80" s="575" t="str">
        <f t="shared" si="91"/>
        <v/>
      </c>
      <c r="CS80" s="575" t="str">
        <f t="shared" si="92"/>
        <v/>
      </c>
      <c r="CT80" s="575" t="str">
        <f t="shared" si="93"/>
        <v/>
      </c>
      <c r="CU80" s="575" t="str">
        <f t="shared" si="94"/>
        <v/>
      </c>
      <c r="CV80" s="575" t="str">
        <f t="shared" si="95"/>
        <v/>
      </c>
      <c r="CW80" s="576">
        <f t="shared" si="58"/>
        <v>2006</v>
      </c>
      <c r="CX80" s="787">
        <f>INDEX('NY Curve'!$A$4:$G$256,MATCH('Monthly Table'!B80,'NY Curve'!$A$4:$A$256,0),MATCH("New York 5 X 16",'NY Curve'!$A$4:$G$4,0))</f>
        <v>25.6</v>
      </c>
      <c r="CY80" s="632">
        <f t="shared" si="59"/>
        <v>1.3654157700620699</v>
      </c>
      <c r="CZ80" s="633">
        <f t="shared" si="60"/>
        <v>34.954643713588993</v>
      </c>
      <c r="DB80" s="857"/>
      <c r="DC80" s="857"/>
    </row>
    <row r="81" spans="1:107" ht="18.75" customHeight="1">
      <c r="A81" s="17" t="s">
        <v>447</v>
      </c>
      <c r="B81" s="508">
        <v>39022</v>
      </c>
      <c r="C81" s="43">
        <f t="shared" si="49"/>
        <v>2006</v>
      </c>
      <c r="D81" s="719">
        <f t="shared" si="48"/>
        <v>6</v>
      </c>
      <c r="E81" s="972">
        <v>21</v>
      </c>
      <c r="F81" s="971">
        <v>4</v>
      </c>
      <c r="G81" s="971">
        <v>4</v>
      </c>
      <c r="H81" s="971">
        <v>1</v>
      </c>
      <c r="I81" s="976">
        <f t="shared" si="70"/>
        <v>30</v>
      </c>
      <c r="J81" s="621"/>
      <c r="K81" s="572">
        <f>INDEX(FX!$A$3:$C$362,MATCH(B81,FX!$A$3:$A$362,0),MATCH("Monthly Curve",FX!$A$2:$C$2,0))</f>
        <v>1.3643205438333299</v>
      </c>
      <c r="L81" s="572"/>
      <c r="M81" s="1057">
        <v>2.9744999999999999</v>
      </c>
      <c r="N81" s="1067">
        <v>0.22500000000000001</v>
      </c>
      <c r="O81" s="315">
        <v>0.05</v>
      </c>
      <c r="P81" s="797">
        <f t="shared" si="51"/>
        <v>0.27500000000000002</v>
      </c>
      <c r="Q81" s="732">
        <f t="shared" si="52"/>
        <v>3.2494999999999998</v>
      </c>
      <c r="R81" s="723">
        <f>IF(A81="January",(R80+R80*Assumptions!$E$32),R80)</f>
        <v>0.33158387618806157</v>
      </c>
      <c r="S81" s="730">
        <f t="shared" si="53"/>
        <v>4.7649434833744673</v>
      </c>
      <c r="T81" s="572"/>
      <c r="U81" s="509"/>
      <c r="V81" s="584"/>
      <c r="W81" s="584"/>
      <c r="X81" s="461"/>
      <c r="Y81" s="588">
        <f>Tables!$D$36</f>
        <v>312</v>
      </c>
      <c r="Z81" s="570">
        <f t="shared" si="54"/>
        <v>0</v>
      </c>
      <c r="AA81" s="592">
        <f t="shared" si="55"/>
        <v>0</v>
      </c>
      <c r="AB81" s="589">
        <f t="shared" si="50"/>
        <v>0</v>
      </c>
      <c r="AC81" s="462"/>
      <c r="AD81" s="1027">
        <f>IF(Tables!$E$30="Michigan",INDEX('Michigan Curve'!$A$4:$S$256,MATCH('Monthly Table'!B81,'Michigan Curve'!$A$4:$A$256,0),MATCH("Michigan Selected Option Value US$/month",'Michigan Curve'!$A$4:$S$4,0)),INDEX('NY Curve'!$A$4:$T$256,MATCH('Monthly Table'!B81,'NY Curve'!$A$4:$A$256,0),MATCH("New York Selected Option Value US$/month",'NY Curve'!$A$4:$T$4,0)))</f>
        <v>42977.100945397018</v>
      </c>
      <c r="AE81" s="601">
        <f t="shared" si="71"/>
        <v>58634.54173420398</v>
      </c>
      <c r="AF81" s="462"/>
      <c r="AG81" s="915"/>
      <c r="AH81" s="462"/>
      <c r="AI81" s="799">
        <f>Assumptions!$B$50</f>
        <v>65</v>
      </c>
      <c r="AJ81" s="743"/>
      <c r="AK81" s="924">
        <f>IF(Tables!$E$30="Custom",'Monthly Table'!AI81,IF(Tables!$E$30="New York",INDEX('NY Curve'!$A$4:$G$256,MATCH('Monthly Table'!B81,'NY Curve'!$A$4:$A$256,0),MATCH("Super Peak Curve",'NY Curve'!$A$4:$G$4,0)),IF(Tables!$E$30="New York Flat",INDEX('NY Curve'!$A$4:$G$256,MATCH('Monthly Table'!B81,'NY Curve'!$A$4:$A$256,0),MATCH("Flat NY West",'NY Curve'!$A$4:$G$4,0)),INDEX('Michigan Curve'!$A$4:$F$256,MATCH('Monthly Table'!B81,'Michigan Curve'!$A$4:$A$256,0),MATCH("Michigan Super Peak Curve US$/MWhr",'Michigan Curve'!$A$4:$F$4,0)))))</f>
        <v>27.788395385742188</v>
      </c>
      <c r="AL81" s="965">
        <f>IF(D81&lt;=Tables!$B$21,IF($AL$10=$AI$10,AI81,IF($AL$10=$AJ$10,AJ81,IF($AL$10=$AK$10,AK81,0))),0)</f>
        <v>27.788395385742188</v>
      </c>
      <c r="AM81" s="708">
        <f t="shared" si="72"/>
        <v>37.912278704931374</v>
      </c>
      <c r="AN81" s="916">
        <f t="shared" si="73"/>
        <v>0</v>
      </c>
      <c r="AO81" s="905"/>
      <c r="AP81" s="925"/>
      <c r="AQ81" s="926">
        <f>IF(Tables!$E$30="New York",INDEX('NY Curve'!$A$4:$L$256,MATCH('Monthly Table'!B81,'NY Curve'!$A$4:$A$256,0),MATCH("New York Shoulder Hour Curve Mon-Fri",'NY Curve'!$A$4:$L$4,0)),IF(Tables!$E$30="Michigan",INDEX('Michigan Curve'!$A$4:$K$256,MATCH('Monthly Table'!B81,'Michigan Curve'!$A$4:$A$256,0),MATCH("Michigan Shoulder Hour Curve Mon-Fri",'Michigan Curve'!$A$4:$K$4,0))))</f>
        <v>23.671596069335937</v>
      </c>
      <c r="AR81" s="708">
        <f t="shared" si="74"/>
        <v>32.295644822719318</v>
      </c>
      <c r="AS81" s="927">
        <f t="shared" si="61"/>
        <v>0</v>
      </c>
      <c r="AT81" s="462"/>
      <c r="AU81" s="926">
        <f>IF(Tables!$E$30="New York",INDEX('NY Curve'!$A$4:$L$256,MATCH('Monthly Table'!$B81,'NY Curve'!$A$4:$A$256,0),MATCH("New York Saturday Super Peak",'NY Curve'!$A$4:$L$4,0)),IF(Tables!$E$30="Michigan",INDEX('Michigan Curve'!$A$4:$K$256,MATCH('Monthly Table'!$B81,'Michigan Curve'!$A$4:$A$256,0),MATCH("Michigan Saturday Super Peak",'Michigan Curve'!$A$4:$K$4,0))))</f>
        <v>21.6</v>
      </c>
      <c r="AV81" s="925">
        <f t="shared" si="62"/>
        <v>29.469323746799926</v>
      </c>
      <c r="AW81" s="927">
        <f t="shared" si="63"/>
        <v>0</v>
      </c>
      <c r="AX81" s="926">
        <f>IF(Tables!$E$30="New York",INDEX('NY Curve'!$A$4:$L$256,MATCH('Monthly Table'!$B81,'NY Curve'!$A$4:$A$256,0),MATCH("New York Saturday Shoulder Peak",'NY Curve'!$A$4:$L$4,0)),IF(Tables!$E$30="Michigan",INDEX('Michigan Curve'!$A$4:$K$256,MATCH('Monthly Table'!$B81,'Michigan Curve'!$A$4:$A$256,0),MATCH("Michigan Saturday Shoulder Peak",'Michigan Curve'!$A$4:$K$4,0))))</f>
        <v>18.399999999999999</v>
      </c>
      <c r="AY81" s="934">
        <f t="shared" si="75"/>
        <v>25.103498006533268</v>
      </c>
      <c r="AZ81" s="927">
        <f t="shared" si="64"/>
        <v>0</v>
      </c>
      <c r="BA81" s="462"/>
      <c r="BB81" s="926">
        <f>IF(Tables!$E$30="New York",INDEX('NY Curve'!$A$4:$M$256,MATCH('Monthly Table'!$B81,'NY Curve'!$A$4:$A$256,0),MATCH("NY Sunday Super Peak",'NY Curve'!$A$4:$M$4,0)),IF(Tables!$E$30="Michigan",INDEX('Michigan Curve'!$A$4:$L$256,MATCH('Monthly Table'!$B81,'Michigan Curve'!$A$4:$A$256,0),MATCH("Michigan Sunday Super Peak",'Michigan Curve'!$A$4:$L$4,0))))</f>
        <v>20.520000000000003</v>
      </c>
      <c r="BC81" s="925">
        <f t="shared" si="76"/>
        <v>27.995857559459935</v>
      </c>
      <c r="BD81" s="927">
        <f t="shared" si="65"/>
        <v>0</v>
      </c>
      <c r="BE81" s="462"/>
      <c r="BF81" s="598">
        <f t="shared" si="56"/>
        <v>39022</v>
      </c>
      <c r="BG81" s="583">
        <f t="shared" si="77"/>
        <v>0</v>
      </c>
      <c r="BH81" s="764">
        <f>IF(Tables!$B$36="Combined Cycle",(BF81-BF80)*24*Assumptions!$B$21,0)</f>
        <v>0</v>
      </c>
      <c r="BI81" s="315">
        <f t="shared" si="78"/>
        <v>0</v>
      </c>
      <c r="BJ81" s="987">
        <f>IF('Monthly Table'!D81&lt;=Tables!$B$21,IF($BJ$10=$BG$10,BG81,IF($BJ$10=$BH$10,BH81,IF($BJ$10=$BI$10,BI81,0))),0)</f>
        <v>0</v>
      </c>
      <c r="BK81" s="43"/>
      <c r="BL81" s="987">
        <f t="shared" si="79"/>
        <v>0</v>
      </c>
      <c r="BM81" s="987">
        <f t="shared" si="80"/>
        <v>0</v>
      </c>
      <c r="BO81" s="987">
        <f t="shared" si="66"/>
        <v>0</v>
      </c>
      <c r="BP81" s="987">
        <f t="shared" si="81"/>
        <v>0</v>
      </c>
      <c r="BR81" s="993">
        <f>IF(BJ81&gt;0,INDEX(OperationalDetail,MATCH("Capacity Degradation",ODColumn,0),MATCH('Monthly Table'!C81,ODRow,0)),0)</f>
        <v>0</v>
      </c>
      <c r="BS81" s="994">
        <f>BJ81*(1-BR81)*Tables!$C$36</f>
        <v>0</v>
      </c>
      <c r="BT81" s="601">
        <f t="shared" si="67"/>
        <v>0</v>
      </c>
      <c r="BU81" s="601">
        <f t="shared" si="68"/>
        <v>0</v>
      </c>
      <c r="BV81" s="462"/>
      <c r="BW81" s="785">
        <f>$BO81*(1-$BR81)*Tables!$C$36</f>
        <v>0</v>
      </c>
      <c r="BX81" s="602">
        <f t="shared" si="82"/>
        <v>0</v>
      </c>
      <c r="BY81" s="601">
        <f t="shared" si="83"/>
        <v>0</v>
      </c>
      <c r="BZ81" s="462"/>
      <c r="CA81" s="785">
        <f>$BL81*(1-$BR81)*Tables!$C$36</f>
        <v>0</v>
      </c>
      <c r="CB81" s="602">
        <f t="shared" si="84"/>
        <v>0</v>
      </c>
      <c r="CC81" s="601">
        <f t="shared" si="85"/>
        <v>0</v>
      </c>
      <c r="CD81" s="785">
        <f>$BP81*(1-$BR81)*Tables!$C$36</f>
        <v>0</v>
      </c>
      <c r="CE81" s="602">
        <f t="shared" si="86"/>
        <v>0</v>
      </c>
      <c r="CF81" s="601">
        <f t="shared" si="87"/>
        <v>0</v>
      </c>
      <c r="CH81" s="785">
        <f>$BM81*(1-$BR81)*Tables!$C$36</f>
        <v>0</v>
      </c>
      <c r="CI81" s="602">
        <f t="shared" si="88"/>
        <v>0</v>
      </c>
      <c r="CJ81" s="601">
        <f t="shared" si="89"/>
        <v>0</v>
      </c>
      <c r="CK81" s="304"/>
      <c r="CL81" s="304">
        <f t="shared" si="90"/>
        <v>2005</v>
      </c>
      <c r="CM81" s="1018">
        <f>INDEX(OperationalDetail,MATCH("Degraded Heat Rate",ODColumn,0),MATCH('Monthly Table'!CL81,ODRow,0))/1000</f>
        <v>12.194057200000001</v>
      </c>
      <c r="CN81" s="737">
        <f t="shared" si="69"/>
        <v>58.103993391035509</v>
      </c>
      <c r="CO81" s="1019">
        <f>IF(A81="January",(CO80*(1+Assumptions!$E$32)),CO80)</f>
        <v>7.4366742600540023</v>
      </c>
      <c r="CP81" s="741">
        <f t="shared" si="57"/>
        <v>65.540667651089507</v>
      </c>
      <c r="CQ81" s="304"/>
      <c r="CR81" s="575" t="str">
        <f t="shared" si="91"/>
        <v/>
      </c>
      <c r="CS81" s="575" t="str">
        <f t="shared" si="92"/>
        <v/>
      </c>
      <c r="CT81" s="575" t="str">
        <f t="shared" si="93"/>
        <v/>
      </c>
      <c r="CU81" s="575" t="str">
        <f t="shared" si="94"/>
        <v/>
      </c>
      <c r="CV81" s="575" t="str">
        <f t="shared" si="95"/>
        <v/>
      </c>
      <c r="CW81" s="576">
        <f t="shared" si="58"/>
        <v>2006</v>
      </c>
      <c r="CX81" s="787">
        <f>INDEX('NY Curve'!$A$4:$G$256,MATCH('Monthly Table'!B81,'NY Curve'!$A$4:$A$256,0),MATCH("New York 5 X 16",'NY Curve'!$A$4:$G$4,0))</f>
        <v>26.1</v>
      </c>
      <c r="CY81" s="632">
        <f t="shared" si="59"/>
        <v>1.3643205438333299</v>
      </c>
      <c r="CZ81" s="633">
        <f t="shared" si="60"/>
        <v>35.608766194049913</v>
      </c>
      <c r="DB81" s="857"/>
      <c r="DC81" s="857"/>
    </row>
    <row r="82" spans="1:107" s="222" customFormat="1" ht="18.75" customHeight="1">
      <c r="A82" s="222" t="s">
        <v>448</v>
      </c>
      <c r="B82" s="564">
        <v>39052</v>
      </c>
      <c r="C82" s="565">
        <f t="shared" si="49"/>
        <v>2006</v>
      </c>
      <c r="D82" s="819">
        <f t="shared" ref="D82:D145" si="96">IF(A82="January",D81+1,D81)</f>
        <v>6</v>
      </c>
      <c r="E82" s="972">
        <v>20</v>
      </c>
      <c r="F82" s="971">
        <v>5</v>
      </c>
      <c r="G82" s="971">
        <v>5</v>
      </c>
      <c r="H82" s="971">
        <v>1</v>
      </c>
      <c r="I82" s="976">
        <f t="shared" si="70"/>
        <v>31</v>
      </c>
      <c r="J82" s="969"/>
      <c r="K82" s="820">
        <f>INDEX(FX!$A$3:$C$362,MATCH(B82,FX!$A$3:$A$362,0),MATCH("Monthly Curve",FX!$A$2:$C$2,0))</f>
        <v>1.36326171255853</v>
      </c>
      <c r="L82" s="820"/>
      <c r="M82" s="1068">
        <v>3.1005000000000003</v>
      </c>
      <c r="N82" s="1069">
        <v>0.26500000000000001</v>
      </c>
      <c r="O82" s="831">
        <v>0.05</v>
      </c>
      <c r="P82" s="824">
        <f t="shared" si="51"/>
        <v>0.315</v>
      </c>
      <c r="Q82" s="825">
        <f t="shared" si="52"/>
        <v>3.4155000000000002</v>
      </c>
      <c r="R82" s="837">
        <f>IF(A82="January",(R81+R81*Assumptions!$E$32),R81)</f>
        <v>0.33158387618806157</v>
      </c>
      <c r="S82" s="827">
        <f t="shared" si="53"/>
        <v>4.9878042554317217</v>
      </c>
      <c r="T82" s="820"/>
      <c r="U82" s="567"/>
      <c r="V82" s="838"/>
      <c r="W82" s="838"/>
      <c r="X82" s="566"/>
      <c r="Y82" s="839">
        <f>Tables!$D$36</f>
        <v>312</v>
      </c>
      <c r="Z82" s="678">
        <f t="shared" si="54"/>
        <v>0</v>
      </c>
      <c r="AA82" s="679">
        <f t="shared" si="55"/>
        <v>0</v>
      </c>
      <c r="AB82" s="680">
        <f t="shared" si="50"/>
        <v>0</v>
      </c>
      <c r="AC82" s="828"/>
      <c r="AD82" s="1027">
        <f>IF(Tables!$E$30="Michigan",INDEX('Michigan Curve'!$A$4:$S$256,MATCH('Monthly Table'!B82,'Michigan Curve'!$A$4:$A$256,0),MATCH("Michigan Selected Option Value US$/month",'Michigan Curve'!$A$4:$S$4,0)),INDEX('NY Curve'!$A$4:$T$256,MATCH('Monthly Table'!B82,'NY Curve'!$A$4:$A$256,0),MATCH("New York Selected Option Value US$/month",'NY Curve'!$A$4:$T$4,0)))</f>
        <v>23475.517734579851</v>
      </c>
      <c r="AE82" s="601">
        <f t="shared" si="71"/>
        <v>32003.274510041472</v>
      </c>
      <c r="AF82" s="828"/>
      <c r="AG82" s="917"/>
      <c r="AH82" s="828"/>
      <c r="AI82" s="799">
        <f>Assumptions!$B$50</f>
        <v>65</v>
      </c>
      <c r="AJ82" s="762"/>
      <c r="AK82" s="924">
        <f>IF(Tables!$E$30="Custom",'Monthly Table'!AI82,IF(Tables!$E$30="New York",INDEX('NY Curve'!$A$4:$G$256,MATCH('Monthly Table'!B82,'NY Curve'!$A$4:$A$256,0),MATCH("Super Peak Curve",'NY Curve'!$A$4:$G$4,0)),IF(Tables!$E$30="New York Flat",INDEX('NY Curve'!$A$4:$G$256,MATCH('Monthly Table'!B82,'NY Curve'!$A$4:$A$256,0),MATCH("Flat NY West",'NY Curve'!$A$4:$G$4,0)),INDEX('Michigan Curve'!$A$4:$F$256,MATCH('Monthly Table'!B82,'Michigan Curve'!$A$4:$A$256,0),MATCH("Michigan Super Peak Curve US$/MWhr",'Michigan Curve'!$A$4:$F$4,0)))))</f>
        <v>26.723994941711425</v>
      </c>
      <c r="AL82" s="966">
        <f>IF(D82&lt;=Tables!$B$21,IF($AL$10=$AI$10,AI82,IF($AL$10=$AJ$10,AJ82,IF($AL$10=$AK$10,AK82,0))),0)</f>
        <v>26.723994941711425</v>
      </c>
      <c r="AM82" s="879">
        <f t="shared" si="72"/>
        <v>36.431799110643013</v>
      </c>
      <c r="AN82" s="918">
        <f t="shared" si="73"/>
        <v>0</v>
      </c>
      <c r="AO82" s="906"/>
      <c r="AP82" s="925"/>
      <c r="AQ82" s="926">
        <f>IF(Tables!$E$30="New York",INDEX('NY Curve'!$A$4:$L$256,MATCH('Monthly Table'!B82,'NY Curve'!$A$4:$A$256,0),MATCH("New York Shoulder Hour Curve Mon-Fri",'NY Curve'!$A$4:$L$4,0)),IF(Tables!$E$30="Michigan",INDEX('Michigan Curve'!$A$4:$K$256,MATCH('Monthly Table'!B82,'Michigan Curve'!$A$4:$A$256,0),MATCH("Michigan Shoulder Hour Curve Mon-Fri",'Michigan Curve'!$A$4:$K$4,0))))</f>
        <v>25.675995140075685</v>
      </c>
      <c r="AR82" s="708">
        <f t="shared" si="74"/>
        <v>35.003101106304072</v>
      </c>
      <c r="AS82" s="927">
        <f t="shared" si="61"/>
        <v>0</v>
      </c>
      <c r="AT82" s="828"/>
      <c r="AU82" s="926">
        <f>IF(Tables!$E$30="New York",INDEX('NY Curve'!$A$4:$L$256,MATCH('Monthly Table'!$B82,'NY Curve'!$A$4:$A$256,0),MATCH("New York Saturday Super Peak",'NY Curve'!$A$4:$L$4,0)),IF(Tables!$E$30="Michigan",INDEX('Michigan Curve'!$A$4:$K$256,MATCH('Monthly Table'!$B82,'Michigan Curve'!$A$4:$A$256,0),MATCH("Michigan Saturday Super Peak",'Michigan Curve'!$A$4:$K$4,0))))</f>
        <v>20.399999999999999</v>
      </c>
      <c r="AV82" s="925">
        <f t="shared" si="62"/>
        <v>27.810538936194011</v>
      </c>
      <c r="AW82" s="927">
        <f t="shared" si="63"/>
        <v>0</v>
      </c>
      <c r="AX82" s="926">
        <f>IF(Tables!$E$30="New York",INDEX('NY Curve'!$A$4:$L$256,MATCH('Monthly Table'!$B82,'NY Curve'!$A$4:$A$256,0),MATCH("New York Saturday Shoulder Peak",'NY Curve'!$A$4:$L$4,0)),IF(Tables!$E$30="Michigan",INDEX('Michigan Curve'!$A$4:$K$256,MATCH('Monthly Table'!$B82,'Michigan Curve'!$A$4:$A$256,0),MATCH("Michigan Saturday Shoulder Peak",'Michigan Curve'!$A$4:$K$4,0))))</f>
        <v>19.600000000000001</v>
      </c>
      <c r="AY82" s="934">
        <f t="shared" si="75"/>
        <v>26.71992956614719</v>
      </c>
      <c r="AZ82" s="927">
        <f t="shared" si="64"/>
        <v>0</v>
      </c>
      <c r="BA82" s="828"/>
      <c r="BB82" s="926">
        <f>IF(Tables!$E$30="New York",INDEX('NY Curve'!$A$4:$M$256,MATCH('Monthly Table'!$B82,'NY Curve'!$A$4:$A$256,0),MATCH("NY Sunday Super Peak",'NY Curve'!$A$4:$M$4,0)),IF(Tables!$E$30="Michigan",INDEX('Michigan Curve'!$A$4:$L$256,MATCH('Monthly Table'!$B82,'Michigan Curve'!$A$4:$A$256,0),MATCH("Michigan Sunday Super Peak",'Michigan Curve'!$A$4:$L$4,0))))</f>
        <v>19.38</v>
      </c>
      <c r="BC82" s="925">
        <f t="shared" si="76"/>
        <v>26.42001198938431</v>
      </c>
      <c r="BD82" s="927">
        <f t="shared" si="65"/>
        <v>0</v>
      </c>
      <c r="BE82" s="828"/>
      <c r="BF82" s="829">
        <f t="shared" si="56"/>
        <v>39052</v>
      </c>
      <c r="BG82" s="583">
        <f t="shared" si="77"/>
        <v>0</v>
      </c>
      <c r="BH82" s="840">
        <f>IF(Tables!$B$36="Combined Cycle",(BF82-BF81)*24*Assumptions!$B$21,0)</f>
        <v>0</v>
      </c>
      <c r="BI82" s="315">
        <f t="shared" si="78"/>
        <v>0</v>
      </c>
      <c r="BJ82" s="988">
        <f>IF('Monthly Table'!D82&lt;=Tables!$B$21,IF($BJ$10=$BG$10,BG82,IF($BJ$10=$BH$10,BH82,IF($BJ$10=$BI$10,BI82,0))),0)</f>
        <v>0</v>
      </c>
      <c r="BK82" s="43"/>
      <c r="BL82" s="987">
        <f t="shared" si="79"/>
        <v>0</v>
      </c>
      <c r="BM82" s="987">
        <f t="shared" si="80"/>
        <v>0</v>
      </c>
      <c r="BN82" s="43"/>
      <c r="BO82" s="987">
        <f t="shared" si="66"/>
        <v>0</v>
      </c>
      <c r="BP82" s="987">
        <f t="shared" si="81"/>
        <v>0</v>
      </c>
      <c r="BQ82" s="43"/>
      <c r="BR82" s="995">
        <f>IF(BJ82&gt;0,INDEX(OperationalDetail,MATCH("Capacity Degradation",ODColumn,0),MATCH('Monthly Table'!C82,ODRow,0)),0)</f>
        <v>0</v>
      </c>
      <c r="BS82" s="994">
        <f>BJ82*(1-BR82)*Tables!$C$36</f>
        <v>0</v>
      </c>
      <c r="BT82" s="834">
        <f t="shared" si="67"/>
        <v>0</v>
      </c>
      <c r="BU82" s="834">
        <f t="shared" si="68"/>
        <v>0</v>
      </c>
      <c r="BV82" s="462"/>
      <c r="BW82" s="785">
        <f>$BO82*(1-$BR82)*Tables!$C$36</f>
        <v>0</v>
      </c>
      <c r="BX82" s="602">
        <f t="shared" si="82"/>
        <v>0</v>
      </c>
      <c r="BY82" s="601">
        <f t="shared" si="83"/>
        <v>0</v>
      </c>
      <c r="BZ82" s="828"/>
      <c r="CA82" s="785">
        <f>$BL82*(1-$BR82)*Tables!$C$36</f>
        <v>0</v>
      </c>
      <c r="CB82" s="602">
        <f t="shared" si="84"/>
        <v>0</v>
      </c>
      <c r="CC82" s="601">
        <f t="shared" si="85"/>
        <v>0</v>
      </c>
      <c r="CD82" s="785">
        <f>$BP82*(1-$BR82)*Tables!$C$36</f>
        <v>0</v>
      </c>
      <c r="CE82" s="602">
        <f t="shared" si="86"/>
        <v>0</v>
      </c>
      <c r="CF82" s="601">
        <f t="shared" si="87"/>
        <v>0</v>
      </c>
      <c r="CH82" s="785">
        <f>$BM82*(1-$BR82)*Tables!$C$36</f>
        <v>0</v>
      </c>
      <c r="CI82" s="602">
        <f t="shared" si="88"/>
        <v>0</v>
      </c>
      <c r="CJ82" s="601">
        <f t="shared" si="89"/>
        <v>0</v>
      </c>
      <c r="CK82" s="880"/>
      <c r="CL82" s="304">
        <f t="shared" si="90"/>
        <v>2005</v>
      </c>
      <c r="CM82" s="1018">
        <f>INDEX(OperationalDetail,MATCH("Degraded Heat Rate",ODColumn,0),MATCH('Monthly Table'!CL82,ODRow,0))/1000</f>
        <v>12.194057200000001</v>
      </c>
      <c r="CN82" s="835">
        <f t="shared" si="69"/>
        <v>60.821570393137833</v>
      </c>
      <c r="CO82" s="1020">
        <f>IF(A82="January",(CO81*(1+Assumptions!$E$32)),CO81)</f>
        <v>7.4366742600540023</v>
      </c>
      <c r="CP82" s="836">
        <f t="shared" si="57"/>
        <v>68.258244653191838</v>
      </c>
      <c r="CQ82" s="880"/>
      <c r="CR82" s="841" t="str">
        <f t="shared" si="91"/>
        <v/>
      </c>
      <c r="CS82" s="575" t="str">
        <f t="shared" si="92"/>
        <v/>
      </c>
      <c r="CT82" s="575" t="str">
        <f t="shared" si="93"/>
        <v/>
      </c>
      <c r="CU82" s="575" t="str">
        <f t="shared" si="94"/>
        <v/>
      </c>
      <c r="CV82" s="575" t="str">
        <f t="shared" si="95"/>
        <v/>
      </c>
      <c r="CW82" s="842">
        <f t="shared" si="58"/>
        <v>2006</v>
      </c>
      <c r="CX82" s="843">
        <f>INDEX('NY Curve'!$A$4:$G$256,MATCH('Monthly Table'!B82,'NY Curve'!$A$4:$A$256,0),MATCH("New York 5 X 16",'NY Curve'!$A$4:$G$4,0))</f>
        <v>26.6</v>
      </c>
      <c r="CY82" s="844">
        <f t="shared" si="59"/>
        <v>1.36326171255853</v>
      </c>
      <c r="CZ82" s="845">
        <f t="shared" si="60"/>
        <v>36.262761554056901</v>
      </c>
      <c r="DB82" s="881"/>
      <c r="DC82" s="881"/>
    </row>
    <row r="83" spans="1:107" ht="18.75" customHeight="1">
      <c r="A83" s="17" t="s">
        <v>437</v>
      </c>
      <c r="B83" s="508">
        <v>39083</v>
      </c>
      <c r="C83" s="43">
        <f t="shared" si="49"/>
        <v>2007</v>
      </c>
      <c r="D83" s="719">
        <f t="shared" si="96"/>
        <v>7</v>
      </c>
      <c r="E83" s="972">
        <v>22</v>
      </c>
      <c r="F83" s="971">
        <v>4</v>
      </c>
      <c r="G83" s="971">
        <v>4</v>
      </c>
      <c r="H83" s="971">
        <v>1</v>
      </c>
      <c r="I83" s="976">
        <f t="shared" si="70"/>
        <v>31</v>
      </c>
      <c r="J83" s="621"/>
      <c r="K83" s="572">
        <f>INDEX(FX!$A$3:$C$362,MATCH(B83,FX!$A$3:$A$362,0),MATCH("Monthly Curve",FX!$A$2:$C$2,0))</f>
        <v>1.36216868623139</v>
      </c>
      <c r="L83" s="572"/>
      <c r="M83" s="1057">
        <v>3.1610000000000005</v>
      </c>
      <c r="N83" s="1067">
        <v>0.27500000000000002</v>
      </c>
      <c r="O83" s="315">
        <v>0.05</v>
      </c>
      <c r="P83" s="797">
        <f t="shared" si="51"/>
        <v>0.32500000000000001</v>
      </c>
      <c r="Q83" s="732">
        <f t="shared" si="52"/>
        <v>3.4860000000000002</v>
      </c>
      <c r="R83" s="723">
        <f>IF(A83="January",(R82+R82*Assumptions!$E$32),R82)</f>
        <v>0.33821555371182277</v>
      </c>
      <c r="S83" s="730">
        <f t="shared" si="53"/>
        <v>5.0867355939144492</v>
      </c>
      <c r="T83" s="572"/>
      <c r="U83" s="509"/>
      <c r="V83" s="584"/>
      <c r="W83" s="584"/>
      <c r="X83" s="461"/>
      <c r="Y83" s="588">
        <f>Tables!$D$36</f>
        <v>312</v>
      </c>
      <c r="Z83" s="570">
        <f t="shared" si="54"/>
        <v>0</v>
      </c>
      <c r="AA83" s="592">
        <f t="shared" si="55"/>
        <v>0</v>
      </c>
      <c r="AB83" s="589">
        <f t="shared" si="50"/>
        <v>0</v>
      </c>
      <c r="AC83" s="462"/>
      <c r="AD83" s="1027">
        <f>IF(Tables!$E$30="Michigan",INDEX('Michigan Curve'!$A$4:$S$256,MATCH('Monthly Table'!B83,'Michigan Curve'!$A$4:$A$256,0),MATCH("Michigan Selected Option Value US$/month",'Michigan Curve'!$A$4:$S$4,0)),INDEX('NY Curve'!$A$4:$T$256,MATCH('Monthly Table'!B83,'NY Curve'!$A$4:$A$256,0),MATCH("New York Selected Option Value US$/month",'NY Curve'!$A$4:$T$4,0)))</f>
        <v>87717.546248239159</v>
      </c>
      <c r="AE83" s="601">
        <f t="shared" si="71"/>
        <v>119486.09473240512</v>
      </c>
      <c r="AF83" s="462"/>
      <c r="AG83" s="915"/>
      <c r="AH83" s="462"/>
      <c r="AI83" s="799">
        <f>Assumptions!$B$50</f>
        <v>65</v>
      </c>
      <c r="AJ83" s="743"/>
      <c r="AK83" s="924">
        <f>IF(Tables!$E$30="Custom",'Monthly Table'!AI83,IF(Tables!$E$30="New York",INDEX('NY Curve'!$A$4:$G$256,MATCH('Monthly Table'!B83,'NY Curve'!$A$4:$A$256,0),MATCH("Super Peak Curve",'NY Curve'!$A$4:$G$4,0)),IF(Tables!$E$30="New York Flat",INDEX('NY Curve'!$A$4:$G$256,MATCH('Monthly Table'!B83,'NY Curve'!$A$4:$A$256,0),MATCH("Flat NY West",'NY Curve'!$A$4:$G$4,0)),INDEX('Michigan Curve'!$A$4:$F$256,MATCH('Monthly Table'!B83,'Michigan Curve'!$A$4:$A$256,0),MATCH("Michigan Super Peak Curve US$/MWhr",'Michigan Curve'!$A$4:$F$4,0)))))</f>
        <v>32.334000389099124</v>
      </c>
      <c r="AL83" s="965">
        <f>IF(D83&lt;=Tables!$B$21,IF($AL$10=$AI$10,AI83,IF($AL$10=$AJ$10,AJ83,IF($AL$10=$AK$10,AK83,0))),0)</f>
        <v>32.334000389099124</v>
      </c>
      <c r="AM83" s="708">
        <f t="shared" si="72"/>
        <v>44.044362830624408</v>
      </c>
      <c r="AN83" s="916">
        <f t="shared" si="73"/>
        <v>0</v>
      </c>
      <c r="AO83" s="905"/>
      <c r="AP83" s="925"/>
      <c r="AQ83" s="926">
        <f>IF(Tables!$E$30="New York",INDEX('NY Curve'!$A$4:$L$256,MATCH('Monthly Table'!B83,'NY Curve'!$A$4:$A$256,0),MATCH("New York Shoulder Hour Curve Mon-Fri",'NY Curve'!$A$4:$L$4,0)),IF(Tables!$E$30="Michigan",INDEX('Michigan Curve'!$A$4:$K$256,MATCH('Monthly Table'!B83,'Michigan Curve'!$A$4:$A$256,0),MATCH("Michigan Shoulder Hour Curve Mon-Fri",'Michigan Curve'!$A$4:$K$4,0))))</f>
        <v>31.066000373840332</v>
      </c>
      <c r="AR83" s="708">
        <f t="shared" si="74"/>
        <v>42.317132915697954</v>
      </c>
      <c r="AS83" s="927">
        <f t="shared" si="61"/>
        <v>0</v>
      </c>
      <c r="AT83" s="462"/>
      <c r="AU83" s="926">
        <f>IF(Tables!$E$30="New York",INDEX('NY Curve'!$A$4:$L$256,MATCH('Monthly Table'!$B83,'NY Curve'!$A$4:$A$256,0),MATCH("New York Saturday Super Peak",'NY Curve'!$A$4:$L$4,0)),IF(Tables!$E$30="Michigan",INDEX('Michigan Curve'!$A$4:$K$256,MATCH('Monthly Table'!$B83,'Michigan Curve'!$A$4:$A$256,0),MATCH("Michigan Saturday Super Peak",'Michigan Curve'!$A$4:$K$4,0))))</f>
        <v>22.44</v>
      </c>
      <c r="AV83" s="925">
        <f t="shared" si="62"/>
        <v>30.567065319032395</v>
      </c>
      <c r="AW83" s="927">
        <f t="shared" si="63"/>
        <v>0</v>
      </c>
      <c r="AX83" s="926">
        <f>IF(Tables!$E$30="New York",INDEX('NY Curve'!$A$4:$L$256,MATCH('Monthly Table'!$B83,'NY Curve'!$A$4:$A$256,0),MATCH("New York Saturday Shoulder Peak",'NY Curve'!$A$4:$L$4,0)),IF(Tables!$E$30="Michigan",INDEX('Michigan Curve'!$A$4:$K$256,MATCH('Monthly Table'!$B83,'Michigan Curve'!$A$4:$A$256,0),MATCH("Michigan Saturday Shoulder Peak",'Michigan Curve'!$A$4:$K$4,0))))</f>
        <v>21.56</v>
      </c>
      <c r="AY83" s="934">
        <f t="shared" si="75"/>
        <v>29.368356875148766</v>
      </c>
      <c r="AZ83" s="927">
        <f t="shared" si="64"/>
        <v>0</v>
      </c>
      <c r="BA83" s="462"/>
      <c r="BB83" s="926">
        <f>IF(Tables!$E$30="New York",INDEX('NY Curve'!$A$4:$M$256,MATCH('Monthly Table'!$B83,'NY Curve'!$A$4:$A$256,0),MATCH("NY Sunday Super Peak",'NY Curve'!$A$4:$M$4,0)),IF(Tables!$E$30="Michigan",INDEX('Michigan Curve'!$A$4:$L$256,MATCH('Monthly Table'!$B83,'Michigan Curve'!$A$4:$A$256,0),MATCH("Michigan Sunday Super Peak",'Michigan Curve'!$A$4:$L$4,0))))</f>
        <v>21.42</v>
      </c>
      <c r="BC83" s="925">
        <f t="shared" si="76"/>
        <v>29.177653259076376</v>
      </c>
      <c r="BD83" s="927">
        <f t="shared" si="65"/>
        <v>0</v>
      </c>
      <c r="BE83" s="462"/>
      <c r="BF83" s="598">
        <f t="shared" si="56"/>
        <v>39083</v>
      </c>
      <c r="BG83" s="583">
        <f t="shared" si="77"/>
        <v>0</v>
      </c>
      <c r="BH83" s="764">
        <f>IF(Tables!$B$36="Combined Cycle",(BF83-BF82)*24*Assumptions!$B$21,0)</f>
        <v>0</v>
      </c>
      <c r="BI83" s="315">
        <f t="shared" si="78"/>
        <v>0</v>
      </c>
      <c r="BJ83" s="987">
        <f>IF('Monthly Table'!D83&lt;=Tables!$B$21,IF($BJ$10=$BG$10,BG83,IF($BJ$10=$BH$10,BH83,IF($BJ$10=$BI$10,BI83,0))),0)</f>
        <v>0</v>
      </c>
      <c r="BK83" s="43"/>
      <c r="BL83" s="987">
        <f t="shared" si="79"/>
        <v>0</v>
      </c>
      <c r="BM83" s="987">
        <f t="shared" si="80"/>
        <v>0</v>
      </c>
      <c r="BO83" s="987">
        <f t="shared" si="66"/>
        <v>0</v>
      </c>
      <c r="BP83" s="987">
        <f t="shared" si="81"/>
        <v>0</v>
      </c>
      <c r="BR83" s="993">
        <f>IF(BJ83&gt;0,INDEX(OperationalDetail,MATCH("Capacity Degradation",ODColumn,0),MATCH('Monthly Table'!C83,ODRow,0)),0)</f>
        <v>0</v>
      </c>
      <c r="BS83" s="994">
        <f>BJ83*(1-BR83)*Tables!$C$36</f>
        <v>0</v>
      </c>
      <c r="BT83" s="601">
        <f t="shared" si="67"/>
        <v>0</v>
      </c>
      <c r="BU83" s="601">
        <f t="shared" si="68"/>
        <v>0</v>
      </c>
      <c r="BV83" s="462"/>
      <c r="BW83" s="785">
        <f>$BO83*(1-$BR83)*Tables!$C$36</f>
        <v>0</v>
      </c>
      <c r="BX83" s="602">
        <f t="shared" si="82"/>
        <v>0</v>
      </c>
      <c r="BY83" s="601">
        <f t="shared" si="83"/>
        <v>0</v>
      </c>
      <c r="BZ83" s="462"/>
      <c r="CA83" s="785">
        <f>$BL83*(1-$BR83)*Tables!$C$36</f>
        <v>0</v>
      </c>
      <c r="CB83" s="602">
        <f t="shared" si="84"/>
        <v>0</v>
      </c>
      <c r="CC83" s="601">
        <f t="shared" si="85"/>
        <v>0</v>
      </c>
      <c r="CD83" s="785">
        <f>$BP83*(1-$BR83)*Tables!$C$36</f>
        <v>0</v>
      </c>
      <c r="CE83" s="602">
        <f t="shared" si="86"/>
        <v>0</v>
      </c>
      <c r="CF83" s="601">
        <f t="shared" si="87"/>
        <v>0</v>
      </c>
      <c r="CH83" s="785">
        <f>$BM83*(1-$BR83)*Tables!$C$36</f>
        <v>0</v>
      </c>
      <c r="CI83" s="602">
        <f t="shared" si="88"/>
        <v>0</v>
      </c>
      <c r="CJ83" s="601">
        <f t="shared" si="89"/>
        <v>0</v>
      </c>
      <c r="CK83" s="304"/>
      <c r="CL83" s="304">
        <f t="shared" si="90"/>
        <v>2006</v>
      </c>
      <c r="CM83" s="1018">
        <f>INDEX(OperationalDetail,MATCH("Degraded Heat Rate",ODColumn,0),MATCH('Monthly Table'!CL83,ODRow,0))/1000</f>
        <v>11.985833599999999</v>
      </c>
      <c r="CN83" s="737">
        <f t="shared" si="69"/>
        <v>60.968766395855759</v>
      </c>
      <c r="CO83" s="1019">
        <f>IF(A83="January",(CO82*(1+Assumptions!$E$32)),CO82)</f>
        <v>7.5854077452550825</v>
      </c>
      <c r="CP83" s="741">
        <f t="shared" si="57"/>
        <v>68.554174141110849</v>
      </c>
      <c r="CQ83" s="304"/>
      <c r="CR83" s="575" t="str">
        <f t="shared" si="91"/>
        <v/>
      </c>
      <c r="CS83" s="575" t="str">
        <f t="shared" si="92"/>
        <v/>
      </c>
      <c r="CT83" s="575" t="str">
        <f t="shared" si="93"/>
        <v/>
      </c>
      <c r="CU83" s="575" t="str">
        <f t="shared" si="94"/>
        <v/>
      </c>
      <c r="CV83" s="575" t="str">
        <f t="shared" si="95"/>
        <v/>
      </c>
      <c r="CW83" s="576">
        <f t="shared" si="58"/>
        <v>2007</v>
      </c>
      <c r="CX83" s="787">
        <f>INDEX('NY Curve'!$A$4:$G$256,MATCH('Monthly Table'!B83,'NY Curve'!$A$4:$A$256,0),MATCH("New York 5 X 16",'NY Curve'!$A$4:$G$4,0))</f>
        <v>31.95</v>
      </c>
      <c r="CY83" s="632">
        <f t="shared" si="59"/>
        <v>1.36216868623139</v>
      </c>
      <c r="CZ83" s="633">
        <f t="shared" si="60"/>
        <v>43.521289525092911</v>
      </c>
      <c r="DB83" s="857"/>
      <c r="DC83" s="857"/>
    </row>
    <row r="84" spans="1:107" ht="18.75" customHeight="1">
      <c r="A84" s="17" t="s">
        <v>438</v>
      </c>
      <c r="B84" s="508">
        <v>39114</v>
      </c>
      <c r="C84" s="43">
        <f t="shared" si="49"/>
        <v>2007</v>
      </c>
      <c r="D84" s="719">
        <f t="shared" si="96"/>
        <v>7</v>
      </c>
      <c r="E84" s="972">
        <v>20</v>
      </c>
      <c r="F84" s="971">
        <v>4</v>
      </c>
      <c r="G84" s="971">
        <v>4</v>
      </c>
      <c r="H84" s="971">
        <v>0</v>
      </c>
      <c r="I84" s="976">
        <f t="shared" si="70"/>
        <v>28</v>
      </c>
      <c r="J84" s="621"/>
      <c r="K84" s="572">
        <f>INDEX(FX!$A$3:$C$362,MATCH(B84,FX!$A$3:$A$362,0),MATCH("Monthly Curve",FX!$A$2:$C$2,0))</f>
        <v>1.36107677597584</v>
      </c>
      <c r="L84" s="572"/>
      <c r="M84" s="1057">
        <v>3.048</v>
      </c>
      <c r="N84" s="1067">
        <v>0.30499999999999999</v>
      </c>
      <c r="O84" s="315">
        <v>0.05</v>
      </c>
      <c r="P84" s="797">
        <f t="shared" si="51"/>
        <v>0.35499999999999998</v>
      </c>
      <c r="Q84" s="732">
        <f t="shared" si="52"/>
        <v>3.403</v>
      </c>
      <c r="R84" s="723">
        <f>IF(A84="January",(R83+R83*Assumptions!$E$32),R83)</f>
        <v>0.33821555371182277</v>
      </c>
      <c r="S84" s="730">
        <f t="shared" si="53"/>
        <v>4.9699598223576062</v>
      </c>
      <c r="T84" s="572"/>
      <c r="U84" s="509"/>
      <c r="V84" s="584"/>
      <c r="W84" s="584"/>
      <c r="X84" s="461"/>
      <c r="Y84" s="588">
        <f>Tables!$D$36</f>
        <v>312</v>
      </c>
      <c r="Z84" s="570">
        <f t="shared" si="54"/>
        <v>0</v>
      </c>
      <c r="AA84" s="592">
        <f t="shared" si="55"/>
        <v>0</v>
      </c>
      <c r="AB84" s="589">
        <f t="shared" si="50"/>
        <v>0</v>
      </c>
      <c r="AC84" s="462"/>
      <c r="AD84" s="1027">
        <f>IF(Tables!$E$30="Michigan",INDEX('Michigan Curve'!$A$4:$S$256,MATCH('Monthly Table'!B84,'Michigan Curve'!$A$4:$A$256,0),MATCH("Michigan Selected Option Value US$/month",'Michigan Curve'!$A$4:$S$4,0)),INDEX('NY Curve'!$A$4:$T$256,MATCH('Monthly Table'!B84,'NY Curve'!$A$4:$A$256,0),MATCH("New York Selected Option Value US$/month",'NY Curve'!$A$4:$T$4,0)))</f>
        <v>82161.89949969911</v>
      </c>
      <c r="AE84" s="601">
        <f t="shared" si="71"/>
        <v>111828.65327910145</v>
      </c>
      <c r="AF84" s="462"/>
      <c r="AG84" s="915"/>
      <c r="AH84" s="462"/>
      <c r="AI84" s="799">
        <f>Assumptions!$B$50</f>
        <v>65</v>
      </c>
      <c r="AJ84" s="743"/>
      <c r="AK84" s="924">
        <f>IF(Tables!$E$30="Custom",'Monthly Table'!AI84,IF(Tables!$E$30="New York",INDEX('NY Curve'!$A$4:$G$256,MATCH('Monthly Table'!B84,'NY Curve'!$A$4:$A$256,0),MATCH("Super Peak Curve",'NY Curve'!$A$4:$G$4,0)),IF(Tables!$E$30="New York Flat",INDEX('NY Curve'!$A$4:$G$256,MATCH('Monthly Table'!B84,'NY Curve'!$A$4:$A$256,0),MATCH("Flat NY West",'NY Curve'!$A$4:$G$4,0)),INDEX('Michigan Curve'!$A$4:$F$256,MATCH('Monthly Table'!B84,'Michigan Curve'!$A$4:$A$256,0),MATCH("Michigan Super Peak Curve US$/MWhr",'Michigan Curve'!$A$4:$F$4,0)))))</f>
        <v>32.333998443603519</v>
      </c>
      <c r="AL84" s="965">
        <f>IF(D84&lt;=Tables!$B$21,IF($AL$10=$AI$10,AI84,IF($AL$10=$AJ$10,AJ84,IF($AL$10=$AK$10,AK84,0))),0)</f>
        <v>32.333998443603519</v>
      </c>
      <c r="AM84" s="708">
        <f t="shared" si="72"/>
        <v>44.009054356027704</v>
      </c>
      <c r="AN84" s="916">
        <f t="shared" si="73"/>
        <v>0</v>
      </c>
      <c r="AO84" s="905"/>
      <c r="AP84" s="925"/>
      <c r="AQ84" s="926">
        <f>IF(Tables!$E$30="New York",INDEX('NY Curve'!$A$4:$L$256,MATCH('Monthly Table'!B84,'NY Curve'!$A$4:$A$256,0),MATCH("New York Shoulder Hour Curve Mon-Fri",'NY Curve'!$A$4:$L$4,0)),IF(Tables!$E$30="Michigan",INDEX('Michigan Curve'!$A$4:$K$256,MATCH('Monthly Table'!B84,'Michigan Curve'!$A$4:$A$256,0),MATCH("Michigan Shoulder Hour Curve Mon-Fri",'Michigan Curve'!$A$4:$K$4,0))))</f>
        <v>31.065998504638674</v>
      </c>
      <c r="AR84" s="708">
        <f t="shared" si="74"/>
        <v>42.283209087163875</v>
      </c>
      <c r="AS84" s="927">
        <f t="shared" si="61"/>
        <v>0</v>
      </c>
      <c r="AT84" s="462"/>
      <c r="AU84" s="926">
        <f>IF(Tables!$E$30="New York",INDEX('NY Curve'!$A$4:$L$256,MATCH('Monthly Table'!$B84,'NY Curve'!$A$4:$A$256,0),MATCH("New York Saturday Super Peak",'NY Curve'!$A$4:$L$4,0)),IF(Tables!$E$30="Michigan",INDEX('Michigan Curve'!$A$4:$K$256,MATCH('Monthly Table'!$B84,'Michigan Curve'!$A$4:$A$256,0),MATCH("Michigan Saturday Super Peak",'Michigan Curve'!$A$4:$K$4,0))))</f>
        <v>22.435920295715331</v>
      </c>
      <c r="AV84" s="925">
        <f t="shared" si="62"/>
        <v>30.537010062143136</v>
      </c>
      <c r="AW84" s="927">
        <f t="shared" si="63"/>
        <v>0</v>
      </c>
      <c r="AX84" s="926">
        <f>IF(Tables!$E$30="New York",INDEX('NY Curve'!$A$4:$L$256,MATCH('Monthly Table'!$B84,'NY Curve'!$A$4:$A$256,0),MATCH("New York Saturday Shoulder Peak",'NY Curve'!$A$4:$L$4,0)),IF(Tables!$E$30="Michigan",INDEX('Michigan Curve'!$A$4:$K$256,MATCH('Monthly Table'!$B84,'Michigan Curve'!$A$4:$A$256,0),MATCH("Michigan Saturday Shoulder Peak",'Michigan Curve'!$A$4:$K$4,0))))</f>
        <v>21.556080284118654</v>
      </c>
      <c r="AY84" s="934">
        <f t="shared" si="75"/>
        <v>29.339480255784586</v>
      </c>
      <c r="AZ84" s="927">
        <f t="shared" si="64"/>
        <v>0</v>
      </c>
      <c r="BA84" s="462"/>
      <c r="BB84" s="926">
        <f>IF(Tables!$E$30="New York",INDEX('NY Curve'!$A$4:$M$256,MATCH('Monthly Table'!$B84,'NY Curve'!$A$4:$A$256,0),MATCH("NY Sunday Super Peak",'NY Curve'!$A$4:$M$4,0)),IF(Tables!$E$30="Michigan",INDEX('Michigan Curve'!$A$4:$L$256,MATCH('Monthly Table'!$B84,'Michigan Curve'!$A$4:$A$256,0),MATCH("Michigan Sunday Super Peak",'Michigan Curve'!$A$4:$L$4,0))))</f>
        <v>21.416431961059569</v>
      </c>
      <c r="BC84" s="925">
        <f t="shared" si="76"/>
        <v>29.149408166464895</v>
      </c>
      <c r="BD84" s="927">
        <f t="shared" si="65"/>
        <v>0</v>
      </c>
      <c r="BE84" s="462"/>
      <c r="BF84" s="598">
        <f t="shared" si="56"/>
        <v>39114</v>
      </c>
      <c r="BG84" s="583">
        <f t="shared" si="77"/>
        <v>0</v>
      </c>
      <c r="BH84" s="764">
        <f>IF(Tables!$B$36="Combined Cycle",(BF84-BF83)*24*Assumptions!$B$21,0)</f>
        <v>0</v>
      </c>
      <c r="BI84" s="315">
        <f t="shared" si="78"/>
        <v>0</v>
      </c>
      <c r="BJ84" s="987">
        <f>IF('Monthly Table'!D84&lt;=Tables!$B$21,IF($BJ$10=$BG$10,BG84,IF($BJ$10=$BH$10,BH84,IF($BJ$10=$BI$10,BI84,0))),0)</f>
        <v>0</v>
      </c>
      <c r="BK84" s="43"/>
      <c r="BL84" s="987">
        <f t="shared" si="79"/>
        <v>0</v>
      </c>
      <c r="BM84" s="987">
        <f t="shared" si="80"/>
        <v>0</v>
      </c>
      <c r="BO84" s="987">
        <f t="shared" si="66"/>
        <v>0</v>
      </c>
      <c r="BP84" s="987">
        <f t="shared" si="81"/>
        <v>0</v>
      </c>
      <c r="BR84" s="993">
        <f>IF(BJ84&gt;0,INDEX(OperationalDetail,MATCH("Capacity Degradation",ODColumn,0),MATCH('Monthly Table'!C84,ODRow,0)),0)</f>
        <v>0</v>
      </c>
      <c r="BS84" s="994">
        <f>BJ84*(1-BR84)*Tables!$C$36</f>
        <v>0</v>
      </c>
      <c r="BT84" s="601">
        <f t="shared" si="67"/>
        <v>0</v>
      </c>
      <c r="BU84" s="601">
        <f t="shared" si="68"/>
        <v>0</v>
      </c>
      <c r="BV84" s="462"/>
      <c r="BW84" s="785">
        <f>$BO84*(1-$BR84)*Tables!$C$36</f>
        <v>0</v>
      </c>
      <c r="BX84" s="602">
        <f t="shared" si="82"/>
        <v>0</v>
      </c>
      <c r="BY84" s="601">
        <f t="shared" si="83"/>
        <v>0</v>
      </c>
      <c r="BZ84" s="462"/>
      <c r="CA84" s="785">
        <f>$BL84*(1-$BR84)*Tables!$C$36</f>
        <v>0</v>
      </c>
      <c r="CB84" s="602">
        <f t="shared" si="84"/>
        <v>0</v>
      </c>
      <c r="CC84" s="601">
        <f t="shared" si="85"/>
        <v>0</v>
      </c>
      <c r="CD84" s="785">
        <f>$BP84*(1-$BR84)*Tables!$C$36</f>
        <v>0</v>
      </c>
      <c r="CE84" s="602">
        <f t="shared" si="86"/>
        <v>0</v>
      </c>
      <c r="CF84" s="601">
        <f t="shared" si="87"/>
        <v>0</v>
      </c>
      <c r="CH84" s="785">
        <f>$BM84*(1-$BR84)*Tables!$C$36</f>
        <v>0</v>
      </c>
      <c r="CI84" s="602">
        <f t="shared" si="88"/>
        <v>0</v>
      </c>
      <c r="CJ84" s="601">
        <f t="shared" si="89"/>
        <v>0</v>
      </c>
      <c r="CK84" s="304"/>
      <c r="CL84" s="304">
        <f t="shared" si="90"/>
        <v>2006</v>
      </c>
      <c r="CM84" s="1018">
        <f>INDEX(OperationalDetail,MATCH("Degraded Heat Rate",ODColumn,0),MATCH('Monthly Table'!CL84,ODRow,0))/1000</f>
        <v>11.985833599999999</v>
      </c>
      <c r="CN84" s="737">
        <f t="shared" si="69"/>
        <v>59.569111429463824</v>
      </c>
      <c r="CO84" s="1019">
        <f>IF(A84="January",(CO83*(1+Assumptions!$E$32)),CO83)</f>
        <v>7.5854077452550825</v>
      </c>
      <c r="CP84" s="741">
        <f t="shared" si="57"/>
        <v>67.154519174718899</v>
      </c>
      <c r="CQ84" s="304"/>
      <c r="CR84" s="575" t="str">
        <f t="shared" si="91"/>
        <v/>
      </c>
      <c r="CS84" s="575" t="str">
        <f t="shared" si="92"/>
        <v/>
      </c>
      <c r="CT84" s="575" t="str">
        <f t="shared" si="93"/>
        <v/>
      </c>
      <c r="CU84" s="575" t="str">
        <f t="shared" si="94"/>
        <v/>
      </c>
      <c r="CV84" s="575" t="str">
        <f t="shared" si="95"/>
        <v/>
      </c>
      <c r="CW84" s="576">
        <f t="shared" si="58"/>
        <v>2007</v>
      </c>
      <c r="CX84" s="787">
        <f>INDEX('NY Curve'!$A$4:$G$256,MATCH('Monthly Table'!B84,'NY Curve'!$A$4:$A$256,0),MATCH("New York 5 X 16",'NY Curve'!$A$4:$G$4,0))</f>
        <v>31.95</v>
      </c>
      <c r="CY84" s="632">
        <f t="shared" si="59"/>
        <v>1.36107677597584</v>
      </c>
      <c r="CZ84" s="633">
        <f t="shared" si="60"/>
        <v>43.48640299242809</v>
      </c>
      <c r="DB84" s="857"/>
      <c r="DC84" s="857"/>
    </row>
    <row r="85" spans="1:107" ht="18.75" customHeight="1">
      <c r="A85" s="17" t="s">
        <v>439</v>
      </c>
      <c r="B85" s="508">
        <v>39142</v>
      </c>
      <c r="C85" s="43">
        <f t="shared" si="49"/>
        <v>2007</v>
      </c>
      <c r="D85" s="719">
        <f t="shared" si="96"/>
        <v>7</v>
      </c>
      <c r="E85" s="972">
        <v>22</v>
      </c>
      <c r="F85" s="971">
        <v>5</v>
      </c>
      <c r="G85" s="971">
        <v>4</v>
      </c>
      <c r="H85" s="971">
        <v>0</v>
      </c>
      <c r="I85" s="976">
        <f t="shared" si="70"/>
        <v>31</v>
      </c>
      <c r="J85" s="621"/>
      <c r="K85" s="572">
        <f>INDEX(FX!$A$3:$C$362,MATCH(B85,FX!$A$3:$A$362,0),MATCH("Monthly Curve",FX!$A$2:$C$2,0))</f>
        <v>1.3600914926724801</v>
      </c>
      <c r="L85" s="572"/>
      <c r="M85" s="1057">
        <v>2.9330000000000003</v>
      </c>
      <c r="N85" s="1067">
        <v>0.30499999999999999</v>
      </c>
      <c r="O85" s="315">
        <v>0.05</v>
      </c>
      <c r="P85" s="797">
        <f t="shared" si="51"/>
        <v>0.35499999999999998</v>
      </c>
      <c r="Q85" s="732">
        <f t="shared" si="52"/>
        <v>3.2880000000000003</v>
      </c>
      <c r="R85" s="723">
        <f>IF(A85="January",(R84+R84*Assumptions!$E$32),R84)</f>
        <v>0.33821555371182277</v>
      </c>
      <c r="S85" s="730">
        <f t="shared" si="53"/>
        <v>4.8101963816189377</v>
      </c>
      <c r="T85" s="572"/>
      <c r="U85" s="509"/>
      <c r="V85" s="584"/>
      <c r="W85" s="584"/>
      <c r="X85" s="461"/>
      <c r="Y85" s="588">
        <f>Tables!$D$36</f>
        <v>312</v>
      </c>
      <c r="Z85" s="570">
        <f t="shared" si="54"/>
        <v>0</v>
      </c>
      <c r="AA85" s="592">
        <f t="shared" si="55"/>
        <v>0</v>
      </c>
      <c r="AB85" s="589">
        <f t="shared" si="50"/>
        <v>0</v>
      </c>
      <c r="AC85" s="462"/>
      <c r="AD85" s="1027">
        <f>IF(Tables!$E$30="Michigan",INDEX('Michigan Curve'!$A$4:$S$256,MATCH('Monthly Table'!B85,'Michigan Curve'!$A$4:$A$256,0),MATCH("Michigan Selected Option Value US$/month",'Michigan Curve'!$A$4:$S$4,0)),INDEX('NY Curve'!$A$4:$T$256,MATCH('Monthly Table'!B85,'NY Curve'!$A$4:$A$256,0),MATCH("New York Selected Option Value US$/month",'NY Curve'!$A$4:$T$4,0)))</f>
        <v>34020.633298740468</v>
      </c>
      <c r="AE85" s="601">
        <f t="shared" si="71"/>
        <v>46271.173924947005</v>
      </c>
      <c r="AF85" s="462"/>
      <c r="AG85" s="915"/>
      <c r="AH85" s="462"/>
      <c r="AI85" s="799">
        <f>Assumptions!$B$50</f>
        <v>65</v>
      </c>
      <c r="AJ85" s="743"/>
      <c r="AK85" s="924">
        <f>IF(Tables!$E$30="Custom",'Monthly Table'!AI85,IF(Tables!$E$30="New York",INDEX('NY Curve'!$A$4:$G$256,MATCH('Monthly Table'!B85,'NY Curve'!$A$4:$A$256,0),MATCH("Super Peak Curve",'NY Curve'!$A$4:$G$4,0)),IF(Tables!$E$30="New York Flat",INDEX('NY Curve'!$A$4:$G$256,MATCH('Monthly Table'!B85,'NY Curve'!$A$4:$A$256,0),MATCH("Flat NY West",'NY Curve'!$A$4:$G$4,0)),INDEX('Michigan Curve'!$A$4:$F$256,MATCH('Monthly Table'!B85,'Michigan Curve'!$A$4:$A$256,0),MATCH("Michigan Super Peak Curve US$/MWhr",'Michigan Curve'!$A$4:$F$4,0)))))</f>
        <v>27.03</v>
      </c>
      <c r="AL85" s="965">
        <f>IF(D85&lt;=Tables!$B$21,IF($AL$10=$AI$10,AI85,IF($AL$10=$AJ$10,AJ85,IF($AL$10=$AK$10,AK85,0))),0)</f>
        <v>27.03</v>
      </c>
      <c r="AM85" s="708">
        <f t="shared" si="72"/>
        <v>36.763273046937137</v>
      </c>
      <c r="AN85" s="916">
        <f t="shared" si="73"/>
        <v>0</v>
      </c>
      <c r="AO85" s="905"/>
      <c r="AP85" s="925"/>
      <c r="AQ85" s="926">
        <f>IF(Tables!$E$30="New York",INDEX('NY Curve'!$A$4:$L$256,MATCH('Monthly Table'!B85,'NY Curve'!$A$4:$A$256,0),MATCH("New York Shoulder Hour Curve Mon-Fri",'NY Curve'!$A$4:$L$4,0)),IF(Tables!$E$30="Michigan",INDEX('Michigan Curve'!$A$4:$K$256,MATCH('Monthly Table'!B85,'Michigan Curve'!$A$4:$A$256,0),MATCH("Michigan Shoulder Hour Curve Mon-Fri",'Michigan Curve'!$A$4:$K$4,0))))</f>
        <v>25.97</v>
      </c>
      <c r="AR85" s="708">
        <f t="shared" si="74"/>
        <v>35.32157606470431</v>
      </c>
      <c r="AS85" s="927">
        <f t="shared" si="61"/>
        <v>0</v>
      </c>
      <c r="AT85" s="462"/>
      <c r="AU85" s="926">
        <f>IF(Tables!$E$30="New York",INDEX('NY Curve'!$A$4:$L$256,MATCH('Monthly Table'!$B85,'NY Curve'!$A$4:$A$256,0),MATCH("New York Saturday Super Peak",'NY Curve'!$A$4:$L$4,0)),IF(Tables!$E$30="Michigan",INDEX('Michigan Curve'!$A$4:$K$256,MATCH('Monthly Table'!$B85,'Michigan Curve'!$A$4:$A$256,0),MATCH("Michigan Saturday Super Peak",'Michigan Curve'!$A$4:$K$4,0))))</f>
        <v>20.399999999999999</v>
      </c>
      <c r="AV85" s="925">
        <f t="shared" si="62"/>
        <v>27.745866450518591</v>
      </c>
      <c r="AW85" s="927">
        <f t="shared" si="63"/>
        <v>0</v>
      </c>
      <c r="AX85" s="926">
        <f>IF(Tables!$E$30="New York",INDEX('NY Curve'!$A$4:$L$256,MATCH('Monthly Table'!$B85,'NY Curve'!$A$4:$A$256,0),MATCH("New York Saturday Shoulder Peak",'NY Curve'!$A$4:$L$4,0)),IF(Tables!$E$30="Michigan",INDEX('Michigan Curve'!$A$4:$K$256,MATCH('Monthly Table'!$B85,'Michigan Curve'!$A$4:$A$256,0),MATCH("Michigan Saturday Shoulder Peak",'Michigan Curve'!$A$4:$K$4,0))))</f>
        <v>19.600000000000001</v>
      </c>
      <c r="AY85" s="934">
        <f t="shared" si="75"/>
        <v>26.657793256380611</v>
      </c>
      <c r="AZ85" s="927">
        <f t="shared" si="64"/>
        <v>0</v>
      </c>
      <c r="BA85" s="462"/>
      <c r="BB85" s="926">
        <f>IF(Tables!$E$30="New York",INDEX('NY Curve'!$A$4:$M$256,MATCH('Monthly Table'!$B85,'NY Curve'!$A$4:$A$256,0),MATCH("NY Sunday Super Peak",'NY Curve'!$A$4:$M$4,0)),IF(Tables!$E$30="Michigan",INDEX('Michigan Curve'!$A$4:$L$256,MATCH('Monthly Table'!$B85,'Michigan Curve'!$A$4:$A$256,0),MATCH("Michigan Sunday Super Peak",'Michigan Curve'!$A$4:$L$4,0))))</f>
        <v>19.38</v>
      </c>
      <c r="BC85" s="925">
        <f t="shared" si="76"/>
        <v>26.358573127992663</v>
      </c>
      <c r="BD85" s="927">
        <f t="shared" si="65"/>
        <v>0</v>
      </c>
      <c r="BE85" s="462"/>
      <c r="BF85" s="598">
        <f t="shared" si="56"/>
        <v>39142</v>
      </c>
      <c r="BG85" s="583">
        <f t="shared" si="77"/>
        <v>0</v>
      </c>
      <c r="BH85" s="764">
        <f>IF(Tables!$B$36="Combined Cycle",(BF85-BF84)*24*Assumptions!$B$21,0)</f>
        <v>0</v>
      </c>
      <c r="BI85" s="315">
        <f t="shared" si="78"/>
        <v>0</v>
      </c>
      <c r="BJ85" s="987">
        <f>IF('Monthly Table'!D85&lt;=Tables!$B$21,IF($BJ$10=$BG$10,BG85,IF($BJ$10=$BH$10,BH85,IF($BJ$10=$BI$10,BI85,0))),0)</f>
        <v>0</v>
      </c>
      <c r="BK85" s="43"/>
      <c r="BL85" s="987">
        <f t="shared" si="79"/>
        <v>0</v>
      </c>
      <c r="BM85" s="987">
        <f t="shared" si="80"/>
        <v>0</v>
      </c>
      <c r="BO85" s="987">
        <f t="shared" si="66"/>
        <v>0</v>
      </c>
      <c r="BP85" s="987">
        <f t="shared" si="81"/>
        <v>0</v>
      </c>
      <c r="BR85" s="993">
        <f>IF(BJ85&gt;0,INDEX(OperationalDetail,MATCH("Capacity Degradation",ODColumn,0),MATCH('Monthly Table'!C85,ODRow,0)),0)</f>
        <v>0</v>
      </c>
      <c r="BS85" s="994">
        <f>BJ85*(1-BR85)*Tables!$C$36</f>
        <v>0</v>
      </c>
      <c r="BT85" s="601">
        <f t="shared" si="67"/>
        <v>0</v>
      </c>
      <c r="BU85" s="601">
        <f t="shared" si="68"/>
        <v>0</v>
      </c>
      <c r="BV85" s="462"/>
      <c r="BW85" s="785">
        <f>$BO85*(1-$BR85)*Tables!$C$36</f>
        <v>0</v>
      </c>
      <c r="BX85" s="602">
        <f t="shared" si="82"/>
        <v>0</v>
      </c>
      <c r="BY85" s="601">
        <f t="shared" si="83"/>
        <v>0</v>
      </c>
      <c r="BZ85" s="462"/>
      <c r="CA85" s="785">
        <f>$BL85*(1-$BR85)*Tables!$C$36</f>
        <v>0</v>
      </c>
      <c r="CB85" s="602">
        <f t="shared" si="84"/>
        <v>0</v>
      </c>
      <c r="CC85" s="601">
        <f t="shared" si="85"/>
        <v>0</v>
      </c>
      <c r="CD85" s="785">
        <f>$BP85*(1-$BR85)*Tables!$C$36</f>
        <v>0</v>
      </c>
      <c r="CE85" s="602">
        <f t="shared" si="86"/>
        <v>0</v>
      </c>
      <c r="CF85" s="601">
        <f t="shared" si="87"/>
        <v>0</v>
      </c>
      <c r="CH85" s="785">
        <f>$BM85*(1-$BR85)*Tables!$C$36</f>
        <v>0</v>
      </c>
      <c r="CI85" s="602">
        <f t="shared" si="88"/>
        <v>0</v>
      </c>
      <c r="CJ85" s="601">
        <f t="shared" si="89"/>
        <v>0</v>
      </c>
      <c r="CK85" s="304"/>
      <c r="CL85" s="304">
        <f t="shared" si="90"/>
        <v>2006</v>
      </c>
      <c r="CM85" s="1018">
        <f>INDEX(OperationalDetail,MATCH("Degraded Heat Rate",ODColumn,0),MATCH('Monthly Table'!CL85,ODRow,0))/1000</f>
        <v>11.985833599999999</v>
      </c>
      <c r="CN85" s="737">
        <f t="shared" si="69"/>
        <v>57.65421341340668</v>
      </c>
      <c r="CO85" s="1019">
        <f>IF(A85="January",(CO84*(1+Assumptions!$E$32)),CO84)</f>
        <v>7.5854077452550825</v>
      </c>
      <c r="CP85" s="741">
        <f t="shared" si="57"/>
        <v>65.239621158661762</v>
      </c>
      <c r="CQ85" s="304"/>
      <c r="CR85" s="575" t="str">
        <f t="shared" si="91"/>
        <v/>
      </c>
      <c r="CS85" s="575" t="str">
        <f t="shared" si="92"/>
        <v/>
      </c>
      <c r="CT85" s="575" t="str">
        <f t="shared" si="93"/>
        <v/>
      </c>
      <c r="CU85" s="575" t="str">
        <f t="shared" si="94"/>
        <v/>
      </c>
      <c r="CV85" s="575" t="str">
        <f t="shared" si="95"/>
        <v/>
      </c>
      <c r="CW85" s="576">
        <f t="shared" si="58"/>
        <v>2007</v>
      </c>
      <c r="CX85" s="787">
        <f>INDEX('NY Curve'!$A$4:$G$256,MATCH('Monthly Table'!B85,'NY Curve'!$A$4:$A$256,0),MATCH("New York 5 X 16",'NY Curve'!$A$4:$G$4,0))</f>
        <v>26.95</v>
      </c>
      <c r="CY85" s="632">
        <f t="shared" si="59"/>
        <v>1.3600914926724801</v>
      </c>
      <c r="CZ85" s="633">
        <f t="shared" si="60"/>
        <v>36.654465727523338</v>
      </c>
      <c r="DB85" s="857"/>
      <c r="DC85" s="857"/>
    </row>
    <row r="86" spans="1:107" ht="18.75" customHeight="1">
      <c r="A86" s="17" t="s">
        <v>440</v>
      </c>
      <c r="B86" s="508">
        <v>39173</v>
      </c>
      <c r="C86" s="43">
        <f t="shared" si="49"/>
        <v>2007</v>
      </c>
      <c r="D86" s="719">
        <f t="shared" si="96"/>
        <v>7</v>
      </c>
      <c r="E86" s="972">
        <v>21</v>
      </c>
      <c r="F86" s="971">
        <v>4</v>
      </c>
      <c r="G86" s="971">
        <v>5</v>
      </c>
      <c r="H86" s="971">
        <v>0</v>
      </c>
      <c r="I86" s="976">
        <f t="shared" si="70"/>
        <v>30</v>
      </c>
      <c r="J86" s="621"/>
      <c r="K86" s="572">
        <f>INDEX(FX!$A$3:$C$362,MATCH(B86,FX!$A$3:$A$362,0),MATCH("Monthly Curve",FX!$A$2:$C$2,0))</f>
        <v>1.3590017030021999</v>
      </c>
      <c r="L86" s="572"/>
      <c r="M86" s="1057">
        <v>2.8655000000000004</v>
      </c>
      <c r="N86" s="1067">
        <v>0.14000000000000001</v>
      </c>
      <c r="O86" s="315">
        <v>0.05</v>
      </c>
      <c r="P86" s="797">
        <f t="shared" si="51"/>
        <v>0.19</v>
      </c>
      <c r="Q86" s="732">
        <f t="shared" si="52"/>
        <v>3.0555000000000003</v>
      </c>
      <c r="R86" s="723">
        <f>IF(A86="January",(R85+R85*Assumptions!$E$32),R85)</f>
        <v>0.33821555371182277</v>
      </c>
      <c r="S86" s="730">
        <f t="shared" si="53"/>
        <v>4.4906452572350455</v>
      </c>
      <c r="T86" s="572"/>
      <c r="U86" s="509"/>
      <c r="V86" s="584"/>
      <c r="W86" s="584"/>
      <c r="X86" s="461"/>
      <c r="Y86" s="588">
        <f>Tables!$D$36</f>
        <v>312</v>
      </c>
      <c r="Z86" s="570">
        <f t="shared" si="54"/>
        <v>0</v>
      </c>
      <c r="AA86" s="592">
        <f t="shared" si="55"/>
        <v>0</v>
      </c>
      <c r="AB86" s="589">
        <f t="shared" si="50"/>
        <v>0</v>
      </c>
      <c r="AC86" s="462"/>
      <c r="AD86" s="1027">
        <f>IF(Tables!$E$30="Michigan",INDEX('Michigan Curve'!$A$4:$S$256,MATCH('Monthly Table'!B86,'Michigan Curve'!$A$4:$A$256,0),MATCH("Michigan Selected Option Value US$/month",'Michigan Curve'!$A$4:$S$4,0)),INDEX('NY Curve'!$A$4:$T$256,MATCH('Monthly Table'!B86,'NY Curve'!$A$4:$A$256,0),MATCH("New York Selected Option Value US$/month",'NY Curve'!$A$4:$T$4,0)))</f>
        <v>43379.827154056613</v>
      </c>
      <c r="AE86" s="601">
        <f t="shared" si="71"/>
        <v>58953.258978304009</v>
      </c>
      <c r="AF86" s="462"/>
      <c r="AG86" s="915"/>
      <c r="AH86" s="462"/>
      <c r="AI86" s="799">
        <f>Assumptions!$B$50</f>
        <v>65</v>
      </c>
      <c r="AJ86" s="743"/>
      <c r="AK86" s="924">
        <f>IF(Tables!$E$30="Custom",'Monthly Table'!AI86,IF(Tables!$E$30="New York",INDEX('NY Curve'!$A$4:$G$256,MATCH('Monthly Table'!B86,'NY Curve'!$A$4:$A$256,0),MATCH("Super Peak Curve",'NY Curve'!$A$4:$G$4,0)),IF(Tables!$E$30="New York Flat",INDEX('NY Curve'!$A$4:$G$256,MATCH('Monthly Table'!B86,'NY Curve'!$A$4:$A$256,0),MATCH("Flat NY West",'NY Curve'!$A$4:$G$4,0)),INDEX('Michigan Curve'!$A$4:$F$256,MATCH('Monthly Table'!B86,'Michigan Curve'!$A$4:$A$256,0),MATCH("Michigan Super Peak Curve US$/MWhr",'Michigan Curve'!$A$4:$F$4,0)))))</f>
        <v>26.75</v>
      </c>
      <c r="AL86" s="965">
        <f>IF(D86&lt;=Tables!$B$21,IF($AL$10=$AI$10,AI86,IF($AL$10=$AJ$10,AJ86,IF($AL$10=$AK$10,AK86,0))),0)</f>
        <v>26.75</v>
      </c>
      <c r="AM86" s="708">
        <f t="shared" si="72"/>
        <v>36.353295555308847</v>
      </c>
      <c r="AN86" s="916">
        <f t="shared" si="73"/>
        <v>0</v>
      </c>
      <c r="AO86" s="905"/>
      <c r="AP86" s="925"/>
      <c r="AQ86" s="926">
        <f>IF(Tables!$E$30="New York",INDEX('NY Curve'!$A$4:$L$256,MATCH('Monthly Table'!B86,'NY Curve'!$A$4:$A$256,0),MATCH("New York Shoulder Hour Curve Mon-Fri",'NY Curve'!$A$4:$L$4,0)),IF(Tables!$E$30="Michigan",INDEX('Michigan Curve'!$A$4:$K$256,MATCH('Monthly Table'!B86,'Michigan Curve'!$A$4:$A$256,0),MATCH("Michigan Shoulder Hour Curve Mon-Fri",'Michigan Curve'!$A$4:$K$4,0))))</f>
        <v>26.75</v>
      </c>
      <c r="AR86" s="708">
        <f t="shared" si="74"/>
        <v>36.353295555308847</v>
      </c>
      <c r="AS86" s="927">
        <f t="shared" si="61"/>
        <v>0</v>
      </c>
      <c r="AT86" s="462"/>
      <c r="AU86" s="926">
        <f>IF(Tables!$E$30="New York",INDEX('NY Curve'!$A$4:$L$256,MATCH('Monthly Table'!$B86,'NY Curve'!$A$4:$A$256,0),MATCH("New York Saturday Super Peak",'NY Curve'!$A$4:$L$4,0)),IF(Tables!$E$30="Michigan",INDEX('Michigan Curve'!$A$4:$K$256,MATCH('Monthly Table'!$B86,'Michigan Curve'!$A$4:$A$256,0),MATCH("Michigan Saturday Super Peak",'Michigan Curve'!$A$4:$K$4,0))))</f>
        <v>20</v>
      </c>
      <c r="AV86" s="925">
        <f t="shared" si="62"/>
        <v>27.180034060043997</v>
      </c>
      <c r="AW86" s="927">
        <f t="shared" si="63"/>
        <v>0</v>
      </c>
      <c r="AX86" s="926">
        <f>IF(Tables!$E$30="New York",INDEX('NY Curve'!$A$4:$L$256,MATCH('Monthly Table'!$B86,'NY Curve'!$A$4:$A$256,0),MATCH("New York Saturday Shoulder Peak",'NY Curve'!$A$4:$L$4,0)),IF(Tables!$E$30="Michigan",INDEX('Michigan Curve'!$A$4:$K$256,MATCH('Monthly Table'!$B86,'Michigan Curve'!$A$4:$A$256,0),MATCH("Michigan Saturday Shoulder Peak",'Michigan Curve'!$A$4:$K$4,0))))</f>
        <v>20</v>
      </c>
      <c r="AY86" s="934">
        <f t="shared" si="75"/>
        <v>27.180034060043997</v>
      </c>
      <c r="AZ86" s="927">
        <f t="shared" si="64"/>
        <v>0</v>
      </c>
      <c r="BA86" s="462"/>
      <c r="BB86" s="926">
        <f>IF(Tables!$E$30="New York",INDEX('NY Curve'!$A$4:$M$256,MATCH('Monthly Table'!$B86,'NY Curve'!$A$4:$A$256,0),MATCH("NY Sunday Super Peak",'NY Curve'!$A$4:$M$4,0)),IF(Tables!$E$30="Michigan",INDEX('Michigan Curve'!$A$4:$L$256,MATCH('Monthly Table'!$B86,'Michigan Curve'!$A$4:$A$256,0),MATCH("Michigan Sunday Super Peak",'Michigan Curve'!$A$4:$L$4,0))))</f>
        <v>18.995000839233398</v>
      </c>
      <c r="BC86" s="925">
        <f t="shared" si="76"/>
        <v>25.814238489046406</v>
      </c>
      <c r="BD86" s="927">
        <f t="shared" si="65"/>
        <v>0</v>
      </c>
      <c r="BE86" s="462"/>
      <c r="BF86" s="598">
        <f t="shared" si="56"/>
        <v>39173</v>
      </c>
      <c r="BG86" s="583">
        <f t="shared" si="77"/>
        <v>0</v>
      </c>
      <c r="BH86" s="764">
        <f>IF(Tables!$B$36="Combined Cycle",(BF86-BF85)*24*Assumptions!$B$21,0)</f>
        <v>0</v>
      </c>
      <c r="BI86" s="315">
        <f t="shared" si="78"/>
        <v>0</v>
      </c>
      <c r="BJ86" s="987">
        <f>IF('Monthly Table'!D86&lt;=Tables!$B$21,IF($BJ$10=$BG$10,BG86,IF($BJ$10=$BH$10,BH86,IF($BJ$10=$BI$10,BI86,0))),0)</f>
        <v>0</v>
      </c>
      <c r="BK86" s="43"/>
      <c r="BL86" s="987">
        <f t="shared" si="79"/>
        <v>0</v>
      </c>
      <c r="BM86" s="987">
        <f t="shared" si="80"/>
        <v>0</v>
      </c>
      <c r="BO86" s="987">
        <f t="shared" si="66"/>
        <v>0</v>
      </c>
      <c r="BP86" s="987">
        <f t="shared" si="81"/>
        <v>0</v>
      </c>
      <c r="BR86" s="993">
        <f>IF(BJ86&gt;0,INDEX(OperationalDetail,MATCH("Capacity Degradation",ODColumn,0),MATCH('Monthly Table'!C86,ODRow,0)),0)</f>
        <v>0</v>
      </c>
      <c r="BS86" s="994">
        <f>BJ86*(1-BR86)*Tables!$C$36</f>
        <v>0</v>
      </c>
      <c r="BT86" s="601">
        <f t="shared" si="67"/>
        <v>0</v>
      </c>
      <c r="BU86" s="601">
        <f t="shared" si="68"/>
        <v>0</v>
      </c>
      <c r="BV86" s="462"/>
      <c r="BW86" s="785">
        <f>$BO86*(1-$BR86)*Tables!$C$36</f>
        <v>0</v>
      </c>
      <c r="BX86" s="602">
        <f t="shared" si="82"/>
        <v>0</v>
      </c>
      <c r="BY86" s="601">
        <f t="shared" si="83"/>
        <v>0</v>
      </c>
      <c r="BZ86" s="462"/>
      <c r="CA86" s="785">
        <f>$BL86*(1-$BR86)*Tables!$C$36</f>
        <v>0</v>
      </c>
      <c r="CB86" s="602">
        <f t="shared" si="84"/>
        <v>0</v>
      </c>
      <c r="CC86" s="601">
        <f t="shared" si="85"/>
        <v>0</v>
      </c>
      <c r="CD86" s="785">
        <f>$BP86*(1-$BR86)*Tables!$C$36</f>
        <v>0</v>
      </c>
      <c r="CE86" s="602">
        <f t="shared" si="86"/>
        <v>0</v>
      </c>
      <c r="CF86" s="601">
        <f t="shared" si="87"/>
        <v>0</v>
      </c>
      <c r="CH86" s="785">
        <f>$BM86*(1-$BR86)*Tables!$C$36</f>
        <v>0</v>
      </c>
      <c r="CI86" s="602">
        <f t="shared" si="88"/>
        <v>0</v>
      </c>
      <c r="CJ86" s="601">
        <f t="shared" si="89"/>
        <v>0</v>
      </c>
      <c r="CK86" s="304"/>
      <c r="CL86" s="304">
        <f t="shared" si="90"/>
        <v>2006</v>
      </c>
      <c r="CM86" s="1018">
        <f>INDEX(OperationalDetail,MATCH("Degraded Heat Rate",ODColumn,0),MATCH('Monthly Table'!CL86,ODRow,0))/1000</f>
        <v>11.985833599999999</v>
      </c>
      <c r="CN86" s="737">
        <f t="shared" si="69"/>
        <v>53.824126809848451</v>
      </c>
      <c r="CO86" s="1019">
        <f>IF(A86="January",(CO85*(1+Assumptions!$E$32)),CO85)</f>
        <v>7.5854077452550825</v>
      </c>
      <c r="CP86" s="741">
        <f t="shared" si="57"/>
        <v>61.409534555103534</v>
      </c>
      <c r="CQ86" s="304"/>
      <c r="CR86" s="575" t="str">
        <f t="shared" si="91"/>
        <v/>
      </c>
      <c r="CS86" s="575" t="str">
        <f t="shared" si="92"/>
        <v/>
      </c>
      <c r="CT86" s="575" t="str">
        <f t="shared" si="93"/>
        <v/>
      </c>
      <c r="CU86" s="575" t="str">
        <f t="shared" si="94"/>
        <v/>
      </c>
      <c r="CV86" s="575" t="str">
        <f t="shared" si="95"/>
        <v/>
      </c>
      <c r="CW86" s="576">
        <f t="shared" si="58"/>
        <v>2007</v>
      </c>
      <c r="CX86" s="787">
        <f>INDEX('NY Curve'!$A$4:$G$256,MATCH('Monthly Table'!B86,'NY Curve'!$A$4:$A$256,0),MATCH("New York 5 X 16",'NY Curve'!$A$4:$G$4,0))</f>
        <v>25.7</v>
      </c>
      <c r="CY86" s="632">
        <f t="shared" si="59"/>
        <v>1.3590017030021999</v>
      </c>
      <c r="CZ86" s="633">
        <f t="shared" si="60"/>
        <v>34.926343767156538</v>
      </c>
      <c r="DB86" s="857"/>
      <c r="DC86" s="857"/>
    </row>
    <row r="87" spans="1:107" ht="18.75" customHeight="1">
      <c r="A87" s="17" t="s">
        <v>441</v>
      </c>
      <c r="B87" s="508">
        <v>39203</v>
      </c>
      <c r="C87" s="43">
        <f t="shared" si="49"/>
        <v>2007</v>
      </c>
      <c r="D87" s="719">
        <f t="shared" si="96"/>
        <v>7</v>
      </c>
      <c r="E87" s="972">
        <v>22</v>
      </c>
      <c r="F87" s="971">
        <v>4</v>
      </c>
      <c r="G87" s="971">
        <v>4</v>
      </c>
      <c r="H87" s="971">
        <v>1</v>
      </c>
      <c r="I87" s="976">
        <f t="shared" si="70"/>
        <v>31</v>
      </c>
      <c r="J87" s="621"/>
      <c r="K87" s="572">
        <f>INDEX(FX!$A$3:$C$362,MATCH(B87,FX!$A$3:$A$362,0),MATCH("Monthly Curve",FX!$A$2:$C$2,0))</f>
        <v>1.3580416565022999</v>
      </c>
      <c r="L87" s="572"/>
      <c r="M87" s="1057">
        <v>2.8395000000000001</v>
      </c>
      <c r="N87" s="1067">
        <v>0.14000000000000001</v>
      </c>
      <c r="O87" s="315">
        <v>0.05</v>
      </c>
      <c r="P87" s="797">
        <f t="shared" si="51"/>
        <v>0.19</v>
      </c>
      <c r="Q87" s="732">
        <f t="shared" si="52"/>
        <v>3.0295000000000001</v>
      </c>
      <c r="R87" s="723">
        <f>IF(A87="January",(R86+R86*Assumptions!$E$32),R86)</f>
        <v>0.33821555371182277</v>
      </c>
      <c r="S87" s="730">
        <f t="shared" si="53"/>
        <v>4.4524027520855407</v>
      </c>
      <c r="T87" s="572"/>
      <c r="U87" s="509"/>
      <c r="V87" s="584"/>
      <c r="W87" s="584"/>
      <c r="X87" s="461"/>
      <c r="Y87" s="588">
        <f>Tables!$D$36</f>
        <v>312</v>
      </c>
      <c r="Z87" s="570">
        <f t="shared" si="54"/>
        <v>0</v>
      </c>
      <c r="AA87" s="592">
        <f t="shared" si="55"/>
        <v>0</v>
      </c>
      <c r="AB87" s="589">
        <f t="shared" si="50"/>
        <v>0</v>
      </c>
      <c r="AC87" s="462"/>
      <c r="AD87" s="1027">
        <f>IF(Tables!$E$30="Michigan",INDEX('Michigan Curve'!$A$4:$S$256,MATCH('Monthly Table'!B87,'Michigan Curve'!$A$4:$A$256,0),MATCH("Michigan Selected Option Value US$/month",'Michigan Curve'!$A$4:$S$4,0)),INDEX('NY Curve'!$A$4:$T$256,MATCH('Monthly Table'!B87,'NY Curve'!$A$4:$A$256,0),MATCH("New York Selected Option Value US$/month",'NY Curve'!$A$4:$T$4,0)))</f>
        <v>98299.158929149766</v>
      </c>
      <c r="AE87" s="601">
        <f t="shared" si="71"/>
        <v>133494.35262492541</v>
      </c>
      <c r="AF87" s="462"/>
      <c r="AG87" s="915"/>
      <c r="AH87" s="462"/>
      <c r="AI87" s="799">
        <f>Assumptions!$B$50</f>
        <v>65</v>
      </c>
      <c r="AJ87" s="743"/>
      <c r="AK87" s="924">
        <f>IF(Tables!$E$30="Custom",'Monthly Table'!AI87,IF(Tables!$E$30="New York",INDEX('NY Curve'!$A$4:$G$256,MATCH('Monthly Table'!B87,'NY Curve'!$A$4:$A$256,0),MATCH("Super Peak Curve",'NY Curve'!$A$4:$G$4,0)),IF(Tables!$E$30="New York Flat",INDEX('NY Curve'!$A$4:$G$256,MATCH('Monthly Table'!B87,'NY Curve'!$A$4:$A$256,0),MATCH("Flat NY West",'NY Curve'!$A$4:$G$4,0)),INDEX('Michigan Curve'!$A$4:$F$256,MATCH('Monthly Table'!B87,'Michigan Curve'!$A$4:$A$256,0),MATCH("Michigan Super Peak Curve US$/MWhr",'Michigan Curve'!$A$4:$F$4,0)))))</f>
        <v>32.82562505453825</v>
      </c>
      <c r="AL87" s="965">
        <f>IF(D87&lt;=Tables!$B$21,IF($AL$10=$AI$10,AI87,IF($AL$10=$AJ$10,AJ87,IF($AL$10=$AK$10,AK87,0))),0)</f>
        <v>32.82562505453825</v>
      </c>
      <c r="AM87" s="708">
        <f t="shared" si="72"/>
        <v>44.578566224788524</v>
      </c>
      <c r="AN87" s="916">
        <f t="shared" si="73"/>
        <v>0</v>
      </c>
      <c r="AO87" s="905"/>
      <c r="AP87" s="925"/>
      <c r="AQ87" s="926">
        <f>IF(Tables!$E$30="New York",INDEX('NY Curve'!$A$4:$L$256,MATCH('Monthly Table'!B87,'NY Curve'!$A$4:$A$256,0),MATCH("New York Shoulder Hour Curve Mon-Fri",'NY Curve'!$A$4:$L$4,0)),IF(Tables!$E$30="Michigan",INDEX('Michigan Curve'!$A$4:$K$256,MATCH('Monthly Table'!B87,'Michigan Curve'!$A$4:$A$256,0),MATCH("Michigan Shoulder Hour Curve Mon-Fri",'Michigan Curve'!$A$4:$K$4,0))))</f>
        <v>28.17437494546175</v>
      </c>
      <c r="AR87" s="708">
        <f t="shared" si="74"/>
        <v>38.261974821851773</v>
      </c>
      <c r="AS87" s="927">
        <f t="shared" si="61"/>
        <v>0</v>
      </c>
      <c r="AT87" s="462"/>
      <c r="AU87" s="926">
        <f>IF(Tables!$E$30="New York",INDEX('NY Curve'!$A$4:$L$256,MATCH('Monthly Table'!$B87,'NY Curve'!$A$4:$A$256,0),MATCH("New York Saturday Super Peak",'NY Curve'!$A$4:$L$4,0)),IF(Tables!$E$30="Michigan",INDEX('Michigan Curve'!$A$4:$K$256,MATCH('Monthly Table'!$B87,'Michigan Curve'!$A$4:$A$256,0),MATCH("Michigan Saturday Super Peak",'Michigan Curve'!$A$4:$K$4,0))))</f>
        <v>22.601250037550926</v>
      </c>
      <c r="AV87" s="925">
        <f t="shared" si="62"/>
        <v>30.693439040018326</v>
      </c>
      <c r="AW87" s="927">
        <f t="shared" si="63"/>
        <v>0</v>
      </c>
      <c r="AX87" s="926">
        <f>IF(Tables!$E$30="New York",INDEX('NY Curve'!$A$4:$L$256,MATCH('Monthly Table'!$B87,'NY Curve'!$A$4:$A$256,0),MATCH("New York Saturday Shoulder Peak",'NY Curve'!$A$4:$L$4,0)),IF(Tables!$E$30="Michigan",INDEX('Michigan Curve'!$A$4:$K$256,MATCH('Monthly Table'!$B87,'Michigan Curve'!$A$4:$A$256,0),MATCH("Michigan Saturday Shoulder Peak",'Michigan Curve'!$A$4:$K$4,0))))</f>
        <v>19.398749962449074</v>
      </c>
      <c r="AY87" s="934">
        <f t="shared" si="75"/>
        <v>26.344310533078268</v>
      </c>
      <c r="AZ87" s="927">
        <f t="shared" si="64"/>
        <v>0</v>
      </c>
      <c r="BA87" s="462"/>
      <c r="BB87" s="926">
        <f>IF(Tables!$E$30="New York",INDEX('NY Curve'!$A$4:$M$256,MATCH('Monthly Table'!$B87,'NY Curve'!$A$4:$A$256,0),MATCH("NY Sunday Super Peak",'NY Curve'!$A$4:$M$4,0)),IF(Tables!$E$30="Michigan",INDEX('Michigan Curve'!$A$4:$L$256,MATCH('Monthly Table'!$B87,'Michigan Curve'!$A$4:$A$256,0),MATCH("Michigan Sunday Super Peak",'Michigan Curve'!$A$4:$L$4,0))))</f>
        <v>21.530380382546781</v>
      </c>
      <c r="BC87" s="925">
        <f t="shared" si="76"/>
        <v>29.239153439838454</v>
      </c>
      <c r="BD87" s="927">
        <f t="shared" si="65"/>
        <v>0</v>
      </c>
      <c r="BE87" s="462"/>
      <c r="BF87" s="598">
        <f t="shared" si="56"/>
        <v>39203</v>
      </c>
      <c r="BG87" s="583">
        <f t="shared" si="77"/>
        <v>0</v>
      </c>
      <c r="BH87" s="764">
        <f>IF(Tables!$B$36="Combined Cycle",(BF87-BF86)*24*Assumptions!$B$21,0)</f>
        <v>0</v>
      </c>
      <c r="BI87" s="315">
        <f t="shared" si="78"/>
        <v>0</v>
      </c>
      <c r="BJ87" s="987">
        <f>IF('Monthly Table'!D87&lt;=Tables!$B$21,IF($BJ$10=$BG$10,BG87,IF($BJ$10=$BH$10,BH87,IF($BJ$10=$BI$10,BI87,0))),0)</f>
        <v>0</v>
      </c>
      <c r="BK87" s="43"/>
      <c r="BL87" s="987">
        <f t="shared" si="79"/>
        <v>0</v>
      </c>
      <c r="BM87" s="987">
        <f t="shared" si="80"/>
        <v>0</v>
      </c>
      <c r="BO87" s="987">
        <f t="shared" si="66"/>
        <v>0</v>
      </c>
      <c r="BP87" s="987">
        <f t="shared" si="81"/>
        <v>0</v>
      </c>
      <c r="BR87" s="993">
        <f>IF(BJ87&gt;0,INDEX(OperationalDetail,MATCH("Capacity Degradation",ODColumn,0),MATCH('Monthly Table'!C87,ODRow,0)),0)</f>
        <v>0</v>
      </c>
      <c r="BS87" s="994">
        <f>BJ87*(1-BR87)*Tables!$C$36</f>
        <v>0</v>
      </c>
      <c r="BT87" s="601">
        <f t="shared" si="67"/>
        <v>0</v>
      </c>
      <c r="BU87" s="601">
        <f t="shared" si="68"/>
        <v>0</v>
      </c>
      <c r="BV87" s="462"/>
      <c r="BW87" s="785">
        <f>$BO87*(1-$BR87)*Tables!$C$36</f>
        <v>0</v>
      </c>
      <c r="BX87" s="602">
        <f t="shared" si="82"/>
        <v>0</v>
      </c>
      <c r="BY87" s="601">
        <f t="shared" si="83"/>
        <v>0</v>
      </c>
      <c r="BZ87" s="462"/>
      <c r="CA87" s="785">
        <f>$BL87*(1-$BR87)*Tables!$C$36</f>
        <v>0</v>
      </c>
      <c r="CB87" s="602">
        <f t="shared" si="84"/>
        <v>0</v>
      </c>
      <c r="CC87" s="601">
        <f t="shared" si="85"/>
        <v>0</v>
      </c>
      <c r="CD87" s="785">
        <f>$BP87*(1-$BR87)*Tables!$C$36</f>
        <v>0</v>
      </c>
      <c r="CE87" s="602">
        <f t="shared" si="86"/>
        <v>0</v>
      </c>
      <c r="CF87" s="601">
        <f t="shared" si="87"/>
        <v>0</v>
      </c>
      <c r="CH87" s="785">
        <f>$BM87*(1-$BR87)*Tables!$C$36</f>
        <v>0</v>
      </c>
      <c r="CI87" s="602">
        <f t="shared" si="88"/>
        <v>0</v>
      </c>
      <c r="CJ87" s="601">
        <f t="shared" si="89"/>
        <v>0</v>
      </c>
      <c r="CK87" s="304"/>
      <c r="CL87" s="304">
        <f t="shared" si="90"/>
        <v>2006</v>
      </c>
      <c r="CM87" s="1018">
        <f>INDEX(OperationalDetail,MATCH("Degraded Heat Rate",ODColumn,0),MATCH('Monthly Table'!CL87,ODRow,0))/1000</f>
        <v>11.985833599999999</v>
      </c>
      <c r="CN87" s="737">
        <f t="shared" si="69"/>
        <v>53.365758506679342</v>
      </c>
      <c r="CO87" s="1019">
        <f>IF(A87="January",(CO86*(1+Assumptions!$E$32)),CO86)</f>
        <v>7.5854077452550825</v>
      </c>
      <c r="CP87" s="741">
        <f t="shared" si="57"/>
        <v>60.951166251934424</v>
      </c>
      <c r="CQ87" s="304"/>
      <c r="CR87" s="575" t="str">
        <f t="shared" si="91"/>
        <v/>
      </c>
      <c r="CS87" s="575" t="str">
        <f t="shared" si="92"/>
        <v/>
      </c>
      <c r="CT87" s="575" t="str">
        <f t="shared" si="93"/>
        <v/>
      </c>
      <c r="CU87" s="575" t="str">
        <f t="shared" si="94"/>
        <v/>
      </c>
      <c r="CV87" s="575" t="str">
        <f t="shared" si="95"/>
        <v/>
      </c>
      <c r="CW87" s="576">
        <f t="shared" si="58"/>
        <v>2007</v>
      </c>
      <c r="CX87" s="787">
        <f>INDEX('NY Curve'!$A$4:$G$256,MATCH('Monthly Table'!B87,'NY Curve'!$A$4:$A$256,0),MATCH("New York 5 X 16",'NY Curve'!$A$4:$G$4,0))</f>
        <v>29.95</v>
      </c>
      <c r="CY87" s="632">
        <f t="shared" si="59"/>
        <v>1.3580416565022999</v>
      </c>
      <c r="CZ87" s="633">
        <f t="shared" si="60"/>
        <v>40.67334761224388</v>
      </c>
      <c r="DB87" s="857"/>
      <c r="DC87" s="857"/>
    </row>
    <row r="88" spans="1:107" ht="18.75" customHeight="1">
      <c r="A88" s="17" t="s">
        <v>442</v>
      </c>
      <c r="B88" s="508">
        <v>39234</v>
      </c>
      <c r="C88" s="43">
        <f t="shared" si="49"/>
        <v>2007</v>
      </c>
      <c r="D88" s="719">
        <f t="shared" si="96"/>
        <v>7</v>
      </c>
      <c r="E88" s="972">
        <v>21</v>
      </c>
      <c r="F88" s="971">
        <v>5</v>
      </c>
      <c r="G88" s="971">
        <v>4</v>
      </c>
      <c r="H88" s="971">
        <v>0</v>
      </c>
      <c r="I88" s="976">
        <f t="shared" si="70"/>
        <v>30</v>
      </c>
      <c r="J88" s="621"/>
      <c r="K88" s="572">
        <f>INDEX(FX!$A$3:$C$362,MATCH(B88,FX!$A$3:$A$362,0),MATCH("Monthly Curve",FX!$A$2:$C$2,0))</f>
        <v>1.3570947245203799</v>
      </c>
      <c r="L88" s="572"/>
      <c r="M88" s="1057">
        <v>2.8485000000000005</v>
      </c>
      <c r="N88" s="1067">
        <v>0.14000000000000001</v>
      </c>
      <c r="O88" s="315">
        <v>0.05</v>
      </c>
      <c r="P88" s="797">
        <f t="shared" si="51"/>
        <v>0.19</v>
      </c>
      <c r="Q88" s="732">
        <f t="shared" si="52"/>
        <v>3.0385000000000004</v>
      </c>
      <c r="R88" s="723">
        <f>IF(A88="January",(R87+R87*Assumptions!$E$32),R87)</f>
        <v>0.33821555371182277</v>
      </c>
      <c r="S88" s="730">
        <f t="shared" si="53"/>
        <v>4.4617478741669983</v>
      </c>
      <c r="T88" s="572"/>
      <c r="U88" s="567"/>
      <c r="V88" s="585"/>
      <c r="W88" s="585"/>
      <c r="X88" s="818"/>
      <c r="Y88" s="588">
        <f>Tables!$D$36</f>
        <v>312</v>
      </c>
      <c r="Z88" s="570">
        <f t="shared" si="54"/>
        <v>0</v>
      </c>
      <c r="AA88" s="592">
        <f t="shared" si="55"/>
        <v>0</v>
      </c>
      <c r="AB88" s="589">
        <f t="shared" si="50"/>
        <v>0</v>
      </c>
      <c r="AC88" s="462"/>
      <c r="AD88" s="1027">
        <f>IF(Tables!$E$30="Michigan",INDEX('Michigan Curve'!$A$4:$S$256,MATCH('Monthly Table'!B88,'Michigan Curve'!$A$4:$A$256,0),MATCH("Michigan Selected Option Value US$/month",'Michigan Curve'!$A$4:$S$4,0)),INDEX('NY Curve'!$A$4:$T$256,MATCH('Monthly Table'!B88,'NY Curve'!$A$4:$A$256,0),MATCH("New York Selected Option Value US$/month",'NY Curve'!$A$4:$T$4,0)))</f>
        <v>240979.68679705425</v>
      </c>
      <c r="AE88" s="601">
        <f t="shared" si="71"/>
        <v>327032.26166885579</v>
      </c>
      <c r="AF88" s="462"/>
      <c r="AG88" s="915"/>
      <c r="AH88" s="462"/>
      <c r="AI88" s="799">
        <f>Assumptions!$B$50</f>
        <v>65</v>
      </c>
      <c r="AJ88" s="743"/>
      <c r="AK88" s="924">
        <f>IF(Tables!$E$30="Custom",'Monthly Table'!AI88,IF(Tables!$E$30="New York",INDEX('NY Curve'!$A$4:$G$256,MATCH('Monthly Table'!B88,'NY Curve'!$A$4:$A$256,0),MATCH("Super Peak Curve",'NY Curve'!$A$4:$G$4,0)),IF(Tables!$E$30="New York Flat",INDEX('NY Curve'!$A$4:$G$256,MATCH('Monthly Table'!B88,'NY Curve'!$A$4:$A$256,0),MATCH("Flat NY West",'NY Curve'!$A$4:$G$4,0)),INDEX('Michigan Curve'!$A$4:$F$256,MATCH('Monthly Table'!B88,'Michigan Curve'!$A$4:$A$256,0),MATCH("Michigan Super Peak Curve US$/MWhr",'Michigan Curve'!$A$4:$F$4,0)))))</f>
        <v>74.488445165384064</v>
      </c>
      <c r="AL88" s="965">
        <f>IF(D88&lt;=Tables!$B$21,IF($AL$10=$AI$10,AI88,IF($AL$10=$AJ$10,AJ88,IF($AL$10=$AK$10,AK88,0))),0)</f>
        <v>74.488445165384064</v>
      </c>
      <c r="AM88" s="708">
        <f t="shared" si="72"/>
        <v>101.08787597166831</v>
      </c>
      <c r="AN88" s="916">
        <f t="shared" si="73"/>
        <v>1</v>
      </c>
      <c r="AO88" s="905"/>
      <c r="AP88" s="925"/>
      <c r="AQ88" s="926">
        <f>IF(Tables!$E$30="New York",INDEX('NY Curve'!$A$4:$L$256,MATCH('Monthly Table'!B88,'NY Curve'!$A$4:$A$256,0),MATCH("New York Shoulder Hour Curve Mon-Fri",'NY Curve'!$A$4:$L$4,0)),IF(Tables!$E$30="Michigan",INDEX('Michigan Curve'!$A$4:$K$256,MATCH('Monthly Table'!B88,'Michigan Curve'!$A$4:$A$256,0),MATCH("Michigan Shoulder Hour Curve Mon-Fri",'Michigan Curve'!$A$4:$K$4,0))))</f>
        <v>22.011554834615943</v>
      </c>
      <c r="AR88" s="708">
        <f t="shared" si="74"/>
        <v>29.87176494454836</v>
      </c>
      <c r="AS88" s="927">
        <f t="shared" si="61"/>
        <v>0</v>
      </c>
      <c r="AT88" s="462"/>
      <c r="AU88" s="926">
        <f>IF(Tables!$E$30="New York",INDEX('NY Curve'!$A$4:$L$256,MATCH('Monthly Table'!$B88,'NY Curve'!$A$4:$A$256,0),MATCH("New York Saturday Super Peak",'NY Curve'!$A$4:$L$4,0)),IF(Tables!$E$30="Michigan",INDEX('Michigan Curve'!$A$4:$K$256,MATCH('Monthly Table'!$B88,'Michigan Curve'!$A$4:$A$256,0),MATCH("Michigan Saturday Super Peak",'Michigan Curve'!$A$4:$K$4,0))))</f>
        <v>40.138851280828717</v>
      </c>
      <c r="AV88" s="925">
        <f t="shared" si="62"/>
        <v>54.472223321520751</v>
      </c>
      <c r="AW88" s="927">
        <f t="shared" si="63"/>
        <v>0</v>
      </c>
      <c r="AX88" s="926">
        <f>IF(Tables!$E$30="New York",INDEX('NY Curve'!$A$4:$L$256,MATCH('Monthly Table'!$B88,'NY Curve'!$A$4:$A$256,0),MATCH("New York Saturday Shoulder Peak",'NY Curve'!$A$4:$L$4,0)),IF(Tables!$E$30="Michigan",INDEX('Michigan Curve'!$A$4:$K$256,MATCH('Monthly Table'!$B88,'Michigan Curve'!$A$4:$A$256,0),MATCH("Michigan Saturday Shoulder Peak",'Michigan Curve'!$A$4:$K$4,0))))</f>
        <v>11.861148719171286</v>
      </c>
      <c r="AY88" s="934">
        <f t="shared" si="75"/>
        <v>16.096702353539015</v>
      </c>
      <c r="AZ88" s="927">
        <f t="shared" si="64"/>
        <v>0</v>
      </c>
      <c r="BA88" s="462"/>
      <c r="BB88" s="926">
        <f>IF(Tables!$E$30="New York",INDEX('NY Curve'!$A$4:$M$256,MATCH('Monthly Table'!$B88,'NY Curve'!$A$4:$A$256,0),MATCH("NY Sunday Super Peak",'NY Curve'!$A$4:$M$4,0)),IF(Tables!$E$30="Michigan",INDEX('Michigan Curve'!$A$4:$L$256,MATCH('Monthly Table'!$B88,'Michigan Curve'!$A$4:$A$256,0),MATCH("Michigan Sunday Super Peak",'Michigan Curve'!$A$4:$L$4,0))))</f>
        <v>37.051247336149586</v>
      </c>
      <c r="BC88" s="925">
        <f t="shared" si="76"/>
        <v>50.282052296788386</v>
      </c>
      <c r="BD88" s="927">
        <f t="shared" si="65"/>
        <v>0</v>
      </c>
      <c r="BE88" s="462"/>
      <c r="BF88" s="598">
        <f t="shared" si="56"/>
        <v>39234</v>
      </c>
      <c r="BG88" s="583">
        <f t="shared" si="77"/>
        <v>168</v>
      </c>
      <c r="BH88" s="764">
        <f>IF(Tables!$B$36="Combined Cycle",(BF88-BF87)*24*Assumptions!$B$21,0)</f>
        <v>0</v>
      </c>
      <c r="BI88" s="315">
        <f t="shared" si="78"/>
        <v>168</v>
      </c>
      <c r="BJ88" s="987">
        <f>IF('Monthly Table'!D88&lt;=Tables!$B$21,IF($BJ$10=$BG$10,BG88,IF($BJ$10=$BH$10,BH88,IF($BJ$10=$BI$10,BI88,0))),0)</f>
        <v>168</v>
      </c>
      <c r="BK88" s="43"/>
      <c r="BL88" s="987">
        <f t="shared" si="79"/>
        <v>0</v>
      </c>
      <c r="BM88" s="987">
        <f t="shared" si="80"/>
        <v>0</v>
      </c>
      <c r="BO88" s="987">
        <f t="shared" si="66"/>
        <v>0</v>
      </c>
      <c r="BP88" s="987">
        <f t="shared" si="81"/>
        <v>0</v>
      </c>
      <c r="BR88" s="993">
        <f>IF(BJ88&gt;0,INDEX(OperationalDetail,MATCH("Capacity Degradation",ODColumn,0),MATCH('Monthly Table'!C88,ODRow,0)),0)</f>
        <v>4.7400000000000003E-3</v>
      </c>
      <c r="BS88" s="994">
        <f>BJ88*(1-BR88)*Tables!$C$36</f>
        <v>54173.992320000005</v>
      </c>
      <c r="BT88" s="601">
        <f t="shared" si="67"/>
        <v>4035.3364563182577</v>
      </c>
      <c r="BU88" s="601">
        <f t="shared" si="68"/>
        <v>5476.333816534272</v>
      </c>
      <c r="BV88" s="462"/>
      <c r="BW88" s="785">
        <f>$BO88*(1-$BR88)*Tables!$C$36</f>
        <v>0</v>
      </c>
      <c r="BX88" s="602">
        <f t="shared" si="82"/>
        <v>0</v>
      </c>
      <c r="BY88" s="601">
        <f t="shared" si="83"/>
        <v>0</v>
      </c>
      <c r="BZ88" s="462"/>
      <c r="CA88" s="785">
        <f>$BL88*(1-$BR88)*Tables!$C$36</f>
        <v>0</v>
      </c>
      <c r="CB88" s="602">
        <f t="shared" si="84"/>
        <v>0</v>
      </c>
      <c r="CC88" s="601">
        <f t="shared" si="85"/>
        <v>0</v>
      </c>
      <c r="CD88" s="785">
        <f>$BP88*(1-$BR88)*Tables!$C$36</f>
        <v>0</v>
      </c>
      <c r="CE88" s="602">
        <f t="shared" si="86"/>
        <v>0</v>
      </c>
      <c r="CF88" s="601">
        <f t="shared" si="87"/>
        <v>0</v>
      </c>
      <c r="CH88" s="785">
        <f>$BM88*(1-$BR88)*Tables!$C$36</f>
        <v>0</v>
      </c>
      <c r="CI88" s="602">
        <f t="shared" si="88"/>
        <v>0</v>
      </c>
      <c r="CJ88" s="601">
        <f t="shared" si="89"/>
        <v>0</v>
      </c>
      <c r="CK88" s="304"/>
      <c r="CL88" s="304">
        <f t="shared" si="90"/>
        <v>2006</v>
      </c>
      <c r="CM88" s="1018">
        <f>INDEX(OperationalDetail,MATCH("Degraded Heat Rate",ODColumn,0),MATCH('Monthly Table'!CL88,ODRow,0))/1000</f>
        <v>11.985833599999999</v>
      </c>
      <c r="CN88" s="737">
        <f t="shared" si="69"/>
        <v>53.477767584919377</v>
      </c>
      <c r="CO88" s="1019">
        <f>IF(A88="January",(CO87*(1+Assumptions!$E$32)),CO87)</f>
        <v>7.5854077452550825</v>
      </c>
      <c r="CP88" s="741">
        <f t="shared" si="57"/>
        <v>61.06317533017446</v>
      </c>
      <c r="CQ88" s="304"/>
      <c r="CR88" s="575">
        <f t="shared" si="91"/>
        <v>2007</v>
      </c>
      <c r="CS88" s="575" t="str">
        <f t="shared" si="92"/>
        <v/>
      </c>
      <c r="CT88" s="575" t="str">
        <f t="shared" si="93"/>
        <v/>
      </c>
      <c r="CU88" s="575" t="str">
        <f t="shared" si="94"/>
        <v/>
      </c>
      <c r="CV88" s="575" t="str">
        <f t="shared" si="95"/>
        <v/>
      </c>
      <c r="CW88" s="576">
        <f t="shared" si="58"/>
        <v>2007</v>
      </c>
      <c r="CX88" s="787">
        <f>INDEX('NY Curve'!$A$4:$G$256,MATCH('Monthly Table'!B88,'NY Curve'!$A$4:$A$256,0),MATCH("New York 5 X 16",'NY Curve'!$A$4:$G$4,0))</f>
        <v>48.5</v>
      </c>
      <c r="CY88" s="632">
        <f t="shared" si="59"/>
        <v>1.3570947245203799</v>
      </c>
      <c r="CZ88" s="633">
        <f t="shared" si="60"/>
        <v>65.81909413923843</v>
      </c>
      <c r="DB88" s="857"/>
      <c r="DC88" s="857"/>
    </row>
    <row r="89" spans="1:107" ht="18.75" customHeight="1">
      <c r="A89" s="17" t="s">
        <v>443</v>
      </c>
      <c r="B89" s="508">
        <v>39264</v>
      </c>
      <c r="C89" s="43">
        <f t="shared" si="49"/>
        <v>2007</v>
      </c>
      <c r="D89" s="719">
        <f t="shared" si="96"/>
        <v>7</v>
      </c>
      <c r="E89" s="972">
        <v>21</v>
      </c>
      <c r="F89" s="971">
        <v>4</v>
      </c>
      <c r="G89" s="971">
        <v>5</v>
      </c>
      <c r="H89" s="971">
        <v>1</v>
      </c>
      <c r="I89" s="976">
        <f t="shared" si="70"/>
        <v>31</v>
      </c>
      <c r="J89" s="621"/>
      <c r="K89" s="572">
        <f>INDEX(FX!$A$3:$C$362,MATCH(B89,FX!$A$3:$A$362,0),MATCH("Monthly Curve",FX!$A$2:$C$2,0))</f>
        <v>1.3561823444879899</v>
      </c>
      <c r="L89" s="572"/>
      <c r="M89" s="1057">
        <v>2.8574999999999999</v>
      </c>
      <c r="N89" s="1067">
        <v>0.14000000000000001</v>
      </c>
      <c r="O89" s="315">
        <v>0.05</v>
      </c>
      <c r="P89" s="797">
        <f t="shared" si="51"/>
        <v>0.19</v>
      </c>
      <c r="Q89" s="732">
        <f t="shared" si="52"/>
        <v>3.0474999999999999</v>
      </c>
      <c r="R89" s="723">
        <f>IF(A89="January",(R88+R88*Assumptions!$E$32),R88)</f>
        <v>0.33821555371182277</v>
      </c>
      <c r="S89" s="730">
        <f t="shared" si="53"/>
        <v>4.4711812485389721</v>
      </c>
      <c r="T89" s="572"/>
      <c r="U89" s="509"/>
      <c r="V89" s="585"/>
      <c r="W89" s="585"/>
      <c r="X89" s="461"/>
      <c r="Y89" s="588">
        <f>Tables!$D$36</f>
        <v>312</v>
      </c>
      <c r="Z89" s="570">
        <f t="shared" si="54"/>
        <v>0</v>
      </c>
      <c r="AA89" s="592">
        <f t="shared" si="55"/>
        <v>0</v>
      </c>
      <c r="AB89" s="589">
        <f t="shared" si="50"/>
        <v>0</v>
      </c>
      <c r="AC89" s="462"/>
      <c r="AD89" s="1027">
        <f>IF(Tables!$E$30="Michigan",INDEX('Michigan Curve'!$A$4:$S$256,MATCH('Monthly Table'!B89,'Michigan Curve'!$A$4:$A$256,0),MATCH("Michigan Selected Option Value US$/month",'Michigan Curve'!$A$4:$S$4,0)),INDEX('NY Curve'!$A$4:$T$256,MATCH('Monthly Table'!B89,'NY Curve'!$A$4:$A$256,0),MATCH("New York Selected Option Value US$/month",'NY Curve'!$A$4:$T$4,0)))</f>
        <v>426201.95028678142</v>
      </c>
      <c r="AE89" s="601">
        <f t="shared" si="71"/>
        <v>578007.56016528094</v>
      </c>
      <c r="AF89" s="462"/>
      <c r="AG89" s="915"/>
      <c r="AH89" s="462"/>
      <c r="AI89" s="799">
        <f>Assumptions!$B$50</f>
        <v>65</v>
      </c>
      <c r="AJ89" s="743"/>
      <c r="AK89" s="924">
        <f>IF(Tables!$E$30="Custom",'Monthly Table'!AI89,IF(Tables!$E$30="New York",INDEX('NY Curve'!$A$4:$G$256,MATCH('Monthly Table'!B89,'NY Curve'!$A$4:$A$256,0),MATCH("Super Peak Curve",'NY Curve'!$A$4:$G$4,0)),IF(Tables!$E$30="New York Flat",INDEX('NY Curve'!$A$4:$G$256,MATCH('Monthly Table'!B89,'NY Curve'!$A$4:$A$256,0),MATCH("Flat NY West",'NY Curve'!$A$4:$G$4,0)),INDEX('Michigan Curve'!$A$4:$F$256,MATCH('Monthly Table'!B89,'Michigan Curve'!$A$4:$A$256,0),MATCH("Michigan Super Peak Curve US$/MWhr",'Michigan Curve'!$A$4:$F$4,0)))))</f>
        <v>126.8484392762502</v>
      </c>
      <c r="AL89" s="965">
        <f>IF(D89&lt;=Tables!$B$21,IF($AL$10=$AI$10,AI89,IF($AL$10=$AJ$10,AJ89,IF($AL$10=$AK$10,AK89,0))),0)</f>
        <v>126.8484392762502</v>
      </c>
      <c r="AM89" s="708">
        <f t="shared" si="72"/>
        <v>172.02961377230741</v>
      </c>
      <c r="AN89" s="916">
        <f t="shared" si="73"/>
        <v>1</v>
      </c>
      <c r="AO89" s="905"/>
      <c r="AP89" s="925"/>
      <c r="AQ89" s="926">
        <f>IF(Tables!$E$30="New York",INDEX('NY Curve'!$A$4:$L$256,MATCH('Monthly Table'!B89,'NY Curve'!$A$4:$A$256,0),MATCH("New York Shoulder Hour Curve Mon-Fri",'NY Curve'!$A$4:$L$4,0)),IF(Tables!$E$30="Michigan",INDEX('Michigan Curve'!$A$4:$K$256,MATCH('Monthly Table'!B89,'Michigan Curve'!$A$4:$A$256,0),MATCH("Michigan Shoulder Hour Curve Mon-Fri",'Michigan Curve'!$A$4:$K$4,0))))</f>
        <v>27.151560723749803</v>
      </c>
      <c r="AR89" s="708">
        <f t="shared" si="74"/>
        <v>36.822467278843035</v>
      </c>
      <c r="AS89" s="927">
        <f t="shared" si="61"/>
        <v>0</v>
      </c>
      <c r="AT89" s="462"/>
      <c r="AU89" s="926">
        <f>IF(Tables!$E$30="New York",INDEX('NY Curve'!$A$4:$L$256,MATCH('Monthly Table'!$B89,'NY Curve'!$A$4:$A$256,0),MATCH("New York Saturday Super Peak",'NY Curve'!$A$4:$L$4,0)),IF(Tables!$E$30="Michigan",INDEX('Michigan Curve'!$A$4:$K$256,MATCH('Monthly Table'!$B89,'Michigan Curve'!$A$4:$A$256,0),MATCH("Michigan Saturday Super Peak",'Michigan Curve'!$A$4:$K$4,0))))</f>
        <v>57.658381489204636</v>
      </c>
      <c r="AV89" s="925">
        <f t="shared" si="62"/>
        <v>78.195278987412465</v>
      </c>
      <c r="AW89" s="927">
        <f t="shared" si="63"/>
        <v>1</v>
      </c>
      <c r="AX89" s="926">
        <f>IF(Tables!$E$30="New York",INDEX('NY Curve'!$A$4:$L$256,MATCH('Monthly Table'!$B89,'NY Curve'!$A$4:$A$256,0),MATCH("New York Saturday Shoulder Peak",'NY Curve'!$A$4:$L$4,0)),IF(Tables!$E$30="Michigan",INDEX('Michigan Curve'!$A$4:$K$256,MATCH('Monthly Table'!$B89,'Michigan Curve'!$A$4:$A$256,0),MATCH("Michigan Saturday Shoulder Peak",'Michigan Curve'!$A$4:$K$4,0))))</f>
        <v>12.341618510795364</v>
      </c>
      <c r="AY89" s="934">
        <f t="shared" si="75"/>
        <v>16.737485126746829</v>
      </c>
      <c r="AZ89" s="927">
        <f t="shared" si="64"/>
        <v>0</v>
      </c>
      <c r="BA89" s="462"/>
      <c r="BB89" s="926">
        <f>IF(Tables!$E$30="New York",INDEX('NY Curve'!$A$4:$M$256,MATCH('Monthly Table'!$B89,'NY Curve'!$A$4:$A$256,0),MATCH("NY Sunday Super Peak",'NY Curve'!$A$4:$M$4,0)),IF(Tables!$E$30="Michigan",INDEX('Michigan Curve'!$A$4:$L$256,MATCH('Monthly Table'!$B89,'Michigan Curve'!$A$4:$A$256,0),MATCH("Michigan Sunday Super Peak",'Michigan Curve'!$A$4:$L$4,0))))</f>
        <v>51.068849034020246</v>
      </c>
      <c r="BC89" s="925">
        <f t="shared" si="76"/>
        <v>69.258671413260799</v>
      </c>
      <c r="BD89" s="927">
        <f t="shared" si="65"/>
        <v>1</v>
      </c>
      <c r="BE89" s="462"/>
      <c r="BF89" s="598">
        <f t="shared" si="56"/>
        <v>39264</v>
      </c>
      <c r="BG89" s="583">
        <f t="shared" si="77"/>
        <v>168</v>
      </c>
      <c r="BH89" s="764">
        <f>IF(Tables!$B$36="Combined Cycle",(BF89-BF88)*24*Assumptions!$B$21,0)</f>
        <v>0</v>
      </c>
      <c r="BI89" s="315">
        <f t="shared" si="78"/>
        <v>168</v>
      </c>
      <c r="BJ89" s="987">
        <f>IF('Monthly Table'!D89&lt;=Tables!$B$21,IF($BJ$10=$BG$10,BG89,IF($BJ$10=$BH$10,BH89,IF($BJ$10=$BI$10,BI89,0))),0)</f>
        <v>168</v>
      </c>
      <c r="BK89" s="43"/>
      <c r="BL89" s="987">
        <f t="shared" si="79"/>
        <v>32</v>
      </c>
      <c r="BM89" s="987">
        <f t="shared" si="80"/>
        <v>48</v>
      </c>
      <c r="BO89" s="987">
        <f t="shared" si="66"/>
        <v>0</v>
      </c>
      <c r="BP89" s="987">
        <f t="shared" si="81"/>
        <v>0</v>
      </c>
      <c r="BR89" s="993">
        <f>IF(BJ89&gt;0,INDEX(OperationalDetail,MATCH("Capacity Degradation",ODColumn,0),MATCH('Monthly Table'!C89,ODRow,0)),0)</f>
        <v>4.7400000000000003E-3</v>
      </c>
      <c r="BS89" s="994">
        <f>BJ89*(1-BR89)*Tables!$C$36</f>
        <v>54173.992320000005</v>
      </c>
      <c r="BT89" s="601">
        <f t="shared" si="67"/>
        <v>6871.8863751555655</v>
      </c>
      <c r="BU89" s="601">
        <f t="shared" si="68"/>
        <v>9319.5309753135498</v>
      </c>
      <c r="BV89" s="462"/>
      <c r="BW89" s="785">
        <f>$BO89*(1-$BR89)*Tables!$C$36</f>
        <v>0</v>
      </c>
      <c r="BX89" s="602">
        <f t="shared" si="82"/>
        <v>0</v>
      </c>
      <c r="BY89" s="601">
        <f t="shared" si="83"/>
        <v>0</v>
      </c>
      <c r="BZ89" s="462"/>
      <c r="CA89" s="785">
        <f>$BL89*(1-$BR89)*Tables!$C$36</f>
        <v>10318.855680000001</v>
      </c>
      <c r="CB89" s="602">
        <f t="shared" si="84"/>
        <v>594.96851732948619</v>
      </c>
      <c r="CC89" s="601">
        <f t="shared" si="85"/>
        <v>806.88579872844582</v>
      </c>
      <c r="CD89" s="785">
        <f>$BP89*(1-$BR89)*Tables!$C$36</f>
        <v>0</v>
      </c>
      <c r="CE89" s="602">
        <f t="shared" si="86"/>
        <v>0</v>
      </c>
      <c r="CF89" s="601">
        <f t="shared" si="87"/>
        <v>0</v>
      </c>
      <c r="CH89" s="785">
        <f>$BM89*(1-$BR89)*Tables!$C$36</f>
        <v>15478.283520000001</v>
      </c>
      <c r="CI89" s="602">
        <f t="shared" si="88"/>
        <v>790.45812438864357</v>
      </c>
      <c r="CJ89" s="601">
        <f t="shared" si="89"/>
        <v>1072.0053523529698</v>
      </c>
      <c r="CK89" s="304"/>
      <c r="CL89" s="304">
        <f t="shared" si="90"/>
        <v>2006</v>
      </c>
      <c r="CM89" s="1018">
        <f>INDEX(OperationalDetail,MATCH("Degraded Heat Rate",ODColumn,0),MATCH('Monthly Table'!CL89,ODRow,0))/1000</f>
        <v>11.985833599999999</v>
      </c>
      <c r="CN89" s="737">
        <f t="shared" si="69"/>
        <v>53.59083444042836</v>
      </c>
      <c r="CO89" s="1019">
        <f>IF(A89="January",(CO88*(1+Assumptions!$E$32)),CO88)</f>
        <v>7.5854077452550825</v>
      </c>
      <c r="CP89" s="741">
        <f t="shared" si="57"/>
        <v>61.176242185683442</v>
      </c>
      <c r="CQ89" s="304"/>
      <c r="CR89" s="575">
        <f t="shared" si="91"/>
        <v>2007</v>
      </c>
      <c r="CS89" s="575" t="str">
        <f t="shared" si="92"/>
        <v/>
      </c>
      <c r="CT89" s="575">
        <f t="shared" si="93"/>
        <v>2007</v>
      </c>
      <c r="CU89" s="575" t="str">
        <f t="shared" si="94"/>
        <v/>
      </c>
      <c r="CV89" s="575">
        <f t="shared" si="95"/>
        <v>2007</v>
      </c>
      <c r="CW89" s="576">
        <f t="shared" si="58"/>
        <v>2007</v>
      </c>
      <c r="CX89" s="787">
        <f>INDEX('NY Curve'!$A$4:$G$256,MATCH('Monthly Table'!B89,'NY Curve'!$A$4:$A$256,0),MATCH("New York 5 X 16",'NY Curve'!$A$4:$G$4,0))</f>
        <v>72.5</v>
      </c>
      <c r="CY89" s="632">
        <f t="shared" si="59"/>
        <v>1.3561823444879899</v>
      </c>
      <c r="CZ89" s="633">
        <f t="shared" si="60"/>
        <v>98.323219975379274</v>
      </c>
      <c r="DB89" s="857"/>
      <c r="DC89" s="857"/>
    </row>
    <row r="90" spans="1:107" ht="18.75" customHeight="1">
      <c r="A90" s="17" t="s">
        <v>444</v>
      </c>
      <c r="B90" s="508">
        <v>39295</v>
      </c>
      <c r="C90" s="43">
        <f t="shared" si="49"/>
        <v>2007</v>
      </c>
      <c r="D90" s="719">
        <f t="shared" si="96"/>
        <v>7</v>
      </c>
      <c r="E90" s="972">
        <v>23</v>
      </c>
      <c r="F90" s="971">
        <v>4</v>
      </c>
      <c r="G90" s="971">
        <v>4</v>
      </c>
      <c r="H90" s="971">
        <v>0</v>
      </c>
      <c r="I90" s="976">
        <f t="shared" si="70"/>
        <v>31</v>
      </c>
      <c r="J90" s="621"/>
      <c r="K90" s="572">
        <f>INDEX(FX!$A$3:$C$362,MATCH(B90,FX!$A$3:$A$362,0),MATCH("Monthly Curve",FX!$A$2:$C$2,0))</f>
        <v>1.3552436833675201</v>
      </c>
      <c r="L90" s="572"/>
      <c r="M90" s="1057">
        <v>2.8645</v>
      </c>
      <c r="N90" s="1067">
        <v>0.14000000000000001</v>
      </c>
      <c r="O90" s="315">
        <v>0.05</v>
      </c>
      <c r="P90" s="797">
        <f t="shared" si="51"/>
        <v>0.19</v>
      </c>
      <c r="Q90" s="732">
        <f t="shared" si="52"/>
        <v>3.0545</v>
      </c>
      <c r="R90" s="723">
        <f>IF(A90="January",(R89+R89*Assumptions!$E$32),R89)</f>
        <v>0.33821555371182277</v>
      </c>
      <c r="S90" s="730">
        <f t="shared" si="53"/>
        <v>4.4778073845579129</v>
      </c>
      <c r="T90" s="572"/>
      <c r="U90" s="509"/>
      <c r="V90" s="585"/>
      <c r="W90" s="585"/>
      <c r="X90" s="461"/>
      <c r="Y90" s="588">
        <f>Tables!$D$36</f>
        <v>312</v>
      </c>
      <c r="Z90" s="570">
        <f t="shared" si="54"/>
        <v>0</v>
      </c>
      <c r="AA90" s="592">
        <f t="shared" si="55"/>
        <v>0</v>
      </c>
      <c r="AB90" s="589">
        <f t="shared" si="50"/>
        <v>0</v>
      </c>
      <c r="AC90" s="462"/>
      <c r="AD90" s="1027">
        <f>IF(Tables!$E$30="Michigan",INDEX('Michigan Curve'!$A$4:$S$256,MATCH('Monthly Table'!B90,'Michigan Curve'!$A$4:$A$256,0),MATCH("Michigan Selected Option Value US$/month",'Michigan Curve'!$A$4:$S$4,0)),INDEX('NY Curve'!$A$4:$T$256,MATCH('Monthly Table'!B90,'NY Curve'!$A$4:$A$256,0),MATCH("New York Selected Option Value US$/month",'NY Curve'!$A$4:$T$4,0)))</f>
        <v>398067.49460933916</v>
      </c>
      <c r="AE90" s="601">
        <f t="shared" si="71"/>
        <v>539478.45762324124</v>
      </c>
      <c r="AF90" s="462"/>
      <c r="AG90" s="915"/>
      <c r="AH90" s="462"/>
      <c r="AI90" s="799">
        <f>Assumptions!$B$50</f>
        <v>65</v>
      </c>
      <c r="AJ90" s="743"/>
      <c r="AK90" s="924">
        <f>IF(Tables!$E$30="Custom",'Monthly Table'!AI90,IF(Tables!$E$30="New York",INDEX('NY Curve'!$A$4:$G$256,MATCH('Monthly Table'!B90,'NY Curve'!$A$4:$A$256,0),MATCH("Super Peak Curve",'NY Curve'!$A$4:$G$4,0)),IF(Tables!$E$30="New York Flat",INDEX('NY Curve'!$A$4:$G$256,MATCH('Monthly Table'!B90,'NY Curve'!$A$4:$A$256,0),MATCH("Flat NY West",'NY Curve'!$A$4:$G$4,0)),INDEX('Michigan Curve'!$A$4:$F$256,MATCH('Monthly Table'!B90,'Michigan Curve'!$A$4:$A$256,0),MATCH("Michigan Super Peak Curve US$/MWhr",'Michigan Curve'!$A$4:$F$4,0)))))</f>
        <v>126.8484392762502</v>
      </c>
      <c r="AL90" s="965">
        <f>IF(D90&lt;=Tables!$B$21,IF($AL$10=$AI$10,AI90,IF($AL$10=$AJ$10,AJ90,IF($AL$10=$AK$10,AK90,0))),0)</f>
        <v>126.8484392762502</v>
      </c>
      <c r="AM90" s="708">
        <f t="shared" si="72"/>
        <v>171.91054607416652</v>
      </c>
      <c r="AN90" s="916">
        <f t="shared" si="73"/>
        <v>1</v>
      </c>
      <c r="AO90" s="905"/>
      <c r="AP90" s="925"/>
      <c r="AQ90" s="926">
        <f>IF(Tables!$E$30="New York",INDEX('NY Curve'!$A$4:$L$256,MATCH('Monthly Table'!B90,'NY Curve'!$A$4:$A$256,0),MATCH("New York Shoulder Hour Curve Mon-Fri",'NY Curve'!$A$4:$L$4,0)),IF(Tables!$E$30="Michigan",INDEX('Michigan Curve'!$A$4:$K$256,MATCH('Monthly Table'!B90,'Michigan Curve'!$A$4:$A$256,0),MATCH("Michigan Shoulder Hour Curve Mon-Fri",'Michigan Curve'!$A$4:$K$4,0))))</f>
        <v>27.151560723749803</v>
      </c>
      <c r="AR90" s="708">
        <f t="shared" si="74"/>
        <v>36.796981164431571</v>
      </c>
      <c r="AS90" s="927">
        <f t="shared" si="61"/>
        <v>0</v>
      </c>
      <c r="AT90" s="462"/>
      <c r="AU90" s="926">
        <f>IF(Tables!$E$30="New York",INDEX('NY Curve'!$A$4:$L$256,MATCH('Monthly Table'!$B90,'NY Curve'!$A$4:$A$256,0),MATCH("New York Saturday Super Peak",'NY Curve'!$A$4:$L$4,0)),IF(Tables!$E$30="Michigan",INDEX('Michigan Curve'!$A$4:$K$256,MATCH('Monthly Table'!$B90,'Michigan Curve'!$A$4:$A$256,0),MATCH("Michigan Saturday Super Peak",'Michigan Curve'!$A$4:$K$4,0))))</f>
        <v>57.658387773469499</v>
      </c>
      <c r="AV90" s="925">
        <f t="shared" si="62"/>
        <v>78.141165823149592</v>
      </c>
      <c r="AW90" s="927">
        <f t="shared" si="63"/>
        <v>1</v>
      </c>
      <c r="AX90" s="926">
        <f>IF(Tables!$E$30="New York",INDEX('NY Curve'!$A$4:$L$256,MATCH('Monthly Table'!$B90,'NY Curve'!$A$4:$A$256,0),MATCH("New York Saturday Shoulder Peak",'NY Curve'!$A$4:$L$4,0)),IF(Tables!$E$30="Michigan",INDEX('Michigan Curve'!$A$4:$K$256,MATCH('Monthly Table'!$B90,'Michigan Curve'!$A$4:$A$256,0),MATCH("Michigan Saturday Shoulder Peak",'Michigan Curve'!$A$4:$K$4,0))))</f>
        <v>12.341619855925034</v>
      </c>
      <c r="AY90" s="934">
        <f t="shared" si="75"/>
        <v>16.725902352265564</v>
      </c>
      <c r="AZ90" s="927">
        <f t="shared" si="64"/>
        <v>0</v>
      </c>
      <c r="BA90" s="462"/>
      <c r="BB90" s="926">
        <f>IF(Tables!$E$30="New York",INDEX('NY Curve'!$A$4:$M$256,MATCH('Monthly Table'!$B90,'NY Curve'!$A$4:$A$256,0),MATCH("NY Sunday Super Peak",'NY Curve'!$A$4:$M$4,0)),IF(Tables!$E$30="Michigan",INDEX('Michigan Curve'!$A$4:$L$256,MATCH('Monthly Table'!$B90,'Michigan Curve'!$A$4:$A$256,0),MATCH("Michigan Sunday Super Peak",'Michigan Curve'!$A$4:$L$4,0))))</f>
        <v>51.068852176152674</v>
      </c>
      <c r="BC90" s="925">
        <f t="shared" si="76"/>
        <v>69.21073932856055</v>
      </c>
      <c r="BD90" s="927">
        <f t="shared" si="65"/>
        <v>1</v>
      </c>
      <c r="BE90" s="462"/>
      <c r="BF90" s="598">
        <f t="shared" si="56"/>
        <v>39295</v>
      </c>
      <c r="BG90" s="583">
        <f t="shared" si="77"/>
        <v>184</v>
      </c>
      <c r="BH90" s="764">
        <f>IF(Tables!$B$36="Combined Cycle",(BF90-BF89)*24*Assumptions!$B$21,0)</f>
        <v>0</v>
      </c>
      <c r="BI90" s="315">
        <f t="shared" si="78"/>
        <v>184</v>
      </c>
      <c r="BJ90" s="987">
        <f>IF('Monthly Table'!D90&lt;=Tables!$B$21,IF($BJ$10=$BG$10,BG90,IF($BJ$10=$BH$10,BH90,IF($BJ$10=$BI$10,BI90,0))),0)</f>
        <v>184</v>
      </c>
      <c r="BK90" s="43"/>
      <c r="BL90" s="987">
        <f t="shared" si="79"/>
        <v>32</v>
      </c>
      <c r="BM90" s="987">
        <f t="shared" si="80"/>
        <v>32</v>
      </c>
      <c r="BO90" s="987">
        <f t="shared" si="66"/>
        <v>0</v>
      </c>
      <c r="BP90" s="987">
        <f t="shared" si="81"/>
        <v>0</v>
      </c>
      <c r="BR90" s="993">
        <f>IF(BJ90&gt;0,INDEX(OperationalDetail,MATCH("Capacity Degradation",ODColumn,0),MATCH('Monthly Table'!C90,ODRow,0)),0)</f>
        <v>4.7400000000000003E-3</v>
      </c>
      <c r="BS90" s="994">
        <f>BJ90*(1-BR90)*Tables!$C$36</f>
        <v>59333.420159999994</v>
      </c>
      <c r="BT90" s="601">
        <f t="shared" si="67"/>
        <v>7526.3517442179991</v>
      </c>
      <c r="BU90" s="601">
        <f t="shared" si="68"/>
        <v>10200.040660153561</v>
      </c>
      <c r="BV90" s="462"/>
      <c r="BW90" s="785">
        <f>$BO90*(1-$BR90)*Tables!$C$36</f>
        <v>0</v>
      </c>
      <c r="BX90" s="602">
        <f t="shared" si="82"/>
        <v>0</v>
      </c>
      <c r="BY90" s="601">
        <f t="shared" si="83"/>
        <v>0</v>
      </c>
      <c r="BZ90" s="462"/>
      <c r="CA90" s="785">
        <f>$BL90*(1-$BR90)*Tables!$C$36</f>
        <v>10318.855680000001</v>
      </c>
      <c r="CB90" s="602">
        <f t="shared" si="84"/>
        <v>594.96858217590841</v>
      </c>
      <c r="CC90" s="601">
        <f t="shared" si="85"/>
        <v>806.32741279602919</v>
      </c>
      <c r="CD90" s="785">
        <f>$BP90*(1-$BR90)*Tables!$C$36</f>
        <v>0</v>
      </c>
      <c r="CE90" s="602">
        <f t="shared" si="86"/>
        <v>0</v>
      </c>
      <c r="CF90" s="601">
        <f t="shared" si="87"/>
        <v>0</v>
      </c>
      <c r="CH90" s="785">
        <f>$BM90*(1-$BR90)*Tables!$C$36</f>
        <v>10318.855680000001</v>
      </c>
      <c r="CI90" s="602">
        <f t="shared" si="88"/>
        <v>526.97211534897338</v>
      </c>
      <c r="CJ90" s="601">
        <f t="shared" si="89"/>
        <v>714.17563063751641</v>
      </c>
      <c r="CK90" s="304"/>
      <c r="CL90" s="304">
        <f t="shared" si="90"/>
        <v>2006</v>
      </c>
      <c r="CM90" s="1018">
        <f>INDEX(OperationalDetail,MATCH("Degraded Heat Rate",ODColumn,0),MATCH('Monthly Table'!CL90,ODRow,0))/1000</f>
        <v>11.985833599999999</v>
      </c>
      <c r="CN90" s="737">
        <f t="shared" si="69"/>
        <v>53.670254204162354</v>
      </c>
      <c r="CO90" s="1019">
        <f>IF(A90="January",(CO89*(1+Assumptions!$E$32)),CO89)</f>
        <v>7.5854077452550825</v>
      </c>
      <c r="CP90" s="741">
        <f t="shared" si="57"/>
        <v>61.255661949417437</v>
      </c>
      <c r="CQ90" s="304"/>
      <c r="CR90" s="575">
        <f t="shared" si="91"/>
        <v>2007</v>
      </c>
      <c r="CS90" s="575" t="str">
        <f t="shared" si="92"/>
        <v/>
      </c>
      <c r="CT90" s="575">
        <f t="shared" si="93"/>
        <v>2007</v>
      </c>
      <c r="CU90" s="575" t="str">
        <f t="shared" si="94"/>
        <v/>
      </c>
      <c r="CV90" s="575">
        <f t="shared" si="95"/>
        <v>2007</v>
      </c>
      <c r="CW90" s="576">
        <f t="shared" si="58"/>
        <v>2007</v>
      </c>
      <c r="CX90" s="787">
        <f>INDEX('NY Curve'!$A$4:$G$256,MATCH('Monthly Table'!B90,'NY Curve'!$A$4:$A$256,0),MATCH("New York 5 X 16",'NY Curve'!$A$4:$G$4,0))</f>
        <v>65</v>
      </c>
      <c r="CY90" s="632">
        <f t="shared" si="59"/>
        <v>1.3552436833675201</v>
      </c>
      <c r="CZ90" s="633">
        <f t="shared" si="60"/>
        <v>88.090839418888805</v>
      </c>
      <c r="DB90" s="857"/>
      <c r="DC90" s="857"/>
    </row>
    <row r="91" spans="1:107" ht="18.75" customHeight="1">
      <c r="A91" s="17" t="s">
        <v>445</v>
      </c>
      <c r="B91" s="508">
        <v>39326</v>
      </c>
      <c r="C91" s="43">
        <f t="shared" si="49"/>
        <v>2007</v>
      </c>
      <c r="D91" s="719">
        <f t="shared" si="96"/>
        <v>7</v>
      </c>
      <c r="E91" s="972">
        <v>19</v>
      </c>
      <c r="F91" s="971">
        <v>5</v>
      </c>
      <c r="G91" s="971">
        <v>5</v>
      </c>
      <c r="H91" s="971">
        <v>1</v>
      </c>
      <c r="I91" s="976">
        <f t="shared" si="70"/>
        <v>30</v>
      </c>
      <c r="J91" s="621"/>
      <c r="K91" s="572">
        <f>INDEX(FX!$A$3:$C$362,MATCH(B91,FX!$A$3:$A$362,0),MATCH("Monthly Curve",FX!$A$2:$C$2,0))</f>
        <v>1.3543092137669701</v>
      </c>
      <c r="L91" s="572"/>
      <c r="M91" s="1057">
        <v>2.8715000000000006</v>
      </c>
      <c r="N91" s="1067">
        <v>0.14000000000000001</v>
      </c>
      <c r="O91" s="315">
        <v>0.05</v>
      </c>
      <c r="P91" s="797">
        <f t="shared" si="51"/>
        <v>0.19</v>
      </c>
      <c r="Q91" s="732">
        <f t="shared" si="52"/>
        <v>3.0615000000000006</v>
      </c>
      <c r="R91" s="723">
        <f>IF(A91="January",(R90+R90*Assumptions!$E$32),R90)</f>
        <v>0.33821555371182277</v>
      </c>
      <c r="S91" s="730">
        <f t="shared" si="53"/>
        <v>4.484433211659403</v>
      </c>
      <c r="T91" s="572"/>
      <c r="U91" s="509"/>
      <c r="V91" s="585"/>
      <c r="W91" s="585"/>
      <c r="X91" s="461"/>
      <c r="Y91" s="588">
        <f>Tables!$D$36</f>
        <v>312</v>
      </c>
      <c r="Z91" s="570">
        <f t="shared" si="54"/>
        <v>0</v>
      </c>
      <c r="AA91" s="592">
        <f t="shared" si="55"/>
        <v>0</v>
      </c>
      <c r="AB91" s="589">
        <f t="shared" si="50"/>
        <v>0</v>
      </c>
      <c r="AC91" s="462"/>
      <c r="AD91" s="1027">
        <f>IF(Tables!$E$30="Michigan",INDEX('Michigan Curve'!$A$4:$S$256,MATCH('Monthly Table'!B91,'Michigan Curve'!$A$4:$A$256,0),MATCH("Michigan Selected Option Value US$/month",'Michigan Curve'!$A$4:$S$4,0)),INDEX('NY Curve'!$A$4:$T$256,MATCH('Monthly Table'!B91,'NY Curve'!$A$4:$A$256,0),MATCH("New York Selected Option Value US$/month",'NY Curve'!$A$4:$T$4,0)))</f>
        <v>313329.685836269</v>
      </c>
      <c r="AE91" s="601">
        <f t="shared" si="71"/>
        <v>424345.28047476924</v>
      </c>
      <c r="AF91" s="462"/>
      <c r="AG91" s="915"/>
      <c r="AH91" s="462"/>
      <c r="AI91" s="799">
        <f>Assumptions!$B$50</f>
        <v>65</v>
      </c>
      <c r="AJ91" s="743"/>
      <c r="AK91" s="924">
        <f>IF(Tables!$E$30="Custom",'Monthly Table'!AI91,IF(Tables!$E$30="New York",INDEX('NY Curve'!$A$4:$G$256,MATCH('Monthly Table'!B91,'NY Curve'!$A$4:$A$256,0),MATCH("Super Peak Curve",'NY Curve'!$A$4:$G$4,0)),IF(Tables!$E$30="New York Flat",INDEX('NY Curve'!$A$4:$G$256,MATCH('Monthly Table'!B91,'NY Curve'!$A$4:$A$256,0),MATCH("Flat NY West",'NY Curve'!$A$4:$G$4,0)),INDEX('Michigan Curve'!$A$4:$F$256,MATCH('Monthly Table'!B91,'Michigan Curve'!$A$4:$A$256,0),MATCH("Michigan Super Peak Curve US$/MWhr",'Michigan Curve'!$A$4:$F$4,0)))))</f>
        <v>44.929062262177467</v>
      </c>
      <c r="AL91" s="965">
        <f>IF(D91&lt;=Tables!$B$21,IF($AL$10=$AI$10,AI91,IF($AL$10=$AJ$10,AJ91,IF($AL$10=$AK$10,AK91,0))),0)</f>
        <v>44.929062262177467</v>
      </c>
      <c r="AM91" s="708">
        <f t="shared" si="72"/>
        <v>60.847842987576811</v>
      </c>
      <c r="AN91" s="916">
        <f t="shared" si="73"/>
        <v>0</v>
      </c>
      <c r="AO91" s="905"/>
      <c r="AP91" s="925"/>
      <c r="AQ91" s="926">
        <f>IF(Tables!$E$30="New York",INDEX('NY Curve'!$A$4:$L$256,MATCH('Monthly Table'!B91,'NY Curve'!$A$4:$A$256,0),MATCH("New York Shoulder Hour Curve Mon-Fri",'NY Curve'!$A$4:$L$4,0)),IF(Tables!$E$30="Michigan",INDEX('Michigan Curve'!$A$4:$K$256,MATCH('Monthly Table'!B91,'Michigan Curve'!$A$4:$A$256,0),MATCH("Michigan Shoulder Hour Curve Mon-Fri",'Michigan Curve'!$A$4:$K$4,0))))</f>
        <v>21.570937737822533</v>
      </c>
      <c r="AR91" s="708">
        <f t="shared" si="74"/>
        <v>29.213719727926698</v>
      </c>
      <c r="AS91" s="927">
        <f t="shared" si="61"/>
        <v>0</v>
      </c>
      <c r="AT91" s="462"/>
      <c r="AU91" s="926">
        <f>IF(Tables!$E$30="New York",INDEX('NY Curve'!$A$4:$L$256,MATCH('Monthly Table'!$B91,'NY Curve'!$A$4:$A$256,0),MATCH("New York Saturday Super Peak",'NY Curve'!$A$4:$L$4,0)),IF(Tables!$E$30="Michigan",INDEX('Michigan Curve'!$A$4:$K$256,MATCH('Monthly Table'!$B91,'Michigan Curve'!$A$4:$A$256,0),MATCH("Michigan Saturday Super Peak",'Michigan Curve'!$A$4:$K$4,0))))</f>
        <v>33.781249821186066</v>
      </c>
      <c r="AV91" s="925">
        <f t="shared" si="62"/>
        <v>45.750257885396103</v>
      </c>
      <c r="AW91" s="927">
        <f t="shared" si="63"/>
        <v>0</v>
      </c>
      <c r="AX91" s="926">
        <f>IF(Tables!$E$30="New York",INDEX('NY Curve'!$A$4:$L$256,MATCH('Monthly Table'!$B91,'NY Curve'!$A$4:$A$256,0),MATCH("New York Saturday Shoulder Peak",'NY Curve'!$A$4:$L$4,0)),IF(Tables!$E$30="Michigan",INDEX('Michigan Curve'!$A$4:$K$256,MATCH('Monthly Table'!$B91,'Michigan Curve'!$A$4:$A$256,0),MATCH("Michigan Saturday Shoulder Peak",'Michigan Curve'!$A$4:$K$4,0))))</f>
        <v>16.218750178813934</v>
      </c>
      <c r="AY91" s="934">
        <f t="shared" si="75"/>
        <v>21.965202802952405</v>
      </c>
      <c r="AZ91" s="927">
        <f t="shared" si="64"/>
        <v>0</v>
      </c>
      <c r="BA91" s="462"/>
      <c r="BB91" s="926">
        <f>IF(Tables!$E$30="New York",INDEX('NY Curve'!$A$4:$M$256,MATCH('Monthly Table'!$B91,'NY Curve'!$A$4:$A$256,0),MATCH("NY Sunday Super Peak",'NY Curve'!$A$4:$M$4,0)),IF(Tables!$E$30="Michigan",INDEX('Michigan Curve'!$A$4:$L$256,MATCH('Monthly Table'!$B91,'Michigan Curve'!$A$4:$A$256,0),MATCH("Michigan Sunday Super Peak",'Michigan Curve'!$A$4:$L$4,0))))</f>
        <v>32.429999828338623</v>
      </c>
      <c r="BC91" s="925">
        <f t="shared" si="76"/>
        <v>43.920247569980255</v>
      </c>
      <c r="BD91" s="927">
        <f t="shared" si="65"/>
        <v>0</v>
      </c>
      <c r="BE91" s="462"/>
      <c r="BF91" s="598">
        <f t="shared" si="56"/>
        <v>39326</v>
      </c>
      <c r="BG91" s="583">
        <f t="shared" si="77"/>
        <v>0</v>
      </c>
      <c r="BH91" s="764">
        <f>IF(Tables!$B$36="Combined Cycle",(BF91-BF90)*24*Assumptions!$B$21,0)</f>
        <v>0</v>
      </c>
      <c r="BI91" s="315">
        <f t="shared" si="78"/>
        <v>0</v>
      </c>
      <c r="BJ91" s="987">
        <f>IF('Monthly Table'!D91&lt;=Tables!$B$21,IF($BJ$10=$BG$10,BG91,IF($BJ$10=$BH$10,BH91,IF($BJ$10=$BI$10,BI91,0))),0)</f>
        <v>0</v>
      </c>
      <c r="BK91" s="43"/>
      <c r="BL91" s="987">
        <f t="shared" si="79"/>
        <v>0</v>
      </c>
      <c r="BM91" s="987">
        <f t="shared" si="80"/>
        <v>0</v>
      </c>
      <c r="BO91" s="987">
        <f t="shared" si="66"/>
        <v>0</v>
      </c>
      <c r="BP91" s="987">
        <f t="shared" si="81"/>
        <v>0</v>
      </c>
      <c r="BR91" s="993">
        <f>IF(BJ91&gt;0,INDEX(OperationalDetail,MATCH("Capacity Degradation",ODColumn,0),MATCH('Monthly Table'!C91,ODRow,0)),0)</f>
        <v>0</v>
      </c>
      <c r="BS91" s="994">
        <f>BJ91*(1-BR91)*Tables!$C$36</f>
        <v>0</v>
      </c>
      <c r="BT91" s="601">
        <f t="shared" si="67"/>
        <v>0</v>
      </c>
      <c r="BU91" s="601">
        <f t="shared" si="68"/>
        <v>0</v>
      </c>
      <c r="BV91" s="462"/>
      <c r="BW91" s="785">
        <f>$BO91*(1-$BR91)*Tables!$C$36</f>
        <v>0</v>
      </c>
      <c r="BX91" s="602">
        <f t="shared" si="82"/>
        <v>0</v>
      </c>
      <c r="BY91" s="601">
        <f t="shared" si="83"/>
        <v>0</v>
      </c>
      <c r="BZ91" s="462"/>
      <c r="CA91" s="785">
        <f>$BL91*(1-$BR91)*Tables!$C$36</f>
        <v>0</v>
      </c>
      <c r="CB91" s="602">
        <f t="shared" si="84"/>
        <v>0</v>
      </c>
      <c r="CC91" s="601">
        <f t="shared" si="85"/>
        <v>0</v>
      </c>
      <c r="CD91" s="785">
        <f>$BP91*(1-$BR91)*Tables!$C$36</f>
        <v>0</v>
      </c>
      <c r="CE91" s="602">
        <f t="shared" si="86"/>
        <v>0</v>
      </c>
      <c r="CF91" s="601">
        <f t="shared" si="87"/>
        <v>0</v>
      </c>
      <c r="CH91" s="785">
        <f>$BM91*(1-$BR91)*Tables!$C$36</f>
        <v>0</v>
      </c>
      <c r="CI91" s="602">
        <f t="shared" si="88"/>
        <v>0</v>
      </c>
      <c r="CJ91" s="601">
        <f t="shared" si="89"/>
        <v>0</v>
      </c>
      <c r="CK91" s="304"/>
      <c r="CL91" s="304">
        <f t="shared" si="90"/>
        <v>2006</v>
      </c>
      <c r="CM91" s="1018">
        <f>INDEX(OperationalDetail,MATCH("Degraded Heat Rate",ODColumn,0),MATCH('Monthly Table'!CL91,ODRow,0))/1000</f>
        <v>11.985833599999999</v>
      </c>
      <c r="CN91" s="737">
        <f t="shared" si="69"/>
        <v>53.749670265263184</v>
      </c>
      <c r="CO91" s="1019">
        <f>IF(A91="January",(CO90*(1+Assumptions!$E$32)),CO90)</f>
        <v>7.5854077452550825</v>
      </c>
      <c r="CP91" s="741">
        <f t="shared" si="57"/>
        <v>61.335078010518266</v>
      </c>
      <c r="CQ91" s="304"/>
      <c r="CR91" s="575" t="str">
        <f t="shared" si="91"/>
        <v/>
      </c>
      <c r="CS91" s="575" t="str">
        <f t="shared" si="92"/>
        <v/>
      </c>
      <c r="CT91" s="575" t="str">
        <f t="shared" si="93"/>
        <v/>
      </c>
      <c r="CU91" s="575" t="str">
        <f t="shared" si="94"/>
        <v/>
      </c>
      <c r="CV91" s="575" t="str">
        <f t="shared" si="95"/>
        <v/>
      </c>
      <c r="CW91" s="576">
        <f t="shared" si="58"/>
        <v>2007</v>
      </c>
      <c r="CX91" s="787">
        <f>INDEX('NY Curve'!$A$4:$G$256,MATCH('Monthly Table'!B91,'NY Curve'!$A$4:$A$256,0),MATCH("New York 5 X 16",'NY Curve'!$A$4:$G$4,0))</f>
        <v>29.95</v>
      </c>
      <c r="CY91" s="632">
        <f t="shared" si="59"/>
        <v>1.3543092137669701</v>
      </c>
      <c r="CZ91" s="633">
        <f t="shared" si="60"/>
        <v>40.561560952320754</v>
      </c>
      <c r="DB91" s="857"/>
      <c r="DC91" s="857"/>
    </row>
    <row r="92" spans="1:107" ht="18.75" customHeight="1">
      <c r="A92" s="17" t="s">
        <v>446</v>
      </c>
      <c r="B92" s="508">
        <v>39356</v>
      </c>
      <c r="C92" s="43">
        <f t="shared" si="49"/>
        <v>2007</v>
      </c>
      <c r="D92" s="719">
        <f t="shared" si="96"/>
        <v>7</v>
      </c>
      <c r="E92" s="972">
        <v>23</v>
      </c>
      <c r="F92" s="971">
        <v>4</v>
      </c>
      <c r="G92" s="971">
        <v>4</v>
      </c>
      <c r="H92" s="971">
        <v>0</v>
      </c>
      <c r="I92" s="976">
        <f t="shared" si="70"/>
        <v>31</v>
      </c>
      <c r="J92" s="621"/>
      <c r="K92" s="572">
        <f>INDEX(FX!$A$3:$C$362,MATCH(B92,FX!$A$3:$A$362,0),MATCH("Monthly Curve",FX!$A$2:$C$2,0))</f>
        <v>1.3534088718502799</v>
      </c>
      <c r="L92" s="572"/>
      <c r="M92" s="1057">
        <v>2.8985000000000003</v>
      </c>
      <c r="N92" s="1067">
        <v>0.14000000000000001</v>
      </c>
      <c r="O92" s="315">
        <v>0.05</v>
      </c>
      <c r="P92" s="797">
        <f t="shared" si="51"/>
        <v>0.19</v>
      </c>
      <c r="Q92" s="732">
        <f t="shared" si="52"/>
        <v>3.0885000000000002</v>
      </c>
      <c r="R92" s="723">
        <f>IF(A92="January",(R91+R91*Assumptions!$E$32),R91)</f>
        <v>0.33821555371182277</v>
      </c>
      <c r="S92" s="730">
        <f t="shared" si="53"/>
        <v>4.5182188544214128</v>
      </c>
      <c r="T92" s="572"/>
      <c r="U92" s="509"/>
      <c r="V92" s="584"/>
      <c r="W92" s="584"/>
      <c r="X92" s="461"/>
      <c r="Y92" s="588">
        <f>Tables!$D$36</f>
        <v>312</v>
      </c>
      <c r="Z92" s="570">
        <f t="shared" si="54"/>
        <v>0</v>
      </c>
      <c r="AA92" s="592">
        <f t="shared" si="55"/>
        <v>0</v>
      </c>
      <c r="AB92" s="589">
        <f t="shared" si="50"/>
        <v>0</v>
      </c>
      <c r="AC92" s="462"/>
      <c r="AD92" s="1027">
        <f>IF(Tables!$E$30="Michigan",INDEX('Michigan Curve'!$A$4:$S$256,MATCH('Monthly Table'!B92,'Michigan Curve'!$A$4:$A$256,0),MATCH("Michigan Selected Option Value US$/month",'Michigan Curve'!$A$4:$S$4,0)),INDEX('NY Curve'!$A$4:$T$256,MATCH('Monthly Table'!B92,'NY Curve'!$A$4:$A$256,0),MATCH("New York Selected Option Value US$/month",'NY Curve'!$A$4:$T$4,0)))</f>
        <v>26851.07381163209</v>
      </c>
      <c r="AE92" s="601">
        <f t="shared" si="71"/>
        <v>36340.481515369582</v>
      </c>
      <c r="AF92" s="462"/>
      <c r="AG92" s="915"/>
      <c r="AH92" s="462"/>
      <c r="AI92" s="799">
        <f>Assumptions!$B$50</f>
        <v>65</v>
      </c>
      <c r="AJ92" s="743"/>
      <c r="AK92" s="924">
        <f>IF(Tables!$E$30="Custom",'Monthly Table'!AI92,IF(Tables!$E$30="New York",INDEX('NY Curve'!$A$4:$G$256,MATCH('Monthly Table'!B92,'NY Curve'!$A$4:$A$256,0),MATCH("Super Peak Curve",'NY Curve'!$A$4:$G$4,0)),IF(Tables!$E$30="New York Flat",INDEX('NY Curve'!$A$4:$G$256,MATCH('Monthly Table'!B92,'NY Curve'!$A$4:$A$256,0),MATCH("Flat NY West",'NY Curve'!$A$4:$G$4,0)),INDEX('Michigan Curve'!$A$4:$F$256,MATCH('Monthly Table'!B92,'Michigan Curve'!$A$4:$A$256,0),MATCH("Michigan Super Peak Curve US$/MWhr",'Michigan Curve'!$A$4:$F$4,0)))))</f>
        <v>26.349994659423828</v>
      </c>
      <c r="AL92" s="965">
        <f>IF(D92&lt;=Tables!$B$21,IF($AL$10=$AI$10,AI92,IF($AL$10=$AJ$10,AJ92,IF($AL$10=$AK$10,AK92,0))),0)</f>
        <v>26.349994659423828</v>
      </c>
      <c r="AM92" s="708">
        <f t="shared" si="72"/>
        <v>35.662316545271707</v>
      </c>
      <c r="AN92" s="916">
        <f t="shared" si="73"/>
        <v>0</v>
      </c>
      <c r="AO92" s="905"/>
      <c r="AP92" s="925"/>
      <c r="AQ92" s="926">
        <f>IF(Tables!$E$30="New York",INDEX('NY Curve'!$A$4:$L$256,MATCH('Monthly Table'!B92,'NY Curve'!$A$4:$A$256,0),MATCH("New York Shoulder Hour Curve Mon-Fri",'NY Curve'!$A$4:$L$4,0)),IF(Tables!$E$30="Michigan",INDEX('Michigan Curve'!$A$4:$K$256,MATCH('Monthly Table'!B92,'Michigan Curve'!$A$4:$A$256,0),MATCH("Michigan Shoulder Hour Curve Mon-Fri",'Michigan Curve'!$A$4:$K$4,0))))</f>
        <v>26.349994659423828</v>
      </c>
      <c r="AR92" s="708">
        <f t="shared" si="74"/>
        <v>35.662316545271707</v>
      </c>
      <c r="AS92" s="927">
        <f t="shared" si="61"/>
        <v>0</v>
      </c>
      <c r="AT92" s="462"/>
      <c r="AU92" s="926">
        <f>IF(Tables!$E$30="New York",INDEX('NY Curve'!$A$4:$L$256,MATCH('Monthly Table'!$B92,'NY Curve'!$A$4:$A$256,0),MATCH("New York Saturday Super Peak",'NY Curve'!$A$4:$L$4,0)),IF(Tables!$E$30="Michigan",INDEX('Michigan Curve'!$A$4:$K$256,MATCH('Monthly Table'!$B92,'Michigan Curve'!$A$4:$A$256,0),MATCH("Michigan Saturday Super Peak",'Michigan Curve'!$A$4:$K$4,0))))</f>
        <v>19.996000289916992</v>
      </c>
      <c r="AV92" s="925">
        <f t="shared" si="62"/>
        <v>27.062764193894427</v>
      </c>
      <c r="AW92" s="927">
        <f t="shared" si="63"/>
        <v>0</v>
      </c>
      <c r="AX92" s="926">
        <f>IF(Tables!$E$30="New York",INDEX('NY Curve'!$A$4:$L$256,MATCH('Monthly Table'!$B92,'NY Curve'!$A$4:$A$256,0),MATCH("New York Saturday Shoulder Peak",'NY Curve'!$A$4:$L$4,0)),IF(Tables!$E$30="Michigan",INDEX('Michigan Curve'!$A$4:$K$256,MATCH('Monthly Table'!$B92,'Michigan Curve'!$A$4:$A$256,0),MATCH("Michigan Saturday Shoulder Peak",'Michigan Curve'!$A$4:$K$4,0))))</f>
        <v>19.996000289916992</v>
      </c>
      <c r="AY92" s="934">
        <f t="shared" si="75"/>
        <v>27.062764193894427</v>
      </c>
      <c r="AZ92" s="927">
        <f t="shared" si="64"/>
        <v>0</v>
      </c>
      <c r="BA92" s="462"/>
      <c r="BB92" s="926">
        <f>IF(Tables!$E$30="New York",INDEX('NY Curve'!$A$4:$M$256,MATCH('Monthly Table'!$B92,'NY Curve'!$A$4:$A$256,0),MATCH("NY Sunday Super Peak",'NY Curve'!$A$4:$M$4,0)),IF(Tables!$E$30="Michigan",INDEX('Michigan Curve'!$A$4:$L$256,MATCH('Monthly Table'!$B92,'Michigan Curve'!$A$4:$A$256,0),MATCH("Michigan Sunday Super Peak",'Michigan Curve'!$A$4:$L$4,0))))</f>
        <v>18.996500015258789</v>
      </c>
      <c r="BC92" s="925">
        <f t="shared" si="76"/>
        <v>25.710031654755223</v>
      </c>
      <c r="BD92" s="927">
        <f t="shared" si="65"/>
        <v>0</v>
      </c>
      <c r="BE92" s="462"/>
      <c r="BF92" s="598">
        <f t="shared" si="56"/>
        <v>39356</v>
      </c>
      <c r="BG92" s="583">
        <f t="shared" si="77"/>
        <v>0</v>
      </c>
      <c r="BH92" s="764">
        <f>IF(Tables!$B$36="Combined Cycle",(BF92-BF91)*24*Assumptions!$B$21,0)</f>
        <v>0</v>
      </c>
      <c r="BI92" s="315">
        <f t="shared" si="78"/>
        <v>0</v>
      </c>
      <c r="BJ92" s="987">
        <f>IF('Monthly Table'!D92&lt;=Tables!$B$21,IF($BJ$10=$BG$10,BG92,IF($BJ$10=$BH$10,BH92,IF($BJ$10=$BI$10,BI92,0))),0)</f>
        <v>0</v>
      </c>
      <c r="BK92" s="43"/>
      <c r="BL92" s="987">
        <f t="shared" si="79"/>
        <v>0</v>
      </c>
      <c r="BM92" s="987">
        <f t="shared" si="80"/>
        <v>0</v>
      </c>
      <c r="BO92" s="987">
        <f t="shared" si="66"/>
        <v>0</v>
      </c>
      <c r="BP92" s="987">
        <f t="shared" si="81"/>
        <v>0</v>
      </c>
      <c r="BR92" s="993">
        <f>IF(BJ92&gt;0,INDEX(OperationalDetail,MATCH("Capacity Degradation",ODColumn,0),MATCH('Monthly Table'!C92,ODRow,0)),0)</f>
        <v>0</v>
      </c>
      <c r="BS92" s="994">
        <f>BJ92*(1-BR92)*Tables!$C$36</f>
        <v>0</v>
      </c>
      <c r="BT92" s="601">
        <f t="shared" si="67"/>
        <v>0</v>
      </c>
      <c r="BU92" s="601">
        <f t="shared" si="68"/>
        <v>0</v>
      </c>
      <c r="BV92" s="462"/>
      <c r="BW92" s="785">
        <f>$BO92*(1-$BR92)*Tables!$C$36</f>
        <v>0</v>
      </c>
      <c r="BX92" s="602">
        <f t="shared" si="82"/>
        <v>0</v>
      </c>
      <c r="BY92" s="601">
        <f t="shared" si="83"/>
        <v>0</v>
      </c>
      <c r="BZ92" s="462"/>
      <c r="CA92" s="785">
        <f>$BL92*(1-$BR92)*Tables!$C$36</f>
        <v>0</v>
      </c>
      <c r="CB92" s="602">
        <f t="shared" si="84"/>
        <v>0</v>
      </c>
      <c r="CC92" s="601">
        <f t="shared" si="85"/>
        <v>0</v>
      </c>
      <c r="CD92" s="785">
        <f>$BP92*(1-$BR92)*Tables!$C$36</f>
        <v>0</v>
      </c>
      <c r="CE92" s="602">
        <f t="shared" si="86"/>
        <v>0</v>
      </c>
      <c r="CF92" s="601">
        <f t="shared" si="87"/>
        <v>0</v>
      </c>
      <c r="CH92" s="785">
        <f>$BM92*(1-$BR92)*Tables!$C$36</f>
        <v>0</v>
      </c>
      <c r="CI92" s="602">
        <f t="shared" si="88"/>
        <v>0</v>
      </c>
      <c r="CJ92" s="601">
        <f t="shared" si="89"/>
        <v>0</v>
      </c>
      <c r="CK92" s="304"/>
      <c r="CL92" s="304">
        <f t="shared" si="90"/>
        <v>2006</v>
      </c>
      <c r="CM92" s="1018">
        <f>INDEX(OperationalDetail,MATCH("Degraded Heat Rate",ODColumn,0),MATCH('Monthly Table'!CL92,ODRow,0))/1000</f>
        <v>11.985833599999999</v>
      </c>
      <c r="CN92" s="737">
        <f t="shared" si="69"/>
        <v>54.154619357477678</v>
      </c>
      <c r="CO92" s="1019">
        <f>IF(A92="January",(CO91*(1+Assumptions!$E$32)),CO91)</f>
        <v>7.5854077452550825</v>
      </c>
      <c r="CP92" s="741">
        <f t="shared" si="57"/>
        <v>61.740027102732761</v>
      </c>
      <c r="CQ92" s="304"/>
      <c r="CR92" s="575" t="str">
        <f t="shared" si="91"/>
        <v/>
      </c>
      <c r="CS92" s="575" t="str">
        <f t="shared" si="92"/>
        <v/>
      </c>
      <c r="CT92" s="575" t="str">
        <f t="shared" si="93"/>
        <v/>
      </c>
      <c r="CU92" s="575" t="str">
        <f t="shared" si="94"/>
        <v/>
      </c>
      <c r="CV92" s="575" t="str">
        <f t="shared" si="95"/>
        <v/>
      </c>
      <c r="CW92" s="576">
        <f t="shared" si="58"/>
        <v>2007</v>
      </c>
      <c r="CX92" s="787">
        <f>INDEX('NY Curve'!$A$4:$G$256,MATCH('Monthly Table'!B92,'NY Curve'!$A$4:$A$256,0),MATCH("New York 5 X 16",'NY Curve'!$A$4:$G$4,0))</f>
        <v>25.7</v>
      </c>
      <c r="CY92" s="632">
        <f t="shared" si="59"/>
        <v>1.3534088718502799</v>
      </c>
      <c r="CZ92" s="633">
        <f t="shared" si="60"/>
        <v>34.782608006552195</v>
      </c>
      <c r="DB92" s="857"/>
      <c r="DC92" s="857"/>
    </row>
    <row r="93" spans="1:107" ht="18.75" customHeight="1">
      <c r="A93" s="17" t="s">
        <v>447</v>
      </c>
      <c r="B93" s="508">
        <v>39387</v>
      </c>
      <c r="C93" s="43">
        <f t="shared" si="49"/>
        <v>2007</v>
      </c>
      <c r="D93" s="719">
        <f t="shared" si="96"/>
        <v>7</v>
      </c>
      <c r="E93" s="972">
        <v>21</v>
      </c>
      <c r="F93" s="971">
        <v>4</v>
      </c>
      <c r="G93" s="971">
        <v>4</v>
      </c>
      <c r="H93" s="971">
        <v>1</v>
      </c>
      <c r="I93" s="976">
        <f t="shared" si="70"/>
        <v>30</v>
      </c>
      <c r="J93" s="621"/>
      <c r="K93" s="572">
        <f>INDEX(FX!$A$3:$C$362,MATCH(B93,FX!$A$3:$A$362,0),MATCH("Monthly Curve",FX!$A$2:$C$2,0))</f>
        <v>1.3524826272319299</v>
      </c>
      <c r="L93" s="572"/>
      <c r="M93" s="1057">
        <v>3.0345</v>
      </c>
      <c r="N93" s="1067">
        <v>0.23</v>
      </c>
      <c r="O93" s="315">
        <v>0.05</v>
      </c>
      <c r="P93" s="797">
        <f t="shared" si="51"/>
        <v>0.28000000000000003</v>
      </c>
      <c r="Q93" s="732">
        <f t="shared" si="52"/>
        <v>3.3144999999999998</v>
      </c>
      <c r="R93" s="723">
        <f>IF(A93="January",(R92+R92*Assumptions!$E$32),R92)</f>
        <v>0.33821555371182277</v>
      </c>
      <c r="S93" s="730">
        <f t="shared" si="53"/>
        <v>4.8210192216720547</v>
      </c>
      <c r="T93" s="572"/>
      <c r="U93" s="509"/>
      <c r="V93" s="584"/>
      <c r="W93" s="584"/>
      <c r="X93" s="461"/>
      <c r="Y93" s="588">
        <f>Tables!$D$36</f>
        <v>312</v>
      </c>
      <c r="Z93" s="570">
        <f t="shared" si="54"/>
        <v>0</v>
      </c>
      <c r="AA93" s="592">
        <f t="shared" si="55"/>
        <v>0</v>
      </c>
      <c r="AB93" s="589">
        <f t="shared" si="50"/>
        <v>0</v>
      </c>
      <c r="AC93" s="462"/>
      <c r="AD93" s="1027">
        <f>IF(Tables!$E$30="Michigan",INDEX('Michigan Curve'!$A$4:$S$256,MATCH('Monthly Table'!B93,'Michigan Curve'!$A$4:$A$256,0),MATCH("Michigan Selected Option Value US$/month",'Michigan Curve'!$A$4:$S$4,0)),INDEX('NY Curve'!$A$4:$T$256,MATCH('Monthly Table'!B93,'NY Curve'!$A$4:$A$256,0),MATCH("New York Selected Option Value US$/month",'NY Curve'!$A$4:$T$4,0)))</f>
        <v>48106.527605512783</v>
      </c>
      <c r="AE93" s="601">
        <f t="shared" si="71"/>
        <v>65063.242842909291</v>
      </c>
      <c r="AF93" s="462"/>
      <c r="AG93" s="915"/>
      <c r="AH93" s="462"/>
      <c r="AI93" s="799">
        <f>Assumptions!$B$50</f>
        <v>65</v>
      </c>
      <c r="AJ93" s="743"/>
      <c r="AK93" s="924">
        <f>IF(Tables!$E$30="Custom",'Monthly Table'!AI93,IF(Tables!$E$30="New York",INDEX('NY Curve'!$A$4:$G$256,MATCH('Monthly Table'!B93,'NY Curve'!$A$4:$A$256,0),MATCH("Super Peak Curve",'NY Curve'!$A$4:$G$4,0)),IF(Tables!$E$30="New York Flat",INDEX('NY Curve'!$A$4:$G$256,MATCH('Monthly Table'!B93,'NY Curve'!$A$4:$A$256,0),MATCH("Flat NY West",'NY Curve'!$A$4:$G$4,0)),INDEX('Michigan Curve'!$A$4:$F$256,MATCH('Monthly Table'!B93,'Michigan Curve'!$A$4:$A$256,0),MATCH("Michigan Super Peak Curve US$/MWhr",'Michigan Curve'!$A$4:$F$4,0)))))</f>
        <v>28.328395385742191</v>
      </c>
      <c r="AL93" s="965">
        <f>IF(D93&lt;=Tables!$B$21,IF($AL$10=$AI$10,AI93,IF($AL$10=$AJ$10,AJ93,IF($AL$10=$AK$10,AK93,0))),0)</f>
        <v>28.328395385742191</v>
      </c>
      <c r="AM93" s="708">
        <f t="shared" si="72"/>
        <v>38.313662616573481</v>
      </c>
      <c r="AN93" s="916">
        <f t="shared" si="73"/>
        <v>0</v>
      </c>
      <c r="AO93" s="905"/>
      <c r="AP93" s="925"/>
      <c r="AQ93" s="926">
        <f>IF(Tables!$E$30="New York",INDEX('NY Curve'!$A$4:$L$256,MATCH('Monthly Table'!B93,'NY Curve'!$A$4:$A$256,0),MATCH("New York Shoulder Hour Curve Mon-Fri",'NY Curve'!$A$4:$L$4,0)),IF(Tables!$E$30="Michigan",INDEX('Michigan Curve'!$A$4:$K$256,MATCH('Monthly Table'!B93,'Michigan Curve'!$A$4:$A$256,0),MATCH("Michigan Shoulder Hour Curve Mon-Fri",'Michigan Curve'!$A$4:$K$4,0))))</f>
        <v>24.131596069335934</v>
      </c>
      <c r="AR93" s="708">
        <f t="shared" si="74"/>
        <v>32.637564451155178</v>
      </c>
      <c r="AS93" s="927">
        <f t="shared" si="61"/>
        <v>0</v>
      </c>
      <c r="AT93" s="462"/>
      <c r="AU93" s="926">
        <f>IF(Tables!$E$30="New York",INDEX('NY Curve'!$A$4:$L$256,MATCH('Monthly Table'!$B93,'NY Curve'!$A$4:$A$256,0),MATCH("New York Saturday Super Peak",'NY Curve'!$A$4:$L$4,0)),IF(Tables!$E$30="Michigan",INDEX('Michigan Curve'!$A$4:$K$256,MATCH('Monthly Table'!$B93,'Michigan Curve'!$A$4:$A$256,0),MATCH("Michigan Saturday Super Peak",'Michigan Curve'!$A$4:$K$4,0))))</f>
        <v>21.6</v>
      </c>
      <c r="AV93" s="925">
        <f t="shared" si="62"/>
        <v>29.213624748209689</v>
      </c>
      <c r="AW93" s="927">
        <f t="shared" si="63"/>
        <v>0</v>
      </c>
      <c r="AX93" s="926">
        <f>IF(Tables!$E$30="New York",INDEX('NY Curve'!$A$4:$L$256,MATCH('Monthly Table'!$B93,'NY Curve'!$A$4:$A$256,0),MATCH("New York Saturday Shoulder Peak",'NY Curve'!$A$4:$L$4,0)),IF(Tables!$E$30="Michigan",INDEX('Michigan Curve'!$A$4:$K$256,MATCH('Monthly Table'!$B93,'Michigan Curve'!$A$4:$A$256,0),MATCH("Michigan Saturday Shoulder Peak",'Michigan Curve'!$A$4:$K$4,0))))</f>
        <v>18.399999999999999</v>
      </c>
      <c r="AY93" s="934">
        <f t="shared" si="75"/>
        <v>24.885680341067509</v>
      </c>
      <c r="AZ93" s="927">
        <f t="shared" si="64"/>
        <v>0</v>
      </c>
      <c r="BA93" s="462"/>
      <c r="BB93" s="926">
        <f>IF(Tables!$E$30="New York",INDEX('NY Curve'!$A$4:$M$256,MATCH('Monthly Table'!$B93,'NY Curve'!$A$4:$A$256,0),MATCH("NY Sunday Super Peak",'NY Curve'!$A$4:$M$4,0)),IF(Tables!$E$30="Michigan",INDEX('Michigan Curve'!$A$4:$L$256,MATCH('Monthly Table'!$B93,'Michigan Curve'!$A$4:$A$256,0),MATCH("Michigan Sunday Super Peak",'Michigan Curve'!$A$4:$L$4,0))))</f>
        <v>20.520000000000003</v>
      </c>
      <c r="BC93" s="925">
        <f t="shared" si="76"/>
        <v>27.752943510799206</v>
      </c>
      <c r="BD93" s="927">
        <f t="shared" si="65"/>
        <v>0</v>
      </c>
      <c r="BE93" s="462"/>
      <c r="BF93" s="598">
        <f t="shared" si="56"/>
        <v>39387</v>
      </c>
      <c r="BG93" s="583">
        <f t="shared" si="77"/>
        <v>0</v>
      </c>
      <c r="BH93" s="764">
        <f>IF(Tables!$B$36="Combined Cycle",(BF93-BF92)*24*Assumptions!$B$21,0)</f>
        <v>0</v>
      </c>
      <c r="BI93" s="315">
        <f t="shared" si="78"/>
        <v>0</v>
      </c>
      <c r="BJ93" s="987">
        <f>IF('Monthly Table'!D93&lt;=Tables!$B$21,IF($BJ$10=$BG$10,BG93,IF($BJ$10=$BH$10,BH93,IF($BJ$10=$BI$10,BI93,0))),0)</f>
        <v>0</v>
      </c>
      <c r="BK93" s="43"/>
      <c r="BL93" s="987">
        <f t="shared" si="79"/>
        <v>0</v>
      </c>
      <c r="BM93" s="987">
        <f t="shared" si="80"/>
        <v>0</v>
      </c>
      <c r="BO93" s="987">
        <f t="shared" si="66"/>
        <v>0</v>
      </c>
      <c r="BP93" s="987">
        <f t="shared" si="81"/>
        <v>0</v>
      </c>
      <c r="BR93" s="993">
        <f>IF(BJ93&gt;0,INDEX(OperationalDetail,MATCH("Capacity Degradation",ODColumn,0),MATCH('Monthly Table'!C93,ODRow,0)),0)</f>
        <v>0</v>
      </c>
      <c r="BS93" s="994">
        <f>BJ93*(1-BR93)*Tables!$C$36</f>
        <v>0</v>
      </c>
      <c r="BT93" s="601">
        <f t="shared" si="67"/>
        <v>0</v>
      </c>
      <c r="BU93" s="601">
        <f t="shared" si="68"/>
        <v>0</v>
      </c>
      <c r="BV93" s="462"/>
      <c r="BW93" s="785">
        <f>$BO93*(1-$BR93)*Tables!$C$36</f>
        <v>0</v>
      </c>
      <c r="BX93" s="602">
        <f t="shared" si="82"/>
        <v>0</v>
      </c>
      <c r="BY93" s="601">
        <f t="shared" si="83"/>
        <v>0</v>
      </c>
      <c r="BZ93" s="462"/>
      <c r="CA93" s="785">
        <f>$BL93*(1-$BR93)*Tables!$C$36</f>
        <v>0</v>
      </c>
      <c r="CB93" s="602">
        <f t="shared" si="84"/>
        <v>0</v>
      </c>
      <c r="CC93" s="601">
        <f t="shared" si="85"/>
        <v>0</v>
      </c>
      <c r="CD93" s="785">
        <f>$BP93*(1-$BR93)*Tables!$C$36</f>
        <v>0</v>
      </c>
      <c r="CE93" s="602">
        <f t="shared" si="86"/>
        <v>0</v>
      </c>
      <c r="CF93" s="601">
        <f t="shared" si="87"/>
        <v>0</v>
      </c>
      <c r="CH93" s="785">
        <f>$BM93*(1-$BR93)*Tables!$C$36</f>
        <v>0</v>
      </c>
      <c r="CI93" s="602">
        <f t="shared" si="88"/>
        <v>0</v>
      </c>
      <c r="CJ93" s="601">
        <f t="shared" si="89"/>
        <v>0</v>
      </c>
      <c r="CK93" s="304"/>
      <c r="CL93" s="304">
        <f t="shared" si="90"/>
        <v>2006</v>
      </c>
      <c r="CM93" s="1018">
        <f>INDEX(OperationalDetail,MATCH("Degraded Heat Rate",ODColumn,0),MATCH('Monthly Table'!CL93,ODRow,0))/1000</f>
        <v>11.985833599999999</v>
      </c>
      <c r="CN93" s="737">
        <f t="shared" si="69"/>
        <v>57.783934173362759</v>
      </c>
      <c r="CO93" s="1019">
        <f>IF(A93="January",(CO92*(1+Assumptions!$E$32)),CO92)</f>
        <v>7.5854077452550825</v>
      </c>
      <c r="CP93" s="741">
        <f t="shared" si="57"/>
        <v>65.369341918617835</v>
      </c>
      <c r="CQ93" s="304"/>
      <c r="CR93" s="575" t="str">
        <f t="shared" si="91"/>
        <v/>
      </c>
      <c r="CS93" s="575" t="str">
        <f t="shared" si="92"/>
        <v/>
      </c>
      <c r="CT93" s="575" t="str">
        <f t="shared" si="93"/>
        <v/>
      </c>
      <c r="CU93" s="575" t="str">
        <f t="shared" si="94"/>
        <v/>
      </c>
      <c r="CV93" s="575" t="str">
        <f t="shared" si="95"/>
        <v/>
      </c>
      <c r="CW93" s="576">
        <f t="shared" si="58"/>
        <v>2007</v>
      </c>
      <c r="CX93" s="787">
        <f>INDEX('NY Curve'!$A$4:$G$256,MATCH('Monthly Table'!B93,'NY Curve'!$A$4:$A$256,0),MATCH("New York 5 X 16",'NY Curve'!$A$4:$G$4,0))</f>
        <v>26.2</v>
      </c>
      <c r="CY93" s="632">
        <f t="shared" si="59"/>
        <v>1.3524826272319299</v>
      </c>
      <c r="CZ93" s="633">
        <f t="shared" si="60"/>
        <v>35.43504483347656</v>
      </c>
      <c r="DB93" s="857"/>
      <c r="DC93" s="857"/>
    </row>
    <row r="94" spans="1:107" s="222" customFormat="1" ht="18.75" customHeight="1">
      <c r="A94" s="222" t="s">
        <v>448</v>
      </c>
      <c r="B94" s="564">
        <v>39417</v>
      </c>
      <c r="C94" s="565">
        <f t="shared" si="49"/>
        <v>2007</v>
      </c>
      <c r="D94" s="819">
        <f t="shared" si="96"/>
        <v>7</v>
      </c>
      <c r="E94" s="972">
        <v>20</v>
      </c>
      <c r="F94" s="971">
        <v>5</v>
      </c>
      <c r="G94" s="971">
        <v>5</v>
      </c>
      <c r="H94" s="971">
        <v>1</v>
      </c>
      <c r="I94" s="976">
        <f t="shared" si="70"/>
        <v>31</v>
      </c>
      <c r="J94" s="969"/>
      <c r="K94" s="820">
        <f>INDEX(FX!$A$3:$C$362,MATCH(B94,FX!$A$3:$A$362,0),MATCH("Monthly Curve",FX!$A$2:$C$2,0))</f>
        <v>1.3515902303978899</v>
      </c>
      <c r="L94" s="820"/>
      <c r="M94" s="1068">
        <v>3.1605000000000003</v>
      </c>
      <c r="N94" s="1069">
        <v>0.27</v>
      </c>
      <c r="O94" s="831">
        <v>0.05</v>
      </c>
      <c r="P94" s="824">
        <f t="shared" si="51"/>
        <v>0.32</v>
      </c>
      <c r="Q94" s="825">
        <f t="shared" si="52"/>
        <v>3.4805000000000001</v>
      </c>
      <c r="R94" s="837">
        <f>IF(A94="January",(R93+R93*Assumptions!$E$32),R93)</f>
        <v>0.33821555371182277</v>
      </c>
      <c r="S94" s="827">
        <f t="shared" si="53"/>
        <v>5.042425350611679</v>
      </c>
      <c r="T94" s="820"/>
      <c r="U94" s="567"/>
      <c r="V94" s="838"/>
      <c r="W94" s="838"/>
      <c r="X94" s="566"/>
      <c r="Y94" s="839">
        <f>Tables!$D$36</f>
        <v>312</v>
      </c>
      <c r="Z94" s="678">
        <f t="shared" si="54"/>
        <v>0</v>
      </c>
      <c r="AA94" s="679">
        <f t="shared" si="55"/>
        <v>0</v>
      </c>
      <c r="AB94" s="680">
        <f t="shared" si="50"/>
        <v>0</v>
      </c>
      <c r="AC94" s="828"/>
      <c r="AD94" s="1027">
        <f>IF(Tables!$E$30="Michigan",INDEX('Michigan Curve'!$A$4:$S$256,MATCH('Monthly Table'!B94,'Michigan Curve'!$A$4:$A$256,0),MATCH("Michigan Selected Option Value US$/month",'Michigan Curve'!$A$4:$S$4,0)),INDEX('NY Curve'!$A$4:$T$256,MATCH('Monthly Table'!B94,'NY Curve'!$A$4:$A$256,0),MATCH("New York Selected Option Value US$/month",'NY Curve'!$A$4:$T$4,0)))</f>
        <v>27456.803087313681</v>
      </c>
      <c r="AE94" s="601">
        <f t="shared" si="71"/>
        <v>37110.346810771793</v>
      </c>
      <c r="AF94" s="828"/>
      <c r="AG94" s="917"/>
      <c r="AH94" s="828"/>
      <c r="AI94" s="799">
        <f>Assumptions!$B$50</f>
        <v>65</v>
      </c>
      <c r="AJ94" s="762"/>
      <c r="AK94" s="924">
        <f>IF(Tables!$E$30="Custom",'Monthly Table'!AI94,IF(Tables!$E$30="New York",INDEX('NY Curve'!$A$4:$G$256,MATCH('Monthly Table'!B94,'NY Curve'!$A$4:$A$256,0),MATCH("Super Peak Curve",'NY Curve'!$A$4:$G$4,0)),IF(Tables!$E$30="New York Flat",INDEX('NY Curve'!$A$4:$G$256,MATCH('Monthly Table'!B94,'NY Curve'!$A$4:$A$256,0),MATCH("Flat NY West",'NY Curve'!$A$4:$G$4,0)),INDEX('Michigan Curve'!$A$4:$F$256,MATCH('Monthly Table'!B94,'Michigan Curve'!$A$4:$A$256,0),MATCH("Michigan Super Peak Curve US$/MWhr",'Michigan Curve'!$A$4:$F$4,0)))))</f>
        <v>27.233994941711426</v>
      </c>
      <c r="AL94" s="966">
        <f>IF(D94&lt;=Tables!$B$21,IF($AL$10=$AI$10,AI94,IF($AL$10=$AJ$10,AJ94,IF($AL$10=$AK$10,AK94,0))),0)</f>
        <v>27.233994941711426</v>
      </c>
      <c r="AM94" s="879">
        <f t="shared" si="72"/>
        <v>36.809201497922714</v>
      </c>
      <c r="AN94" s="918">
        <f t="shared" si="73"/>
        <v>0</v>
      </c>
      <c r="AO94" s="906"/>
      <c r="AP94" s="925"/>
      <c r="AQ94" s="926">
        <f>IF(Tables!$E$30="New York",INDEX('NY Curve'!$A$4:$L$256,MATCH('Monthly Table'!B94,'NY Curve'!$A$4:$A$256,0),MATCH("New York Shoulder Hour Curve Mon-Fri",'NY Curve'!$A$4:$L$4,0)),IF(Tables!$E$30="Michigan",INDEX('Michigan Curve'!$A$4:$K$256,MATCH('Monthly Table'!B94,'Michigan Curve'!$A$4:$A$256,0),MATCH("Michigan Shoulder Hour Curve Mon-Fri",'Michigan Curve'!$A$4:$K$4,0))))</f>
        <v>26.165995140075683</v>
      </c>
      <c r="AR94" s="708">
        <f t="shared" si="74"/>
        <v>35.365703399964964</v>
      </c>
      <c r="AS94" s="927">
        <f t="shared" si="61"/>
        <v>0</v>
      </c>
      <c r="AT94" s="828"/>
      <c r="AU94" s="926">
        <f>IF(Tables!$E$30="New York",INDEX('NY Curve'!$A$4:$L$256,MATCH('Monthly Table'!$B94,'NY Curve'!$A$4:$A$256,0),MATCH("New York Saturday Super Peak",'NY Curve'!$A$4:$L$4,0)),IF(Tables!$E$30="Michigan",INDEX('Michigan Curve'!$A$4:$K$256,MATCH('Monthly Table'!$B94,'Michigan Curve'!$A$4:$A$256,0),MATCH("Michigan Saturday Super Peak",'Michigan Curve'!$A$4:$K$4,0))))</f>
        <v>20.399999999999999</v>
      </c>
      <c r="AV94" s="925">
        <f t="shared" si="62"/>
        <v>27.572440700116953</v>
      </c>
      <c r="AW94" s="927">
        <f t="shared" si="63"/>
        <v>0</v>
      </c>
      <c r="AX94" s="926">
        <f>IF(Tables!$E$30="New York",INDEX('NY Curve'!$A$4:$L$256,MATCH('Monthly Table'!$B94,'NY Curve'!$A$4:$A$256,0),MATCH("New York Saturday Shoulder Peak",'NY Curve'!$A$4:$L$4,0)),IF(Tables!$E$30="Michigan",INDEX('Michigan Curve'!$A$4:$K$256,MATCH('Monthly Table'!$B94,'Michigan Curve'!$A$4:$A$256,0),MATCH("Michigan Saturday Shoulder Peak",'Michigan Curve'!$A$4:$K$4,0))))</f>
        <v>19.600000000000001</v>
      </c>
      <c r="AY94" s="934">
        <f t="shared" si="75"/>
        <v>26.491168515798645</v>
      </c>
      <c r="AZ94" s="927">
        <f t="shared" si="64"/>
        <v>0</v>
      </c>
      <c r="BA94" s="828"/>
      <c r="BB94" s="926">
        <f>IF(Tables!$E$30="New York",INDEX('NY Curve'!$A$4:$M$256,MATCH('Monthly Table'!$B94,'NY Curve'!$A$4:$A$256,0),MATCH("NY Sunday Super Peak",'NY Curve'!$A$4:$M$4,0)),IF(Tables!$E$30="Michigan",INDEX('Michigan Curve'!$A$4:$L$256,MATCH('Monthly Table'!$B94,'Michigan Curve'!$A$4:$A$256,0),MATCH("Michigan Sunday Super Peak",'Michigan Curve'!$A$4:$L$4,0))))</f>
        <v>19.38</v>
      </c>
      <c r="BC94" s="925">
        <f t="shared" si="76"/>
        <v>26.193818665111106</v>
      </c>
      <c r="BD94" s="927">
        <f t="shared" si="65"/>
        <v>0</v>
      </c>
      <c r="BE94" s="828"/>
      <c r="BF94" s="829">
        <f t="shared" si="56"/>
        <v>39417</v>
      </c>
      <c r="BG94" s="583">
        <f t="shared" si="77"/>
        <v>0</v>
      </c>
      <c r="BH94" s="840">
        <f>IF(Tables!$B$36="Combined Cycle",(BF94-BF93)*24*Assumptions!$B$21,0)</f>
        <v>0</v>
      </c>
      <c r="BI94" s="315">
        <f t="shared" si="78"/>
        <v>0</v>
      </c>
      <c r="BJ94" s="988">
        <f>IF('Monthly Table'!D94&lt;=Tables!$B$21,IF($BJ$10=$BG$10,BG94,IF($BJ$10=$BH$10,BH94,IF($BJ$10=$BI$10,BI94,0))),0)</f>
        <v>0</v>
      </c>
      <c r="BK94" s="43"/>
      <c r="BL94" s="987">
        <f t="shared" si="79"/>
        <v>0</v>
      </c>
      <c r="BM94" s="987">
        <f t="shared" si="80"/>
        <v>0</v>
      </c>
      <c r="BN94" s="43"/>
      <c r="BO94" s="987">
        <f t="shared" si="66"/>
        <v>0</v>
      </c>
      <c r="BP94" s="987">
        <f t="shared" si="81"/>
        <v>0</v>
      </c>
      <c r="BQ94" s="43"/>
      <c r="BR94" s="995">
        <f>IF(BJ94&gt;0,INDEX(OperationalDetail,MATCH("Capacity Degradation",ODColumn,0),MATCH('Monthly Table'!C94,ODRow,0)),0)</f>
        <v>0</v>
      </c>
      <c r="BS94" s="994">
        <f>BJ94*(1-BR94)*Tables!$C$36</f>
        <v>0</v>
      </c>
      <c r="BT94" s="834">
        <f t="shared" si="67"/>
        <v>0</v>
      </c>
      <c r="BU94" s="834">
        <f t="shared" si="68"/>
        <v>0</v>
      </c>
      <c r="BV94" s="462"/>
      <c r="BW94" s="785">
        <f>$BO94*(1-$BR94)*Tables!$C$36</f>
        <v>0</v>
      </c>
      <c r="BX94" s="602">
        <f t="shared" si="82"/>
        <v>0</v>
      </c>
      <c r="BY94" s="601">
        <f t="shared" si="83"/>
        <v>0</v>
      </c>
      <c r="BZ94" s="828"/>
      <c r="CA94" s="785">
        <f>$BL94*(1-$BR94)*Tables!$C$36</f>
        <v>0</v>
      </c>
      <c r="CB94" s="602">
        <f t="shared" si="84"/>
        <v>0</v>
      </c>
      <c r="CC94" s="601">
        <f t="shared" si="85"/>
        <v>0</v>
      </c>
      <c r="CD94" s="785">
        <f>$BP94*(1-$BR94)*Tables!$C$36</f>
        <v>0</v>
      </c>
      <c r="CE94" s="602">
        <f t="shared" si="86"/>
        <v>0</v>
      </c>
      <c r="CF94" s="601">
        <f t="shared" si="87"/>
        <v>0</v>
      </c>
      <c r="CH94" s="785">
        <f>$BM94*(1-$BR94)*Tables!$C$36</f>
        <v>0</v>
      </c>
      <c r="CI94" s="602">
        <f t="shared" si="88"/>
        <v>0</v>
      </c>
      <c r="CJ94" s="601">
        <f t="shared" si="89"/>
        <v>0</v>
      </c>
      <c r="CK94" s="880"/>
      <c r="CL94" s="304">
        <f t="shared" si="90"/>
        <v>2006</v>
      </c>
      <c r="CM94" s="1018">
        <f>INDEX(OperationalDetail,MATCH("Degraded Heat Rate",ODColumn,0),MATCH('Monthly Table'!CL94,ODRow,0))/1000</f>
        <v>11.985833599999999</v>
      </c>
      <c r="CN94" s="835">
        <f t="shared" si="69"/>
        <v>60.437671192853237</v>
      </c>
      <c r="CO94" s="1020">
        <f>IF(A94="January",(CO93*(1+Assumptions!$E$32)),CO93)</f>
        <v>7.5854077452550825</v>
      </c>
      <c r="CP94" s="836">
        <f t="shared" si="57"/>
        <v>68.023078938108313</v>
      </c>
      <c r="CQ94" s="880"/>
      <c r="CR94" s="841" t="str">
        <f t="shared" si="91"/>
        <v/>
      </c>
      <c r="CS94" s="575" t="str">
        <f t="shared" si="92"/>
        <v/>
      </c>
      <c r="CT94" s="575" t="str">
        <f t="shared" si="93"/>
        <v/>
      </c>
      <c r="CU94" s="575" t="str">
        <f t="shared" si="94"/>
        <v/>
      </c>
      <c r="CV94" s="575" t="str">
        <f t="shared" si="95"/>
        <v/>
      </c>
      <c r="CW94" s="842">
        <f t="shared" si="58"/>
        <v>2007</v>
      </c>
      <c r="CX94" s="843">
        <f>INDEX('NY Curve'!$A$4:$G$256,MATCH('Monthly Table'!B94,'NY Curve'!$A$4:$A$256,0),MATCH("New York 5 X 16",'NY Curve'!$A$4:$G$4,0))</f>
        <v>26.7</v>
      </c>
      <c r="CY94" s="844">
        <f t="shared" si="59"/>
        <v>1.3515902303978899</v>
      </c>
      <c r="CZ94" s="845">
        <f t="shared" si="60"/>
        <v>36.087459151623662</v>
      </c>
      <c r="DB94" s="881"/>
      <c r="DC94" s="881"/>
    </row>
    <row r="95" spans="1:107" ht="18.75" customHeight="1">
      <c r="A95" s="17" t="s">
        <v>437</v>
      </c>
      <c r="B95" s="508">
        <v>39448</v>
      </c>
      <c r="C95" s="43">
        <f t="shared" si="49"/>
        <v>2008</v>
      </c>
      <c r="D95" s="719">
        <f t="shared" si="96"/>
        <v>8</v>
      </c>
      <c r="E95" s="972">
        <v>22</v>
      </c>
      <c r="F95" s="971">
        <v>4</v>
      </c>
      <c r="G95" s="971">
        <v>4</v>
      </c>
      <c r="H95" s="971">
        <v>1</v>
      </c>
      <c r="I95" s="976">
        <f t="shared" si="70"/>
        <v>31</v>
      </c>
      <c r="J95" s="621"/>
      <c r="K95" s="572">
        <f>INDEX(FX!$A$3:$C$362,MATCH(B95,FX!$A$3:$A$362,0),MATCH("Monthly Curve",FX!$A$2:$C$2,0))</f>
        <v>1.35067218070793</v>
      </c>
      <c r="L95" s="572"/>
      <c r="M95" s="1057">
        <v>3.2260000000000004</v>
      </c>
      <c r="N95" s="1067">
        <v>0.28000000000000003</v>
      </c>
      <c r="O95" s="315">
        <v>0.05</v>
      </c>
      <c r="P95" s="797">
        <f t="shared" si="51"/>
        <v>0.33</v>
      </c>
      <c r="Q95" s="732">
        <f t="shared" si="52"/>
        <v>3.556</v>
      </c>
      <c r="R95" s="723">
        <f>IF(A95="January",(R94+R94*Assumptions!$E$32),R94)</f>
        <v>0.34497986478605924</v>
      </c>
      <c r="S95" s="730">
        <f t="shared" si="53"/>
        <v>5.1479701393834585</v>
      </c>
      <c r="T95" s="572"/>
      <c r="U95" s="509"/>
      <c r="V95" s="584"/>
      <c r="W95" s="584"/>
      <c r="X95" s="461"/>
      <c r="Y95" s="588">
        <f>Tables!$D$36</f>
        <v>312</v>
      </c>
      <c r="Z95" s="570">
        <f t="shared" si="54"/>
        <v>0</v>
      </c>
      <c r="AA95" s="592">
        <f t="shared" si="55"/>
        <v>0</v>
      </c>
      <c r="AB95" s="589">
        <f t="shared" si="50"/>
        <v>0</v>
      </c>
      <c r="AC95" s="462"/>
      <c r="AD95" s="1027">
        <f>IF(Tables!$E$30="Michigan",INDEX('Michigan Curve'!$A$4:$S$256,MATCH('Monthly Table'!B95,'Michigan Curve'!$A$4:$A$256,0),MATCH("Michigan Selected Option Value US$/month",'Michigan Curve'!$A$4:$S$4,0)),INDEX('NY Curve'!$A$4:$T$256,MATCH('Monthly Table'!B95,'NY Curve'!$A$4:$A$256,0),MATCH("New York Selected Option Value US$/month",'NY Curve'!$A$4:$T$4,0)))</f>
        <v>43070.519819019675</v>
      </c>
      <c r="AE95" s="601">
        <f t="shared" si="71"/>
        <v>58174.152928179428</v>
      </c>
      <c r="AF95" s="462"/>
      <c r="AG95" s="915"/>
      <c r="AH95" s="462"/>
      <c r="AI95" s="799">
        <f>Assumptions!$B$50</f>
        <v>65</v>
      </c>
      <c r="AJ95" s="743"/>
      <c r="AK95" s="924">
        <f>IF(Tables!$E$30="Custom",'Monthly Table'!AI95,IF(Tables!$E$30="New York",INDEX('NY Curve'!$A$4:$G$256,MATCH('Monthly Table'!B95,'NY Curve'!$A$4:$A$256,0),MATCH("Super Peak Curve",'NY Curve'!$A$4:$G$4,0)),IF(Tables!$E$30="New York Flat",INDEX('NY Curve'!$A$4:$G$256,MATCH('Monthly Table'!B95,'NY Curve'!$A$4:$A$256,0),MATCH("Flat NY West",'NY Curve'!$A$4:$G$4,0)),INDEX('Michigan Curve'!$A$4:$F$256,MATCH('Monthly Table'!B95,'Michigan Curve'!$A$4:$A$256,0),MATCH("Michigan Super Peak Curve US$/MWhr",'Michigan Curve'!$A$4:$F$4,0)))))</f>
        <v>32.844000389099122</v>
      </c>
      <c r="AL95" s="965">
        <f>IF(D95&lt;=Tables!$B$21,IF($AL$10=$AI$10,AI95,IF($AL$10=$AJ$10,AJ95,IF($AL$10=$AK$10,AK95,0))),0)</f>
        <v>32.844000389099122</v>
      </c>
      <c r="AM95" s="708">
        <f t="shared" si="72"/>
        <v>44.361477628716614</v>
      </c>
      <c r="AN95" s="916">
        <f t="shared" si="73"/>
        <v>0</v>
      </c>
      <c r="AO95" s="905"/>
      <c r="AP95" s="925"/>
      <c r="AQ95" s="926">
        <f>IF(Tables!$E$30="New York",INDEX('NY Curve'!$A$4:$L$256,MATCH('Monthly Table'!B95,'NY Curve'!$A$4:$A$256,0),MATCH("New York Shoulder Hour Curve Mon-Fri",'NY Curve'!$A$4:$L$4,0)),IF(Tables!$E$30="Michigan",INDEX('Michigan Curve'!$A$4:$K$256,MATCH('Monthly Table'!B95,'Michigan Curve'!$A$4:$A$256,0),MATCH("Michigan Shoulder Hour Curve Mon-Fri",'Michigan Curve'!$A$4:$K$4,0))))</f>
        <v>31.556000373840334</v>
      </c>
      <c r="AR95" s="708">
        <f t="shared" si="74"/>
        <v>42.621811839355182</v>
      </c>
      <c r="AS95" s="927">
        <f t="shared" si="61"/>
        <v>0</v>
      </c>
      <c r="AT95" s="462"/>
      <c r="AU95" s="926">
        <f>IF(Tables!$E$30="New York",INDEX('NY Curve'!$A$4:$L$256,MATCH('Monthly Table'!$B95,'NY Curve'!$A$4:$A$256,0),MATCH("New York Saturday Super Peak",'NY Curve'!$A$4:$L$4,0)),IF(Tables!$E$30="Michigan",INDEX('Michigan Curve'!$A$4:$K$256,MATCH('Monthly Table'!$B95,'Michigan Curve'!$A$4:$A$256,0),MATCH("Michigan Saturday Super Peak",'Michigan Curve'!$A$4:$K$4,0))))</f>
        <v>22.44</v>
      </c>
      <c r="AV95" s="925">
        <f t="shared" si="62"/>
        <v>30.309083735085952</v>
      </c>
      <c r="AW95" s="927">
        <f t="shared" si="63"/>
        <v>0</v>
      </c>
      <c r="AX95" s="926">
        <f>IF(Tables!$E$30="New York",INDEX('NY Curve'!$A$4:$L$256,MATCH('Monthly Table'!$B95,'NY Curve'!$A$4:$A$256,0),MATCH("New York Saturday Shoulder Peak",'NY Curve'!$A$4:$L$4,0)),IF(Tables!$E$30="Michigan",INDEX('Michigan Curve'!$A$4:$K$256,MATCH('Monthly Table'!$B95,'Michigan Curve'!$A$4:$A$256,0),MATCH("Michigan Saturday Shoulder Peak",'Michigan Curve'!$A$4:$K$4,0))))</f>
        <v>21.56</v>
      </c>
      <c r="AY95" s="934">
        <f t="shared" si="75"/>
        <v>29.120492216062971</v>
      </c>
      <c r="AZ95" s="927">
        <f t="shared" si="64"/>
        <v>0</v>
      </c>
      <c r="BA95" s="462"/>
      <c r="BB95" s="926">
        <f>IF(Tables!$E$30="New York",INDEX('NY Curve'!$A$4:$M$256,MATCH('Monthly Table'!$B95,'NY Curve'!$A$4:$A$256,0),MATCH("NY Sunday Super Peak",'NY Curve'!$A$4:$M$4,0)),IF(Tables!$E$30="Michigan",INDEX('Michigan Curve'!$A$4:$L$256,MATCH('Monthly Table'!$B95,'Michigan Curve'!$A$4:$A$256,0),MATCH("Michigan Sunday Super Peak",'Michigan Curve'!$A$4:$L$4,0))))</f>
        <v>21.42</v>
      </c>
      <c r="BC95" s="925">
        <f t="shared" si="76"/>
        <v>28.931398110763865</v>
      </c>
      <c r="BD95" s="927">
        <f t="shared" si="65"/>
        <v>0</v>
      </c>
      <c r="BE95" s="462"/>
      <c r="BF95" s="598">
        <f t="shared" si="56"/>
        <v>39448</v>
      </c>
      <c r="BG95" s="583">
        <f t="shared" si="77"/>
        <v>0</v>
      </c>
      <c r="BH95" s="764">
        <f>IF(Tables!$B$36="Combined Cycle",(BF95-BF94)*24*Assumptions!$B$21,0)</f>
        <v>0</v>
      </c>
      <c r="BI95" s="315">
        <f t="shared" si="78"/>
        <v>0</v>
      </c>
      <c r="BJ95" s="987">
        <f>IF('Monthly Table'!D95&lt;=Tables!$B$21,IF($BJ$10=$BG$10,BG95,IF($BJ$10=$BH$10,BH95,IF($BJ$10=$BI$10,BI95,0))),0)</f>
        <v>0</v>
      </c>
      <c r="BK95" s="43"/>
      <c r="BL95" s="987">
        <f t="shared" si="79"/>
        <v>0</v>
      </c>
      <c r="BM95" s="987">
        <f t="shared" si="80"/>
        <v>0</v>
      </c>
      <c r="BO95" s="987">
        <f t="shared" si="66"/>
        <v>0</v>
      </c>
      <c r="BP95" s="987">
        <f t="shared" si="81"/>
        <v>0</v>
      </c>
      <c r="BR95" s="993">
        <f>IF(BJ95&gt;0,INDEX(OperationalDetail,MATCH("Capacity Degradation",ODColumn,0),MATCH('Monthly Table'!C95,ODRow,0)),0)</f>
        <v>0</v>
      </c>
      <c r="BS95" s="994">
        <f>BJ95*(1-BR95)*Tables!$C$36</f>
        <v>0</v>
      </c>
      <c r="BT95" s="601">
        <f t="shared" si="67"/>
        <v>0</v>
      </c>
      <c r="BU95" s="601">
        <f t="shared" si="68"/>
        <v>0</v>
      </c>
      <c r="BV95" s="462"/>
      <c r="BW95" s="785">
        <f>$BO95*(1-$BR95)*Tables!$C$36</f>
        <v>0</v>
      </c>
      <c r="BX95" s="602">
        <f t="shared" si="82"/>
        <v>0</v>
      </c>
      <c r="BY95" s="601">
        <f t="shared" si="83"/>
        <v>0</v>
      </c>
      <c r="BZ95" s="462"/>
      <c r="CA95" s="785">
        <f>$BL95*(1-$BR95)*Tables!$C$36</f>
        <v>0</v>
      </c>
      <c r="CB95" s="602">
        <f t="shared" si="84"/>
        <v>0</v>
      </c>
      <c r="CC95" s="601">
        <f t="shared" si="85"/>
        <v>0</v>
      </c>
      <c r="CD95" s="785">
        <f>$BP95*(1-$BR95)*Tables!$C$36</f>
        <v>0</v>
      </c>
      <c r="CE95" s="602">
        <f t="shared" si="86"/>
        <v>0</v>
      </c>
      <c r="CF95" s="601">
        <f t="shared" si="87"/>
        <v>0</v>
      </c>
      <c r="CH95" s="785">
        <f>$BM95*(1-$BR95)*Tables!$C$36</f>
        <v>0</v>
      </c>
      <c r="CI95" s="602">
        <f t="shared" si="88"/>
        <v>0</v>
      </c>
      <c r="CJ95" s="601">
        <f t="shared" si="89"/>
        <v>0</v>
      </c>
      <c r="CK95" s="304"/>
      <c r="CL95" s="304">
        <f t="shared" si="90"/>
        <v>2007</v>
      </c>
      <c r="CM95" s="1018">
        <f>INDEX(OperationalDetail,MATCH("Degraded Heat Rate",ODColumn,0),MATCH('Monthly Table'!CL95,ODRow,0))/1000</f>
        <v>12.0166904</v>
      </c>
      <c r="CN95" s="737">
        <f t="shared" si="69"/>
        <v>61.861563353415868</v>
      </c>
      <c r="CO95" s="1019">
        <f>IF(A95="January",(CO94*(1+Assumptions!$E$32)),CO94)</f>
        <v>7.7371159001601839</v>
      </c>
      <c r="CP95" s="741">
        <f t="shared" si="57"/>
        <v>69.598679253576051</v>
      </c>
      <c r="CQ95" s="304"/>
      <c r="CR95" s="575" t="str">
        <f t="shared" si="91"/>
        <v/>
      </c>
      <c r="CS95" s="575" t="str">
        <f t="shared" si="92"/>
        <v/>
      </c>
      <c r="CT95" s="575" t="str">
        <f t="shared" si="93"/>
        <v/>
      </c>
      <c r="CU95" s="575" t="str">
        <f t="shared" si="94"/>
        <v/>
      </c>
      <c r="CV95" s="575" t="str">
        <f t="shared" si="95"/>
        <v/>
      </c>
      <c r="CW95" s="576">
        <f t="shared" si="58"/>
        <v>2008</v>
      </c>
      <c r="CX95" s="787">
        <f>INDEX('NY Curve'!$A$4:$G$256,MATCH('Monthly Table'!B95,'NY Curve'!$A$4:$A$256,0),MATCH("New York 5 X 16",'NY Curve'!$A$4:$G$4,0))</f>
        <v>32.049999999999997</v>
      </c>
      <c r="CY95" s="632">
        <f t="shared" si="59"/>
        <v>1.35067218070793</v>
      </c>
      <c r="CZ95" s="633">
        <f t="shared" si="60"/>
        <v>43.289043391689155</v>
      </c>
      <c r="DB95" s="857"/>
      <c r="DC95" s="857"/>
    </row>
    <row r="96" spans="1:107" ht="18.75" customHeight="1">
      <c r="A96" s="17" t="s">
        <v>438</v>
      </c>
      <c r="B96" s="508">
        <v>39479</v>
      </c>
      <c r="C96" s="43">
        <f t="shared" si="49"/>
        <v>2008</v>
      </c>
      <c r="D96" s="719">
        <f t="shared" si="96"/>
        <v>8</v>
      </c>
      <c r="E96" s="972">
        <v>21</v>
      </c>
      <c r="F96" s="971">
        <v>4</v>
      </c>
      <c r="G96" s="971">
        <v>4</v>
      </c>
      <c r="H96" s="971">
        <v>0</v>
      </c>
      <c r="I96" s="976">
        <f t="shared" si="70"/>
        <v>29</v>
      </c>
      <c r="J96" s="621"/>
      <c r="K96" s="572">
        <f>INDEX(FX!$A$3:$C$362,MATCH(B96,FX!$A$3:$A$362,0),MATCH("Monthly Curve",FX!$A$2:$C$2,0))</f>
        <v>1.34975828422918</v>
      </c>
      <c r="L96" s="572"/>
      <c r="M96" s="1057">
        <v>3.113</v>
      </c>
      <c r="N96" s="1067">
        <v>0.31</v>
      </c>
      <c r="O96" s="315">
        <v>0.05</v>
      </c>
      <c r="P96" s="797">
        <f t="shared" si="51"/>
        <v>0.36</v>
      </c>
      <c r="Q96" s="732">
        <f t="shared" si="52"/>
        <v>3.4729999999999999</v>
      </c>
      <c r="R96" s="723">
        <f>IF(A96="January",(R95+R95*Assumptions!$E$32),R95)</f>
        <v>0.34497986478605924</v>
      </c>
      <c r="S96" s="730">
        <f t="shared" si="53"/>
        <v>5.0326903859140009</v>
      </c>
      <c r="T96" s="572"/>
      <c r="U96" s="509"/>
      <c r="V96" s="584"/>
      <c r="W96" s="584"/>
      <c r="X96" s="461"/>
      <c r="Y96" s="588">
        <f>Tables!$D$36</f>
        <v>312</v>
      </c>
      <c r="Z96" s="570">
        <f t="shared" si="54"/>
        <v>0</v>
      </c>
      <c r="AA96" s="592">
        <f t="shared" si="55"/>
        <v>0</v>
      </c>
      <c r="AB96" s="589">
        <f t="shared" si="50"/>
        <v>0</v>
      </c>
      <c r="AC96" s="462"/>
      <c r="AD96" s="1027">
        <f>IF(Tables!$E$30="Michigan",INDEX('Michigan Curve'!$A$4:$S$256,MATCH('Monthly Table'!B96,'Michigan Curve'!$A$4:$A$256,0),MATCH("Michigan Selected Option Value US$/month",'Michigan Curve'!$A$4:$S$4,0)),INDEX('NY Curve'!$A$4:$T$256,MATCH('Monthly Table'!B96,'NY Curve'!$A$4:$A$256,0),MATCH("New York Selected Option Value US$/month",'NY Curve'!$A$4:$T$4,0)))</f>
        <v>42310.90148165734</v>
      </c>
      <c r="AE96" s="601">
        <f t="shared" si="71"/>
        <v>57109.489788071682</v>
      </c>
      <c r="AF96" s="462"/>
      <c r="AG96" s="915"/>
      <c r="AH96" s="462"/>
      <c r="AI96" s="799">
        <f>Assumptions!$B$50</f>
        <v>65</v>
      </c>
      <c r="AJ96" s="743"/>
      <c r="AK96" s="924">
        <f>IF(Tables!$E$30="Custom",'Monthly Table'!AI96,IF(Tables!$E$30="New York",INDEX('NY Curve'!$A$4:$G$256,MATCH('Monthly Table'!B96,'NY Curve'!$A$4:$A$256,0),MATCH("Super Peak Curve",'NY Curve'!$A$4:$G$4,0)),IF(Tables!$E$30="New York Flat",INDEX('NY Curve'!$A$4:$G$256,MATCH('Monthly Table'!B96,'NY Curve'!$A$4:$A$256,0),MATCH("Flat NY West",'NY Curve'!$A$4:$G$4,0)),INDEX('Michigan Curve'!$A$4:$F$256,MATCH('Monthly Table'!B96,'Michigan Curve'!$A$4:$A$256,0),MATCH("Michigan Super Peak Curve US$/MWhr",'Michigan Curve'!$A$4:$F$4,0)))))</f>
        <v>32.843998443603518</v>
      </c>
      <c r="AL96" s="965">
        <f>IF(D96&lt;=Tables!$B$21,IF($AL$10=$AI$10,AI96,IF($AL$10=$AJ$10,AJ96,IF($AL$10=$AK$10,AK96,0))),0)</f>
        <v>32.843998443603518</v>
      </c>
      <c r="AM96" s="708">
        <f t="shared" si="72"/>
        <v>44.331458986464142</v>
      </c>
      <c r="AN96" s="916">
        <f t="shared" si="73"/>
        <v>0</v>
      </c>
      <c r="AO96" s="905"/>
      <c r="AP96" s="925"/>
      <c r="AQ96" s="926">
        <f>IF(Tables!$E$30="New York",INDEX('NY Curve'!$A$4:$L$256,MATCH('Monthly Table'!B96,'NY Curve'!$A$4:$A$256,0),MATCH("New York Shoulder Hour Curve Mon-Fri",'NY Curve'!$A$4:$L$4,0)),IF(Tables!$E$30="Michigan",INDEX('Michigan Curve'!$A$4:$K$256,MATCH('Monthly Table'!B96,'Michigan Curve'!$A$4:$A$256,0),MATCH("Michigan Shoulder Hour Curve Mon-Fri",'Michigan Curve'!$A$4:$K$4,0))))</f>
        <v>31.555998504638673</v>
      </c>
      <c r="AR96" s="708">
        <f t="shared" si="74"/>
        <v>42.592970398759661</v>
      </c>
      <c r="AS96" s="927">
        <f t="shared" si="61"/>
        <v>0</v>
      </c>
      <c r="AT96" s="462"/>
      <c r="AU96" s="926">
        <f>IF(Tables!$E$30="New York",INDEX('NY Curve'!$A$4:$L$256,MATCH('Monthly Table'!$B96,'NY Curve'!$A$4:$A$256,0),MATCH("New York Saturday Super Peak",'NY Curve'!$A$4:$L$4,0)),IF(Tables!$E$30="Michigan",INDEX('Michigan Curve'!$A$4:$K$256,MATCH('Monthly Table'!$B96,'Michigan Curve'!$A$4:$A$256,0),MATCH("Michigan Saturday Super Peak",'Michigan Curve'!$A$4:$K$4,0))))</f>
        <v>22.435920295715331</v>
      </c>
      <c r="AV96" s="925">
        <f t="shared" si="62"/>
        <v>30.283069283447361</v>
      </c>
      <c r="AW96" s="927">
        <f t="shared" si="63"/>
        <v>0</v>
      </c>
      <c r="AX96" s="926">
        <f>IF(Tables!$E$30="New York",INDEX('NY Curve'!$A$4:$L$256,MATCH('Monthly Table'!$B96,'NY Curve'!$A$4:$A$256,0),MATCH("New York Saturday Shoulder Peak",'NY Curve'!$A$4:$L$4,0)),IF(Tables!$E$30="Michigan",INDEX('Michigan Curve'!$A$4:$K$256,MATCH('Monthly Table'!$B96,'Michigan Curve'!$A$4:$A$256,0),MATCH("Michigan Saturday Shoulder Peak",'Michigan Curve'!$A$4:$K$4,0))))</f>
        <v>21.556080284118654</v>
      </c>
      <c r="AY96" s="934">
        <f t="shared" si="75"/>
        <v>29.095497938998449</v>
      </c>
      <c r="AZ96" s="927">
        <f t="shared" si="64"/>
        <v>0</v>
      </c>
      <c r="BA96" s="462"/>
      <c r="BB96" s="926">
        <f>IF(Tables!$E$30="New York",INDEX('NY Curve'!$A$4:$M$256,MATCH('Monthly Table'!$B96,'NY Curve'!$A$4:$A$256,0),MATCH("NY Sunday Super Peak",'NY Curve'!$A$4:$M$4,0)),IF(Tables!$E$30="Michigan",INDEX('Michigan Curve'!$A$4:$L$256,MATCH('Monthly Table'!$B96,'Michigan Curve'!$A$4:$A$256,0),MATCH("Michigan Sunday Super Peak",'Michigan Curve'!$A$4:$L$4,0))))</f>
        <v>21.416431961059569</v>
      </c>
      <c r="BC96" s="925">
        <f t="shared" si="76"/>
        <v>28.907006458070736</v>
      </c>
      <c r="BD96" s="927">
        <f t="shared" si="65"/>
        <v>0</v>
      </c>
      <c r="BE96" s="462"/>
      <c r="BF96" s="598">
        <f t="shared" si="56"/>
        <v>39479</v>
      </c>
      <c r="BG96" s="583">
        <f t="shared" si="77"/>
        <v>0</v>
      </c>
      <c r="BH96" s="764">
        <f>IF(Tables!$B$36="Combined Cycle",(BF96-BF95)*24*Assumptions!$B$21,0)</f>
        <v>0</v>
      </c>
      <c r="BI96" s="315">
        <f t="shared" si="78"/>
        <v>0</v>
      </c>
      <c r="BJ96" s="987">
        <f>IF('Monthly Table'!D96&lt;=Tables!$B$21,IF($BJ$10=$BG$10,BG96,IF($BJ$10=$BH$10,BH96,IF($BJ$10=$BI$10,BI96,0))),0)</f>
        <v>0</v>
      </c>
      <c r="BK96" s="43"/>
      <c r="BL96" s="987">
        <f t="shared" si="79"/>
        <v>0</v>
      </c>
      <c r="BM96" s="987">
        <f t="shared" si="80"/>
        <v>0</v>
      </c>
      <c r="BO96" s="987">
        <f t="shared" si="66"/>
        <v>0</v>
      </c>
      <c r="BP96" s="987">
        <f t="shared" si="81"/>
        <v>0</v>
      </c>
      <c r="BR96" s="993">
        <f>IF(BJ96&gt;0,INDEX(OperationalDetail,MATCH("Capacity Degradation",ODColumn,0),MATCH('Monthly Table'!C96,ODRow,0)),0)</f>
        <v>0</v>
      </c>
      <c r="BS96" s="994">
        <f>BJ96*(1-BR96)*Tables!$C$36</f>
        <v>0</v>
      </c>
      <c r="BT96" s="601">
        <f t="shared" si="67"/>
        <v>0</v>
      </c>
      <c r="BU96" s="601">
        <f t="shared" si="68"/>
        <v>0</v>
      </c>
      <c r="BV96" s="462"/>
      <c r="BW96" s="785">
        <f>$BO96*(1-$BR96)*Tables!$C$36</f>
        <v>0</v>
      </c>
      <c r="BX96" s="602">
        <f t="shared" si="82"/>
        <v>0</v>
      </c>
      <c r="BY96" s="601">
        <f t="shared" si="83"/>
        <v>0</v>
      </c>
      <c r="BZ96" s="462"/>
      <c r="CA96" s="785">
        <f>$BL96*(1-$BR96)*Tables!$C$36</f>
        <v>0</v>
      </c>
      <c r="CB96" s="602">
        <f t="shared" si="84"/>
        <v>0</v>
      </c>
      <c r="CC96" s="601">
        <f t="shared" si="85"/>
        <v>0</v>
      </c>
      <c r="CD96" s="785">
        <f>$BP96*(1-$BR96)*Tables!$C$36</f>
        <v>0</v>
      </c>
      <c r="CE96" s="602">
        <f t="shared" si="86"/>
        <v>0</v>
      </c>
      <c r="CF96" s="601">
        <f t="shared" si="87"/>
        <v>0</v>
      </c>
      <c r="CH96" s="785">
        <f>$BM96*(1-$BR96)*Tables!$C$36</f>
        <v>0</v>
      </c>
      <c r="CI96" s="602">
        <f t="shared" si="88"/>
        <v>0</v>
      </c>
      <c r="CJ96" s="601">
        <f t="shared" si="89"/>
        <v>0</v>
      </c>
      <c r="CK96" s="304"/>
      <c r="CL96" s="304">
        <f t="shared" si="90"/>
        <v>2007</v>
      </c>
      <c r="CM96" s="1018">
        <f>INDEX(OperationalDetail,MATCH("Degraded Heat Rate",ODColumn,0),MATCH('Monthly Table'!CL96,ODRow,0))/1000</f>
        <v>12.0166904</v>
      </c>
      <c r="CN96" s="737">
        <f t="shared" si="69"/>
        <v>60.476282246585072</v>
      </c>
      <c r="CO96" s="1019">
        <f>IF(A96="January",(CO95*(1+Assumptions!$E$32)),CO95)</f>
        <v>7.7371159001601839</v>
      </c>
      <c r="CP96" s="741">
        <f t="shared" si="57"/>
        <v>68.213398146745249</v>
      </c>
      <c r="CQ96" s="304"/>
      <c r="CR96" s="575" t="str">
        <f t="shared" si="91"/>
        <v/>
      </c>
      <c r="CS96" s="575" t="str">
        <f t="shared" si="92"/>
        <v/>
      </c>
      <c r="CT96" s="575" t="str">
        <f t="shared" si="93"/>
        <v/>
      </c>
      <c r="CU96" s="575" t="str">
        <f t="shared" si="94"/>
        <v/>
      </c>
      <c r="CV96" s="575" t="str">
        <f t="shared" si="95"/>
        <v/>
      </c>
      <c r="CW96" s="576">
        <f t="shared" si="58"/>
        <v>2008</v>
      </c>
      <c r="CX96" s="787">
        <f>INDEX('NY Curve'!$A$4:$G$256,MATCH('Monthly Table'!B96,'NY Curve'!$A$4:$A$256,0),MATCH("New York 5 X 16",'NY Curve'!$A$4:$G$4,0))</f>
        <v>32.049999999999997</v>
      </c>
      <c r="CY96" s="632">
        <f t="shared" si="59"/>
        <v>1.34975828422918</v>
      </c>
      <c r="CZ96" s="633">
        <f t="shared" si="60"/>
        <v>43.259753009545214</v>
      </c>
      <c r="DB96" s="857"/>
      <c r="DC96" s="857"/>
    </row>
    <row r="97" spans="1:107" ht="18.75" customHeight="1">
      <c r="A97" s="17" t="s">
        <v>439</v>
      </c>
      <c r="B97" s="508">
        <v>39508</v>
      </c>
      <c r="C97" s="43">
        <f t="shared" si="49"/>
        <v>2008</v>
      </c>
      <c r="D97" s="719">
        <f t="shared" si="96"/>
        <v>8</v>
      </c>
      <c r="E97" s="972">
        <v>21</v>
      </c>
      <c r="F97" s="971">
        <v>5</v>
      </c>
      <c r="G97" s="971">
        <v>5</v>
      </c>
      <c r="H97" s="971">
        <v>0</v>
      </c>
      <c r="I97" s="976">
        <f t="shared" si="70"/>
        <v>31</v>
      </c>
      <c r="J97" s="621"/>
      <c r="K97" s="572">
        <f>INDEX(FX!$A$3:$C$362,MATCH(B97,FX!$A$3:$A$362,0),MATCH("Monthly Curve",FX!$A$2:$C$2,0))</f>
        <v>1.3489071019683201</v>
      </c>
      <c r="L97" s="572"/>
      <c r="M97" s="1057">
        <v>2.9980000000000002</v>
      </c>
      <c r="N97" s="1067">
        <v>0.31</v>
      </c>
      <c r="O97" s="315">
        <v>0.05</v>
      </c>
      <c r="P97" s="797">
        <f t="shared" si="51"/>
        <v>0.36</v>
      </c>
      <c r="Q97" s="732">
        <f t="shared" si="52"/>
        <v>3.3580000000000001</v>
      </c>
      <c r="R97" s="723">
        <f>IF(A97="January",(R96+R96*Assumptions!$E$32),R96)</f>
        <v>0.34497986478605924</v>
      </c>
      <c r="S97" s="730">
        <f t="shared" si="53"/>
        <v>4.8746099131956777</v>
      </c>
      <c r="T97" s="572"/>
      <c r="U97" s="509"/>
      <c r="V97" s="584"/>
      <c r="W97" s="584"/>
      <c r="X97" s="461"/>
      <c r="Y97" s="588">
        <f>Tables!$D$36</f>
        <v>312</v>
      </c>
      <c r="Z97" s="570">
        <f t="shared" si="54"/>
        <v>0</v>
      </c>
      <c r="AA97" s="592">
        <f t="shared" si="55"/>
        <v>0</v>
      </c>
      <c r="AB97" s="589">
        <f t="shared" si="50"/>
        <v>0</v>
      </c>
      <c r="AC97" s="462"/>
      <c r="AD97" s="1027">
        <f>IF(Tables!$E$30="Michigan",INDEX('Michigan Curve'!$A$4:$S$256,MATCH('Monthly Table'!B97,'Michigan Curve'!$A$4:$A$256,0),MATCH("Michigan Selected Option Value US$/month",'Michigan Curve'!$A$4:$S$4,0)),INDEX('NY Curve'!$A$4:$T$256,MATCH('Monthly Table'!B97,'NY Curve'!$A$4:$A$256,0),MATCH("New York Selected Option Value US$/month",'NY Curve'!$A$4:$T$4,0)))</f>
        <v>9239.9600623206497</v>
      </c>
      <c r="AE97" s="601">
        <f t="shared" si="71"/>
        <v>12463.847749967967</v>
      </c>
      <c r="AF97" s="462"/>
      <c r="AG97" s="915"/>
      <c r="AH97" s="462"/>
      <c r="AI97" s="799">
        <f>Assumptions!$B$50</f>
        <v>65</v>
      </c>
      <c r="AJ97" s="743"/>
      <c r="AK97" s="924">
        <f>IF(Tables!$E$30="Custom",'Monthly Table'!AI97,IF(Tables!$E$30="New York",INDEX('NY Curve'!$A$4:$G$256,MATCH('Monthly Table'!B97,'NY Curve'!$A$4:$A$256,0),MATCH("Super Peak Curve",'NY Curve'!$A$4:$G$4,0)),IF(Tables!$E$30="New York Flat",INDEX('NY Curve'!$A$4:$G$256,MATCH('Monthly Table'!B97,'NY Curve'!$A$4:$A$256,0),MATCH("Flat NY West",'NY Curve'!$A$4:$G$4,0)),INDEX('Michigan Curve'!$A$4:$F$256,MATCH('Monthly Table'!B97,'Michigan Curve'!$A$4:$A$256,0),MATCH("Michigan Super Peak Curve US$/MWhr",'Michigan Curve'!$A$4:$F$4,0)))))</f>
        <v>27.54</v>
      </c>
      <c r="AL97" s="965">
        <f>IF(D97&lt;=Tables!$B$21,IF($AL$10=$AI$10,AI97,IF($AL$10=$AJ$10,AJ97,IF($AL$10=$AK$10,AK97,0))),0)</f>
        <v>27.54</v>
      </c>
      <c r="AM97" s="708">
        <f t="shared" si="72"/>
        <v>37.148901588207536</v>
      </c>
      <c r="AN97" s="916">
        <f t="shared" si="73"/>
        <v>0</v>
      </c>
      <c r="AO97" s="905"/>
      <c r="AP97" s="925"/>
      <c r="AQ97" s="926">
        <f>IF(Tables!$E$30="New York",INDEX('NY Curve'!$A$4:$L$256,MATCH('Monthly Table'!B97,'NY Curve'!$A$4:$A$256,0),MATCH("New York Shoulder Hour Curve Mon-Fri",'NY Curve'!$A$4:$L$4,0)),IF(Tables!$E$30="Michigan",INDEX('Michigan Curve'!$A$4:$K$256,MATCH('Monthly Table'!B97,'Michigan Curve'!$A$4:$A$256,0),MATCH("Michigan Shoulder Hour Curve Mon-Fri",'Michigan Curve'!$A$4:$K$4,0))))</f>
        <v>26.46</v>
      </c>
      <c r="AR97" s="708">
        <f t="shared" si="74"/>
        <v>35.692081918081747</v>
      </c>
      <c r="AS97" s="927">
        <f t="shared" si="61"/>
        <v>0</v>
      </c>
      <c r="AT97" s="462"/>
      <c r="AU97" s="926">
        <f>IF(Tables!$E$30="New York",INDEX('NY Curve'!$A$4:$L$256,MATCH('Monthly Table'!$B97,'NY Curve'!$A$4:$A$256,0),MATCH("New York Saturday Super Peak",'NY Curve'!$A$4:$L$4,0)),IF(Tables!$E$30="Michigan",INDEX('Michigan Curve'!$A$4:$K$256,MATCH('Monthly Table'!$B97,'Michigan Curve'!$A$4:$A$256,0),MATCH("Michigan Saturday Super Peak",'Michigan Curve'!$A$4:$K$4,0))))</f>
        <v>20.399999999999999</v>
      </c>
      <c r="AV97" s="925">
        <f t="shared" si="62"/>
        <v>27.51770488015373</v>
      </c>
      <c r="AW97" s="927">
        <f t="shared" si="63"/>
        <v>0</v>
      </c>
      <c r="AX97" s="926">
        <f>IF(Tables!$E$30="New York",INDEX('NY Curve'!$A$4:$L$256,MATCH('Monthly Table'!$B97,'NY Curve'!$A$4:$A$256,0),MATCH("New York Saturday Shoulder Peak",'NY Curve'!$A$4:$L$4,0)),IF(Tables!$E$30="Michigan",INDEX('Michigan Curve'!$A$4:$K$256,MATCH('Monthly Table'!$B97,'Michigan Curve'!$A$4:$A$256,0),MATCH("Michigan Saturday Shoulder Peak",'Michigan Curve'!$A$4:$K$4,0))))</f>
        <v>19.600000000000001</v>
      </c>
      <c r="AY97" s="934">
        <f t="shared" si="75"/>
        <v>26.438579198579074</v>
      </c>
      <c r="AZ97" s="927">
        <f t="shared" si="64"/>
        <v>0</v>
      </c>
      <c r="BA97" s="462"/>
      <c r="BB97" s="926">
        <f>IF(Tables!$E$30="New York",INDEX('NY Curve'!$A$4:$M$256,MATCH('Monthly Table'!$B97,'NY Curve'!$A$4:$A$256,0),MATCH("NY Sunday Super Peak",'NY Curve'!$A$4:$M$4,0)),IF(Tables!$E$30="Michigan",INDEX('Michigan Curve'!$A$4:$L$256,MATCH('Monthly Table'!$B97,'Michigan Curve'!$A$4:$A$256,0),MATCH("Michigan Sunday Super Peak",'Michigan Curve'!$A$4:$L$4,0))))</f>
        <v>19.38</v>
      </c>
      <c r="BC97" s="925">
        <f t="shared" si="76"/>
        <v>26.141819636146042</v>
      </c>
      <c r="BD97" s="927">
        <f t="shared" si="65"/>
        <v>0</v>
      </c>
      <c r="BE97" s="462"/>
      <c r="BF97" s="598">
        <f t="shared" si="56"/>
        <v>39508</v>
      </c>
      <c r="BG97" s="583">
        <f t="shared" si="77"/>
        <v>0</v>
      </c>
      <c r="BH97" s="764">
        <f>IF(Tables!$B$36="Combined Cycle",(BF97-BF96)*24*Assumptions!$B$21,0)</f>
        <v>0</v>
      </c>
      <c r="BI97" s="315">
        <f t="shared" si="78"/>
        <v>0</v>
      </c>
      <c r="BJ97" s="987">
        <f>IF('Monthly Table'!D97&lt;=Tables!$B$21,IF($BJ$10=$BG$10,BG97,IF($BJ$10=$BH$10,BH97,IF($BJ$10=$BI$10,BI97,0))),0)</f>
        <v>0</v>
      </c>
      <c r="BK97" s="43"/>
      <c r="BL97" s="987">
        <f t="shared" si="79"/>
        <v>0</v>
      </c>
      <c r="BM97" s="987">
        <f t="shared" si="80"/>
        <v>0</v>
      </c>
      <c r="BO97" s="987">
        <f t="shared" si="66"/>
        <v>0</v>
      </c>
      <c r="BP97" s="987">
        <f t="shared" si="81"/>
        <v>0</v>
      </c>
      <c r="BR97" s="993">
        <f>IF(BJ97&gt;0,INDEX(OperationalDetail,MATCH("Capacity Degradation",ODColumn,0),MATCH('Monthly Table'!C97,ODRow,0)),0)</f>
        <v>0</v>
      </c>
      <c r="BS97" s="994">
        <f>BJ97*(1-BR97)*Tables!$C$36</f>
        <v>0</v>
      </c>
      <c r="BT97" s="601">
        <f t="shared" si="67"/>
        <v>0</v>
      </c>
      <c r="BU97" s="601">
        <f t="shared" si="68"/>
        <v>0</v>
      </c>
      <c r="BV97" s="462"/>
      <c r="BW97" s="785">
        <f>$BO97*(1-$BR97)*Tables!$C$36</f>
        <v>0</v>
      </c>
      <c r="BX97" s="602">
        <f t="shared" si="82"/>
        <v>0</v>
      </c>
      <c r="BY97" s="601">
        <f t="shared" si="83"/>
        <v>0</v>
      </c>
      <c r="BZ97" s="462"/>
      <c r="CA97" s="785">
        <f>$BL97*(1-$BR97)*Tables!$C$36</f>
        <v>0</v>
      </c>
      <c r="CB97" s="602">
        <f t="shared" si="84"/>
        <v>0</v>
      </c>
      <c r="CC97" s="601">
        <f t="shared" si="85"/>
        <v>0</v>
      </c>
      <c r="CD97" s="785">
        <f>$BP97*(1-$BR97)*Tables!$C$36</f>
        <v>0</v>
      </c>
      <c r="CE97" s="602">
        <f t="shared" si="86"/>
        <v>0</v>
      </c>
      <c r="CF97" s="601">
        <f t="shared" si="87"/>
        <v>0</v>
      </c>
      <c r="CH97" s="785">
        <f>$BM97*(1-$BR97)*Tables!$C$36</f>
        <v>0</v>
      </c>
      <c r="CI97" s="602">
        <f t="shared" si="88"/>
        <v>0</v>
      </c>
      <c r="CJ97" s="601">
        <f t="shared" si="89"/>
        <v>0</v>
      </c>
      <c r="CK97" s="304"/>
      <c r="CL97" s="304">
        <f t="shared" si="90"/>
        <v>2007</v>
      </c>
      <c r="CM97" s="1018">
        <f>INDEX(OperationalDetail,MATCH("Degraded Heat Rate",ODColumn,0),MATCH('Monthly Table'!CL97,ODRow,0))/1000</f>
        <v>12.0166904</v>
      </c>
      <c r="CN97" s="737">
        <f t="shared" si="69"/>
        <v>58.576678147643335</v>
      </c>
      <c r="CO97" s="1019">
        <f>IF(A97="January",(CO96*(1+Assumptions!$E$32)),CO96)</f>
        <v>7.7371159001601839</v>
      </c>
      <c r="CP97" s="741">
        <f t="shared" si="57"/>
        <v>66.313794047803526</v>
      </c>
      <c r="CQ97" s="304"/>
      <c r="CR97" s="575" t="str">
        <f t="shared" si="91"/>
        <v/>
      </c>
      <c r="CS97" s="575" t="str">
        <f t="shared" si="92"/>
        <v/>
      </c>
      <c r="CT97" s="575" t="str">
        <f t="shared" si="93"/>
        <v/>
      </c>
      <c r="CU97" s="575" t="str">
        <f t="shared" si="94"/>
        <v/>
      </c>
      <c r="CV97" s="575" t="str">
        <f t="shared" si="95"/>
        <v/>
      </c>
      <c r="CW97" s="576">
        <f t="shared" si="58"/>
        <v>2008</v>
      </c>
      <c r="CX97" s="787">
        <f>INDEX('NY Curve'!$A$4:$G$256,MATCH('Monthly Table'!B97,'NY Curve'!$A$4:$A$256,0),MATCH("New York 5 X 16",'NY Curve'!$A$4:$G$4,0))</f>
        <v>27.05</v>
      </c>
      <c r="CY97" s="632">
        <f t="shared" si="59"/>
        <v>1.3489071019683201</v>
      </c>
      <c r="CZ97" s="633">
        <f t="shared" si="60"/>
        <v>36.487937108243059</v>
      </c>
      <c r="DB97" s="857"/>
      <c r="DC97" s="857"/>
    </row>
    <row r="98" spans="1:107" ht="18.75" customHeight="1">
      <c r="A98" s="17" t="s">
        <v>440</v>
      </c>
      <c r="B98" s="508">
        <v>39539</v>
      </c>
      <c r="C98" s="43">
        <f t="shared" si="49"/>
        <v>2008</v>
      </c>
      <c r="D98" s="719">
        <f t="shared" si="96"/>
        <v>8</v>
      </c>
      <c r="E98" s="972">
        <v>22</v>
      </c>
      <c r="F98" s="971">
        <v>4</v>
      </c>
      <c r="G98" s="971">
        <v>4</v>
      </c>
      <c r="H98" s="971">
        <v>0</v>
      </c>
      <c r="I98" s="976">
        <f t="shared" si="70"/>
        <v>30</v>
      </c>
      <c r="J98" s="621"/>
      <c r="K98" s="572">
        <f>INDEX(FX!$A$3:$C$362,MATCH(B98,FX!$A$3:$A$362,0),MATCH("Monthly Curve",FX!$A$2:$C$2,0))</f>
        <v>1.3480012222672</v>
      </c>
      <c r="L98" s="572"/>
      <c r="M98" s="1057">
        <v>2.9305000000000003</v>
      </c>
      <c r="N98" s="1067">
        <v>0.14499999999999999</v>
      </c>
      <c r="O98" s="315">
        <v>0.05</v>
      </c>
      <c r="P98" s="797">
        <f t="shared" si="51"/>
        <v>0.19500000000000001</v>
      </c>
      <c r="Q98" s="732">
        <f t="shared" si="52"/>
        <v>3.1255000000000002</v>
      </c>
      <c r="R98" s="723">
        <f>IF(A98="January",(R97+R97*Assumptions!$E$32),R97)</f>
        <v>0.34497986478605924</v>
      </c>
      <c r="S98" s="730">
        <f t="shared" si="53"/>
        <v>4.5581576849821932</v>
      </c>
      <c r="T98" s="572"/>
      <c r="U98" s="509"/>
      <c r="V98" s="584"/>
      <c r="W98" s="584"/>
      <c r="X98" s="461"/>
      <c r="Y98" s="588">
        <f>Tables!$D$36</f>
        <v>312</v>
      </c>
      <c r="Z98" s="570">
        <f t="shared" si="54"/>
        <v>0</v>
      </c>
      <c r="AA98" s="592">
        <f t="shared" si="55"/>
        <v>0</v>
      </c>
      <c r="AB98" s="589">
        <f t="shared" si="50"/>
        <v>0</v>
      </c>
      <c r="AC98" s="462"/>
      <c r="AD98" s="1027">
        <f>IF(Tables!$E$30="Michigan",INDEX('Michigan Curve'!$A$4:$S$256,MATCH('Monthly Table'!B98,'Michigan Curve'!$A$4:$A$256,0),MATCH("Michigan Selected Option Value US$/month",'Michigan Curve'!$A$4:$S$4,0)),INDEX('NY Curve'!$A$4:$T$256,MATCH('Monthly Table'!B98,'NY Curve'!$A$4:$A$256,0),MATCH("New York Selected Option Value US$/month",'NY Curve'!$A$4:$T$4,0)))</f>
        <v>12942.540342192868</v>
      </c>
      <c r="AE98" s="601">
        <f t="shared" si="71"/>
        <v>17446.560200518532</v>
      </c>
      <c r="AF98" s="462"/>
      <c r="AG98" s="915"/>
      <c r="AH98" s="462"/>
      <c r="AI98" s="799">
        <f>Assumptions!$B$50</f>
        <v>65</v>
      </c>
      <c r="AJ98" s="743"/>
      <c r="AK98" s="924">
        <f>IF(Tables!$E$30="Custom",'Monthly Table'!AI98,IF(Tables!$E$30="New York",INDEX('NY Curve'!$A$4:$G$256,MATCH('Monthly Table'!B98,'NY Curve'!$A$4:$A$256,0),MATCH("Super Peak Curve",'NY Curve'!$A$4:$G$4,0)),IF(Tables!$E$30="New York Flat",INDEX('NY Curve'!$A$4:$G$256,MATCH('Monthly Table'!B98,'NY Curve'!$A$4:$A$256,0),MATCH("Flat NY West",'NY Curve'!$A$4:$G$4,0)),INDEX('Michigan Curve'!$A$4:$F$256,MATCH('Monthly Table'!B98,'Michigan Curve'!$A$4:$A$256,0),MATCH("Michigan Super Peak Curve US$/MWhr",'Michigan Curve'!$A$4:$F$4,0)))))</f>
        <v>27.25</v>
      </c>
      <c r="AL98" s="965">
        <f>IF(D98&lt;=Tables!$B$21,IF($AL$10=$AI$10,AI98,IF($AL$10=$AJ$10,AJ98,IF($AL$10=$AK$10,AK98,0))),0)</f>
        <v>27.25</v>
      </c>
      <c r="AM98" s="708">
        <f t="shared" si="72"/>
        <v>36.733033306781202</v>
      </c>
      <c r="AN98" s="916">
        <f t="shared" si="73"/>
        <v>0</v>
      </c>
      <c r="AO98" s="905"/>
      <c r="AP98" s="925"/>
      <c r="AQ98" s="926">
        <f>IF(Tables!$E$30="New York",INDEX('NY Curve'!$A$4:$L$256,MATCH('Monthly Table'!B98,'NY Curve'!$A$4:$A$256,0),MATCH("New York Shoulder Hour Curve Mon-Fri",'NY Curve'!$A$4:$L$4,0)),IF(Tables!$E$30="Michigan",INDEX('Michigan Curve'!$A$4:$K$256,MATCH('Monthly Table'!B98,'Michigan Curve'!$A$4:$A$256,0),MATCH("Michigan Shoulder Hour Curve Mon-Fri",'Michigan Curve'!$A$4:$K$4,0))))</f>
        <v>27.25</v>
      </c>
      <c r="AR98" s="708">
        <f t="shared" si="74"/>
        <v>36.733033306781202</v>
      </c>
      <c r="AS98" s="927">
        <f t="shared" si="61"/>
        <v>0</v>
      </c>
      <c r="AT98" s="462"/>
      <c r="AU98" s="926">
        <f>IF(Tables!$E$30="New York",INDEX('NY Curve'!$A$4:$L$256,MATCH('Monthly Table'!$B98,'NY Curve'!$A$4:$A$256,0),MATCH("New York Saturday Super Peak",'NY Curve'!$A$4:$L$4,0)),IF(Tables!$E$30="Michigan",INDEX('Michigan Curve'!$A$4:$K$256,MATCH('Monthly Table'!$B98,'Michigan Curve'!$A$4:$A$256,0),MATCH("Michigan Saturday Super Peak",'Michigan Curve'!$A$4:$K$4,0))))</f>
        <v>20</v>
      </c>
      <c r="AV98" s="925">
        <f t="shared" si="62"/>
        <v>26.960024445344001</v>
      </c>
      <c r="AW98" s="927">
        <f t="shared" si="63"/>
        <v>0</v>
      </c>
      <c r="AX98" s="926">
        <f>IF(Tables!$E$30="New York",INDEX('NY Curve'!$A$4:$L$256,MATCH('Monthly Table'!$B98,'NY Curve'!$A$4:$A$256,0),MATCH("New York Saturday Shoulder Peak",'NY Curve'!$A$4:$L$4,0)),IF(Tables!$E$30="Michigan",INDEX('Michigan Curve'!$A$4:$K$256,MATCH('Monthly Table'!$B98,'Michigan Curve'!$A$4:$A$256,0),MATCH("Michigan Saturday Shoulder Peak",'Michigan Curve'!$A$4:$K$4,0))))</f>
        <v>20</v>
      </c>
      <c r="AY98" s="934">
        <f t="shared" si="75"/>
        <v>26.960024445344001</v>
      </c>
      <c r="AZ98" s="927">
        <f t="shared" si="64"/>
        <v>0</v>
      </c>
      <c r="BA98" s="462"/>
      <c r="BB98" s="926">
        <f>IF(Tables!$E$30="New York",INDEX('NY Curve'!$A$4:$M$256,MATCH('Monthly Table'!$B98,'NY Curve'!$A$4:$A$256,0),MATCH("NY Sunday Super Peak",'NY Curve'!$A$4:$M$4,0)),IF(Tables!$E$30="Michigan",INDEX('Michigan Curve'!$A$4:$L$256,MATCH('Monthly Table'!$B98,'Michigan Curve'!$A$4:$A$256,0),MATCH("Michigan Sunday Super Peak",'Michigan Curve'!$A$4:$L$4,0))))</f>
        <v>18.995000839233398</v>
      </c>
      <c r="BC98" s="925">
        <f t="shared" si="76"/>
        <v>25.605284348253111</v>
      </c>
      <c r="BD98" s="927">
        <f t="shared" si="65"/>
        <v>0</v>
      </c>
      <c r="BE98" s="462"/>
      <c r="BF98" s="598">
        <f t="shared" si="56"/>
        <v>39539</v>
      </c>
      <c r="BG98" s="583">
        <f t="shared" si="77"/>
        <v>0</v>
      </c>
      <c r="BH98" s="764">
        <f>IF(Tables!$B$36="Combined Cycle",(BF98-BF97)*24*Assumptions!$B$21,0)</f>
        <v>0</v>
      </c>
      <c r="BI98" s="315">
        <f t="shared" si="78"/>
        <v>0</v>
      </c>
      <c r="BJ98" s="987">
        <f>IF('Monthly Table'!D98&lt;=Tables!$B$21,IF($BJ$10=$BG$10,BG98,IF($BJ$10=$BH$10,BH98,IF($BJ$10=$BI$10,BI98,0))),0)</f>
        <v>0</v>
      </c>
      <c r="BK98" s="43"/>
      <c r="BL98" s="987">
        <f t="shared" si="79"/>
        <v>0</v>
      </c>
      <c r="BM98" s="987">
        <f t="shared" si="80"/>
        <v>0</v>
      </c>
      <c r="BO98" s="987">
        <f t="shared" si="66"/>
        <v>0</v>
      </c>
      <c r="BP98" s="987">
        <f t="shared" si="81"/>
        <v>0</v>
      </c>
      <c r="BR98" s="993">
        <f>IF(BJ98&gt;0,INDEX(OperationalDetail,MATCH("Capacity Degradation",ODColumn,0),MATCH('Monthly Table'!C98,ODRow,0)),0)</f>
        <v>0</v>
      </c>
      <c r="BS98" s="994">
        <f>BJ98*(1-BR98)*Tables!$C$36</f>
        <v>0</v>
      </c>
      <c r="BT98" s="601">
        <f t="shared" si="67"/>
        <v>0</v>
      </c>
      <c r="BU98" s="601">
        <f t="shared" si="68"/>
        <v>0</v>
      </c>
      <c r="BV98" s="462"/>
      <c r="BW98" s="785">
        <f>$BO98*(1-$BR98)*Tables!$C$36</f>
        <v>0</v>
      </c>
      <c r="BX98" s="602">
        <f t="shared" si="82"/>
        <v>0</v>
      </c>
      <c r="BY98" s="601">
        <f t="shared" si="83"/>
        <v>0</v>
      </c>
      <c r="BZ98" s="462"/>
      <c r="CA98" s="785">
        <f>$BL98*(1-$BR98)*Tables!$C$36</f>
        <v>0</v>
      </c>
      <c r="CB98" s="602">
        <f t="shared" si="84"/>
        <v>0</v>
      </c>
      <c r="CC98" s="601">
        <f t="shared" si="85"/>
        <v>0</v>
      </c>
      <c r="CD98" s="785">
        <f>$BP98*(1-$BR98)*Tables!$C$36</f>
        <v>0</v>
      </c>
      <c r="CE98" s="602">
        <f t="shared" si="86"/>
        <v>0</v>
      </c>
      <c r="CF98" s="601">
        <f t="shared" si="87"/>
        <v>0</v>
      </c>
      <c r="CH98" s="785">
        <f>$BM98*(1-$BR98)*Tables!$C$36</f>
        <v>0</v>
      </c>
      <c r="CI98" s="602">
        <f t="shared" si="88"/>
        <v>0</v>
      </c>
      <c r="CJ98" s="601">
        <f t="shared" si="89"/>
        <v>0</v>
      </c>
      <c r="CK98" s="304"/>
      <c r="CL98" s="304">
        <f t="shared" si="90"/>
        <v>2007</v>
      </c>
      <c r="CM98" s="1018">
        <f>INDEX(OperationalDetail,MATCH("Degraded Heat Rate",ODColumn,0),MATCH('Monthly Table'!CL98,ODRow,0))/1000</f>
        <v>12.0166904</v>
      </c>
      <c r="CN98" s="737">
        <f t="shared" si="69"/>
        <v>54.773969694811747</v>
      </c>
      <c r="CO98" s="1019">
        <f>IF(A98="January",(CO97*(1+Assumptions!$E$32)),CO97)</f>
        <v>7.7371159001601839</v>
      </c>
      <c r="CP98" s="741">
        <f t="shared" si="57"/>
        <v>62.511085594971931</v>
      </c>
      <c r="CQ98" s="304"/>
      <c r="CR98" s="575" t="str">
        <f t="shared" si="91"/>
        <v/>
      </c>
      <c r="CS98" s="575" t="str">
        <f t="shared" si="92"/>
        <v/>
      </c>
      <c r="CT98" s="575" t="str">
        <f t="shared" si="93"/>
        <v/>
      </c>
      <c r="CU98" s="575" t="str">
        <f t="shared" si="94"/>
        <v/>
      </c>
      <c r="CV98" s="575" t="str">
        <f t="shared" si="95"/>
        <v/>
      </c>
      <c r="CW98" s="576">
        <f t="shared" si="58"/>
        <v>2008</v>
      </c>
      <c r="CX98" s="787">
        <f>INDEX('NY Curve'!$A$4:$G$256,MATCH('Monthly Table'!B98,'NY Curve'!$A$4:$A$256,0),MATCH("New York 5 X 16",'NY Curve'!$A$4:$G$4,0))</f>
        <v>25.8</v>
      </c>
      <c r="CY98" s="632">
        <f t="shared" si="59"/>
        <v>1.3480012222672</v>
      </c>
      <c r="CZ98" s="633">
        <f t="shared" si="60"/>
        <v>34.778431534493762</v>
      </c>
      <c r="DB98" s="857"/>
      <c r="DC98" s="857"/>
    </row>
    <row r="99" spans="1:107" ht="18.75" customHeight="1">
      <c r="A99" s="17" t="s">
        <v>441</v>
      </c>
      <c r="B99" s="508">
        <v>39569</v>
      </c>
      <c r="C99" s="43">
        <f t="shared" si="49"/>
        <v>2008</v>
      </c>
      <c r="D99" s="719">
        <f t="shared" si="96"/>
        <v>8</v>
      </c>
      <c r="E99" s="972">
        <v>21</v>
      </c>
      <c r="F99" s="971">
        <v>5</v>
      </c>
      <c r="G99" s="971">
        <v>4</v>
      </c>
      <c r="H99" s="971">
        <v>1</v>
      </c>
      <c r="I99" s="976">
        <f t="shared" si="70"/>
        <v>31</v>
      </c>
      <c r="J99" s="621"/>
      <c r="K99" s="572">
        <f>INDEX(FX!$A$3:$C$362,MATCH(B99,FX!$A$3:$A$362,0),MATCH("Monthly Curve",FX!$A$2:$C$2,0))</f>
        <v>1.3471284977029301</v>
      </c>
      <c r="L99" s="572"/>
      <c r="M99" s="1057">
        <v>2.9045000000000001</v>
      </c>
      <c r="N99" s="1067">
        <v>0.14499999999999999</v>
      </c>
      <c r="O99" s="315">
        <v>0.05</v>
      </c>
      <c r="P99" s="797">
        <f t="shared" si="51"/>
        <v>0.19500000000000001</v>
      </c>
      <c r="Q99" s="732">
        <f t="shared" si="52"/>
        <v>3.0994999999999999</v>
      </c>
      <c r="R99" s="723">
        <f>IF(A99="January",(R98+R98*Assumptions!$E$32),R98)</f>
        <v>0.34497986478605924</v>
      </c>
      <c r="S99" s="730">
        <f t="shared" si="53"/>
        <v>4.520404643416291</v>
      </c>
      <c r="T99" s="572"/>
      <c r="U99" s="509"/>
      <c r="V99" s="584"/>
      <c r="W99" s="584"/>
      <c r="X99" s="461"/>
      <c r="Y99" s="588">
        <f>Tables!$D$36</f>
        <v>312</v>
      </c>
      <c r="Z99" s="570">
        <f t="shared" si="54"/>
        <v>0</v>
      </c>
      <c r="AA99" s="592">
        <f t="shared" si="55"/>
        <v>0</v>
      </c>
      <c r="AB99" s="589">
        <f t="shared" si="50"/>
        <v>0</v>
      </c>
      <c r="AC99" s="462"/>
      <c r="AD99" s="1027">
        <f>IF(Tables!$E$30="Michigan",INDEX('Michigan Curve'!$A$4:$S$256,MATCH('Monthly Table'!B99,'Michigan Curve'!$A$4:$A$256,0),MATCH("Michigan Selected Option Value US$/month",'Michigan Curve'!$A$4:$S$4,0)),INDEX('NY Curve'!$A$4:$T$256,MATCH('Monthly Table'!B99,'NY Curve'!$A$4:$A$256,0),MATCH("New York Selected Option Value US$/month",'NY Curve'!$A$4:$T$4,0)))</f>
        <v>32329.5035669469</v>
      </c>
      <c r="AE99" s="601">
        <f t="shared" si="71"/>
        <v>43551.995571622698</v>
      </c>
      <c r="AF99" s="462"/>
      <c r="AG99" s="915"/>
      <c r="AH99" s="462"/>
      <c r="AI99" s="799">
        <f>Assumptions!$B$50</f>
        <v>65</v>
      </c>
      <c r="AJ99" s="743"/>
      <c r="AK99" s="924">
        <f>IF(Tables!$E$30="Custom",'Monthly Table'!AI99,IF(Tables!$E$30="New York",INDEX('NY Curve'!$A$4:$G$256,MATCH('Monthly Table'!B99,'NY Curve'!$A$4:$A$256,0),MATCH("Super Peak Curve",'NY Curve'!$A$4:$G$4,0)),IF(Tables!$E$30="New York Flat",INDEX('NY Curve'!$A$4:$G$256,MATCH('Monthly Table'!B99,'NY Curve'!$A$4:$A$256,0),MATCH("Flat NY West",'NY Curve'!$A$4:$G$4,0)),INDEX('Michigan Curve'!$A$4:$F$256,MATCH('Monthly Table'!B99,'Michigan Curve'!$A$4:$A$256,0),MATCH("Michigan Super Peak Curve US$/MWhr",'Michigan Curve'!$A$4:$F$4,0)))))</f>
        <v>33.36375005543232</v>
      </c>
      <c r="AL99" s="965">
        <f>IF(D99&lt;=Tables!$B$21,IF($AL$10=$AI$10,AI99,IF($AL$10=$AJ$10,AJ99,IF($AL$10=$AK$10,AK99,0))),0)</f>
        <v>33.36375005543232</v>
      </c>
      <c r="AM99" s="708">
        <f t="shared" si="72"/>
        <v>44.945258489910593</v>
      </c>
      <c r="AN99" s="916">
        <f t="shared" si="73"/>
        <v>0</v>
      </c>
      <c r="AO99" s="905"/>
      <c r="AP99" s="925"/>
      <c r="AQ99" s="926">
        <f>IF(Tables!$E$30="New York",INDEX('NY Curve'!$A$4:$L$256,MATCH('Monthly Table'!B99,'NY Curve'!$A$4:$A$256,0),MATCH("New York Shoulder Hour Curve Mon-Fri",'NY Curve'!$A$4:$L$4,0)),IF(Tables!$E$30="Michigan",INDEX('Michigan Curve'!$A$4:$K$256,MATCH('Monthly Table'!B99,'Michigan Curve'!$A$4:$A$256,0),MATCH("Michigan Shoulder Hour Curve Mon-Fri",'Michigan Curve'!$A$4:$K$4,0))))</f>
        <v>28.63624994456768</v>
      </c>
      <c r="AR99" s="708">
        <f t="shared" si="74"/>
        <v>38.576708367671074</v>
      </c>
      <c r="AS99" s="927">
        <f t="shared" si="61"/>
        <v>0</v>
      </c>
      <c r="AT99" s="462"/>
      <c r="AU99" s="926">
        <f>IF(Tables!$E$30="New York",INDEX('NY Curve'!$A$4:$L$256,MATCH('Monthly Table'!$B99,'NY Curve'!$A$4:$A$256,0),MATCH("New York Saturday Super Peak",'NY Curve'!$A$4:$L$4,0)),IF(Tables!$E$30="Michigan",INDEX('Michigan Curve'!$A$4:$K$256,MATCH('Monthly Table'!$B99,'Michigan Curve'!$A$4:$A$256,0),MATCH("Michigan Saturday Super Peak",'Michigan Curve'!$A$4:$K$4,0))))</f>
        <v>22.601250037550926</v>
      </c>
      <c r="AV99" s="925">
        <f t="shared" si="62"/>
        <v>30.44678800929427</v>
      </c>
      <c r="AW99" s="927">
        <f t="shared" si="63"/>
        <v>0</v>
      </c>
      <c r="AX99" s="926">
        <f>IF(Tables!$E$30="New York",INDEX('NY Curve'!$A$4:$L$256,MATCH('Monthly Table'!$B99,'NY Curve'!$A$4:$A$256,0),MATCH("New York Saturday Shoulder Peak",'NY Curve'!$A$4:$L$4,0)),IF(Tables!$E$30="Michigan",INDEX('Michigan Curve'!$A$4:$K$256,MATCH('Monthly Table'!$B99,'Michigan Curve'!$A$4:$A$256,0),MATCH("Michigan Saturday Shoulder Peak",'Michigan Curve'!$A$4:$K$4,0))))</f>
        <v>19.398749962449074</v>
      </c>
      <c r="AY99" s="934">
        <f t="shared" si="75"/>
        <v>26.132608894228792</v>
      </c>
      <c r="AZ99" s="927">
        <f t="shared" si="64"/>
        <v>0</v>
      </c>
      <c r="BA99" s="462"/>
      <c r="BB99" s="926">
        <f>IF(Tables!$E$30="New York",INDEX('NY Curve'!$A$4:$M$256,MATCH('Monthly Table'!$B99,'NY Curve'!$A$4:$A$256,0),MATCH("NY Sunday Super Peak",'NY Curve'!$A$4:$M$4,0)),IF(Tables!$E$30="Michigan",INDEX('Michigan Curve'!$A$4:$L$256,MATCH('Monthly Table'!$B99,'Michigan Curve'!$A$4:$A$256,0),MATCH("Michigan Sunday Super Peak",'Michigan Curve'!$A$4:$L$4,0))))</f>
        <v>21.530380382546781</v>
      </c>
      <c r="BC99" s="925">
        <f t="shared" si="76"/>
        <v>29.004188979712882</v>
      </c>
      <c r="BD99" s="927">
        <f t="shared" si="65"/>
        <v>0</v>
      </c>
      <c r="BE99" s="462"/>
      <c r="BF99" s="598">
        <f t="shared" si="56"/>
        <v>39569</v>
      </c>
      <c r="BG99" s="583">
        <f t="shared" si="77"/>
        <v>0</v>
      </c>
      <c r="BH99" s="764">
        <f>IF(Tables!$B$36="Combined Cycle",(BF99-BF98)*24*Assumptions!$B$21,0)</f>
        <v>0</v>
      </c>
      <c r="BI99" s="315">
        <f t="shared" si="78"/>
        <v>0</v>
      </c>
      <c r="BJ99" s="987">
        <f>IF('Monthly Table'!D99&lt;=Tables!$B$21,IF($BJ$10=$BG$10,BG99,IF($BJ$10=$BH$10,BH99,IF($BJ$10=$BI$10,BI99,0))),0)</f>
        <v>0</v>
      </c>
      <c r="BK99" s="43"/>
      <c r="BL99" s="987">
        <f t="shared" si="79"/>
        <v>0</v>
      </c>
      <c r="BM99" s="987">
        <f t="shared" si="80"/>
        <v>0</v>
      </c>
      <c r="BO99" s="987">
        <f t="shared" si="66"/>
        <v>0</v>
      </c>
      <c r="BP99" s="987">
        <f t="shared" si="81"/>
        <v>0</v>
      </c>
      <c r="BR99" s="993">
        <f>IF(BJ99&gt;0,INDEX(OperationalDetail,MATCH("Capacity Degradation",ODColumn,0),MATCH('Monthly Table'!C99,ODRow,0)),0)</f>
        <v>0</v>
      </c>
      <c r="BS99" s="994">
        <f>BJ99*(1-BR99)*Tables!$C$36</f>
        <v>0</v>
      </c>
      <c r="BT99" s="601">
        <f t="shared" si="67"/>
        <v>0</v>
      </c>
      <c r="BU99" s="601">
        <f t="shared" si="68"/>
        <v>0</v>
      </c>
      <c r="BV99" s="462"/>
      <c r="BW99" s="785">
        <f>$BO99*(1-$BR99)*Tables!$C$36</f>
        <v>0</v>
      </c>
      <c r="BX99" s="602">
        <f t="shared" si="82"/>
        <v>0</v>
      </c>
      <c r="BY99" s="601">
        <f t="shared" si="83"/>
        <v>0</v>
      </c>
      <c r="BZ99" s="462"/>
      <c r="CA99" s="785">
        <f>$BL99*(1-$BR99)*Tables!$C$36</f>
        <v>0</v>
      </c>
      <c r="CB99" s="602">
        <f t="shared" si="84"/>
        <v>0</v>
      </c>
      <c r="CC99" s="601">
        <f t="shared" si="85"/>
        <v>0</v>
      </c>
      <c r="CD99" s="785">
        <f>$BP99*(1-$BR99)*Tables!$C$36</f>
        <v>0</v>
      </c>
      <c r="CE99" s="602">
        <f t="shared" si="86"/>
        <v>0</v>
      </c>
      <c r="CF99" s="601">
        <f t="shared" si="87"/>
        <v>0</v>
      </c>
      <c r="CH99" s="785">
        <f>$BM99*(1-$BR99)*Tables!$C$36</f>
        <v>0</v>
      </c>
      <c r="CI99" s="602">
        <f t="shared" si="88"/>
        <v>0</v>
      </c>
      <c r="CJ99" s="601">
        <f t="shared" si="89"/>
        <v>0</v>
      </c>
      <c r="CK99" s="304"/>
      <c r="CL99" s="304">
        <f t="shared" si="90"/>
        <v>2007</v>
      </c>
      <c r="CM99" s="1018">
        <f>INDEX(OperationalDetail,MATCH("Degraded Heat Rate",ODColumn,0),MATCH('Monthly Table'!CL99,ODRow,0))/1000</f>
        <v>12.0166904</v>
      </c>
      <c r="CN99" s="737">
        <f t="shared" si="69"/>
        <v>54.320303082655968</v>
      </c>
      <c r="CO99" s="1019">
        <f>IF(A99="January",(CO98*(1+Assumptions!$E$32)),CO98)</f>
        <v>7.7371159001601839</v>
      </c>
      <c r="CP99" s="741">
        <f t="shared" si="57"/>
        <v>62.057418982816152</v>
      </c>
      <c r="CQ99" s="304"/>
      <c r="CR99" s="575" t="str">
        <f t="shared" si="91"/>
        <v/>
      </c>
      <c r="CS99" s="575" t="str">
        <f t="shared" si="92"/>
        <v/>
      </c>
      <c r="CT99" s="575" t="str">
        <f t="shared" si="93"/>
        <v/>
      </c>
      <c r="CU99" s="575" t="str">
        <f t="shared" si="94"/>
        <v/>
      </c>
      <c r="CV99" s="575" t="str">
        <f t="shared" si="95"/>
        <v/>
      </c>
      <c r="CW99" s="576">
        <f t="shared" si="58"/>
        <v>2008</v>
      </c>
      <c r="CX99" s="787">
        <f>INDEX('NY Curve'!$A$4:$G$256,MATCH('Monthly Table'!B99,'NY Curve'!$A$4:$A$256,0),MATCH("New York 5 X 16",'NY Curve'!$A$4:$G$4,0))</f>
        <v>30.05</v>
      </c>
      <c r="CY99" s="632">
        <f t="shared" si="59"/>
        <v>1.3471284977029301</v>
      </c>
      <c r="CZ99" s="633">
        <f t="shared" si="60"/>
        <v>40.481211355973052</v>
      </c>
      <c r="DB99" s="857"/>
      <c r="DC99" s="857"/>
    </row>
    <row r="100" spans="1:107" ht="18.75" customHeight="1">
      <c r="A100" s="17" t="s">
        <v>442</v>
      </c>
      <c r="B100" s="508">
        <v>39600</v>
      </c>
      <c r="C100" s="43">
        <f t="shared" si="49"/>
        <v>2008</v>
      </c>
      <c r="D100" s="719">
        <f t="shared" si="96"/>
        <v>8</v>
      </c>
      <c r="E100" s="972">
        <v>21</v>
      </c>
      <c r="F100" s="971">
        <v>4</v>
      </c>
      <c r="G100" s="971">
        <v>5</v>
      </c>
      <c r="H100" s="971">
        <v>0</v>
      </c>
      <c r="I100" s="976">
        <f t="shared" si="70"/>
        <v>30</v>
      </c>
      <c r="J100" s="621"/>
      <c r="K100" s="572">
        <f>INDEX(FX!$A$3:$C$362,MATCH(B100,FX!$A$3:$A$362,0),MATCH("Monthly Curve",FX!$A$2:$C$2,0))</f>
        <v>1.3462307393003301</v>
      </c>
      <c r="L100" s="572"/>
      <c r="M100" s="1057">
        <v>2.9135000000000004</v>
      </c>
      <c r="N100" s="1067">
        <v>0.14499999999999999</v>
      </c>
      <c r="O100" s="315">
        <v>0.05</v>
      </c>
      <c r="P100" s="797">
        <f t="shared" si="51"/>
        <v>0.19500000000000001</v>
      </c>
      <c r="Q100" s="732">
        <f t="shared" si="52"/>
        <v>3.1085000000000003</v>
      </c>
      <c r="R100" s="723">
        <f>IF(A100="January",(R99+R99*Assumptions!$E$32),R99)</f>
        <v>0.34497986478605924</v>
      </c>
      <c r="S100" s="730">
        <f t="shared" si="53"/>
        <v>4.529738117901136</v>
      </c>
      <c r="T100" s="572"/>
      <c r="U100" s="567"/>
      <c r="V100" s="585"/>
      <c r="W100" s="585"/>
      <c r="X100" s="818"/>
      <c r="Y100" s="588">
        <f>Tables!$D$36</f>
        <v>312</v>
      </c>
      <c r="Z100" s="570">
        <f t="shared" si="54"/>
        <v>0</v>
      </c>
      <c r="AA100" s="592">
        <f t="shared" si="55"/>
        <v>0</v>
      </c>
      <c r="AB100" s="589">
        <f t="shared" si="50"/>
        <v>0</v>
      </c>
      <c r="AC100" s="462"/>
      <c r="AD100" s="1027">
        <f>IF(Tables!$E$30="Michigan",INDEX('Michigan Curve'!$A$4:$S$256,MATCH('Monthly Table'!B100,'Michigan Curve'!$A$4:$A$256,0),MATCH("Michigan Selected Option Value US$/month",'Michigan Curve'!$A$4:$S$4,0)),INDEX('NY Curve'!$A$4:$T$256,MATCH('Monthly Table'!B100,'NY Curve'!$A$4:$A$256,0),MATCH("New York Selected Option Value US$/month",'NY Curve'!$A$4:$T$4,0)))</f>
        <v>121409.18229703093</v>
      </c>
      <c r="AE100" s="601">
        <f t="shared" si="71"/>
        <v>163444.77324158049</v>
      </c>
      <c r="AF100" s="462"/>
      <c r="AG100" s="915"/>
      <c r="AH100" s="462"/>
      <c r="AI100" s="799">
        <f>Assumptions!$B$50</f>
        <v>65</v>
      </c>
      <c r="AJ100" s="743"/>
      <c r="AK100" s="924">
        <f>IF(Tables!$E$30="Custom",'Monthly Table'!AI100,IF(Tables!$E$30="New York",INDEX('NY Curve'!$A$4:$G$256,MATCH('Monthly Table'!B100,'NY Curve'!$A$4:$A$256,0),MATCH("Super Peak Curve",'NY Curve'!$A$4:$G$4,0)),IF(Tables!$E$30="New York Flat",INDEX('NY Curve'!$A$4:$G$256,MATCH('Monthly Table'!B100,'NY Curve'!$A$4:$A$256,0),MATCH("Flat NY West",'NY Curve'!$A$4:$G$4,0)),INDEX('Michigan Curve'!$A$4:$F$256,MATCH('Monthly Table'!B100,'Michigan Curve'!$A$4:$A$256,0),MATCH("Michigan Super Peak Curve US$/MWhr",'Michigan Curve'!$A$4:$F$4,0)))))</f>
        <v>76.269802337583172</v>
      </c>
      <c r="AL100" s="965">
        <f>IF(D100&lt;=Tables!$B$21,IF($AL$10=$AI$10,AI100,IF($AL$10=$AJ$10,AJ100,IF($AL$10=$AK$10,AK100,0))),0)</f>
        <v>76.269802337583172</v>
      </c>
      <c r="AM100" s="708">
        <f t="shared" si="72"/>
        <v>102.67675238721463</v>
      </c>
      <c r="AN100" s="916">
        <f t="shared" si="73"/>
        <v>1</v>
      </c>
      <c r="AO100" s="905"/>
      <c r="AP100" s="925"/>
      <c r="AQ100" s="926">
        <f>IF(Tables!$E$30="New York",INDEX('NY Curve'!$A$4:$L$256,MATCH('Monthly Table'!B100,'NY Curve'!$A$4:$A$256,0),MATCH("New York Shoulder Hour Curve Mon-Fri",'NY Curve'!$A$4:$L$4,0)),IF(Tables!$E$30="Michigan",INDEX('Michigan Curve'!$A$4:$K$256,MATCH('Monthly Table'!B100,'Michigan Curve'!$A$4:$A$256,0),MATCH("Michigan Shoulder Hour Curve Mon-Fri",'Michigan Curve'!$A$4:$K$4,0))))</f>
        <v>22.23019766241682</v>
      </c>
      <c r="AR100" s="708">
        <f t="shared" si="74"/>
        <v>29.926975433867867</v>
      </c>
      <c r="AS100" s="927">
        <f t="shared" si="61"/>
        <v>0</v>
      </c>
      <c r="AT100" s="462"/>
      <c r="AU100" s="926">
        <f>IF(Tables!$E$30="New York",INDEX('NY Curve'!$A$4:$L$256,MATCH('Monthly Table'!$B100,'NY Curve'!$A$4:$A$256,0),MATCH("New York Saturday Super Peak",'NY Curve'!$A$4:$L$4,0)),IF(Tables!$E$30="Michigan",INDEX('Michigan Curve'!$A$4:$K$256,MATCH('Monthly Table'!$B100,'Michigan Curve'!$A$4:$A$256,0),MATCH("Michigan Saturday Super Peak",'Michigan Curve'!$A$4:$K$4,0))))</f>
        <v>40.264261132531217</v>
      </c>
      <c r="AV100" s="925">
        <f t="shared" si="62"/>
        <v>54.204986031829044</v>
      </c>
      <c r="AW100" s="927">
        <f t="shared" si="63"/>
        <v>0</v>
      </c>
      <c r="AX100" s="926">
        <f>IF(Tables!$E$30="New York",INDEX('NY Curve'!$A$4:$L$256,MATCH('Monthly Table'!$B100,'NY Curve'!$A$4:$A$256,0),MATCH("New York Saturday Shoulder Peak",'NY Curve'!$A$4:$L$4,0)),IF(Tables!$E$30="Michigan",INDEX('Michigan Curve'!$A$4:$K$256,MATCH('Monthly Table'!$B100,'Michigan Curve'!$A$4:$A$256,0),MATCH("Michigan Saturday Shoulder Peak",'Michigan Curve'!$A$4:$K$4,0))))</f>
        <v>11.735738867468779</v>
      </c>
      <c r="AY100" s="934">
        <f t="shared" si="75"/>
        <v>15.799012411788112</v>
      </c>
      <c r="AZ100" s="927">
        <f t="shared" si="64"/>
        <v>0</v>
      </c>
      <c r="BA100" s="462"/>
      <c r="BB100" s="926">
        <f>IF(Tables!$E$30="New York",INDEX('NY Curve'!$A$4:$M$256,MATCH('Monthly Table'!$B100,'NY Curve'!$A$4:$A$256,0),MATCH("NY Sunday Super Peak",'NY Curve'!$A$4:$M$4,0)),IF(Tables!$E$30="Michigan",INDEX('Michigan Curve'!$A$4:$L$256,MATCH('Monthly Table'!$B100,'Michigan Curve'!$A$4:$A$256,0),MATCH("Michigan Sunday Super Peak",'Michigan Curve'!$A$4:$L$4,0))))</f>
        <v>37.167010276182666</v>
      </c>
      <c r="BC100" s="925">
        <f t="shared" si="76"/>
        <v>50.035371721688357</v>
      </c>
      <c r="BD100" s="927">
        <f t="shared" si="65"/>
        <v>0</v>
      </c>
      <c r="BE100" s="462"/>
      <c r="BF100" s="598">
        <f t="shared" si="56"/>
        <v>39600</v>
      </c>
      <c r="BG100" s="583">
        <f t="shared" si="77"/>
        <v>168</v>
      </c>
      <c r="BH100" s="764">
        <f>IF(Tables!$B$36="Combined Cycle",(BF100-BF99)*24*Assumptions!$B$21,0)</f>
        <v>0</v>
      </c>
      <c r="BI100" s="315">
        <f t="shared" si="78"/>
        <v>168</v>
      </c>
      <c r="BJ100" s="987">
        <f>IF('Monthly Table'!D100&lt;=Tables!$B$21,IF($BJ$10=$BG$10,BG100,IF($BJ$10=$BH$10,BH100,IF($BJ$10=$BI$10,BI100,0))),0)</f>
        <v>168</v>
      </c>
      <c r="BK100" s="43"/>
      <c r="BL100" s="987">
        <f t="shared" si="79"/>
        <v>0</v>
      </c>
      <c r="BM100" s="987">
        <f t="shared" si="80"/>
        <v>0</v>
      </c>
      <c r="BO100" s="987">
        <f t="shared" si="66"/>
        <v>0</v>
      </c>
      <c r="BP100" s="987">
        <f t="shared" si="81"/>
        <v>0</v>
      </c>
      <c r="BR100" s="993">
        <f>IF(BJ100&gt;0,INDEX(OperationalDetail,MATCH("Capacity Degradation",ODColumn,0),MATCH('Monthly Table'!C100,ODRow,0)),0)</f>
        <v>7.3200000000000001E-3</v>
      </c>
      <c r="BS100" s="994">
        <f>BJ100*(1-BR100)*Tables!$C$36</f>
        <v>54033.557760000003</v>
      </c>
      <c r="BT100" s="601">
        <f t="shared" si="67"/>
        <v>4121.1287699515842</v>
      </c>
      <c r="BU100" s="601">
        <f t="shared" si="68"/>
        <v>5547.9902307237817</v>
      </c>
      <c r="BV100" s="462"/>
      <c r="BW100" s="785">
        <f>$BO100*(1-$BR100)*Tables!$C$36</f>
        <v>0</v>
      </c>
      <c r="BX100" s="602">
        <f t="shared" si="82"/>
        <v>0</v>
      </c>
      <c r="BY100" s="601">
        <f t="shared" si="83"/>
        <v>0</v>
      </c>
      <c r="BZ100" s="462"/>
      <c r="CA100" s="785">
        <f>$BL100*(1-$BR100)*Tables!$C$36</f>
        <v>0</v>
      </c>
      <c r="CB100" s="602">
        <f t="shared" si="84"/>
        <v>0</v>
      </c>
      <c r="CC100" s="601">
        <f t="shared" si="85"/>
        <v>0</v>
      </c>
      <c r="CD100" s="785">
        <f>$BP100*(1-$BR100)*Tables!$C$36</f>
        <v>0</v>
      </c>
      <c r="CE100" s="602">
        <f t="shared" si="86"/>
        <v>0</v>
      </c>
      <c r="CF100" s="601">
        <f t="shared" si="87"/>
        <v>0</v>
      </c>
      <c r="CH100" s="785">
        <f>$BM100*(1-$BR100)*Tables!$C$36</f>
        <v>0</v>
      </c>
      <c r="CI100" s="602">
        <f t="shared" si="88"/>
        <v>0</v>
      </c>
      <c r="CJ100" s="601">
        <f t="shared" si="89"/>
        <v>0</v>
      </c>
      <c r="CK100" s="304"/>
      <c r="CL100" s="304">
        <f t="shared" si="90"/>
        <v>2007</v>
      </c>
      <c r="CM100" s="1018">
        <f>INDEX(OperationalDetail,MATCH("Degraded Heat Rate",ODColumn,0),MATCH('Monthly Table'!CL100,ODRow,0))/1000</f>
        <v>12.0166904</v>
      </c>
      <c r="CN100" s="737">
        <f t="shared" si="69"/>
        <v>54.432460555896647</v>
      </c>
      <c r="CO100" s="1019">
        <f>IF(A100="January",(CO99*(1+Assumptions!$E$32)),CO99)</f>
        <v>7.7371159001601839</v>
      </c>
      <c r="CP100" s="741">
        <f t="shared" si="57"/>
        <v>62.169576456056831</v>
      </c>
      <c r="CQ100" s="304"/>
      <c r="CR100" s="575">
        <f t="shared" si="91"/>
        <v>2008</v>
      </c>
      <c r="CS100" s="575" t="str">
        <f t="shared" si="92"/>
        <v/>
      </c>
      <c r="CT100" s="575" t="str">
        <f t="shared" si="93"/>
        <v/>
      </c>
      <c r="CU100" s="575" t="str">
        <f t="shared" si="94"/>
        <v/>
      </c>
      <c r="CV100" s="575" t="str">
        <f t="shared" si="95"/>
        <v/>
      </c>
      <c r="CW100" s="576">
        <f t="shared" si="58"/>
        <v>2008</v>
      </c>
      <c r="CX100" s="787">
        <f>INDEX('NY Curve'!$A$4:$G$256,MATCH('Monthly Table'!B100,'NY Curve'!$A$4:$A$256,0),MATCH("New York 5 X 16",'NY Curve'!$A$4:$G$4,0))</f>
        <v>49.25</v>
      </c>
      <c r="CY100" s="632">
        <f t="shared" si="59"/>
        <v>1.3462307393003301</v>
      </c>
      <c r="CZ100" s="633">
        <f t="shared" si="60"/>
        <v>66.301863910541257</v>
      </c>
      <c r="DB100" s="857"/>
      <c r="DC100" s="857"/>
    </row>
    <row r="101" spans="1:107" ht="18.75" customHeight="1">
      <c r="A101" s="17" t="s">
        <v>443</v>
      </c>
      <c r="B101" s="508">
        <v>39630</v>
      </c>
      <c r="C101" s="43">
        <f t="shared" si="49"/>
        <v>2008</v>
      </c>
      <c r="D101" s="719">
        <f t="shared" si="96"/>
        <v>8</v>
      </c>
      <c r="E101" s="972">
        <v>22</v>
      </c>
      <c r="F101" s="971">
        <v>4</v>
      </c>
      <c r="G101" s="971">
        <v>4</v>
      </c>
      <c r="H101" s="971">
        <v>1</v>
      </c>
      <c r="I101" s="976">
        <f t="shared" si="70"/>
        <v>31</v>
      </c>
      <c r="J101" s="621"/>
      <c r="K101" s="572">
        <f>INDEX(FX!$A$3:$C$362,MATCH(B101,FX!$A$3:$A$362,0),MATCH("Monthly Curve",FX!$A$2:$C$2,0))</f>
        <v>1.34536585996701</v>
      </c>
      <c r="L101" s="572"/>
      <c r="M101" s="1057">
        <v>2.9224999999999999</v>
      </c>
      <c r="N101" s="1067">
        <v>0.14499999999999999</v>
      </c>
      <c r="O101" s="315">
        <v>0.05</v>
      </c>
      <c r="P101" s="797">
        <f t="shared" si="51"/>
        <v>0.19500000000000001</v>
      </c>
      <c r="Q101" s="732">
        <f t="shared" si="52"/>
        <v>3.1174999999999997</v>
      </c>
      <c r="R101" s="723">
        <f>IF(A101="January",(R100+R100*Assumptions!$E$32),R100)</f>
        <v>0.34497986478605924</v>
      </c>
      <c r="S101" s="730">
        <f t="shared" si="53"/>
        <v>4.5391579332332119</v>
      </c>
      <c r="T101" s="572"/>
      <c r="U101" s="509"/>
      <c r="V101" s="585"/>
      <c r="W101" s="585"/>
      <c r="X101" s="461"/>
      <c r="Y101" s="588">
        <f>Tables!$D$36</f>
        <v>312</v>
      </c>
      <c r="Z101" s="570">
        <f t="shared" si="54"/>
        <v>0</v>
      </c>
      <c r="AA101" s="592">
        <f t="shared" si="55"/>
        <v>0</v>
      </c>
      <c r="AB101" s="589">
        <f t="shared" si="50"/>
        <v>0</v>
      </c>
      <c r="AC101" s="462"/>
      <c r="AD101" s="1027">
        <f>IF(Tables!$E$30="Michigan",INDEX('Michigan Curve'!$A$4:$S$256,MATCH('Monthly Table'!B101,'Michigan Curve'!$A$4:$A$256,0),MATCH("Michigan Selected Option Value US$/month",'Michigan Curve'!$A$4:$S$4,0)),INDEX('NY Curve'!$A$4:$T$256,MATCH('Monthly Table'!B101,'NY Curve'!$A$4:$A$256,0),MATCH("New York Selected Option Value US$/month",'NY Curve'!$A$4:$T$4,0)))</f>
        <v>287943.74030944053</v>
      </c>
      <c r="AE101" s="601">
        <f t="shared" si="71"/>
        <v>387389.67780352785</v>
      </c>
      <c r="AF101" s="462"/>
      <c r="AG101" s="915"/>
      <c r="AH101" s="462"/>
      <c r="AI101" s="799">
        <f>Assumptions!$B$50</f>
        <v>65</v>
      </c>
      <c r="AJ101" s="743"/>
      <c r="AK101" s="924">
        <f>IF(Tables!$E$30="Custom",'Monthly Table'!AI101,IF(Tables!$E$30="New York",INDEX('NY Curve'!$A$4:$G$256,MATCH('Monthly Table'!B101,'NY Curve'!$A$4:$A$256,0),MATCH("Super Peak Curve",'NY Curve'!$A$4:$G$4,0)),IF(Tables!$E$30="New York Flat",INDEX('NY Curve'!$A$4:$G$256,MATCH('Monthly Table'!B101,'NY Curve'!$A$4:$A$256,0),MATCH("Flat NY West",'NY Curve'!$A$4:$G$4,0)),INDEX('Michigan Curve'!$A$4:$F$256,MATCH('Monthly Table'!B101,'Michigan Curve'!$A$4:$A$256,0),MATCH("Michigan Super Peak Curve US$/MWhr",'Michigan Curve'!$A$4:$F$4,0)))))</f>
        <v>132.41924961266935</v>
      </c>
      <c r="AL101" s="965">
        <f>IF(D101&lt;=Tables!$B$21,IF($AL$10=$AI$10,AI101,IF($AL$10=$AJ$10,AJ101,IF($AL$10=$AK$10,AK101,0))),0)</f>
        <v>132.41924961266935</v>
      </c>
      <c r="AM101" s="708">
        <f t="shared" si="72"/>
        <v>178.15233763133506</v>
      </c>
      <c r="AN101" s="916">
        <f t="shared" si="73"/>
        <v>1</v>
      </c>
      <c r="AO101" s="905"/>
      <c r="AP101" s="925"/>
      <c r="AQ101" s="926">
        <f>IF(Tables!$E$30="New York",INDEX('NY Curve'!$A$4:$L$256,MATCH('Monthly Table'!B101,'NY Curve'!$A$4:$A$256,0),MATCH("New York Shoulder Hour Curve Mon-Fri",'NY Curve'!$A$4:$L$4,0)),IF(Tables!$E$30="Michigan",INDEX('Michigan Curve'!$A$4:$K$256,MATCH('Monthly Table'!B101,'Michigan Curve'!$A$4:$A$256,0),MATCH("Michigan Shoulder Hour Curve Mon-Fri",'Michigan Curve'!$A$4:$K$4,0))))</f>
        <v>27.580750387330646</v>
      </c>
      <c r="AR101" s="708">
        <f t="shared" si="74"/>
        <v>37.106199963386537</v>
      </c>
      <c r="AS101" s="927">
        <f t="shared" si="61"/>
        <v>0</v>
      </c>
      <c r="AT101" s="462"/>
      <c r="AU101" s="926">
        <f>IF(Tables!$E$30="New York",INDEX('NY Curve'!$A$4:$L$256,MATCH('Monthly Table'!$B101,'NY Curve'!$A$4:$A$256,0),MATCH("New York Saturday Super Peak",'NY Curve'!$A$4:$L$4,0)),IF(Tables!$E$30="Michigan",INDEX('Michigan Curve'!$A$4:$K$256,MATCH('Monthly Table'!$B101,'Michigan Curve'!$A$4:$A$256,0),MATCH("Michigan Saturday Super Peak",'Michigan Curve'!$A$4:$K$4,0))))</f>
        <v>57.933421705542841</v>
      </c>
      <c r="AV101" s="925">
        <f t="shared" si="62"/>
        <v>77.941647713709088</v>
      </c>
      <c r="AW101" s="927">
        <f t="shared" si="63"/>
        <v>1</v>
      </c>
      <c r="AX101" s="926">
        <f>IF(Tables!$E$30="New York",INDEX('NY Curve'!$A$4:$L$256,MATCH('Monthly Table'!$B101,'NY Curve'!$A$4:$A$256,0),MATCH("New York Saturday Shoulder Peak",'NY Curve'!$A$4:$L$4,0)),IF(Tables!$E$30="Michigan",INDEX('Michigan Curve'!$A$4:$K$256,MATCH('Monthly Table'!$B101,'Michigan Curve'!$A$4:$A$256,0),MATCH("Michigan Saturday Shoulder Peak",'Michigan Curve'!$A$4:$K$4,0))))</f>
        <v>12.066578294457157</v>
      </c>
      <c r="AY101" s="934">
        <f t="shared" si="75"/>
        <v>16.23396248398161</v>
      </c>
      <c r="AZ101" s="927">
        <f t="shared" si="64"/>
        <v>0</v>
      </c>
      <c r="BA101" s="462"/>
      <c r="BB101" s="926">
        <f>IF(Tables!$E$30="New York",INDEX('NY Curve'!$A$4:$M$256,MATCH('Monthly Table'!$B101,'NY Curve'!$A$4:$A$256,0),MATCH("NY Sunday Super Peak",'NY Curve'!$A$4:$M$4,0)),IF(Tables!$E$30="Michigan",INDEX('Michigan Curve'!$A$4:$L$256,MATCH('Monthly Table'!$B101,'Michigan Curve'!$A$4:$A$256,0),MATCH("Michigan Sunday Super Peak",'Michigan Curve'!$A$4:$L$4,0))))</f>
        <v>51.312456067788439</v>
      </c>
      <c r="BC101" s="925">
        <f t="shared" si="76"/>
        <v>69.034026584659614</v>
      </c>
      <c r="BD101" s="927">
        <f t="shared" si="65"/>
        <v>1</v>
      </c>
      <c r="BE101" s="462"/>
      <c r="BF101" s="598">
        <f t="shared" si="56"/>
        <v>39630</v>
      </c>
      <c r="BG101" s="583">
        <f t="shared" si="77"/>
        <v>176</v>
      </c>
      <c r="BH101" s="764">
        <f>IF(Tables!$B$36="Combined Cycle",(BF101-BF100)*24*Assumptions!$B$21,0)</f>
        <v>0</v>
      </c>
      <c r="BI101" s="315">
        <f t="shared" si="78"/>
        <v>176</v>
      </c>
      <c r="BJ101" s="987">
        <f>IF('Monthly Table'!D101&lt;=Tables!$B$21,IF($BJ$10=$BG$10,BG101,IF($BJ$10=$BH$10,BH101,IF($BJ$10=$BI$10,BI101,0))),0)</f>
        <v>176</v>
      </c>
      <c r="BK101" s="43"/>
      <c r="BL101" s="987">
        <f t="shared" si="79"/>
        <v>32</v>
      </c>
      <c r="BM101" s="987">
        <f t="shared" si="80"/>
        <v>40</v>
      </c>
      <c r="BO101" s="987">
        <f t="shared" si="66"/>
        <v>0</v>
      </c>
      <c r="BP101" s="987">
        <f t="shared" si="81"/>
        <v>0</v>
      </c>
      <c r="BR101" s="993">
        <f>IF(BJ101&gt;0,INDEX(OperationalDetail,MATCH("Capacity Degradation",ODColumn,0),MATCH('Monthly Table'!C101,ODRow,0)),0)</f>
        <v>7.3200000000000001E-3</v>
      </c>
      <c r="BS101" s="994">
        <f>BJ101*(1-BR101)*Tables!$C$36</f>
        <v>56606.584320000002</v>
      </c>
      <c r="BT101" s="601">
        <f t="shared" si="67"/>
        <v>7495.8014187906956</v>
      </c>
      <c r="BU101" s="601">
        <f t="shared" si="68"/>
        <v>10084.595321933277</v>
      </c>
      <c r="BV101" s="462"/>
      <c r="BW101" s="785">
        <f>$BO101*(1-$BR101)*Tables!$C$36</f>
        <v>0</v>
      </c>
      <c r="BX101" s="602">
        <f t="shared" si="82"/>
        <v>0</v>
      </c>
      <c r="BY101" s="601">
        <f t="shared" si="83"/>
        <v>0</v>
      </c>
      <c r="BZ101" s="462"/>
      <c r="CA101" s="785">
        <f>$BL101*(1-$BR101)*Tables!$C$36</f>
        <v>10292.106240000001</v>
      </c>
      <c r="CB101" s="602">
        <f t="shared" si="84"/>
        <v>596.25693104016898</v>
      </c>
      <c r="CC101" s="601">
        <f t="shared" si="85"/>
        <v>802.18371879014705</v>
      </c>
      <c r="CD101" s="785">
        <f>$BP101*(1-$BR101)*Tables!$C$36</f>
        <v>0</v>
      </c>
      <c r="CE101" s="602">
        <f t="shared" si="86"/>
        <v>0</v>
      </c>
      <c r="CF101" s="601">
        <f t="shared" si="87"/>
        <v>0</v>
      </c>
      <c r="CH101" s="785">
        <f>$BM101*(1-$BR101)*Tables!$C$36</f>
        <v>12865.132799999999</v>
      </c>
      <c r="CI101" s="602">
        <f t="shared" si="88"/>
        <v>660.14156160626408</v>
      </c>
      <c r="CJ101" s="601">
        <f t="shared" si="89"/>
        <v>888.13191973037635</v>
      </c>
      <c r="CK101" s="304"/>
      <c r="CL101" s="304">
        <f t="shared" si="90"/>
        <v>2007</v>
      </c>
      <c r="CM101" s="1018">
        <f>INDEX(OperationalDetail,MATCH("Degraded Heat Rate",ODColumn,0),MATCH('Monthly Table'!CL101,ODRow,0))/1000</f>
        <v>12.0166904</v>
      </c>
      <c r="CN101" s="737">
        <f t="shared" si="69"/>
        <v>54.545655560367379</v>
      </c>
      <c r="CO101" s="1019">
        <f>IF(A101="January",(CO100*(1+Assumptions!$E$32)),CO100)</f>
        <v>7.7371159001601839</v>
      </c>
      <c r="CP101" s="741">
        <f t="shared" si="57"/>
        <v>62.282771460527563</v>
      </c>
      <c r="CQ101" s="304"/>
      <c r="CR101" s="575">
        <f t="shared" si="91"/>
        <v>2008</v>
      </c>
      <c r="CS101" s="575" t="str">
        <f t="shared" si="92"/>
        <v/>
      </c>
      <c r="CT101" s="575">
        <f t="shared" si="93"/>
        <v>2008</v>
      </c>
      <c r="CU101" s="575" t="str">
        <f t="shared" si="94"/>
        <v/>
      </c>
      <c r="CV101" s="575">
        <f t="shared" si="95"/>
        <v>2008</v>
      </c>
      <c r="CW101" s="576">
        <f t="shared" si="58"/>
        <v>2008</v>
      </c>
      <c r="CX101" s="787">
        <f>INDEX('NY Curve'!$A$4:$G$256,MATCH('Monthly Table'!B101,'NY Curve'!$A$4:$A$256,0),MATCH("New York 5 X 16",'NY Curve'!$A$4:$G$4,0))</f>
        <v>74</v>
      </c>
      <c r="CY101" s="632">
        <f t="shared" si="59"/>
        <v>1.34536585996701</v>
      </c>
      <c r="CZ101" s="633">
        <f t="shared" si="60"/>
        <v>99.557073637558744</v>
      </c>
      <c r="DB101" s="857"/>
      <c r="DC101" s="857"/>
    </row>
    <row r="102" spans="1:107" ht="18.75" customHeight="1">
      <c r="A102" s="17" t="s">
        <v>444</v>
      </c>
      <c r="B102" s="508">
        <v>39661</v>
      </c>
      <c r="C102" s="43">
        <f t="shared" si="49"/>
        <v>2008</v>
      </c>
      <c r="D102" s="719">
        <f t="shared" si="96"/>
        <v>8</v>
      </c>
      <c r="E102" s="972">
        <v>21</v>
      </c>
      <c r="F102" s="971">
        <v>5</v>
      </c>
      <c r="G102" s="971">
        <v>5</v>
      </c>
      <c r="H102" s="971">
        <v>0</v>
      </c>
      <c r="I102" s="976">
        <f t="shared" si="70"/>
        <v>31</v>
      </c>
      <c r="J102" s="621"/>
      <c r="K102" s="572">
        <f>INDEX(FX!$A$3:$C$362,MATCH(B102,FX!$A$3:$A$362,0),MATCH("Monthly Curve",FX!$A$2:$C$2,0))</f>
        <v>1.3444761938149099</v>
      </c>
      <c r="L102" s="572"/>
      <c r="M102" s="1057">
        <v>2.9295</v>
      </c>
      <c r="N102" s="1067">
        <v>0.14499999999999999</v>
      </c>
      <c r="O102" s="315">
        <v>0.05</v>
      </c>
      <c r="P102" s="797">
        <f t="shared" si="51"/>
        <v>0.19500000000000001</v>
      </c>
      <c r="Q102" s="732">
        <f t="shared" si="52"/>
        <v>3.1244999999999998</v>
      </c>
      <c r="R102" s="723">
        <f>IF(A102="January",(R101+R101*Assumptions!$E$32),R101)</f>
        <v>0.34497986478605924</v>
      </c>
      <c r="S102" s="730">
        <f t="shared" si="53"/>
        <v>4.5457957323607445</v>
      </c>
      <c r="T102" s="572"/>
      <c r="U102" s="509"/>
      <c r="V102" s="585"/>
      <c r="W102" s="585"/>
      <c r="X102" s="461"/>
      <c r="Y102" s="588">
        <f>Tables!$D$36</f>
        <v>312</v>
      </c>
      <c r="Z102" s="570">
        <f t="shared" si="54"/>
        <v>0</v>
      </c>
      <c r="AA102" s="592">
        <f t="shared" si="55"/>
        <v>0</v>
      </c>
      <c r="AB102" s="589">
        <f t="shared" si="50"/>
        <v>0</v>
      </c>
      <c r="AC102" s="462"/>
      <c r="AD102" s="1027">
        <f>IF(Tables!$E$30="Michigan",INDEX('Michigan Curve'!$A$4:$S$256,MATCH('Monthly Table'!B102,'Michigan Curve'!$A$4:$A$256,0),MATCH("Michigan Selected Option Value US$/month",'Michigan Curve'!$A$4:$S$4,0)),INDEX('NY Curve'!$A$4:$T$256,MATCH('Monthly Table'!B102,'NY Curve'!$A$4:$A$256,0),MATCH("New York Selected Option Value US$/month",'NY Curve'!$A$4:$T$4,0)))</f>
        <v>301071.83540122677</v>
      </c>
      <c r="AE102" s="601">
        <f t="shared" si="71"/>
        <v>404783.91532511043</v>
      </c>
      <c r="AF102" s="462"/>
      <c r="AG102" s="915"/>
      <c r="AH102" s="462"/>
      <c r="AI102" s="799">
        <f>Assumptions!$B$50</f>
        <v>65</v>
      </c>
      <c r="AJ102" s="743"/>
      <c r="AK102" s="924">
        <f>IF(Tables!$E$30="Custom",'Monthly Table'!AI102,IF(Tables!$E$30="New York",INDEX('NY Curve'!$A$4:$G$256,MATCH('Monthly Table'!B102,'NY Curve'!$A$4:$A$256,0),MATCH("Super Peak Curve",'NY Curve'!$A$4:$G$4,0)),IF(Tables!$E$30="New York Flat",INDEX('NY Curve'!$A$4:$G$256,MATCH('Monthly Table'!B102,'NY Curve'!$A$4:$A$256,0),MATCH("Flat NY West",'NY Curve'!$A$4:$G$4,0)),INDEX('Michigan Curve'!$A$4:$F$256,MATCH('Monthly Table'!B102,'Michigan Curve'!$A$4:$A$256,0),MATCH("Michigan Super Peak Curve US$/MWhr",'Michigan Curve'!$A$4:$F$4,0)))))</f>
        <v>132.41924961266935</v>
      </c>
      <c r="AL102" s="965">
        <f>IF(D102&lt;=Tables!$B$21,IF($AL$10=$AI$10,AI102,IF($AL$10=$AJ$10,AJ102,IF($AL$10=$AK$10,AK102,0))),0)</f>
        <v>132.41924961266935</v>
      </c>
      <c r="AM102" s="708">
        <f t="shared" si="72"/>
        <v>178.03452870706818</v>
      </c>
      <c r="AN102" s="916">
        <f t="shared" si="73"/>
        <v>1</v>
      </c>
      <c r="AO102" s="905"/>
      <c r="AP102" s="925"/>
      <c r="AQ102" s="926">
        <f>IF(Tables!$E$30="New York",INDEX('NY Curve'!$A$4:$L$256,MATCH('Monthly Table'!B102,'NY Curve'!$A$4:$A$256,0),MATCH("New York Shoulder Hour Curve Mon-Fri",'NY Curve'!$A$4:$L$4,0)),IF(Tables!$E$30="Michigan",INDEX('Michigan Curve'!$A$4:$K$256,MATCH('Monthly Table'!B102,'Michigan Curve'!$A$4:$A$256,0),MATCH("Michigan Shoulder Hour Curve Mon-Fri",'Michigan Curve'!$A$4:$K$4,0))))</f>
        <v>27.580750387330646</v>
      </c>
      <c r="AR102" s="708">
        <f t="shared" si="74"/>
        <v>37.081662303317408</v>
      </c>
      <c r="AS102" s="927">
        <f t="shared" si="61"/>
        <v>0</v>
      </c>
      <c r="AT102" s="462"/>
      <c r="AU102" s="926">
        <f>IF(Tables!$E$30="New York",INDEX('NY Curve'!$A$4:$L$256,MATCH('Monthly Table'!$B102,'NY Curve'!$A$4:$A$256,0),MATCH("New York Saturday Super Peak",'NY Curve'!$A$4:$L$4,0)),IF(Tables!$E$30="Michigan",INDEX('Michigan Curve'!$A$4:$K$256,MATCH('Monthly Table'!$B102,'Michigan Curve'!$A$4:$A$256,0),MATCH("Michigan Saturday Super Peak",'Michigan Curve'!$A$4:$K$4,0))))</f>
        <v>57.933428019784714</v>
      </c>
      <c r="AV102" s="925">
        <f t="shared" si="62"/>
        <v>77.890114798690206</v>
      </c>
      <c r="AW102" s="927">
        <f t="shared" si="63"/>
        <v>1</v>
      </c>
      <c r="AX102" s="926">
        <f>IF(Tables!$E$30="New York",INDEX('NY Curve'!$A$4:$L$256,MATCH('Monthly Table'!$B102,'NY Curve'!$A$4:$A$256,0),MATCH("New York Saturday Shoulder Peak",'NY Curve'!$A$4:$L$4,0)),IF(Tables!$E$30="Michigan",INDEX('Michigan Curve'!$A$4:$K$256,MATCH('Monthly Table'!$B102,'Michigan Curve'!$A$4:$A$256,0),MATCH("Michigan Saturday Shoulder Peak",'Michigan Curve'!$A$4:$K$4,0))))</f>
        <v>12.066579609609821</v>
      </c>
      <c r="AY102" s="934">
        <f t="shared" si="75"/>
        <v>16.223229025892813</v>
      </c>
      <c r="AZ102" s="927">
        <f t="shared" si="64"/>
        <v>0</v>
      </c>
      <c r="BA102" s="462"/>
      <c r="BB102" s="926">
        <f>IF(Tables!$E$30="New York",INDEX('NY Curve'!$A$4:$M$256,MATCH('Monthly Table'!$B102,'NY Curve'!$A$4:$A$256,0),MATCH("NY Sunday Super Peak",'NY Curve'!$A$4:$M$4,0)),IF(Tables!$E$30="Michigan",INDEX('Michigan Curve'!$A$4:$L$256,MATCH('Monthly Table'!$B102,'Michigan Curve'!$A$4:$A$256,0),MATCH("Michigan Sunday Super Peak",'Michigan Curve'!$A$4:$L$4,0))))</f>
        <v>51.312459224909375</v>
      </c>
      <c r="BC102" s="925">
        <f t="shared" si="76"/>
        <v>68.988379873988919</v>
      </c>
      <c r="BD102" s="927">
        <f t="shared" si="65"/>
        <v>1</v>
      </c>
      <c r="BE102" s="462"/>
      <c r="BF102" s="598">
        <f t="shared" si="56"/>
        <v>39661</v>
      </c>
      <c r="BG102" s="583">
        <f t="shared" si="77"/>
        <v>168</v>
      </c>
      <c r="BH102" s="764">
        <f>IF(Tables!$B$36="Combined Cycle",(BF102-BF101)*24*Assumptions!$B$21,0)</f>
        <v>0</v>
      </c>
      <c r="BI102" s="315">
        <f t="shared" si="78"/>
        <v>168</v>
      </c>
      <c r="BJ102" s="987">
        <f>IF('Monthly Table'!D102&lt;=Tables!$B$21,IF($BJ$10=$BG$10,BG102,IF($BJ$10=$BH$10,BH102,IF($BJ$10=$BI$10,BI102,0))),0)</f>
        <v>168</v>
      </c>
      <c r="BK102" s="43"/>
      <c r="BL102" s="987">
        <f t="shared" si="79"/>
        <v>40</v>
      </c>
      <c r="BM102" s="987">
        <f t="shared" si="80"/>
        <v>40</v>
      </c>
      <c r="BO102" s="987">
        <f t="shared" si="66"/>
        <v>0</v>
      </c>
      <c r="BP102" s="987">
        <f t="shared" si="81"/>
        <v>0</v>
      </c>
      <c r="BR102" s="993">
        <f>IF(BJ102&gt;0,INDEX(OperationalDetail,MATCH("Capacity Degradation",ODColumn,0),MATCH('Monthly Table'!C102,ODRow,0)),0)</f>
        <v>7.3200000000000001E-3</v>
      </c>
      <c r="BS102" s="994">
        <f>BJ102*(1-BR102)*Tables!$C$36</f>
        <v>54033.557760000003</v>
      </c>
      <c r="BT102" s="601">
        <f t="shared" si="67"/>
        <v>7155.0831724820273</v>
      </c>
      <c r="BU102" s="601">
        <f t="shared" si="68"/>
        <v>9619.8389901677474</v>
      </c>
      <c r="BV102" s="462"/>
      <c r="BW102" s="785">
        <f>$BO102*(1-$BR102)*Tables!$C$36</f>
        <v>0</v>
      </c>
      <c r="BX102" s="602">
        <f t="shared" si="82"/>
        <v>0</v>
      </c>
      <c r="BY102" s="601">
        <f t="shared" si="83"/>
        <v>0</v>
      </c>
      <c r="BZ102" s="462"/>
      <c r="CA102" s="785">
        <f>$BL102*(1-$BR102)*Tables!$C$36</f>
        <v>12865.132799999999</v>
      </c>
      <c r="CB102" s="602">
        <f t="shared" si="84"/>
        <v>745.32124503377133</v>
      </c>
      <c r="CC102" s="601">
        <f t="shared" si="85"/>
        <v>1002.0666706923947</v>
      </c>
      <c r="CD102" s="785">
        <f>$BP102*(1-$BR102)*Tables!$C$36</f>
        <v>0</v>
      </c>
      <c r="CE102" s="602">
        <f t="shared" si="86"/>
        <v>0</v>
      </c>
      <c r="CF102" s="601">
        <f t="shared" si="87"/>
        <v>0</v>
      </c>
      <c r="CH102" s="785">
        <f>$BM102*(1-$BR102)*Tables!$C$36</f>
        <v>12865.132799999999</v>
      </c>
      <c r="CI102" s="602">
        <f t="shared" si="88"/>
        <v>660.14160222304417</v>
      </c>
      <c r="CJ102" s="601">
        <f t="shared" si="89"/>
        <v>887.54466873571471</v>
      </c>
      <c r="CK102" s="304"/>
      <c r="CL102" s="304">
        <f t="shared" si="90"/>
        <v>2007</v>
      </c>
      <c r="CM102" s="1018">
        <f>INDEX(OperationalDetail,MATCH("Degraded Heat Rate",ODColumn,0),MATCH('Monthly Table'!CL102,ODRow,0))/1000</f>
        <v>12.0166904</v>
      </c>
      <c r="CN102" s="737">
        <f t="shared" si="69"/>
        <v>54.625419937420325</v>
      </c>
      <c r="CO102" s="1019">
        <f>IF(A102="January",(CO101*(1+Assumptions!$E$32)),CO101)</f>
        <v>7.7371159001601839</v>
      </c>
      <c r="CP102" s="741">
        <f t="shared" si="57"/>
        <v>62.362535837580509</v>
      </c>
      <c r="CQ102" s="304"/>
      <c r="CR102" s="575">
        <f t="shared" si="91"/>
        <v>2008</v>
      </c>
      <c r="CS102" s="575" t="str">
        <f t="shared" si="92"/>
        <v/>
      </c>
      <c r="CT102" s="575">
        <f t="shared" si="93"/>
        <v>2008</v>
      </c>
      <c r="CU102" s="575" t="str">
        <f t="shared" si="94"/>
        <v/>
      </c>
      <c r="CV102" s="575">
        <f t="shared" si="95"/>
        <v>2008</v>
      </c>
      <c r="CW102" s="576">
        <f t="shared" si="58"/>
        <v>2008</v>
      </c>
      <c r="CX102" s="787">
        <f>INDEX('NY Curve'!$A$4:$G$256,MATCH('Monthly Table'!B102,'NY Curve'!$A$4:$A$256,0),MATCH("New York 5 X 16",'NY Curve'!$A$4:$G$4,0))</f>
        <v>66.5</v>
      </c>
      <c r="CY102" s="632">
        <f t="shared" si="59"/>
        <v>1.3444761938149099</v>
      </c>
      <c r="CZ102" s="633">
        <f t="shared" si="60"/>
        <v>89.407666888691509</v>
      </c>
      <c r="DB102" s="857"/>
      <c r="DC102" s="857"/>
    </row>
    <row r="103" spans="1:107" ht="18.75" customHeight="1">
      <c r="A103" s="17" t="s">
        <v>445</v>
      </c>
      <c r="B103" s="508">
        <v>39692</v>
      </c>
      <c r="C103" s="43">
        <f t="shared" si="49"/>
        <v>2008</v>
      </c>
      <c r="D103" s="719">
        <f t="shared" si="96"/>
        <v>8</v>
      </c>
      <c r="E103" s="972">
        <v>21</v>
      </c>
      <c r="F103" s="971">
        <v>4</v>
      </c>
      <c r="G103" s="971">
        <v>4</v>
      </c>
      <c r="H103" s="971">
        <v>1</v>
      </c>
      <c r="I103" s="976">
        <f t="shared" si="70"/>
        <v>30</v>
      </c>
      <c r="J103" s="621"/>
      <c r="K103" s="572">
        <f>INDEX(FX!$A$3:$C$362,MATCH(B103,FX!$A$3:$A$362,0),MATCH("Monthly Curve",FX!$A$2:$C$2,0))</f>
        <v>1.34359062907711</v>
      </c>
      <c r="L103" s="572"/>
      <c r="M103" s="1057">
        <v>2.9365000000000006</v>
      </c>
      <c r="N103" s="1067">
        <v>0.14499999999999999</v>
      </c>
      <c r="O103" s="315">
        <v>0.05</v>
      </c>
      <c r="P103" s="797">
        <f t="shared" si="51"/>
        <v>0.19500000000000001</v>
      </c>
      <c r="Q103" s="732">
        <f t="shared" si="52"/>
        <v>3.1315000000000004</v>
      </c>
      <c r="R103" s="723">
        <f>IF(A103="January",(R102+R102*Assumptions!$E$32),R102)</f>
        <v>0.34497986478605924</v>
      </c>
      <c r="S103" s="730">
        <f t="shared" si="53"/>
        <v>4.5524339197410297</v>
      </c>
      <c r="T103" s="572"/>
      <c r="U103" s="509"/>
      <c r="V103" s="585"/>
      <c r="W103" s="585"/>
      <c r="X103" s="461"/>
      <c r="Y103" s="588">
        <f>Tables!$D$36</f>
        <v>312</v>
      </c>
      <c r="Z103" s="570">
        <f t="shared" si="54"/>
        <v>0</v>
      </c>
      <c r="AA103" s="592">
        <f t="shared" si="55"/>
        <v>0</v>
      </c>
      <c r="AB103" s="589">
        <f t="shared" si="50"/>
        <v>0</v>
      </c>
      <c r="AC103" s="462"/>
      <c r="AD103" s="1027">
        <f>IF(Tables!$E$30="Michigan",INDEX('Michigan Curve'!$A$4:$S$256,MATCH('Monthly Table'!B103,'Michigan Curve'!$A$4:$A$256,0),MATCH("Michigan Selected Option Value US$/month",'Michigan Curve'!$A$4:$S$4,0)),INDEX('NY Curve'!$A$4:$T$256,MATCH('Monthly Table'!B103,'NY Curve'!$A$4:$A$256,0),MATCH("New York Selected Option Value US$/month",'NY Curve'!$A$4:$T$4,0)))</f>
        <v>217876.89404802234</v>
      </c>
      <c r="AE103" s="601">
        <f t="shared" si="71"/>
        <v>292737.35313534917</v>
      </c>
      <c r="AF103" s="462"/>
      <c r="AG103" s="915"/>
      <c r="AH103" s="462"/>
      <c r="AI103" s="799">
        <f>Assumptions!$B$50</f>
        <v>65</v>
      </c>
      <c r="AJ103" s="743"/>
      <c r="AK103" s="924">
        <f>IF(Tables!$E$30="Custom",'Monthly Table'!AI103,IF(Tables!$E$30="New York",INDEX('NY Curve'!$A$4:$G$256,MATCH('Monthly Table'!B103,'NY Curve'!$A$4:$A$256,0),MATCH("Super Peak Curve",'NY Curve'!$A$4:$G$4,0)),IF(Tables!$E$30="New York Flat",INDEX('NY Curve'!$A$4:$G$256,MATCH('Monthly Table'!B103,'NY Curve'!$A$4:$A$256,0),MATCH("Flat NY West",'NY Curve'!$A$4:$G$4,0)),INDEX('Michigan Curve'!$A$4:$F$256,MATCH('Monthly Table'!B103,'Michigan Curve'!$A$4:$A$256,0),MATCH("Michigan Super Peak Curve US$/MWhr",'Michigan Curve'!$A$4:$F$4,0)))))</f>
        <v>45.604687258601189</v>
      </c>
      <c r="AL103" s="965">
        <f>IF(D103&lt;=Tables!$B$21,IF($AL$10=$AI$10,AI103,IF($AL$10=$AJ$10,AJ103,IF($AL$10=$AK$10,AK103,0))),0)</f>
        <v>45.604687258601189</v>
      </c>
      <c r="AM103" s="708">
        <f t="shared" si="72"/>
        <v>61.274030442648836</v>
      </c>
      <c r="AN103" s="916">
        <f t="shared" si="73"/>
        <v>0</v>
      </c>
      <c r="AO103" s="905"/>
      <c r="AP103" s="925"/>
      <c r="AQ103" s="926">
        <f>IF(Tables!$E$30="New York",INDEX('NY Curve'!$A$4:$L$256,MATCH('Monthly Table'!B103,'NY Curve'!$A$4:$A$256,0),MATCH("New York Shoulder Hour Curve Mon-Fri",'NY Curve'!$A$4:$L$4,0)),IF(Tables!$E$30="Michigan",INDEX('Michigan Curve'!$A$4:$K$256,MATCH('Monthly Table'!B103,'Michigan Curve'!$A$4:$A$256,0),MATCH("Michigan Shoulder Hour Curve Mon-Fri",'Michigan Curve'!$A$4:$K$4,0))))</f>
        <v>21.895312741398811</v>
      </c>
      <c r="AR103" s="708">
        <f t="shared" si="74"/>
        <v>29.418337020056093</v>
      </c>
      <c r="AS103" s="927">
        <f t="shared" si="61"/>
        <v>0</v>
      </c>
      <c r="AT103" s="462"/>
      <c r="AU103" s="926">
        <f>IF(Tables!$E$30="New York",INDEX('NY Curve'!$A$4:$L$256,MATCH('Monthly Table'!$B103,'NY Curve'!$A$4:$A$256,0),MATCH("New York Saturday Super Peak",'NY Curve'!$A$4:$L$4,0)),IF(Tables!$E$30="Michigan",INDEX('Michigan Curve'!$A$4:$K$256,MATCH('Monthly Table'!$B103,'Michigan Curve'!$A$4:$A$256,0),MATCH("Michigan Saturday Super Peak",'Michigan Curve'!$A$4:$K$4,0))))</f>
        <v>33.781249821186066</v>
      </c>
      <c r="AV103" s="925">
        <f t="shared" si="62"/>
        <v>45.388170698258399</v>
      </c>
      <c r="AW103" s="927">
        <f t="shared" si="63"/>
        <v>0</v>
      </c>
      <c r="AX103" s="926">
        <f>IF(Tables!$E$30="New York",INDEX('NY Curve'!$A$4:$L$256,MATCH('Monthly Table'!$B103,'NY Curve'!$A$4:$A$256,0),MATCH("New York Saturday Shoulder Peak",'NY Curve'!$A$4:$L$4,0)),IF(Tables!$E$30="Michigan",INDEX('Michigan Curve'!$A$4:$K$256,MATCH('Monthly Table'!$B103,'Michigan Curve'!$A$4:$A$256,0),MATCH("Michigan Saturday Shoulder Peak",'Michigan Curve'!$A$4:$K$4,0))))</f>
        <v>16.218750178813934</v>
      </c>
      <c r="AY103" s="934">
        <f t="shared" si="75"/>
        <v>21.791360755597104</v>
      </c>
      <c r="AZ103" s="927">
        <f t="shared" si="64"/>
        <v>0</v>
      </c>
      <c r="BA103" s="462"/>
      <c r="BB103" s="926">
        <f>IF(Tables!$E$30="New York",INDEX('NY Curve'!$A$4:$M$256,MATCH('Monthly Table'!$B103,'NY Curve'!$A$4:$A$256,0),MATCH("NY Sunday Super Peak",'NY Curve'!$A$4:$M$4,0)),IF(Tables!$E$30="Michigan",INDEX('Michigan Curve'!$A$4:$L$256,MATCH('Monthly Table'!$B103,'Michigan Curve'!$A$4:$A$256,0),MATCH("Michigan Sunday Super Peak",'Michigan Curve'!$A$4:$L$4,0))))</f>
        <v>32.429999828338623</v>
      </c>
      <c r="BC103" s="925">
        <f t="shared" si="76"/>
        <v>43.572643870328058</v>
      </c>
      <c r="BD103" s="927">
        <f t="shared" si="65"/>
        <v>0</v>
      </c>
      <c r="BE103" s="462"/>
      <c r="BF103" s="598">
        <f t="shared" si="56"/>
        <v>39692</v>
      </c>
      <c r="BG103" s="583">
        <f t="shared" si="77"/>
        <v>0</v>
      </c>
      <c r="BH103" s="764">
        <f>IF(Tables!$B$36="Combined Cycle",(BF103-BF102)*24*Assumptions!$B$21,0)</f>
        <v>0</v>
      </c>
      <c r="BI103" s="315">
        <f t="shared" si="78"/>
        <v>0</v>
      </c>
      <c r="BJ103" s="987">
        <f>IF('Monthly Table'!D103&lt;=Tables!$B$21,IF($BJ$10=$BG$10,BG103,IF($BJ$10=$BH$10,BH103,IF($BJ$10=$BI$10,BI103,0))),0)</f>
        <v>0</v>
      </c>
      <c r="BK103" s="43"/>
      <c r="BL103" s="987">
        <f t="shared" si="79"/>
        <v>0</v>
      </c>
      <c r="BM103" s="987">
        <f t="shared" si="80"/>
        <v>0</v>
      </c>
      <c r="BO103" s="987">
        <f t="shared" si="66"/>
        <v>0</v>
      </c>
      <c r="BP103" s="987">
        <f t="shared" si="81"/>
        <v>0</v>
      </c>
      <c r="BR103" s="993">
        <f>IF(BJ103&gt;0,INDEX(OperationalDetail,MATCH("Capacity Degradation",ODColumn,0),MATCH('Monthly Table'!C103,ODRow,0)),0)</f>
        <v>0</v>
      </c>
      <c r="BS103" s="994">
        <f>BJ103*(1-BR103)*Tables!$C$36</f>
        <v>0</v>
      </c>
      <c r="BT103" s="601">
        <f t="shared" si="67"/>
        <v>0</v>
      </c>
      <c r="BU103" s="601">
        <f t="shared" si="68"/>
        <v>0</v>
      </c>
      <c r="BV103" s="462"/>
      <c r="BW103" s="785">
        <f>$BO103*(1-$BR103)*Tables!$C$36</f>
        <v>0</v>
      </c>
      <c r="BX103" s="602">
        <f t="shared" si="82"/>
        <v>0</v>
      </c>
      <c r="BY103" s="601">
        <f t="shared" si="83"/>
        <v>0</v>
      </c>
      <c r="BZ103" s="462"/>
      <c r="CA103" s="785">
        <f>$BL103*(1-$BR103)*Tables!$C$36</f>
        <v>0</v>
      </c>
      <c r="CB103" s="602">
        <f t="shared" si="84"/>
        <v>0</v>
      </c>
      <c r="CC103" s="601">
        <f t="shared" si="85"/>
        <v>0</v>
      </c>
      <c r="CD103" s="785">
        <f>$BP103*(1-$BR103)*Tables!$C$36</f>
        <v>0</v>
      </c>
      <c r="CE103" s="602">
        <f t="shared" si="86"/>
        <v>0</v>
      </c>
      <c r="CF103" s="601">
        <f t="shared" si="87"/>
        <v>0</v>
      </c>
      <c r="CH103" s="785">
        <f>$BM103*(1-$BR103)*Tables!$C$36</f>
        <v>0</v>
      </c>
      <c r="CI103" s="602">
        <f t="shared" si="88"/>
        <v>0</v>
      </c>
      <c r="CJ103" s="601">
        <f t="shared" si="89"/>
        <v>0</v>
      </c>
      <c r="CK103" s="304"/>
      <c r="CL103" s="304">
        <f t="shared" si="90"/>
        <v>2007</v>
      </c>
      <c r="CM103" s="1018">
        <f>INDEX(OperationalDetail,MATCH("Degraded Heat Rate",ODColumn,0),MATCH('Monthly Table'!CL103,ODRow,0))/1000</f>
        <v>12.0166904</v>
      </c>
      <c r="CN103" s="737">
        <f t="shared" si="69"/>
        <v>54.705188979986403</v>
      </c>
      <c r="CO103" s="1019">
        <f>IF(A103="January",(CO102*(1+Assumptions!$E$32)),CO102)</f>
        <v>7.7371159001601839</v>
      </c>
      <c r="CP103" s="741">
        <f t="shared" si="57"/>
        <v>62.442304880146587</v>
      </c>
      <c r="CQ103" s="304"/>
      <c r="CR103" s="575" t="str">
        <f t="shared" si="91"/>
        <v/>
      </c>
      <c r="CS103" s="575" t="str">
        <f t="shared" si="92"/>
        <v/>
      </c>
      <c r="CT103" s="575" t="str">
        <f t="shared" si="93"/>
        <v/>
      </c>
      <c r="CU103" s="575" t="str">
        <f t="shared" si="94"/>
        <v/>
      </c>
      <c r="CV103" s="575" t="str">
        <f t="shared" si="95"/>
        <v/>
      </c>
      <c r="CW103" s="576">
        <f t="shared" si="58"/>
        <v>2008</v>
      </c>
      <c r="CX103" s="787">
        <f>INDEX('NY Curve'!$A$4:$G$256,MATCH('Monthly Table'!B103,'NY Curve'!$A$4:$A$256,0),MATCH("New York 5 X 16",'NY Curve'!$A$4:$G$4,0))</f>
        <v>30.05</v>
      </c>
      <c r="CY103" s="632">
        <f t="shared" si="59"/>
        <v>1.34359062907711</v>
      </c>
      <c r="CZ103" s="633">
        <f t="shared" si="60"/>
        <v>40.374898403767155</v>
      </c>
      <c r="DB103" s="857"/>
      <c r="DC103" s="857"/>
    </row>
    <row r="104" spans="1:107" ht="18.75" customHeight="1">
      <c r="A104" s="17" t="s">
        <v>446</v>
      </c>
      <c r="B104" s="508">
        <v>39722</v>
      </c>
      <c r="C104" s="43">
        <f t="shared" si="49"/>
        <v>2008</v>
      </c>
      <c r="D104" s="719">
        <f t="shared" si="96"/>
        <v>8</v>
      </c>
      <c r="E104" s="972">
        <v>23</v>
      </c>
      <c r="F104" s="971">
        <v>4</v>
      </c>
      <c r="G104" s="971">
        <v>4</v>
      </c>
      <c r="H104" s="971">
        <v>0</v>
      </c>
      <c r="I104" s="976">
        <f t="shared" si="70"/>
        <v>31</v>
      </c>
      <c r="J104" s="621"/>
      <c r="K104" s="572">
        <f>INDEX(FX!$A$3:$C$362,MATCH(B104,FX!$A$3:$A$362,0),MATCH("Monthly Curve",FX!$A$2:$C$2,0))</f>
        <v>1.34273752907428</v>
      </c>
      <c r="L104" s="572"/>
      <c r="M104" s="1057">
        <v>2.9635000000000002</v>
      </c>
      <c r="N104" s="1067">
        <v>0.14499999999999999</v>
      </c>
      <c r="O104" s="315">
        <v>0.05</v>
      </c>
      <c r="P104" s="797">
        <f t="shared" si="51"/>
        <v>0.19500000000000001</v>
      </c>
      <c r="Q104" s="732">
        <f t="shared" si="52"/>
        <v>3.1585000000000001</v>
      </c>
      <c r="R104" s="723">
        <f>IF(A104="January",(R103+R103*Assumptions!$E$32),R103)</f>
        <v>0.34497986478605924</v>
      </c>
      <c r="S104" s="730">
        <f t="shared" si="53"/>
        <v>4.5860163503671725</v>
      </c>
      <c r="T104" s="572"/>
      <c r="U104" s="509"/>
      <c r="V104" s="584"/>
      <c r="W104" s="584"/>
      <c r="X104" s="461"/>
      <c r="Y104" s="588">
        <f>Tables!$D$36</f>
        <v>312</v>
      </c>
      <c r="Z104" s="570">
        <f t="shared" si="54"/>
        <v>0</v>
      </c>
      <c r="AA104" s="592">
        <f t="shared" si="55"/>
        <v>0</v>
      </c>
      <c r="AB104" s="589">
        <f t="shared" si="50"/>
        <v>0</v>
      </c>
      <c r="AC104" s="462"/>
      <c r="AD104" s="1027">
        <f>IF(Tables!$E$30="Michigan",INDEX('Michigan Curve'!$A$4:$S$256,MATCH('Monthly Table'!B104,'Michigan Curve'!$A$4:$A$256,0),MATCH("Michigan Selected Option Value US$/month",'Michigan Curve'!$A$4:$S$4,0)),INDEX('NY Curve'!$A$4:$T$256,MATCH('Monthly Table'!B104,'NY Curve'!$A$4:$A$256,0),MATCH("New York Selected Option Value US$/month",'NY Curve'!$A$4:$T$4,0)))</f>
        <v>3720.906850956329</v>
      </c>
      <c r="AE104" s="601">
        <f t="shared" si="71"/>
        <v>4996.2012709686614</v>
      </c>
      <c r="AF104" s="462"/>
      <c r="AG104" s="915"/>
      <c r="AH104" s="462"/>
      <c r="AI104" s="799">
        <f>Assumptions!$B$50</f>
        <v>65</v>
      </c>
      <c r="AJ104" s="743"/>
      <c r="AK104" s="924">
        <f>IF(Tables!$E$30="Custom",'Monthly Table'!AI104,IF(Tables!$E$30="New York",INDEX('NY Curve'!$A$4:$G$256,MATCH('Monthly Table'!B104,'NY Curve'!$A$4:$A$256,0),MATCH("Super Peak Curve",'NY Curve'!$A$4:$G$4,0)),IF(Tables!$E$30="New York Flat",INDEX('NY Curve'!$A$4:$G$256,MATCH('Monthly Table'!B104,'NY Curve'!$A$4:$A$256,0),MATCH("Flat NY West",'NY Curve'!$A$4:$G$4,0)),INDEX('Michigan Curve'!$A$4:$F$256,MATCH('Monthly Table'!B104,'Michigan Curve'!$A$4:$A$256,0),MATCH("Michigan Super Peak Curve US$/MWhr",'Michigan Curve'!$A$4:$F$4,0)))))</f>
        <v>26.849994659423828</v>
      </c>
      <c r="AL104" s="965">
        <f>IF(D104&lt;=Tables!$B$21,IF($AL$10=$AI$10,AI104,IF($AL$10=$AJ$10,AJ104,IF($AL$10=$AK$10,AK104,0))),0)</f>
        <v>26.849994659423828</v>
      </c>
      <c r="AM104" s="708">
        <f t="shared" si="72"/>
        <v>36.052495484652368</v>
      </c>
      <c r="AN104" s="916">
        <f t="shared" si="73"/>
        <v>0</v>
      </c>
      <c r="AO104" s="905"/>
      <c r="AP104" s="925"/>
      <c r="AQ104" s="926">
        <f>IF(Tables!$E$30="New York",INDEX('NY Curve'!$A$4:$L$256,MATCH('Monthly Table'!B104,'NY Curve'!$A$4:$A$256,0),MATCH("New York Shoulder Hour Curve Mon-Fri",'NY Curve'!$A$4:$L$4,0)),IF(Tables!$E$30="Michigan",INDEX('Michigan Curve'!$A$4:$K$256,MATCH('Monthly Table'!B104,'Michigan Curve'!$A$4:$A$256,0),MATCH("Michigan Shoulder Hour Curve Mon-Fri",'Michigan Curve'!$A$4:$K$4,0))))</f>
        <v>26.849994659423828</v>
      </c>
      <c r="AR104" s="708">
        <f t="shared" si="74"/>
        <v>36.052495484652368</v>
      </c>
      <c r="AS104" s="927">
        <f t="shared" si="61"/>
        <v>0</v>
      </c>
      <c r="AT104" s="462"/>
      <c r="AU104" s="926">
        <f>IF(Tables!$E$30="New York",INDEX('NY Curve'!$A$4:$L$256,MATCH('Monthly Table'!$B104,'NY Curve'!$A$4:$A$256,0),MATCH("New York Saturday Super Peak",'NY Curve'!$A$4:$L$4,0)),IF(Tables!$E$30="Michigan",INDEX('Michigan Curve'!$A$4:$K$256,MATCH('Monthly Table'!$B104,'Michigan Curve'!$A$4:$A$256,0),MATCH("Michigan Saturday Super Peak",'Michigan Curve'!$A$4:$K$4,0))))</f>
        <v>19.996000289916992</v>
      </c>
      <c r="AV104" s="925">
        <f t="shared" si="62"/>
        <v>26.849380020651729</v>
      </c>
      <c r="AW104" s="927">
        <f t="shared" si="63"/>
        <v>0</v>
      </c>
      <c r="AX104" s="926">
        <f>IF(Tables!$E$30="New York",INDEX('NY Curve'!$A$4:$L$256,MATCH('Monthly Table'!$B104,'NY Curve'!$A$4:$A$256,0),MATCH("New York Saturday Shoulder Peak",'NY Curve'!$A$4:$L$4,0)),IF(Tables!$E$30="Michigan",INDEX('Michigan Curve'!$A$4:$K$256,MATCH('Monthly Table'!$B104,'Michigan Curve'!$A$4:$A$256,0),MATCH("Michigan Saturday Shoulder Peak",'Michigan Curve'!$A$4:$K$4,0))))</f>
        <v>19.996000289916992</v>
      </c>
      <c r="AY104" s="934">
        <f t="shared" si="75"/>
        <v>26.849380020651729</v>
      </c>
      <c r="AZ104" s="927">
        <f t="shared" si="64"/>
        <v>0</v>
      </c>
      <c r="BA104" s="462"/>
      <c r="BB104" s="926">
        <f>IF(Tables!$E$30="New York",INDEX('NY Curve'!$A$4:$M$256,MATCH('Monthly Table'!$B104,'NY Curve'!$A$4:$A$256,0),MATCH("NY Sunday Super Peak",'NY Curve'!$A$4:$M$4,0)),IF(Tables!$E$30="Michigan",INDEX('Michigan Curve'!$A$4:$L$256,MATCH('Monthly Table'!$B104,'Michigan Curve'!$A$4:$A$256,0),MATCH("Michigan Sunday Super Peak",'Michigan Curve'!$A$4:$L$4,0))))</f>
        <v>18.996500015258789</v>
      </c>
      <c r="BC104" s="925">
        <f t="shared" si="76"/>
        <v>25.507313491548111</v>
      </c>
      <c r="BD104" s="927">
        <f t="shared" si="65"/>
        <v>0</v>
      </c>
      <c r="BE104" s="462"/>
      <c r="BF104" s="598">
        <f t="shared" si="56"/>
        <v>39722</v>
      </c>
      <c r="BG104" s="583">
        <f t="shared" si="77"/>
        <v>0</v>
      </c>
      <c r="BH104" s="764">
        <f>IF(Tables!$B$36="Combined Cycle",(BF104-BF103)*24*Assumptions!$B$21,0)</f>
        <v>0</v>
      </c>
      <c r="BI104" s="315">
        <f t="shared" si="78"/>
        <v>0</v>
      </c>
      <c r="BJ104" s="987">
        <f>IF('Monthly Table'!D104&lt;=Tables!$B$21,IF($BJ$10=$BG$10,BG104,IF($BJ$10=$BH$10,BH104,IF($BJ$10=$BI$10,BI104,0))),0)</f>
        <v>0</v>
      </c>
      <c r="BK104" s="43"/>
      <c r="BL104" s="987">
        <f t="shared" si="79"/>
        <v>0</v>
      </c>
      <c r="BM104" s="987">
        <f t="shared" si="80"/>
        <v>0</v>
      </c>
      <c r="BO104" s="987">
        <f t="shared" si="66"/>
        <v>0</v>
      </c>
      <c r="BP104" s="987">
        <f t="shared" si="81"/>
        <v>0</v>
      </c>
      <c r="BR104" s="993">
        <f>IF(BJ104&gt;0,INDEX(OperationalDetail,MATCH("Capacity Degradation",ODColumn,0),MATCH('Monthly Table'!C104,ODRow,0)),0)</f>
        <v>0</v>
      </c>
      <c r="BS104" s="994">
        <f>BJ104*(1-BR104)*Tables!$C$36</f>
        <v>0</v>
      </c>
      <c r="BT104" s="601">
        <f t="shared" si="67"/>
        <v>0</v>
      </c>
      <c r="BU104" s="601">
        <f t="shared" si="68"/>
        <v>0</v>
      </c>
      <c r="BV104" s="462"/>
      <c r="BW104" s="785">
        <f>$BO104*(1-$BR104)*Tables!$C$36</f>
        <v>0</v>
      </c>
      <c r="BX104" s="602">
        <f t="shared" si="82"/>
        <v>0</v>
      </c>
      <c r="BY104" s="601">
        <f t="shared" si="83"/>
        <v>0</v>
      </c>
      <c r="BZ104" s="462"/>
      <c r="CA104" s="785">
        <f>$BL104*(1-$BR104)*Tables!$C$36</f>
        <v>0</v>
      </c>
      <c r="CB104" s="602">
        <f t="shared" si="84"/>
        <v>0</v>
      </c>
      <c r="CC104" s="601">
        <f t="shared" si="85"/>
        <v>0</v>
      </c>
      <c r="CD104" s="785">
        <f>$BP104*(1-$BR104)*Tables!$C$36</f>
        <v>0</v>
      </c>
      <c r="CE104" s="602">
        <f t="shared" si="86"/>
        <v>0</v>
      </c>
      <c r="CF104" s="601">
        <f t="shared" si="87"/>
        <v>0</v>
      </c>
      <c r="CH104" s="785">
        <f>$BM104*(1-$BR104)*Tables!$C$36</f>
        <v>0</v>
      </c>
      <c r="CI104" s="602">
        <f t="shared" si="88"/>
        <v>0</v>
      </c>
      <c r="CJ104" s="601">
        <f t="shared" si="89"/>
        <v>0</v>
      </c>
      <c r="CK104" s="304"/>
      <c r="CL104" s="304">
        <f t="shared" si="90"/>
        <v>2007</v>
      </c>
      <c r="CM104" s="1018">
        <f>INDEX(OperationalDetail,MATCH("Degraded Heat Rate",ODColumn,0),MATCH('Monthly Table'!CL104,ODRow,0))/1000</f>
        <v>12.0166904</v>
      </c>
      <c r="CN104" s="737">
        <f t="shared" si="69"/>
        <v>55.108738651700236</v>
      </c>
      <c r="CO104" s="1019">
        <f>IF(A104="January",(CO103*(1+Assumptions!$E$32)),CO103)</f>
        <v>7.7371159001601839</v>
      </c>
      <c r="CP104" s="741">
        <f t="shared" si="57"/>
        <v>62.84585455186042</v>
      </c>
      <c r="CQ104" s="304"/>
      <c r="CR104" s="575" t="str">
        <f t="shared" si="91"/>
        <v/>
      </c>
      <c r="CS104" s="575" t="str">
        <f t="shared" si="92"/>
        <v/>
      </c>
      <c r="CT104" s="575" t="str">
        <f t="shared" si="93"/>
        <v/>
      </c>
      <c r="CU104" s="575" t="str">
        <f t="shared" si="94"/>
        <v/>
      </c>
      <c r="CV104" s="575" t="str">
        <f t="shared" si="95"/>
        <v/>
      </c>
      <c r="CW104" s="576">
        <f t="shared" si="58"/>
        <v>2008</v>
      </c>
      <c r="CX104" s="787">
        <f>INDEX('NY Curve'!$A$4:$G$256,MATCH('Monthly Table'!B104,'NY Curve'!$A$4:$A$256,0),MATCH("New York 5 X 16",'NY Curve'!$A$4:$G$4,0))</f>
        <v>25.8</v>
      </c>
      <c r="CY104" s="632">
        <f t="shared" si="59"/>
        <v>1.34273752907428</v>
      </c>
      <c r="CZ104" s="633">
        <f t="shared" si="60"/>
        <v>34.642628250116424</v>
      </c>
      <c r="DB104" s="857"/>
      <c r="DC104" s="857"/>
    </row>
    <row r="105" spans="1:107" ht="18.75" customHeight="1">
      <c r="A105" s="17" t="s">
        <v>447</v>
      </c>
      <c r="B105" s="508">
        <v>39753</v>
      </c>
      <c r="C105" s="43">
        <f t="shared" si="49"/>
        <v>2008</v>
      </c>
      <c r="D105" s="719">
        <f t="shared" si="96"/>
        <v>8</v>
      </c>
      <c r="E105" s="972">
        <v>19</v>
      </c>
      <c r="F105" s="971">
        <v>5</v>
      </c>
      <c r="G105" s="971">
        <v>5</v>
      </c>
      <c r="H105" s="971">
        <v>1</v>
      </c>
      <c r="I105" s="976">
        <f t="shared" si="70"/>
        <v>30</v>
      </c>
      <c r="J105" s="621"/>
      <c r="K105" s="572">
        <f>INDEX(FX!$A$3:$C$362,MATCH(B105,FX!$A$3:$A$362,0),MATCH("Monthly Curve",FX!$A$2:$C$2,0))</f>
        <v>1.34186001331446</v>
      </c>
      <c r="L105" s="572"/>
      <c r="M105" s="1057">
        <v>3.0994999999999999</v>
      </c>
      <c r="N105" s="1067">
        <v>0.23</v>
      </c>
      <c r="O105" s="315">
        <v>0.05</v>
      </c>
      <c r="P105" s="797">
        <f t="shared" si="51"/>
        <v>0.28000000000000003</v>
      </c>
      <c r="Q105" s="732">
        <f t="shared" si="52"/>
        <v>3.3794999999999997</v>
      </c>
      <c r="R105" s="723">
        <f>IF(A105="January",(R104+R104*Assumptions!$E$32),R104)</f>
        <v>0.34497986478605924</v>
      </c>
      <c r="S105" s="730">
        <f t="shared" si="53"/>
        <v>4.8797957797822766</v>
      </c>
      <c r="T105" s="572"/>
      <c r="U105" s="509"/>
      <c r="V105" s="584"/>
      <c r="W105" s="584"/>
      <c r="X105" s="461"/>
      <c r="Y105" s="588">
        <f>Tables!$D$36</f>
        <v>312</v>
      </c>
      <c r="Z105" s="570">
        <f t="shared" si="54"/>
        <v>0</v>
      </c>
      <c r="AA105" s="592">
        <f t="shared" si="55"/>
        <v>0</v>
      </c>
      <c r="AB105" s="589">
        <f t="shared" si="50"/>
        <v>0</v>
      </c>
      <c r="AC105" s="462"/>
      <c r="AD105" s="1027">
        <f>IF(Tables!$E$30="Michigan",INDEX('Michigan Curve'!$A$4:$S$256,MATCH('Monthly Table'!B105,'Michigan Curve'!$A$4:$A$256,0),MATCH("Michigan Selected Option Value US$/month",'Michigan Curve'!$A$4:$S$4,0)),INDEX('NY Curve'!$A$4:$T$256,MATCH('Monthly Table'!B105,'NY Curve'!$A$4:$A$256,0),MATCH("New York Selected Option Value US$/month",'NY Curve'!$A$4:$T$4,0)))</f>
        <v>14003.418388358965</v>
      </c>
      <c r="AE105" s="601">
        <f t="shared" si="71"/>
        <v>18790.627185051315</v>
      </c>
      <c r="AF105" s="462"/>
      <c r="AG105" s="915"/>
      <c r="AH105" s="462"/>
      <c r="AI105" s="799">
        <f>Assumptions!$B$50</f>
        <v>65</v>
      </c>
      <c r="AJ105" s="743"/>
      <c r="AK105" s="924">
        <f>IF(Tables!$E$30="Custom",'Monthly Table'!AI105,IF(Tables!$E$30="New York",INDEX('NY Curve'!$A$4:$G$256,MATCH('Monthly Table'!B105,'NY Curve'!$A$4:$A$256,0),MATCH("Super Peak Curve",'NY Curve'!$A$4:$G$4,0)),IF(Tables!$E$30="New York Flat",INDEX('NY Curve'!$A$4:$G$256,MATCH('Monthly Table'!B105,'NY Curve'!$A$4:$A$256,0),MATCH("Flat NY West",'NY Curve'!$A$4:$G$4,0)),INDEX('Michigan Curve'!$A$4:$F$256,MATCH('Monthly Table'!B105,'Michigan Curve'!$A$4:$A$256,0),MATCH("Michigan Super Peak Curve US$/MWhr",'Michigan Curve'!$A$4:$F$4,0)))))</f>
        <v>28.86839538574219</v>
      </c>
      <c r="AL105" s="965">
        <f>IF(D105&lt;=Tables!$B$21,IF($AL$10=$AI$10,AI105,IF($AL$10=$AJ$10,AJ105,IF($AL$10=$AK$10,AK105,0))),0)</f>
        <v>28.86839538574219</v>
      </c>
      <c r="AM105" s="708">
        <f t="shared" si="72"/>
        <v>38.737345416679112</v>
      </c>
      <c r="AN105" s="916">
        <f t="shared" si="73"/>
        <v>0</v>
      </c>
      <c r="AO105" s="905"/>
      <c r="AP105" s="925"/>
      <c r="AQ105" s="926">
        <f>IF(Tables!$E$30="New York",INDEX('NY Curve'!$A$4:$L$256,MATCH('Monthly Table'!B105,'NY Curve'!$A$4:$A$256,0),MATCH("New York Shoulder Hour Curve Mon-Fri",'NY Curve'!$A$4:$L$4,0)),IF(Tables!$E$30="Michigan",INDEX('Michigan Curve'!$A$4:$K$256,MATCH('Monthly Table'!B105,'Michigan Curve'!$A$4:$A$256,0),MATCH("Michigan Shoulder Hour Curve Mon-Fri",'Michigan Curve'!$A$4:$K$4,0))))</f>
        <v>24.591596069335935</v>
      </c>
      <c r="AR105" s="708">
        <f t="shared" si="74"/>
        <v>32.998479429022943</v>
      </c>
      <c r="AS105" s="927">
        <f t="shared" si="61"/>
        <v>0</v>
      </c>
      <c r="AT105" s="462"/>
      <c r="AU105" s="926">
        <f>IF(Tables!$E$30="New York",INDEX('NY Curve'!$A$4:$L$256,MATCH('Monthly Table'!$B105,'NY Curve'!$A$4:$A$256,0),MATCH("New York Saturday Super Peak",'NY Curve'!$A$4:$L$4,0)),IF(Tables!$E$30="Michigan",INDEX('Michigan Curve'!$A$4:$K$256,MATCH('Monthly Table'!$B105,'Michigan Curve'!$A$4:$A$256,0),MATCH("Michigan Saturday Super Peak",'Michigan Curve'!$A$4:$K$4,0))))</f>
        <v>21.6</v>
      </c>
      <c r="AV105" s="925">
        <f t="shared" si="62"/>
        <v>28.984176287592337</v>
      </c>
      <c r="AW105" s="927">
        <f t="shared" si="63"/>
        <v>0</v>
      </c>
      <c r="AX105" s="926">
        <f>IF(Tables!$E$30="New York",INDEX('NY Curve'!$A$4:$L$256,MATCH('Monthly Table'!$B105,'NY Curve'!$A$4:$A$256,0),MATCH("New York Saturday Shoulder Peak",'NY Curve'!$A$4:$L$4,0)),IF(Tables!$E$30="Michigan",INDEX('Michigan Curve'!$A$4:$K$256,MATCH('Monthly Table'!$B105,'Michigan Curve'!$A$4:$A$256,0),MATCH("Michigan Saturday Shoulder Peak",'Michigan Curve'!$A$4:$K$4,0))))</f>
        <v>18.399999999999999</v>
      </c>
      <c r="AY105" s="934">
        <f t="shared" si="75"/>
        <v>24.690224244986062</v>
      </c>
      <c r="AZ105" s="927">
        <f t="shared" si="64"/>
        <v>0</v>
      </c>
      <c r="BA105" s="462"/>
      <c r="BB105" s="926">
        <f>IF(Tables!$E$30="New York",INDEX('NY Curve'!$A$4:$M$256,MATCH('Monthly Table'!$B105,'NY Curve'!$A$4:$A$256,0),MATCH("NY Sunday Super Peak",'NY Curve'!$A$4:$M$4,0)),IF(Tables!$E$30="Michigan",INDEX('Michigan Curve'!$A$4:$L$256,MATCH('Monthly Table'!$B105,'Michigan Curve'!$A$4:$A$256,0),MATCH("Michigan Sunday Super Peak",'Michigan Curve'!$A$4:$L$4,0))))</f>
        <v>20.520000000000003</v>
      </c>
      <c r="BC105" s="925">
        <f t="shared" si="76"/>
        <v>27.534967473212724</v>
      </c>
      <c r="BD105" s="927">
        <f t="shared" si="65"/>
        <v>0</v>
      </c>
      <c r="BE105" s="462"/>
      <c r="BF105" s="598">
        <f t="shared" si="56"/>
        <v>39753</v>
      </c>
      <c r="BG105" s="583">
        <f t="shared" si="77"/>
        <v>0</v>
      </c>
      <c r="BH105" s="764">
        <f>IF(Tables!$B$36="Combined Cycle",(BF105-BF104)*24*Assumptions!$B$21,0)</f>
        <v>0</v>
      </c>
      <c r="BI105" s="315">
        <f t="shared" si="78"/>
        <v>0</v>
      </c>
      <c r="BJ105" s="987">
        <f>IF('Monthly Table'!D105&lt;=Tables!$B$21,IF($BJ$10=$BG$10,BG105,IF($BJ$10=$BH$10,BH105,IF($BJ$10=$BI$10,BI105,0))),0)</f>
        <v>0</v>
      </c>
      <c r="BK105" s="43"/>
      <c r="BL105" s="987">
        <f t="shared" si="79"/>
        <v>0</v>
      </c>
      <c r="BM105" s="987">
        <f t="shared" si="80"/>
        <v>0</v>
      </c>
      <c r="BO105" s="987">
        <f t="shared" si="66"/>
        <v>0</v>
      </c>
      <c r="BP105" s="987">
        <f t="shared" si="81"/>
        <v>0</v>
      </c>
      <c r="BR105" s="993">
        <f>IF(BJ105&gt;0,INDEX(OperationalDetail,MATCH("Capacity Degradation",ODColumn,0),MATCH('Monthly Table'!C105,ODRow,0)),0)</f>
        <v>0</v>
      </c>
      <c r="BS105" s="994">
        <f>BJ105*(1-BR105)*Tables!$C$36</f>
        <v>0</v>
      </c>
      <c r="BT105" s="601">
        <f t="shared" si="67"/>
        <v>0</v>
      </c>
      <c r="BU105" s="601">
        <f t="shared" si="68"/>
        <v>0</v>
      </c>
      <c r="BV105" s="462"/>
      <c r="BW105" s="785">
        <f>$BO105*(1-$BR105)*Tables!$C$36</f>
        <v>0</v>
      </c>
      <c r="BX105" s="602">
        <f t="shared" si="82"/>
        <v>0</v>
      </c>
      <c r="BY105" s="601">
        <f t="shared" si="83"/>
        <v>0</v>
      </c>
      <c r="BZ105" s="462"/>
      <c r="CA105" s="785">
        <f>$BL105*(1-$BR105)*Tables!$C$36</f>
        <v>0</v>
      </c>
      <c r="CB105" s="602">
        <f t="shared" si="84"/>
        <v>0</v>
      </c>
      <c r="CC105" s="601">
        <f t="shared" si="85"/>
        <v>0</v>
      </c>
      <c r="CD105" s="785">
        <f>$BP105*(1-$BR105)*Tables!$C$36</f>
        <v>0</v>
      </c>
      <c r="CE105" s="602">
        <f t="shared" si="86"/>
        <v>0</v>
      </c>
      <c r="CF105" s="601">
        <f t="shared" si="87"/>
        <v>0</v>
      </c>
      <c r="CH105" s="785">
        <f>$BM105*(1-$BR105)*Tables!$C$36</f>
        <v>0</v>
      </c>
      <c r="CI105" s="602">
        <f t="shared" si="88"/>
        <v>0</v>
      </c>
      <c r="CJ105" s="601">
        <f t="shared" si="89"/>
        <v>0</v>
      </c>
      <c r="CK105" s="304"/>
      <c r="CL105" s="304">
        <f t="shared" si="90"/>
        <v>2007</v>
      </c>
      <c r="CM105" s="1018">
        <f>INDEX(OperationalDetail,MATCH("Degraded Heat Rate",ODColumn,0),MATCH('Monthly Table'!CL105,ODRow,0))/1000</f>
        <v>12.0166904</v>
      </c>
      <c r="CN105" s="737">
        <f t="shared" si="69"/>
        <v>58.638995100870197</v>
      </c>
      <c r="CO105" s="1019">
        <f>IF(A105="January",(CO104*(1+Assumptions!$E$32)),CO104)</f>
        <v>7.7371159001601839</v>
      </c>
      <c r="CP105" s="741">
        <f t="shared" si="57"/>
        <v>66.376111001030381</v>
      </c>
      <c r="CQ105" s="304"/>
      <c r="CR105" s="575" t="str">
        <f t="shared" si="91"/>
        <v/>
      </c>
      <c r="CS105" s="575" t="str">
        <f t="shared" si="92"/>
        <v/>
      </c>
      <c r="CT105" s="575" t="str">
        <f t="shared" si="93"/>
        <v/>
      </c>
      <c r="CU105" s="575" t="str">
        <f t="shared" si="94"/>
        <v/>
      </c>
      <c r="CV105" s="575" t="str">
        <f t="shared" si="95"/>
        <v/>
      </c>
      <c r="CW105" s="576">
        <f t="shared" si="58"/>
        <v>2008</v>
      </c>
      <c r="CX105" s="787">
        <f>INDEX('NY Curve'!$A$4:$G$256,MATCH('Monthly Table'!B105,'NY Curve'!$A$4:$A$256,0),MATCH("New York 5 X 16",'NY Curve'!$A$4:$G$4,0))</f>
        <v>26.3</v>
      </c>
      <c r="CY105" s="632">
        <f t="shared" si="59"/>
        <v>1.34186001331446</v>
      </c>
      <c r="CZ105" s="633">
        <f t="shared" si="60"/>
        <v>35.290918350170301</v>
      </c>
      <c r="DB105" s="857"/>
      <c r="DC105" s="857"/>
    </row>
    <row r="106" spans="1:107" s="222" customFormat="1" ht="18.75" customHeight="1">
      <c r="A106" s="222" t="s">
        <v>448</v>
      </c>
      <c r="B106" s="564">
        <v>39783</v>
      </c>
      <c r="C106" s="565">
        <f t="shared" si="49"/>
        <v>2008</v>
      </c>
      <c r="D106" s="819">
        <f t="shared" si="96"/>
        <v>8</v>
      </c>
      <c r="E106" s="972">
        <v>22</v>
      </c>
      <c r="F106" s="971">
        <v>4</v>
      </c>
      <c r="G106" s="971">
        <v>4</v>
      </c>
      <c r="H106" s="971">
        <v>1</v>
      </c>
      <c r="I106" s="976">
        <f t="shared" si="70"/>
        <v>31</v>
      </c>
      <c r="J106" s="969"/>
      <c r="K106" s="820">
        <f>INDEX(FX!$A$3:$C$362,MATCH(B106,FX!$A$3:$A$362,0),MATCH("Monthly Curve",FX!$A$2:$C$2,0))</f>
        <v>1.34101468889929</v>
      </c>
      <c r="L106" s="820"/>
      <c r="M106" s="1068">
        <v>3.2255000000000003</v>
      </c>
      <c r="N106" s="1069">
        <v>0.27</v>
      </c>
      <c r="O106" s="831">
        <v>0.05</v>
      </c>
      <c r="P106" s="824">
        <f t="shared" si="51"/>
        <v>0.32</v>
      </c>
      <c r="Q106" s="825">
        <f t="shared" si="52"/>
        <v>3.5455000000000001</v>
      </c>
      <c r="R106" s="837">
        <f>IF(A106="January",(R105+R105*Assumptions!$E$32),R105)</f>
        <v>0.34497986478605924</v>
      </c>
      <c r="S106" s="827">
        <f t="shared" si="53"/>
        <v>5.0995474442784916</v>
      </c>
      <c r="T106" s="820"/>
      <c r="U106" s="567"/>
      <c r="V106" s="838"/>
      <c r="W106" s="838"/>
      <c r="X106" s="566"/>
      <c r="Y106" s="839">
        <f>Tables!$D$36</f>
        <v>312</v>
      </c>
      <c r="Z106" s="678">
        <f t="shared" si="54"/>
        <v>0</v>
      </c>
      <c r="AA106" s="679">
        <f t="shared" si="55"/>
        <v>0</v>
      </c>
      <c r="AB106" s="680">
        <f t="shared" si="50"/>
        <v>0</v>
      </c>
      <c r="AC106" s="828"/>
      <c r="AD106" s="1027">
        <f>IF(Tables!$E$30="Michigan",INDEX('Michigan Curve'!$A$4:$S$256,MATCH('Monthly Table'!B106,'Michigan Curve'!$A$4:$A$256,0),MATCH("Michigan Selected Option Value US$/month",'Michigan Curve'!$A$4:$S$4,0)),INDEX('NY Curve'!$A$4:$T$256,MATCH('Monthly Table'!B106,'NY Curve'!$A$4:$A$256,0),MATCH("New York Selected Option Value US$/month",'NY Curve'!$A$4:$T$4,0)))</f>
        <v>8068.9204598120241</v>
      </c>
      <c r="AE106" s="601">
        <f t="shared" si="71"/>
        <v>10820.540860167937</v>
      </c>
      <c r="AF106" s="828"/>
      <c r="AG106" s="917"/>
      <c r="AH106" s="828"/>
      <c r="AI106" s="799">
        <f>Assumptions!$B$50</f>
        <v>65</v>
      </c>
      <c r="AJ106" s="762"/>
      <c r="AK106" s="924">
        <f>IF(Tables!$E$30="Custom",'Monthly Table'!AI106,IF(Tables!$E$30="New York",INDEX('NY Curve'!$A$4:$G$256,MATCH('Monthly Table'!B106,'NY Curve'!$A$4:$A$256,0),MATCH("Super Peak Curve",'NY Curve'!$A$4:$G$4,0)),IF(Tables!$E$30="New York Flat",INDEX('NY Curve'!$A$4:$G$256,MATCH('Monthly Table'!B106,'NY Curve'!$A$4:$A$256,0),MATCH("Flat NY West",'NY Curve'!$A$4:$G$4,0)),INDEX('Michigan Curve'!$A$4:$F$256,MATCH('Monthly Table'!B106,'Michigan Curve'!$A$4:$A$256,0),MATCH("Michigan Super Peak Curve US$/MWhr",'Michigan Curve'!$A$4:$F$4,0)))))</f>
        <v>27.743994941711428</v>
      </c>
      <c r="AL106" s="966">
        <f>IF(D106&lt;=Tables!$B$21,IF($AL$10=$AI$10,AI106,IF($AL$10=$AJ$10,AJ106,IF($AL$10=$AK$10,AK106,0))),0)</f>
        <v>27.743994941711428</v>
      </c>
      <c r="AM106" s="879">
        <f t="shared" si="72"/>
        <v>37.205104745582624</v>
      </c>
      <c r="AN106" s="918">
        <f t="shared" si="73"/>
        <v>0</v>
      </c>
      <c r="AO106" s="906"/>
      <c r="AP106" s="925"/>
      <c r="AQ106" s="926">
        <f>IF(Tables!$E$30="New York",INDEX('NY Curve'!$A$4:$L$256,MATCH('Monthly Table'!B106,'NY Curve'!$A$4:$A$256,0),MATCH("New York Shoulder Hour Curve Mon-Fri",'NY Curve'!$A$4:$L$4,0)),IF(Tables!$E$30="Michigan",INDEX('Michigan Curve'!$A$4:$K$256,MATCH('Monthly Table'!B106,'Michigan Curve'!$A$4:$A$256,0),MATCH("Michigan Shoulder Hour Curve Mon-Fri",'Michigan Curve'!$A$4:$K$4,0))))</f>
        <v>26.655995140075682</v>
      </c>
      <c r="AR106" s="708">
        <f t="shared" si="74"/>
        <v>35.746081030069575</v>
      </c>
      <c r="AS106" s="927">
        <f t="shared" si="61"/>
        <v>0</v>
      </c>
      <c r="AT106" s="828"/>
      <c r="AU106" s="926">
        <f>IF(Tables!$E$30="New York",INDEX('NY Curve'!$A$4:$L$256,MATCH('Monthly Table'!$B106,'NY Curve'!$A$4:$A$256,0),MATCH("New York Saturday Super Peak",'NY Curve'!$A$4:$L$4,0)),IF(Tables!$E$30="Michigan",INDEX('Michigan Curve'!$A$4:$K$256,MATCH('Monthly Table'!$B106,'Michigan Curve'!$A$4:$A$256,0),MATCH("Michigan Saturday Super Peak",'Michigan Curve'!$A$4:$K$4,0))))</f>
        <v>20.399999999999999</v>
      </c>
      <c r="AV106" s="925">
        <f t="shared" si="62"/>
        <v>27.356699653545515</v>
      </c>
      <c r="AW106" s="927">
        <f t="shared" si="63"/>
        <v>0</v>
      </c>
      <c r="AX106" s="926">
        <f>IF(Tables!$E$30="New York",INDEX('NY Curve'!$A$4:$L$256,MATCH('Monthly Table'!$B106,'NY Curve'!$A$4:$A$256,0),MATCH("New York Saturday Shoulder Peak",'NY Curve'!$A$4:$L$4,0)),IF(Tables!$E$30="Michigan",INDEX('Michigan Curve'!$A$4:$K$256,MATCH('Monthly Table'!$B106,'Michigan Curve'!$A$4:$A$256,0),MATCH("Michigan Saturday Shoulder Peak",'Michigan Curve'!$A$4:$K$4,0))))</f>
        <v>19.600000000000001</v>
      </c>
      <c r="AY106" s="934">
        <f t="shared" si="75"/>
        <v>26.283887902426084</v>
      </c>
      <c r="AZ106" s="927">
        <f t="shared" si="64"/>
        <v>0</v>
      </c>
      <c r="BA106" s="828"/>
      <c r="BB106" s="926">
        <f>IF(Tables!$E$30="New York",INDEX('NY Curve'!$A$4:$M$256,MATCH('Monthly Table'!$B106,'NY Curve'!$A$4:$A$256,0),MATCH("NY Sunday Super Peak",'NY Curve'!$A$4:$M$4,0)),IF(Tables!$E$30="Michigan",INDEX('Michigan Curve'!$A$4:$L$256,MATCH('Monthly Table'!$B106,'Michigan Curve'!$A$4:$A$256,0),MATCH("Michigan Sunday Super Peak",'Michigan Curve'!$A$4:$L$4,0))))</f>
        <v>19.38</v>
      </c>
      <c r="BC106" s="925">
        <f t="shared" si="76"/>
        <v>25.988864670868239</v>
      </c>
      <c r="BD106" s="927">
        <f t="shared" si="65"/>
        <v>0</v>
      </c>
      <c r="BE106" s="828"/>
      <c r="BF106" s="829">
        <f t="shared" si="56"/>
        <v>39783</v>
      </c>
      <c r="BG106" s="583">
        <f t="shared" si="77"/>
        <v>0</v>
      </c>
      <c r="BH106" s="840">
        <f>IF(Tables!$B$36="Combined Cycle",(BF106-BF105)*24*Assumptions!$B$21,0)</f>
        <v>0</v>
      </c>
      <c r="BI106" s="315">
        <f t="shared" si="78"/>
        <v>0</v>
      </c>
      <c r="BJ106" s="988">
        <f>IF('Monthly Table'!D106&lt;=Tables!$B$21,IF($BJ$10=$BG$10,BG106,IF($BJ$10=$BH$10,BH106,IF($BJ$10=$BI$10,BI106,0))),0)</f>
        <v>0</v>
      </c>
      <c r="BK106" s="43"/>
      <c r="BL106" s="987">
        <f t="shared" si="79"/>
        <v>0</v>
      </c>
      <c r="BM106" s="987">
        <f t="shared" si="80"/>
        <v>0</v>
      </c>
      <c r="BN106" s="43"/>
      <c r="BO106" s="987">
        <f t="shared" si="66"/>
        <v>0</v>
      </c>
      <c r="BP106" s="987">
        <f t="shared" si="81"/>
        <v>0</v>
      </c>
      <c r="BQ106" s="43"/>
      <c r="BR106" s="995">
        <f>IF(BJ106&gt;0,INDEX(OperationalDetail,MATCH("Capacity Degradation",ODColumn,0),MATCH('Monthly Table'!C106,ODRow,0)),0)</f>
        <v>0</v>
      </c>
      <c r="BS106" s="994">
        <f>BJ106*(1-BR106)*Tables!$C$36</f>
        <v>0</v>
      </c>
      <c r="BT106" s="834">
        <f t="shared" si="67"/>
        <v>0</v>
      </c>
      <c r="BU106" s="834">
        <f t="shared" si="68"/>
        <v>0</v>
      </c>
      <c r="BV106" s="462"/>
      <c r="BW106" s="785">
        <f>$BO106*(1-$BR106)*Tables!$C$36</f>
        <v>0</v>
      </c>
      <c r="BX106" s="602">
        <f t="shared" si="82"/>
        <v>0</v>
      </c>
      <c r="BY106" s="601">
        <f t="shared" si="83"/>
        <v>0</v>
      </c>
      <c r="BZ106" s="828"/>
      <c r="CA106" s="785">
        <f>$BL106*(1-$BR106)*Tables!$C$36</f>
        <v>0</v>
      </c>
      <c r="CB106" s="602">
        <f t="shared" si="84"/>
        <v>0</v>
      </c>
      <c r="CC106" s="601">
        <f t="shared" si="85"/>
        <v>0</v>
      </c>
      <c r="CD106" s="785">
        <f>$BP106*(1-$BR106)*Tables!$C$36</f>
        <v>0</v>
      </c>
      <c r="CE106" s="602">
        <f t="shared" si="86"/>
        <v>0</v>
      </c>
      <c r="CF106" s="601">
        <f t="shared" si="87"/>
        <v>0</v>
      </c>
      <c r="CH106" s="785">
        <f>$BM106*(1-$BR106)*Tables!$C$36</f>
        <v>0</v>
      </c>
      <c r="CI106" s="602">
        <f t="shared" si="88"/>
        <v>0</v>
      </c>
      <c r="CJ106" s="601">
        <f t="shared" si="89"/>
        <v>0</v>
      </c>
      <c r="CK106" s="880"/>
      <c r="CL106" s="304">
        <f t="shared" si="90"/>
        <v>2007</v>
      </c>
      <c r="CM106" s="1018">
        <f>INDEX(OperationalDetail,MATCH("Degraded Heat Rate",ODColumn,0),MATCH('Monthly Table'!CL106,ODRow,0))/1000</f>
        <v>12.0166904</v>
      </c>
      <c r="CN106" s="835">
        <f t="shared" si="69"/>
        <v>61.279682818005881</v>
      </c>
      <c r="CO106" s="1020">
        <f>IF(A106="January",(CO105*(1+Assumptions!$E$32)),CO105)</f>
        <v>7.7371159001601839</v>
      </c>
      <c r="CP106" s="836">
        <f t="shared" si="57"/>
        <v>69.016798718166058</v>
      </c>
      <c r="CQ106" s="880"/>
      <c r="CR106" s="841" t="str">
        <f t="shared" si="91"/>
        <v/>
      </c>
      <c r="CS106" s="575" t="str">
        <f t="shared" si="92"/>
        <v/>
      </c>
      <c r="CT106" s="575" t="str">
        <f t="shared" si="93"/>
        <v/>
      </c>
      <c r="CU106" s="575" t="str">
        <f t="shared" si="94"/>
        <v/>
      </c>
      <c r="CV106" s="575" t="str">
        <f t="shared" si="95"/>
        <v/>
      </c>
      <c r="CW106" s="842">
        <f t="shared" si="58"/>
        <v>2008</v>
      </c>
      <c r="CX106" s="843">
        <f>INDEX('NY Curve'!$A$4:$G$256,MATCH('Monthly Table'!B106,'NY Curve'!$A$4:$A$256,0),MATCH("New York 5 X 16",'NY Curve'!$A$4:$G$4,0))</f>
        <v>26.8</v>
      </c>
      <c r="CY106" s="844">
        <f t="shared" si="59"/>
        <v>1.34101468889929</v>
      </c>
      <c r="CZ106" s="845">
        <f t="shared" si="60"/>
        <v>35.939193662500969</v>
      </c>
      <c r="DB106" s="881"/>
      <c r="DC106" s="881"/>
    </row>
    <row r="107" spans="1:107" ht="18.75" customHeight="1">
      <c r="A107" s="17" t="s">
        <v>437</v>
      </c>
      <c r="B107" s="508">
        <v>39814</v>
      </c>
      <c r="C107" s="43">
        <f t="shared" si="49"/>
        <v>2009</v>
      </c>
      <c r="D107" s="719">
        <f t="shared" si="96"/>
        <v>9</v>
      </c>
      <c r="E107" s="972">
        <v>21</v>
      </c>
      <c r="F107" s="971">
        <v>5</v>
      </c>
      <c r="G107" s="971">
        <v>4</v>
      </c>
      <c r="H107" s="971">
        <v>1</v>
      </c>
      <c r="I107" s="976">
        <f t="shared" si="70"/>
        <v>31</v>
      </c>
      <c r="J107" s="621"/>
      <c r="K107" s="572">
        <f>INDEX(FX!$A$3:$C$362,MATCH(B107,FX!$A$3:$A$362,0),MATCH("Monthly Curve",FX!$A$2:$C$2,0))</f>
        <v>1.3401451937800499</v>
      </c>
      <c r="L107" s="572"/>
      <c r="M107" s="1057">
        <v>3.2960000000000003</v>
      </c>
      <c r="N107" s="1067">
        <v>0.28000000000000003</v>
      </c>
      <c r="O107" s="315">
        <v>0.05</v>
      </c>
      <c r="P107" s="797">
        <f t="shared" si="51"/>
        <v>0.33</v>
      </c>
      <c r="Q107" s="732">
        <f t="shared" si="52"/>
        <v>3.6260000000000003</v>
      </c>
      <c r="R107" s="723">
        <f>IF(A107="January",(R106+R106*Assumptions!$E$32),R106)</f>
        <v>0.35187946208178045</v>
      </c>
      <c r="S107" s="730">
        <f t="shared" si="53"/>
        <v>5.2112459347282414</v>
      </c>
      <c r="T107" s="572"/>
      <c r="U107" s="509"/>
      <c r="V107" s="584"/>
      <c r="W107" s="584"/>
      <c r="X107" s="461"/>
      <c r="Y107" s="588">
        <f>Tables!$D$36</f>
        <v>312</v>
      </c>
      <c r="Z107" s="570">
        <f t="shared" si="54"/>
        <v>0</v>
      </c>
      <c r="AA107" s="592">
        <f t="shared" si="55"/>
        <v>0</v>
      </c>
      <c r="AB107" s="589">
        <f t="shared" si="50"/>
        <v>0</v>
      </c>
      <c r="AC107" s="462"/>
      <c r="AD107" s="1027">
        <f>IF(Tables!$E$30="Michigan",INDEX('Michigan Curve'!$A$4:$S$256,MATCH('Monthly Table'!B107,'Michigan Curve'!$A$4:$A$256,0),MATCH("Michigan Selected Option Value US$/month",'Michigan Curve'!$A$4:$S$4,0)),INDEX('NY Curve'!$A$4:$T$256,MATCH('Monthly Table'!B107,'NY Curve'!$A$4:$A$256,0),MATCH("New York Selected Option Value US$/month",'NY Curve'!$A$4:$T$4,0)))</f>
        <v>37676.32083197547</v>
      </c>
      <c r="AE107" s="601">
        <f t="shared" si="71"/>
        <v>50491.740282287101</v>
      </c>
      <c r="AF107" s="462"/>
      <c r="AG107" s="915"/>
      <c r="AH107" s="462"/>
      <c r="AI107" s="799">
        <f>Assumptions!$B$50</f>
        <v>65</v>
      </c>
      <c r="AJ107" s="743"/>
      <c r="AK107" s="924">
        <f>IF(Tables!$E$30="Custom",'Monthly Table'!AI107,IF(Tables!$E$30="New York",INDEX('NY Curve'!$A$4:$G$256,MATCH('Monthly Table'!B107,'NY Curve'!$A$4:$A$256,0),MATCH("Super Peak Curve",'NY Curve'!$A$4:$G$4,0)),IF(Tables!$E$30="New York Flat",INDEX('NY Curve'!$A$4:$G$256,MATCH('Monthly Table'!B107,'NY Curve'!$A$4:$A$256,0),MATCH("Flat NY West",'NY Curve'!$A$4:$G$4,0)),INDEX('Michigan Curve'!$A$4:$F$256,MATCH('Monthly Table'!B107,'Michigan Curve'!$A$4:$A$256,0),MATCH("Michigan Super Peak Curve US$/MWhr",'Michigan Curve'!$A$4:$F$4,0)))))</f>
        <v>33.35400038909912</v>
      </c>
      <c r="AL107" s="965">
        <f>IF(D107&lt;=Tables!$B$21,IF($AL$10=$AI$10,AI107,IF($AL$10=$AJ$10,AJ107,IF($AL$10=$AK$10,AK107,0))),0)</f>
        <v>33.35400038909912</v>
      </c>
      <c r="AM107" s="708">
        <f t="shared" si="72"/>
        <v>44.699203314789102</v>
      </c>
      <c r="AN107" s="916">
        <f t="shared" si="73"/>
        <v>0</v>
      </c>
      <c r="AO107" s="905"/>
      <c r="AP107" s="925"/>
      <c r="AQ107" s="926">
        <f>IF(Tables!$E$30="New York",INDEX('NY Curve'!$A$4:$L$256,MATCH('Monthly Table'!B107,'NY Curve'!$A$4:$A$256,0),MATCH("New York Shoulder Hour Curve Mon-Fri",'NY Curve'!$A$4:$L$4,0)),IF(Tables!$E$30="Michigan",INDEX('Michigan Curve'!$A$4:$K$256,MATCH('Monthly Table'!B107,'Michigan Curve'!$A$4:$A$256,0),MATCH("Michigan Shoulder Hour Curve Mon-Fri",'Michigan Curve'!$A$4:$K$4,0))))</f>
        <v>32.046000373840336</v>
      </c>
      <c r="AR107" s="708">
        <f t="shared" si="74"/>
        <v>42.946293380875808</v>
      </c>
      <c r="AS107" s="927">
        <f t="shared" si="61"/>
        <v>0</v>
      </c>
      <c r="AT107" s="462"/>
      <c r="AU107" s="926">
        <f>IF(Tables!$E$30="New York",INDEX('NY Curve'!$A$4:$L$256,MATCH('Monthly Table'!$B107,'NY Curve'!$A$4:$A$256,0),MATCH("New York Saturday Super Peak",'NY Curve'!$A$4:$L$4,0)),IF(Tables!$E$30="Michigan",INDEX('Michigan Curve'!$A$4:$K$256,MATCH('Monthly Table'!$B107,'Michigan Curve'!$A$4:$A$256,0),MATCH("Michigan Saturday Super Peak",'Michigan Curve'!$A$4:$K$4,0))))</f>
        <v>22.44</v>
      </c>
      <c r="AV107" s="925">
        <f t="shared" si="62"/>
        <v>30.072858148424324</v>
      </c>
      <c r="AW107" s="927">
        <f t="shared" si="63"/>
        <v>0</v>
      </c>
      <c r="AX107" s="926">
        <f>IF(Tables!$E$30="New York",INDEX('NY Curve'!$A$4:$L$256,MATCH('Monthly Table'!$B107,'NY Curve'!$A$4:$A$256,0),MATCH("New York Saturday Shoulder Peak",'NY Curve'!$A$4:$L$4,0)),IF(Tables!$E$30="Michigan",INDEX('Michigan Curve'!$A$4:$K$256,MATCH('Monthly Table'!$B107,'Michigan Curve'!$A$4:$A$256,0),MATCH("Michigan Saturday Shoulder Peak",'Michigan Curve'!$A$4:$K$4,0))))</f>
        <v>21.56</v>
      </c>
      <c r="AY107" s="934">
        <f t="shared" si="75"/>
        <v>28.893530377897875</v>
      </c>
      <c r="AZ107" s="927">
        <f t="shared" si="64"/>
        <v>0</v>
      </c>
      <c r="BA107" s="462"/>
      <c r="BB107" s="926">
        <f>IF(Tables!$E$30="New York",INDEX('NY Curve'!$A$4:$M$256,MATCH('Monthly Table'!$B107,'NY Curve'!$A$4:$A$256,0),MATCH("NY Sunday Super Peak",'NY Curve'!$A$4:$M$4,0)),IF(Tables!$E$30="Michigan",INDEX('Michigan Curve'!$A$4:$L$256,MATCH('Monthly Table'!$B107,'Michigan Curve'!$A$4:$A$256,0),MATCH("Michigan Sunday Super Peak",'Michigan Curve'!$A$4:$L$4,0))))</f>
        <v>21.42</v>
      </c>
      <c r="BC107" s="925">
        <f t="shared" si="76"/>
        <v>28.705910050768672</v>
      </c>
      <c r="BD107" s="927">
        <f t="shared" si="65"/>
        <v>0</v>
      </c>
      <c r="BE107" s="462"/>
      <c r="BF107" s="598">
        <f t="shared" si="56"/>
        <v>39814</v>
      </c>
      <c r="BG107" s="583">
        <f t="shared" si="77"/>
        <v>0</v>
      </c>
      <c r="BH107" s="764">
        <f>IF(Tables!$B$36="Combined Cycle",(BF107-BF106)*24*Assumptions!$B$21,0)</f>
        <v>0</v>
      </c>
      <c r="BI107" s="315">
        <f t="shared" si="78"/>
        <v>0</v>
      </c>
      <c r="BJ107" s="987">
        <f>IF('Monthly Table'!D107&lt;=Tables!$B$21,IF($BJ$10=$BG$10,BG107,IF($BJ$10=$BH$10,BH107,IF($BJ$10=$BI$10,BI107,0))),0)</f>
        <v>0</v>
      </c>
      <c r="BK107" s="43"/>
      <c r="BL107" s="987">
        <f t="shared" si="79"/>
        <v>0</v>
      </c>
      <c r="BM107" s="987">
        <f t="shared" si="80"/>
        <v>0</v>
      </c>
      <c r="BO107" s="987">
        <f t="shared" si="66"/>
        <v>0</v>
      </c>
      <c r="BP107" s="987">
        <f t="shared" si="81"/>
        <v>0</v>
      </c>
      <c r="BR107" s="993">
        <f>IF(BJ107&gt;0,INDEX(OperationalDetail,MATCH("Capacity Degradation",ODColumn,0),MATCH('Monthly Table'!C107,ODRow,0)),0)</f>
        <v>0</v>
      </c>
      <c r="BS107" s="994">
        <f>BJ107*(1-BR107)*Tables!$C$36</f>
        <v>0</v>
      </c>
      <c r="BT107" s="601">
        <f t="shared" si="67"/>
        <v>0</v>
      </c>
      <c r="BU107" s="601">
        <f t="shared" si="68"/>
        <v>0</v>
      </c>
      <c r="BV107" s="462"/>
      <c r="BW107" s="785">
        <f>$BO107*(1-$BR107)*Tables!$C$36</f>
        <v>0</v>
      </c>
      <c r="BX107" s="602">
        <f t="shared" si="82"/>
        <v>0</v>
      </c>
      <c r="BY107" s="601">
        <f t="shared" si="83"/>
        <v>0</v>
      </c>
      <c r="BZ107" s="462"/>
      <c r="CA107" s="785">
        <f>$BL107*(1-$BR107)*Tables!$C$36</f>
        <v>0</v>
      </c>
      <c r="CB107" s="602">
        <f t="shared" si="84"/>
        <v>0</v>
      </c>
      <c r="CC107" s="601">
        <f t="shared" si="85"/>
        <v>0</v>
      </c>
      <c r="CD107" s="785">
        <f>$BP107*(1-$BR107)*Tables!$C$36</f>
        <v>0</v>
      </c>
      <c r="CE107" s="602">
        <f t="shared" si="86"/>
        <v>0</v>
      </c>
      <c r="CF107" s="601">
        <f t="shared" si="87"/>
        <v>0</v>
      </c>
      <c r="CH107" s="785">
        <f>$BM107*(1-$BR107)*Tables!$C$36</f>
        <v>0</v>
      </c>
      <c r="CI107" s="602">
        <f t="shared" si="88"/>
        <v>0</v>
      </c>
      <c r="CJ107" s="601">
        <f t="shared" si="89"/>
        <v>0</v>
      </c>
      <c r="CK107" s="304"/>
      <c r="CL107" s="304">
        <f t="shared" si="90"/>
        <v>2008</v>
      </c>
      <c r="CM107" s="1018">
        <f>INDEX(OperationalDetail,MATCH("Degraded Heat Rate",ODColumn,0),MATCH('Monthly Table'!CL107,ODRow,0))/1000</f>
        <v>12.047547199999999</v>
      </c>
      <c r="CN107" s="737">
        <f t="shared" si="69"/>
        <v>62.782731369446601</v>
      </c>
      <c r="CO107" s="1019">
        <f>IF(A107="January",(CO106*(1+Assumptions!$E$32)),CO106)</f>
        <v>7.8918582181633878</v>
      </c>
      <c r="CP107" s="741">
        <f t="shared" si="57"/>
        <v>70.674589587609987</v>
      </c>
      <c r="CQ107" s="304"/>
      <c r="CR107" s="575" t="str">
        <f t="shared" si="91"/>
        <v/>
      </c>
      <c r="CS107" s="575" t="str">
        <f t="shared" si="92"/>
        <v/>
      </c>
      <c r="CT107" s="575" t="str">
        <f t="shared" si="93"/>
        <v/>
      </c>
      <c r="CU107" s="575" t="str">
        <f t="shared" si="94"/>
        <v/>
      </c>
      <c r="CV107" s="575" t="str">
        <f t="shared" si="95"/>
        <v/>
      </c>
      <c r="CW107" s="576">
        <f t="shared" si="58"/>
        <v>2009</v>
      </c>
      <c r="CX107" s="787">
        <f>INDEX('NY Curve'!$A$4:$G$256,MATCH('Monthly Table'!B107,'NY Curve'!$A$4:$A$256,0),MATCH("New York 5 X 16",'NY Curve'!$A$4:$G$4,0))</f>
        <v>32.15</v>
      </c>
      <c r="CY107" s="632">
        <f t="shared" si="59"/>
        <v>1.3401451937800499</v>
      </c>
      <c r="CZ107" s="633">
        <f t="shared" si="60"/>
        <v>43.085667980028603</v>
      </c>
      <c r="DB107" s="857"/>
      <c r="DC107" s="857"/>
    </row>
    <row r="108" spans="1:107" ht="18.75" customHeight="1">
      <c r="A108" s="17" t="s">
        <v>438</v>
      </c>
      <c r="B108" s="508">
        <v>39845</v>
      </c>
      <c r="C108" s="43">
        <f t="shared" si="49"/>
        <v>2009</v>
      </c>
      <c r="D108" s="719">
        <f t="shared" si="96"/>
        <v>9</v>
      </c>
      <c r="E108" s="972">
        <v>20</v>
      </c>
      <c r="F108" s="971">
        <v>4</v>
      </c>
      <c r="G108" s="971">
        <v>4</v>
      </c>
      <c r="H108" s="971">
        <v>0</v>
      </c>
      <c r="I108" s="976">
        <f t="shared" si="70"/>
        <v>28</v>
      </c>
      <c r="J108" s="621"/>
      <c r="K108" s="572">
        <f>INDEX(FX!$A$3:$C$362,MATCH(B108,FX!$A$3:$A$362,0),MATCH("Monthly Curve",FX!$A$2:$C$2,0))</f>
        <v>1.3392797639542899</v>
      </c>
      <c r="L108" s="572"/>
      <c r="M108" s="1057">
        <v>3.1830000000000003</v>
      </c>
      <c r="N108" s="1067">
        <v>0.31</v>
      </c>
      <c r="O108" s="315">
        <v>0.05</v>
      </c>
      <c r="P108" s="797">
        <f t="shared" si="51"/>
        <v>0.36</v>
      </c>
      <c r="Q108" s="732">
        <f t="shared" si="52"/>
        <v>3.5430000000000001</v>
      </c>
      <c r="R108" s="723">
        <f>IF(A108="January",(R107+R107*Assumptions!$E$32),R107)</f>
        <v>0.35187946208178045</v>
      </c>
      <c r="S108" s="730">
        <f t="shared" si="53"/>
        <v>5.0969476657718298</v>
      </c>
      <c r="T108" s="572"/>
      <c r="U108" s="509"/>
      <c r="V108" s="584"/>
      <c r="W108" s="584"/>
      <c r="X108" s="461"/>
      <c r="Y108" s="588">
        <f>Tables!$D$36</f>
        <v>312</v>
      </c>
      <c r="Z108" s="570">
        <f t="shared" si="54"/>
        <v>0</v>
      </c>
      <c r="AA108" s="592">
        <f t="shared" si="55"/>
        <v>0</v>
      </c>
      <c r="AB108" s="589">
        <f t="shared" si="50"/>
        <v>0</v>
      </c>
      <c r="AC108" s="462"/>
      <c r="AD108" s="1027">
        <f>IF(Tables!$E$30="Michigan",INDEX('Michigan Curve'!$A$4:$S$256,MATCH('Monthly Table'!B108,'Michigan Curve'!$A$4:$A$256,0),MATCH("Michigan Selected Option Value US$/month",'Michigan Curve'!$A$4:$S$4,0)),INDEX('NY Curve'!$A$4:$T$256,MATCH('Monthly Table'!B108,'NY Curve'!$A$4:$A$256,0),MATCH("New York Selected Option Value US$/month",'NY Curve'!$A$4:$T$4,0)))</f>
        <v>36761.021983991515</v>
      </c>
      <c r="AE108" s="601">
        <f t="shared" si="71"/>
        <v>49233.29284543862</v>
      </c>
      <c r="AF108" s="462"/>
      <c r="AG108" s="915"/>
      <c r="AH108" s="462"/>
      <c r="AI108" s="799">
        <f>Assumptions!$B$50</f>
        <v>65</v>
      </c>
      <c r="AJ108" s="743"/>
      <c r="AK108" s="924">
        <f>IF(Tables!$E$30="Custom",'Monthly Table'!AI108,IF(Tables!$E$30="New York",INDEX('NY Curve'!$A$4:$G$256,MATCH('Monthly Table'!B108,'NY Curve'!$A$4:$A$256,0),MATCH("Super Peak Curve",'NY Curve'!$A$4:$G$4,0)),IF(Tables!$E$30="New York Flat",INDEX('NY Curve'!$A$4:$G$256,MATCH('Monthly Table'!B108,'NY Curve'!$A$4:$A$256,0),MATCH("Flat NY West",'NY Curve'!$A$4:$G$4,0)),INDEX('Michigan Curve'!$A$4:$F$256,MATCH('Monthly Table'!B108,'Michigan Curve'!$A$4:$A$256,0),MATCH("Michigan Super Peak Curve US$/MWhr",'Michigan Curve'!$A$4:$F$4,0)))))</f>
        <v>33.353998443603516</v>
      </c>
      <c r="AL108" s="965">
        <f>IF(D108&lt;=Tables!$B$21,IF($AL$10=$AI$10,AI108,IF($AL$10=$AJ$10,AJ108,IF($AL$10=$AK$10,AK108,0))),0)</f>
        <v>33.353998443603516</v>
      </c>
      <c r="AM108" s="708">
        <f t="shared" si="72"/>
        <v>44.670335162481074</v>
      </c>
      <c r="AN108" s="916">
        <f t="shared" si="73"/>
        <v>0</v>
      </c>
      <c r="AO108" s="905"/>
      <c r="AP108" s="925"/>
      <c r="AQ108" s="926">
        <f>IF(Tables!$E$30="New York",INDEX('NY Curve'!$A$4:$L$256,MATCH('Monthly Table'!B108,'NY Curve'!$A$4:$A$256,0),MATCH("New York Shoulder Hour Curve Mon-Fri",'NY Curve'!$A$4:$L$4,0)),IF(Tables!$E$30="Michigan",INDEX('Michigan Curve'!$A$4:$K$256,MATCH('Monthly Table'!B108,'Michigan Curve'!$A$4:$A$256,0),MATCH("Michigan Shoulder Hour Curve Mon-Fri",'Michigan Curve'!$A$4:$K$4,0))))</f>
        <v>32.045998504638675</v>
      </c>
      <c r="AR108" s="708">
        <f t="shared" si="74"/>
        <v>42.918557312972013</v>
      </c>
      <c r="AS108" s="927">
        <f t="shared" si="61"/>
        <v>0</v>
      </c>
      <c r="AT108" s="462"/>
      <c r="AU108" s="926">
        <f>IF(Tables!$E$30="New York",INDEX('NY Curve'!$A$4:$L$256,MATCH('Monthly Table'!$B108,'NY Curve'!$A$4:$A$256,0),MATCH("New York Saturday Super Peak",'NY Curve'!$A$4:$L$4,0)),IF(Tables!$E$30="Michigan",INDEX('Michigan Curve'!$A$4:$K$256,MATCH('Monthly Table'!$B108,'Michigan Curve'!$A$4:$A$256,0),MATCH("Michigan Saturday Super Peak",'Michigan Curve'!$A$4:$K$4,0))))</f>
        <v>22.435920295715331</v>
      </c>
      <c r="AV108" s="925">
        <f t="shared" si="62"/>
        <v>30.04797403774289</v>
      </c>
      <c r="AW108" s="927">
        <f t="shared" si="63"/>
        <v>0</v>
      </c>
      <c r="AX108" s="926">
        <f>IF(Tables!$E$30="New York",INDEX('NY Curve'!$A$4:$L$256,MATCH('Monthly Table'!$B108,'NY Curve'!$A$4:$A$256,0),MATCH("New York Saturday Shoulder Peak",'NY Curve'!$A$4:$L$4,0)),IF(Tables!$E$30="Michigan",INDEX('Michigan Curve'!$A$4:$K$256,MATCH('Monthly Table'!$B108,'Michigan Curve'!$A$4:$A$256,0),MATCH("Michigan Saturday Shoulder Peak",'Michigan Curve'!$A$4:$K$4,0))))</f>
        <v>21.556080284118654</v>
      </c>
      <c r="AY108" s="934">
        <f t="shared" si="75"/>
        <v>28.869622114694153</v>
      </c>
      <c r="AZ108" s="927">
        <f t="shared" si="64"/>
        <v>0</v>
      </c>
      <c r="BA108" s="462"/>
      <c r="BB108" s="926">
        <f>IF(Tables!$E$30="New York",INDEX('NY Curve'!$A$4:$M$256,MATCH('Monthly Table'!$B108,'NY Curve'!$A$4:$A$256,0),MATCH("NY Sunday Super Peak",'NY Curve'!$A$4:$M$4,0)),IF(Tables!$E$30="Michigan",INDEX('Michigan Curve'!$A$4:$L$256,MATCH('Monthly Table'!$B108,'Michigan Curve'!$A$4:$A$256,0),MATCH("Michigan Sunday Super Peak",'Michigan Curve'!$A$4:$L$4,0))))</f>
        <v>21.416431961059569</v>
      </c>
      <c r="BC108" s="925">
        <f t="shared" si="76"/>
        <v>28.682593941550969</v>
      </c>
      <c r="BD108" s="927">
        <f t="shared" si="65"/>
        <v>0</v>
      </c>
      <c r="BE108" s="462"/>
      <c r="BF108" s="598">
        <f t="shared" si="56"/>
        <v>39845</v>
      </c>
      <c r="BG108" s="583">
        <f t="shared" si="77"/>
        <v>0</v>
      </c>
      <c r="BH108" s="764">
        <f>IF(Tables!$B$36="Combined Cycle",(BF108-BF107)*24*Assumptions!$B$21,0)</f>
        <v>0</v>
      </c>
      <c r="BI108" s="315">
        <f t="shared" si="78"/>
        <v>0</v>
      </c>
      <c r="BJ108" s="987">
        <f>IF('Monthly Table'!D108&lt;=Tables!$B$21,IF($BJ$10=$BG$10,BG108,IF($BJ$10=$BH$10,BH108,IF($BJ$10=$BI$10,BI108,0))),0)</f>
        <v>0</v>
      </c>
      <c r="BK108" s="43"/>
      <c r="BL108" s="987">
        <f t="shared" si="79"/>
        <v>0</v>
      </c>
      <c r="BM108" s="987">
        <f t="shared" si="80"/>
        <v>0</v>
      </c>
      <c r="BO108" s="987">
        <f t="shared" si="66"/>
        <v>0</v>
      </c>
      <c r="BP108" s="987">
        <f t="shared" si="81"/>
        <v>0</v>
      </c>
      <c r="BR108" s="993">
        <f>IF(BJ108&gt;0,INDEX(OperationalDetail,MATCH("Capacity Degradation",ODColumn,0),MATCH('Monthly Table'!C108,ODRow,0)),0)</f>
        <v>0</v>
      </c>
      <c r="BS108" s="994">
        <f>BJ108*(1-BR108)*Tables!$C$36</f>
        <v>0</v>
      </c>
      <c r="BT108" s="601">
        <f t="shared" si="67"/>
        <v>0</v>
      </c>
      <c r="BU108" s="601">
        <f t="shared" si="68"/>
        <v>0</v>
      </c>
      <c r="BV108" s="462"/>
      <c r="BW108" s="785">
        <f>$BO108*(1-$BR108)*Tables!$C$36</f>
        <v>0</v>
      </c>
      <c r="BX108" s="602">
        <f t="shared" si="82"/>
        <v>0</v>
      </c>
      <c r="BY108" s="601">
        <f t="shared" si="83"/>
        <v>0</v>
      </c>
      <c r="BZ108" s="462"/>
      <c r="CA108" s="785">
        <f>$BL108*(1-$BR108)*Tables!$C$36</f>
        <v>0</v>
      </c>
      <c r="CB108" s="602">
        <f t="shared" si="84"/>
        <v>0</v>
      </c>
      <c r="CC108" s="601">
        <f t="shared" si="85"/>
        <v>0</v>
      </c>
      <c r="CD108" s="785">
        <f>$BP108*(1-$BR108)*Tables!$C$36</f>
        <v>0</v>
      </c>
      <c r="CE108" s="602">
        <f t="shared" si="86"/>
        <v>0</v>
      </c>
      <c r="CF108" s="601">
        <f t="shared" si="87"/>
        <v>0</v>
      </c>
      <c r="CH108" s="785">
        <f>$BM108*(1-$BR108)*Tables!$C$36</f>
        <v>0</v>
      </c>
      <c r="CI108" s="602">
        <f t="shared" si="88"/>
        <v>0</v>
      </c>
      <c r="CJ108" s="601">
        <f t="shared" si="89"/>
        <v>0</v>
      </c>
      <c r="CK108" s="304"/>
      <c r="CL108" s="304">
        <f t="shared" si="90"/>
        <v>2008</v>
      </c>
      <c r="CM108" s="1018">
        <f>INDEX(OperationalDetail,MATCH("Degraded Heat Rate",ODColumn,0),MATCH('Monthly Table'!CL108,ODRow,0))/1000</f>
        <v>12.047547199999999</v>
      </c>
      <c r="CN108" s="737">
        <f t="shared" si="69"/>
        <v>61.405717579315933</v>
      </c>
      <c r="CO108" s="1019">
        <f>IF(A108="January",(CO107*(1+Assumptions!$E$32)),CO107)</f>
        <v>7.8918582181633878</v>
      </c>
      <c r="CP108" s="741">
        <f t="shared" si="57"/>
        <v>69.297575797479325</v>
      </c>
      <c r="CQ108" s="304"/>
      <c r="CR108" s="575" t="str">
        <f t="shared" si="91"/>
        <v/>
      </c>
      <c r="CS108" s="575" t="str">
        <f t="shared" si="92"/>
        <v/>
      </c>
      <c r="CT108" s="575" t="str">
        <f t="shared" si="93"/>
        <v/>
      </c>
      <c r="CU108" s="575" t="str">
        <f t="shared" si="94"/>
        <v/>
      </c>
      <c r="CV108" s="575" t="str">
        <f t="shared" si="95"/>
        <v/>
      </c>
      <c r="CW108" s="576">
        <f t="shared" si="58"/>
        <v>2009</v>
      </c>
      <c r="CX108" s="787">
        <f>INDEX('NY Curve'!$A$4:$G$256,MATCH('Monthly Table'!B108,'NY Curve'!$A$4:$A$256,0),MATCH("New York 5 X 16",'NY Curve'!$A$4:$G$4,0))</f>
        <v>32.15</v>
      </c>
      <c r="CY108" s="632">
        <f t="shared" si="59"/>
        <v>1.3392797639542899</v>
      </c>
      <c r="CZ108" s="633">
        <f t="shared" si="60"/>
        <v>43.057844411130418</v>
      </c>
      <c r="DB108" s="857"/>
      <c r="DC108" s="857"/>
    </row>
    <row r="109" spans="1:107" ht="18.75" customHeight="1">
      <c r="A109" s="17" t="s">
        <v>439</v>
      </c>
      <c r="B109" s="508">
        <v>39873</v>
      </c>
      <c r="C109" s="43">
        <f t="shared" si="49"/>
        <v>2009</v>
      </c>
      <c r="D109" s="719">
        <f t="shared" si="96"/>
        <v>9</v>
      </c>
      <c r="E109" s="972">
        <v>22</v>
      </c>
      <c r="F109" s="971">
        <v>4</v>
      </c>
      <c r="G109" s="971">
        <v>5</v>
      </c>
      <c r="H109" s="971">
        <v>0</v>
      </c>
      <c r="I109" s="976">
        <f t="shared" si="70"/>
        <v>31</v>
      </c>
      <c r="J109" s="621"/>
      <c r="K109" s="572">
        <f>INDEX(FX!$A$3:$C$362,MATCH(B109,FX!$A$3:$A$362,0),MATCH("Monthly Curve",FX!$A$2:$C$2,0))</f>
        <v>1.3385015736110399</v>
      </c>
      <c r="L109" s="572"/>
      <c r="M109" s="1057">
        <v>3.0680000000000001</v>
      </c>
      <c r="N109" s="1067">
        <v>0.31</v>
      </c>
      <c r="O109" s="315">
        <v>0.05</v>
      </c>
      <c r="P109" s="797">
        <f t="shared" si="51"/>
        <v>0.36</v>
      </c>
      <c r="Q109" s="732">
        <f t="shared" si="52"/>
        <v>3.4279999999999999</v>
      </c>
      <c r="R109" s="723">
        <f>IF(A109="January",(R108+R108*Assumptions!$E$32),R108)</f>
        <v>0.35187946208178045</v>
      </c>
      <c r="S109" s="730">
        <f t="shared" si="53"/>
        <v>4.940262856420425</v>
      </c>
      <c r="T109" s="572"/>
      <c r="U109" s="509"/>
      <c r="V109" s="584"/>
      <c r="W109" s="584"/>
      <c r="X109" s="461"/>
      <c r="Y109" s="588">
        <f>Tables!$D$36</f>
        <v>312</v>
      </c>
      <c r="Z109" s="570">
        <f t="shared" si="54"/>
        <v>0</v>
      </c>
      <c r="AA109" s="592">
        <f t="shared" si="55"/>
        <v>0</v>
      </c>
      <c r="AB109" s="589">
        <f t="shared" si="50"/>
        <v>0</v>
      </c>
      <c r="AC109" s="462"/>
      <c r="AD109" s="1027">
        <f>IF(Tables!$E$30="Michigan",INDEX('Michigan Curve'!$A$4:$S$256,MATCH('Monthly Table'!B109,'Michigan Curve'!$A$4:$A$256,0),MATCH("Michigan Selected Option Value US$/month",'Michigan Curve'!$A$4:$S$4,0)),INDEX('NY Curve'!$A$4:$T$256,MATCH('Monthly Table'!B109,'NY Curve'!$A$4:$A$256,0),MATCH("New York Selected Option Value US$/month",'NY Curve'!$A$4:$T$4,0)))</f>
        <v>8237.9752967628574</v>
      </c>
      <c r="AE109" s="601">
        <f t="shared" si="71"/>
        <v>11026.542898085958</v>
      </c>
      <c r="AF109" s="462"/>
      <c r="AG109" s="915"/>
      <c r="AH109" s="462"/>
      <c r="AI109" s="799">
        <f>Assumptions!$B$50</f>
        <v>65</v>
      </c>
      <c r="AJ109" s="743"/>
      <c r="AK109" s="924">
        <f>IF(Tables!$E$30="Custom",'Monthly Table'!AI109,IF(Tables!$E$30="New York",INDEX('NY Curve'!$A$4:$G$256,MATCH('Monthly Table'!B109,'NY Curve'!$A$4:$A$256,0),MATCH("Super Peak Curve",'NY Curve'!$A$4:$G$4,0)),IF(Tables!$E$30="New York Flat",INDEX('NY Curve'!$A$4:$G$256,MATCH('Monthly Table'!B109,'NY Curve'!$A$4:$A$256,0),MATCH("Flat NY West",'NY Curve'!$A$4:$G$4,0)),INDEX('Michigan Curve'!$A$4:$F$256,MATCH('Monthly Table'!B109,'Michigan Curve'!$A$4:$A$256,0),MATCH("Michigan Super Peak Curve US$/MWhr",'Michigan Curve'!$A$4:$F$4,0)))))</f>
        <v>28.05</v>
      </c>
      <c r="AL109" s="965">
        <f>IF(D109&lt;=Tables!$B$21,IF($AL$10=$AI$10,AI109,IF($AL$10=$AJ$10,AJ109,IF($AL$10=$AK$10,AK109,0))),0)</f>
        <v>28.05</v>
      </c>
      <c r="AM109" s="708">
        <f t="shared" si="72"/>
        <v>37.544969139789671</v>
      </c>
      <c r="AN109" s="916">
        <f t="shared" si="73"/>
        <v>0</v>
      </c>
      <c r="AO109" s="905"/>
      <c r="AP109" s="925"/>
      <c r="AQ109" s="926">
        <f>IF(Tables!$E$30="New York",INDEX('NY Curve'!$A$4:$L$256,MATCH('Monthly Table'!B109,'NY Curve'!$A$4:$A$256,0),MATCH("New York Shoulder Hour Curve Mon-Fri",'NY Curve'!$A$4:$L$4,0)),IF(Tables!$E$30="Michigan",INDEX('Michigan Curve'!$A$4:$K$256,MATCH('Monthly Table'!B109,'Michigan Curve'!$A$4:$A$256,0),MATCH("Michigan Shoulder Hour Curve Mon-Fri",'Michigan Curve'!$A$4:$K$4,0))))</f>
        <v>26.95</v>
      </c>
      <c r="AR109" s="708">
        <f t="shared" si="74"/>
        <v>36.072617408817528</v>
      </c>
      <c r="AS109" s="927">
        <f t="shared" si="61"/>
        <v>0</v>
      </c>
      <c r="AT109" s="462"/>
      <c r="AU109" s="926">
        <f>IF(Tables!$E$30="New York",INDEX('NY Curve'!$A$4:$L$256,MATCH('Monthly Table'!$B109,'NY Curve'!$A$4:$A$256,0),MATCH("New York Saturday Super Peak",'NY Curve'!$A$4:$L$4,0)),IF(Tables!$E$30="Michigan",INDEX('Michigan Curve'!$A$4:$K$256,MATCH('Monthly Table'!$B109,'Michigan Curve'!$A$4:$A$256,0),MATCH("Michigan Saturday Super Peak",'Michigan Curve'!$A$4:$K$4,0))))</f>
        <v>20.399999999999999</v>
      </c>
      <c r="AV109" s="925">
        <f t="shared" si="62"/>
        <v>27.305432101665215</v>
      </c>
      <c r="AW109" s="927">
        <f t="shared" si="63"/>
        <v>0</v>
      </c>
      <c r="AX109" s="926">
        <f>IF(Tables!$E$30="New York",INDEX('NY Curve'!$A$4:$L$256,MATCH('Monthly Table'!$B109,'NY Curve'!$A$4:$A$256,0),MATCH("New York Saturday Shoulder Peak",'NY Curve'!$A$4:$L$4,0)),IF(Tables!$E$30="Michigan",INDEX('Michigan Curve'!$A$4:$K$256,MATCH('Monthly Table'!$B109,'Michigan Curve'!$A$4:$A$256,0),MATCH("Michigan Saturday Shoulder Peak",'Michigan Curve'!$A$4:$K$4,0))))</f>
        <v>19.600000000000001</v>
      </c>
      <c r="AY109" s="934">
        <f t="shared" si="75"/>
        <v>26.234630842776383</v>
      </c>
      <c r="AZ109" s="927">
        <f t="shared" si="64"/>
        <v>0</v>
      </c>
      <c r="BA109" s="462"/>
      <c r="BB109" s="926">
        <f>IF(Tables!$E$30="New York",INDEX('NY Curve'!$A$4:$M$256,MATCH('Monthly Table'!$B109,'NY Curve'!$A$4:$A$256,0),MATCH("NY Sunday Super Peak",'NY Curve'!$A$4:$M$4,0)),IF(Tables!$E$30="Michigan",INDEX('Michigan Curve'!$A$4:$L$256,MATCH('Monthly Table'!$B109,'Michigan Curve'!$A$4:$A$256,0),MATCH("Michigan Sunday Super Peak",'Michigan Curve'!$A$4:$L$4,0))))</f>
        <v>19.38</v>
      </c>
      <c r="BC109" s="925">
        <f t="shared" si="76"/>
        <v>25.940160496581953</v>
      </c>
      <c r="BD109" s="927">
        <f t="shared" si="65"/>
        <v>0</v>
      </c>
      <c r="BE109" s="462"/>
      <c r="BF109" s="598">
        <f t="shared" si="56"/>
        <v>39873</v>
      </c>
      <c r="BG109" s="583">
        <f t="shared" si="77"/>
        <v>0</v>
      </c>
      <c r="BH109" s="764">
        <f>IF(Tables!$B$36="Combined Cycle",(BF109-BF108)*24*Assumptions!$B$21,0)</f>
        <v>0</v>
      </c>
      <c r="BI109" s="315">
        <f t="shared" si="78"/>
        <v>0</v>
      </c>
      <c r="BJ109" s="987">
        <f>IF('Monthly Table'!D109&lt;=Tables!$B$21,IF($BJ$10=$BG$10,BG109,IF($BJ$10=$BH$10,BH109,IF($BJ$10=$BI$10,BI109,0))),0)</f>
        <v>0</v>
      </c>
      <c r="BK109" s="43"/>
      <c r="BL109" s="987">
        <f t="shared" si="79"/>
        <v>0</v>
      </c>
      <c r="BM109" s="987">
        <f t="shared" si="80"/>
        <v>0</v>
      </c>
      <c r="BO109" s="987">
        <f t="shared" si="66"/>
        <v>0</v>
      </c>
      <c r="BP109" s="987">
        <f t="shared" si="81"/>
        <v>0</v>
      </c>
      <c r="BR109" s="993">
        <f>IF(BJ109&gt;0,INDEX(OperationalDetail,MATCH("Capacity Degradation",ODColumn,0),MATCH('Monthly Table'!C109,ODRow,0)),0)</f>
        <v>0</v>
      </c>
      <c r="BS109" s="994">
        <f>BJ109*(1-BR109)*Tables!$C$36</f>
        <v>0</v>
      </c>
      <c r="BT109" s="601">
        <f t="shared" si="67"/>
        <v>0</v>
      </c>
      <c r="BU109" s="601">
        <f t="shared" si="68"/>
        <v>0</v>
      </c>
      <c r="BV109" s="462"/>
      <c r="BW109" s="785">
        <f>$BO109*(1-$BR109)*Tables!$C$36</f>
        <v>0</v>
      </c>
      <c r="BX109" s="602">
        <f t="shared" si="82"/>
        <v>0</v>
      </c>
      <c r="BY109" s="601">
        <f t="shared" si="83"/>
        <v>0</v>
      </c>
      <c r="BZ109" s="462"/>
      <c r="CA109" s="785">
        <f>$BL109*(1-$BR109)*Tables!$C$36</f>
        <v>0</v>
      </c>
      <c r="CB109" s="602">
        <f t="shared" si="84"/>
        <v>0</v>
      </c>
      <c r="CC109" s="601">
        <f t="shared" si="85"/>
        <v>0</v>
      </c>
      <c r="CD109" s="785">
        <f>$BP109*(1-$BR109)*Tables!$C$36</f>
        <v>0</v>
      </c>
      <c r="CE109" s="602">
        <f t="shared" si="86"/>
        <v>0</v>
      </c>
      <c r="CF109" s="601">
        <f t="shared" si="87"/>
        <v>0</v>
      </c>
      <c r="CH109" s="785">
        <f>$BM109*(1-$BR109)*Tables!$C$36</f>
        <v>0</v>
      </c>
      <c r="CI109" s="602">
        <f t="shared" si="88"/>
        <v>0</v>
      </c>
      <c r="CJ109" s="601">
        <f t="shared" si="89"/>
        <v>0</v>
      </c>
      <c r="CK109" s="304"/>
      <c r="CL109" s="304">
        <f t="shared" si="90"/>
        <v>2008</v>
      </c>
      <c r="CM109" s="1018">
        <f>INDEX(OperationalDetail,MATCH("Degraded Heat Rate",ODColumn,0),MATCH('Monthly Table'!CL109,ODRow,0))/1000</f>
        <v>12.047547199999999</v>
      </c>
      <c r="CN109" s="737">
        <f t="shared" si="69"/>
        <v>59.518049943131885</v>
      </c>
      <c r="CO109" s="1019">
        <f>IF(A109="January",(CO108*(1+Assumptions!$E$32)),CO108)</f>
        <v>7.8918582181633878</v>
      </c>
      <c r="CP109" s="741">
        <f t="shared" si="57"/>
        <v>67.409908161295277</v>
      </c>
      <c r="CQ109" s="304"/>
      <c r="CR109" s="575" t="str">
        <f t="shared" si="91"/>
        <v/>
      </c>
      <c r="CS109" s="575" t="str">
        <f t="shared" si="92"/>
        <v/>
      </c>
      <c r="CT109" s="575" t="str">
        <f t="shared" si="93"/>
        <v/>
      </c>
      <c r="CU109" s="575" t="str">
        <f t="shared" si="94"/>
        <v/>
      </c>
      <c r="CV109" s="575" t="str">
        <f t="shared" si="95"/>
        <v/>
      </c>
      <c r="CW109" s="576">
        <f t="shared" si="58"/>
        <v>2009</v>
      </c>
      <c r="CX109" s="787">
        <f>INDEX('NY Curve'!$A$4:$G$256,MATCH('Monthly Table'!B109,'NY Curve'!$A$4:$A$256,0),MATCH("New York 5 X 16",'NY Curve'!$A$4:$G$4,0))</f>
        <v>27.15</v>
      </c>
      <c r="CY109" s="632">
        <f t="shared" si="59"/>
        <v>1.3385015736110399</v>
      </c>
      <c r="CZ109" s="633">
        <f t="shared" si="60"/>
        <v>36.340317723539734</v>
      </c>
      <c r="DB109" s="857"/>
      <c r="DC109" s="857"/>
    </row>
    <row r="110" spans="1:107" ht="18.75" customHeight="1">
      <c r="A110" s="17" t="s">
        <v>440</v>
      </c>
      <c r="B110" s="508">
        <v>39904</v>
      </c>
      <c r="C110" s="43">
        <f t="shared" si="49"/>
        <v>2009</v>
      </c>
      <c r="D110" s="719">
        <f t="shared" si="96"/>
        <v>9</v>
      </c>
      <c r="E110" s="972">
        <v>22</v>
      </c>
      <c r="F110" s="971">
        <v>4</v>
      </c>
      <c r="G110" s="971">
        <v>4</v>
      </c>
      <c r="H110" s="971">
        <v>0</v>
      </c>
      <c r="I110" s="976">
        <f t="shared" si="70"/>
        <v>30</v>
      </c>
      <c r="J110" s="621"/>
      <c r="K110" s="572">
        <f>INDEX(FX!$A$3:$C$362,MATCH(B110,FX!$A$3:$A$362,0),MATCH("Monthly Curve",FX!$A$2:$C$2,0))</f>
        <v>1.33764386106961</v>
      </c>
      <c r="L110" s="572"/>
      <c r="M110" s="1057">
        <v>3.0005000000000002</v>
      </c>
      <c r="N110" s="1067">
        <v>0.14499999999999999</v>
      </c>
      <c r="O110" s="315">
        <v>0.05</v>
      </c>
      <c r="P110" s="797">
        <f t="shared" si="51"/>
        <v>0.19500000000000001</v>
      </c>
      <c r="Q110" s="732">
        <f t="shared" si="52"/>
        <v>3.1955</v>
      </c>
      <c r="R110" s="723">
        <f>IF(A110="January",(R109+R109*Assumptions!$E$32),R109)</f>
        <v>0.35187946208178045</v>
      </c>
      <c r="S110" s="730">
        <f t="shared" si="53"/>
        <v>4.6263204201297192</v>
      </c>
      <c r="T110" s="572"/>
      <c r="U110" s="509"/>
      <c r="V110" s="584"/>
      <c r="W110" s="584"/>
      <c r="X110" s="461"/>
      <c r="Y110" s="588">
        <f>Tables!$D$36</f>
        <v>312</v>
      </c>
      <c r="Z110" s="570">
        <f t="shared" si="54"/>
        <v>0</v>
      </c>
      <c r="AA110" s="592">
        <f t="shared" si="55"/>
        <v>0</v>
      </c>
      <c r="AB110" s="589">
        <f t="shared" si="50"/>
        <v>0</v>
      </c>
      <c r="AC110" s="462"/>
      <c r="AD110" s="1027">
        <f>IF(Tables!$E$30="Michigan",INDEX('Michigan Curve'!$A$4:$S$256,MATCH('Monthly Table'!B110,'Michigan Curve'!$A$4:$A$256,0),MATCH("Michigan Selected Option Value US$/month",'Michigan Curve'!$A$4:$S$4,0)),INDEX('NY Curve'!$A$4:$T$256,MATCH('Monthly Table'!B110,'NY Curve'!$A$4:$A$256,0),MATCH("New York Selected Option Value US$/month",'NY Curve'!$A$4:$T$4,0)))</f>
        <v>10543.009928394227</v>
      </c>
      <c r="AE110" s="601">
        <f t="shared" si="71"/>
        <v>14102.792507912487</v>
      </c>
      <c r="AF110" s="462"/>
      <c r="AG110" s="915"/>
      <c r="AH110" s="462"/>
      <c r="AI110" s="799">
        <f>Assumptions!$B$50</f>
        <v>65</v>
      </c>
      <c r="AJ110" s="743"/>
      <c r="AK110" s="924">
        <f>IF(Tables!$E$30="Custom",'Monthly Table'!AI110,IF(Tables!$E$30="New York",INDEX('NY Curve'!$A$4:$G$256,MATCH('Monthly Table'!B110,'NY Curve'!$A$4:$A$256,0),MATCH("Super Peak Curve",'NY Curve'!$A$4:$G$4,0)),IF(Tables!$E$30="New York Flat",INDEX('NY Curve'!$A$4:$G$256,MATCH('Monthly Table'!B110,'NY Curve'!$A$4:$A$256,0),MATCH("Flat NY West",'NY Curve'!$A$4:$G$4,0)),INDEX('Michigan Curve'!$A$4:$F$256,MATCH('Monthly Table'!B110,'Michigan Curve'!$A$4:$A$256,0),MATCH("Michigan Super Peak Curve US$/MWhr",'Michigan Curve'!$A$4:$F$4,0)))))</f>
        <v>27.75</v>
      </c>
      <c r="AL110" s="965">
        <f>IF(D110&lt;=Tables!$B$21,IF($AL$10=$AI$10,AI110,IF($AL$10=$AJ$10,AJ110,IF($AL$10=$AK$10,AK110,0))),0)</f>
        <v>27.75</v>
      </c>
      <c r="AM110" s="708">
        <f t="shared" si="72"/>
        <v>37.119617144681676</v>
      </c>
      <c r="AN110" s="916">
        <f t="shared" si="73"/>
        <v>0</v>
      </c>
      <c r="AO110" s="905"/>
      <c r="AP110" s="925"/>
      <c r="AQ110" s="926">
        <f>IF(Tables!$E$30="New York",INDEX('NY Curve'!$A$4:$L$256,MATCH('Monthly Table'!B110,'NY Curve'!$A$4:$A$256,0),MATCH("New York Shoulder Hour Curve Mon-Fri",'NY Curve'!$A$4:$L$4,0)),IF(Tables!$E$30="Michigan",INDEX('Michigan Curve'!$A$4:$K$256,MATCH('Monthly Table'!B110,'Michigan Curve'!$A$4:$A$256,0),MATCH("Michigan Shoulder Hour Curve Mon-Fri",'Michigan Curve'!$A$4:$K$4,0))))</f>
        <v>27.75</v>
      </c>
      <c r="AR110" s="708">
        <f t="shared" si="74"/>
        <v>37.119617144681676</v>
      </c>
      <c r="AS110" s="927">
        <f t="shared" si="61"/>
        <v>0</v>
      </c>
      <c r="AT110" s="462"/>
      <c r="AU110" s="926">
        <f>IF(Tables!$E$30="New York",INDEX('NY Curve'!$A$4:$L$256,MATCH('Monthly Table'!$B110,'NY Curve'!$A$4:$A$256,0),MATCH("New York Saturday Super Peak",'NY Curve'!$A$4:$L$4,0)),IF(Tables!$E$30="Michigan",INDEX('Michigan Curve'!$A$4:$K$256,MATCH('Monthly Table'!$B110,'Michigan Curve'!$A$4:$A$256,0),MATCH("Michigan Saturday Super Peak",'Michigan Curve'!$A$4:$K$4,0))))</f>
        <v>20</v>
      </c>
      <c r="AV110" s="925">
        <f t="shared" si="62"/>
        <v>26.7528772213922</v>
      </c>
      <c r="AW110" s="927">
        <f t="shared" si="63"/>
        <v>0</v>
      </c>
      <c r="AX110" s="926">
        <f>IF(Tables!$E$30="New York",INDEX('NY Curve'!$A$4:$L$256,MATCH('Monthly Table'!$B110,'NY Curve'!$A$4:$A$256,0),MATCH("New York Saturday Shoulder Peak",'NY Curve'!$A$4:$L$4,0)),IF(Tables!$E$30="Michigan",INDEX('Michigan Curve'!$A$4:$K$256,MATCH('Monthly Table'!$B110,'Michigan Curve'!$A$4:$A$256,0),MATCH("Michigan Saturday Shoulder Peak",'Michigan Curve'!$A$4:$K$4,0))))</f>
        <v>20</v>
      </c>
      <c r="AY110" s="934">
        <f t="shared" si="75"/>
        <v>26.7528772213922</v>
      </c>
      <c r="AZ110" s="927">
        <f t="shared" si="64"/>
        <v>0</v>
      </c>
      <c r="BA110" s="462"/>
      <c r="BB110" s="926">
        <f>IF(Tables!$E$30="New York",INDEX('NY Curve'!$A$4:$M$256,MATCH('Monthly Table'!$B110,'NY Curve'!$A$4:$A$256,0),MATCH("NY Sunday Super Peak",'NY Curve'!$A$4:$M$4,0)),IF(Tables!$E$30="Michigan",INDEX('Michigan Curve'!$A$4:$L$256,MATCH('Monthly Table'!$B110,'Michigan Curve'!$A$4:$A$256,0),MATCH("Michigan Sunday Super Peak",'Michigan Curve'!$A$4:$L$4,0))))</f>
        <v>18.995000839233398</v>
      </c>
      <c r="BC110" s="925">
        <f t="shared" si="76"/>
        <v>25.408546263612646</v>
      </c>
      <c r="BD110" s="927">
        <f t="shared" si="65"/>
        <v>0</v>
      </c>
      <c r="BE110" s="462"/>
      <c r="BF110" s="598">
        <f t="shared" si="56"/>
        <v>39904</v>
      </c>
      <c r="BG110" s="583">
        <f t="shared" si="77"/>
        <v>0</v>
      </c>
      <c r="BH110" s="764">
        <f>IF(Tables!$B$36="Combined Cycle",(BF110-BF109)*24*Assumptions!$B$21,0)</f>
        <v>0</v>
      </c>
      <c r="BI110" s="315">
        <f t="shared" si="78"/>
        <v>0</v>
      </c>
      <c r="BJ110" s="987">
        <f>IF('Monthly Table'!D110&lt;=Tables!$B$21,IF($BJ$10=$BG$10,BG110,IF($BJ$10=$BH$10,BH110,IF($BJ$10=$BI$10,BI110,0))),0)</f>
        <v>0</v>
      </c>
      <c r="BK110" s="43"/>
      <c r="BL110" s="987">
        <f t="shared" si="79"/>
        <v>0</v>
      </c>
      <c r="BM110" s="987">
        <f t="shared" si="80"/>
        <v>0</v>
      </c>
      <c r="BO110" s="987">
        <f t="shared" si="66"/>
        <v>0</v>
      </c>
      <c r="BP110" s="987">
        <f t="shared" si="81"/>
        <v>0</v>
      </c>
      <c r="BR110" s="993">
        <f>IF(BJ110&gt;0,INDEX(OperationalDetail,MATCH("Capacity Degradation",ODColumn,0),MATCH('Monthly Table'!C110,ODRow,0)),0)</f>
        <v>0</v>
      </c>
      <c r="BS110" s="994">
        <f>BJ110*(1-BR110)*Tables!$C$36</f>
        <v>0</v>
      </c>
      <c r="BT110" s="601">
        <f t="shared" si="67"/>
        <v>0</v>
      </c>
      <c r="BU110" s="601">
        <f t="shared" si="68"/>
        <v>0</v>
      </c>
      <c r="BV110" s="462"/>
      <c r="BW110" s="785">
        <f>$BO110*(1-$BR110)*Tables!$C$36</f>
        <v>0</v>
      </c>
      <c r="BX110" s="602">
        <f t="shared" si="82"/>
        <v>0</v>
      </c>
      <c r="BY110" s="601">
        <f t="shared" si="83"/>
        <v>0</v>
      </c>
      <c r="BZ110" s="462"/>
      <c r="CA110" s="785">
        <f>$BL110*(1-$BR110)*Tables!$C$36</f>
        <v>0</v>
      </c>
      <c r="CB110" s="602">
        <f t="shared" si="84"/>
        <v>0</v>
      </c>
      <c r="CC110" s="601">
        <f t="shared" si="85"/>
        <v>0</v>
      </c>
      <c r="CD110" s="785">
        <f>$BP110*(1-$BR110)*Tables!$C$36</f>
        <v>0</v>
      </c>
      <c r="CE110" s="602">
        <f t="shared" si="86"/>
        <v>0</v>
      </c>
      <c r="CF110" s="601">
        <f t="shared" si="87"/>
        <v>0</v>
      </c>
      <c r="CH110" s="785">
        <f>$BM110*(1-$BR110)*Tables!$C$36</f>
        <v>0</v>
      </c>
      <c r="CI110" s="602">
        <f t="shared" si="88"/>
        <v>0</v>
      </c>
      <c r="CJ110" s="601">
        <f t="shared" si="89"/>
        <v>0</v>
      </c>
      <c r="CK110" s="304"/>
      <c r="CL110" s="304">
        <f t="shared" si="90"/>
        <v>2008</v>
      </c>
      <c r="CM110" s="1018">
        <f>INDEX(OperationalDetail,MATCH("Degraded Heat Rate",ODColumn,0),MATCH('Monthly Table'!CL110,ODRow,0))/1000</f>
        <v>12.047547199999999</v>
      </c>
      <c r="CN110" s="737">
        <f t="shared" si="69"/>
        <v>55.735813623836613</v>
      </c>
      <c r="CO110" s="1019">
        <f>IF(A110="January",(CO109*(1+Assumptions!$E$32)),CO109)</f>
        <v>7.8918582181633878</v>
      </c>
      <c r="CP110" s="741">
        <f t="shared" si="57"/>
        <v>63.627671841999998</v>
      </c>
      <c r="CQ110" s="304"/>
      <c r="CR110" s="575" t="str">
        <f t="shared" si="91"/>
        <v/>
      </c>
      <c r="CS110" s="575" t="str">
        <f t="shared" si="92"/>
        <v/>
      </c>
      <c r="CT110" s="575" t="str">
        <f t="shared" si="93"/>
        <v/>
      </c>
      <c r="CU110" s="575" t="str">
        <f t="shared" si="94"/>
        <v/>
      </c>
      <c r="CV110" s="575" t="str">
        <f t="shared" si="95"/>
        <v/>
      </c>
      <c r="CW110" s="576">
        <f t="shared" si="58"/>
        <v>2009</v>
      </c>
      <c r="CX110" s="787">
        <f>INDEX('NY Curve'!$A$4:$G$256,MATCH('Monthly Table'!B110,'NY Curve'!$A$4:$A$256,0),MATCH("New York 5 X 16",'NY Curve'!$A$4:$G$4,0))</f>
        <v>25.9</v>
      </c>
      <c r="CY110" s="632">
        <f t="shared" si="59"/>
        <v>1.33764386106961</v>
      </c>
      <c r="CZ110" s="633">
        <f t="shared" si="60"/>
        <v>34.644976001702894</v>
      </c>
      <c r="DB110" s="857"/>
      <c r="DC110" s="857"/>
    </row>
    <row r="111" spans="1:107" ht="18.75" customHeight="1">
      <c r="A111" s="17" t="s">
        <v>441</v>
      </c>
      <c r="B111" s="508">
        <v>39934</v>
      </c>
      <c r="C111" s="43">
        <f t="shared" si="49"/>
        <v>2009</v>
      </c>
      <c r="D111" s="719">
        <f t="shared" si="96"/>
        <v>9</v>
      </c>
      <c r="E111" s="972">
        <v>20</v>
      </c>
      <c r="F111" s="971">
        <v>5</v>
      </c>
      <c r="G111" s="971">
        <v>5</v>
      </c>
      <c r="H111" s="971">
        <v>1</v>
      </c>
      <c r="I111" s="976">
        <f t="shared" si="70"/>
        <v>31</v>
      </c>
      <c r="J111" s="621"/>
      <c r="K111" s="572">
        <f>INDEX(FX!$A$3:$C$362,MATCH(B111,FX!$A$3:$A$362,0),MATCH("Monthly Curve",FX!$A$2:$C$2,0))</f>
        <v>1.3368176676160399</v>
      </c>
      <c r="L111" s="572"/>
      <c r="M111" s="1057">
        <v>2.9744999999999999</v>
      </c>
      <c r="N111" s="1067">
        <v>0.14499999999999999</v>
      </c>
      <c r="O111" s="315">
        <v>0.05</v>
      </c>
      <c r="P111" s="797">
        <f t="shared" si="51"/>
        <v>0.19500000000000001</v>
      </c>
      <c r="Q111" s="732">
        <f t="shared" si="52"/>
        <v>3.1694999999999998</v>
      </c>
      <c r="R111" s="723">
        <f>IF(A111="January",(R110+R110*Assumptions!$E$32),R110)</f>
        <v>0.35187946208178045</v>
      </c>
      <c r="S111" s="730">
        <f t="shared" si="53"/>
        <v>4.5889230595908188</v>
      </c>
      <c r="T111" s="572"/>
      <c r="U111" s="509"/>
      <c r="V111" s="584"/>
      <c r="W111" s="584"/>
      <c r="X111" s="461"/>
      <c r="Y111" s="588">
        <f>Tables!$D$36</f>
        <v>312</v>
      </c>
      <c r="Z111" s="570">
        <f t="shared" si="54"/>
        <v>0</v>
      </c>
      <c r="AA111" s="592">
        <f t="shared" si="55"/>
        <v>0</v>
      </c>
      <c r="AB111" s="589">
        <f t="shared" si="50"/>
        <v>0</v>
      </c>
      <c r="AC111" s="462"/>
      <c r="AD111" s="1027">
        <f>IF(Tables!$E$30="Michigan",INDEX('Michigan Curve'!$A$4:$S$256,MATCH('Monthly Table'!B111,'Michigan Curve'!$A$4:$A$256,0),MATCH("Michigan Selected Option Value US$/month",'Michigan Curve'!$A$4:$S$4,0)),INDEX('NY Curve'!$A$4:$T$256,MATCH('Monthly Table'!B111,'NY Curve'!$A$4:$A$256,0),MATCH("New York Selected Option Value US$/month",'NY Curve'!$A$4:$T$4,0)))</f>
        <v>23892.016914646785</v>
      </c>
      <c r="AE111" s="601">
        <f t="shared" si="71"/>
        <v>31939.270326481092</v>
      </c>
      <c r="AF111" s="462"/>
      <c r="AG111" s="915"/>
      <c r="AH111" s="462"/>
      <c r="AI111" s="799">
        <f>Assumptions!$B$50</f>
        <v>65</v>
      </c>
      <c r="AJ111" s="743"/>
      <c r="AK111" s="924">
        <f>IF(Tables!$E$30="Custom",'Monthly Table'!AI111,IF(Tables!$E$30="New York",INDEX('NY Curve'!$A$4:$G$256,MATCH('Monthly Table'!B111,'NY Curve'!$A$4:$A$256,0),MATCH("Super Peak Curve",'NY Curve'!$A$4:$G$4,0)),IF(Tables!$E$30="New York Flat",INDEX('NY Curve'!$A$4:$G$256,MATCH('Monthly Table'!B111,'NY Curve'!$A$4:$A$256,0),MATCH("Flat NY West",'NY Curve'!$A$4:$G$4,0)),INDEX('Michigan Curve'!$A$4:$F$256,MATCH('Monthly Table'!B111,'Michigan Curve'!$A$4:$A$256,0),MATCH("Michigan Super Peak Curve US$/MWhr",'Michigan Curve'!$A$4:$F$4,0)))))</f>
        <v>33.901875056326389</v>
      </c>
      <c r="AL111" s="965">
        <f>IF(D111&lt;=Tables!$B$21,IF($AL$10=$AI$10,AI111,IF($AL$10=$AJ$10,AJ111,IF($AL$10=$AK$10,AK111,0))),0)</f>
        <v>33.901875056326389</v>
      </c>
      <c r="AM111" s="708">
        <f t="shared" si="72"/>
        <v>45.320625540608646</v>
      </c>
      <c r="AN111" s="916">
        <f t="shared" si="73"/>
        <v>0</v>
      </c>
      <c r="AO111" s="905"/>
      <c r="AP111" s="925"/>
      <c r="AQ111" s="926">
        <f>IF(Tables!$E$30="New York",INDEX('NY Curve'!$A$4:$L$256,MATCH('Monthly Table'!B111,'NY Curve'!$A$4:$A$256,0),MATCH("New York Shoulder Hour Curve Mon-Fri",'NY Curve'!$A$4:$L$4,0)),IF(Tables!$E$30="Michigan",INDEX('Michigan Curve'!$A$4:$K$256,MATCH('Monthly Table'!B111,'Michigan Curve'!$A$4:$A$256,0),MATCH("Michigan Shoulder Hour Curve Mon-Fri",'Michigan Curve'!$A$4:$K$4,0))))</f>
        <v>29.098124943673611</v>
      </c>
      <c r="AR111" s="708">
        <f t="shared" si="74"/>
        <v>38.898887519201871</v>
      </c>
      <c r="AS111" s="927">
        <f t="shared" si="61"/>
        <v>0</v>
      </c>
      <c r="AT111" s="462"/>
      <c r="AU111" s="926">
        <f>IF(Tables!$E$30="New York",INDEX('NY Curve'!$A$4:$L$256,MATCH('Monthly Table'!$B111,'NY Curve'!$A$4:$A$256,0),MATCH("New York Saturday Super Peak",'NY Curve'!$A$4:$L$4,0)),IF(Tables!$E$30="Michigan",INDEX('Michigan Curve'!$A$4:$K$256,MATCH('Monthly Table'!$B111,'Michigan Curve'!$A$4:$A$256,0),MATCH("Michigan Saturday Super Peak",'Michigan Curve'!$A$4:$K$4,0))))</f>
        <v>22.601250037550926</v>
      </c>
      <c r="AV111" s="925">
        <f t="shared" si="62"/>
        <v>30.213750360405765</v>
      </c>
      <c r="AW111" s="927">
        <f t="shared" si="63"/>
        <v>0</v>
      </c>
      <c r="AX111" s="926">
        <f>IF(Tables!$E$30="New York",INDEX('NY Curve'!$A$4:$L$256,MATCH('Monthly Table'!$B111,'NY Curve'!$A$4:$A$256,0),MATCH("New York Saturday Shoulder Peak",'NY Curve'!$A$4:$L$4,0)),IF(Tables!$E$30="Michigan",INDEX('Michigan Curve'!$A$4:$K$256,MATCH('Monthly Table'!$B111,'Michigan Curve'!$A$4:$A$256,0),MATCH("Michigan Saturday Shoulder Peak",'Michigan Curve'!$A$4:$K$4,0))))</f>
        <v>19.398749962449074</v>
      </c>
      <c r="AY111" s="934">
        <f t="shared" si="75"/>
        <v>25.932591679467912</v>
      </c>
      <c r="AZ111" s="927">
        <f t="shared" si="64"/>
        <v>0</v>
      </c>
      <c r="BA111" s="462"/>
      <c r="BB111" s="926">
        <f>IF(Tables!$E$30="New York",INDEX('NY Curve'!$A$4:$M$256,MATCH('Monthly Table'!$B111,'NY Curve'!$A$4:$A$256,0),MATCH("NY Sunday Super Peak",'NY Curve'!$A$4:$M$4,0)),IF(Tables!$E$30="Michigan",INDEX('Michigan Curve'!$A$4:$L$256,MATCH('Monthly Table'!$B111,'Michigan Curve'!$A$4:$A$256,0),MATCH("Michigan Sunday Super Peak",'Michigan Curve'!$A$4:$L$4,0))))</f>
        <v>21.530380382546781</v>
      </c>
      <c r="BC111" s="925">
        <f t="shared" si="76"/>
        <v>28.782192885882328</v>
      </c>
      <c r="BD111" s="927">
        <f t="shared" si="65"/>
        <v>0</v>
      </c>
      <c r="BE111" s="462"/>
      <c r="BF111" s="598">
        <f t="shared" si="56"/>
        <v>39934</v>
      </c>
      <c r="BG111" s="583">
        <f t="shared" si="77"/>
        <v>0</v>
      </c>
      <c r="BH111" s="764">
        <f>IF(Tables!$B$36="Combined Cycle",(BF111-BF110)*24*Assumptions!$B$21,0)</f>
        <v>0</v>
      </c>
      <c r="BI111" s="315">
        <f t="shared" si="78"/>
        <v>0</v>
      </c>
      <c r="BJ111" s="987">
        <f>IF('Monthly Table'!D111&lt;=Tables!$B$21,IF($BJ$10=$BG$10,BG111,IF($BJ$10=$BH$10,BH111,IF($BJ$10=$BI$10,BI111,0))),0)</f>
        <v>0</v>
      </c>
      <c r="BK111" s="43"/>
      <c r="BL111" s="987">
        <f t="shared" si="79"/>
        <v>0</v>
      </c>
      <c r="BM111" s="987">
        <f t="shared" si="80"/>
        <v>0</v>
      </c>
      <c r="BO111" s="987">
        <f t="shared" si="66"/>
        <v>0</v>
      </c>
      <c r="BP111" s="987">
        <f t="shared" si="81"/>
        <v>0</v>
      </c>
      <c r="BR111" s="993">
        <f>IF(BJ111&gt;0,INDEX(OperationalDetail,MATCH("Capacity Degradation",ODColumn,0),MATCH('Monthly Table'!C111,ODRow,0)),0)</f>
        <v>0</v>
      </c>
      <c r="BS111" s="994">
        <f>BJ111*(1-BR111)*Tables!$C$36</f>
        <v>0</v>
      </c>
      <c r="BT111" s="601">
        <f t="shared" si="67"/>
        <v>0</v>
      </c>
      <c r="BU111" s="601">
        <f t="shared" si="68"/>
        <v>0</v>
      </c>
      <c r="BV111" s="462"/>
      <c r="BW111" s="785">
        <f>$BO111*(1-$BR111)*Tables!$C$36</f>
        <v>0</v>
      </c>
      <c r="BX111" s="602">
        <f t="shared" si="82"/>
        <v>0</v>
      </c>
      <c r="BY111" s="601">
        <f t="shared" si="83"/>
        <v>0</v>
      </c>
      <c r="BZ111" s="462"/>
      <c r="CA111" s="785">
        <f>$BL111*(1-$BR111)*Tables!$C$36</f>
        <v>0</v>
      </c>
      <c r="CB111" s="602">
        <f t="shared" si="84"/>
        <v>0</v>
      </c>
      <c r="CC111" s="601">
        <f t="shared" si="85"/>
        <v>0</v>
      </c>
      <c r="CD111" s="785">
        <f>$BP111*(1-$BR111)*Tables!$C$36</f>
        <v>0</v>
      </c>
      <c r="CE111" s="602">
        <f t="shared" si="86"/>
        <v>0</v>
      </c>
      <c r="CF111" s="601">
        <f t="shared" si="87"/>
        <v>0</v>
      </c>
      <c r="CH111" s="785">
        <f>$BM111*(1-$BR111)*Tables!$C$36</f>
        <v>0</v>
      </c>
      <c r="CI111" s="602">
        <f t="shared" si="88"/>
        <v>0</v>
      </c>
      <c r="CJ111" s="601">
        <f t="shared" si="89"/>
        <v>0</v>
      </c>
      <c r="CK111" s="304"/>
      <c r="CL111" s="304">
        <f t="shared" si="90"/>
        <v>2008</v>
      </c>
      <c r="CM111" s="1018">
        <f>INDEX(OperationalDetail,MATCH("Degraded Heat Rate",ODColumn,0),MATCH('Monthly Table'!CL111,ODRow,0))/1000</f>
        <v>12.047547199999999</v>
      </c>
      <c r="CN111" s="737">
        <f t="shared" si="69"/>
        <v>55.285267157588798</v>
      </c>
      <c r="CO111" s="1019">
        <f>IF(A111="January",(CO110*(1+Assumptions!$E$32)),CO110)</f>
        <v>7.8918582181633878</v>
      </c>
      <c r="CP111" s="741">
        <f t="shared" si="57"/>
        <v>63.177125375752183</v>
      </c>
      <c r="CQ111" s="304"/>
      <c r="CR111" s="575" t="str">
        <f t="shared" si="91"/>
        <v/>
      </c>
      <c r="CS111" s="575" t="str">
        <f t="shared" si="92"/>
        <v/>
      </c>
      <c r="CT111" s="575" t="str">
        <f t="shared" si="93"/>
        <v/>
      </c>
      <c r="CU111" s="575" t="str">
        <f t="shared" si="94"/>
        <v/>
      </c>
      <c r="CV111" s="575" t="str">
        <f t="shared" si="95"/>
        <v/>
      </c>
      <c r="CW111" s="576">
        <f t="shared" si="58"/>
        <v>2009</v>
      </c>
      <c r="CX111" s="787">
        <f>INDEX('NY Curve'!$A$4:$G$256,MATCH('Monthly Table'!B111,'NY Curve'!$A$4:$A$256,0),MATCH("New York 5 X 16",'NY Curve'!$A$4:$G$4,0))</f>
        <v>30.15</v>
      </c>
      <c r="CY111" s="632">
        <f t="shared" si="59"/>
        <v>1.3368176676160399</v>
      </c>
      <c r="CZ111" s="633">
        <f t="shared" si="60"/>
        <v>40.305052678623603</v>
      </c>
      <c r="DB111" s="857"/>
      <c r="DC111" s="857"/>
    </row>
    <row r="112" spans="1:107" ht="18.75" customHeight="1">
      <c r="A112" s="17" t="s">
        <v>442</v>
      </c>
      <c r="B112" s="508">
        <v>39965</v>
      </c>
      <c r="C112" s="43">
        <f t="shared" si="49"/>
        <v>2009</v>
      </c>
      <c r="D112" s="719">
        <f t="shared" si="96"/>
        <v>9</v>
      </c>
      <c r="E112" s="972">
        <v>22</v>
      </c>
      <c r="F112" s="971">
        <v>4</v>
      </c>
      <c r="G112" s="971">
        <v>4</v>
      </c>
      <c r="H112" s="971">
        <v>0</v>
      </c>
      <c r="I112" s="976">
        <f t="shared" si="70"/>
        <v>30</v>
      </c>
      <c r="J112" s="621"/>
      <c r="K112" s="572">
        <f>INDEX(FX!$A$3:$C$362,MATCH(B112,FX!$A$3:$A$362,0),MATCH("Monthly Curve",FX!$A$2:$C$2,0))</f>
        <v>1.3359679067725201</v>
      </c>
      <c r="L112" s="572"/>
      <c r="M112" s="1057">
        <v>2.9835000000000003</v>
      </c>
      <c r="N112" s="1067">
        <v>0.14499999999999999</v>
      </c>
      <c r="O112" s="315">
        <v>0.05</v>
      </c>
      <c r="P112" s="797">
        <f t="shared" si="51"/>
        <v>0.19500000000000001</v>
      </c>
      <c r="Q112" s="732">
        <f t="shared" si="52"/>
        <v>3.1785000000000001</v>
      </c>
      <c r="R112" s="723">
        <f>IF(A112="January",(R111+R111*Assumptions!$E$32),R111)</f>
        <v>0.35187946208178045</v>
      </c>
      <c r="S112" s="730">
        <f t="shared" si="53"/>
        <v>4.5982534537582351</v>
      </c>
      <c r="T112" s="572"/>
      <c r="U112" s="567"/>
      <c r="V112" s="585"/>
      <c r="W112" s="585"/>
      <c r="X112" s="818"/>
      <c r="Y112" s="588">
        <f>Tables!$D$36</f>
        <v>312</v>
      </c>
      <c r="Z112" s="570">
        <f t="shared" si="54"/>
        <v>0</v>
      </c>
      <c r="AA112" s="592">
        <f t="shared" si="55"/>
        <v>0</v>
      </c>
      <c r="AB112" s="589">
        <f t="shared" si="50"/>
        <v>0</v>
      </c>
      <c r="AC112" s="462"/>
      <c r="AD112" s="1027">
        <f>IF(Tables!$E$30="Michigan",INDEX('Michigan Curve'!$A$4:$S$256,MATCH('Monthly Table'!B112,'Michigan Curve'!$A$4:$A$256,0),MATCH("Michigan Selected Option Value US$/month",'Michigan Curve'!$A$4:$S$4,0)),INDEX('NY Curve'!$A$4:$T$256,MATCH('Monthly Table'!B112,'NY Curve'!$A$4:$A$256,0),MATCH("New York Selected Option Value US$/month",'NY Curve'!$A$4:$T$4,0)))</f>
        <v>99271.118406726047</v>
      </c>
      <c r="AE112" s="601">
        <f t="shared" si="71"/>
        <v>132623.02826080078</v>
      </c>
      <c r="AF112" s="462"/>
      <c r="AG112" s="915"/>
      <c r="AH112" s="462"/>
      <c r="AI112" s="799">
        <f>Assumptions!$B$50</f>
        <v>65</v>
      </c>
      <c r="AJ112" s="743"/>
      <c r="AK112" s="924">
        <f>IF(Tables!$E$30="Custom",'Monthly Table'!AI112,IF(Tables!$E$30="New York",INDEX('NY Curve'!$A$4:$G$256,MATCH('Monthly Table'!B112,'NY Curve'!$A$4:$A$256,0),MATCH("Super Peak Curve",'NY Curve'!$A$4:$G$4,0)),IF(Tables!$E$30="New York Flat",INDEX('NY Curve'!$A$4:$G$256,MATCH('Monthly Table'!B112,'NY Curve'!$A$4:$A$256,0),MATCH("Flat NY West",'NY Curve'!$A$4:$G$4,0)),INDEX('Michigan Curve'!$A$4:$F$256,MATCH('Monthly Table'!B112,'Michigan Curve'!$A$4:$A$256,0),MATCH("Michigan Super Peak Curve US$/MWhr",'Michigan Curve'!$A$4:$F$4,0)))))</f>
        <v>78.054762118488298</v>
      </c>
      <c r="AL112" s="965">
        <f>IF(D112&lt;=Tables!$B$21,IF($AL$10=$AI$10,AI112,IF($AL$10=$AJ$10,AJ112,IF($AL$10=$AK$10,AK112,0))),0)</f>
        <v>78.054762118488298</v>
      </c>
      <c r="AM112" s="708">
        <f t="shared" si="72"/>
        <v>104.2786571610638</v>
      </c>
      <c r="AN112" s="916">
        <f t="shared" si="73"/>
        <v>1</v>
      </c>
      <c r="AO112" s="905"/>
      <c r="AP112" s="925"/>
      <c r="AQ112" s="926">
        <f>IF(Tables!$E$30="New York",INDEX('NY Curve'!$A$4:$L$256,MATCH('Monthly Table'!B112,'NY Curve'!$A$4:$A$256,0),MATCH("New York Shoulder Hour Curve Mon-Fri",'NY Curve'!$A$4:$L$4,0)),IF(Tables!$E$30="Michigan",INDEX('Michigan Curve'!$A$4:$K$256,MATCH('Monthly Table'!B112,'Michigan Curve'!$A$4:$A$256,0),MATCH("Michigan Shoulder Hour Curve Mon-Fri",'Michigan Curve'!$A$4:$K$4,0))))</f>
        <v>22.445237881511694</v>
      </c>
      <c r="AR112" s="708">
        <f t="shared" si="74"/>
        <v>29.986117469574452</v>
      </c>
      <c r="AS112" s="927">
        <f t="shared" si="61"/>
        <v>0</v>
      </c>
      <c r="AT112" s="462"/>
      <c r="AU112" s="926">
        <f>IF(Tables!$E$30="New York",INDEX('NY Curve'!$A$4:$L$256,MATCH('Monthly Table'!$B112,'NY Curve'!$A$4:$A$256,0),MATCH("New York Saturday Super Peak",'NY Curve'!$A$4:$L$4,0)),IF(Tables!$E$30="Michigan",INDEX('Michigan Curve'!$A$4:$K$256,MATCH('Monthly Table'!$B112,'Michigan Curve'!$A$4:$A$256,0),MATCH("Michigan Saturday Super Peak",'Michigan Curve'!$A$4:$K$4,0))))</f>
        <v>40.386543583695442</v>
      </c>
      <c r="AV112" s="925">
        <f t="shared" si="62"/>
        <v>53.955126093286751</v>
      </c>
      <c r="AW112" s="927">
        <f t="shared" si="63"/>
        <v>0</v>
      </c>
      <c r="AX112" s="926">
        <f>IF(Tables!$E$30="New York",INDEX('NY Curve'!$A$4:$L$256,MATCH('Monthly Table'!$B112,'NY Curve'!$A$4:$A$256,0),MATCH("New York Saturday Shoulder Peak",'NY Curve'!$A$4:$L$4,0)),IF(Tables!$E$30="Michigan",INDEX('Michigan Curve'!$A$4:$K$256,MATCH('Monthly Table'!$B112,'Michigan Curve'!$A$4:$A$256,0),MATCH("Michigan Saturday Shoulder Peak",'Michigan Curve'!$A$4:$K$4,0))))</f>
        <v>11.613456416304558</v>
      </c>
      <c r="AY112" s="934">
        <f t="shared" si="75"/>
        <v>15.515205058884293</v>
      </c>
      <c r="AZ112" s="927">
        <f t="shared" si="64"/>
        <v>0</v>
      </c>
      <c r="BA112" s="462"/>
      <c r="BB112" s="926">
        <f>IF(Tables!$E$30="New York",INDEX('NY Curve'!$A$4:$M$256,MATCH('Monthly Table'!$B112,'NY Curve'!$A$4:$A$256,0),MATCH("NY Sunday Super Peak",'NY Curve'!$A$4:$M$4,0)),IF(Tables!$E$30="Michigan",INDEX('Michigan Curve'!$A$4:$L$256,MATCH('Monthly Table'!$B112,'Michigan Curve'!$A$4:$A$256,0),MATCH("Michigan Sunday Super Peak",'Michigan Curve'!$A$4:$L$4,0))))</f>
        <v>37.279886384949634</v>
      </c>
      <c r="BC112" s="925">
        <f t="shared" si="76"/>
        <v>49.804731778418535</v>
      </c>
      <c r="BD112" s="927">
        <f t="shared" si="65"/>
        <v>0</v>
      </c>
      <c r="BE112" s="462"/>
      <c r="BF112" s="598">
        <f t="shared" si="56"/>
        <v>39965</v>
      </c>
      <c r="BG112" s="583">
        <f t="shared" si="77"/>
        <v>176</v>
      </c>
      <c r="BH112" s="764">
        <f>IF(Tables!$B$36="Combined Cycle",(BF112-BF111)*24*Assumptions!$B$21,0)</f>
        <v>0</v>
      </c>
      <c r="BI112" s="315">
        <f t="shared" si="78"/>
        <v>176</v>
      </c>
      <c r="BJ112" s="987">
        <f>IF('Monthly Table'!D112&lt;=Tables!$B$21,IF($BJ$10=$BG$10,BG112,IF($BJ$10=$BH$10,BH112,IF($BJ$10=$BI$10,BI112,0))),0)</f>
        <v>176</v>
      </c>
      <c r="BK112" s="43"/>
      <c r="BL112" s="987">
        <f t="shared" si="79"/>
        <v>0</v>
      </c>
      <c r="BM112" s="987">
        <f t="shared" si="80"/>
        <v>0</v>
      </c>
      <c r="BO112" s="987">
        <f t="shared" si="66"/>
        <v>0</v>
      </c>
      <c r="BP112" s="987">
        <f t="shared" si="81"/>
        <v>0</v>
      </c>
      <c r="BR112" s="993">
        <f>IF(BJ112&gt;0,INDEX(OperationalDetail,MATCH("Capacity Degradation",ODColumn,0),MATCH('Monthly Table'!C112,ODRow,0)),0)</f>
        <v>9.9100000000000004E-3</v>
      </c>
      <c r="BS112" s="994">
        <f>BJ112*(1-BR112)*Tables!$C$36</f>
        <v>56458.892160000003</v>
      </c>
      <c r="BT112" s="601">
        <f t="shared" si="67"/>
        <v>4406.8853970221844</v>
      </c>
      <c r="BU112" s="601">
        <f t="shared" si="68"/>
        <v>5887.457459246114</v>
      </c>
      <c r="BV112" s="462"/>
      <c r="BW112" s="785">
        <f>$BO112*(1-$BR112)*Tables!$C$36</f>
        <v>0</v>
      </c>
      <c r="BX112" s="602">
        <f t="shared" si="82"/>
        <v>0</v>
      </c>
      <c r="BY112" s="601">
        <f t="shared" si="83"/>
        <v>0</v>
      </c>
      <c r="BZ112" s="462"/>
      <c r="CA112" s="785">
        <f>$BL112*(1-$BR112)*Tables!$C$36</f>
        <v>0</v>
      </c>
      <c r="CB112" s="602">
        <f t="shared" si="84"/>
        <v>0</v>
      </c>
      <c r="CC112" s="601">
        <f t="shared" si="85"/>
        <v>0</v>
      </c>
      <c r="CD112" s="785">
        <f>$BP112*(1-$BR112)*Tables!$C$36</f>
        <v>0</v>
      </c>
      <c r="CE112" s="602">
        <f t="shared" si="86"/>
        <v>0</v>
      </c>
      <c r="CF112" s="601">
        <f t="shared" si="87"/>
        <v>0</v>
      </c>
      <c r="CH112" s="785">
        <f>$BM112*(1-$BR112)*Tables!$C$36</f>
        <v>0</v>
      </c>
      <c r="CI112" s="602">
        <f t="shared" si="88"/>
        <v>0</v>
      </c>
      <c r="CJ112" s="601">
        <f t="shared" si="89"/>
        <v>0</v>
      </c>
      <c r="CK112" s="304"/>
      <c r="CL112" s="304">
        <f t="shared" si="90"/>
        <v>2008</v>
      </c>
      <c r="CM112" s="1018">
        <f>INDEX(OperationalDetail,MATCH("Degraded Heat Rate",ODColumn,0),MATCH('Monthly Table'!CL112,ODRow,0))/1000</f>
        <v>12.047547199999999</v>
      </c>
      <c r="CN112" s="737">
        <f t="shared" si="69"/>
        <v>55.39767552171535</v>
      </c>
      <c r="CO112" s="1019">
        <f>IF(A112="January",(CO111*(1+Assumptions!$E$32)),CO111)</f>
        <v>7.8918582181633878</v>
      </c>
      <c r="CP112" s="741">
        <f t="shared" si="57"/>
        <v>63.289533739878735</v>
      </c>
      <c r="CQ112" s="304"/>
      <c r="CR112" s="575">
        <f t="shared" si="91"/>
        <v>2009</v>
      </c>
      <c r="CS112" s="575" t="str">
        <f t="shared" si="92"/>
        <v/>
      </c>
      <c r="CT112" s="575" t="str">
        <f t="shared" si="93"/>
        <v/>
      </c>
      <c r="CU112" s="575" t="str">
        <f t="shared" si="94"/>
        <v/>
      </c>
      <c r="CV112" s="575" t="str">
        <f t="shared" si="95"/>
        <v/>
      </c>
      <c r="CW112" s="576">
        <f t="shared" si="58"/>
        <v>2009</v>
      </c>
      <c r="CX112" s="787">
        <f>INDEX('NY Curve'!$A$4:$G$256,MATCH('Monthly Table'!B112,'NY Curve'!$A$4:$A$256,0),MATCH("New York 5 X 16",'NY Curve'!$A$4:$G$4,0))</f>
        <v>50.25</v>
      </c>
      <c r="CY112" s="632">
        <f t="shared" si="59"/>
        <v>1.3359679067725201</v>
      </c>
      <c r="CZ112" s="633">
        <f t="shared" si="60"/>
        <v>67.132387315319136</v>
      </c>
      <c r="DB112" s="857"/>
      <c r="DC112" s="857"/>
    </row>
    <row r="113" spans="1:107" ht="18.75" customHeight="1">
      <c r="A113" s="17" t="s">
        <v>443</v>
      </c>
      <c r="B113" s="508">
        <v>39995</v>
      </c>
      <c r="C113" s="43">
        <f t="shared" si="49"/>
        <v>2009</v>
      </c>
      <c r="D113" s="719">
        <f t="shared" si="96"/>
        <v>9</v>
      </c>
      <c r="E113" s="972">
        <v>23</v>
      </c>
      <c r="F113" s="971">
        <v>3</v>
      </c>
      <c r="G113" s="971">
        <v>4</v>
      </c>
      <c r="H113" s="971">
        <v>1</v>
      </c>
      <c r="I113" s="976">
        <f t="shared" si="70"/>
        <v>31</v>
      </c>
      <c r="J113" s="621"/>
      <c r="K113" s="572">
        <f>INDEX(FX!$A$3:$C$362,MATCH(B113,FX!$A$3:$A$362,0),MATCH("Monthly Curve",FX!$A$2:$C$2,0))</f>
        <v>1.3351493952340701</v>
      </c>
      <c r="L113" s="572"/>
      <c r="M113" s="1057">
        <v>2.9925000000000002</v>
      </c>
      <c r="N113" s="1067">
        <v>0.14499999999999999</v>
      </c>
      <c r="O113" s="315">
        <v>0.05</v>
      </c>
      <c r="P113" s="797">
        <f t="shared" si="51"/>
        <v>0.19500000000000001</v>
      </c>
      <c r="Q113" s="732">
        <f t="shared" si="52"/>
        <v>3.1875</v>
      </c>
      <c r="R113" s="723">
        <f>IF(A113="January",(R112+R112*Assumptions!$E$32),R112)</f>
        <v>0.35187946208178045</v>
      </c>
      <c r="S113" s="730">
        <f t="shared" si="53"/>
        <v>4.6076681593903785</v>
      </c>
      <c r="T113" s="572"/>
      <c r="U113" s="509"/>
      <c r="V113" s="585"/>
      <c r="W113" s="585"/>
      <c r="X113" s="461"/>
      <c r="Y113" s="588">
        <f>Tables!$D$36</f>
        <v>312</v>
      </c>
      <c r="Z113" s="570">
        <f t="shared" si="54"/>
        <v>0</v>
      </c>
      <c r="AA113" s="592">
        <f t="shared" si="55"/>
        <v>0</v>
      </c>
      <c r="AB113" s="589">
        <f t="shared" si="50"/>
        <v>0</v>
      </c>
      <c r="AC113" s="462"/>
      <c r="AD113" s="1027">
        <f>IF(Tables!$E$30="Michigan",INDEX('Michigan Curve'!$A$4:$S$256,MATCH('Monthly Table'!B113,'Michigan Curve'!$A$4:$A$256,0),MATCH("Michigan Selected Option Value US$/month",'Michigan Curve'!$A$4:$S$4,0)),INDEX('NY Curve'!$A$4:$T$256,MATCH('Monthly Table'!B113,'NY Curve'!$A$4:$A$256,0),MATCH("New York Selected Option Value US$/month",'NY Curve'!$A$4:$T$4,0)))</f>
        <v>260108.45341860689</v>
      </c>
      <c r="AE113" s="601">
        <f t="shared" si="71"/>
        <v>347283.64427712228</v>
      </c>
      <c r="AF113" s="462"/>
      <c r="AG113" s="915"/>
      <c r="AH113" s="462"/>
      <c r="AI113" s="799">
        <f>Assumptions!$B$50</f>
        <v>65</v>
      </c>
      <c r="AJ113" s="743"/>
      <c r="AK113" s="924">
        <f>IF(Tables!$E$30="Custom",'Monthly Table'!AI113,IF(Tables!$E$30="New York",INDEX('NY Curve'!$A$4:$G$256,MATCH('Monthly Table'!B113,'NY Curve'!$A$4:$A$256,0),MATCH("Super Peak Curve",'NY Curve'!$A$4:$G$4,0)),IF(Tables!$E$30="New York Flat",INDEX('NY Curve'!$A$4:$G$256,MATCH('Monthly Table'!B113,'NY Curve'!$A$4:$A$256,0),MATCH("Flat NY West",'NY Curve'!$A$4:$G$4,0)),INDEX('Michigan Curve'!$A$4:$F$256,MATCH('Monthly Table'!B113,'Michigan Curve'!$A$4:$A$256,0),MATCH("Michigan Super Peak Curve US$/MWhr",'Michigan Curve'!$A$4:$F$4,0)))))</f>
        <v>138.00572634022487</v>
      </c>
      <c r="AL113" s="965">
        <f>IF(D113&lt;=Tables!$B$21,IF($AL$10=$AI$10,AI113,IF($AL$10=$AJ$10,AJ113,IF($AL$10=$AK$10,AK113,0))),0)</f>
        <v>138.00572634022487</v>
      </c>
      <c r="AM113" s="708">
        <f t="shared" si="72"/>
        <v>184.2582620619898</v>
      </c>
      <c r="AN113" s="916">
        <f t="shared" si="73"/>
        <v>1</v>
      </c>
      <c r="AO113" s="905"/>
      <c r="AP113" s="925"/>
      <c r="AQ113" s="926">
        <f>IF(Tables!$E$30="New York",INDEX('NY Curve'!$A$4:$L$256,MATCH('Monthly Table'!B113,'NY Curve'!$A$4:$A$256,0),MATCH("New York Shoulder Hour Curve Mon-Fri",'NY Curve'!$A$4:$L$4,0)),IF(Tables!$E$30="Michigan",INDEX('Michigan Curve'!$A$4:$K$256,MATCH('Monthly Table'!B113,'Michigan Curve'!$A$4:$A$256,0),MATCH("Michigan Shoulder Hour Curve Mon-Fri",'Michigan Curve'!$A$4:$K$4,0))))</f>
        <v>27.994273659775128</v>
      </c>
      <c r="AR113" s="708">
        <f t="shared" si="74"/>
        <v>37.376537546865819</v>
      </c>
      <c r="AS113" s="927">
        <f t="shared" si="61"/>
        <v>0</v>
      </c>
      <c r="AT113" s="462"/>
      <c r="AU113" s="926">
        <f>IF(Tables!$E$30="New York",INDEX('NY Curve'!$A$4:$L$256,MATCH('Monthly Table'!$B113,'NY Curve'!$A$4:$A$256,0),MATCH("New York Saturday Super Peak",'NY Curve'!$A$4:$L$4,0)),IF(Tables!$E$30="Michigan",INDEX('Michigan Curve'!$A$4:$K$256,MATCH('Monthly Table'!$B113,'Michigan Curve'!$A$4:$A$256,0),MATCH("Michigan Saturday Super Peak",'Michigan Curve'!$A$4:$K$4,0))))</f>
        <v>58.195185806118921</v>
      </c>
      <c r="AV113" s="925">
        <f t="shared" si="62"/>
        <v>77.699267134574015</v>
      </c>
      <c r="AW113" s="927">
        <f t="shared" si="63"/>
        <v>1</v>
      </c>
      <c r="AX113" s="926">
        <f>IF(Tables!$E$30="New York",INDEX('NY Curve'!$A$4:$L$256,MATCH('Monthly Table'!$B113,'NY Curve'!$A$4:$A$256,0),MATCH("New York Saturday Shoulder Peak",'NY Curve'!$A$4:$L$4,0)),IF(Tables!$E$30="Michigan",INDEX('Michigan Curve'!$A$4:$K$256,MATCH('Monthly Table'!$B113,'Michigan Curve'!$A$4:$A$256,0),MATCH("Michigan Saturday Shoulder Peak",'Michigan Curve'!$A$4:$K$4,0))))</f>
        <v>11.804814193881079</v>
      </c>
      <c r="AY113" s="934">
        <f t="shared" si="75"/>
        <v>15.761190531810888</v>
      </c>
      <c r="AZ113" s="927">
        <f t="shared" si="64"/>
        <v>0</v>
      </c>
      <c r="BA113" s="462"/>
      <c r="BB113" s="926">
        <f>IF(Tables!$E$30="New York",INDEX('NY Curve'!$A$4:$M$256,MATCH('Monthly Table'!$B113,'NY Curve'!$A$4:$A$256,0),MATCH("NY Sunday Super Peak",'NY Curve'!$A$4:$M$4,0)),IF(Tables!$E$30="Michigan",INDEX('Michigan Curve'!$A$4:$L$256,MATCH('Monthly Table'!$B113,'Michigan Curve'!$A$4:$A$256,0),MATCH("Michigan Sunday Super Peak",'Michigan Curve'!$A$4:$L$4,0))))</f>
        <v>51.544304256890811</v>
      </c>
      <c r="BC113" s="925">
        <f t="shared" si="76"/>
        <v>68.819346656348671</v>
      </c>
      <c r="BD113" s="927">
        <f t="shared" si="65"/>
        <v>1</v>
      </c>
      <c r="BE113" s="462"/>
      <c r="BF113" s="598">
        <f t="shared" si="56"/>
        <v>39995</v>
      </c>
      <c r="BG113" s="583">
        <f t="shared" si="77"/>
        <v>184</v>
      </c>
      <c r="BH113" s="764">
        <f>IF(Tables!$B$36="Combined Cycle",(BF113-BF112)*24*Assumptions!$B$21,0)</f>
        <v>0</v>
      </c>
      <c r="BI113" s="315">
        <f t="shared" si="78"/>
        <v>184</v>
      </c>
      <c r="BJ113" s="987">
        <f>IF('Monthly Table'!D113&lt;=Tables!$B$21,IF($BJ$10=$BG$10,BG113,IF($BJ$10=$BH$10,BH113,IF($BJ$10=$BI$10,BI113,0))),0)</f>
        <v>184</v>
      </c>
      <c r="BK113" s="43"/>
      <c r="BL113" s="987">
        <f t="shared" si="79"/>
        <v>24</v>
      </c>
      <c r="BM113" s="987">
        <f t="shared" si="80"/>
        <v>40</v>
      </c>
      <c r="BO113" s="987">
        <f t="shared" si="66"/>
        <v>0</v>
      </c>
      <c r="BP113" s="987">
        <f t="shared" si="81"/>
        <v>0</v>
      </c>
      <c r="BR113" s="993">
        <f>IF(BJ113&gt;0,INDEX(OperationalDetail,MATCH("Capacity Degradation",ODColumn,0),MATCH('Monthly Table'!C113,ODRow,0)),0)</f>
        <v>9.9100000000000004E-3</v>
      </c>
      <c r="BS113" s="994">
        <f>BJ113*(1-BR113)*Tables!$C$36</f>
        <v>59025.205439999998</v>
      </c>
      <c r="BT113" s="601">
        <f t="shared" si="67"/>
        <v>8145.8163491281921</v>
      </c>
      <c r="BU113" s="601">
        <f t="shared" si="68"/>
        <v>10875.881772226307</v>
      </c>
      <c r="BV113" s="462"/>
      <c r="BW113" s="785">
        <f>$BO113*(1-$BR113)*Tables!$C$36</f>
        <v>0</v>
      </c>
      <c r="BX113" s="602">
        <f t="shared" si="82"/>
        <v>0</v>
      </c>
      <c r="BY113" s="601">
        <f t="shared" si="83"/>
        <v>0</v>
      </c>
      <c r="BZ113" s="462"/>
      <c r="CA113" s="785">
        <f>$BL113*(1-$BR113)*Tables!$C$36</f>
        <v>7698.9398400000009</v>
      </c>
      <c r="CB113" s="602">
        <f t="shared" si="84"/>
        <v>448.04123449893154</v>
      </c>
      <c r="CC113" s="601">
        <f t="shared" si="85"/>
        <v>598.20198328117465</v>
      </c>
      <c r="CD113" s="785">
        <f>$BP113*(1-$BR113)*Tables!$C$36</f>
        <v>0</v>
      </c>
      <c r="CE113" s="602">
        <f t="shared" si="86"/>
        <v>0</v>
      </c>
      <c r="CF113" s="601">
        <f t="shared" si="87"/>
        <v>0</v>
      </c>
      <c r="CH113" s="785">
        <f>$BM113*(1-$BR113)*Tables!$C$36</f>
        <v>12831.5664</v>
      </c>
      <c r="CI113" s="602">
        <f t="shared" si="88"/>
        <v>661.39416261409713</v>
      </c>
      <c r="CJ113" s="601">
        <f t="shared" si="89"/>
        <v>883.06001622555596</v>
      </c>
      <c r="CK113" s="304"/>
      <c r="CL113" s="304">
        <f t="shared" si="90"/>
        <v>2008</v>
      </c>
      <c r="CM113" s="1018">
        <f>INDEX(OperationalDetail,MATCH("Degraded Heat Rate",ODColumn,0),MATCH('Monthly Table'!CL113,ODRow,0))/1000</f>
        <v>12.047547199999999</v>
      </c>
      <c r="CN113" s="737">
        <f t="shared" si="69"/>
        <v>55.511099632192703</v>
      </c>
      <c r="CO113" s="1019">
        <f>IF(A113="January",(CO112*(1+Assumptions!$E$32)),CO112)</f>
        <v>7.8918582181633878</v>
      </c>
      <c r="CP113" s="741">
        <f t="shared" si="57"/>
        <v>63.402957850356088</v>
      </c>
      <c r="CQ113" s="304"/>
      <c r="CR113" s="575">
        <f t="shared" si="91"/>
        <v>2009</v>
      </c>
      <c r="CS113" s="575" t="str">
        <f t="shared" si="92"/>
        <v/>
      </c>
      <c r="CT113" s="575">
        <f t="shared" si="93"/>
        <v>2009</v>
      </c>
      <c r="CU113" s="575" t="str">
        <f t="shared" si="94"/>
        <v/>
      </c>
      <c r="CV113" s="575">
        <f t="shared" si="95"/>
        <v>2009</v>
      </c>
      <c r="CW113" s="576">
        <f t="shared" si="58"/>
        <v>2009</v>
      </c>
      <c r="CX113" s="787">
        <f>INDEX('NY Curve'!$A$4:$G$256,MATCH('Monthly Table'!B113,'NY Curve'!$A$4:$A$256,0),MATCH("New York 5 X 16",'NY Curve'!$A$4:$G$4,0))</f>
        <v>76</v>
      </c>
      <c r="CY113" s="632">
        <f t="shared" si="59"/>
        <v>1.3351493952340701</v>
      </c>
      <c r="CZ113" s="633">
        <f t="shared" si="60"/>
        <v>101.47135403778933</v>
      </c>
      <c r="DB113" s="857"/>
      <c r="DC113" s="857"/>
    </row>
    <row r="114" spans="1:107" ht="18.75" customHeight="1">
      <c r="A114" s="17" t="s">
        <v>444</v>
      </c>
      <c r="B114" s="508">
        <v>40026</v>
      </c>
      <c r="C114" s="43">
        <f t="shared" si="49"/>
        <v>2009</v>
      </c>
      <c r="D114" s="719">
        <f t="shared" si="96"/>
        <v>9</v>
      </c>
      <c r="E114" s="972">
        <v>21</v>
      </c>
      <c r="F114" s="971">
        <v>5</v>
      </c>
      <c r="G114" s="971">
        <v>5</v>
      </c>
      <c r="H114" s="971">
        <v>0</v>
      </c>
      <c r="I114" s="976">
        <f t="shared" si="70"/>
        <v>31</v>
      </c>
      <c r="J114" s="621"/>
      <c r="K114" s="572">
        <f>INDEX(FX!$A$3:$C$362,MATCH(B114,FX!$A$3:$A$362,0),MATCH("Monthly Curve",FX!$A$2:$C$2,0))</f>
        <v>1.33430755871995</v>
      </c>
      <c r="L114" s="572"/>
      <c r="M114" s="1057">
        <v>2.9994999999999998</v>
      </c>
      <c r="N114" s="1067">
        <v>0.14499999999999999</v>
      </c>
      <c r="O114" s="315">
        <v>0.05</v>
      </c>
      <c r="P114" s="797">
        <f t="shared" si="51"/>
        <v>0.19500000000000001</v>
      </c>
      <c r="Q114" s="732">
        <f t="shared" si="52"/>
        <v>3.1944999999999997</v>
      </c>
      <c r="R114" s="723">
        <f>IF(A114="January",(R113+R113*Assumptions!$E$32),R113)</f>
        <v>0.35187946208178045</v>
      </c>
      <c r="S114" s="730">
        <f t="shared" si="53"/>
        <v>4.6143249584126602</v>
      </c>
      <c r="T114" s="572"/>
      <c r="U114" s="509"/>
      <c r="V114" s="585"/>
      <c r="W114" s="585"/>
      <c r="X114" s="461"/>
      <c r="Y114" s="588">
        <f>Tables!$D$36</f>
        <v>312</v>
      </c>
      <c r="Z114" s="570">
        <f t="shared" si="54"/>
        <v>0</v>
      </c>
      <c r="AA114" s="592">
        <f t="shared" si="55"/>
        <v>0</v>
      </c>
      <c r="AB114" s="589">
        <f t="shared" si="50"/>
        <v>0</v>
      </c>
      <c r="AC114" s="462"/>
      <c r="AD114" s="1027">
        <f>IF(Tables!$E$30="Michigan",INDEX('Michigan Curve'!$A$4:$S$256,MATCH('Monthly Table'!B114,'Michigan Curve'!$A$4:$A$256,0),MATCH("Michigan Selected Option Value US$/month",'Michigan Curve'!$A$4:$S$4,0)),INDEX('NY Curve'!$A$4:$T$256,MATCH('Monthly Table'!B114,'NY Curve'!$A$4:$A$256,0),MATCH("New York Selected Option Value US$/month",'NY Curve'!$A$4:$T$4,0)))</f>
        <v>286078.30903490726</v>
      </c>
      <c r="AE114" s="601">
        <f t="shared" si="71"/>
        <v>381716.45013109851</v>
      </c>
      <c r="AF114" s="462"/>
      <c r="AG114" s="915"/>
      <c r="AH114" s="462"/>
      <c r="AI114" s="799">
        <f>Assumptions!$B$50</f>
        <v>65</v>
      </c>
      <c r="AJ114" s="743"/>
      <c r="AK114" s="924">
        <f>IF(Tables!$E$30="Custom",'Monthly Table'!AI114,IF(Tables!$E$30="New York",INDEX('NY Curve'!$A$4:$G$256,MATCH('Monthly Table'!B114,'NY Curve'!$A$4:$A$256,0),MATCH("Super Peak Curve",'NY Curve'!$A$4:$G$4,0)),IF(Tables!$E$30="New York Flat",INDEX('NY Curve'!$A$4:$G$256,MATCH('Monthly Table'!B114,'NY Curve'!$A$4:$A$256,0),MATCH("Flat NY West",'NY Curve'!$A$4:$G$4,0)),INDEX('Michigan Curve'!$A$4:$F$256,MATCH('Monthly Table'!B114,'Michigan Curve'!$A$4:$A$256,0),MATCH("Michigan Super Peak Curve US$/MWhr",'Michigan Curve'!$A$4:$F$4,0)))))</f>
        <v>138.00572634022487</v>
      </c>
      <c r="AL114" s="965">
        <f>IF(D114&lt;=Tables!$B$21,IF($AL$10=$AI$10,AI114,IF($AL$10=$AJ$10,AJ114,IF($AL$10=$AK$10,AK114,0))),0)</f>
        <v>138.00572634022487</v>
      </c>
      <c r="AM114" s="708">
        <f t="shared" si="72"/>
        <v>184.14208380239893</v>
      </c>
      <c r="AN114" s="916">
        <f t="shared" si="73"/>
        <v>1</v>
      </c>
      <c r="AO114" s="905"/>
      <c r="AP114" s="925"/>
      <c r="AQ114" s="926">
        <f>IF(Tables!$E$30="New York",INDEX('NY Curve'!$A$4:$L$256,MATCH('Monthly Table'!B114,'NY Curve'!$A$4:$A$256,0),MATCH("New York Shoulder Hour Curve Mon-Fri",'NY Curve'!$A$4:$L$4,0)),IF(Tables!$E$30="Michigan",INDEX('Michigan Curve'!$A$4:$K$256,MATCH('Monthly Table'!B114,'Michigan Curve'!$A$4:$A$256,0),MATCH("Michigan Shoulder Hour Curve Mon-Fri",'Michigan Curve'!$A$4:$K$4,0))))</f>
        <v>27.994273659775128</v>
      </c>
      <c r="AR114" s="708">
        <f t="shared" si="74"/>
        <v>37.352970945112752</v>
      </c>
      <c r="AS114" s="927">
        <f t="shared" si="61"/>
        <v>0</v>
      </c>
      <c r="AT114" s="462"/>
      <c r="AU114" s="926">
        <f>IF(Tables!$E$30="New York",INDEX('NY Curve'!$A$4:$L$256,MATCH('Monthly Table'!$B114,'NY Curve'!$A$4:$A$256,0),MATCH("New York Saturday Super Peak",'NY Curve'!$A$4:$L$4,0)),IF(Tables!$E$30="Michigan",INDEX('Michigan Curve'!$A$4:$K$256,MATCH('Monthly Table'!$B114,'Michigan Curve'!$A$4:$A$256,0),MATCH("Michigan Saturday Super Peak",'Michigan Curve'!$A$4:$K$4,0))))</f>
        <v>58.195192148890811</v>
      </c>
      <c r="AV114" s="925">
        <f t="shared" si="62"/>
        <v>77.6502847654249</v>
      </c>
      <c r="AW114" s="927">
        <f t="shared" si="63"/>
        <v>1</v>
      </c>
      <c r="AX114" s="926">
        <f>IF(Tables!$E$30="New York",INDEX('NY Curve'!$A$4:$L$256,MATCH('Monthly Table'!$B114,'NY Curve'!$A$4:$A$256,0),MATCH("New York Saturday Shoulder Peak",'NY Curve'!$A$4:$L$4,0)),IF(Tables!$E$30="Michigan",INDEX('Michigan Curve'!$A$4:$K$256,MATCH('Monthly Table'!$B114,'Michigan Curve'!$A$4:$A$256,0),MATCH("Michigan Saturday Shoulder Peak",'Michigan Curve'!$A$4:$K$4,0))))</f>
        <v>11.804815480503718</v>
      </c>
      <c r="AY114" s="934">
        <f t="shared" si="75"/>
        <v>15.75125452493039</v>
      </c>
      <c r="AZ114" s="927">
        <f t="shared" si="64"/>
        <v>0</v>
      </c>
      <c r="BA114" s="462"/>
      <c r="BB114" s="926">
        <f>IF(Tables!$E$30="New York",INDEX('NY Curve'!$A$4:$M$256,MATCH('Monthly Table'!$B114,'NY Curve'!$A$4:$A$256,0),MATCH("NY Sunday Super Peak",'NY Curve'!$A$4:$M$4,0)),IF(Tables!$E$30="Michigan",INDEX('Michigan Curve'!$A$4:$L$256,MATCH('Monthly Table'!$B114,'Michigan Curve'!$A$4:$A$256,0),MATCH("Michigan Sunday Super Peak",'Michigan Curve'!$A$4:$L$4,0))))</f>
        <v>51.54430742827676</v>
      </c>
      <c r="BC114" s="925">
        <f t="shared" si="76"/>
        <v>68.77595901053455</v>
      </c>
      <c r="BD114" s="927">
        <f t="shared" si="65"/>
        <v>1</v>
      </c>
      <c r="BE114" s="462"/>
      <c r="BF114" s="598">
        <f t="shared" si="56"/>
        <v>40026</v>
      </c>
      <c r="BG114" s="583">
        <f t="shared" si="77"/>
        <v>168</v>
      </c>
      <c r="BH114" s="764">
        <f>IF(Tables!$B$36="Combined Cycle",(BF114-BF113)*24*Assumptions!$B$21,0)</f>
        <v>0</v>
      </c>
      <c r="BI114" s="315">
        <f t="shared" si="78"/>
        <v>168</v>
      </c>
      <c r="BJ114" s="987">
        <f>IF('Monthly Table'!D114&lt;=Tables!$B$21,IF($BJ$10=$BG$10,BG114,IF($BJ$10=$BH$10,BH114,IF($BJ$10=$BI$10,BI114,0))),0)</f>
        <v>168</v>
      </c>
      <c r="BK114" s="43"/>
      <c r="BL114" s="987">
        <f t="shared" si="79"/>
        <v>40</v>
      </c>
      <c r="BM114" s="987">
        <f t="shared" si="80"/>
        <v>40</v>
      </c>
      <c r="BO114" s="987">
        <f t="shared" si="66"/>
        <v>0</v>
      </c>
      <c r="BP114" s="987">
        <f t="shared" si="81"/>
        <v>0</v>
      </c>
      <c r="BR114" s="993">
        <f>IF(BJ114&gt;0,INDEX(OperationalDetail,MATCH("Capacity Degradation",ODColumn,0),MATCH('Monthly Table'!C114,ODRow,0)),0)</f>
        <v>9.9100000000000004E-3</v>
      </c>
      <c r="BS114" s="994">
        <f>BJ114*(1-BR114)*Tables!$C$36</f>
        <v>53892.578880000008</v>
      </c>
      <c r="BT114" s="601">
        <f t="shared" si="67"/>
        <v>7437.4844926822634</v>
      </c>
      <c r="BU114" s="601">
        <f t="shared" si="68"/>
        <v>9923.8917764483558</v>
      </c>
      <c r="BV114" s="462"/>
      <c r="BW114" s="785">
        <f>$BO114*(1-$BR114)*Tables!$C$36</f>
        <v>0</v>
      </c>
      <c r="BX114" s="602">
        <f t="shared" si="82"/>
        <v>0</v>
      </c>
      <c r="BY114" s="601">
        <f t="shared" si="83"/>
        <v>0</v>
      </c>
      <c r="BZ114" s="462"/>
      <c r="CA114" s="785">
        <f>$BL114*(1-$BR114)*Tables!$C$36</f>
        <v>12831.5664</v>
      </c>
      <c r="CB114" s="602">
        <f t="shared" si="84"/>
        <v>746.73547221925105</v>
      </c>
      <c r="CC114" s="601">
        <f t="shared" si="85"/>
        <v>996.37478494645791</v>
      </c>
      <c r="CD114" s="785">
        <f>$BP114*(1-$BR114)*Tables!$C$36</f>
        <v>0</v>
      </c>
      <c r="CE114" s="602">
        <f t="shared" si="86"/>
        <v>0</v>
      </c>
      <c r="CF114" s="601">
        <f t="shared" si="87"/>
        <v>0</v>
      </c>
      <c r="CH114" s="785">
        <f>$BM114*(1-$BR114)*Tables!$C$36</f>
        <v>12831.5664</v>
      </c>
      <c r="CI114" s="602">
        <f t="shared" si="88"/>
        <v>661.39420330794644</v>
      </c>
      <c r="CJ114" s="601">
        <f t="shared" si="89"/>
        <v>882.50328476735228</v>
      </c>
      <c r="CK114" s="304"/>
      <c r="CL114" s="304">
        <f t="shared" si="90"/>
        <v>2008</v>
      </c>
      <c r="CM114" s="1018">
        <f>INDEX(OperationalDetail,MATCH("Degraded Heat Rate",ODColumn,0),MATCH('Monthly Table'!CL114,ODRow,0))/1000</f>
        <v>12.047547199999999</v>
      </c>
      <c r="CN114" s="737">
        <f t="shared" si="69"/>
        <v>55.591297732614557</v>
      </c>
      <c r="CO114" s="1019">
        <f>IF(A114="January",(CO113*(1+Assumptions!$E$32)),CO113)</f>
        <v>7.8918582181633878</v>
      </c>
      <c r="CP114" s="741">
        <f t="shared" si="57"/>
        <v>63.483155950777942</v>
      </c>
      <c r="CQ114" s="304"/>
      <c r="CR114" s="575">
        <f t="shared" si="91"/>
        <v>2009</v>
      </c>
      <c r="CS114" s="575" t="str">
        <f t="shared" si="92"/>
        <v/>
      </c>
      <c r="CT114" s="575">
        <f t="shared" si="93"/>
        <v>2009</v>
      </c>
      <c r="CU114" s="575" t="str">
        <f t="shared" si="94"/>
        <v/>
      </c>
      <c r="CV114" s="575">
        <f t="shared" si="95"/>
        <v>2009</v>
      </c>
      <c r="CW114" s="576">
        <f t="shared" si="58"/>
        <v>2009</v>
      </c>
      <c r="CX114" s="787">
        <f>INDEX('NY Curve'!$A$4:$G$256,MATCH('Monthly Table'!B114,'NY Curve'!$A$4:$A$256,0),MATCH("New York 5 X 16",'NY Curve'!$A$4:$G$4,0))</f>
        <v>68.5</v>
      </c>
      <c r="CY114" s="632">
        <f t="shared" si="59"/>
        <v>1.33430755871995</v>
      </c>
      <c r="CZ114" s="633">
        <f t="shared" si="60"/>
        <v>91.400067772316575</v>
      </c>
      <c r="DB114" s="857"/>
      <c r="DC114" s="857"/>
    </row>
    <row r="115" spans="1:107" ht="18.75" customHeight="1">
      <c r="A115" s="17" t="s">
        <v>445</v>
      </c>
      <c r="B115" s="508">
        <v>40057</v>
      </c>
      <c r="C115" s="43">
        <f t="shared" si="49"/>
        <v>2009</v>
      </c>
      <c r="D115" s="719">
        <f t="shared" si="96"/>
        <v>9</v>
      </c>
      <c r="E115" s="972">
        <v>21</v>
      </c>
      <c r="F115" s="971">
        <v>4</v>
      </c>
      <c r="G115" s="971">
        <v>4</v>
      </c>
      <c r="H115" s="971">
        <v>1</v>
      </c>
      <c r="I115" s="976">
        <f t="shared" si="70"/>
        <v>30</v>
      </c>
      <c r="J115" s="621"/>
      <c r="K115" s="572">
        <f>INDEX(FX!$A$3:$C$362,MATCH(B115,FX!$A$3:$A$362,0),MATCH("Monthly Curve",FX!$A$2:$C$2,0))</f>
        <v>1.3334697389239101</v>
      </c>
      <c r="L115" s="572"/>
      <c r="M115" s="1057">
        <v>3.0065000000000004</v>
      </c>
      <c r="N115" s="1067">
        <v>0.14499999999999999</v>
      </c>
      <c r="O115" s="315">
        <v>0.05</v>
      </c>
      <c r="P115" s="797">
        <f t="shared" si="51"/>
        <v>0.19500000000000001</v>
      </c>
      <c r="Q115" s="732">
        <f t="shared" si="52"/>
        <v>3.2015000000000002</v>
      </c>
      <c r="R115" s="723">
        <f>IF(A115="January",(R114+R114*Assumptions!$E$32),R114)</f>
        <v>0.35187946208178045</v>
      </c>
      <c r="S115" s="730">
        <f t="shared" si="53"/>
        <v>4.6209828312466783</v>
      </c>
      <c r="T115" s="572"/>
      <c r="U115" s="509"/>
      <c r="V115" s="585"/>
      <c r="W115" s="585"/>
      <c r="X115" s="461"/>
      <c r="Y115" s="588">
        <f>Tables!$D$36</f>
        <v>312</v>
      </c>
      <c r="Z115" s="570">
        <f t="shared" si="54"/>
        <v>0</v>
      </c>
      <c r="AA115" s="592">
        <f t="shared" si="55"/>
        <v>0</v>
      </c>
      <c r="AB115" s="589">
        <f t="shared" si="50"/>
        <v>0</v>
      </c>
      <c r="AC115" s="462"/>
      <c r="AD115" s="1027">
        <f>IF(Tables!$E$30="Michigan",INDEX('Michigan Curve'!$A$4:$S$256,MATCH('Monthly Table'!B115,'Michigan Curve'!$A$4:$A$256,0),MATCH("Michigan Selected Option Value US$/month",'Michigan Curve'!$A$4:$S$4,0)),INDEX('NY Curve'!$A$4:$T$256,MATCH('Monthly Table'!B115,'NY Curve'!$A$4:$A$256,0),MATCH("New York Selected Option Value US$/month",'NY Curve'!$A$4:$T$4,0)))</f>
        <v>191419.90759897826</v>
      </c>
      <c r="AE115" s="601">
        <f t="shared" si="71"/>
        <v>255252.65421084853</v>
      </c>
      <c r="AF115" s="462"/>
      <c r="AG115" s="915"/>
      <c r="AH115" s="462"/>
      <c r="AI115" s="799">
        <f>Assumptions!$B$50</f>
        <v>65</v>
      </c>
      <c r="AJ115" s="743"/>
      <c r="AK115" s="924">
        <f>IF(Tables!$E$30="Custom",'Monthly Table'!AI115,IF(Tables!$E$30="New York",INDEX('NY Curve'!$A$4:$G$256,MATCH('Monthly Table'!B115,'NY Curve'!$A$4:$A$256,0),MATCH("Super Peak Curve",'NY Curve'!$A$4:$G$4,0)),IF(Tables!$E$30="New York Flat",INDEX('NY Curve'!$A$4:$G$256,MATCH('Monthly Table'!B115,'NY Curve'!$A$4:$A$256,0),MATCH("Flat NY West",'NY Curve'!$A$4:$G$4,0)),INDEX('Michigan Curve'!$A$4:$F$256,MATCH('Monthly Table'!B115,'Michigan Curve'!$A$4:$A$256,0),MATCH("Michigan Super Peak Curve US$/MWhr",'Michigan Curve'!$A$4:$F$4,0)))))</f>
        <v>46.28031225502491</v>
      </c>
      <c r="AL115" s="965">
        <f>IF(D115&lt;=Tables!$B$21,IF($AL$10=$AI$10,AI115,IF($AL$10=$AJ$10,AJ115,IF($AL$10=$AK$10,AK115,0))),0)</f>
        <v>46.28031225502491</v>
      </c>
      <c r="AM115" s="708">
        <f t="shared" si="72"/>
        <v>61.713395900025105</v>
      </c>
      <c r="AN115" s="916">
        <f t="shared" si="73"/>
        <v>0</v>
      </c>
      <c r="AO115" s="905"/>
      <c r="AP115" s="925"/>
      <c r="AQ115" s="926">
        <f>IF(Tables!$E$30="New York",INDEX('NY Curve'!$A$4:$L$256,MATCH('Monthly Table'!B115,'NY Curve'!$A$4:$A$256,0),MATCH("New York Shoulder Hour Curve Mon-Fri",'NY Curve'!$A$4:$L$4,0)),IF(Tables!$E$30="Michigan",INDEX('Michigan Curve'!$A$4:$K$256,MATCH('Monthly Table'!B115,'Michigan Curve'!$A$4:$A$256,0),MATCH("Michigan Shoulder Hour Curve Mon-Fri",'Michigan Curve'!$A$4:$K$4,0))))</f>
        <v>22.21968774497509</v>
      </c>
      <c r="AR115" s="708">
        <f t="shared" si="74"/>
        <v>29.629281216262736</v>
      </c>
      <c r="AS115" s="927">
        <f t="shared" si="61"/>
        <v>0</v>
      </c>
      <c r="AT115" s="462"/>
      <c r="AU115" s="926">
        <f>IF(Tables!$E$30="New York",INDEX('NY Curve'!$A$4:$L$256,MATCH('Monthly Table'!$B115,'NY Curve'!$A$4:$A$256,0),MATCH("New York Saturday Super Peak",'NY Curve'!$A$4:$L$4,0)),IF(Tables!$E$30="Michigan",INDEX('Michigan Curve'!$A$4:$K$256,MATCH('Monthly Table'!$B115,'Michigan Curve'!$A$4:$A$256,0),MATCH("Michigan Saturday Super Peak",'Michigan Curve'!$A$4:$K$4,0))))</f>
        <v>33.781249821186066</v>
      </c>
      <c r="AV115" s="925">
        <f t="shared" si="62"/>
        <v>45.046274379580368</v>
      </c>
      <c r="AW115" s="927">
        <f t="shared" si="63"/>
        <v>0</v>
      </c>
      <c r="AX115" s="926">
        <f>IF(Tables!$E$30="New York",INDEX('NY Curve'!$A$4:$L$256,MATCH('Monthly Table'!$B115,'NY Curve'!$A$4:$A$256,0),MATCH("New York Saturday Shoulder Peak",'NY Curve'!$A$4:$L$4,0)),IF(Tables!$E$30="Michigan",INDEX('Michigan Curve'!$A$4:$K$256,MATCH('Monthly Table'!$B115,'Michigan Curve'!$A$4:$A$256,0),MATCH("Michigan Saturday Shoulder Peak",'Michigan Curve'!$A$4:$K$4,0))))</f>
        <v>16.218750178813934</v>
      </c>
      <c r="AY115" s="934">
        <f t="shared" si="75"/>
        <v>21.627212566615135</v>
      </c>
      <c r="AZ115" s="927">
        <f t="shared" si="64"/>
        <v>0</v>
      </c>
      <c r="BA115" s="462"/>
      <c r="BB115" s="926">
        <f>IF(Tables!$E$30="New York",INDEX('NY Curve'!$A$4:$M$256,MATCH('Monthly Table'!$B115,'NY Curve'!$A$4:$A$256,0),MATCH("NY Sunday Super Peak",'NY Curve'!$A$4:$M$4,0)),IF(Tables!$E$30="Michigan",INDEX('Michigan Curve'!$A$4:$L$256,MATCH('Monthly Table'!$B115,'Michigan Curve'!$A$4:$A$256,0),MATCH("Michigan Sunday Super Peak",'Michigan Curve'!$A$4:$L$4,0))))</f>
        <v>32.429999828338623</v>
      </c>
      <c r="BC115" s="925">
        <f t="shared" si="76"/>
        <v>43.244423404397153</v>
      </c>
      <c r="BD115" s="927">
        <f t="shared" si="65"/>
        <v>0</v>
      </c>
      <c r="BE115" s="462"/>
      <c r="BF115" s="598">
        <f t="shared" si="56"/>
        <v>40057</v>
      </c>
      <c r="BG115" s="583">
        <f t="shared" si="77"/>
        <v>0</v>
      </c>
      <c r="BH115" s="764">
        <f>IF(Tables!$B$36="Combined Cycle",(BF115-BF114)*24*Assumptions!$B$21,0)</f>
        <v>0</v>
      </c>
      <c r="BI115" s="315">
        <f t="shared" si="78"/>
        <v>0</v>
      </c>
      <c r="BJ115" s="987">
        <f>IF('Monthly Table'!D115&lt;=Tables!$B$21,IF($BJ$10=$BG$10,BG115,IF($BJ$10=$BH$10,BH115,IF($BJ$10=$BI$10,BI115,0))),0)</f>
        <v>0</v>
      </c>
      <c r="BK115" s="43"/>
      <c r="BL115" s="987">
        <f t="shared" si="79"/>
        <v>0</v>
      </c>
      <c r="BM115" s="987">
        <f t="shared" si="80"/>
        <v>0</v>
      </c>
      <c r="BO115" s="987">
        <f t="shared" si="66"/>
        <v>0</v>
      </c>
      <c r="BP115" s="987">
        <f t="shared" si="81"/>
        <v>0</v>
      </c>
      <c r="BR115" s="993">
        <f>IF(BJ115&gt;0,INDEX(OperationalDetail,MATCH("Capacity Degradation",ODColumn,0),MATCH('Monthly Table'!C115,ODRow,0)),0)</f>
        <v>0</v>
      </c>
      <c r="BS115" s="994">
        <f>BJ115*(1-BR115)*Tables!$C$36</f>
        <v>0</v>
      </c>
      <c r="BT115" s="601">
        <f t="shared" si="67"/>
        <v>0</v>
      </c>
      <c r="BU115" s="601">
        <f t="shared" si="68"/>
        <v>0</v>
      </c>
      <c r="BV115" s="462"/>
      <c r="BW115" s="785">
        <f>$BO115*(1-$BR115)*Tables!$C$36</f>
        <v>0</v>
      </c>
      <c r="BX115" s="602">
        <f t="shared" si="82"/>
        <v>0</v>
      </c>
      <c r="BY115" s="601">
        <f t="shared" si="83"/>
        <v>0</v>
      </c>
      <c r="BZ115" s="462"/>
      <c r="CA115" s="785">
        <f>$BL115*(1-$BR115)*Tables!$C$36</f>
        <v>0</v>
      </c>
      <c r="CB115" s="602">
        <f t="shared" si="84"/>
        <v>0</v>
      </c>
      <c r="CC115" s="601">
        <f t="shared" si="85"/>
        <v>0</v>
      </c>
      <c r="CD115" s="785">
        <f>$BP115*(1-$BR115)*Tables!$C$36</f>
        <v>0</v>
      </c>
      <c r="CE115" s="602">
        <f t="shared" si="86"/>
        <v>0</v>
      </c>
      <c r="CF115" s="601">
        <f t="shared" si="87"/>
        <v>0</v>
      </c>
      <c r="CH115" s="785">
        <f>$BM115*(1-$BR115)*Tables!$C$36</f>
        <v>0</v>
      </c>
      <c r="CI115" s="602">
        <f t="shared" si="88"/>
        <v>0</v>
      </c>
      <c r="CJ115" s="601">
        <f t="shared" si="89"/>
        <v>0</v>
      </c>
      <c r="CK115" s="304"/>
      <c r="CL115" s="304">
        <f t="shared" si="90"/>
        <v>2008</v>
      </c>
      <c r="CM115" s="1018">
        <f>INDEX(OperationalDetail,MATCH("Degraded Heat Rate",ODColumn,0),MATCH('Monthly Table'!CL115,ODRow,0))/1000</f>
        <v>12.047547199999999</v>
      </c>
      <c r="CN115" s="737">
        <f t="shared" si="69"/>
        <v>55.671508769833984</v>
      </c>
      <c r="CO115" s="1019">
        <f>IF(A115="January",(CO114*(1+Assumptions!$E$32)),CO114)</f>
        <v>7.8918582181633878</v>
      </c>
      <c r="CP115" s="741">
        <f t="shared" si="57"/>
        <v>63.56336698799737</v>
      </c>
      <c r="CQ115" s="304"/>
      <c r="CR115" s="575" t="str">
        <f t="shared" si="91"/>
        <v/>
      </c>
      <c r="CS115" s="575" t="str">
        <f t="shared" si="92"/>
        <v/>
      </c>
      <c r="CT115" s="575" t="str">
        <f t="shared" si="93"/>
        <v/>
      </c>
      <c r="CU115" s="575" t="str">
        <f t="shared" si="94"/>
        <v/>
      </c>
      <c r="CV115" s="575" t="str">
        <f t="shared" si="95"/>
        <v/>
      </c>
      <c r="CW115" s="576">
        <f t="shared" si="58"/>
        <v>2009</v>
      </c>
      <c r="CX115" s="787">
        <f>INDEX('NY Curve'!$A$4:$G$256,MATCH('Monthly Table'!B115,'NY Curve'!$A$4:$A$256,0),MATCH("New York 5 X 16",'NY Curve'!$A$4:$G$4,0))</f>
        <v>30.15</v>
      </c>
      <c r="CY115" s="632">
        <f t="shared" si="59"/>
        <v>1.3334697389239101</v>
      </c>
      <c r="CZ115" s="633">
        <f t="shared" si="60"/>
        <v>40.20411262855589</v>
      </c>
      <c r="DB115" s="857"/>
      <c r="DC115" s="857"/>
    </row>
    <row r="116" spans="1:107" ht="18.75" customHeight="1">
      <c r="A116" s="17" t="s">
        <v>446</v>
      </c>
      <c r="B116" s="508">
        <v>40087</v>
      </c>
      <c r="C116" s="43">
        <f t="shared" si="49"/>
        <v>2009</v>
      </c>
      <c r="D116" s="719">
        <f t="shared" si="96"/>
        <v>9</v>
      </c>
      <c r="E116" s="972">
        <v>22</v>
      </c>
      <c r="F116" s="971">
        <v>5</v>
      </c>
      <c r="G116" s="971">
        <v>4</v>
      </c>
      <c r="H116" s="971">
        <v>0</v>
      </c>
      <c r="I116" s="976">
        <f t="shared" si="70"/>
        <v>31</v>
      </c>
      <c r="J116" s="621"/>
      <c r="K116" s="572">
        <f>INDEX(FX!$A$3:$C$362,MATCH(B116,FX!$A$3:$A$362,0),MATCH("Monthly Curve",FX!$A$2:$C$2,0))</f>
        <v>1.3326627634666</v>
      </c>
      <c r="L116" s="572"/>
      <c r="M116" s="1057">
        <v>3.0335000000000001</v>
      </c>
      <c r="N116" s="1067">
        <v>0.14499999999999999</v>
      </c>
      <c r="O116" s="315">
        <v>0.05</v>
      </c>
      <c r="P116" s="797">
        <f t="shared" si="51"/>
        <v>0.19500000000000001</v>
      </c>
      <c r="Q116" s="732">
        <f t="shared" si="52"/>
        <v>3.2284999999999999</v>
      </c>
      <c r="R116" s="723">
        <f>IF(A116="January",(R115+R115*Assumptions!$E$32),R115)</f>
        <v>0.35187946208178045</v>
      </c>
      <c r="S116" s="730">
        <f t="shared" si="53"/>
        <v>4.6543811939336983</v>
      </c>
      <c r="T116" s="572"/>
      <c r="U116" s="509"/>
      <c r="V116" s="584"/>
      <c r="W116" s="584"/>
      <c r="X116" s="461"/>
      <c r="Y116" s="588">
        <f>Tables!$D$36</f>
        <v>312</v>
      </c>
      <c r="Z116" s="570">
        <f t="shared" si="54"/>
        <v>0</v>
      </c>
      <c r="AA116" s="592">
        <f t="shared" si="55"/>
        <v>0</v>
      </c>
      <c r="AB116" s="589">
        <f t="shared" si="50"/>
        <v>0</v>
      </c>
      <c r="AC116" s="462"/>
      <c r="AD116" s="1027">
        <f>IF(Tables!$E$30="Michigan",INDEX('Michigan Curve'!$A$4:$S$256,MATCH('Monthly Table'!B116,'Michigan Curve'!$A$4:$A$256,0),MATCH("Michigan Selected Option Value US$/month",'Michigan Curve'!$A$4:$S$4,0)),INDEX('NY Curve'!$A$4:$T$256,MATCH('Monthly Table'!B116,'NY Curve'!$A$4:$A$256,0),MATCH("New York Selected Option Value US$/month",'NY Curve'!$A$4:$T$4,0)))</f>
        <v>2392.7566276028133</v>
      </c>
      <c r="AE116" s="601">
        <f t="shared" si="71"/>
        <v>3188.7376596441873</v>
      </c>
      <c r="AF116" s="462"/>
      <c r="AG116" s="915"/>
      <c r="AH116" s="462"/>
      <c r="AI116" s="799">
        <f>Assumptions!$B$50</f>
        <v>65</v>
      </c>
      <c r="AJ116" s="743"/>
      <c r="AK116" s="924">
        <f>IF(Tables!$E$30="Custom",'Monthly Table'!AI116,IF(Tables!$E$30="New York",INDEX('NY Curve'!$A$4:$G$256,MATCH('Monthly Table'!B116,'NY Curve'!$A$4:$A$256,0),MATCH("Super Peak Curve",'NY Curve'!$A$4:$G$4,0)),IF(Tables!$E$30="New York Flat",INDEX('NY Curve'!$A$4:$G$256,MATCH('Monthly Table'!B116,'NY Curve'!$A$4:$A$256,0),MATCH("Flat NY West",'NY Curve'!$A$4:$G$4,0)),INDEX('Michigan Curve'!$A$4:$F$256,MATCH('Monthly Table'!B116,'Michigan Curve'!$A$4:$A$256,0),MATCH("Michigan Super Peak Curve US$/MWhr",'Michigan Curve'!$A$4:$F$4,0)))))</f>
        <v>27.349994659423828</v>
      </c>
      <c r="AL116" s="965">
        <f>IF(D116&lt;=Tables!$B$21,IF($AL$10=$AI$10,AI116,IF($AL$10=$AJ$10,AJ116,IF($AL$10=$AK$10,AK116,0))),0)</f>
        <v>27.349994659423828</v>
      </c>
      <c r="AM116" s="708">
        <f t="shared" si="72"/>
        <v>36.448319463624507</v>
      </c>
      <c r="AN116" s="916">
        <f t="shared" si="73"/>
        <v>0</v>
      </c>
      <c r="AO116" s="905"/>
      <c r="AP116" s="925"/>
      <c r="AQ116" s="926">
        <f>IF(Tables!$E$30="New York",INDEX('NY Curve'!$A$4:$L$256,MATCH('Monthly Table'!B116,'NY Curve'!$A$4:$A$256,0),MATCH("New York Shoulder Hour Curve Mon-Fri",'NY Curve'!$A$4:$L$4,0)),IF(Tables!$E$30="Michigan",INDEX('Michigan Curve'!$A$4:$K$256,MATCH('Monthly Table'!B116,'Michigan Curve'!$A$4:$A$256,0),MATCH("Michigan Shoulder Hour Curve Mon-Fri",'Michigan Curve'!$A$4:$K$4,0))))</f>
        <v>27.349994659423828</v>
      </c>
      <c r="AR116" s="708">
        <f t="shared" si="74"/>
        <v>36.448319463624507</v>
      </c>
      <c r="AS116" s="927">
        <f t="shared" si="61"/>
        <v>0</v>
      </c>
      <c r="AT116" s="462"/>
      <c r="AU116" s="926">
        <f>IF(Tables!$E$30="New York",INDEX('NY Curve'!$A$4:$L$256,MATCH('Monthly Table'!$B116,'NY Curve'!$A$4:$A$256,0),MATCH("New York Saturday Super Peak",'NY Curve'!$A$4:$L$4,0)),IF(Tables!$E$30="Michigan",INDEX('Michigan Curve'!$A$4:$K$256,MATCH('Monthly Table'!$B116,'Michigan Curve'!$A$4:$A$256,0),MATCH("Michigan Saturday Super Peak",'Michigan Curve'!$A$4:$K$4,0))))</f>
        <v>19.996000289916992</v>
      </c>
      <c r="AV116" s="925">
        <f t="shared" si="62"/>
        <v>26.647925004639713</v>
      </c>
      <c r="AW116" s="927">
        <f t="shared" si="63"/>
        <v>0</v>
      </c>
      <c r="AX116" s="926">
        <f>IF(Tables!$E$30="New York",INDEX('NY Curve'!$A$4:$L$256,MATCH('Monthly Table'!$B116,'NY Curve'!$A$4:$A$256,0),MATCH("New York Saturday Shoulder Peak",'NY Curve'!$A$4:$L$4,0)),IF(Tables!$E$30="Michigan",INDEX('Michigan Curve'!$A$4:$K$256,MATCH('Monthly Table'!$B116,'Michigan Curve'!$A$4:$A$256,0),MATCH("Michigan Saturday Shoulder Peak",'Michigan Curve'!$A$4:$K$4,0))))</f>
        <v>19.996000289916992</v>
      </c>
      <c r="AY116" s="934">
        <f t="shared" si="75"/>
        <v>26.647925004639713</v>
      </c>
      <c r="AZ116" s="927">
        <f t="shared" si="64"/>
        <v>0</v>
      </c>
      <c r="BA116" s="462"/>
      <c r="BB116" s="926">
        <f>IF(Tables!$E$30="New York",INDEX('NY Curve'!$A$4:$M$256,MATCH('Monthly Table'!$B116,'NY Curve'!$A$4:$A$256,0),MATCH("NY Sunday Super Peak",'NY Curve'!$A$4:$M$4,0)),IF(Tables!$E$30="Michigan",INDEX('Michigan Curve'!$A$4:$L$256,MATCH('Monthly Table'!$B116,'Michigan Curve'!$A$4:$A$256,0),MATCH("Michigan Sunday Super Peak",'Michigan Curve'!$A$4:$L$4,0))))</f>
        <v>18.996500015258789</v>
      </c>
      <c r="BC116" s="925">
        <f t="shared" si="76"/>
        <v>25.315928206528085</v>
      </c>
      <c r="BD116" s="927">
        <f t="shared" si="65"/>
        <v>0</v>
      </c>
      <c r="BE116" s="462"/>
      <c r="BF116" s="598">
        <f t="shared" si="56"/>
        <v>40087</v>
      </c>
      <c r="BG116" s="583">
        <f t="shared" si="77"/>
        <v>0</v>
      </c>
      <c r="BH116" s="764">
        <f>IF(Tables!$B$36="Combined Cycle",(BF116-BF115)*24*Assumptions!$B$21,0)</f>
        <v>0</v>
      </c>
      <c r="BI116" s="315">
        <f t="shared" si="78"/>
        <v>0</v>
      </c>
      <c r="BJ116" s="987">
        <f>IF('Monthly Table'!D116&lt;=Tables!$B$21,IF($BJ$10=$BG$10,BG116,IF($BJ$10=$BH$10,BH116,IF($BJ$10=$BI$10,BI116,0))),0)</f>
        <v>0</v>
      </c>
      <c r="BK116" s="43"/>
      <c r="BL116" s="987">
        <f t="shared" si="79"/>
        <v>0</v>
      </c>
      <c r="BM116" s="987">
        <f t="shared" si="80"/>
        <v>0</v>
      </c>
      <c r="BO116" s="987">
        <f t="shared" si="66"/>
        <v>0</v>
      </c>
      <c r="BP116" s="987">
        <f t="shared" si="81"/>
        <v>0</v>
      </c>
      <c r="BR116" s="993">
        <f>IF(BJ116&gt;0,INDEX(OperationalDetail,MATCH("Capacity Degradation",ODColumn,0),MATCH('Monthly Table'!C116,ODRow,0)),0)</f>
        <v>0</v>
      </c>
      <c r="BS116" s="994">
        <f>BJ116*(1-BR116)*Tables!$C$36</f>
        <v>0</v>
      </c>
      <c r="BT116" s="601">
        <f t="shared" si="67"/>
        <v>0</v>
      </c>
      <c r="BU116" s="601">
        <f t="shared" si="68"/>
        <v>0</v>
      </c>
      <c r="BV116" s="462"/>
      <c r="BW116" s="785">
        <f>$BO116*(1-$BR116)*Tables!$C$36</f>
        <v>0</v>
      </c>
      <c r="BX116" s="602">
        <f t="shared" si="82"/>
        <v>0</v>
      </c>
      <c r="BY116" s="601">
        <f t="shared" si="83"/>
        <v>0</v>
      </c>
      <c r="BZ116" s="462"/>
      <c r="CA116" s="785">
        <f>$BL116*(1-$BR116)*Tables!$C$36</f>
        <v>0</v>
      </c>
      <c r="CB116" s="602">
        <f t="shared" si="84"/>
        <v>0</v>
      </c>
      <c r="CC116" s="601">
        <f t="shared" si="85"/>
        <v>0</v>
      </c>
      <c r="CD116" s="785">
        <f>$BP116*(1-$BR116)*Tables!$C$36</f>
        <v>0</v>
      </c>
      <c r="CE116" s="602">
        <f t="shared" si="86"/>
        <v>0</v>
      </c>
      <c r="CF116" s="601">
        <f t="shared" si="87"/>
        <v>0</v>
      </c>
      <c r="CH116" s="785">
        <f>$BM116*(1-$BR116)*Tables!$C$36</f>
        <v>0</v>
      </c>
      <c r="CI116" s="602">
        <f t="shared" si="88"/>
        <v>0</v>
      </c>
      <c r="CJ116" s="601">
        <f t="shared" si="89"/>
        <v>0</v>
      </c>
      <c r="CK116" s="304"/>
      <c r="CL116" s="304">
        <f t="shared" si="90"/>
        <v>2008</v>
      </c>
      <c r="CM116" s="1018">
        <f>INDEX(OperationalDetail,MATCH("Degraded Heat Rate",ODColumn,0),MATCH('Monthly Table'!CL116,ODRow,0))/1000</f>
        <v>12.047547199999999</v>
      </c>
      <c r="CN116" s="737">
        <f t="shared" si="69"/>
        <v>56.07387712070858</v>
      </c>
      <c r="CO116" s="1019">
        <f>IF(A116="January",(CO115*(1+Assumptions!$E$32)),CO115)</f>
        <v>7.8918582181633878</v>
      </c>
      <c r="CP116" s="741">
        <f t="shared" si="57"/>
        <v>63.965735338871966</v>
      </c>
      <c r="CQ116" s="304"/>
      <c r="CR116" s="575" t="str">
        <f t="shared" si="91"/>
        <v/>
      </c>
      <c r="CS116" s="575" t="str">
        <f t="shared" si="92"/>
        <v/>
      </c>
      <c r="CT116" s="575" t="str">
        <f t="shared" si="93"/>
        <v/>
      </c>
      <c r="CU116" s="575" t="str">
        <f t="shared" si="94"/>
        <v/>
      </c>
      <c r="CV116" s="575" t="str">
        <f t="shared" si="95"/>
        <v/>
      </c>
      <c r="CW116" s="576">
        <f t="shared" si="58"/>
        <v>2009</v>
      </c>
      <c r="CX116" s="787">
        <f>INDEX('NY Curve'!$A$4:$G$256,MATCH('Monthly Table'!B116,'NY Curve'!$A$4:$A$256,0),MATCH("New York 5 X 16",'NY Curve'!$A$4:$G$4,0))</f>
        <v>25.9</v>
      </c>
      <c r="CY116" s="632">
        <f t="shared" si="59"/>
        <v>1.3326627634666</v>
      </c>
      <c r="CZ116" s="633">
        <f t="shared" si="60"/>
        <v>34.515965573784939</v>
      </c>
      <c r="DB116" s="857"/>
      <c r="DC116" s="857"/>
    </row>
    <row r="117" spans="1:107" ht="18.75" customHeight="1">
      <c r="A117" s="17" t="s">
        <v>447</v>
      </c>
      <c r="B117" s="508">
        <v>40118</v>
      </c>
      <c r="C117" s="43">
        <f t="shared" si="49"/>
        <v>2009</v>
      </c>
      <c r="D117" s="719">
        <f t="shared" si="96"/>
        <v>9</v>
      </c>
      <c r="E117" s="972">
        <v>20</v>
      </c>
      <c r="F117" s="971">
        <v>4</v>
      </c>
      <c r="G117" s="971">
        <v>5</v>
      </c>
      <c r="H117" s="971">
        <v>1</v>
      </c>
      <c r="I117" s="976">
        <f t="shared" si="70"/>
        <v>30</v>
      </c>
      <c r="J117" s="621"/>
      <c r="K117" s="572">
        <f>INDEX(FX!$A$3:$C$362,MATCH(B117,FX!$A$3:$A$362,0),MATCH("Monthly Curve",FX!$A$2:$C$2,0))</f>
        <v>1.3318328272433799</v>
      </c>
      <c r="L117" s="572"/>
      <c r="M117" s="1057">
        <v>3.1694999999999998</v>
      </c>
      <c r="N117" s="1067">
        <v>0.23</v>
      </c>
      <c r="O117" s="315">
        <v>0.05</v>
      </c>
      <c r="P117" s="797">
        <f t="shared" si="51"/>
        <v>0.28000000000000003</v>
      </c>
      <c r="Q117" s="732">
        <f t="shared" si="52"/>
        <v>3.4494999999999996</v>
      </c>
      <c r="R117" s="723">
        <f>IF(A117="January",(R116+R116*Assumptions!$E$32),R116)</f>
        <v>0.35187946208178045</v>
      </c>
      <c r="S117" s="730">
        <f t="shared" si="53"/>
        <v>4.9460367996578185</v>
      </c>
      <c r="T117" s="572"/>
      <c r="U117" s="509"/>
      <c r="V117" s="584"/>
      <c r="W117" s="584"/>
      <c r="X117" s="461"/>
      <c r="Y117" s="588">
        <f>Tables!$D$36</f>
        <v>312</v>
      </c>
      <c r="Z117" s="570">
        <f t="shared" si="54"/>
        <v>0</v>
      </c>
      <c r="AA117" s="592">
        <f t="shared" si="55"/>
        <v>0</v>
      </c>
      <c r="AB117" s="589">
        <f t="shared" si="50"/>
        <v>0</v>
      </c>
      <c r="AC117" s="462"/>
      <c r="AD117" s="1027">
        <f>IF(Tables!$E$30="Michigan",INDEX('Michigan Curve'!$A$4:$S$256,MATCH('Monthly Table'!B117,'Michigan Curve'!$A$4:$A$256,0),MATCH("Michigan Selected Option Value US$/month",'Michigan Curve'!$A$4:$S$4,0)),INDEX('NY Curve'!$A$4:$T$256,MATCH('Monthly Table'!B117,'NY Curve'!$A$4:$A$256,0),MATCH("New York Selected Option Value US$/month",'NY Curve'!$A$4:$T$4,0)))</f>
        <v>12781.430077839113</v>
      </c>
      <c r="AE117" s="601">
        <f t="shared" si="71"/>
        <v>17022.728156782039</v>
      </c>
      <c r="AF117" s="462"/>
      <c r="AG117" s="915"/>
      <c r="AH117" s="462"/>
      <c r="AI117" s="799">
        <f>Assumptions!$B$50</f>
        <v>65</v>
      </c>
      <c r="AJ117" s="743"/>
      <c r="AK117" s="924">
        <f>IF(Tables!$E$30="Custom",'Monthly Table'!AI117,IF(Tables!$E$30="New York",INDEX('NY Curve'!$A$4:$G$256,MATCH('Monthly Table'!B117,'NY Curve'!$A$4:$A$256,0),MATCH("Super Peak Curve",'NY Curve'!$A$4:$G$4,0)),IF(Tables!$E$30="New York Flat",INDEX('NY Curve'!$A$4:$G$256,MATCH('Monthly Table'!B117,'NY Curve'!$A$4:$A$256,0),MATCH("Flat NY West",'NY Curve'!$A$4:$G$4,0)),INDEX('Michigan Curve'!$A$4:$F$256,MATCH('Monthly Table'!B117,'Michigan Curve'!$A$4:$A$256,0),MATCH("Michigan Super Peak Curve US$/MWhr",'Michigan Curve'!$A$4:$F$4,0)))))</f>
        <v>29.408395385742189</v>
      </c>
      <c r="AL117" s="965">
        <f>IF(D117&lt;=Tables!$B$21,IF($AL$10=$AI$10,AI117,IF($AL$10=$AJ$10,AJ117,IF($AL$10=$AK$10,AK117,0))),0)</f>
        <v>29.408395385742189</v>
      </c>
      <c r="AM117" s="708">
        <f t="shared" si="72"/>
        <v>39.167066371284186</v>
      </c>
      <c r="AN117" s="916">
        <f t="shared" si="73"/>
        <v>0</v>
      </c>
      <c r="AO117" s="905"/>
      <c r="AP117" s="925"/>
      <c r="AQ117" s="926">
        <f>IF(Tables!$E$30="New York",INDEX('NY Curve'!$A$4:$L$256,MATCH('Monthly Table'!B117,'NY Curve'!$A$4:$A$256,0),MATCH("New York Shoulder Hour Curve Mon-Fri",'NY Curve'!$A$4:$L$4,0)),IF(Tables!$E$30="Michigan",INDEX('Michigan Curve'!$A$4:$K$256,MATCH('Monthly Table'!B117,'Michigan Curve'!$A$4:$A$256,0),MATCH("Michigan Shoulder Hour Curve Mon-Fri",'Michigan Curve'!$A$4:$K$4,0))))</f>
        <v>25.051596069335936</v>
      </c>
      <c r="AR117" s="708">
        <f t="shared" si="74"/>
        <v>33.364538019982824</v>
      </c>
      <c r="AS117" s="927">
        <f t="shared" si="61"/>
        <v>0</v>
      </c>
      <c r="AT117" s="462"/>
      <c r="AU117" s="926">
        <f>IF(Tables!$E$30="New York",INDEX('NY Curve'!$A$4:$L$256,MATCH('Monthly Table'!$B117,'NY Curve'!$A$4:$A$256,0),MATCH("New York Saturday Super Peak",'NY Curve'!$A$4:$L$4,0)),IF(Tables!$E$30="Michigan",INDEX('Michigan Curve'!$A$4:$K$256,MATCH('Monthly Table'!$B117,'Michigan Curve'!$A$4:$A$256,0),MATCH("Michigan Saturday Super Peak",'Michigan Curve'!$A$4:$K$4,0))))</f>
        <v>21.6</v>
      </c>
      <c r="AV117" s="925">
        <f t="shared" si="62"/>
        <v>28.76758906845701</v>
      </c>
      <c r="AW117" s="927">
        <f t="shared" si="63"/>
        <v>0</v>
      </c>
      <c r="AX117" s="926">
        <f>IF(Tables!$E$30="New York",INDEX('NY Curve'!$A$4:$L$256,MATCH('Monthly Table'!$B117,'NY Curve'!$A$4:$A$256,0),MATCH("New York Saturday Shoulder Peak",'NY Curve'!$A$4:$L$4,0)),IF(Tables!$E$30="Michigan",INDEX('Michigan Curve'!$A$4:$K$256,MATCH('Monthly Table'!$B117,'Michigan Curve'!$A$4:$A$256,0),MATCH("Michigan Saturday Shoulder Peak",'Michigan Curve'!$A$4:$K$4,0))))</f>
        <v>18.399999999999999</v>
      </c>
      <c r="AY117" s="934">
        <f t="shared" si="75"/>
        <v>24.505724021278187</v>
      </c>
      <c r="AZ117" s="927">
        <f t="shared" si="64"/>
        <v>0</v>
      </c>
      <c r="BA117" s="462"/>
      <c r="BB117" s="926">
        <f>IF(Tables!$E$30="New York",INDEX('NY Curve'!$A$4:$M$256,MATCH('Monthly Table'!$B117,'NY Curve'!$A$4:$A$256,0),MATCH("NY Sunday Super Peak",'NY Curve'!$A$4:$M$4,0)),IF(Tables!$E$30="Michigan",INDEX('Michigan Curve'!$A$4:$L$256,MATCH('Monthly Table'!$B117,'Michigan Curve'!$A$4:$A$256,0),MATCH("Michigan Sunday Super Peak",'Michigan Curve'!$A$4:$L$4,0))))</f>
        <v>20.520000000000003</v>
      </c>
      <c r="BC117" s="925">
        <f t="shared" si="76"/>
        <v>27.329209615034159</v>
      </c>
      <c r="BD117" s="927">
        <f t="shared" si="65"/>
        <v>0</v>
      </c>
      <c r="BE117" s="462"/>
      <c r="BF117" s="598">
        <f t="shared" si="56"/>
        <v>40118</v>
      </c>
      <c r="BG117" s="583">
        <f t="shared" si="77"/>
        <v>0</v>
      </c>
      <c r="BH117" s="764">
        <f>IF(Tables!$B$36="Combined Cycle",(BF117-BF116)*24*Assumptions!$B$21,0)</f>
        <v>0</v>
      </c>
      <c r="BI117" s="315">
        <f t="shared" si="78"/>
        <v>0</v>
      </c>
      <c r="BJ117" s="987">
        <f>IF('Monthly Table'!D117&lt;=Tables!$B$21,IF($BJ$10=$BG$10,BG117,IF($BJ$10=$BH$10,BH117,IF($BJ$10=$BI$10,BI117,0))),0)</f>
        <v>0</v>
      </c>
      <c r="BK117" s="43"/>
      <c r="BL117" s="987">
        <f t="shared" si="79"/>
        <v>0</v>
      </c>
      <c r="BM117" s="987">
        <f t="shared" si="80"/>
        <v>0</v>
      </c>
      <c r="BO117" s="987">
        <f t="shared" si="66"/>
        <v>0</v>
      </c>
      <c r="BP117" s="987">
        <f t="shared" si="81"/>
        <v>0</v>
      </c>
      <c r="BR117" s="993">
        <f>IF(BJ117&gt;0,INDEX(OperationalDetail,MATCH("Capacity Degradation",ODColumn,0),MATCH('Monthly Table'!C117,ODRow,0)),0)</f>
        <v>0</v>
      </c>
      <c r="BS117" s="994">
        <f>BJ117*(1-BR117)*Tables!$C$36</f>
        <v>0</v>
      </c>
      <c r="BT117" s="601">
        <f t="shared" si="67"/>
        <v>0</v>
      </c>
      <c r="BU117" s="601">
        <f t="shared" si="68"/>
        <v>0</v>
      </c>
      <c r="BV117" s="462"/>
      <c r="BW117" s="785">
        <f>$BO117*(1-$BR117)*Tables!$C$36</f>
        <v>0</v>
      </c>
      <c r="BX117" s="602">
        <f t="shared" si="82"/>
        <v>0</v>
      </c>
      <c r="BY117" s="601">
        <f t="shared" si="83"/>
        <v>0</v>
      </c>
      <c r="BZ117" s="462"/>
      <c r="CA117" s="785">
        <f>$BL117*(1-$BR117)*Tables!$C$36</f>
        <v>0</v>
      </c>
      <c r="CB117" s="602">
        <f t="shared" si="84"/>
        <v>0</v>
      </c>
      <c r="CC117" s="601">
        <f t="shared" si="85"/>
        <v>0</v>
      </c>
      <c r="CD117" s="785">
        <f>$BP117*(1-$BR117)*Tables!$C$36</f>
        <v>0</v>
      </c>
      <c r="CE117" s="602">
        <f t="shared" si="86"/>
        <v>0</v>
      </c>
      <c r="CF117" s="601">
        <f t="shared" si="87"/>
        <v>0</v>
      </c>
      <c r="CH117" s="785">
        <f>$BM117*(1-$BR117)*Tables!$C$36</f>
        <v>0</v>
      </c>
      <c r="CI117" s="602">
        <f t="shared" si="88"/>
        <v>0</v>
      </c>
      <c r="CJ117" s="601">
        <f t="shared" si="89"/>
        <v>0</v>
      </c>
      <c r="CK117" s="304"/>
      <c r="CL117" s="304">
        <f t="shared" si="90"/>
        <v>2008</v>
      </c>
      <c r="CM117" s="1018">
        <f>INDEX(OperationalDetail,MATCH("Degraded Heat Rate",ODColumn,0),MATCH('Monthly Table'!CL117,ODRow,0))/1000</f>
        <v>12.047547199999999</v>
      </c>
      <c r="CN117" s="737">
        <f t="shared" si="69"/>
        <v>59.587611796814507</v>
      </c>
      <c r="CO117" s="1019">
        <f>IF(A117="January",(CO116*(1+Assumptions!$E$32)),CO116)</f>
        <v>7.8918582181633878</v>
      </c>
      <c r="CP117" s="741">
        <f t="shared" si="57"/>
        <v>67.479470014977892</v>
      </c>
      <c r="CQ117" s="304"/>
      <c r="CR117" s="575" t="str">
        <f t="shared" si="91"/>
        <v/>
      </c>
      <c r="CS117" s="575" t="str">
        <f t="shared" si="92"/>
        <v/>
      </c>
      <c r="CT117" s="575" t="str">
        <f t="shared" si="93"/>
        <v/>
      </c>
      <c r="CU117" s="575" t="str">
        <f t="shared" si="94"/>
        <v/>
      </c>
      <c r="CV117" s="575" t="str">
        <f t="shared" si="95"/>
        <v/>
      </c>
      <c r="CW117" s="576">
        <f t="shared" si="58"/>
        <v>2009</v>
      </c>
      <c r="CX117" s="787">
        <f>INDEX('NY Curve'!$A$4:$G$256,MATCH('Monthly Table'!B117,'NY Curve'!$A$4:$A$256,0),MATCH("New York 5 X 16",'NY Curve'!$A$4:$G$4,0))</f>
        <v>26.4</v>
      </c>
      <c r="CY117" s="632">
        <f t="shared" si="59"/>
        <v>1.3318328272433799</v>
      </c>
      <c r="CZ117" s="633">
        <f t="shared" si="60"/>
        <v>35.16038663922523</v>
      </c>
      <c r="DB117" s="857"/>
      <c r="DC117" s="857"/>
    </row>
    <row r="118" spans="1:107" s="222" customFormat="1" ht="18.75" customHeight="1">
      <c r="A118" s="222" t="s">
        <v>448</v>
      </c>
      <c r="B118" s="564">
        <v>40148</v>
      </c>
      <c r="C118" s="565">
        <f t="shared" si="49"/>
        <v>2009</v>
      </c>
      <c r="D118" s="819">
        <f t="shared" si="96"/>
        <v>9</v>
      </c>
      <c r="E118" s="980">
        <v>22</v>
      </c>
      <c r="F118" s="981">
        <v>4</v>
      </c>
      <c r="G118" s="981">
        <v>4</v>
      </c>
      <c r="H118" s="981">
        <v>1</v>
      </c>
      <c r="I118" s="982">
        <f t="shared" si="70"/>
        <v>31</v>
      </c>
      <c r="J118" s="969"/>
      <c r="K118" s="820">
        <f>INDEX(FX!$A$3:$C$362,MATCH(B118,FX!$A$3:$A$362,0),MATCH("Monthly Curve",FX!$A$2:$C$2,0))</f>
        <v>1.3310334681070799</v>
      </c>
      <c r="L118" s="820"/>
      <c r="M118" s="1068">
        <v>3.2955000000000001</v>
      </c>
      <c r="N118" s="1069">
        <v>0.27</v>
      </c>
      <c r="O118" s="831">
        <v>0.05</v>
      </c>
      <c r="P118" s="824">
        <f t="shared" si="51"/>
        <v>0.32</v>
      </c>
      <c r="Q118" s="825">
        <f t="shared" si="52"/>
        <v>3.6154999999999999</v>
      </c>
      <c r="R118" s="837">
        <f>IF(A118="January",(R117+R117*Assumptions!$E$32),R117)</f>
        <v>0.35187946208178045</v>
      </c>
      <c r="S118" s="827">
        <f t="shared" si="53"/>
        <v>5.1642309660229273</v>
      </c>
      <c r="T118" s="820"/>
      <c r="U118" s="567"/>
      <c r="V118" s="838"/>
      <c r="W118" s="838"/>
      <c r="X118" s="566"/>
      <c r="Y118" s="839">
        <f>Tables!$D$36</f>
        <v>312</v>
      </c>
      <c r="Z118" s="678">
        <f t="shared" si="54"/>
        <v>0</v>
      </c>
      <c r="AA118" s="679">
        <f t="shared" si="55"/>
        <v>0</v>
      </c>
      <c r="AB118" s="680">
        <f t="shared" si="50"/>
        <v>0</v>
      </c>
      <c r="AC118" s="828"/>
      <c r="AD118" s="1027">
        <f>IF(Tables!$E$30="Michigan",INDEX('Michigan Curve'!$A$4:$S$256,MATCH('Monthly Table'!B118,'Michigan Curve'!$A$4:$A$256,0),MATCH("Michigan Selected Option Value US$/month",'Michigan Curve'!$A$4:$S$4,0)),INDEX('NY Curve'!$A$4:$T$256,MATCH('Monthly Table'!B118,'NY Curve'!$A$4:$A$256,0),MATCH("New York Selected Option Value US$/month",'NY Curve'!$A$4:$T$4,0)))</f>
        <v>6984.2971668156015</v>
      </c>
      <c r="AE118" s="601">
        <f t="shared" si="71"/>
        <v>9296.3332802370223</v>
      </c>
      <c r="AF118" s="828"/>
      <c r="AG118" s="917"/>
      <c r="AI118" s="799">
        <f>Assumptions!$B$50</f>
        <v>65</v>
      </c>
      <c r="AJ118" s="762"/>
      <c r="AK118" s="924">
        <f>IF(Tables!$E$30="Custom",'Monthly Table'!AI118,IF(Tables!$E$30="New York",INDEX('NY Curve'!$A$4:$G$256,MATCH('Monthly Table'!B118,'NY Curve'!$A$4:$A$256,0),MATCH("Super Peak Curve",'NY Curve'!$A$4:$G$4,0)),IF(Tables!$E$30="New York Flat",INDEX('NY Curve'!$A$4:$G$256,MATCH('Monthly Table'!B118,'NY Curve'!$A$4:$A$256,0),MATCH("Flat NY West",'NY Curve'!$A$4:$G$4,0)),INDEX('Michigan Curve'!$A$4:$F$256,MATCH('Monthly Table'!B118,'Michigan Curve'!$A$4:$A$256,0),MATCH("Michigan Super Peak Curve US$/MWhr",'Michigan Curve'!$A$4:$F$4,0)))))</f>
        <v>28.253994941711426</v>
      </c>
      <c r="AL118" s="966">
        <f>IF(D118&lt;=Tables!$B$21,IF($AL$10=$AI$10,AI118,IF($AL$10=$AJ$10,AJ118,IF($AL$10=$AK$10,AK118,0))),0)</f>
        <v>28.253994941711426</v>
      </c>
      <c r="AM118" s="879">
        <f t="shared" si="72"/>
        <v>37.607012875146054</v>
      </c>
      <c r="AN118" s="918">
        <f t="shared" si="73"/>
        <v>0</v>
      </c>
      <c r="AO118" s="906"/>
      <c r="AP118" s="983"/>
      <c r="AQ118" s="926">
        <f>IF(Tables!$E$30="New York",INDEX('NY Curve'!$A$4:$L$256,MATCH('Monthly Table'!B118,'NY Curve'!$A$4:$A$256,0),MATCH("New York Shoulder Hour Curve Mon-Fri",'NY Curve'!$A$4:$L$4,0)),IF(Tables!$E$30="Michigan",INDEX('Michigan Curve'!$A$4:$K$256,MATCH('Monthly Table'!B118,'Michigan Curve'!$A$4:$A$256,0),MATCH("Michigan Shoulder Hour Curve Mon-Fri",'Michigan Curve'!$A$4:$K$4,0))))</f>
        <v>27.145995140075684</v>
      </c>
      <c r="AR118" s="879">
        <f t="shared" si="74"/>
        <v>36.132228056512872</v>
      </c>
      <c r="AS118" s="984">
        <f t="shared" si="61"/>
        <v>0</v>
      </c>
      <c r="AT118" s="828"/>
      <c r="AU118" s="926">
        <f>IF(Tables!$E$30="New York",INDEX('NY Curve'!$A$4:$L$256,MATCH('Monthly Table'!$B118,'NY Curve'!$A$4:$A$256,0),MATCH("New York Saturday Super Peak",'NY Curve'!$A$4:$L$4,0)),IF(Tables!$E$30="Michigan",INDEX('Michigan Curve'!$A$4:$K$256,MATCH('Monthly Table'!$B118,'Michigan Curve'!$A$4:$A$256,0),MATCH("Michigan Saturday Super Peak",'Michigan Curve'!$A$4:$K$4,0))))</f>
        <v>20.399999999999999</v>
      </c>
      <c r="AV118" s="983">
        <f t="shared" si="62"/>
        <v>27.153082749384428</v>
      </c>
      <c r="AW118" s="984">
        <f t="shared" si="63"/>
        <v>0</v>
      </c>
      <c r="AX118" s="926">
        <f>IF(Tables!$E$30="New York",INDEX('NY Curve'!$A$4:$L$256,MATCH('Monthly Table'!$B118,'NY Curve'!$A$4:$A$256,0),MATCH("New York Saturday Shoulder Peak",'NY Curve'!$A$4:$L$4,0)),IF(Tables!$E$30="Michigan",INDEX('Michigan Curve'!$A$4:$K$256,MATCH('Monthly Table'!$B118,'Michigan Curve'!$A$4:$A$256,0),MATCH("Michigan Saturday Shoulder Peak",'Michigan Curve'!$A$4:$K$4,0))))</f>
        <v>19.600000000000001</v>
      </c>
      <c r="AY118" s="985">
        <f t="shared" si="75"/>
        <v>26.088255974898768</v>
      </c>
      <c r="AZ118" s="984">
        <f t="shared" si="64"/>
        <v>0</v>
      </c>
      <c r="BA118" s="828"/>
      <c r="BB118" s="926">
        <f>IF(Tables!$E$30="New York",INDEX('NY Curve'!$A$4:$M$256,MATCH('Monthly Table'!$B118,'NY Curve'!$A$4:$A$256,0),MATCH("NY Sunday Super Peak",'NY Curve'!$A$4:$M$4,0)),IF(Tables!$E$30="Michigan",INDEX('Michigan Curve'!$A$4:$L$256,MATCH('Monthly Table'!$B118,'Michigan Curve'!$A$4:$A$256,0),MATCH("Michigan Sunday Super Peak",'Michigan Curve'!$A$4:$L$4,0))))</f>
        <v>19.38</v>
      </c>
      <c r="BC118" s="925">
        <f t="shared" si="76"/>
        <v>25.795428611915206</v>
      </c>
      <c r="BD118" s="984">
        <f t="shared" si="65"/>
        <v>0</v>
      </c>
      <c r="BE118" s="828"/>
      <c r="BF118" s="829">
        <f t="shared" si="56"/>
        <v>40148</v>
      </c>
      <c r="BG118" s="830">
        <f t="shared" si="77"/>
        <v>0</v>
      </c>
      <c r="BH118" s="840">
        <f>IF(Tables!$B$36="Combined Cycle",(BF118-BF117)*24*Assumptions!$B$21,0)</f>
        <v>0</v>
      </c>
      <c r="BI118" s="831">
        <f t="shared" si="78"/>
        <v>0</v>
      </c>
      <c r="BJ118" s="988">
        <f>IF('Monthly Table'!D118&lt;=Tables!$B$21,IF($BJ$10=$BG$10,BG118,IF($BJ$10=$BH$10,BH118,IF($BJ$10=$BI$10,BI118,0))),0)</f>
        <v>0</v>
      </c>
      <c r="BK118" s="565"/>
      <c r="BL118" s="988">
        <f t="shared" si="79"/>
        <v>0</v>
      </c>
      <c r="BM118" s="987">
        <f t="shared" si="80"/>
        <v>0</v>
      </c>
      <c r="BN118" s="565"/>
      <c r="BO118" s="988">
        <f t="shared" si="66"/>
        <v>0</v>
      </c>
      <c r="BP118" s="988">
        <f t="shared" si="81"/>
        <v>0</v>
      </c>
      <c r="BQ118" s="565"/>
      <c r="BR118" s="995">
        <f>IF(BJ118&gt;0,INDEX(OperationalDetail,MATCH("Capacity Degradation",ODColumn,0),MATCH('Monthly Table'!C118,ODRow,0)),0)</f>
        <v>0</v>
      </c>
      <c r="BS118" s="996">
        <f>BJ118*(1-BR118)*Tables!$C$36</f>
        <v>0</v>
      </c>
      <c r="BT118" s="834">
        <f t="shared" si="67"/>
        <v>0</v>
      </c>
      <c r="BU118" s="834">
        <f t="shared" si="68"/>
        <v>0</v>
      </c>
      <c r="BV118" s="828"/>
      <c r="BW118" s="832">
        <f>$BO118*(1-$BR118)*Tables!$C$36</f>
        <v>0</v>
      </c>
      <c r="BX118" s="833">
        <f t="shared" si="82"/>
        <v>0</v>
      </c>
      <c r="BY118" s="834">
        <f t="shared" si="83"/>
        <v>0</v>
      </c>
      <c r="BZ118" s="828"/>
      <c r="CA118" s="832">
        <f>$BL118*(1-$BR118)*Tables!$C$36</f>
        <v>0</v>
      </c>
      <c r="CB118" s="833">
        <f t="shared" si="84"/>
        <v>0</v>
      </c>
      <c r="CC118" s="834">
        <f t="shared" si="85"/>
        <v>0</v>
      </c>
      <c r="CD118" s="832">
        <f>$BP118*(1-$BR118)*Tables!$C$36</f>
        <v>0</v>
      </c>
      <c r="CE118" s="833">
        <f t="shared" si="86"/>
        <v>0</v>
      </c>
      <c r="CF118" s="834">
        <f t="shared" si="87"/>
        <v>0</v>
      </c>
      <c r="CH118" s="785">
        <f>$BM118*(1-$BR118)*Tables!$C$36</f>
        <v>0</v>
      </c>
      <c r="CI118" s="602">
        <f t="shared" si="88"/>
        <v>0</v>
      </c>
      <c r="CJ118" s="601">
        <f t="shared" si="89"/>
        <v>0</v>
      </c>
      <c r="CK118" s="880"/>
      <c r="CL118" s="304">
        <f t="shared" si="90"/>
        <v>2008</v>
      </c>
      <c r="CM118" s="1018">
        <f>INDEX(OperationalDetail,MATCH("Degraded Heat Rate",ODColumn,0),MATCH('Monthly Table'!CL118,ODRow,0))/1000</f>
        <v>12.047547199999999</v>
      </c>
      <c r="CN118" s="835">
        <f t="shared" si="69"/>
        <v>62.216316314862809</v>
      </c>
      <c r="CO118" s="1020">
        <f>IF(A118="January",(CO117*(1+Assumptions!$E$32)),CO117)</f>
        <v>7.8918582181633878</v>
      </c>
      <c r="CP118" s="836">
        <f t="shared" si="57"/>
        <v>70.108174533026201</v>
      </c>
      <c r="CQ118" s="880"/>
      <c r="CR118" s="841" t="str">
        <f t="shared" si="91"/>
        <v/>
      </c>
      <c r="CS118" s="841" t="str">
        <f t="shared" si="92"/>
        <v/>
      </c>
      <c r="CT118" s="841" t="str">
        <f t="shared" si="93"/>
        <v/>
      </c>
      <c r="CU118" s="841" t="str">
        <f t="shared" si="94"/>
        <v/>
      </c>
      <c r="CV118" s="575" t="str">
        <f t="shared" si="95"/>
        <v/>
      </c>
      <c r="CW118" s="842">
        <f t="shared" si="58"/>
        <v>2009</v>
      </c>
      <c r="CX118" s="843">
        <f>INDEX('NY Curve'!$A$4:$G$256,MATCH('Monthly Table'!B118,'NY Curve'!$A$4:$A$256,0),MATCH("New York 5 X 16",'NY Curve'!$A$4:$G$4,0))</f>
        <v>26.9</v>
      </c>
      <c r="CY118" s="844">
        <f t="shared" si="59"/>
        <v>1.3310334681070799</v>
      </c>
      <c r="CZ118" s="845">
        <f t="shared" si="60"/>
        <v>35.804800292080451</v>
      </c>
      <c r="DB118" s="881"/>
      <c r="DC118" s="881"/>
    </row>
    <row r="119" spans="1:107" ht="18.75" customHeight="1">
      <c r="A119" s="17" t="s">
        <v>437</v>
      </c>
      <c r="B119" s="508">
        <v>40179</v>
      </c>
      <c r="C119" s="43">
        <f t="shared" si="49"/>
        <v>2010</v>
      </c>
      <c r="D119" s="719">
        <f t="shared" si="96"/>
        <v>10</v>
      </c>
      <c r="E119" s="972">
        <v>20</v>
      </c>
      <c r="F119" s="971">
        <v>5</v>
      </c>
      <c r="G119" s="971">
        <v>5</v>
      </c>
      <c r="H119" s="971">
        <v>1</v>
      </c>
      <c r="I119" s="976">
        <f t="shared" si="70"/>
        <v>31</v>
      </c>
      <c r="J119" s="621"/>
      <c r="K119" s="572">
        <f>INDEX(FX!$A$3:$C$362,MATCH(B119,FX!$A$3:$A$362,0),MATCH("Monthly Curve",FX!$A$2:$C$2,0))</f>
        <v>1.3302113887763001</v>
      </c>
      <c r="L119" s="572"/>
      <c r="M119" s="1057">
        <v>3.3710000000000004</v>
      </c>
      <c r="N119" s="1067">
        <v>0.28000000000000003</v>
      </c>
      <c r="O119" s="877">
        <v>0.1</v>
      </c>
      <c r="P119" s="797">
        <f t="shared" si="51"/>
        <v>0.38</v>
      </c>
      <c r="Q119" s="732">
        <f t="shared" si="52"/>
        <v>3.7510000000000008</v>
      </c>
      <c r="R119" s="723">
        <f>IF(A119="January",(R118+R118*Assumptions!$E$32),R118)</f>
        <v>0.35891705132341606</v>
      </c>
      <c r="S119" s="730">
        <f t="shared" si="53"/>
        <v>5.3485399706233183</v>
      </c>
      <c r="T119" s="572"/>
      <c r="U119" s="509"/>
      <c r="V119" s="584"/>
      <c r="W119" s="584"/>
      <c r="X119" s="461"/>
      <c r="Y119" s="588">
        <f>Tables!$D$36</f>
        <v>312</v>
      </c>
      <c r="Z119" s="570">
        <f t="shared" si="54"/>
        <v>0</v>
      </c>
      <c r="AA119" s="592">
        <f t="shared" si="55"/>
        <v>0</v>
      </c>
      <c r="AB119" s="589">
        <f t="shared" si="50"/>
        <v>0</v>
      </c>
      <c r="AC119" s="462"/>
      <c r="AD119" s="1027">
        <f>IF(Tables!$E$30="Michigan",INDEX('Michigan Curve'!$A$4:$S$256,MATCH('Monthly Table'!B119,'Michigan Curve'!$A$4:$A$256,0),MATCH("Michigan Selected Option Value US$/month",'Michigan Curve'!$A$4:$S$4,0)),INDEX('NY Curve'!$A$4:$T$256,MATCH('Monthly Table'!B119,'NY Curve'!$A$4:$A$256,0),MATCH("New York Selected Option Value US$/month",'NY Curve'!$A$4:$T$4,0)))</f>
        <v>36758.093069237562</v>
      </c>
      <c r="AE119" s="601">
        <f t="shared" si="71"/>
        <v>48896.034030398987</v>
      </c>
      <c r="AF119" s="462"/>
      <c r="AG119" s="915"/>
      <c r="AH119" s="17"/>
      <c r="AI119" s="799">
        <f>Assumptions!$B$50</f>
        <v>65</v>
      </c>
      <c r="AJ119" s="743"/>
      <c r="AK119" s="924">
        <f>IF(Tables!$E$30="Custom",'Monthly Table'!AI119,IF(Tables!$E$30="New York",INDEX('NY Curve'!$A$4:$G$256,MATCH('Monthly Table'!B119,'NY Curve'!$A$4:$A$256,0),MATCH("Super Peak Curve",'NY Curve'!$A$4:$G$4,0)),IF(Tables!$E$30="New York Flat",INDEX('NY Curve'!$A$4:$G$256,MATCH('Monthly Table'!B119,'NY Curve'!$A$4:$A$256,0),MATCH("Flat NY West",'NY Curve'!$A$4:$G$4,0)),INDEX('Michigan Curve'!$A$4:$F$256,MATCH('Monthly Table'!B119,'Michigan Curve'!$A$4:$A$256,0),MATCH("Michigan Super Peak Curve US$/MWhr",'Michigan Curve'!$A$4:$F$4,0)))))</f>
        <v>33.864000389099125</v>
      </c>
      <c r="AL119" s="965">
        <f>IF(D119&lt;=Tables!$B$21,IF($AL$10=$AI$10,AI119,IF($AL$10=$AJ$10,AJ119,IF($AL$10=$AK$10,AK119,0))),0)</f>
        <v>33.864000389099125</v>
      </c>
      <c r="AM119" s="708">
        <f t="shared" si="72"/>
        <v>45.046278987104714</v>
      </c>
      <c r="AN119" s="916">
        <f t="shared" si="73"/>
        <v>0</v>
      </c>
      <c r="AO119" s="905"/>
      <c r="AP119" s="925"/>
      <c r="AQ119" s="926">
        <f>IF(Tables!$E$30="New York",INDEX('NY Curve'!$A$4:$L$256,MATCH('Monthly Table'!B119,'NY Curve'!$A$4:$A$256,0),MATCH("New York Shoulder Hour Curve Mon-Fri",'NY Curve'!$A$4:$L$4,0)),IF(Tables!$E$30="Michigan",INDEX('Michigan Curve'!$A$4:$K$256,MATCH('Monthly Table'!B119,'Michigan Curve'!$A$4:$A$256,0),MATCH("Michigan Shoulder Hour Curve Mon-Fri",'Michigan Curve'!$A$4:$K$4,0))))</f>
        <v>32.536000373840331</v>
      </c>
      <c r="AR119" s="708">
        <f t="shared" si="74"/>
        <v>43.279758242512365</v>
      </c>
      <c r="AS119" s="927">
        <f t="shared" si="61"/>
        <v>0</v>
      </c>
      <c r="AT119" s="462"/>
      <c r="AU119" s="926">
        <f>IF(Tables!$E$30="New York",INDEX('NY Curve'!$A$4:$L$256,MATCH('Monthly Table'!$B119,'NY Curve'!$A$4:$A$256,0),MATCH("New York Saturday Super Peak",'NY Curve'!$A$4:$L$4,0)),IF(Tables!$E$30="Michigan",INDEX('Michigan Curve'!$A$4:$K$256,MATCH('Monthly Table'!$B119,'Michigan Curve'!$A$4:$A$256,0),MATCH("Michigan Saturday Super Peak",'Michigan Curve'!$A$4:$K$4,0))))</f>
        <v>22.44</v>
      </c>
      <c r="AV119" s="925">
        <f t="shared" si="62"/>
        <v>29.849943564140176</v>
      </c>
      <c r="AW119" s="927">
        <f t="shared" si="63"/>
        <v>0</v>
      </c>
      <c r="AX119" s="926">
        <f>IF(Tables!$E$30="New York",INDEX('NY Curve'!$A$4:$L$256,MATCH('Monthly Table'!$B119,'NY Curve'!$A$4:$A$256,0),MATCH("New York Saturday Shoulder Peak",'NY Curve'!$A$4:$L$4,0)),IF(Tables!$E$30="Michigan",INDEX('Michigan Curve'!$A$4:$K$256,MATCH('Monthly Table'!$B119,'Michigan Curve'!$A$4:$A$256,0),MATCH("Michigan Saturday Shoulder Peak",'Michigan Curve'!$A$4:$K$4,0))))</f>
        <v>21.56</v>
      </c>
      <c r="AY119" s="934">
        <f t="shared" si="75"/>
        <v>28.679357542017026</v>
      </c>
      <c r="AZ119" s="927">
        <f t="shared" si="64"/>
        <v>0</v>
      </c>
      <c r="BA119" s="462"/>
      <c r="BB119" s="926">
        <f>IF(Tables!$E$30="New York",INDEX('NY Curve'!$A$4:$M$256,MATCH('Monthly Table'!$B119,'NY Curve'!$A$4:$A$256,0),MATCH("NY Sunday Super Peak",'NY Curve'!$A$4:$M$4,0)),IF(Tables!$E$30="Michigan",INDEX('Michigan Curve'!$A$4:$L$256,MATCH('Monthly Table'!$B119,'Michigan Curve'!$A$4:$A$256,0),MATCH("Michigan Sunday Super Peak",'Michigan Curve'!$A$4:$L$4,0))))</f>
        <v>21.42</v>
      </c>
      <c r="BC119" s="925">
        <f t="shared" si="76"/>
        <v>28.493127947588349</v>
      </c>
      <c r="BD119" s="927">
        <f t="shared" si="65"/>
        <v>0</v>
      </c>
      <c r="BE119" s="462"/>
      <c r="BF119" s="598">
        <f t="shared" si="56"/>
        <v>40179</v>
      </c>
      <c r="BG119" s="583">
        <f t="shared" si="77"/>
        <v>0</v>
      </c>
      <c r="BH119" s="764">
        <f>IF(Tables!$B$36="Combined Cycle",(BF119-BF118)*24*Assumptions!$B$21,0)</f>
        <v>0</v>
      </c>
      <c r="BI119" s="315">
        <f t="shared" si="78"/>
        <v>0</v>
      </c>
      <c r="BJ119" s="987">
        <f>IF('Monthly Table'!D119&lt;=Tables!$B$21,IF($BJ$10=$BG$10,BG119,IF($BJ$10=$BH$10,BH119,IF($BJ$10=$BI$10,BI119,0))),0)</f>
        <v>0</v>
      </c>
      <c r="BK119" s="43"/>
      <c r="BL119" s="987">
        <f t="shared" si="79"/>
        <v>0</v>
      </c>
      <c r="BM119" s="987">
        <f t="shared" si="80"/>
        <v>0</v>
      </c>
      <c r="BO119" s="987">
        <f t="shared" si="66"/>
        <v>0</v>
      </c>
      <c r="BP119" s="987">
        <f t="shared" si="81"/>
        <v>0</v>
      </c>
      <c r="BR119" s="993">
        <f>IF(BJ119&gt;0,INDEX(OperationalDetail,MATCH("Capacity Degradation",ODColumn,0),MATCH('Monthly Table'!C119,ODRow,0)),0)</f>
        <v>0</v>
      </c>
      <c r="BS119" s="994">
        <f>BJ119*(1-BR119)*Tables!$C$36</f>
        <v>0</v>
      </c>
      <c r="BT119" s="601">
        <f t="shared" si="67"/>
        <v>0</v>
      </c>
      <c r="BU119" s="601">
        <f t="shared" si="68"/>
        <v>0</v>
      </c>
      <c r="BV119" s="462"/>
      <c r="BW119" s="785">
        <f>$BO119*(1-$BR119)*Tables!$C$36</f>
        <v>0</v>
      </c>
      <c r="BX119" s="602">
        <f t="shared" si="82"/>
        <v>0</v>
      </c>
      <c r="BY119" s="601">
        <f t="shared" si="83"/>
        <v>0</v>
      </c>
      <c r="BZ119" s="462"/>
      <c r="CA119" s="785">
        <f>$BL119*(1-$BR119)*Tables!$C$36</f>
        <v>0</v>
      </c>
      <c r="CB119" s="602">
        <f t="shared" si="84"/>
        <v>0</v>
      </c>
      <c r="CC119" s="601">
        <f t="shared" si="85"/>
        <v>0</v>
      </c>
      <c r="CD119" s="785">
        <f>$BP119*(1-$BR119)*Tables!$C$36</f>
        <v>0</v>
      </c>
      <c r="CE119" s="602">
        <f t="shared" si="86"/>
        <v>0</v>
      </c>
      <c r="CF119" s="601">
        <f t="shared" si="87"/>
        <v>0</v>
      </c>
      <c r="CH119" s="785">
        <f>$BM119*(1-$BR119)*Tables!$C$36</f>
        <v>0</v>
      </c>
      <c r="CI119" s="602">
        <f t="shared" si="88"/>
        <v>0</v>
      </c>
      <c r="CJ119" s="601">
        <f t="shared" si="89"/>
        <v>0</v>
      </c>
      <c r="CK119" s="304"/>
      <c r="CL119" s="304">
        <f t="shared" si="90"/>
        <v>2009</v>
      </c>
      <c r="CM119" s="1018">
        <f>INDEX(OperationalDetail,MATCH("Degraded Heat Rate",ODColumn,0),MATCH('Monthly Table'!CL119,ODRow,0))/1000</f>
        <v>12.0785236</v>
      </c>
      <c r="CN119" s="737">
        <f t="shared" si="69"/>
        <v>64.602466260717065</v>
      </c>
      <c r="CO119" s="1019">
        <f>IF(A119="January",(CO118*(1+Assumptions!$E$32)),CO118)</f>
        <v>8.0496953825266555</v>
      </c>
      <c r="CP119" s="741">
        <f t="shared" si="57"/>
        <v>72.652161643243716</v>
      </c>
      <c r="CQ119" s="304"/>
      <c r="CR119" s="575" t="str">
        <f t="shared" si="91"/>
        <v/>
      </c>
      <c r="CS119" s="575" t="str">
        <f t="shared" si="92"/>
        <v/>
      </c>
      <c r="CT119" s="575" t="str">
        <f t="shared" si="93"/>
        <v/>
      </c>
      <c r="CU119" s="575" t="str">
        <f t="shared" si="94"/>
        <v/>
      </c>
      <c r="CV119" s="575" t="str">
        <f t="shared" si="95"/>
        <v/>
      </c>
      <c r="CW119" s="576">
        <f t="shared" si="58"/>
        <v>2010</v>
      </c>
      <c r="CX119" s="787">
        <f>INDEX('NY Curve'!$A$4:$G$256,MATCH('Monthly Table'!B119,'NY Curve'!$A$4:$A$256,0),MATCH("New York 5 X 16",'NY Curve'!$A$4:$G$4,0))</f>
        <v>32.450000000000003</v>
      </c>
      <c r="CY119" s="632">
        <f t="shared" si="59"/>
        <v>1.3302113887763001</v>
      </c>
      <c r="CZ119" s="633">
        <f t="shared" si="60"/>
        <v>43.165359565790943</v>
      </c>
      <c r="DB119" s="857"/>
      <c r="DC119" s="857"/>
    </row>
    <row r="120" spans="1:107" ht="18.75" customHeight="1">
      <c r="A120" s="17" t="s">
        <v>438</v>
      </c>
      <c r="B120" s="508">
        <v>40210</v>
      </c>
      <c r="C120" s="43">
        <f t="shared" si="49"/>
        <v>2010</v>
      </c>
      <c r="D120" s="719">
        <f t="shared" si="96"/>
        <v>10</v>
      </c>
      <c r="E120" s="972">
        <v>20</v>
      </c>
      <c r="F120" s="971">
        <v>4</v>
      </c>
      <c r="G120" s="971">
        <v>4</v>
      </c>
      <c r="H120" s="971">
        <v>0</v>
      </c>
      <c r="I120" s="976">
        <f t="shared" si="70"/>
        <v>28</v>
      </c>
      <c r="J120" s="621"/>
      <c r="K120" s="572">
        <f>INDEX(FX!$A$3:$C$362,MATCH(B120,FX!$A$3:$A$362,0),MATCH("Monthly Curve",FX!$A$2:$C$2,0))</f>
        <v>1.3293932921549401</v>
      </c>
      <c r="L120" s="572"/>
      <c r="M120" s="1057">
        <v>3.258</v>
      </c>
      <c r="N120" s="1067">
        <v>0.31</v>
      </c>
      <c r="O120" s="877">
        <v>0.1</v>
      </c>
      <c r="P120" s="797">
        <f t="shared" si="51"/>
        <v>0.41000000000000003</v>
      </c>
      <c r="Q120" s="732">
        <f t="shared" si="52"/>
        <v>3.6680000000000001</v>
      </c>
      <c r="R120" s="723">
        <f>IF(A120="January",(R119+R119*Assumptions!$E$32),R119)</f>
        <v>0.35891705132341606</v>
      </c>
      <c r="S120" s="730">
        <f t="shared" si="53"/>
        <v>5.2351316469477363</v>
      </c>
      <c r="T120" s="572"/>
      <c r="U120" s="509"/>
      <c r="V120" s="584"/>
      <c r="W120" s="584"/>
      <c r="X120" s="461"/>
      <c r="Y120" s="588">
        <f>Tables!$D$36</f>
        <v>312</v>
      </c>
      <c r="Z120" s="570">
        <f t="shared" si="54"/>
        <v>0</v>
      </c>
      <c r="AA120" s="592">
        <f t="shared" si="55"/>
        <v>0</v>
      </c>
      <c r="AB120" s="589">
        <f t="shared" si="50"/>
        <v>0</v>
      </c>
      <c r="AC120" s="462"/>
      <c r="AD120" s="1027">
        <f>IF(Tables!$E$30="Michigan",INDEX('Michigan Curve'!$A$4:$S$256,MATCH('Monthly Table'!B120,'Michigan Curve'!$A$4:$A$256,0),MATCH("Michigan Selected Option Value US$/month",'Michigan Curve'!$A$4:$S$4,0)),INDEX('NY Curve'!$A$4:$T$256,MATCH('Monthly Table'!B120,'NY Curve'!$A$4:$A$256,0),MATCH("New York Selected Option Value US$/month",'NY Curve'!$A$4:$T$4,0)))</f>
        <v>35269.971849106281</v>
      </c>
      <c r="AE120" s="601">
        <f t="shared" si="71"/>
        <v>46887.663990695459</v>
      </c>
      <c r="AF120" s="462"/>
      <c r="AG120" s="915"/>
      <c r="AH120" s="17"/>
      <c r="AI120" s="799">
        <f>Assumptions!$B$50</f>
        <v>65</v>
      </c>
      <c r="AJ120" s="743"/>
      <c r="AK120" s="924">
        <f>IF(Tables!$E$30="Custom",'Monthly Table'!AI120,IF(Tables!$E$30="New York",INDEX('NY Curve'!$A$4:$G$256,MATCH('Monthly Table'!B120,'NY Curve'!$A$4:$A$256,0),MATCH("Super Peak Curve",'NY Curve'!$A$4:$G$4,0)),IF(Tables!$E$30="New York Flat",INDEX('NY Curve'!$A$4:$G$256,MATCH('Monthly Table'!B120,'NY Curve'!$A$4:$A$256,0),MATCH("Flat NY West",'NY Curve'!$A$4:$G$4,0)),INDEX('Michigan Curve'!$A$4:$F$256,MATCH('Monthly Table'!B120,'Michigan Curve'!$A$4:$A$256,0),MATCH("Michigan Super Peak Curve US$/MWhr",'Michigan Curve'!$A$4:$F$4,0)))))</f>
        <v>33.863998443603521</v>
      </c>
      <c r="AL120" s="965">
        <f>IF(D120&lt;=Tables!$B$21,IF($AL$10=$AI$10,AI120,IF($AL$10=$AJ$10,AJ120,IF($AL$10=$AK$10,AK120,0))),0)</f>
        <v>33.863998443603521</v>
      </c>
      <c r="AM120" s="708">
        <f t="shared" si="72"/>
        <v>45.018572376471852</v>
      </c>
      <c r="AN120" s="916">
        <f t="shared" si="73"/>
        <v>0</v>
      </c>
      <c r="AO120" s="905"/>
      <c r="AP120" s="925"/>
      <c r="AQ120" s="926">
        <f>IF(Tables!$E$30="New York",INDEX('NY Curve'!$A$4:$L$256,MATCH('Monthly Table'!B120,'NY Curve'!$A$4:$A$256,0),MATCH("New York Shoulder Hour Curve Mon-Fri",'NY Curve'!$A$4:$L$4,0)),IF(Tables!$E$30="Michigan",INDEX('Michigan Curve'!$A$4:$K$256,MATCH('Monthly Table'!B120,'Michigan Curve'!$A$4:$A$256,0),MATCH("Michigan Shoulder Hour Curve Mon-Fri",'Michigan Curve'!$A$4:$K$4,0))))</f>
        <v>32.53599850463867</v>
      </c>
      <c r="AR120" s="708">
        <f t="shared" si="74"/>
        <v>43.253138165629807</v>
      </c>
      <c r="AS120" s="927">
        <f t="shared" si="61"/>
        <v>0</v>
      </c>
      <c r="AT120" s="462"/>
      <c r="AU120" s="926">
        <f>IF(Tables!$E$30="New York",INDEX('NY Curve'!$A$4:$L$256,MATCH('Monthly Table'!$B120,'NY Curve'!$A$4:$A$256,0),MATCH("New York Saturday Super Peak",'NY Curve'!$A$4:$L$4,0)),IF(Tables!$E$30="Michigan",INDEX('Michigan Curve'!$A$4:$K$256,MATCH('Monthly Table'!$B120,'Michigan Curve'!$A$4:$A$256,0),MATCH("Michigan Saturday Super Peak",'Michigan Curve'!$A$4:$K$4,0))))</f>
        <v>22.435920295715331</v>
      </c>
      <c r="AV120" s="925">
        <f t="shared" si="62"/>
        <v>29.826161944446842</v>
      </c>
      <c r="AW120" s="927">
        <f t="shared" si="63"/>
        <v>0</v>
      </c>
      <c r="AX120" s="926">
        <f>IF(Tables!$E$30="New York",INDEX('NY Curve'!$A$4:$L$256,MATCH('Monthly Table'!$B120,'NY Curve'!$A$4:$A$256,0),MATCH("New York Saturday Shoulder Peak",'NY Curve'!$A$4:$L$4,0)),IF(Tables!$E$30="Michigan",INDEX('Michigan Curve'!$A$4:$K$256,MATCH('Monthly Table'!$B120,'Michigan Curve'!$A$4:$A$256,0),MATCH("Michigan Saturday Shoulder Peak",'Michigan Curve'!$A$4:$K$4,0))))</f>
        <v>21.556080284118654</v>
      </c>
      <c r="AY120" s="934">
        <f t="shared" si="75"/>
        <v>28.656508534860691</v>
      </c>
      <c r="AZ120" s="927">
        <f t="shared" si="64"/>
        <v>0</v>
      </c>
      <c r="BA120" s="462"/>
      <c r="BB120" s="926">
        <f>IF(Tables!$E$30="New York",INDEX('NY Curve'!$A$4:$M$256,MATCH('Monthly Table'!$B120,'NY Curve'!$A$4:$A$256,0),MATCH("NY Sunday Super Peak",'NY Curve'!$A$4:$M$4,0)),IF(Tables!$E$30="Michigan",INDEX('Michigan Curve'!$A$4:$L$256,MATCH('Monthly Table'!$B120,'Michigan Curve'!$A$4:$A$256,0),MATCH("Michigan Sunday Super Peak",'Michigan Curve'!$A$4:$L$4,0))))</f>
        <v>21.416431961059569</v>
      </c>
      <c r="BC120" s="925">
        <f t="shared" si="76"/>
        <v>28.47086099092526</v>
      </c>
      <c r="BD120" s="927">
        <f t="shared" si="65"/>
        <v>0</v>
      </c>
      <c r="BE120" s="462"/>
      <c r="BF120" s="598">
        <f t="shared" si="56"/>
        <v>40210</v>
      </c>
      <c r="BG120" s="583">
        <f t="shared" si="77"/>
        <v>0</v>
      </c>
      <c r="BH120" s="764">
        <f>IF(Tables!$B$36="Combined Cycle",(BF120-BF119)*24*Assumptions!$B$21,0)</f>
        <v>0</v>
      </c>
      <c r="BI120" s="315">
        <f t="shared" si="78"/>
        <v>0</v>
      </c>
      <c r="BJ120" s="987">
        <f>IF('Monthly Table'!D120&lt;=Tables!$B$21,IF($BJ$10=$BG$10,BG120,IF($BJ$10=$BH$10,BH120,IF($BJ$10=$BI$10,BI120,0))),0)</f>
        <v>0</v>
      </c>
      <c r="BK120" s="43"/>
      <c r="BL120" s="987">
        <f t="shared" si="79"/>
        <v>0</v>
      </c>
      <c r="BM120" s="987">
        <f t="shared" si="80"/>
        <v>0</v>
      </c>
      <c r="BO120" s="987">
        <f t="shared" si="66"/>
        <v>0</v>
      </c>
      <c r="BP120" s="987">
        <f t="shared" si="81"/>
        <v>0</v>
      </c>
      <c r="BR120" s="993">
        <f>IF(BJ120&gt;0,INDEX(OperationalDetail,MATCH("Capacity Degradation",ODColumn,0),MATCH('Monthly Table'!C120,ODRow,0)),0)</f>
        <v>0</v>
      </c>
      <c r="BS120" s="994">
        <f>BJ120*(1-BR120)*Tables!$C$36</f>
        <v>0</v>
      </c>
      <c r="BT120" s="601">
        <f t="shared" si="67"/>
        <v>0</v>
      </c>
      <c r="BU120" s="601">
        <f t="shared" si="68"/>
        <v>0</v>
      </c>
      <c r="BV120" s="462"/>
      <c r="BW120" s="785">
        <f>$BO120*(1-$BR120)*Tables!$C$36</f>
        <v>0</v>
      </c>
      <c r="BX120" s="602">
        <f t="shared" si="82"/>
        <v>0</v>
      </c>
      <c r="BY120" s="601">
        <f t="shared" si="83"/>
        <v>0</v>
      </c>
      <c r="BZ120" s="462"/>
      <c r="CA120" s="785">
        <f>$BL120*(1-$BR120)*Tables!$C$36</f>
        <v>0</v>
      </c>
      <c r="CB120" s="602">
        <f t="shared" si="84"/>
        <v>0</v>
      </c>
      <c r="CC120" s="601">
        <f t="shared" si="85"/>
        <v>0</v>
      </c>
      <c r="CD120" s="785">
        <f>$BP120*(1-$BR120)*Tables!$C$36</f>
        <v>0</v>
      </c>
      <c r="CE120" s="602">
        <f t="shared" si="86"/>
        <v>0</v>
      </c>
      <c r="CF120" s="601">
        <f t="shared" si="87"/>
        <v>0</v>
      </c>
      <c r="CH120" s="785">
        <f>$BM120*(1-$BR120)*Tables!$C$36</f>
        <v>0</v>
      </c>
      <c r="CI120" s="602">
        <f t="shared" si="88"/>
        <v>0</v>
      </c>
      <c r="CJ120" s="601">
        <f t="shared" si="89"/>
        <v>0</v>
      </c>
      <c r="CK120" s="304"/>
      <c r="CL120" s="304">
        <f t="shared" si="90"/>
        <v>2009</v>
      </c>
      <c r="CM120" s="1018">
        <f>INDEX(OperationalDetail,MATCH("Degraded Heat Rate",ODColumn,0),MATCH('Monthly Table'!CL120,ODRow,0))/1000</f>
        <v>12.0785236</v>
      </c>
      <c r="CN120" s="737">
        <f t="shared" si="69"/>
        <v>63.232661146765103</v>
      </c>
      <c r="CO120" s="1019">
        <f>IF(A120="January",(CO119*(1+Assumptions!$E$32)),CO119)</f>
        <v>8.0496953825266555</v>
      </c>
      <c r="CP120" s="741">
        <f t="shared" si="57"/>
        <v>71.282356529291761</v>
      </c>
      <c r="CQ120" s="304"/>
      <c r="CR120" s="575" t="str">
        <f t="shared" si="91"/>
        <v/>
      </c>
      <c r="CS120" s="575" t="str">
        <f t="shared" si="92"/>
        <v/>
      </c>
      <c r="CT120" s="575" t="str">
        <f t="shared" si="93"/>
        <v/>
      </c>
      <c r="CU120" s="575" t="str">
        <f t="shared" si="94"/>
        <v/>
      </c>
      <c r="CV120" s="575" t="str">
        <f t="shared" si="95"/>
        <v/>
      </c>
      <c r="CW120" s="576">
        <f t="shared" si="58"/>
        <v>2010</v>
      </c>
      <c r="CX120" s="787">
        <f>INDEX('NY Curve'!$A$4:$G$256,MATCH('Monthly Table'!B120,'NY Curve'!$A$4:$A$256,0),MATCH("New York 5 X 16",'NY Curve'!$A$4:$G$4,0))</f>
        <v>32.450000000000003</v>
      </c>
      <c r="CY120" s="632">
        <f t="shared" si="59"/>
        <v>1.3293932921549401</v>
      </c>
      <c r="CZ120" s="633">
        <f t="shared" si="60"/>
        <v>43.138812330427811</v>
      </c>
      <c r="DB120" s="857"/>
      <c r="DC120" s="857"/>
    </row>
    <row r="121" spans="1:107" ht="18.75" customHeight="1">
      <c r="A121" s="17" t="s">
        <v>439</v>
      </c>
      <c r="B121" s="508">
        <v>40238</v>
      </c>
      <c r="C121" s="43">
        <f t="shared" si="49"/>
        <v>2010</v>
      </c>
      <c r="D121" s="719">
        <f t="shared" si="96"/>
        <v>10</v>
      </c>
      <c r="E121" s="972">
        <v>23</v>
      </c>
      <c r="F121" s="971">
        <v>4</v>
      </c>
      <c r="G121" s="971">
        <v>4</v>
      </c>
      <c r="H121" s="971">
        <v>0</v>
      </c>
      <c r="I121" s="976">
        <f t="shared" si="70"/>
        <v>31</v>
      </c>
      <c r="J121" s="621"/>
      <c r="K121" s="572">
        <f>INDEX(FX!$A$3:$C$362,MATCH(B121,FX!$A$3:$A$362,0),MATCH("Monthly Curve",FX!$A$2:$C$2,0))</f>
        <v>1.3286577837537501</v>
      </c>
      <c r="L121" s="572"/>
      <c r="M121" s="1057">
        <v>3.1430000000000002</v>
      </c>
      <c r="N121" s="1067">
        <v>0.31</v>
      </c>
      <c r="O121" s="877">
        <v>0.1</v>
      </c>
      <c r="P121" s="797">
        <f t="shared" si="51"/>
        <v>0.41000000000000003</v>
      </c>
      <c r="Q121" s="732">
        <f t="shared" si="52"/>
        <v>3.5530000000000004</v>
      </c>
      <c r="R121" s="723">
        <f>IF(A121="January",(R120+R120*Assumptions!$E$32),R120)</f>
        <v>0.35891705132341606</v>
      </c>
      <c r="S121" s="730">
        <f t="shared" si="53"/>
        <v>5.07963815700049</v>
      </c>
      <c r="T121" s="572"/>
      <c r="U121" s="509"/>
      <c r="V121" s="584"/>
      <c r="W121" s="584"/>
      <c r="X121" s="461"/>
      <c r="Y121" s="588">
        <f>Tables!$D$36</f>
        <v>312</v>
      </c>
      <c r="Z121" s="570">
        <f t="shared" si="54"/>
        <v>0</v>
      </c>
      <c r="AA121" s="592">
        <f t="shared" si="55"/>
        <v>0</v>
      </c>
      <c r="AB121" s="589">
        <f t="shared" si="50"/>
        <v>0</v>
      </c>
      <c r="AC121" s="462"/>
      <c r="AD121" s="1027">
        <f>IF(Tables!$E$30="Michigan",INDEX('Michigan Curve'!$A$4:$S$256,MATCH('Monthly Table'!B121,'Michigan Curve'!$A$4:$A$256,0),MATCH("Michigan Selected Option Value US$/month",'Michigan Curve'!$A$4:$S$4,0)),INDEX('NY Curve'!$A$4:$T$256,MATCH('Monthly Table'!B121,'NY Curve'!$A$4:$A$256,0),MATCH("New York Selected Option Value US$/month",'NY Curve'!$A$4:$T$4,0)))</f>
        <v>8380.5190300580616</v>
      </c>
      <c r="AE121" s="601">
        <f t="shared" si="71"/>
        <v>11134.841841183072</v>
      </c>
      <c r="AF121" s="462"/>
      <c r="AG121" s="915"/>
      <c r="AH121" s="17"/>
      <c r="AI121" s="799">
        <f>Assumptions!$B$50</f>
        <v>65</v>
      </c>
      <c r="AJ121" s="743"/>
      <c r="AK121" s="924">
        <f>IF(Tables!$E$30="Custom",'Monthly Table'!AI121,IF(Tables!$E$30="New York",INDEX('NY Curve'!$A$4:$G$256,MATCH('Monthly Table'!B121,'NY Curve'!$A$4:$A$256,0),MATCH("Super Peak Curve",'NY Curve'!$A$4:$G$4,0)),IF(Tables!$E$30="New York Flat",INDEX('NY Curve'!$A$4:$G$256,MATCH('Monthly Table'!B121,'NY Curve'!$A$4:$A$256,0),MATCH("Flat NY West",'NY Curve'!$A$4:$G$4,0)),INDEX('Michigan Curve'!$A$4:$F$256,MATCH('Monthly Table'!B121,'Michigan Curve'!$A$4:$A$256,0),MATCH("Michigan Super Peak Curve US$/MWhr",'Michigan Curve'!$A$4:$F$4,0)))))</f>
        <v>28.560000000000002</v>
      </c>
      <c r="AL121" s="965">
        <f>IF(D121&lt;=Tables!$B$21,IF($AL$10=$AI$10,AI121,IF($AL$10=$AJ$10,AJ121,IF($AL$10=$AK$10,AK121,0))),0)</f>
        <v>28.560000000000002</v>
      </c>
      <c r="AM121" s="708">
        <f t="shared" si="72"/>
        <v>37.946466304007103</v>
      </c>
      <c r="AN121" s="916">
        <f t="shared" si="73"/>
        <v>0</v>
      </c>
      <c r="AO121" s="905"/>
      <c r="AP121" s="925"/>
      <c r="AQ121" s="926">
        <f>IF(Tables!$E$30="New York",INDEX('NY Curve'!$A$4:$L$256,MATCH('Monthly Table'!B121,'NY Curve'!$A$4:$A$256,0),MATCH("New York Shoulder Hour Curve Mon-Fri",'NY Curve'!$A$4:$L$4,0)),IF(Tables!$E$30="Michigan",INDEX('Michigan Curve'!$A$4:$K$256,MATCH('Monthly Table'!B121,'Michigan Curve'!$A$4:$A$256,0),MATCH("Michigan Shoulder Hour Curve Mon-Fri",'Michigan Curve'!$A$4:$K$4,0))))</f>
        <v>27.439999999999998</v>
      </c>
      <c r="AR121" s="708">
        <f t="shared" si="74"/>
        <v>36.458369586202899</v>
      </c>
      <c r="AS121" s="927">
        <f t="shared" si="61"/>
        <v>0</v>
      </c>
      <c r="AT121" s="462"/>
      <c r="AU121" s="926">
        <f>IF(Tables!$E$30="New York",INDEX('NY Curve'!$A$4:$L$256,MATCH('Monthly Table'!$B121,'NY Curve'!$A$4:$A$256,0),MATCH("New York Saturday Super Peak",'NY Curve'!$A$4:$L$4,0)),IF(Tables!$E$30="Michigan",INDEX('Michigan Curve'!$A$4:$K$256,MATCH('Monthly Table'!$B121,'Michigan Curve'!$A$4:$A$256,0),MATCH("Michigan Saturday Super Peak",'Michigan Curve'!$A$4:$K$4,0))))</f>
        <v>20.399999999999999</v>
      </c>
      <c r="AV121" s="925">
        <f t="shared" si="62"/>
        <v>27.104618788576499</v>
      </c>
      <c r="AW121" s="927">
        <f t="shared" si="63"/>
        <v>0</v>
      </c>
      <c r="AX121" s="926">
        <f>IF(Tables!$E$30="New York",INDEX('NY Curve'!$A$4:$L$256,MATCH('Monthly Table'!$B121,'NY Curve'!$A$4:$A$256,0),MATCH("New York Saturday Shoulder Peak",'NY Curve'!$A$4:$L$4,0)),IF(Tables!$E$30="Michigan",INDEX('Michigan Curve'!$A$4:$K$256,MATCH('Monthly Table'!$B121,'Michigan Curve'!$A$4:$A$256,0),MATCH("Michigan Saturday Shoulder Peak",'Michigan Curve'!$A$4:$K$4,0))))</f>
        <v>19.600000000000001</v>
      </c>
      <c r="AY121" s="934">
        <f t="shared" si="75"/>
        <v>26.041692561573505</v>
      </c>
      <c r="AZ121" s="927">
        <f t="shared" si="64"/>
        <v>0</v>
      </c>
      <c r="BA121" s="462"/>
      <c r="BB121" s="926">
        <f>IF(Tables!$E$30="New York",INDEX('NY Curve'!$A$4:$M$256,MATCH('Monthly Table'!$B121,'NY Curve'!$A$4:$A$256,0),MATCH("NY Sunday Super Peak",'NY Curve'!$A$4:$M$4,0)),IF(Tables!$E$30="Michigan",INDEX('Michigan Curve'!$A$4:$L$256,MATCH('Monthly Table'!$B121,'Michigan Curve'!$A$4:$A$256,0),MATCH("Michigan Sunday Super Peak",'Michigan Curve'!$A$4:$L$4,0))))</f>
        <v>19.38</v>
      </c>
      <c r="BC121" s="925">
        <f t="shared" si="76"/>
        <v>25.749387849147677</v>
      </c>
      <c r="BD121" s="927">
        <f t="shared" si="65"/>
        <v>0</v>
      </c>
      <c r="BE121" s="462"/>
      <c r="BF121" s="598">
        <f t="shared" si="56"/>
        <v>40238</v>
      </c>
      <c r="BG121" s="583">
        <f t="shared" si="77"/>
        <v>0</v>
      </c>
      <c r="BH121" s="764">
        <f>IF(Tables!$B$36="Combined Cycle",(BF121-BF120)*24*Assumptions!$B$21,0)</f>
        <v>0</v>
      </c>
      <c r="BI121" s="315">
        <f t="shared" si="78"/>
        <v>0</v>
      </c>
      <c r="BJ121" s="987">
        <f>IF('Monthly Table'!D121&lt;=Tables!$B$21,IF($BJ$10=$BG$10,BG121,IF($BJ$10=$BH$10,BH121,IF($BJ$10=$BI$10,BI121,0))),0)</f>
        <v>0</v>
      </c>
      <c r="BK121" s="43"/>
      <c r="BL121" s="987">
        <f t="shared" si="79"/>
        <v>0</v>
      </c>
      <c r="BM121" s="987">
        <f t="shared" si="80"/>
        <v>0</v>
      </c>
      <c r="BO121" s="987">
        <f t="shared" si="66"/>
        <v>0</v>
      </c>
      <c r="BP121" s="987">
        <f t="shared" si="81"/>
        <v>0</v>
      </c>
      <c r="BR121" s="993">
        <f>IF(BJ121&gt;0,INDEX(OperationalDetail,MATCH("Capacity Degradation",ODColumn,0),MATCH('Monthly Table'!C121,ODRow,0)),0)</f>
        <v>0</v>
      </c>
      <c r="BS121" s="994">
        <f>BJ121*(1-BR121)*Tables!$C$36</f>
        <v>0</v>
      </c>
      <c r="BT121" s="601">
        <f t="shared" si="67"/>
        <v>0</v>
      </c>
      <c r="BU121" s="601">
        <f t="shared" si="68"/>
        <v>0</v>
      </c>
      <c r="BV121" s="462"/>
      <c r="BW121" s="785">
        <f>$BO121*(1-$BR121)*Tables!$C$36</f>
        <v>0</v>
      </c>
      <c r="BX121" s="602">
        <f t="shared" si="82"/>
        <v>0</v>
      </c>
      <c r="BY121" s="601">
        <f t="shared" si="83"/>
        <v>0</v>
      </c>
      <c r="BZ121" s="462"/>
      <c r="CA121" s="785">
        <f>$BL121*(1-$BR121)*Tables!$C$36</f>
        <v>0</v>
      </c>
      <c r="CB121" s="602">
        <f t="shared" si="84"/>
        <v>0</v>
      </c>
      <c r="CC121" s="601">
        <f t="shared" si="85"/>
        <v>0</v>
      </c>
      <c r="CD121" s="785">
        <f>$BP121*(1-$BR121)*Tables!$C$36</f>
        <v>0</v>
      </c>
      <c r="CE121" s="602">
        <f t="shared" si="86"/>
        <v>0</v>
      </c>
      <c r="CF121" s="601">
        <f t="shared" si="87"/>
        <v>0</v>
      </c>
      <c r="CH121" s="785">
        <f>$BM121*(1-$BR121)*Tables!$C$36</f>
        <v>0</v>
      </c>
      <c r="CI121" s="602">
        <f t="shared" si="88"/>
        <v>0</v>
      </c>
      <c r="CJ121" s="601">
        <f t="shared" si="89"/>
        <v>0</v>
      </c>
      <c r="CK121" s="304"/>
      <c r="CL121" s="304">
        <f t="shared" si="90"/>
        <v>2009</v>
      </c>
      <c r="CM121" s="1018">
        <f>INDEX(OperationalDetail,MATCH("Degraded Heat Rate",ODColumn,0),MATCH('Monthly Table'!CL121,ODRow,0))/1000</f>
        <v>12.0785236</v>
      </c>
      <c r="CN121" s="737">
        <f t="shared" si="69"/>
        <v>61.354529358790927</v>
      </c>
      <c r="CO121" s="1019">
        <f>IF(A121="January",(CO120*(1+Assumptions!$E$32)),CO120)</f>
        <v>8.0496953825266555</v>
      </c>
      <c r="CP121" s="741">
        <f t="shared" si="57"/>
        <v>69.404224741317577</v>
      </c>
      <c r="CQ121" s="304"/>
      <c r="CR121" s="575" t="str">
        <f t="shared" si="91"/>
        <v/>
      </c>
      <c r="CS121" s="575" t="str">
        <f t="shared" si="92"/>
        <v/>
      </c>
      <c r="CT121" s="575" t="str">
        <f t="shared" si="93"/>
        <v/>
      </c>
      <c r="CU121" s="575" t="str">
        <f t="shared" si="94"/>
        <v/>
      </c>
      <c r="CV121" s="575" t="str">
        <f t="shared" si="95"/>
        <v/>
      </c>
      <c r="CW121" s="576">
        <f t="shared" si="58"/>
        <v>2010</v>
      </c>
      <c r="CX121" s="787">
        <f>INDEX('NY Curve'!$A$4:$G$256,MATCH('Monthly Table'!B121,'NY Curve'!$A$4:$A$256,0),MATCH("New York 5 X 16",'NY Curve'!$A$4:$G$4,0))</f>
        <v>27.45</v>
      </c>
      <c r="CY121" s="632">
        <f t="shared" si="59"/>
        <v>1.3286577837537501</v>
      </c>
      <c r="CZ121" s="633">
        <f t="shared" si="60"/>
        <v>36.471656164040439</v>
      </c>
      <c r="DB121" s="857"/>
      <c r="DC121" s="857"/>
    </row>
    <row r="122" spans="1:107" ht="18.75" customHeight="1">
      <c r="A122" s="17" t="s">
        <v>440</v>
      </c>
      <c r="B122" s="508">
        <v>40269</v>
      </c>
      <c r="C122" s="43">
        <f t="shared" si="49"/>
        <v>2010</v>
      </c>
      <c r="D122" s="719">
        <f t="shared" si="96"/>
        <v>10</v>
      </c>
      <c r="E122" s="972">
        <v>22</v>
      </c>
      <c r="F122" s="971">
        <v>4</v>
      </c>
      <c r="G122" s="971">
        <v>4</v>
      </c>
      <c r="H122" s="971">
        <v>0</v>
      </c>
      <c r="I122" s="976">
        <f t="shared" si="70"/>
        <v>30</v>
      </c>
      <c r="J122" s="621"/>
      <c r="K122" s="572">
        <f>INDEX(FX!$A$3:$C$362,MATCH(B122,FX!$A$3:$A$362,0),MATCH("Monthly Curve",FX!$A$2:$C$2,0))</f>
        <v>1.3278472484124799</v>
      </c>
      <c r="L122" s="572"/>
      <c r="M122" s="1057">
        <v>3.0755000000000003</v>
      </c>
      <c r="N122" s="1067">
        <v>0.14499999999999999</v>
      </c>
      <c r="O122" s="877">
        <v>0.1</v>
      </c>
      <c r="P122" s="797">
        <f t="shared" si="51"/>
        <v>0.245</v>
      </c>
      <c r="Q122" s="732">
        <f t="shared" si="52"/>
        <v>3.3205000000000005</v>
      </c>
      <c r="R122" s="723">
        <f>IF(A122="January",(R121+R121*Assumptions!$E$32),R121)</f>
        <v>0.35891705132341606</v>
      </c>
      <c r="S122" s="730">
        <f t="shared" si="53"/>
        <v>4.7680338396770559</v>
      </c>
      <c r="T122" s="572"/>
      <c r="U122" s="509"/>
      <c r="V122" s="584"/>
      <c r="W122" s="584"/>
      <c r="X122" s="461"/>
      <c r="Y122" s="588">
        <f>Tables!$D$36</f>
        <v>312</v>
      </c>
      <c r="Z122" s="570">
        <f t="shared" si="54"/>
        <v>0</v>
      </c>
      <c r="AA122" s="592">
        <f t="shared" si="55"/>
        <v>0</v>
      </c>
      <c r="AB122" s="589">
        <f t="shared" si="50"/>
        <v>0</v>
      </c>
      <c r="AC122" s="462"/>
      <c r="AD122" s="1027">
        <f>IF(Tables!$E$30="Michigan",INDEX('Michigan Curve'!$A$4:$S$256,MATCH('Monthly Table'!B122,'Michigan Curve'!$A$4:$A$256,0),MATCH("Michigan Selected Option Value US$/month",'Michigan Curve'!$A$4:$S$4,0)),INDEX('NY Curve'!$A$4:$T$256,MATCH('Monthly Table'!B122,'NY Curve'!$A$4:$A$256,0),MATCH("New York Selected Option Value US$/month",'NY Curve'!$A$4:$T$4,0)))</f>
        <v>10062.839709658121</v>
      </c>
      <c r="AE122" s="601">
        <f t="shared" si="71"/>
        <v>13361.914019685375</v>
      </c>
      <c r="AF122" s="462"/>
      <c r="AG122" s="915"/>
      <c r="AH122" s="17"/>
      <c r="AI122" s="799">
        <f>Assumptions!$B$50</f>
        <v>65</v>
      </c>
      <c r="AJ122" s="743"/>
      <c r="AK122" s="924">
        <f>IF(Tables!$E$30="Custom",'Monthly Table'!AI122,IF(Tables!$E$30="New York",INDEX('NY Curve'!$A$4:$G$256,MATCH('Monthly Table'!B122,'NY Curve'!$A$4:$A$256,0),MATCH("Super Peak Curve",'NY Curve'!$A$4:$G$4,0)),IF(Tables!$E$30="New York Flat",INDEX('NY Curve'!$A$4:$G$256,MATCH('Monthly Table'!B122,'NY Curve'!$A$4:$A$256,0),MATCH("Flat NY West",'NY Curve'!$A$4:$G$4,0)),INDEX('Michigan Curve'!$A$4:$F$256,MATCH('Monthly Table'!B122,'Michigan Curve'!$A$4:$A$256,0),MATCH("Michigan Super Peak Curve US$/MWhr",'Michigan Curve'!$A$4:$F$4,0)))))</f>
        <v>28.25</v>
      </c>
      <c r="AL122" s="965">
        <f>IF(D122&lt;=Tables!$B$21,IF($AL$10=$AI$10,AI122,IF($AL$10=$AJ$10,AJ122,IF($AL$10=$AK$10,AK122,0))),0)</f>
        <v>28.25</v>
      </c>
      <c r="AM122" s="708">
        <f t="shared" si="72"/>
        <v>37.511684767652561</v>
      </c>
      <c r="AN122" s="916">
        <f t="shared" si="73"/>
        <v>0</v>
      </c>
      <c r="AO122" s="905"/>
      <c r="AP122" s="925"/>
      <c r="AQ122" s="926">
        <f>IF(Tables!$E$30="New York",INDEX('NY Curve'!$A$4:$L$256,MATCH('Monthly Table'!B122,'NY Curve'!$A$4:$A$256,0),MATCH("New York Shoulder Hour Curve Mon-Fri",'NY Curve'!$A$4:$L$4,0)),IF(Tables!$E$30="Michigan",INDEX('Michigan Curve'!$A$4:$K$256,MATCH('Monthly Table'!B122,'Michigan Curve'!$A$4:$A$256,0),MATCH("Michigan Shoulder Hour Curve Mon-Fri",'Michigan Curve'!$A$4:$K$4,0))))</f>
        <v>28.25</v>
      </c>
      <c r="AR122" s="708">
        <f t="shared" si="74"/>
        <v>37.511684767652561</v>
      </c>
      <c r="AS122" s="927">
        <f t="shared" si="61"/>
        <v>0</v>
      </c>
      <c r="AT122" s="462"/>
      <c r="AU122" s="926">
        <f>IF(Tables!$E$30="New York",INDEX('NY Curve'!$A$4:$L$256,MATCH('Monthly Table'!$B122,'NY Curve'!$A$4:$A$256,0),MATCH("New York Saturday Super Peak",'NY Curve'!$A$4:$L$4,0)),IF(Tables!$E$30="Michigan",INDEX('Michigan Curve'!$A$4:$K$256,MATCH('Monthly Table'!$B122,'Michigan Curve'!$A$4:$A$256,0),MATCH("Michigan Saturday Super Peak",'Michigan Curve'!$A$4:$K$4,0))))</f>
        <v>20</v>
      </c>
      <c r="AV122" s="925">
        <f t="shared" si="62"/>
        <v>26.556944968249599</v>
      </c>
      <c r="AW122" s="927">
        <f t="shared" si="63"/>
        <v>0</v>
      </c>
      <c r="AX122" s="926">
        <f>IF(Tables!$E$30="New York",INDEX('NY Curve'!$A$4:$L$256,MATCH('Monthly Table'!$B122,'NY Curve'!$A$4:$A$256,0),MATCH("New York Saturday Shoulder Peak",'NY Curve'!$A$4:$L$4,0)),IF(Tables!$E$30="Michigan",INDEX('Michigan Curve'!$A$4:$K$256,MATCH('Monthly Table'!$B122,'Michigan Curve'!$A$4:$A$256,0),MATCH("Michigan Saturday Shoulder Peak",'Michigan Curve'!$A$4:$K$4,0))))</f>
        <v>20</v>
      </c>
      <c r="AY122" s="934">
        <f t="shared" si="75"/>
        <v>26.556944968249599</v>
      </c>
      <c r="AZ122" s="927">
        <f t="shared" si="64"/>
        <v>0</v>
      </c>
      <c r="BA122" s="462"/>
      <c r="BB122" s="926">
        <f>IF(Tables!$E$30="New York",INDEX('NY Curve'!$A$4:$M$256,MATCH('Monthly Table'!$B122,'NY Curve'!$A$4:$A$256,0),MATCH("NY Sunday Super Peak",'NY Curve'!$A$4:$M$4,0)),IF(Tables!$E$30="Michigan",INDEX('Michigan Curve'!$A$4:$L$256,MATCH('Monthly Table'!$B122,'Michigan Curve'!$A$4:$A$256,0),MATCH("Michigan Sunday Super Peak",'Michigan Curve'!$A$4:$L$4,0))))</f>
        <v>18.995000839233398</v>
      </c>
      <c r="BC122" s="925">
        <f t="shared" si="76"/>
        <v>25.222459597968815</v>
      </c>
      <c r="BD122" s="927">
        <f t="shared" si="65"/>
        <v>0</v>
      </c>
      <c r="BE122" s="462"/>
      <c r="BF122" s="598">
        <f t="shared" si="56"/>
        <v>40269</v>
      </c>
      <c r="BG122" s="583">
        <f t="shared" si="77"/>
        <v>0</v>
      </c>
      <c r="BH122" s="764">
        <f>IF(Tables!$B$36="Combined Cycle",(BF122-BF121)*24*Assumptions!$B$21,0)</f>
        <v>0</v>
      </c>
      <c r="BI122" s="315">
        <f t="shared" si="78"/>
        <v>0</v>
      </c>
      <c r="BJ122" s="987">
        <f>IF('Monthly Table'!D122&lt;=Tables!$B$21,IF($BJ$10=$BG$10,BG122,IF($BJ$10=$BH$10,BH122,IF($BJ$10=$BI$10,BI122,0))),0)</f>
        <v>0</v>
      </c>
      <c r="BK122" s="43"/>
      <c r="BL122" s="987">
        <f t="shared" si="79"/>
        <v>0</v>
      </c>
      <c r="BM122" s="987">
        <f t="shared" si="80"/>
        <v>0</v>
      </c>
      <c r="BO122" s="987">
        <f t="shared" si="66"/>
        <v>0</v>
      </c>
      <c r="BP122" s="987">
        <f t="shared" si="81"/>
        <v>0</v>
      </c>
      <c r="BR122" s="993">
        <f>IF(BJ122&gt;0,INDEX(OperationalDetail,MATCH("Capacity Degradation",ODColumn,0),MATCH('Monthly Table'!C122,ODRow,0)),0)</f>
        <v>0</v>
      </c>
      <c r="BS122" s="994">
        <f>BJ122*(1-BR122)*Tables!$C$36</f>
        <v>0</v>
      </c>
      <c r="BT122" s="601">
        <f t="shared" si="67"/>
        <v>0</v>
      </c>
      <c r="BU122" s="601">
        <f t="shared" si="68"/>
        <v>0</v>
      </c>
      <c r="BV122" s="462"/>
      <c r="BW122" s="785">
        <f>$BO122*(1-$BR122)*Tables!$C$36</f>
        <v>0</v>
      </c>
      <c r="BX122" s="602">
        <f t="shared" si="82"/>
        <v>0</v>
      </c>
      <c r="BY122" s="601">
        <f t="shared" si="83"/>
        <v>0</v>
      </c>
      <c r="BZ122" s="462"/>
      <c r="CA122" s="785">
        <f>$BL122*(1-$BR122)*Tables!$C$36</f>
        <v>0</v>
      </c>
      <c r="CB122" s="602">
        <f t="shared" si="84"/>
        <v>0</v>
      </c>
      <c r="CC122" s="601">
        <f t="shared" si="85"/>
        <v>0</v>
      </c>
      <c r="CD122" s="785">
        <f>$BP122*(1-$BR122)*Tables!$C$36</f>
        <v>0</v>
      </c>
      <c r="CE122" s="602">
        <f t="shared" si="86"/>
        <v>0</v>
      </c>
      <c r="CF122" s="601">
        <f t="shared" si="87"/>
        <v>0</v>
      </c>
      <c r="CH122" s="785">
        <f>$BM122*(1-$BR122)*Tables!$C$36</f>
        <v>0</v>
      </c>
      <c r="CI122" s="602">
        <f t="shared" si="88"/>
        <v>0</v>
      </c>
      <c r="CJ122" s="601">
        <f t="shared" si="89"/>
        <v>0</v>
      </c>
      <c r="CK122" s="304"/>
      <c r="CL122" s="304">
        <f t="shared" si="90"/>
        <v>2009</v>
      </c>
      <c r="CM122" s="1018">
        <f>INDEX(OperationalDetail,MATCH("Degraded Heat Rate",ODColumn,0),MATCH('Monthly Table'!CL122,ODRow,0))/1000</f>
        <v>12.0785236</v>
      </c>
      <c r="CN122" s="737">
        <f t="shared" si="69"/>
        <v>57.590809258137938</v>
      </c>
      <c r="CO122" s="1019">
        <f>IF(A122="January",(CO121*(1+Assumptions!$E$32)),CO121)</f>
        <v>8.0496953825266555</v>
      </c>
      <c r="CP122" s="741">
        <f t="shared" si="57"/>
        <v>65.640504640664588</v>
      </c>
      <c r="CQ122" s="304"/>
      <c r="CR122" s="575" t="str">
        <f t="shared" si="91"/>
        <v/>
      </c>
      <c r="CS122" s="575" t="str">
        <f t="shared" si="92"/>
        <v/>
      </c>
      <c r="CT122" s="575" t="str">
        <f t="shared" si="93"/>
        <v/>
      </c>
      <c r="CU122" s="575" t="str">
        <f t="shared" si="94"/>
        <v/>
      </c>
      <c r="CV122" s="575" t="str">
        <f t="shared" si="95"/>
        <v/>
      </c>
      <c r="CW122" s="576">
        <f t="shared" si="58"/>
        <v>2010</v>
      </c>
      <c r="CX122" s="787">
        <f>INDEX('NY Curve'!$A$4:$G$256,MATCH('Monthly Table'!B122,'NY Curve'!$A$4:$A$256,0),MATCH("New York 5 X 16",'NY Curve'!$A$4:$G$4,0))</f>
        <v>26.2</v>
      </c>
      <c r="CY122" s="632">
        <f t="shared" si="59"/>
        <v>1.3278472484124799</v>
      </c>
      <c r="CZ122" s="633">
        <f t="shared" si="60"/>
        <v>34.789597908406975</v>
      </c>
      <c r="DB122" s="857"/>
      <c r="DC122" s="857"/>
    </row>
    <row r="123" spans="1:107" ht="18.75" customHeight="1">
      <c r="A123" s="17" t="s">
        <v>441</v>
      </c>
      <c r="B123" s="508">
        <v>40299</v>
      </c>
      <c r="C123" s="43">
        <f t="shared" si="49"/>
        <v>2010</v>
      </c>
      <c r="D123" s="719">
        <f t="shared" si="96"/>
        <v>10</v>
      </c>
      <c r="E123" s="972">
        <v>20</v>
      </c>
      <c r="F123" s="971">
        <v>5</v>
      </c>
      <c r="G123" s="971">
        <v>5</v>
      </c>
      <c r="H123" s="971">
        <v>1</v>
      </c>
      <c r="I123" s="976">
        <f t="shared" si="70"/>
        <v>31</v>
      </c>
      <c r="J123" s="621"/>
      <c r="K123" s="572">
        <f>INDEX(FX!$A$3:$C$362,MATCH(B123,FX!$A$3:$A$362,0),MATCH("Monthly Curve",FX!$A$2:$C$2,0))</f>
        <v>1.32699214528549</v>
      </c>
      <c r="L123" s="572"/>
      <c r="M123" s="1070">
        <v>3.0495000000000001</v>
      </c>
      <c r="N123" s="1071">
        <v>0.14499999999999999</v>
      </c>
      <c r="O123" s="877">
        <v>0.1</v>
      </c>
      <c r="P123" s="797">
        <f t="shared" si="51"/>
        <v>0.245</v>
      </c>
      <c r="Q123" s="732">
        <f t="shared" si="52"/>
        <v>3.2945000000000002</v>
      </c>
      <c r="R123" s="723">
        <f>IF(A123="January",(R122+R122*Assumptions!$E$32),R122)</f>
        <v>0.35891705132341606</v>
      </c>
      <c r="S123" s="730">
        <f t="shared" si="53"/>
        <v>4.7306926739664625</v>
      </c>
      <c r="T123" s="572"/>
      <c r="U123" s="509"/>
      <c r="V123" s="584"/>
      <c r="W123" s="584"/>
      <c r="X123" s="461"/>
      <c r="Y123" s="588">
        <f>Tables!$D$36</f>
        <v>312</v>
      </c>
      <c r="Z123" s="570">
        <f t="shared" si="54"/>
        <v>0</v>
      </c>
      <c r="AA123" s="592">
        <f t="shared" si="55"/>
        <v>0</v>
      </c>
      <c r="AB123" s="589">
        <f t="shared" si="50"/>
        <v>0</v>
      </c>
      <c r="AC123" s="462"/>
      <c r="AD123" s="1027">
        <f>IF(Tables!$E$30="Michigan",INDEX('Michigan Curve'!$A$4:$S$256,MATCH('Monthly Table'!B123,'Michigan Curve'!$A$4:$A$256,0),MATCH("Michigan Selected Option Value US$/month",'Michigan Curve'!$A$4:$S$4,0)),INDEX('NY Curve'!$A$4:$T$256,MATCH('Monthly Table'!B123,'NY Curve'!$A$4:$A$256,0),MATCH("New York Selected Option Value US$/month",'NY Curve'!$A$4:$T$4,0)))</f>
        <v>21770.229148129874</v>
      </c>
      <c r="AE123" s="601">
        <f t="shared" si="71"/>
        <v>28888.923080633569</v>
      </c>
      <c r="AF123" s="462"/>
      <c r="AG123" s="915"/>
      <c r="AH123" s="17"/>
      <c r="AI123" s="799">
        <f>Assumptions!$B$50</f>
        <v>65</v>
      </c>
      <c r="AJ123" s="743"/>
      <c r="AK123" s="924">
        <f>IF(Tables!$E$30="Custom",'Monthly Table'!AI123,IF(Tables!$E$30="New York",INDEX('NY Curve'!$A$4:$G$256,MATCH('Monthly Table'!B123,'NY Curve'!$A$4:$A$256,0),MATCH("Super Peak Curve",'NY Curve'!$A$4:$G$4,0)),IF(Tables!$E$30="New York Flat",INDEX('NY Curve'!$A$4:$G$256,MATCH('Monthly Table'!B123,'NY Curve'!$A$4:$A$256,0),MATCH("Flat NY West",'NY Curve'!$A$4:$G$4,0)),INDEX('Michigan Curve'!$A$4:$F$256,MATCH('Monthly Table'!B123,'Michigan Curve'!$A$4:$A$256,0),MATCH("Michigan Super Peak Curve US$/MWhr",'Michigan Curve'!$A$4:$F$4,0)))))</f>
        <v>34.440000057220459</v>
      </c>
      <c r="AL123" s="965">
        <f>IF(D123&lt;=Tables!$B$21,IF($AL$10=$AI$10,AI123,IF($AL$10=$AJ$10,AJ123,IF($AL$10=$AK$10,AK123,0))),0)</f>
        <v>34.440000057220459</v>
      </c>
      <c r="AM123" s="708">
        <f t="shared" si="72"/>
        <v>45.701609559563373</v>
      </c>
      <c r="AN123" s="916">
        <f t="shared" si="73"/>
        <v>0</v>
      </c>
      <c r="AO123" s="905"/>
      <c r="AP123" s="925"/>
      <c r="AQ123" s="926">
        <f>IF(Tables!$E$30="New York",INDEX('NY Curve'!$A$4:$L$256,MATCH('Monthly Table'!B123,'NY Curve'!$A$4:$A$256,0),MATCH("New York Shoulder Hour Curve Mon-Fri",'NY Curve'!$A$4:$L$4,0)),IF(Tables!$E$30="Michigan",INDEX('Michigan Curve'!$A$4:$K$256,MATCH('Monthly Table'!B123,'Michigan Curve'!$A$4:$A$256,0),MATCH("Michigan Shoulder Hour Curve Mon-Fri",'Michigan Curve'!$A$4:$K$4,0))))</f>
        <v>29.559999942779541</v>
      </c>
      <c r="AR123" s="708">
        <f t="shared" si="74"/>
        <v>39.225887738707989</v>
      </c>
      <c r="AS123" s="927">
        <f t="shared" si="61"/>
        <v>0</v>
      </c>
      <c r="AT123" s="462"/>
      <c r="AU123" s="926">
        <f>IF(Tables!$E$30="New York",INDEX('NY Curve'!$A$4:$L$256,MATCH('Monthly Table'!$B123,'NY Curve'!$A$4:$A$256,0),MATCH("New York Saturday Super Peak",'NY Curve'!$A$4:$L$4,0)),IF(Tables!$E$30="Michigan",INDEX('Michigan Curve'!$A$4:$K$256,MATCH('Monthly Table'!$B123,'Michigan Curve'!$A$4:$A$256,0),MATCH("Michigan Saturday Super Peak",'Michigan Curve'!$A$4:$K$4,0))))</f>
        <v>22.601250037550926</v>
      </c>
      <c r="AV123" s="925">
        <f t="shared" si="62"/>
        <v>29.991681273463467</v>
      </c>
      <c r="AW123" s="927">
        <f t="shared" si="63"/>
        <v>0</v>
      </c>
      <c r="AX123" s="926">
        <f>IF(Tables!$E$30="New York",INDEX('NY Curve'!$A$4:$L$256,MATCH('Monthly Table'!$B123,'NY Curve'!$A$4:$A$256,0),MATCH("New York Saturday Shoulder Peak",'NY Curve'!$A$4:$L$4,0)),IF(Tables!$E$30="Michigan",INDEX('Michigan Curve'!$A$4:$K$256,MATCH('Monthly Table'!$B123,'Michigan Curve'!$A$4:$A$256,0),MATCH("Michigan Saturday Shoulder Peak",'Michigan Curve'!$A$4:$K$4,0))))</f>
        <v>19.398749962449074</v>
      </c>
      <c r="AY123" s="934">
        <f t="shared" si="75"/>
        <v>25.741988828527116</v>
      </c>
      <c r="AZ123" s="927">
        <f t="shared" si="64"/>
        <v>0</v>
      </c>
      <c r="BA123" s="462"/>
      <c r="BB123" s="926">
        <f>IF(Tables!$E$30="New York",INDEX('NY Curve'!$A$4:$M$256,MATCH('Monthly Table'!$B123,'NY Curve'!$A$4:$A$256,0),MATCH("NY Sunday Super Peak",'NY Curve'!$A$4:$M$4,0)),IF(Tables!$E$30="Michigan",INDEX('Michigan Curve'!$A$4:$L$256,MATCH('Monthly Table'!$B123,'Michigan Curve'!$A$4:$A$256,0),MATCH("Michigan Sunday Super Peak",'Michigan Curve'!$A$4:$L$4,0))))</f>
        <v>21.530380382546781</v>
      </c>
      <c r="BC123" s="925">
        <f t="shared" si="76"/>
        <v>28.570645652648384</v>
      </c>
      <c r="BD123" s="927">
        <f t="shared" si="65"/>
        <v>0</v>
      </c>
      <c r="BE123" s="462"/>
      <c r="BF123" s="598">
        <f t="shared" si="56"/>
        <v>40299</v>
      </c>
      <c r="BG123" s="583">
        <f t="shared" si="77"/>
        <v>0</v>
      </c>
      <c r="BH123" s="764">
        <f>IF(Tables!$B$36="Combined Cycle",(BF123-BF122)*24*Assumptions!$B$21,0)</f>
        <v>0</v>
      </c>
      <c r="BI123" s="315">
        <f t="shared" si="78"/>
        <v>0</v>
      </c>
      <c r="BJ123" s="987">
        <f>IF('Monthly Table'!D123&lt;=Tables!$B$21,IF($BJ$10=$BG$10,BG123,IF($BJ$10=$BH$10,BH123,IF($BJ$10=$BI$10,BI123,0))),0)</f>
        <v>0</v>
      </c>
      <c r="BK123" s="43"/>
      <c r="BL123" s="987">
        <f t="shared" si="79"/>
        <v>0</v>
      </c>
      <c r="BM123" s="987">
        <f t="shared" si="80"/>
        <v>0</v>
      </c>
      <c r="BO123" s="987">
        <f t="shared" si="66"/>
        <v>0</v>
      </c>
      <c r="BP123" s="987">
        <f t="shared" si="81"/>
        <v>0</v>
      </c>
      <c r="BR123" s="993">
        <f>IF(BJ123&gt;0,INDEX(OperationalDetail,MATCH("Capacity Degradation",ODColumn,0),MATCH('Monthly Table'!C123,ODRow,0)),0)</f>
        <v>0</v>
      </c>
      <c r="BS123" s="994">
        <f>BJ123*(1-BR123)*Tables!$C$36</f>
        <v>0</v>
      </c>
      <c r="BT123" s="601">
        <f t="shared" si="67"/>
        <v>0</v>
      </c>
      <c r="BU123" s="601">
        <f t="shared" si="68"/>
        <v>0</v>
      </c>
      <c r="BV123" s="462"/>
      <c r="BW123" s="785">
        <f>$BO123*(1-$BR123)*Tables!$C$36</f>
        <v>0</v>
      </c>
      <c r="BX123" s="602">
        <f t="shared" si="82"/>
        <v>0</v>
      </c>
      <c r="BY123" s="601">
        <f t="shared" si="83"/>
        <v>0</v>
      </c>
      <c r="BZ123" s="462"/>
      <c r="CA123" s="785">
        <f>$BL123*(1-$BR123)*Tables!$C$36</f>
        <v>0</v>
      </c>
      <c r="CB123" s="602">
        <f t="shared" si="84"/>
        <v>0</v>
      </c>
      <c r="CC123" s="601">
        <f t="shared" si="85"/>
        <v>0</v>
      </c>
      <c r="CD123" s="785">
        <f>$BP123*(1-$BR123)*Tables!$C$36</f>
        <v>0</v>
      </c>
      <c r="CE123" s="602">
        <f t="shared" si="86"/>
        <v>0</v>
      </c>
      <c r="CF123" s="601">
        <f t="shared" si="87"/>
        <v>0</v>
      </c>
      <c r="CH123" s="785">
        <f>$BM123*(1-$BR123)*Tables!$C$36</f>
        <v>0</v>
      </c>
      <c r="CI123" s="602">
        <f t="shared" si="88"/>
        <v>0</v>
      </c>
      <c r="CJ123" s="601">
        <f t="shared" si="89"/>
        <v>0</v>
      </c>
      <c r="CK123" s="304"/>
      <c r="CL123" s="304">
        <f t="shared" si="90"/>
        <v>2009</v>
      </c>
      <c r="CM123" s="1018">
        <f>INDEX(OperationalDetail,MATCH("Degraded Heat Rate",ODColumn,0),MATCH('Monthly Table'!CL123,ODRow,0))/1000</f>
        <v>12.0785236</v>
      </c>
      <c r="CN123" s="737">
        <f t="shared" si="69"/>
        <v>57.139783106851027</v>
      </c>
      <c r="CO123" s="1019">
        <f>IF(A123="January",(CO122*(1+Assumptions!$E$32)),CO122)</f>
        <v>8.0496953825266555</v>
      </c>
      <c r="CP123" s="741">
        <f t="shared" si="57"/>
        <v>65.189478489377677</v>
      </c>
      <c r="CQ123" s="304"/>
      <c r="CR123" s="575" t="str">
        <f t="shared" si="91"/>
        <v/>
      </c>
      <c r="CS123" s="575" t="str">
        <f t="shared" si="92"/>
        <v/>
      </c>
      <c r="CT123" s="575" t="str">
        <f t="shared" si="93"/>
        <v/>
      </c>
      <c r="CU123" s="575" t="str">
        <f t="shared" si="94"/>
        <v/>
      </c>
      <c r="CV123" s="575" t="str">
        <f t="shared" si="95"/>
        <v/>
      </c>
      <c r="CW123" s="576">
        <f t="shared" si="58"/>
        <v>2010</v>
      </c>
      <c r="CX123" s="787">
        <f>INDEX('NY Curve'!$A$4:$G$256,MATCH('Monthly Table'!B123,'NY Curve'!$A$4:$A$256,0),MATCH("New York 5 X 16",'NY Curve'!$A$4:$G$4,0))</f>
        <v>30.65</v>
      </c>
      <c r="CY123" s="632">
        <f t="shared" si="59"/>
        <v>1.32699214528549</v>
      </c>
      <c r="CZ123" s="633">
        <f t="shared" si="60"/>
        <v>40.672309253000265</v>
      </c>
      <c r="DB123" s="857"/>
      <c r="DC123" s="857"/>
    </row>
    <row r="124" spans="1:107" ht="18.75" customHeight="1">
      <c r="A124" s="17" t="s">
        <v>442</v>
      </c>
      <c r="B124" s="508">
        <v>40330</v>
      </c>
      <c r="C124" s="43">
        <f t="shared" si="49"/>
        <v>2010</v>
      </c>
      <c r="D124" s="719">
        <f t="shared" si="96"/>
        <v>10</v>
      </c>
      <c r="E124" s="972">
        <v>22</v>
      </c>
      <c r="F124" s="971">
        <v>4</v>
      </c>
      <c r="G124" s="971">
        <v>4</v>
      </c>
      <c r="H124" s="971">
        <v>0</v>
      </c>
      <c r="I124" s="976">
        <f t="shared" si="70"/>
        <v>30</v>
      </c>
      <c r="J124" s="621"/>
      <c r="K124" s="572">
        <f>INDEX(FX!$A$3:$C$362,MATCH(B124,FX!$A$3:$A$362,0),MATCH("Monthly Curve",FX!$A$2:$C$2,0))</f>
        <v>1.3260957409287499</v>
      </c>
      <c r="L124" s="572"/>
      <c r="M124" s="1070">
        <v>3.0585000000000004</v>
      </c>
      <c r="N124" s="1071">
        <v>0.14499999999999999</v>
      </c>
      <c r="O124" s="877">
        <v>0.1</v>
      </c>
      <c r="P124" s="797">
        <f t="shared" si="51"/>
        <v>0.245</v>
      </c>
      <c r="Q124" s="732">
        <f t="shared" si="52"/>
        <v>3.3035000000000005</v>
      </c>
      <c r="R124" s="723">
        <f>IF(A124="January",(R123+R123*Assumptions!$E$32),R123)</f>
        <v>0.35891705132341606</v>
      </c>
      <c r="S124" s="730">
        <f t="shared" si="53"/>
        <v>4.7396743314815417</v>
      </c>
      <c r="T124" s="572"/>
      <c r="U124" s="509"/>
      <c r="V124" s="584"/>
      <c r="W124" s="584"/>
      <c r="X124" s="461"/>
      <c r="Y124" s="588">
        <f>Tables!$D$36</f>
        <v>312</v>
      </c>
      <c r="Z124" s="570">
        <f t="shared" si="54"/>
        <v>0</v>
      </c>
      <c r="AA124" s="592">
        <f t="shared" si="55"/>
        <v>0</v>
      </c>
      <c r="AB124" s="589">
        <f t="shared" si="50"/>
        <v>0</v>
      </c>
      <c r="AC124" s="462"/>
      <c r="AD124" s="1027">
        <f>IF(Tables!$E$30="Michigan",INDEX('Michigan Curve'!$A$4:$S$256,MATCH('Monthly Table'!B124,'Michigan Curve'!$A$4:$A$256,0),MATCH("Michigan Selected Option Value US$/month",'Michigan Curve'!$A$4:$S$4,0)),INDEX('NY Curve'!$A$4:$T$256,MATCH('Monthly Table'!B124,'NY Curve'!$A$4:$A$256,0),MATCH("New York Selected Option Value US$/month",'NY Curve'!$A$4:$T$4,0)))</f>
        <v>103169.65031432617</v>
      </c>
      <c r="AE124" s="601">
        <f t="shared" si="71"/>
        <v>136812.83387493639</v>
      </c>
      <c r="AF124" s="462"/>
      <c r="AG124" s="915"/>
      <c r="AH124" s="17"/>
      <c r="AI124" s="799">
        <f>Assumptions!$B$50</f>
        <v>65</v>
      </c>
      <c r="AJ124" s="743"/>
      <c r="AK124" s="924">
        <f>IF(Tables!$E$30="Custom",'Monthly Table'!AI124,IF(Tables!$E$30="New York",INDEX('NY Curve'!$A$4:$G$256,MATCH('Monthly Table'!B124,'NY Curve'!$A$4:$A$256,0),MATCH("Super Peak Curve",'NY Curve'!$A$4:$G$4,0)),IF(Tables!$E$30="New York Flat",INDEX('NY Curve'!$A$4:$G$256,MATCH('Monthly Table'!B124,'NY Curve'!$A$4:$A$256,0),MATCH("Flat NY West",'NY Curve'!$A$4:$G$4,0)),INDEX('Michigan Curve'!$A$4:$F$256,MATCH('Monthly Table'!B124,'Michigan Curve'!$A$4:$A$256,0),MATCH("Michigan Super Peak Curve US$/MWhr",'Michigan Curve'!$A$4:$F$4,0)))))</f>
        <v>79.843217486604971</v>
      </c>
      <c r="AL124" s="965">
        <f>IF(D124&lt;=Tables!$B$21,IF($AL$10=$AI$10,AI124,IF($AL$10=$AJ$10,AJ124,IF($AL$10=$AK$10,AK124,0))),0)</f>
        <v>79.843217486604971</v>
      </c>
      <c r="AM124" s="708">
        <f t="shared" si="72"/>
        <v>105.87975065103474</v>
      </c>
      <c r="AN124" s="916">
        <f t="shared" si="73"/>
        <v>1</v>
      </c>
      <c r="AO124" s="905"/>
      <c r="AP124" s="925"/>
      <c r="AQ124" s="926">
        <f>IF(Tables!$E$30="New York",INDEX('NY Curve'!$A$4:$L$256,MATCH('Monthly Table'!B124,'NY Curve'!$A$4:$A$256,0),MATCH("New York Shoulder Hour Curve Mon-Fri",'NY Curve'!$A$4:$L$4,0)),IF(Tables!$E$30="Michigan",INDEX('Michigan Curve'!$A$4:$K$256,MATCH('Monthly Table'!B124,'Michigan Curve'!$A$4:$A$256,0),MATCH("Michigan Shoulder Hour Curve Mon-Fri",'Michigan Curve'!$A$4:$K$4,0))))</f>
        <v>22.656782513395033</v>
      </c>
      <c r="AR124" s="708">
        <f t="shared" si="74"/>
        <v>30.045062794162131</v>
      </c>
      <c r="AS124" s="927">
        <f t="shared" si="61"/>
        <v>0</v>
      </c>
      <c r="AT124" s="462"/>
      <c r="AU124" s="926">
        <f>IF(Tables!$E$30="New York",INDEX('NY Curve'!$A$4:$L$256,MATCH('Monthly Table'!$B124,'NY Curve'!$A$4:$A$256,0),MATCH("New York Saturday Super Peak",'NY Curve'!$A$4:$L$4,0)),IF(Tables!$E$30="Michigan",INDEX('Michigan Curve'!$A$4:$K$256,MATCH('Monthly Table'!$B124,'Michigan Curve'!$A$4:$A$256,0),MATCH("Michigan Saturday Super Peak",'Michigan Curve'!$A$4:$K$4,0))))</f>
        <v>40.505827407838616</v>
      </c>
      <c r="AV124" s="925">
        <f t="shared" si="62"/>
        <v>53.714605208329814</v>
      </c>
      <c r="AW124" s="927">
        <f t="shared" si="63"/>
        <v>0</v>
      </c>
      <c r="AX124" s="926">
        <f>IF(Tables!$E$30="New York",INDEX('NY Curve'!$A$4:$L$256,MATCH('Monthly Table'!$B124,'NY Curve'!$A$4:$A$256,0),MATCH("New York Saturday Shoulder Peak",'NY Curve'!$A$4:$L$4,0)),IF(Tables!$E$30="Michigan",INDEX('Michigan Curve'!$A$4:$K$256,MATCH('Monthly Table'!$B124,'Michigan Curve'!$A$4:$A$256,0),MATCH("Michigan Saturday Shoulder Peak",'Michigan Curve'!$A$4:$K$4,0))))</f>
        <v>11.494172592161382</v>
      </c>
      <c r="AY124" s="934">
        <f t="shared" si="75"/>
        <v>15.242373319965179</v>
      </c>
      <c r="AZ124" s="927">
        <f t="shared" si="64"/>
        <v>0</v>
      </c>
      <c r="BA124" s="462"/>
      <c r="BB124" s="926">
        <f>IF(Tables!$E$30="New York",INDEX('NY Curve'!$A$4:$M$256,MATCH('Monthly Table'!$B124,'NY Curve'!$A$4:$A$256,0),MATCH("NY Sunday Super Peak",'NY Curve'!$A$4:$M$4,0)),IF(Tables!$E$30="Michigan",INDEX('Michigan Curve'!$A$4:$L$256,MATCH('Monthly Table'!$B124,'Michigan Curve'!$A$4:$A$256,0),MATCH("Michigan Sunday Super Peak",'Michigan Curve'!$A$4:$L$4,0))))</f>
        <v>37.38999453031257</v>
      </c>
      <c r="BC124" s="925">
        <f t="shared" si="76"/>
        <v>49.582712499996752</v>
      </c>
      <c r="BD124" s="927">
        <f t="shared" si="65"/>
        <v>0</v>
      </c>
      <c r="BE124" s="462"/>
      <c r="BF124" s="598">
        <f t="shared" si="56"/>
        <v>40330</v>
      </c>
      <c r="BG124" s="583">
        <f t="shared" si="77"/>
        <v>176</v>
      </c>
      <c r="BH124" s="764">
        <f>IF(Tables!$B$36="Combined Cycle",(BF124-BF123)*24*Assumptions!$B$21,0)</f>
        <v>0</v>
      </c>
      <c r="BI124" s="315">
        <f t="shared" si="78"/>
        <v>176</v>
      </c>
      <c r="BJ124" s="987">
        <f>IF('Monthly Table'!D124&lt;=Tables!$B$21,IF($BJ$10=$BG$10,BG124,IF($BJ$10=$BH$10,BH124,IF($BJ$10=$BI$10,BI124,0))),0)</f>
        <v>176</v>
      </c>
      <c r="BK124" s="43"/>
      <c r="BL124" s="987">
        <f t="shared" si="79"/>
        <v>0</v>
      </c>
      <c r="BM124" s="987">
        <f t="shared" si="80"/>
        <v>0</v>
      </c>
      <c r="BO124" s="987">
        <f t="shared" si="66"/>
        <v>0</v>
      </c>
      <c r="BP124" s="987">
        <f t="shared" si="81"/>
        <v>0</v>
      </c>
      <c r="BR124" s="993">
        <f>IF(BJ124&gt;0,INDEX(OperationalDetail,MATCH("Capacity Degradation",ODColumn,0),MATCH('Monthly Table'!C124,ODRow,0)),0)</f>
        <v>1.2500000000000001E-2</v>
      </c>
      <c r="BS124" s="994">
        <f>BJ124*(1-BR124)*Tables!$C$36</f>
        <v>56311.200000000004</v>
      </c>
      <c r="BT124" s="601">
        <f t="shared" si="67"/>
        <v>4496.0673885317101</v>
      </c>
      <c r="BU124" s="601">
        <f t="shared" si="68"/>
        <v>5962.2158148605477</v>
      </c>
      <c r="BV124" s="462"/>
      <c r="BW124" s="785">
        <f>$BO124*(1-$BR124)*Tables!$C$36</f>
        <v>0</v>
      </c>
      <c r="BX124" s="602">
        <f t="shared" si="82"/>
        <v>0</v>
      </c>
      <c r="BY124" s="601">
        <f t="shared" si="83"/>
        <v>0</v>
      </c>
      <c r="BZ124" s="462"/>
      <c r="CA124" s="785">
        <f>$BL124*(1-$BR124)*Tables!$C$36</f>
        <v>0</v>
      </c>
      <c r="CB124" s="602">
        <f t="shared" si="84"/>
        <v>0</v>
      </c>
      <c r="CC124" s="601">
        <f t="shared" si="85"/>
        <v>0</v>
      </c>
      <c r="CD124" s="785">
        <f>$BP124*(1-$BR124)*Tables!$C$36</f>
        <v>0</v>
      </c>
      <c r="CE124" s="602">
        <f t="shared" si="86"/>
        <v>0</v>
      </c>
      <c r="CF124" s="601">
        <f t="shared" si="87"/>
        <v>0</v>
      </c>
      <c r="CH124" s="785">
        <f>$BM124*(1-$BR124)*Tables!$C$36</f>
        <v>0</v>
      </c>
      <c r="CI124" s="602">
        <f t="shared" si="88"/>
        <v>0</v>
      </c>
      <c r="CJ124" s="601">
        <f t="shared" si="89"/>
        <v>0</v>
      </c>
      <c r="CK124" s="304"/>
      <c r="CL124" s="304">
        <f t="shared" si="90"/>
        <v>2009</v>
      </c>
      <c r="CM124" s="1018">
        <f>INDEX(OperationalDetail,MATCH("Degraded Heat Rate",ODColumn,0),MATCH('Monthly Table'!CL124,ODRow,0))/1000</f>
        <v>12.0785236</v>
      </c>
      <c r="CN124" s="737">
        <f t="shared" si="69"/>
        <v>57.248268269114028</v>
      </c>
      <c r="CO124" s="1019">
        <f>IF(A124="January",(CO123*(1+Assumptions!$E$32)),CO123)</f>
        <v>8.0496953825266555</v>
      </c>
      <c r="CP124" s="741">
        <f t="shared" si="57"/>
        <v>65.297963651640686</v>
      </c>
      <c r="CQ124" s="304"/>
      <c r="CR124" s="575">
        <f t="shared" si="91"/>
        <v>2010</v>
      </c>
      <c r="CS124" s="575" t="str">
        <f t="shared" si="92"/>
        <v/>
      </c>
      <c r="CT124" s="575" t="str">
        <f t="shared" si="93"/>
        <v/>
      </c>
      <c r="CU124" s="575" t="str">
        <f t="shared" si="94"/>
        <v/>
      </c>
      <c r="CV124" s="575" t="str">
        <f t="shared" si="95"/>
        <v/>
      </c>
      <c r="CW124" s="576">
        <f t="shared" si="58"/>
        <v>2010</v>
      </c>
      <c r="CX124" s="787">
        <f>INDEX('NY Curve'!$A$4:$G$256,MATCH('Monthly Table'!B124,'NY Curve'!$A$4:$A$256,0),MATCH("New York 5 X 16",'NY Curve'!$A$4:$G$4,0))</f>
        <v>51.25</v>
      </c>
      <c r="CY124" s="632">
        <f t="shared" si="59"/>
        <v>1.3260957409287499</v>
      </c>
      <c r="CZ124" s="633">
        <f t="shared" si="60"/>
        <v>67.962406722598431</v>
      </c>
      <c r="DB124" s="857"/>
      <c r="DC124" s="857"/>
    </row>
    <row r="125" spans="1:107" ht="18.75" customHeight="1">
      <c r="A125" s="17" t="s">
        <v>443</v>
      </c>
      <c r="B125" s="508">
        <v>40360</v>
      </c>
      <c r="C125" s="43">
        <f t="shared" si="49"/>
        <v>2010</v>
      </c>
      <c r="D125" s="719">
        <f t="shared" si="96"/>
        <v>10</v>
      </c>
      <c r="E125" s="972">
        <v>21</v>
      </c>
      <c r="F125" s="971">
        <v>5</v>
      </c>
      <c r="G125" s="971">
        <v>4</v>
      </c>
      <c r="H125" s="971">
        <v>1</v>
      </c>
      <c r="I125" s="976">
        <f t="shared" si="70"/>
        <v>31</v>
      </c>
      <c r="J125" s="621"/>
      <c r="K125" s="572">
        <f>INDEX(FX!$A$3:$C$362,MATCH(B125,FX!$A$3:$A$362,0),MATCH("Monthly Curve",FX!$A$2:$C$2,0))</f>
        <v>1.32523064924762</v>
      </c>
      <c r="L125" s="572"/>
      <c r="M125" s="1070">
        <v>3.0674999999999999</v>
      </c>
      <c r="N125" s="1071">
        <v>0.14499999999999999</v>
      </c>
      <c r="O125" s="877">
        <v>0.1</v>
      </c>
      <c r="P125" s="797">
        <f t="shared" si="51"/>
        <v>0.245</v>
      </c>
      <c r="Q125" s="732">
        <f t="shared" si="52"/>
        <v>3.3125</v>
      </c>
      <c r="R125" s="723">
        <f>IF(A125="January",(R124+R124*Assumptions!$E$32),R124)</f>
        <v>0.35891705132341606</v>
      </c>
      <c r="S125" s="730">
        <f t="shared" si="53"/>
        <v>4.7487435769561568</v>
      </c>
      <c r="T125" s="572"/>
      <c r="U125" s="509"/>
      <c r="V125" s="584"/>
      <c r="W125" s="584"/>
      <c r="X125" s="461"/>
      <c r="Y125" s="588">
        <f>Tables!$D$36</f>
        <v>312</v>
      </c>
      <c r="Z125" s="570">
        <f t="shared" si="54"/>
        <v>0</v>
      </c>
      <c r="AA125" s="592">
        <f t="shared" si="55"/>
        <v>0</v>
      </c>
      <c r="AB125" s="589">
        <f t="shared" si="50"/>
        <v>0</v>
      </c>
      <c r="AC125" s="462"/>
      <c r="AD125" s="1027">
        <f>IF(Tables!$E$30="Michigan",INDEX('Michigan Curve'!$A$4:$S$256,MATCH('Monthly Table'!B125,'Michigan Curve'!$A$4:$A$256,0),MATCH("Michigan Selected Option Value US$/month",'Michigan Curve'!$A$4:$S$4,0)),INDEX('NY Curve'!$A$4:$T$256,MATCH('Monthly Table'!B125,'NY Curve'!$A$4:$A$256,0),MATCH("New York Selected Option Value US$/month",'NY Curve'!$A$4:$T$4,0)))</f>
        <v>306449.05739698838</v>
      </c>
      <c r="AE125" s="601">
        <f t="shared" si="71"/>
        <v>406115.68329553207</v>
      </c>
      <c r="AF125" s="462"/>
      <c r="AG125" s="915"/>
      <c r="AH125" s="17"/>
      <c r="AI125" s="799">
        <f>Assumptions!$B$50</f>
        <v>65</v>
      </c>
      <c r="AJ125" s="743"/>
      <c r="AK125" s="924">
        <f>IF(Tables!$E$30="Custom",'Monthly Table'!AI125,IF(Tables!$E$30="New York",INDEX('NY Curve'!$A$4:$G$256,MATCH('Monthly Table'!B125,'NY Curve'!$A$4:$A$256,0),MATCH("Super Peak Curve",'NY Curve'!$A$4:$G$4,0)),IF(Tables!$E$30="New York Flat",INDEX('NY Curve'!$A$4:$G$256,MATCH('Monthly Table'!B125,'NY Curve'!$A$4:$A$256,0),MATCH("Flat NY West",'NY Curve'!$A$4:$G$4,0)),INDEX('Michigan Curve'!$A$4:$F$256,MATCH('Monthly Table'!B125,'Michigan Curve'!$A$4:$A$256,0),MATCH("Michigan Super Peak Curve US$/MWhr",'Michigan Curve'!$A$4:$F$4,0)))))</f>
        <v>143.60702733539097</v>
      </c>
      <c r="AL125" s="965">
        <f>IF(D125&lt;=Tables!$B$21,IF($AL$10=$AI$10,AI125,IF($AL$10=$AJ$10,AJ125,IF($AL$10=$AK$10,AK125,0))),0)</f>
        <v>143.60702733539097</v>
      </c>
      <c r="AM125" s="708">
        <f t="shared" si="72"/>
        <v>190.31243407220089</v>
      </c>
      <c r="AN125" s="916">
        <f t="shared" si="73"/>
        <v>1</v>
      </c>
      <c r="AO125" s="905"/>
      <c r="AP125" s="925"/>
      <c r="AQ125" s="926">
        <f>IF(Tables!$E$30="New York",INDEX('NY Curve'!$A$4:$L$256,MATCH('Monthly Table'!B125,'NY Curve'!$A$4:$A$256,0),MATCH("New York Shoulder Hour Curve Mon-Fri",'NY Curve'!$A$4:$L$4,0)),IF(Tables!$E$30="Michigan",INDEX('Michigan Curve'!$A$4:$K$256,MATCH('Monthly Table'!B125,'Michigan Curve'!$A$4:$A$256,0),MATCH("Michigan Shoulder Hour Curve Mon-Fri",'Michigan Curve'!$A$4:$K$4,0))))</f>
        <v>28.392972664609047</v>
      </c>
      <c r="AR125" s="708">
        <f t="shared" si="74"/>
        <v>37.627237598389776</v>
      </c>
      <c r="AS125" s="927">
        <f t="shared" si="61"/>
        <v>0</v>
      </c>
      <c r="AT125" s="462"/>
      <c r="AU125" s="926">
        <f>IF(Tables!$E$30="New York",INDEX('NY Curve'!$A$4:$L$256,MATCH('Monthly Table'!$B125,'NY Curve'!$A$4:$A$256,0),MATCH("New York Saturday Super Peak",'NY Curve'!$A$4:$L$4,0)),IF(Tables!$E$30="Michigan",INDEX('Michigan Curve'!$A$4:$K$256,MATCH('Monthly Table'!$B125,'Michigan Curve'!$A$4:$A$256,0),MATCH("Michigan Saturday Super Peak",'Michigan Curve'!$A$4:$K$4,0))))</f>
        <v>58.444720427193992</v>
      </c>
      <c r="AV125" s="925">
        <f t="shared" si="62"/>
        <v>77.452734796825936</v>
      </c>
      <c r="AW125" s="927">
        <f t="shared" si="63"/>
        <v>1</v>
      </c>
      <c r="AX125" s="926">
        <f>IF(Tables!$E$30="New York",INDEX('NY Curve'!$A$4:$L$256,MATCH('Monthly Table'!$B125,'NY Curve'!$A$4:$A$256,0),MATCH("New York Saturday Shoulder Peak",'NY Curve'!$A$4:$L$4,0)),IF(Tables!$E$30="Michigan",INDEX('Michigan Curve'!$A$4:$K$256,MATCH('Monthly Table'!$B125,'Michigan Curve'!$A$4:$A$256,0),MATCH("Michigan Saturday Shoulder Peak",'Michigan Curve'!$A$4:$K$4,0))))</f>
        <v>11.555279572806008</v>
      </c>
      <c r="AY125" s="934">
        <f t="shared" si="75"/>
        <v>15.313410650507466</v>
      </c>
      <c r="AZ125" s="927">
        <f t="shared" si="64"/>
        <v>0</v>
      </c>
      <c r="BA125" s="462"/>
      <c r="BB125" s="926">
        <f>IF(Tables!$E$30="New York",INDEX('NY Curve'!$A$4:$M$256,MATCH('Monthly Table'!$B125,'NY Curve'!$A$4:$A$256,0),MATCH("NY Sunday Super Peak",'NY Curve'!$A$4:$M$4,0)),IF(Tables!$E$30="Michigan",INDEX('Michigan Curve'!$A$4:$L$256,MATCH('Monthly Table'!$B125,'Michigan Curve'!$A$4:$A$256,0),MATCH("Michigan Sunday Super Peak",'Michigan Curve'!$A$4:$L$4,0))))</f>
        <v>51.76532062195875</v>
      </c>
      <c r="BC125" s="925">
        <f t="shared" si="76"/>
        <v>68.600989456349609</v>
      </c>
      <c r="BD125" s="927">
        <f t="shared" si="65"/>
        <v>1</v>
      </c>
      <c r="BE125" s="462"/>
      <c r="BF125" s="598">
        <f t="shared" si="56"/>
        <v>40360</v>
      </c>
      <c r="BG125" s="583">
        <f t="shared" si="77"/>
        <v>168</v>
      </c>
      <c r="BH125" s="764">
        <f>IF(Tables!$B$36="Combined Cycle",(BF125-BF124)*24*Assumptions!$B$21,0)</f>
        <v>0</v>
      </c>
      <c r="BI125" s="315">
        <f t="shared" si="78"/>
        <v>168</v>
      </c>
      <c r="BJ125" s="987">
        <f>IF('Monthly Table'!D125&lt;=Tables!$B$21,IF($BJ$10=$BG$10,BG125,IF($BJ$10=$BH$10,BH125,IF($BJ$10=$BI$10,BI125,0))),0)</f>
        <v>168</v>
      </c>
      <c r="BK125" s="43"/>
      <c r="BL125" s="987">
        <f t="shared" si="79"/>
        <v>40</v>
      </c>
      <c r="BM125" s="987">
        <f t="shared" si="80"/>
        <v>40</v>
      </c>
      <c r="BO125" s="987">
        <f t="shared" si="66"/>
        <v>0</v>
      </c>
      <c r="BP125" s="987">
        <f t="shared" si="81"/>
        <v>0</v>
      </c>
      <c r="BR125" s="993">
        <f>IF(BJ125&gt;0,INDEX(OperationalDetail,MATCH("Capacity Degradation",ODColumn,0),MATCH('Monthly Table'!C125,ODRow,0)),0)</f>
        <v>1.2500000000000001E-2</v>
      </c>
      <c r="BS125" s="994">
        <f>BJ125*(1-BR125)*Tables!$C$36</f>
        <v>53751.6</v>
      </c>
      <c r="BT125" s="601">
        <f t="shared" si="67"/>
        <v>7719.1074905210007</v>
      </c>
      <c r="BU125" s="601">
        <f t="shared" si="68"/>
        <v>10229.597831275312</v>
      </c>
      <c r="BV125" s="462"/>
      <c r="BW125" s="785">
        <f>$BO125*(1-$BR125)*Tables!$C$36</f>
        <v>0</v>
      </c>
      <c r="BX125" s="602">
        <f t="shared" si="82"/>
        <v>0</v>
      </c>
      <c r="BY125" s="601">
        <f t="shared" si="83"/>
        <v>0</v>
      </c>
      <c r="BZ125" s="462"/>
      <c r="CA125" s="785">
        <f>$BL125*(1-$BR125)*Tables!$C$36</f>
        <v>12798</v>
      </c>
      <c r="CB125" s="602">
        <f t="shared" si="84"/>
        <v>747.97553202722872</v>
      </c>
      <c r="CC125" s="601">
        <f t="shared" si="85"/>
        <v>991.24009992977835</v>
      </c>
      <c r="CD125" s="785">
        <f>$BP125*(1-$BR125)*Tables!$C$36</f>
        <v>0</v>
      </c>
      <c r="CE125" s="602">
        <f t="shared" si="86"/>
        <v>0</v>
      </c>
      <c r="CF125" s="601">
        <f t="shared" si="87"/>
        <v>0</v>
      </c>
      <c r="CH125" s="785">
        <f>$BM125*(1-$BR125)*Tables!$C$36</f>
        <v>12798</v>
      </c>
      <c r="CI125" s="602">
        <f t="shared" si="88"/>
        <v>662.49257331982813</v>
      </c>
      <c r="CJ125" s="601">
        <f t="shared" si="89"/>
        <v>877.95546306236236</v>
      </c>
      <c r="CK125" s="304"/>
      <c r="CL125" s="304">
        <f t="shared" si="90"/>
        <v>2009</v>
      </c>
      <c r="CM125" s="1018">
        <f>INDEX(OperationalDetail,MATCH("Degraded Heat Rate",ODColumn,0),MATCH('Monthly Table'!CL125,ODRow,0))/1000</f>
        <v>12.0785236</v>
      </c>
      <c r="CN125" s="737">
        <f t="shared" si="69"/>
        <v>57.357811364613362</v>
      </c>
      <c r="CO125" s="1019">
        <f>IF(A125="January",(CO124*(1+Assumptions!$E$32)),CO124)</f>
        <v>8.0496953825266555</v>
      </c>
      <c r="CP125" s="741">
        <f t="shared" si="57"/>
        <v>65.407506747140019</v>
      </c>
      <c r="CQ125" s="304"/>
      <c r="CR125" s="575">
        <f t="shared" si="91"/>
        <v>2010</v>
      </c>
      <c r="CS125" s="575" t="str">
        <f t="shared" si="92"/>
        <v/>
      </c>
      <c r="CT125" s="575">
        <f t="shared" si="93"/>
        <v>2010</v>
      </c>
      <c r="CU125" s="575" t="str">
        <f t="shared" si="94"/>
        <v/>
      </c>
      <c r="CV125" s="575">
        <f t="shared" si="95"/>
        <v>2010</v>
      </c>
      <c r="CW125" s="576">
        <f t="shared" si="58"/>
        <v>2010</v>
      </c>
      <c r="CX125" s="787">
        <f>INDEX('NY Curve'!$A$4:$G$256,MATCH('Monthly Table'!B125,'NY Curve'!$A$4:$A$256,0),MATCH("New York 5 X 16",'NY Curve'!$A$4:$G$4,0))</f>
        <v>78</v>
      </c>
      <c r="CY125" s="632">
        <f t="shared" si="59"/>
        <v>1.32523064924762</v>
      </c>
      <c r="CZ125" s="633">
        <f t="shared" si="60"/>
        <v>103.36799064131436</v>
      </c>
      <c r="DB125" s="857"/>
      <c r="DC125" s="857"/>
    </row>
    <row r="126" spans="1:107" ht="18.75" customHeight="1">
      <c r="A126" s="17" t="s">
        <v>444</v>
      </c>
      <c r="B126" s="508">
        <v>40391</v>
      </c>
      <c r="C126" s="43">
        <f t="shared" si="49"/>
        <v>2010</v>
      </c>
      <c r="D126" s="719">
        <f t="shared" si="96"/>
        <v>10</v>
      </c>
      <c r="E126" s="972">
        <v>22</v>
      </c>
      <c r="F126" s="971">
        <v>4</v>
      </c>
      <c r="G126" s="971">
        <v>5</v>
      </c>
      <c r="H126" s="971">
        <v>0</v>
      </c>
      <c r="I126" s="976">
        <f t="shared" si="70"/>
        <v>31</v>
      </c>
      <c r="J126" s="621"/>
      <c r="K126" s="572">
        <f>INDEX(FX!$A$3:$C$362,MATCH(B126,FX!$A$3:$A$362,0),MATCH("Monthly Curve",FX!$A$2:$C$2,0))</f>
        <v>1.3243391932926001</v>
      </c>
      <c r="L126" s="572"/>
      <c r="M126" s="1070">
        <v>3.0745</v>
      </c>
      <c r="N126" s="1071">
        <v>0.14499999999999999</v>
      </c>
      <c r="O126" s="877">
        <v>0.1</v>
      </c>
      <c r="P126" s="797">
        <f t="shared" si="51"/>
        <v>0.245</v>
      </c>
      <c r="Q126" s="732">
        <f t="shared" si="52"/>
        <v>3.3195000000000001</v>
      </c>
      <c r="R126" s="723">
        <f>IF(A126="January",(R125+R125*Assumptions!$E$32),R125)</f>
        <v>0.35891705132341606</v>
      </c>
      <c r="S126" s="730">
        <f t="shared" si="53"/>
        <v>4.7550610034582022</v>
      </c>
      <c r="T126" s="572"/>
      <c r="U126" s="509"/>
      <c r="V126" s="584"/>
      <c r="W126" s="584"/>
      <c r="X126" s="461"/>
      <c r="Y126" s="588">
        <f>Tables!$D$36</f>
        <v>312</v>
      </c>
      <c r="Z126" s="570">
        <f t="shared" si="54"/>
        <v>0</v>
      </c>
      <c r="AA126" s="592">
        <f t="shared" si="55"/>
        <v>0</v>
      </c>
      <c r="AB126" s="589">
        <f t="shared" si="50"/>
        <v>0</v>
      </c>
      <c r="AC126" s="462"/>
      <c r="AD126" s="1027">
        <f>IF(Tables!$E$30="Michigan",INDEX('Michigan Curve'!$A$4:$S$256,MATCH('Monthly Table'!B126,'Michigan Curve'!$A$4:$A$256,0),MATCH("Michigan Selected Option Value US$/month",'Michigan Curve'!$A$4:$S$4,0)),INDEX('NY Curve'!$A$4:$T$256,MATCH('Monthly Table'!B126,'NY Curve'!$A$4:$A$256,0),MATCH("New York Selected Option Value US$/month",'NY Curve'!$A$4:$T$4,0)))</f>
        <v>295892.33627238777</v>
      </c>
      <c r="AE126" s="601">
        <f t="shared" si="71"/>
        <v>391861.81792043679</v>
      </c>
      <c r="AF126" s="462"/>
      <c r="AG126" s="915"/>
      <c r="AH126" s="17"/>
      <c r="AI126" s="799">
        <f>Assumptions!$B$50</f>
        <v>65</v>
      </c>
      <c r="AJ126" s="743"/>
      <c r="AK126" s="924">
        <f>IF(Tables!$E$30="Custom",'Monthly Table'!AI126,IF(Tables!$E$30="New York",INDEX('NY Curve'!$A$4:$G$256,MATCH('Monthly Table'!B126,'NY Curve'!$A$4:$A$256,0),MATCH("Super Peak Curve",'NY Curve'!$A$4:$G$4,0)),IF(Tables!$E$30="New York Flat",INDEX('NY Curve'!$A$4:$G$256,MATCH('Monthly Table'!B126,'NY Curve'!$A$4:$A$256,0),MATCH("Flat NY West",'NY Curve'!$A$4:$G$4,0)),INDEX('Michigan Curve'!$A$4:$F$256,MATCH('Monthly Table'!B126,'Michigan Curve'!$A$4:$A$256,0),MATCH("Michigan Super Peak Curve US$/MWhr",'Michigan Curve'!$A$4:$F$4,0)))))</f>
        <v>143.60702733539097</v>
      </c>
      <c r="AL126" s="965">
        <f>IF(D126&lt;=Tables!$B$21,IF($AL$10=$AI$10,AI126,IF($AL$10=$AJ$10,AJ126,IF($AL$10=$AK$10,AK126,0))),0)</f>
        <v>143.60702733539097</v>
      </c>
      <c r="AM126" s="708">
        <f t="shared" si="72"/>
        <v>190.18441473250004</v>
      </c>
      <c r="AN126" s="916">
        <f t="shared" si="73"/>
        <v>1</v>
      </c>
      <c r="AO126" s="905"/>
      <c r="AP126" s="925"/>
      <c r="AQ126" s="926">
        <f>IF(Tables!$E$30="New York",INDEX('NY Curve'!$A$4:$L$256,MATCH('Monthly Table'!B126,'NY Curve'!$A$4:$A$256,0),MATCH("New York Shoulder Hour Curve Mon-Fri",'NY Curve'!$A$4:$L$4,0)),IF(Tables!$E$30="Michigan",INDEX('Michigan Curve'!$A$4:$K$256,MATCH('Monthly Table'!B126,'Michigan Curve'!$A$4:$A$256,0),MATCH("Michigan Shoulder Hour Curve Mon-Fri",'Michigan Curve'!$A$4:$K$4,0))))</f>
        <v>28.392972664609047</v>
      </c>
      <c r="AR126" s="708">
        <f t="shared" si="74"/>
        <v>37.601926513827195</v>
      </c>
      <c r="AS126" s="927">
        <f t="shared" si="61"/>
        <v>0</v>
      </c>
      <c r="AT126" s="462"/>
      <c r="AU126" s="926">
        <f>IF(Tables!$E$30="New York",INDEX('NY Curve'!$A$4:$L$256,MATCH('Monthly Table'!$B126,'NY Curve'!$A$4:$A$256,0),MATCH("New York Saturday Super Peak",'NY Curve'!$A$4:$L$4,0)),IF(Tables!$E$30="Michigan",INDEX('Michigan Curve'!$A$4:$K$256,MATCH('Monthly Table'!$B126,'Michigan Curve'!$A$4:$A$256,0),MATCH("Michigan Saturday Super Peak",'Michigan Curve'!$A$4:$K$4,0))))</f>
        <v>58.444726797163</v>
      </c>
      <c r="AV126" s="925">
        <f t="shared" si="62"/>
        <v>77.400642338761259</v>
      </c>
      <c r="AW126" s="927">
        <f t="shared" si="63"/>
        <v>1</v>
      </c>
      <c r="AX126" s="926">
        <f>IF(Tables!$E$30="New York",INDEX('NY Curve'!$A$4:$L$256,MATCH('Monthly Table'!$B126,'NY Curve'!$A$4:$A$256,0),MATCH("New York Saturday Shoulder Peak",'NY Curve'!$A$4:$L$4,0)),IF(Tables!$E$30="Michigan",INDEX('Michigan Curve'!$A$4:$K$256,MATCH('Monthly Table'!$B126,'Michigan Curve'!$A$4:$A$256,0),MATCH("Michigan Saturday Shoulder Peak",'Michigan Curve'!$A$4:$K$4,0))))</f>
        <v>11.555280832231533</v>
      </c>
      <c r="AY126" s="934">
        <f t="shared" si="75"/>
        <v>15.303111295626953</v>
      </c>
      <c r="AZ126" s="927">
        <f t="shared" si="64"/>
        <v>0</v>
      </c>
      <c r="BA126" s="462"/>
      <c r="BB126" s="926">
        <f>IF(Tables!$E$30="New York",INDEX('NY Curve'!$A$4:$M$256,MATCH('Monthly Table'!$B126,'NY Curve'!$A$4:$A$256,0),MATCH("NY Sunday Super Peak",'NY Curve'!$A$4:$M$4,0)),IF(Tables!$E$30="Michigan",INDEX('Michigan Curve'!$A$4:$L$256,MATCH('Monthly Table'!$B126,'Michigan Curve'!$A$4:$A$256,0),MATCH("Michigan Sunday Super Peak",'Michigan Curve'!$A$4:$L$4,0))))</f>
        <v>51.76532380694325</v>
      </c>
      <c r="BC126" s="925">
        <f t="shared" si="76"/>
        <v>68.554847171017457</v>
      </c>
      <c r="BD126" s="927">
        <f t="shared" si="65"/>
        <v>1</v>
      </c>
      <c r="BE126" s="462"/>
      <c r="BF126" s="598">
        <f t="shared" si="56"/>
        <v>40391</v>
      </c>
      <c r="BG126" s="583">
        <f t="shared" si="77"/>
        <v>176</v>
      </c>
      <c r="BH126" s="764">
        <f>IF(Tables!$B$36="Combined Cycle",(BF126-BF125)*24*Assumptions!$B$21,0)</f>
        <v>0</v>
      </c>
      <c r="BI126" s="315">
        <f t="shared" si="78"/>
        <v>176</v>
      </c>
      <c r="BJ126" s="987">
        <f>IF('Monthly Table'!D126&lt;=Tables!$B$21,IF($BJ$10=$BG$10,BG126,IF($BJ$10=$BH$10,BH126,IF($BJ$10=$BI$10,BI126,0))),0)</f>
        <v>176</v>
      </c>
      <c r="BK126" s="43"/>
      <c r="BL126" s="987">
        <f t="shared" si="79"/>
        <v>32</v>
      </c>
      <c r="BM126" s="987">
        <f t="shared" si="80"/>
        <v>40</v>
      </c>
      <c r="BO126" s="987">
        <f t="shared" si="66"/>
        <v>0</v>
      </c>
      <c r="BP126" s="987">
        <f t="shared" si="81"/>
        <v>0</v>
      </c>
      <c r="BR126" s="993">
        <f>IF(BJ126&gt;0,INDEX(OperationalDetail,MATCH("Capacity Degradation",ODColumn,0),MATCH('Monthly Table'!C126,ODRow,0)),0)</f>
        <v>1.2500000000000001E-2</v>
      </c>
      <c r="BS126" s="994">
        <f>BJ126*(1-BR126)*Tables!$C$36</f>
        <v>56311.200000000004</v>
      </c>
      <c r="BT126" s="601">
        <f t="shared" si="67"/>
        <v>8086.6840376886685</v>
      </c>
      <c r="BU126" s="601">
        <f t="shared" si="68"/>
        <v>10709.512614884758</v>
      </c>
      <c r="BV126" s="462"/>
      <c r="BW126" s="785">
        <f>$BO126*(1-$BR126)*Tables!$C$36</f>
        <v>0</v>
      </c>
      <c r="BX126" s="602">
        <f t="shared" si="82"/>
        <v>0</v>
      </c>
      <c r="BY126" s="601">
        <f t="shared" si="83"/>
        <v>0</v>
      </c>
      <c r="BZ126" s="462"/>
      <c r="CA126" s="785">
        <f>$BL126*(1-$BR126)*Tables!$C$36</f>
        <v>10238.4</v>
      </c>
      <c r="CB126" s="602">
        <f t="shared" si="84"/>
        <v>598.38049084007366</v>
      </c>
      <c r="CC126" s="601">
        <f t="shared" si="85"/>
        <v>792.45873652117325</v>
      </c>
      <c r="CD126" s="785">
        <f>$BP126*(1-$BR126)*Tables!$C$36</f>
        <v>0</v>
      </c>
      <c r="CE126" s="602">
        <f t="shared" si="86"/>
        <v>0</v>
      </c>
      <c r="CF126" s="601">
        <f t="shared" si="87"/>
        <v>0</v>
      </c>
      <c r="CH126" s="785">
        <f>$BM126*(1-$BR126)*Tables!$C$36</f>
        <v>12798</v>
      </c>
      <c r="CI126" s="602">
        <f t="shared" si="88"/>
        <v>662.49261408125972</v>
      </c>
      <c r="CJ126" s="601">
        <f t="shared" si="89"/>
        <v>877.3649340946813</v>
      </c>
      <c r="CK126" s="304"/>
      <c r="CL126" s="304">
        <f t="shared" si="90"/>
        <v>2009</v>
      </c>
      <c r="CM126" s="1018">
        <f>INDEX(OperationalDetail,MATCH("Degraded Heat Rate",ODColumn,0),MATCH('Monthly Table'!CL126,ODRow,0))/1000</f>
        <v>12.0785236</v>
      </c>
      <c r="CN126" s="737">
        <f t="shared" si="69"/>
        <v>57.434116549709579</v>
      </c>
      <c r="CO126" s="1019">
        <f>IF(A126="January",(CO125*(1+Assumptions!$E$32)),CO125)</f>
        <v>8.0496953825266555</v>
      </c>
      <c r="CP126" s="741">
        <f t="shared" si="57"/>
        <v>65.483811932236236</v>
      </c>
      <c r="CQ126" s="304"/>
      <c r="CR126" s="575">
        <f t="shared" si="91"/>
        <v>2010</v>
      </c>
      <c r="CS126" s="575" t="str">
        <f t="shared" si="92"/>
        <v/>
      </c>
      <c r="CT126" s="575">
        <f t="shared" si="93"/>
        <v>2010</v>
      </c>
      <c r="CU126" s="575" t="str">
        <f t="shared" si="94"/>
        <v/>
      </c>
      <c r="CV126" s="575">
        <f t="shared" si="95"/>
        <v>2010</v>
      </c>
      <c r="CW126" s="576">
        <f t="shared" si="58"/>
        <v>2010</v>
      </c>
      <c r="CX126" s="787">
        <f>INDEX('NY Curve'!$A$4:$G$256,MATCH('Monthly Table'!B126,'NY Curve'!$A$4:$A$256,0),MATCH("New York 5 X 16",'NY Curve'!$A$4:$G$4,0))</f>
        <v>70.5</v>
      </c>
      <c r="CY126" s="632">
        <f t="shared" si="59"/>
        <v>1.3243391932926001</v>
      </c>
      <c r="CZ126" s="633">
        <f t="shared" si="60"/>
        <v>93.365913127128309</v>
      </c>
      <c r="DB126" s="857"/>
      <c r="DC126" s="857"/>
    </row>
    <row r="127" spans="1:107" ht="18.75" customHeight="1">
      <c r="A127" s="17" t="s">
        <v>445</v>
      </c>
      <c r="B127" s="508">
        <v>40422</v>
      </c>
      <c r="C127" s="43">
        <f t="shared" si="49"/>
        <v>2010</v>
      </c>
      <c r="D127" s="719">
        <f t="shared" si="96"/>
        <v>10</v>
      </c>
      <c r="E127" s="972">
        <v>21</v>
      </c>
      <c r="F127" s="971">
        <v>4</v>
      </c>
      <c r="G127" s="971">
        <v>4</v>
      </c>
      <c r="H127" s="971">
        <v>1</v>
      </c>
      <c r="I127" s="976">
        <f t="shared" si="70"/>
        <v>30</v>
      </c>
      <c r="J127" s="621"/>
      <c r="K127" s="572">
        <f>INDEX(FX!$A$3:$C$362,MATCH(B127,FX!$A$3:$A$362,0),MATCH("Monthly Curve",FX!$A$2:$C$2,0))</f>
        <v>1.3234502457539501</v>
      </c>
      <c r="L127" s="572"/>
      <c r="M127" s="1070">
        <v>3.0815000000000006</v>
      </c>
      <c r="N127" s="1071">
        <v>0.14499999999999999</v>
      </c>
      <c r="O127" s="877">
        <v>0.1</v>
      </c>
      <c r="P127" s="797">
        <f t="shared" si="51"/>
        <v>0.245</v>
      </c>
      <c r="Q127" s="732">
        <f t="shared" si="52"/>
        <v>3.3265000000000007</v>
      </c>
      <c r="R127" s="723">
        <f>IF(A127="January",(R126+R126*Assumptions!$E$32),R126)</f>
        <v>0.35891705132341606</v>
      </c>
      <c r="S127" s="730">
        <f t="shared" si="53"/>
        <v>4.7613742938239314</v>
      </c>
      <c r="T127" s="572"/>
      <c r="U127" s="509"/>
      <c r="V127" s="584"/>
      <c r="W127" s="584"/>
      <c r="X127" s="461"/>
      <c r="Y127" s="588">
        <f>Tables!$D$36</f>
        <v>312</v>
      </c>
      <c r="Z127" s="570">
        <f t="shared" si="54"/>
        <v>0</v>
      </c>
      <c r="AA127" s="592">
        <f t="shared" si="55"/>
        <v>0</v>
      </c>
      <c r="AB127" s="589">
        <f t="shared" si="50"/>
        <v>0</v>
      </c>
      <c r="AC127" s="462"/>
      <c r="AD127" s="1027">
        <f>IF(Tables!$E$30="Michigan",INDEX('Michigan Curve'!$A$4:$S$256,MATCH('Monthly Table'!B127,'Michigan Curve'!$A$4:$A$256,0),MATCH("Michigan Selected Option Value US$/month",'Michigan Curve'!$A$4:$S$4,0)),INDEX('NY Curve'!$A$4:$T$256,MATCH('Monthly Table'!B127,'NY Curve'!$A$4:$A$256,0),MATCH("New York Selected Option Value US$/month",'NY Curve'!$A$4:$T$4,0)))</f>
        <v>176202.18430639719</v>
      </c>
      <c r="AE127" s="601">
        <f t="shared" si="71"/>
        <v>233194.82412268416</v>
      </c>
      <c r="AF127" s="462"/>
      <c r="AG127" s="915"/>
      <c r="AH127" s="17"/>
      <c r="AI127" s="799">
        <f>Assumptions!$B$50</f>
        <v>65</v>
      </c>
      <c r="AJ127" s="743"/>
      <c r="AK127" s="924">
        <f>IF(Tables!$E$30="Custom",'Monthly Table'!AI127,IF(Tables!$E$30="New York",INDEX('NY Curve'!$A$4:$G$256,MATCH('Monthly Table'!B127,'NY Curve'!$A$4:$A$256,0),MATCH("Super Peak Curve",'NY Curve'!$A$4:$G$4,0)),IF(Tables!$E$30="New York Flat",INDEX('NY Curve'!$A$4:$G$256,MATCH('Monthly Table'!B127,'NY Curve'!$A$4:$A$256,0),MATCH("Flat NY West",'NY Curve'!$A$4:$G$4,0)),INDEX('Michigan Curve'!$A$4:$F$256,MATCH('Monthly Table'!B127,'Michigan Curve'!$A$4:$A$256,0),MATCH("Michigan Super Peak Curve US$/MWhr",'Michigan Curve'!$A$4:$F$4,0)))))</f>
        <v>46.955937251448631</v>
      </c>
      <c r="AL127" s="965">
        <f>IF(D127&lt;=Tables!$B$21,IF($AL$10=$AI$10,AI127,IF($AL$10=$AJ$10,AJ127,IF($AL$10=$AK$10,AK127,0))),0)</f>
        <v>46.955937251448631</v>
      </c>
      <c r="AM127" s="708">
        <f t="shared" si="72"/>
        <v>62.14384669503675</v>
      </c>
      <c r="AN127" s="916">
        <f t="shared" si="73"/>
        <v>0</v>
      </c>
      <c r="AO127" s="905"/>
      <c r="AP127" s="925"/>
      <c r="AQ127" s="926">
        <f>IF(Tables!$E$30="New York",INDEX('NY Curve'!$A$4:$L$256,MATCH('Monthly Table'!B127,'NY Curve'!$A$4:$A$256,0),MATCH("New York Shoulder Hour Curve Mon-Fri",'NY Curve'!$A$4:$L$4,0)),IF(Tables!$E$30="Michigan",INDEX('Michigan Curve'!$A$4:$K$256,MATCH('Monthly Table'!B127,'Michigan Curve'!$A$4:$A$256,0),MATCH("Michigan Shoulder Hour Curve Mon-Fri",'Michigan Curve'!$A$4:$K$4,0))))</f>
        <v>22.544062748551369</v>
      </c>
      <c r="AR127" s="708">
        <f t="shared" si="74"/>
        <v>29.835945384862782</v>
      </c>
      <c r="AS127" s="927">
        <f t="shared" si="61"/>
        <v>0</v>
      </c>
      <c r="AT127" s="462"/>
      <c r="AU127" s="926">
        <f>IF(Tables!$E$30="New York",INDEX('NY Curve'!$A$4:$L$256,MATCH('Monthly Table'!$B127,'NY Curve'!$A$4:$A$256,0),MATCH("New York Saturday Super Peak",'NY Curve'!$A$4:$L$4,0)),IF(Tables!$E$30="Michigan",INDEX('Michigan Curve'!$A$4:$K$256,MATCH('Monthly Table'!$B127,'Michigan Curve'!$A$4:$A$256,0),MATCH("Michigan Saturday Super Peak",'Michigan Curve'!$A$4:$K$4,0))))</f>
        <v>33.781249821186066</v>
      </c>
      <c r="AV127" s="925">
        <f t="shared" si="62"/>
        <v>44.707803377724282</v>
      </c>
      <c r="AW127" s="927">
        <f t="shared" si="63"/>
        <v>0</v>
      </c>
      <c r="AX127" s="926">
        <f>IF(Tables!$E$30="New York",INDEX('NY Curve'!$A$4:$L$256,MATCH('Monthly Table'!$B127,'NY Curve'!$A$4:$A$256,0),MATCH("New York Saturday Shoulder Peak",'NY Curve'!$A$4:$L$4,0)),IF(Tables!$E$30="Michigan",INDEX('Michigan Curve'!$A$4:$K$256,MATCH('Monthly Table'!$B127,'Michigan Curve'!$A$4:$A$256,0),MATCH("Michigan Saturday Shoulder Peak",'Michigan Curve'!$A$4:$K$4,0))))</f>
        <v>16.218750178813934</v>
      </c>
      <c r="AY127" s="934">
        <f t="shared" si="75"/>
        <v>21.464708909973222</v>
      </c>
      <c r="AZ127" s="927">
        <f t="shared" si="64"/>
        <v>0</v>
      </c>
      <c r="BA127" s="462"/>
      <c r="BB127" s="926">
        <f>IF(Tables!$E$30="New York",INDEX('NY Curve'!$A$4:$M$256,MATCH('Monthly Table'!$B127,'NY Curve'!$A$4:$A$256,0),MATCH("NY Sunday Super Peak",'NY Curve'!$A$4:$M$4,0)),IF(Tables!$E$30="Michigan",INDEX('Michigan Curve'!$A$4:$L$256,MATCH('Monthly Table'!$B127,'Michigan Curve'!$A$4:$A$256,0),MATCH("Michigan Sunday Super Peak",'Michigan Curve'!$A$4:$L$4,0))))</f>
        <v>32.429999828338623</v>
      </c>
      <c r="BC127" s="925">
        <f t="shared" si="76"/>
        <v>42.919491242615308</v>
      </c>
      <c r="BD127" s="927">
        <f t="shared" si="65"/>
        <v>0</v>
      </c>
      <c r="BE127" s="462"/>
      <c r="BF127" s="598">
        <f t="shared" si="56"/>
        <v>40422</v>
      </c>
      <c r="BG127" s="583">
        <f t="shared" si="77"/>
        <v>0</v>
      </c>
      <c r="BH127" s="764">
        <f>IF(Tables!$B$36="Combined Cycle",(BF127-BF126)*24*Assumptions!$B$21,0)</f>
        <v>0</v>
      </c>
      <c r="BI127" s="315">
        <f t="shared" si="78"/>
        <v>0</v>
      </c>
      <c r="BJ127" s="987">
        <f>IF('Monthly Table'!D127&lt;=Tables!$B$21,IF($BJ$10=$BG$10,BG127,IF($BJ$10=$BH$10,BH127,IF($BJ$10=$BI$10,BI127,0))),0)</f>
        <v>0</v>
      </c>
      <c r="BK127" s="43"/>
      <c r="BL127" s="987">
        <f t="shared" si="79"/>
        <v>0</v>
      </c>
      <c r="BM127" s="987">
        <f t="shared" si="80"/>
        <v>0</v>
      </c>
      <c r="BO127" s="987">
        <f t="shared" si="66"/>
        <v>0</v>
      </c>
      <c r="BP127" s="987">
        <f t="shared" si="81"/>
        <v>0</v>
      </c>
      <c r="BR127" s="993">
        <f>IF(BJ127&gt;0,INDEX(OperationalDetail,MATCH("Capacity Degradation",ODColumn,0),MATCH('Monthly Table'!C127,ODRow,0)),0)</f>
        <v>0</v>
      </c>
      <c r="BS127" s="994">
        <f>BJ127*(1-BR127)*Tables!$C$36</f>
        <v>0</v>
      </c>
      <c r="BT127" s="601">
        <f t="shared" si="67"/>
        <v>0</v>
      </c>
      <c r="BU127" s="601">
        <f t="shared" si="68"/>
        <v>0</v>
      </c>
      <c r="BV127" s="462"/>
      <c r="BW127" s="785">
        <f>$BO127*(1-$BR127)*Tables!$C$36</f>
        <v>0</v>
      </c>
      <c r="BX127" s="602">
        <f t="shared" si="82"/>
        <v>0</v>
      </c>
      <c r="BY127" s="601">
        <f t="shared" si="83"/>
        <v>0</v>
      </c>
      <c r="BZ127" s="462"/>
      <c r="CA127" s="785">
        <f>$BL127*(1-$BR127)*Tables!$C$36</f>
        <v>0</v>
      </c>
      <c r="CB127" s="602">
        <f t="shared" si="84"/>
        <v>0</v>
      </c>
      <c r="CC127" s="601">
        <f t="shared" si="85"/>
        <v>0</v>
      </c>
      <c r="CD127" s="785">
        <f>$BP127*(1-$BR127)*Tables!$C$36</f>
        <v>0</v>
      </c>
      <c r="CE127" s="602">
        <f t="shared" si="86"/>
        <v>0</v>
      </c>
      <c r="CF127" s="601">
        <f t="shared" si="87"/>
        <v>0</v>
      </c>
      <c r="CH127" s="785">
        <f>$BM127*(1-$BR127)*Tables!$C$36</f>
        <v>0</v>
      </c>
      <c r="CI127" s="602">
        <f t="shared" si="88"/>
        <v>0</v>
      </c>
      <c r="CJ127" s="601">
        <f t="shared" si="89"/>
        <v>0</v>
      </c>
      <c r="CK127" s="304"/>
      <c r="CL127" s="304">
        <f t="shared" si="90"/>
        <v>2009</v>
      </c>
      <c r="CM127" s="1018">
        <f>INDEX(OperationalDetail,MATCH("Degraded Heat Rate",ODColumn,0),MATCH('Monthly Table'!CL127,ODRow,0))/1000</f>
        <v>12.0785236</v>
      </c>
      <c r="CN127" s="737">
        <f t="shared" si="69"/>
        <v>57.510371776385689</v>
      </c>
      <c r="CO127" s="1019">
        <f>IF(A127="January",(CO126*(1+Assumptions!$E$32)),CO126)</f>
        <v>8.0496953825266555</v>
      </c>
      <c r="CP127" s="741">
        <f t="shared" si="57"/>
        <v>65.560067158912346</v>
      </c>
      <c r="CQ127" s="304"/>
      <c r="CR127" s="575" t="str">
        <f t="shared" si="91"/>
        <v/>
      </c>
      <c r="CS127" s="575" t="str">
        <f t="shared" si="92"/>
        <v/>
      </c>
      <c r="CT127" s="575" t="str">
        <f t="shared" si="93"/>
        <v/>
      </c>
      <c r="CU127" s="575" t="str">
        <f t="shared" si="94"/>
        <v/>
      </c>
      <c r="CV127" s="575" t="str">
        <f t="shared" si="95"/>
        <v/>
      </c>
      <c r="CW127" s="576">
        <f t="shared" si="58"/>
        <v>2010</v>
      </c>
      <c r="CX127" s="787">
        <f>INDEX('NY Curve'!$A$4:$G$256,MATCH('Monthly Table'!B127,'NY Curve'!$A$4:$A$256,0),MATCH("New York 5 X 16",'NY Curve'!$A$4:$G$4,0))</f>
        <v>30.45</v>
      </c>
      <c r="CY127" s="632">
        <f t="shared" si="59"/>
        <v>1.3234502457539501</v>
      </c>
      <c r="CZ127" s="633">
        <f t="shared" si="60"/>
        <v>40.299059983207776</v>
      </c>
      <c r="DB127" s="857"/>
      <c r="DC127" s="857"/>
    </row>
    <row r="128" spans="1:107" ht="18.75" customHeight="1">
      <c r="A128" s="17" t="s">
        <v>446</v>
      </c>
      <c r="B128" s="508">
        <v>40452</v>
      </c>
      <c r="C128" s="43">
        <f t="shared" si="49"/>
        <v>2010</v>
      </c>
      <c r="D128" s="719">
        <f t="shared" si="96"/>
        <v>10</v>
      </c>
      <c r="E128" s="972">
        <v>21</v>
      </c>
      <c r="F128" s="971">
        <v>5</v>
      </c>
      <c r="G128" s="971">
        <v>5</v>
      </c>
      <c r="H128" s="971">
        <v>0</v>
      </c>
      <c r="I128" s="976">
        <f t="shared" si="70"/>
        <v>31</v>
      </c>
      <c r="J128" s="621"/>
      <c r="K128" s="572">
        <f>INDEX(FX!$A$3:$C$362,MATCH(B128,FX!$A$3:$A$362,0),MATCH("Monthly Curve",FX!$A$2:$C$2,0))</f>
        <v>1.32259235827823</v>
      </c>
      <c r="L128" s="572"/>
      <c r="M128" s="1070">
        <v>3.1085000000000003</v>
      </c>
      <c r="N128" s="1071">
        <v>0.14499999999999999</v>
      </c>
      <c r="O128" s="877">
        <v>0.1</v>
      </c>
      <c r="P128" s="797">
        <f t="shared" si="51"/>
        <v>0.245</v>
      </c>
      <c r="Q128" s="732">
        <f t="shared" si="52"/>
        <v>3.3535000000000004</v>
      </c>
      <c r="R128" s="723">
        <f>IF(A128="January",(R127+R127*Assumptions!$E$32),R127)</f>
        <v>0.35891705132341606</v>
      </c>
      <c r="S128" s="730">
        <f t="shared" si="53"/>
        <v>4.7942305248094605</v>
      </c>
      <c r="T128" s="572"/>
      <c r="U128" s="509"/>
      <c r="V128" s="584"/>
      <c r="W128" s="584"/>
      <c r="X128" s="461"/>
      <c r="Y128" s="588">
        <f>Tables!$D$36</f>
        <v>312</v>
      </c>
      <c r="Z128" s="570">
        <f t="shared" si="54"/>
        <v>0</v>
      </c>
      <c r="AA128" s="592">
        <f t="shared" si="55"/>
        <v>0</v>
      </c>
      <c r="AB128" s="589">
        <f t="shared" si="50"/>
        <v>0</v>
      </c>
      <c r="AC128" s="462"/>
      <c r="AD128" s="1027">
        <f>IF(Tables!$E$30="Michigan",INDEX('Michigan Curve'!$A$4:$S$256,MATCH('Monthly Table'!B128,'Michigan Curve'!$A$4:$A$256,0),MATCH("Michigan Selected Option Value US$/month",'Michigan Curve'!$A$4:$S$4,0)),INDEX('NY Curve'!$A$4:$T$256,MATCH('Monthly Table'!B128,'NY Curve'!$A$4:$A$256,0),MATCH("New York Selected Option Value US$/month",'NY Curve'!$A$4:$T$4,0)))</f>
        <v>2123.0102728240986</v>
      </c>
      <c r="AE128" s="601">
        <f t="shared" si="71"/>
        <v>2807.877163383333</v>
      </c>
      <c r="AF128" s="462"/>
      <c r="AG128" s="915"/>
      <c r="AH128" s="17"/>
      <c r="AI128" s="799">
        <f>Assumptions!$B$50</f>
        <v>65</v>
      </c>
      <c r="AJ128" s="743"/>
      <c r="AK128" s="924">
        <f>IF(Tables!$E$30="Custom",'Monthly Table'!AI128,IF(Tables!$E$30="New York",INDEX('NY Curve'!$A$4:$G$256,MATCH('Monthly Table'!B128,'NY Curve'!$A$4:$A$256,0),MATCH("Super Peak Curve",'NY Curve'!$A$4:$G$4,0)),IF(Tables!$E$30="New York Flat",INDEX('NY Curve'!$A$4:$G$256,MATCH('Monthly Table'!B128,'NY Curve'!$A$4:$A$256,0),MATCH("Flat NY West",'NY Curve'!$A$4:$G$4,0)),INDEX('Michigan Curve'!$A$4:$F$256,MATCH('Monthly Table'!B128,'Michigan Curve'!$A$4:$A$256,0),MATCH("Michigan Super Peak Curve US$/MWhr",'Michigan Curve'!$A$4:$F$4,0)))))</f>
        <v>27.849994659423828</v>
      </c>
      <c r="AL128" s="965">
        <f>IF(D128&lt;=Tables!$B$21,IF($AL$10=$AI$10,AI128,IF($AL$10=$AJ$10,AJ128,IF($AL$10=$AK$10,AK128,0))),0)</f>
        <v>27.849994659423828</v>
      </c>
      <c r="AM128" s="708">
        <f t="shared" si="72"/>
        <v>36.834190114643469</v>
      </c>
      <c r="AN128" s="916">
        <f t="shared" si="73"/>
        <v>0</v>
      </c>
      <c r="AO128" s="905"/>
      <c r="AP128" s="925"/>
      <c r="AQ128" s="926">
        <f>IF(Tables!$E$30="New York",INDEX('NY Curve'!$A$4:$L$256,MATCH('Monthly Table'!B128,'NY Curve'!$A$4:$A$256,0),MATCH("New York Shoulder Hour Curve Mon-Fri",'NY Curve'!$A$4:$L$4,0)),IF(Tables!$E$30="Michigan",INDEX('Michigan Curve'!$A$4:$K$256,MATCH('Monthly Table'!B128,'Michigan Curve'!$A$4:$A$256,0),MATCH("Michigan Shoulder Hour Curve Mon-Fri",'Michigan Curve'!$A$4:$K$4,0))))</f>
        <v>27.849994659423828</v>
      </c>
      <c r="AR128" s="708">
        <f t="shared" si="74"/>
        <v>36.834190114643469</v>
      </c>
      <c r="AS128" s="927">
        <f t="shared" si="61"/>
        <v>0</v>
      </c>
      <c r="AT128" s="462"/>
      <c r="AU128" s="926">
        <f>IF(Tables!$E$30="New York",INDEX('NY Curve'!$A$4:$L$256,MATCH('Monthly Table'!$B128,'NY Curve'!$A$4:$A$256,0),MATCH("New York Saturday Super Peak",'NY Curve'!$A$4:$L$4,0)),IF(Tables!$E$30="Michigan",INDEX('Michigan Curve'!$A$4:$K$256,MATCH('Monthly Table'!$B128,'Michigan Curve'!$A$4:$A$256,0),MATCH("Michigan Saturday Super Peak",'Michigan Curve'!$A$4:$K$4,0))))</f>
        <v>19.996000289916992</v>
      </c>
      <c r="AV128" s="925">
        <f t="shared" si="62"/>
        <v>26.446557179573485</v>
      </c>
      <c r="AW128" s="927">
        <f t="shared" si="63"/>
        <v>0</v>
      </c>
      <c r="AX128" s="926">
        <f>IF(Tables!$E$30="New York",INDEX('NY Curve'!$A$4:$L$256,MATCH('Monthly Table'!$B128,'NY Curve'!$A$4:$A$256,0),MATCH("New York Saturday Shoulder Peak",'NY Curve'!$A$4:$L$4,0)),IF(Tables!$E$30="Michigan",INDEX('Michigan Curve'!$A$4:$K$256,MATCH('Monthly Table'!$B128,'Michigan Curve'!$A$4:$A$256,0),MATCH("Michigan Saturday Shoulder Peak",'Michigan Curve'!$A$4:$K$4,0))))</f>
        <v>19.996000289916992</v>
      </c>
      <c r="AY128" s="934">
        <f t="shared" si="75"/>
        <v>26.446557179573485</v>
      </c>
      <c r="AZ128" s="927">
        <f t="shared" si="64"/>
        <v>0</v>
      </c>
      <c r="BA128" s="462"/>
      <c r="BB128" s="926">
        <f>IF(Tables!$E$30="New York",INDEX('NY Curve'!$A$4:$M$256,MATCH('Monthly Table'!$B128,'NY Curve'!$A$4:$A$256,0),MATCH("NY Sunday Super Peak",'NY Curve'!$A$4:$M$4,0)),IF(Tables!$E$30="Michigan",INDEX('Michigan Curve'!$A$4:$L$256,MATCH('Monthly Table'!$B128,'Michigan Curve'!$A$4:$A$256,0),MATCH("Michigan Sunday Super Peak",'Michigan Curve'!$A$4:$L$4,0))))</f>
        <v>18.996500015258789</v>
      </c>
      <c r="BC128" s="925">
        <f t="shared" si="76"/>
        <v>25.124625754213554</v>
      </c>
      <c r="BD128" s="927">
        <f t="shared" si="65"/>
        <v>0</v>
      </c>
      <c r="BE128" s="462"/>
      <c r="BF128" s="598">
        <f t="shared" si="56"/>
        <v>40452</v>
      </c>
      <c r="BG128" s="583">
        <f t="shared" si="77"/>
        <v>0</v>
      </c>
      <c r="BH128" s="764">
        <f>IF(Tables!$B$36="Combined Cycle",(BF128-BF127)*24*Assumptions!$B$21,0)</f>
        <v>0</v>
      </c>
      <c r="BI128" s="315">
        <f t="shared" si="78"/>
        <v>0</v>
      </c>
      <c r="BJ128" s="987">
        <f>IF('Monthly Table'!D128&lt;=Tables!$B$21,IF($BJ$10=$BG$10,BG128,IF($BJ$10=$BH$10,BH128,IF($BJ$10=$BI$10,BI128,0))),0)</f>
        <v>0</v>
      </c>
      <c r="BK128" s="43"/>
      <c r="BL128" s="987">
        <f t="shared" si="79"/>
        <v>0</v>
      </c>
      <c r="BM128" s="987">
        <f t="shared" si="80"/>
        <v>0</v>
      </c>
      <c r="BO128" s="987">
        <f t="shared" si="66"/>
        <v>0</v>
      </c>
      <c r="BP128" s="987">
        <f t="shared" si="81"/>
        <v>0</v>
      </c>
      <c r="BR128" s="993">
        <f>IF(BJ128&gt;0,INDEX(OperationalDetail,MATCH("Capacity Degradation",ODColumn,0),MATCH('Monthly Table'!C128,ODRow,0)),0)</f>
        <v>0</v>
      </c>
      <c r="BS128" s="994">
        <f>BJ128*(1-BR128)*Tables!$C$36</f>
        <v>0</v>
      </c>
      <c r="BT128" s="601">
        <f t="shared" si="67"/>
        <v>0</v>
      </c>
      <c r="BU128" s="601">
        <f t="shared" si="68"/>
        <v>0</v>
      </c>
      <c r="BV128" s="462"/>
      <c r="BW128" s="785">
        <f>$BO128*(1-$BR128)*Tables!$C$36</f>
        <v>0</v>
      </c>
      <c r="BX128" s="602">
        <f t="shared" si="82"/>
        <v>0</v>
      </c>
      <c r="BY128" s="601">
        <f t="shared" si="83"/>
        <v>0</v>
      </c>
      <c r="BZ128" s="462"/>
      <c r="CA128" s="785">
        <f>$BL128*(1-$BR128)*Tables!$C$36</f>
        <v>0</v>
      </c>
      <c r="CB128" s="602">
        <f t="shared" si="84"/>
        <v>0</v>
      </c>
      <c r="CC128" s="601">
        <f t="shared" si="85"/>
        <v>0</v>
      </c>
      <c r="CD128" s="785">
        <f>$BP128*(1-$BR128)*Tables!$C$36</f>
        <v>0</v>
      </c>
      <c r="CE128" s="602">
        <f t="shared" si="86"/>
        <v>0</v>
      </c>
      <c r="CF128" s="601">
        <f t="shared" si="87"/>
        <v>0</v>
      </c>
      <c r="CH128" s="785">
        <f>$BM128*(1-$BR128)*Tables!$C$36</f>
        <v>0</v>
      </c>
      <c r="CI128" s="602">
        <f t="shared" si="88"/>
        <v>0</v>
      </c>
      <c r="CJ128" s="601">
        <f t="shared" si="89"/>
        <v>0</v>
      </c>
      <c r="CK128" s="304"/>
      <c r="CL128" s="304">
        <f t="shared" si="90"/>
        <v>2009</v>
      </c>
      <c r="CM128" s="1018">
        <f>INDEX(OperationalDetail,MATCH("Degraded Heat Rate",ODColumn,0),MATCH('Monthly Table'!CL128,ODRow,0))/1000</f>
        <v>12.0785236</v>
      </c>
      <c r="CN128" s="737">
        <f t="shared" si="69"/>
        <v>57.907226537751455</v>
      </c>
      <c r="CO128" s="1019">
        <f>IF(A128="January",(CO127*(1+Assumptions!$E$32)),CO127)</f>
        <v>8.0496953825266555</v>
      </c>
      <c r="CP128" s="741">
        <f t="shared" si="57"/>
        <v>65.956921920278106</v>
      </c>
      <c r="CQ128" s="304"/>
      <c r="CR128" s="575" t="str">
        <f t="shared" si="91"/>
        <v/>
      </c>
      <c r="CS128" s="575" t="str">
        <f t="shared" si="92"/>
        <v/>
      </c>
      <c r="CT128" s="575" t="str">
        <f t="shared" si="93"/>
        <v/>
      </c>
      <c r="CU128" s="575" t="str">
        <f t="shared" si="94"/>
        <v/>
      </c>
      <c r="CV128" s="575" t="str">
        <f t="shared" si="95"/>
        <v/>
      </c>
      <c r="CW128" s="576">
        <f t="shared" si="58"/>
        <v>2010</v>
      </c>
      <c r="CX128" s="787">
        <f>INDEX('NY Curve'!$A$4:$G$256,MATCH('Monthly Table'!B128,'NY Curve'!$A$4:$A$256,0),MATCH("New York 5 X 16",'NY Curve'!$A$4:$G$4,0))</f>
        <v>26.2</v>
      </c>
      <c r="CY128" s="632">
        <f t="shared" si="59"/>
        <v>1.32259235827823</v>
      </c>
      <c r="CZ128" s="633">
        <f t="shared" si="60"/>
        <v>34.651919786889621</v>
      </c>
      <c r="DB128" s="857"/>
      <c r="DC128" s="857"/>
    </row>
    <row r="129" spans="1:107" ht="18.75" customHeight="1">
      <c r="A129" s="17" t="s">
        <v>447</v>
      </c>
      <c r="B129" s="508">
        <v>40483</v>
      </c>
      <c r="C129" s="43">
        <f t="shared" si="49"/>
        <v>2010</v>
      </c>
      <c r="D129" s="719">
        <f t="shared" si="96"/>
        <v>10</v>
      </c>
      <c r="E129" s="972">
        <v>21</v>
      </c>
      <c r="F129" s="971">
        <v>4</v>
      </c>
      <c r="G129" s="971">
        <v>4</v>
      </c>
      <c r="H129" s="971">
        <v>1</v>
      </c>
      <c r="I129" s="976">
        <f t="shared" si="70"/>
        <v>30</v>
      </c>
      <c r="J129" s="621"/>
      <c r="K129" s="572">
        <f>INDEX(FX!$A$3:$C$362,MATCH(B129,FX!$A$3:$A$362,0),MATCH("Monthly Curve",FX!$A$2:$C$2,0))</f>
        <v>1.3217083342360001</v>
      </c>
      <c r="L129" s="572"/>
      <c r="M129" s="1070">
        <v>3.2444999999999999</v>
      </c>
      <c r="N129" s="1071">
        <v>0.23</v>
      </c>
      <c r="O129" s="877">
        <v>0.1</v>
      </c>
      <c r="P129" s="797">
        <f t="shared" si="51"/>
        <v>0.33</v>
      </c>
      <c r="Q129" s="732">
        <f t="shared" si="52"/>
        <v>3.5745</v>
      </c>
      <c r="R129" s="723">
        <f>IF(A129="January",(R128+R128*Assumptions!$E$32),R128)</f>
        <v>0.35891705132341606</v>
      </c>
      <c r="S129" s="730">
        <f t="shared" si="53"/>
        <v>5.0833634920499984</v>
      </c>
      <c r="T129" s="572"/>
      <c r="U129" s="509"/>
      <c r="V129" s="584"/>
      <c r="W129" s="584"/>
      <c r="X129" s="461"/>
      <c r="Y129" s="588">
        <f>Tables!$D$36</f>
        <v>312</v>
      </c>
      <c r="Z129" s="570">
        <f t="shared" si="54"/>
        <v>0</v>
      </c>
      <c r="AA129" s="592">
        <f t="shared" si="55"/>
        <v>0</v>
      </c>
      <c r="AB129" s="589">
        <f t="shared" si="50"/>
        <v>0</v>
      </c>
      <c r="AC129" s="462"/>
      <c r="AD129" s="1027">
        <f>IF(Tables!$E$30="Michigan",INDEX('Michigan Curve'!$A$4:$S$256,MATCH('Monthly Table'!B129,'Michigan Curve'!$A$4:$A$256,0),MATCH("Michigan Selected Option Value US$/month",'Michigan Curve'!$A$4:$S$4,0)),INDEX('NY Curve'!$A$4:$T$256,MATCH('Monthly Table'!B129,'NY Curve'!$A$4:$A$256,0),MATCH("New York Selected Option Value US$/month",'NY Curve'!$A$4:$T$4,0)))</f>
        <v>13027.178941725002</v>
      </c>
      <c r="AE129" s="601">
        <f t="shared" si="71"/>
        <v>17218.130978861653</v>
      </c>
      <c r="AF129" s="462"/>
      <c r="AG129" s="915"/>
      <c r="AH129" s="17"/>
      <c r="AI129" s="799">
        <f>Assumptions!$B$50</f>
        <v>65</v>
      </c>
      <c r="AJ129" s="743"/>
      <c r="AK129" s="924">
        <f>IF(Tables!$E$30="Custom",'Monthly Table'!AI129,IF(Tables!$E$30="New York",INDEX('NY Curve'!$A$4:$G$256,MATCH('Monthly Table'!B129,'NY Curve'!$A$4:$A$256,0),MATCH("Super Peak Curve",'NY Curve'!$A$4:$G$4,0)),IF(Tables!$E$30="New York Flat",INDEX('NY Curve'!$A$4:$G$256,MATCH('Monthly Table'!B129,'NY Curve'!$A$4:$A$256,0),MATCH("Flat NY West",'NY Curve'!$A$4:$G$4,0)),INDEX('Michigan Curve'!$A$4:$F$256,MATCH('Monthly Table'!B129,'Michigan Curve'!$A$4:$A$256,0),MATCH("Michigan Super Peak Curve US$/MWhr",'Michigan Curve'!$A$4:$F$4,0)))))</f>
        <v>29.948395385742188</v>
      </c>
      <c r="AL129" s="965">
        <f>IF(D129&lt;=Tables!$B$21,IF($AL$10=$AI$10,AI129,IF($AL$10=$AJ$10,AJ129,IF($AL$10=$AK$10,AK129,0))),0)</f>
        <v>29.948395385742188</v>
      </c>
      <c r="AM129" s="708">
        <f t="shared" si="72"/>
        <v>39.583043778330421</v>
      </c>
      <c r="AN129" s="916">
        <f t="shared" si="73"/>
        <v>0</v>
      </c>
      <c r="AO129" s="905"/>
      <c r="AP129" s="925"/>
      <c r="AQ129" s="926">
        <f>IF(Tables!$E$30="New York",INDEX('NY Curve'!$A$4:$L$256,MATCH('Monthly Table'!B129,'NY Curve'!$A$4:$A$256,0),MATCH("New York Shoulder Hour Curve Mon-Fri",'NY Curve'!$A$4:$L$4,0)),IF(Tables!$E$30="Michigan",INDEX('Michigan Curve'!$A$4:$K$256,MATCH('Monthly Table'!B129,'Michigan Curve'!$A$4:$A$256,0),MATCH("Michigan Shoulder Hour Curve Mon-Fri",'Michigan Curve'!$A$4:$K$4,0))))</f>
        <v>25.511596069335937</v>
      </c>
      <c r="AR129" s="708">
        <f t="shared" si="74"/>
        <v>33.718889144503692</v>
      </c>
      <c r="AS129" s="927">
        <f t="shared" si="61"/>
        <v>0</v>
      </c>
      <c r="AT129" s="462"/>
      <c r="AU129" s="926">
        <f>IF(Tables!$E$30="New York",INDEX('NY Curve'!$A$4:$L$256,MATCH('Monthly Table'!$B129,'NY Curve'!$A$4:$A$256,0),MATCH("New York Saturday Super Peak",'NY Curve'!$A$4:$L$4,0)),IF(Tables!$E$30="Michigan",INDEX('Michigan Curve'!$A$4:$K$256,MATCH('Monthly Table'!$B129,'Michigan Curve'!$A$4:$A$256,0),MATCH("Michigan Saturday Super Peak",'Michigan Curve'!$A$4:$K$4,0))))</f>
        <v>21.6</v>
      </c>
      <c r="AV129" s="925">
        <f t="shared" si="62"/>
        <v>28.548900019497605</v>
      </c>
      <c r="AW129" s="927">
        <f t="shared" si="63"/>
        <v>0</v>
      </c>
      <c r="AX129" s="926">
        <f>IF(Tables!$E$30="New York",INDEX('NY Curve'!$A$4:$L$256,MATCH('Monthly Table'!$B129,'NY Curve'!$A$4:$A$256,0),MATCH("New York Saturday Shoulder Peak",'NY Curve'!$A$4:$L$4,0)),IF(Tables!$E$30="Michigan",INDEX('Michigan Curve'!$A$4:$K$256,MATCH('Monthly Table'!$B129,'Michigan Curve'!$A$4:$A$256,0),MATCH("Michigan Saturday Shoulder Peak",'Michigan Curve'!$A$4:$K$4,0))))</f>
        <v>18.399999999999999</v>
      </c>
      <c r="AY129" s="934">
        <f t="shared" si="75"/>
        <v>24.3194333499424</v>
      </c>
      <c r="AZ129" s="927">
        <f t="shared" si="64"/>
        <v>0</v>
      </c>
      <c r="BA129" s="462"/>
      <c r="BB129" s="926">
        <f>IF(Tables!$E$30="New York",INDEX('NY Curve'!$A$4:$M$256,MATCH('Monthly Table'!$B129,'NY Curve'!$A$4:$A$256,0),MATCH("NY Sunday Super Peak",'NY Curve'!$A$4:$M$4,0)),IF(Tables!$E$30="Michigan",INDEX('Michigan Curve'!$A$4:$L$256,MATCH('Monthly Table'!$B129,'Michigan Curve'!$A$4:$A$256,0),MATCH("Michigan Sunday Super Peak",'Michigan Curve'!$A$4:$L$4,0))))</f>
        <v>20.520000000000003</v>
      </c>
      <c r="BC129" s="925">
        <f t="shared" si="76"/>
        <v>27.121455018522727</v>
      </c>
      <c r="BD129" s="927">
        <f t="shared" si="65"/>
        <v>0</v>
      </c>
      <c r="BE129" s="462"/>
      <c r="BF129" s="598">
        <f t="shared" si="56"/>
        <v>40483</v>
      </c>
      <c r="BG129" s="583">
        <f t="shared" si="77"/>
        <v>0</v>
      </c>
      <c r="BH129" s="764">
        <f>IF(Tables!$B$36="Combined Cycle",(BF129-BF128)*24*Assumptions!$B$21,0)</f>
        <v>0</v>
      </c>
      <c r="BI129" s="315">
        <f t="shared" si="78"/>
        <v>0</v>
      </c>
      <c r="BJ129" s="987">
        <f>IF('Monthly Table'!D129&lt;=Tables!$B$21,IF($BJ$10=$BG$10,BG129,IF($BJ$10=$BH$10,BH129,IF($BJ$10=$BI$10,BI129,0))),0)</f>
        <v>0</v>
      </c>
      <c r="BK129" s="43"/>
      <c r="BL129" s="987">
        <f t="shared" si="79"/>
        <v>0</v>
      </c>
      <c r="BM129" s="987">
        <f t="shared" si="80"/>
        <v>0</v>
      </c>
      <c r="BO129" s="987">
        <f t="shared" si="66"/>
        <v>0</v>
      </c>
      <c r="BP129" s="987">
        <f t="shared" si="81"/>
        <v>0</v>
      </c>
      <c r="BR129" s="993">
        <f>IF(BJ129&gt;0,INDEX(OperationalDetail,MATCH("Capacity Degradation",ODColumn,0),MATCH('Monthly Table'!C129,ODRow,0)),0)</f>
        <v>0</v>
      </c>
      <c r="BS129" s="994">
        <f>BJ129*(1-BR129)*Tables!$C$36</f>
        <v>0</v>
      </c>
      <c r="BT129" s="601">
        <f t="shared" si="67"/>
        <v>0</v>
      </c>
      <c r="BU129" s="601">
        <f t="shared" si="68"/>
        <v>0</v>
      </c>
      <c r="BV129" s="462"/>
      <c r="BW129" s="785">
        <f>$BO129*(1-$BR129)*Tables!$C$36</f>
        <v>0</v>
      </c>
      <c r="BX129" s="602">
        <f t="shared" si="82"/>
        <v>0</v>
      </c>
      <c r="BY129" s="601">
        <f t="shared" si="83"/>
        <v>0</v>
      </c>
      <c r="BZ129" s="462"/>
      <c r="CA129" s="785">
        <f>$BL129*(1-$BR129)*Tables!$C$36</f>
        <v>0</v>
      </c>
      <c r="CB129" s="602">
        <f t="shared" si="84"/>
        <v>0</v>
      </c>
      <c r="CC129" s="601">
        <f t="shared" si="85"/>
        <v>0</v>
      </c>
      <c r="CD129" s="785">
        <f>$BP129*(1-$BR129)*Tables!$C$36</f>
        <v>0</v>
      </c>
      <c r="CE129" s="602">
        <f t="shared" si="86"/>
        <v>0</v>
      </c>
      <c r="CF129" s="601">
        <f t="shared" si="87"/>
        <v>0</v>
      </c>
      <c r="CH129" s="785">
        <f>$BM129*(1-$BR129)*Tables!$C$36</f>
        <v>0</v>
      </c>
      <c r="CI129" s="602">
        <f t="shared" si="88"/>
        <v>0</v>
      </c>
      <c r="CJ129" s="601">
        <f t="shared" si="89"/>
        <v>0</v>
      </c>
      <c r="CK129" s="304"/>
      <c r="CL129" s="304">
        <f t="shared" si="90"/>
        <v>2009</v>
      </c>
      <c r="CM129" s="1018">
        <f>INDEX(OperationalDetail,MATCH("Degraded Heat Rate",ODColumn,0),MATCH('Monthly Table'!CL129,ODRow,0))/1000</f>
        <v>12.0785236</v>
      </c>
      <c r="CN129" s="737">
        <f t="shared" si="69"/>
        <v>61.399525906104323</v>
      </c>
      <c r="CO129" s="1019">
        <f>IF(A129="January",(CO128*(1+Assumptions!$E$32)),CO128)</f>
        <v>8.0496953825266555</v>
      </c>
      <c r="CP129" s="741">
        <f t="shared" si="57"/>
        <v>69.44922128863098</v>
      </c>
      <c r="CQ129" s="304"/>
      <c r="CR129" s="575" t="str">
        <f t="shared" si="91"/>
        <v/>
      </c>
      <c r="CS129" s="575" t="str">
        <f t="shared" si="92"/>
        <v/>
      </c>
      <c r="CT129" s="575" t="str">
        <f t="shared" si="93"/>
        <v/>
      </c>
      <c r="CU129" s="575" t="str">
        <f t="shared" si="94"/>
        <v/>
      </c>
      <c r="CV129" s="575" t="str">
        <f t="shared" si="95"/>
        <v/>
      </c>
      <c r="CW129" s="576">
        <f t="shared" si="58"/>
        <v>2010</v>
      </c>
      <c r="CX129" s="787">
        <f>INDEX('NY Curve'!$A$4:$G$256,MATCH('Monthly Table'!B129,'NY Curve'!$A$4:$A$256,0),MATCH("New York 5 X 16",'NY Curve'!$A$4:$G$4,0))</f>
        <v>26.7</v>
      </c>
      <c r="CY129" s="632">
        <f t="shared" si="59"/>
        <v>1.3217083342360001</v>
      </c>
      <c r="CZ129" s="633">
        <f t="shared" si="60"/>
        <v>35.289612524101202</v>
      </c>
      <c r="DB129" s="857"/>
      <c r="DC129" s="857"/>
    </row>
    <row r="130" spans="1:107" s="222" customFormat="1" ht="18.75" customHeight="1">
      <c r="A130" s="222" t="s">
        <v>448</v>
      </c>
      <c r="B130" s="564">
        <v>40513</v>
      </c>
      <c r="C130" s="565">
        <f t="shared" si="49"/>
        <v>2010</v>
      </c>
      <c r="D130" s="819">
        <f t="shared" si="96"/>
        <v>10</v>
      </c>
      <c r="E130" s="980">
        <v>23</v>
      </c>
      <c r="F130" s="981">
        <v>3</v>
      </c>
      <c r="G130" s="981">
        <v>4</v>
      </c>
      <c r="H130" s="981">
        <v>1</v>
      </c>
      <c r="I130" s="982">
        <f t="shared" si="70"/>
        <v>31</v>
      </c>
      <c r="J130" s="969"/>
      <c r="K130" s="820">
        <f>INDEX(FX!$A$3:$C$362,MATCH(B130,FX!$A$3:$A$362,0),MATCH("Monthly Curve",FX!$A$2:$C$2,0))</f>
        <v>1.3208552034946299</v>
      </c>
      <c r="L130" s="820"/>
      <c r="M130" s="1072">
        <v>3.3705000000000003</v>
      </c>
      <c r="N130" s="1073">
        <v>0.27</v>
      </c>
      <c r="O130" s="878">
        <v>0.1</v>
      </c>
      <c r="P130" s="824">
        <f t="shared" si="51"/>
        <v>0.37</v>
      </c>
      <c r="Q130" s="825">
        <f t="shared" si="52"/>
        <v>3.7405000000000004</v>
      </c>
      <c r="R130" s="837">
        <f>IF(A130="January",(R129+R129*Assumptions!$E$32),R129)</f>
        <v>0.35891705132341606</v>
      </c>
      <c r="S130" s="827">
        <f t="shared" si="53"/>
        <v>5.299575939995079</v>
      </c>
      <c r="T130" s="820"/>
      <c r="U130" s="567"/>
      <c r="V130" s="838"/>
      <c r="W130" s="838"/>
      <c r="X130" s="566"/>
      <c r="Y130" s="839">
        <f>Tables!$D$36</f>
        <v>312</v>
      </c>
      <c r="Z130" s="678">
        <f t="shared" si="54"/>
        <v>0</v>
      </c>
      <c r="AA130" s="679">
        <f t="shared" si="55"/>
        <v>0</v>
      </c>
      <c r="AB130" s="680">
        <f t="shared" si="50"/>
        <v>0</v>
      </c>
      <c r="AC130" s="828"/>
      <c r="AD130" s="1027">
        <f>IF(Tables!$E$30="Michigan",INDEX('Michigan Curve'!$A$4:$S$256,MATCH('Monthly Table'!B130,'Michigan Curve'!$A$4:$A$256,0),MATCH("Michigan Selected Option Value US$/month",'Michigan Curve'!$A$4:$S$4,0)),INDEX('NY Curve'!$A$4:$T$256,MATCH('Monthly Table'!B130,'NY Curve'!$A$4:$A$256,0),MATCH("New York Selected Option Value US$/month",'NY Curve'!$A$4:$T$4,0)))</f>
        <v>7324.5735399569967</v>
      </c>
      <c r="AE130" s="601">
        <f t="shared" si="71"/>
        <v>9674.7010736312805</v>
      </c>
      <c r="AF130" s="828"/>
      <c r="AG130" s="917"/>
      <c r="AI130" s="799">
        <f>Assumptions!$B$50</f>
        <v>65</v>
      </c>
      <c r="AJ130" s="762"/>
      <c r="AK130" s="924">
        <f>IF(Tables!$E$30="Custom",'Monthly Table'!AI130,IF(Tables!$E$30="New York",INDEX('NY Curve'!$A$4:$G$256,MATCH('Monthly Table'!B130,'NY Curve'!$A$4:$A$256,0),MATCH("Super Peak Curve",'NY Curve'!$A$4:$G$4,0)),IF(Tables!$E$30="New York Flat",INDEX('NY Curve'!$A$4:$G$256,MATCH('Monthly Table'!B130,'NY Curve'!$A$4:$A$256,0),MATCH("Flat NY West",'NY Curve'!$A$4:$G$4,0)),INDEX('Michigan Curve'!$A$4:$F$256,MATCH('Monthly Table'!B130,'Michigan Curve'!$A$4:$A$256,0),MATCH("Michigan Super Peak Curve US$/MWhr",'Michigan Curve'!$A$4:$F$4,0)))))</f>
        <v>28.763994941711427</v>
      </c>
      <c r="AL130" s="966">
        <f>IF(D130&lt;=Tables!$B$21,IF($AL$10=$AI$10,AI130,IF($AL$10=$AJ$10,AJ130,IF($AL$10=$AK$10,AK130,0))),0)</f>
        <v>28.763994941711427</v>
      </c>
      <c r="AM130" s="879">
        <f t="shared" si="72"/>
        <v>37.993072392052753</v>
      </c>
      <c r="AN130" s="918">
        <f t="shared" si="73"/>
        <v>0</v>
      </c>
      <c r="AO130" s="906"/>
      <c r="AP130" s="983"/>
      <c r="AQ130" s="926">
        <f>IF(Tables!$E$30="New York",INDEX('NY Curve'!$A$4:$L$256,MATCH('Monthly Table'!B130,'NY Curve'!$A$4:$A$256,0),MATCH("New York Shoulder Hour Curve Mon-Fri",'NY Curve'!$A$4:$L$4,0)),IF(Tables!$E$30="Michigan",INDEX('Michigan Curve'!$A$4:$K$256,MATCH('Monthly Table'!B130,'Michigan Curve'!$A$4:$A$256,0),MATCH("Michigan Shoulder Hour Curve Mon-Fri",'Michigan Curve'!$A$4:$K$4,0))))</f>
        <v>27.635995140075682</v>
      </c>
      <c r="AR130" s="879">
        <f t="shared" si="74"/>
        <v>36.50314798452127</v>
      </c>
      <c r="AS130" s="984">
        <f t="shared" si="61"/>
        <v>0</v>
      </c>
      <c r="AT130" s="828"/>
      <c r="AU130" s="926">
        <f>IF(Tables!$E$30="New York",INDEX('NY Curve'!$A$4:$L$256,MATCH('Monthly Table'!$B130,'NY Curve'!$A$4:$A$256,0),MATCH("New York Saturday Super Peak",'NY Curve'!$A$4:$L$4,0)),IF(Tables!$E$30="Michigan",INDEX('Michigan Curve'!$A$4:$K$256,MATCH('Monthly Table'!$B130,'Michigan Curve'!$A$4:$A$256,0),MATCH("Michigan Saturday Super Peak",'Michigan Curve'!$A$4:$K$4,0))))</f>
        <v>20.399999999999999</v>
      </c>
      <c r="AV130" s="983">
        <f t="shared" si="62"/>
        <v>26.945446151290447</v>
      </c>
      <c r="AW130" s="984">
        <f t="shared" si="63"/>
        <v>0</v>
      </c>
      <c r="AX130" s="926">
        <f>IF(Tables!$E$30="New York",INDEX('NY Curve'!$A$4:$L$256,MATCH('Monthly Table'!$B130,'NY Curve'!$A$4:$A$256,0),MATCH("New York Saturday Shoulder Peak",'NY Curve'!$A$4:$L$4,0)),IF(Tables!$E$30="Michigan",INDEX('Michigan Curve'!$A$4:$K$256,MATCH('Monthly Table'!$B130,'Michigan Curve'!$A$4:$A$256,0),MATCH("Michigan Saturday Shoulder Peak",'Michigan Curve'!$A$4:$K$4,0))))</f>
        <v>19.600000000000001</v>
      </c>
      <c r="AY130" s="985">
        <f t="shared" si="75"/>
        <v>25.88876198849475</v>
      </c>
      <c r="AZ130" s="984">
        <f t="shared" si="64"/>
        <v>0</v>
      </c>
      <c r="BA130" s="828"/>
      <c r="BB130" s="926">
        <f>IF(Tables!$E$30="New York",INDEX('NY Curve'!$A$4:$M$256,MATCH('Monthly Table'!$B130,'NY Curve'!$A$4:$A$256,0),MATCH("NY Sunday Super Peak",'NY Curve'!$A$4:$M$4,0)),IF(Tables!$E$30="Michigan",INDEX('Michigan Curve'!$A$4:$L$256,MATCH('Monthly Table'!$B130,'Michigan Curve'!$A$4:$A$256,0),MATCH("Michigan Sunday Super Peak",'Michigan Curve'!$A$4:$L$4,0))))</f>
        <v>19.38</v>
      </c>
      <c r="BC130" s="925">
        <f t="shared" si="76"/>
        <v>25.598173843725927</v>
      </c>
      <c r="BD130" s="984">
        <f t="shared" si="65"/>
        <v>0</v>
      </c>
      <c r="BE130" s="828"/>
      <c r="BF130" s="829">
        <f t="shared" si="56"/>
        <v>40513</v>
      </c>
      <c r="BG130" s="830">
        <f t="shared" si="77"/>
        <v>0</v>
      </c>
      <c r="BH130" s="840">
        <f>IF(Tables!$B$36="Combined Cycle",(BF130-BF129)*24*Assumptions!$B$21,0)</f>
        <v>0</v>
      </c>
      <c r="BI130" s="831">
        <f t="shared" si="78"/>
        <v>0</v>
      </c>
      <c r="BJ130" s="988">
        <f>IF('Monthly Table'!D130&lt;=Tables!$B$21,IF($BJ$10=$BG$10,BG130,IF($BJ$10=$BH$10,BH130,IF($BJ$10=$BI$10,BI130,0))),0)</f>
        <v>0</v>
      </c>
      <c r="BK130" s="565"/>
      <c r="BL130" s="988">
        <f t="shared" si="79"/>
        <v>0</v>
      </c>
      <c r="BM130" s="987">
        <f t="shared" si="80"/>
        <v>0</v>
      </c>
      <c r="BN130" s="565"/>
      <c r="BO130" s="988">
        <f t="shared" si="66"/>
        <v>0</v>
      </c>
      <c r="BP130" s="988">
        <f t="shared" si="81"/>
        <v>0</v>
      </c>
      <c r="BQ130" s="565"/>
      <c r="BR130" s="995">
        <f>IF(BJ130&gt;0,INDEX(OperationalDetail,MATCH("Capacity Degradation",ODColumn,0),MATCH('Monthly Table'!C130,ODRow,0)),0)</f>
        <v>0</v>
      </c>
      <c r="BS130" s="996">
        <f>BJ130*(1-BR130)*Tables!$C$36</f>
        <v>0</v>
      </c>
      <c r="BT130" s="834">
        <f t="shared" si="67"/>
        <v>0</v>
      </c>
      <c r="BU130" s="834">
        <f t="shared" si="68"/>
        <v>0</v>
      </c>
      <c r="BV130" s="828"/>
      <c r="BW130" s="832">
        <f>$BO130*(1-$BR130)*Tables!$C$36</f>
        <v>0</v>
      </c>
      <c r="BX130" s="833">
        <f t="shared" si="82"/>
        <v>0</v>
      </c>
      <c r="BY130" s="834">
        <f t="shared" si="83"/>
        <v>0</v>
      </c>
      <c r="BZ130" s="828"/>
      <c r="CA130" s="832">
        <f>$BL130*(1-$BR130)*Tables!$C$36</f>
        <v>0</v>
      </c>
      <c r="CB130" s="833">
        <f t="shared" si="84"/>
        <v>0</v>
      </c>
      <c r="CC130" s="834">
        <f t="shared" si="85"/>
        <v>0</v>
      </c>
      <c r="CD130" s="832">
        <f>$BP130*(1-$BR130)*Tables!$C$36</f>
        <v>0</v>
      </c>
      <c r="CE130" s="833">
        <f t="shared" si="86"/>
        <v>0</v>
      </c>
      <c r="CF130" s="834">
        <f t="shared" si="87"/>
        <v>0</v>
      </c>
      <c r="CH130" s="785">
        <f>$BM130*(1-$BR130)*Tables!$C$36</f>
        <v>0</v>
      </c>
      <c r="CI130" s="602">
        <f t="shared" si="88"/>
        <v>0</v>
      </c>
      <c r="CJ130" s="601">
        <f t="shared" si="89"/>
        <v>0</v>
      </c>
      <c r="CK130" s="880"/>
      <c r="CL130" s="304">
        <f t="shared" si="90"/>
        <v>2009</v>
      </c>
      <c r="CM130" s="1018">
        <f>INDEX(OperationalDetail,MATCH("Degraded Heat Rate",ODColumn,0),MATCH('Monthly Table'!CL130,ODRow,0))/1000</f>
        <v>12.0785236</v>
      </c>
      <c r="CN130" s="835">
        <f t="shared" si="69"/>
        <v>64.011053061222754</v>
      </c>
      <c r="CO130" s="1020">
        <f>IF(A130="January",(CO129*(1+Assumptions!$E$32)),CO129)</f>
        <v>8.0496953825266555</v>
      </c>
      <c r="CP130" s="836">
        <f t="shared" si="57"/>
        <v>72.060748443749404</v>
      </c>
      <c r="CQ130" s="880"/>
      <c r="CR130" s="841" t="str">
        <f t="shared" si="91"/>
        <v/>
      </c>
      <c r="CS130" s="841" t="str">
        <f t="shared" si="92"/>
        <v/>
      </c>
      <c r="CT130" s="841" t="str">
        <f t="shared" si="93"/>
        <v/>
      </c>
      <c r="CU130" s="841" t="str">
        <f t="shared" si="94"/>
        <v/>
      </c>
      <c r="CV130" s="575" t="str">
        <f t="shared" si="95"/>
        <v/>
      </c>
      <c r="CW130" s="842">
        <f t="shared" si="58"/>
        <v>2010</v>
      </c>
      <c r="CX130" s="843">
        <f>INDEX('NY Curve'!$A$4:$G$256,MATCH('Monthly Table'!B130,'NY Curve'!$A$4:$A$256,0),MATCH("New York 5 X 16",'NY Curve'!$A$4:$G$4,0))</f>
        <v>27.2</v>
      </c>
      <c r="CY130" s="844">
        <f t="shared" si="59"/>
        <v>1.3208552034946299</v>
      </c>
      <c r="CZ130" s="845">
        <f t="shared" si="60"/>
        <v>35.92726153505393</v>
      </c>
      <c r="DB130" s="881"/>
      <c r="DC130" s="881"/>
    </row>
    <row r="131" spans="1:107" ht="18.75" customHeight="1">
      <c r="A131" s="17" t="s">
        <v>437</v>
      </c>
      <c r="B131" s="508">
        <v>40544</v>
      </c>
      <c r="C131" s="43">
        <f t="shared" si="49"/>
        <v>2011</v>
      </c>
      <c r="D131" s="719">
        <f t="shared" si="96"/>
        <v>11</v>
      </c>
      <c r="E131" s="972">
        <v>21</v>
      </c>
      <c r="F131" s="971">
        <v>4</v>
      </c>
      <c r="G131" s="971">
        <v>5</v>
      </c>
      <c r="H131" s="971">
        <v>1</v>
      </c>
      <c r="I131" s="976">
        <f t="shared" si="70"/>
        <v>31</v>
      </c>
      <c r="J131" s="621"/>
      <c r="K131" s="572">
        <f>INDEX(FX!$A$3:$C$362,MATCH(B131,FX!$A$3:$A$362,0),MATCH("Monthly Curve",FX!$A$2:$C$2,0))</f>
        <v>1.31997608656645</v>
      </c>
      <c r="L131" s="572"/>
      <c r="M131" s="1070">
        <v>3.4510000000000005</v>
      </c>
      <c r="N131" s="1071">
        <v>0.28000000000000003</v>
      </c>
      <c r="O131" s="877">
        <v>0.1</v>
      </c>
      <c r="P131" s="797">
        <f t="shared" si="51"/>
        <v>0.38</v>
      </c>
      <c r="Q131" s="732">
        <f t="shared" si="52"/>
        <v>3.8310000000000008</v>
      </c>
      <c r="R131" s="723">
        <f>IF(A131="January",(R130+R130*Assumptions!$E$32),R130)</f>
        <v>0.36609539234988436</v>
      </c>
      <c r="S131" s="730">
        <f t="shared" si="53"/>
        <v>5.4229237799859558</v>
      </c>
      <c r="T131" s="572"/>
      <c r="U131" s="509"/>
      <c r="V131" s="584"/>
      <c r="W131" s="584"/>
      <c r="X131" s="461"/>
      <c r="Y131" s="588">
        <f>Tables!$D$36</f>
        <v>312</v>
      </c>
      <c r="Z131" s="570">
        <f t="shared" si="54"/>
        <v>0</v>
      </c>
      <c r="AA131" s="592">
        <f t="shared" si="55"/>
        <v>0</v>
      </c>
      <c r="AB131" s="589">
        <f t="shared" si="50"/>
        <v>0</v>
      </c>
      <c r="AC131" s="462"/>
      <c r="AD131" s="1027">
        <f>IF(Tables!$E$30="Michigan",INDEX('Michigan Curve'!$A$4:$S$256,MATCH('Monthly Table'!B131,'Michigan Curve'!$A$4:$A$256,0),MATCH("Michigan Selected Option Value US$/month",'Michigan Curve'!$A$4:$S$4,0)),INDEX('NY Curve'!$A$4:$T$256,MATCH('Monthly Table'!B131,'NY Curve'!$A$4:$A$256,0),MATCH("New York Selected Option Value US$/month",'NY Curve'!$A$4:$T$4,0)))</f>
        <v>38076.551262663168</v>
      </c>
      <c r="AE131" s="601">
        <f t="shared" si="71"/>
        <v>50260.137125636953</v>
      </c>
      <c r="AF131" s="462"/>
      <c r="AG131" s="915"/>
      <c r="AH131" s="17"/>
      <c r="AI131" s="799">
        <f>Assumptions!$B$50</f>
        <v>65</v>
      </c>
      <c r="AJ131" s="743"/>
      <c r="AK131" s="924">
        <f>IF(Tables!$E$30="Custom",'Monthly Table'!AI131,IF(Tables!$E$30="New York",INDEX('NY Curve'!$A$4:$G$256,MATCH('Monthly Table'!B131,'NY Curve'!$A$4:$A$256,0),MATCH("Super Peak Curve",'NY Curve'!$A$4:$G$4,0)),IF(Tables!$E$30="New York Flat",INDEX('NY Curve'!$A$4:$G$256,MATCH('Monthly Table'!B131,'NY Curve'!$A$4:$A$256,0),MATCH("Flat NY West",'NY Curve'!$A$4:$G$4,0)),INDEX('Michigan Curve'!$A$4:$F$256,MATCH('Monthly Table'!B131,'Michigan Curve'!$A$4:$A$256,0),MATCH("Michigan Super Peak Curve US$/MWhr",'Michigan Curve'!$A$4:$F$4,0)))))</f>
        <v>34.374000389099123</v>
      </c>
      <c r="AL131" s="965">
        <f>IF(D131&lt;=Tables!$B$21,IF($AL$10=$AI$10,AI131,IF($AL$10=$AJ$10,AJ131,IF($AL$10=$AK$10,AK131,0))),0)</f>
        <v>34.374000389099123</v>
      </c>
      <c r="AM131" s="708">
        <f t="shared" si="72"/>
        <v>45.372858513236693</v>
      </c>
      <c r="AN131" s="916">
        <f t="shared" si="73"/>
        <v>0</v>
      </c>
      <c r="AO131" s="905"/>
      <c r="AP131" s="925"/>
      <c r="AQ131" s="926">
        <f>IF(Tables!$E$30="New York",INDEX('NY Curve'!$A$4:$L$256,MATCH('Monthly Table'!B131,'NY Curve'!$A$4:$A$256,0),MATCH("New York Shoulder Hour Curve Mon-Fri",'NY Curve'!$A$4:$L$4,0)),IF(Tables!$E$30="Michigan",INDEX('Michigan Curve'!$A$4:$K$256,MATCH('Monthly Table'!B131,'Michigan Curve'!$A$4:$A$256,0),MATCH("Michigan Shoulder Hour Curve Mon-Fri",'Michigan Curve'!$A$4:$K$4,0))))</f>
        <v>33.026000373840333</v>
      </c>
      <c r="AR131" s="708">
        <f t="shared" si="74"/>
        <v>43.593530728403877</v>
      </c>
      <c r="AS131" s="927">
        <f t="shared" si="61"/>
        <v>0</v>
      </c>
      <c r="AT131" s="462"/>
      <c r="AU131" s="926">
        <f>IF(Tables!$E$30="New York",INDEX('NY Curve'!$A$4:$L$256,MATCH('Monthly Table'!$B131,'NY Curve'!$A$4:$A$256,0),MATCH("New York Saturday Super Peak",'NY Curve'!$A$4:$L$4,0)),IF(Tables!$E$30="Michigan",INDEX('Michigan Curve'!$A$4:$K$256,MATCH('Monthly Table'!$B131,'Michigan Curve'!$A$4:$A$256,0),MATCH("Michigan Saturday Super Peak",'Michigan Curve'!$A$4:$K$4,0))))</f>
        <v>22.44</v>
      </c>
      <c r="AV131" s="925">
        <f t="shared" si="62"/>
        <v>29.620263382551141</v>
      </c>
      <c r="AW131" s="927">
        <f t="shared" si="63"/>
        <v>0</v>
      </c>
      <c r="AX131" s="926">
        <f>IF(Tables!$E$30="New York",INDEX('NY Curve'!$A$4:$L$256,MATCH('Monthly Table'!$B131,'NY Curve'!$A$4:$A$256,0),MATCH("New York Saturday Shoulder Peak",'NY Curve'!$A$4:$L$4,0)),IF(Tables!$E$30="Michigan",INDEX('Michigan Curve'!$A$4:$K$256,MATCH('Monthly Table'!$B131,'Michigan Curve'!$A$4:$A$256,0),MATCH("Michigan Saturday Shoulder Peak",'Michigan Curve'!$A$4:$K$4,0))))</f>
        <v>21.56</v>
      </c>
      <c r="AY131" s="934">
        <f t="shared" si="75"/>
        <v>28.45868442637266</v>
      </c>
      <c r="AZ131" s="927">
        <f t="shared" si="64"/>
        <v>0</v>
      </c>
      <c r="BA131" s="462"/>
      <c r="BB131" s="926">
        <f>IF(Tables!$E$30="New York",INDEX('NY Curve'!$A$4:$M$256,MATCH('Monthly Table'!$B131,'NY Curve'!$A$4:$A$256,0),MATCH("NY Sunday Super Peak",'NY Curve'!$A$4:$M$4,0)),IF(Tables!$E$30="Michigan",INDEX('Michigan Curve'!$A$4:$L$256,MATCH('Monthly Table'!$B131,'Michigan Curve'!$A$4:$A$256,0),MATCH("Michigan Sunday Super Peak",'Michigan Curve'!$A$4:$L$4,0))))</f>
        <v>21.42</v>
      </c>
      <c r="BC131" s="925">
        <f t="shared" si="76"/>
        <v>28.273887774253364</v>
      </c>
      <c r="BD131" s="927">
        <f t="shared" si="65"/>
        <v>0</v>
      </c>
      <c r="BE131" s="462"/>
      <c r="BF131" s="598">
        <f t="shared" si="56"/>
        <v>40544</v>
      </c>
      <c r="BG131" s="583">
        <f t="shared" si="77"/>
        <v>0</v>
      </c>
      <c r="BH131" s="764">
        <f>IF(Tables!$B$36="Combined Cycle",(BF131-BF130)*24*Assumptions!$B$21,0)</f>
        <v>0</v>
      </c>
      <c r="BI131" s="315">
        <f t="shared" si="78"/>
        <v>0</v>
      </c>
      <c r="BJ131" s="987">
        <f>IF('Monthly Table'!D131&lt;=Tables!$B$21,IF($BJ$10=$BG$10,BG131,IF($BJ$10=$BH$10,BH131,IF($BJ$10=$BI$10,BI131,0))),0)</f>
        <v>0</v>
      </c>
      <c r="BK131" s="43"/>
      <c r="BL131" s="987">
        <f t="shared" si="79"/>
        <v>0</v>
      </c>
      <c r="BM131" s="987">
        <f t="shared" si="80"/>
        <v>0</v>
      </c>
      <c r="BO131" s="987">
        <f t="shared" si="66"/>
        <v>0</v>
      </c>
      <c r="BP131" s="987">
        <f t="shared" si="81"/>
        <v>0</v>
      </c>
      <c r="BR131" s="993">
        <f>IF(BJ131&gt;0,INDEX(OperationalDetail,MATCH("Capacity Degradation",ODColumn,0),MATCH('Monthly Table'!C131,ODRow,0)),0)</f>
        <v>0</v>
      </c>
      <c r="BS131" s="994">
        <f>BJ131*(1-BR131)*Tables!$C$36</f>
        <v>0</v>
      </c>
      <c r="BT131" s="601">
        <f t="shared" si="67"/>
        <v>0</v>
      </c>
      <c r="BU131" s="601">
        <f t="shared" si="68"/>
        <v>0</v>
      </c>
      <c r="BV131" s="462"/>
      <c r="BW131" s="785">
        <f>$BO131*(1-$BR131)*Tables!$C$36</f>
        <v>0</v>
      </c>
      <c r="BX131" s="602">
        <f t="shared" si="82"/>
        <v>0</v>
      </c>
      <c r="BY131" s="601">
        <f t="shared" si="83"/>
        <v>0</v>
      </c>
      <c r="BZ131" s="462"/>
      <c r="CA131" s="785">
        <f>$BL131*(1-$BR131)*Tables!$C$36</f>
        <v>0</v>
      </c>
      <c r="CB131" s="602">
        <f t="shared" si="84"/>
        <v>0</v>
      </c>
      <c r="CC131" s="601">
        <f t="shared" si="85"/>
        <v>0</v>
      </c>
      <c r="CD131" s="785">
        <f>$BP131*(1-$BR131)*Tables!$C$36</f>
        <v>0</v>
      </c>
      <c r="CE131" s="602">
        <f t="shared" si="86"/>
        <v>0</v>
      </c>
      <c r="CF131" s="601">
        <f t="shared" si="87"/>
        <v>0</v>
      </c>
      <c r="CH131" s="785">
        <f>$BM131*(1-$BR131)*Tables!$C$36</f>
        <v>0</v>
      </c>
      <c r="CI131" s="602">
        <f t="shared" si="88"/>
        <v>0</v>
      </c>
      <c r="CJ131" s="601">
        <f t="shared" si="89"/>
        <v>0</v>
      </c>
      <c r="CK131" s="304"/>
      <c r="CL131" s="304">
        <f t="shared" si="90"/>
        <v>2010</v>
      </c>
      <c r="CM131" s="1018">
        <f>INDEX(OperationalDetail,MATCH("Degraded Heat Rate",ODColumn,0),MATCH('Monthly Table'!CL131,ODRow,0))/1000</f>
        <v>12.109500000000001</v>
      </c>
      <c r="CN131" s="737">
        <f t="shared" si="69"/>
        <v>65.66889551373994</v>
      </c>
      <c r="CO131" s="1019">
        <f>IF(A131="January",(CO130*(1+Assumptions!$E$32)),CO130)</f>
        <v>8.2106892901771893</v>
      </c>
      <c r="CP131" s="741">
        <f t="shared" si="57"/>
        <v>73.879584803917126</v>
      </c>
      <c r="CQ131" s="304"/>
      <c r="CR131" s="575" t="str">
        <f t="shared" si="91"/>
        <v/>
      </c>
      <c r="CS131" s="575" t="str">
        <f t="shared" si="92"/>
        <v/>
      </c>
      <c r="CT131" s="575" t="str">
        <f t="shared" si="93"/>
        <v/>
      </c>
      <c r="CU131" s="575" t="str">
        <f t="shared" si="94"/>
        <v/>
      </c>
      <c r="CV131" s="575" t="str">
        <f t="shared" si="95"/>
        <v/>
      </c>
      <c r="CW131" s="576">
        <f t="shared" si="58"/>
        <v>2011</v>
      </c>
      <c r="CX131" s="787">
        <f>INDEX('NY Curve'!$A$4:$G$256,MATCH('Monthly Table'!B131,'NY Curve'!$A$4:$A$256,0),MATCH("New York 5 X 16",'NY Curve'!$A$4:$G$4,0))</f>
        <v>32.75</v>
      </c>
      <c r="CY131" s="632">
        <f t="shared" si="59"/>
        <v>1.31997608656645</v>
      </c>
      <c r="CZ131" s="633">
        <f t="shared" si="60"/>
        <v>43.22921683505124</v>
      </c>
      <c r="DB131" s="857"/>
      <c r="DC131" s="857"/>
    </row>
    <row r="132" spans="1:107" ht="18.75" customHeight="1">
      <c r="A132" s="17" t="s">
        <v>438</v>
      </c>
      <c r="B132" s="508">
        <v>40575</v>
      </c>
      <c r="C132" s="43">
        <f t="shared" si="49"/>
        <v>2011</v>
      </c>
      <c r="D132" s="719">
        <f t="shared" si="96"/>
        <v>11</v>
      </c>
      <c r="E132" s="972">
        <v>20</v>
      </c>
      <c r="F132" s="971">
        <v>4</v>
      </c>
      <c r="G132" s="971">
        <v>4</v>
      </c>
      <c r="H132" s="971">
        <v>0</v>
      </c>
      <c r="I132" s="976">
        <f t="shared" si="70"/>
        <v>28</v>
      </c>
      <c r="J132" s="621"/>
      <c r="K132" s="572">
        <f>INDEX(FX!$A$3:$C$362,MATCH(B132,FX!$A$3:$A$362,0),MATCH("Monthly Curve",FX!$A$2:$C$2,0))</f>
        <v>1.31909945717263</v>
      </c>
      <c r="L132" s="572"/>
      <c r="M132" s="1070">
        <v>3.3380000000000001</v>
      </c>
      <c r="N132" s="1071">
        <v>0.31</v>
      </c>
      <c r="O132" s="877">
        <v>0.1</v>
      </c>
      <c r="P132" s="797">
        <f t="shared" si="51"/>
        <v>0.41000000000000003</v>
      </c>
      <c r="Q132" s="732">
        <f t="shared" si="52"/>
        <v>3.7480000000000002</v>
      </c>
      <c r="R132" s="723">
        <f>IF(A132="January",(R131+R131*Assumptions!$E$32),R131)</f>
        <v>0.36609539234988436</v>
      </c>
      <c r="S132" s="730">
        <f t="shared" si="53"/>
        <v>5.3100801578329024</v>
      </c>
      <c r="T132" s="572"/>
      <c r="U132" s="509"/>
      <c r="V132" s="584"/>
      <c r="W132" s="584"/>
      <c r="X132" s="461"/>
      <c r="Y132" s="588">
        <f>Tables!$D$36</f>
        <v>312</v>
      </c>
      <c r="Z132" s="570">
        <f t="shared" si="54"/>
        <v>0</v>
      </c>
      <c r="AA132" s="592">
        <f t="shared" si="55"/>
        <v>0</v>
      </c>
      <c r="AB132" s="589">
        <f t="shared" si="50"/>
        <v>0</v>
      </c>
      <c r="AC132" s="462"/>
      <c r="AD132" s="1027">
        <f>IF(Tables!$E$30="Michigan",INDEX('Michigan Curve'!$A$4:$S$256,MATCH('Monthly Table'!B132,'Michigan Curve'!$A$4:$A$256,0),MATCH("Michigan Selected Option Value US$/month",'Michigan Curve'!$A$4:$S$4,0)),INDEX('NY Curve'!$A$4:$T$256,MATCH('Monthly Table'!B132,'NY Curve'!$A$4:$A$256,0),MATCH("New York Selected Option Value US$/month",'NY Curve'!$A$4:$T$4,0)))</f>
        <v>36752.671649658005</v>
      </c>
      <c r="AE132" s="601">
        <f t="shared" si="71"/>
        <v>48480.429222707782</v>
      </c>
      <c r="AF132" s="462"/>
      <c r="AG132" s="915"/>
      <c r="AH132" s="17"/>
      <c r="AI132" s="799">
        <f>Assumptions!$B$50</f>
        <v>65</v>
      </c>
      <c r="AJ132" s="743"/>
      <c r="AK132" s="924">
        <f>IF(Tables!$E$30="Custom",'Monthly Table'!AI132,IF(Tables!$E$30="New York",INDEX('NY Curve'!$A$4:$G$256,MATCH('Monthly Table'!B132,'NY Curve'!$A$4:$A$256,0),MATCH("Super Peak Curve",'NY Curve'!$A$4:$G$4,0)),IF(Tables!$E$30="New York Flat",INDEX('NY Curve'!$A$4:$G$256,MATCH('Monthly Table'!B132,'NY Curve'!$A$4:$A$256,0),MATCH("Flat NY West",'NY Curve'!$A$4:$G$4,0)),INDEX('Michigan Curve'!$A$4:$F$256,MATCH('Monthly Table'!B132,'Michigan Curve'!$A$4:$A$256,0),MATCH("Michigan Super Peak Curve US$/MWhr",'Michigan Curve'!$A$4:$F$4,0)))))</f>
        <v>34.373998443603519</v>
      </c>
      <c r="AL132" s="965">
        <f>IF(D132&lt;=Tables!$B$21,IF($AL$10=$AI$10,AI132,IF($AL$10=$AJ$10,AJ132,IF($AL$10=$AK$10,AK132,0))),0)</f>
        <v>34.373998443603519</v>
      </c>
      <c r="AM132" s="708">
        <f t="shared" si="72"/>
        <v>45.34272268781023</v>
      </c>
      <c r="AN132" s="916">
        <f t="shared" si="73"/>
        <v>0</v>
      </c>
      <c r="AO132" s="905"/>
      <c r="AP132" s="925"/>
      <c r="AQ132" s="926">
        <f>IF(Tables!$E$30="New York",INDEX('NY Curve'!$A$4:$L$256,MATCH('Monthly Table'!B132,'NY Curve'!$A$4:$A$256,0),MATCH("New York Shoulder Hour Curve Mon-Fri",'NY Curve'!$A$4:$L$4,0)),IF(Tables!$E$30="Michigan",INDEX('Michigan Curve'!$A$4:$K$256,MATCH('Monthly Table'!B132,'Michigan Curve'!$A$4:$A$256,0),MATCH("Michigan Shoulder Hour Curve Mon-Fri",'Michigan Curve'!$A$4:$K$4,0))))</f>
        <v>33.025998504638672</v>
      </c>
      <c r="AR132" s="708">
        <f t="shared" si="74"/>
        <v>43.56457670005296</v>
      </c>
      <c r="AS132" s="927">
        <f t="shared" si="61"/>
        <v>0</v>
      </c>
      <c r="AT132" s="462"/>
      <c r="AU132" s="926">
        <f>IF(Tables!$E$30="New York",INDEX('NY Curve'!$A$4:$L$256,MATCH('Monthly Table'!$B132,'NY Curve'!$A$4:$A$256,0),MATCH("New York Saturday Super Peak",'NY Curve'!$A$4:$L$4,0)),IF(Tables!$E$30="Michigan",INDEX('Michigan Curve'!$A$4:$K$256,MATCH('Monthly Table'!$B132,'Michigan Curve'!$A$4:$A$256,0),MATCH("Michigan Saturday Super Peak",'Michigan Curve'!$A$4:$K$4,0))))</f>
        <v>22.435920295715331</v>
      </c>
      <c r="AV132" s="925">
        <f t="shared" si="62"/>
        <v>29.595210283246484</v>
      </c>
      <c r="AW132" s="927">
        <f t="shared" si="63"/>
        <v>0</v>
      </c>
      <c r="AX132" s="926">
        <f>IF(Tables!$E$30="New York",INDEX('NY Curve'!$A$4:$L$256,MATCH('Monthly Table'!$B132,'NY Curve'!$A$4:$A$256,0),MATCH("New York Saturday Shoulder Peak",'NY Curve'!$A$4:$L$4,0)),IF(Tables!$E$30="Michigan",INDEX('Michigan Curve'!$A$4:$K$256,MATCH('Monthly Table'!$B132,'Michigan Curve'!$A$4:$A$256,0),MATCH("Michigan Saturday Shoulder Peak",'Michigan Curve'!$A$4:$K$4,0))))</f>
        <v>21.556080284118654</v>
      </c>
      <c r="AY132" s="934">
        <f t="shared" si="75"/>
        <v>28.434613801550547</v>
      </c>
      <c r="AZ132" s="927">
        <f t="shared" si="64"/>
        <v>0</v>
      </c>
      <c r="BA132" s="462"/>
      <c r="BB132" s="926">
        <f>IF(Tables!$E$30="New York",INDEX('NY Curve'!$A$4:$M$256,MATCH('Monthly Table'!$B132,'NY Curve'!$A$4:$A$256,0),MATCH("NY Sunday Super Peak",'NY Curve'!$A$4:$M$4,0)),IF(Tables!$E$30="Michigan",INDEX('Michigan Curve'!$A$4:$L$256,MATCH('Monthly Table'!$B132,'Michigan Curve'!$A$4:$A$256,0),MATCH("Michigan Sunday Super Peak",'Michigan Curve'!$A$4:$L$4,0))))</f>
        <v>21.416431961059569</v>
      </c>
      <c r="BC132" s="925">
        <f t="shared" si="76"/>
        <v>28.250403774408241</v>
      </c>
      <c r="BD132" s="927">
        <f t="shared" si="65"/>
        <v>0</v>
      </c>
      <c r="BE132" s="462"/>
      <c r="BF132" s="598">
        <f t="shared" si="56"/>
        <v>40575</v>
      </c>
      <c r="BG132" s="583">
        <f t="shared" si="77"/>
        <v>0</v>
      </c>
      <c r="BH132" s="764">
        <f>IF(Tables!$B$36="Combined Cycle",(BF132-BF131)*24*Assumptions!$B$21,0)</f>
        <v>0</v>
      </c>
      <c r="BI132" s="315">
        <f t="shared" si="78"/>
        <v>0</v>
      </c>
      <c r="BJ132" s="987">
        <f>IF('Monthly Table'!D132&lt;=Tables!$B$21,IF($BJ$10=$BG$10,BG132,IF($BJ$10=$BH$10,BH132,IF($BJ$10=$BI$10,BI132,0))),0)</f>
        <v>0</v>
      </c>
      <c r="BK132" s="43"/>
      <c r="BL132" s="987">
        <f t="shared" si="79"/>
        <v>0</v>
      </c>
      <c r="BM132" s="987">
        <f t="shared" si="80"/>
        <v>0</v>
      </c>
      <c r="BO132" s="987">
        <f t="shared" si="66"/>
        <v>0</v>
      </c>
      <c r="BP132" s="987">
        <f t="shared" si="81"/>
        <v>0</v>
      </c>
      <c r="BR132" s="993">
        <f>IF(BJ132&gt;0,INDEX(OperationalDetail,MATCH("Capacity Degradation",ODColumn,0),MATCH('Monthly Table'!C132,ODRow,0)),0)</f>
        <v>0</v>
      </c>
      <c r="BS132" s="994">
        <f>BJ132*(1-BR132)*Tables!$C$36</f>
        <v>0</v>
      </c>
      <c r="BT132" s="601">
        <f t="shared" si="67"/>
        <v>0</v>
      </c>
      <c r="BU132" s="601">
        <f t="shared" si="68"/>
        <v>0</v>
      </c>
      <c r="BV132" s="462"/>
      <c r="BW132" s="785">
        <f>$BO132*(1-$BR132)*Tables!$C$36</f>
        <v>0</v>
      </c>
      <c r="BX132" s="602">
        <f t="shared" si="82"/>
        <v>0</v>
      </c>
      <c r="BY132" s="601">
        <f t="shared" si="83"/>
        <v>0</v>
      </c>
      <c r="BZ132" s="462"/>
      <c r="CA132" s="785">
        <f>$BL132*(1-$BR132)*Tables!$C$36</f>
        <v>0</v>
      </c>
      <c r="CB132" s="602">
        <f t="shared" si="84"/>
        <v>0</v>
      </c>
      <c r="CC132" s="601">
        <f t="shared" si="85"/>
        <v>0</v>
      </c>
      <c r="CD132" s="785">
        <f>$BP132*(1-$BR132)*Tables!$C$36</f>
        <v>0</v>
      </c>
      <c r="CE132" s="602">
        <f t="shared" si="86"/>
        <v>0</v>
      </c>
      <c r="CF132" s="601">
        <f t="shared" si="87"/>
        <v>0</v>
      </c>
      <c r="CH132" s="785">
        <f>$BM132*(1-$BR132)*Tables!$C$36</f>
        <v>0</v>
      </c>
      <c r="CI132" s="602">
        <f t="shared" si="88"/>
        <v>0</v>
      </c>
      <c r="CJ132" s="601">
        <f t="shared" si="89"/>
        <v>0</v>
      </c>
      <c r="CK132" s="304"/>
      <c r="CL132" s="304">
        <f t="shared" si="90"/>
        <v>2010</v>
      </c>
      <c r="CM132" s="1018">
        <f>INDEX(OperationalDetail,MATCH("Degraded Heat Rate",ODColumn,0),MATCH('Monthly Table'!CL132,ODRow,0))/1000</f>
        <v>12.109500000000001</v>
      </c>
      <c r="CN132" s="737">
        <f t="shared" si="69"/>
        <v>64.302415671277529</v>
      </c>
      <c r="CO132" s="1019">
        <f>IF(A132="January",(CO131*(1+Assumptions!$E$32)),CO131)</f>
        <v>8.2106892901771893</v>
      </c>
      <c r="CP132" s="741">
        <f t="shared" si="57"/>
        <v>72.513104961454715</v>
      </c>
      <c r="CQ132" s="304"/>
      <c r="CR132" s="575" t="str">
        <f t="shared" si="91"/>
        <v/>
      </c>
      <c r="CS132" s="575" t="str">
        <f t="shared" si="92"/>
        <v/>
      </c>
      <c r="CT132" s="575" t="str">
        <f t="shared" si="93"/>
        <v/>
      </c>
      <c r="CU132" s="575" t="str">
        <f t="shared" si="94"/>
        <v/>
      </c>
      <c r="CV132" s="575" t="str">
        <f t="shared" si="95"/>
        <v/>
      </c>
      <c r="CW132" s="576">
        <f t="shared" si="58"/>
        <v>2011</v>
      </c>
      <c r="CX132" s="787">
        <f>INDEX('NY Curve'!$A$4:$G$256,MATCH('Monthly Table'!B132,'NY Curve'!$A$4:$A$256,0),MATCH("New York 5 X 16",'NY Curve'!$A$4:$G$4,0))</f>
        <v>32.75</v>
      </c>
      <c r="CY132" s="632">
        <f t="shared" si="59"/>
        <v>1.31909945717263</v>
      </c>
      <c r="CZ132" s="633">
        <f t="shared" si="60"/>
        <v>43.20050722240363</v>
      </c>
      <c r="DB132" s="857"/>
      <c r="DC132" s="857"/>
    </row>
    <row r="133" spans="1:107" ht="18.75" customHeight="1">
      <c r="A133" s="17" t="s">
        <v>439</v>
      </c>
      <c r="B133" s="508">
        <v>40603</v>
      </c>
      <c r="C133" s="43">
        <f t="shared" ref="C133:C196" si="97">YEAR(B133)</f>
        <v>2011</v>
      </c>
      <c r="D133" s="719">
        <f t="shared" si="96"/>
        <v>11</v>
      </c>
      <c r="E133" s="972">
        <v>23</v>
      </c>
      <c r="F133" s="971">
        <v>4</v>
      </c>
      <c r="G133" s="971">
        <v>4</v>
      </c>
      <c r="H133" s="971">
        <v>0</v>
      </c>
      <c r="I133" s="976">
        <f t="shared" si="70"/>
        <v>31</v>
      </c>
      <c r="J133" s="621"/>
      <c r="K133" s="572">
        <f>INDEX(FX!$A$3:$C$362,MATCH(B133,FX!$A$3:$A$362,0),MATCH("Monthly Curve",FX!$A$2:$C$2,0))</f>
        <v>1.3183097974842899</v>
      </c>
      <c r="L133" s="572"/>
      <c r="M133" s="1070">
        <v>3.2230000000000003</v>
      </c>
      <c r="N133" s="1071">
        <v>0.31</v>
      </c>
      <c r="O133" s="877">
        <v>0.1</v>
      </c>
      <c r="P133" s="797">
        <f t="shared" si="51"/>
        <v>0.41000000000000003</v>
      </c>
      <c r="Q133" s="732">
        <f t="shared" si="52"/>
        <v>3.6330000000000005</v>
      </c>
      <c r="R133" s="723">
        <f>IF(A133="January",(R132+R132*Assumptions!$E$32),R132)</f>
        <v>0.36609539234988436</v>
      </c>
      <c r="S133" s="730">
        <f t="shared" si="53"/>
        <v>5.1555148866103107</v>
      </c>
      <c r="T133" s="572"/>
      <c r="U133" s="509"/>
      <c r="V133" s="584"/>
      <c r="W133" s="584"/>
      <c r="X133" s="461"/>
      <c r="Y133" s="588">
        <f>Tables!$D$36</f>
        <v>312</v>
      </c>
      <c r="Z133" s="570">
        <f t="shared" si="54"/>
        <v>0</v>
      </c>
      <c r="AA133" s="592">
        <f t="shared" si="55"/>
        <v>0</v>
      </c>
      <c r="AB133" s="589">
        <f t="shared" ref="AB133:AB196" si="98">AA133*K133</f>
        <v>0</v>
      </c>
      <c r="AC133" s="462"/>
      <c r="AD133" s="1027">
        <f>IF(Tables!$E$30="Michigan",INDEX('Michigan Curve'!$A$4:$S$256,MATCH('Monthly Table'!B133,'Michigan Curve'!$A$4:$A$256,0),MATCH("Michigan Selected Option Value US$/month",'Michigan Curve'!$A$4:$S$4,0)),INDEX('NY Curve'!$A$4:$T$256,MATCH('Monthly Table'!B133,'NY Curve'!$A$4:$A$256,0),MATCH("New York Selected Option Value US$/month",'NY Curve'!$A$4:$T$4,0)))</f>
        <v>9245.857268177253</v>
      </c>
      <c r="AE133" s="601">
        <f t="shared" si="71"/>
        <v>12188.904222779403</v>
      </c>
      <c r="AF133" s="462"/>
      <c r="AG133" s="915"/>
      <c r="AH133" s="17"/>
      <c r="AI133" s="799">
        <f>Assumptions!$B$50</f>
        <v>65</v>
      </c>
      <c r="AJ133" s="743"/>
      <c r="AK133" s="924">
        <f>IF(Tables!$E$30="Custom",'Monthly Table'!AI133,IF(Tables!$E$30="New York",INDEX('NY Curve'!$A$4:$G$256,MATCH('Monthly Table'!B133,'NY Curve'!$A$4:$A$256,0),MATCH("Super Peak Curve",'NY Curve'!$A$4:$G$4,0)),IF(Tables!$E$30="New York Flat",INDEX('NY Curve'!$A$4:$G$256,MATCH('Monthly Table'!B133,'NY Curve'!$A$4:$A$256,0),MATCH("Flat NY West",'NY Curve'!$A$4:$G$4,0)),INDEX('Michigan Curve'!$A$4:$F$256,MATCH('Monthly Table'!B133,'Michigan Curve'!$A$4:$A$256,0),MATCH("Michigan Super Peak Curve US$/MWhr",'Michigan Curve'!$A$4:$F$4,0)))))</f>
        <v>29.07</v>
      </c>
      <c r="AL133" s="965">
        <f>IF(D133&lt;=Tables!$B$21,IF($AL$10=$AI$10,AI133,IF($AL$10=$AJ$10,AJ133,IF($AL$10=$AK$10,AK133,0))),0)</f>
        <v>29.07</v>
      </c>
      <c r="AM133" s="708">
        <f t="shared" si="72"/>
        <v>38.323265812868307</v>
      </c>
      <c r="AN133" s="916">
        <f t="shared" si="73"/>
        <v>0</v>
      </c>
      <c r="AO133" s="905"/>
      <c r="AP133" s="925"/>
      <c r="AQ133" s="926">
        <f>IF(Tables!$E$30="New York",INDEX('NY Curve'!$A$4:$L$256,MATCH('Monthly Table'!B133,'NY Curve'!$A$4:$A$256,0),MATCH("New York Shoulder Hour Curve Mon-Fri",'NY Curve'!$A$4:$L$4,0)),IF(Tables!$E$30="Michigan",INDEX('Michigan Curve'!$A$4:$K$256,MATCH('Monthly Table'!B133,'Michigan Curve'!$A$4:$A$256,0),MATCH("Michigan Shoulder Hour Curve Mon-Fri",'Michigan Curve'!$A$4:$K$4,0))))</f>
        <v>27.93</v>
      </c>
      <c r="AR133" s="708">
        <f t="shared" si="74"/>
        <v>36.820392643736213</v>
      </c>
      <c r="AS133" s="927">
        <f t="shared" si="61"/>
        <v>0</v>
      </c>
      <c r="AT133" s="462"/>
      <c r="AU133" s="926">
        <f>IF(Tables!$E$30="New York",INDEX('NY Curve'!$A$4:$L$256,MATCH('Monthly Table'!$B133,'NY Curve'!$A$4:$A$256,0),MATCH("New York Saturday Super Peak",'NY Curve'!$A$4:$L$4,0)),IF(Tables!$E$30="Michigan",INDEX('Michigan Curve'!$A$4:$K$256,MATCH('Monthly Table'!$B133,'Michigan Curve'!$A$4:$A$256,0),MATCH("Michigan Saturday Super Peak",'Michigan Curve'!$A$4:$K$4,0))))</f>
        <v>20.399999999999999</v>
      </c>
      <c r="AV133" s="925">
        <f t="shared" si="62"/>
        <v>26.893519868679512</v>
      </c>
      <c r="AW133" s="927">
        <f t="shared" si="63"/>
        <v>0</v>
      </c>
      <c r="AX133" s="926">
        <f>IF(Tables!$E$30="New York",INDEX('NY Curve'!$A$4:$L$256,MATCH('Monthly Table'!$B133,'NY Curve'!$A$4:$A$256,0),MATCH("New York Saturday Shoulder Peak",'NY Curve'!$A$4:$L$4,0)),IF(Tables!$E$30="Michigan",INDEX('Michigan Curve'!$A$4:$K$256,MATCH('Monthly Table'!$B133,'Michigan Curve'!$A$4:$A$256,0),MATCH("Michigan Saturday Shoulder Peak",'Michigan Curve'!$A$4:$K$4,0))))</f>
        <v>19.600000000000001</v>
      </c>
      <c r="AY133" s="934">
        <f t="shared" si="75"/>
        <v>25.838872030692084</v>
      </c>
      <c r="AZ133" s="927">
        <f t="shared" si="64"/>
        <v>0</v>
      </c>
      <c r="BA133" s="462"/>
      <c r="BB133" s="926">
        <f>IF(Tables!$E$30="New York",INDEX('NY Curve'!$A$4:$M$256,MATCH('Monthly Table'!$B133,'NY Curve'!$A$4:$A$256,0),MATCH("NY Sunday Super Peak",'NY Curve'!$A$4:$M$4,0)),IF(Tables!$E$30="Michigan",INDEX('Michigan Curve'!$A$4:$L$256,MATCH('Monthly Table'!$B133,'Michigan Curve'!$A$4:$A$256,0),MATCH("Michigan Sunday Super Peak",'Michigan Curve'!$A$4:$L$4,0))))</f>
        <v>19.38</v>
      </c>
      <c r="BC133" s="925">
        <f t="shared" si="76"/>
        <v>25.548843875245538</v>
      </c>
      <c r="BD133" s="927">
        <f t="shared" si="65"/>
        <v>0</v>
      </c>
      <c r="BE133" s="462"/>
      <c r="BF133" s="598">
        <f t="shared" si="56"/>
        <v>40603</v>
      </c>
      <c r="BG133" s="583">
        <f t="shared" si="77"/>
        <v>0</v>
      </c>
      <c r="BH133" s="764">
        <f>IF(Tables!$B$36="Combined Cycle",(BF133-BF132)*24*Assumptions!$B$21,0)</f>
        <v>0</v>
      </c>
      <c r="BI133" s="315">
        <f t="shared" si="78"/>
        <v>0</v>
      </c>
      <c r="BJ133" s="987">
        <f>IF('Monthly Table'!D133&lt;=Tables!$B$21,IF($BJ$10=$BG$10,BG133,IF($BJ$10=$BH$10,BH133,IF($BJ$10=$BI$10,BI133,0))),0)</f>
        <v>0</v>
      </c>
      <c r="BK133" s="43"/>
      <c r="BL133" s="987">
        <f t="shared" si="79"/>
        <v>0</v>
      </c>
      <c r="BM133" s="987">
        <f t="shared" si="80"/>
        <v>0</v>
      </c>
      <c r="BO133" s="987">
        <f t="shared" si="66"/>
        <v>0</v>
      </c>
      <c r="BP133" s="987">
        <f t="shared" si="81"/>
        <v>0</v>
      </c>
      <c r="BR133" s="993">
        <f>IF(BJ133&gt;0,INDEX(OperationalDetail,MATCH("Capacity Degradation",ODColumn,0),MATCH('Monthly Table'!C133,ODRow,0)),0)</f>
        <v>0</v>
      </c>
      <c r="BS133" s="994">
        <f>BJ133*(1-BR133)*Tables!$C$36</f>
        <v>0</v>
      </c>
      <c r="BT133" s="601">
        <f t="shared" si="67"/>
        <v>0</v>
      </c>
      <c r="BU133" s="601">
        <f t="shared" si="68"/>
        <v>0</v>
      </c>
      <c r="BV133" s="462"/>
      <c r="BW133" s="785">
        <f>$BO133*(1-$BR133)*Tables!$C$36</f>
        <v>0</v>
      </c>
      <c r="BX133" s="602">
        <f t="shared" si="82"/>
        <v>0</v>
      </c>
      <c r="BY133" s="601">
        <f t="shared" si="83"/>
        <v>0</v>
      </c>
      <c r="BZ133" s="462"/>
      <c r="CA133" s="785">
        <f>$BL133*(1-$BR133)*Tables!$C$36</f>
        <v>0</v>
      </c>
      <c r="CB133" s="602">
        <f t="shared" si="84"/>
        <v>0</v>
      </c>
      <c r="CC133" s="601">
        <f t="shared" si="85"/>
        <v>0</v>
      </c>
      <c r="CD133" s="785">
        <f>$BP133*(1-$BR133)*Tables!$C$36</f>
        <v>0</v>
      </c>
      <c r="CE133" s="602">
        <f t="shared" si="86"/>
        <v>0</v>
      </c>
      <c r="CF133" s="601">
        <f t="shared" si="87"/>
        <v>0</v>
      </c>
      <c r="CH133" s="785">
        <f>$BM133*(1-$BR133)*Tables!$C$36</f>
        <v>0</v>
      </c>
      <c r="CI133" s="602">
        <f t="shared" si="88"/>
        <v>0</v>
      </c>
      <c r="CJ133" s="601">
        <f t="shared" si="89"/>
        <v>0</v>
      </c>
      <c r="CK133" s="304"/>
      <c r="CL133" s="304">
        <f t="shared" si="90"/>
        <v>2010</v>
      </c>
      <c r="CM133" s="1018">
        <f>INDEX(OperationalDetail,MATCH("Degraded Heat Rate",ODColumn,0),MATCH('Monthly Table'!CL133,ODRow,0))/1000</f>
        <v>12.109500000000001</v>
      </c>
      <c r="CN133" s="737">
        <f t="shared" si="69"/>
        <v>62.430707519407562</v>
      </c>
      <c r="CO133" s="1019">
        <f>IF(A133="January",(CO132*(1+Assumptions!$E$32)),CO132)</f>
        <v>8.2106892901771893</v>
      </c>
      <c r="CP133" s="741">
        <f t="shared" si="57"/>
        <v>70.641396809584748</v>
      </c>
      <c r="CQ133" s="304"/>
      <c r="CR133" s="575" t="str">
        <f t="shared" si="91"/>
        <v/>
      </c>
      <c r="CS133" s="575" t="str">
        <f t="shared" si="92"/>
        <v/>
      </c>
      <c r="CT133" s="575" t="str">
        <f t="shared" si="93"/>
        <v/>
      </c>
      <c r="CU133" s="575" t="str">
        <f t="shared" si="94"/>
        <v/>
      </c>
      <c r="CV133" s="575" t="str">
        <f t="shared" si="95"/>
        <v/>
      </c>
      <c r="CW133" s="576">
        <f t="shared" si="58"/>
        <v>2011</v>
      </c>
      <c r="CX133" s="787">
        <f>INDEX('NY Curve'!$A$4:$G$256,MATCH('Monthly Table'!B133,'NY Curve'!$A$4:$A$256,0),MATCH("New York 5 X 16",'NY Curve'!$A$4:$G$4,0))</f>
        <v>27.75</v>
      </c>
      <c r="CY133" s="632">
        <f t="shared" si="59"/>
        <v>1.3183097974842899</v>
      </c>
      <c r="CZ133" s="633">
        <f t="shared" si="60"/>
        <v>36.583096880189046</v>
      </c>
      <c r="DB133" s="857"/>
      <c r="DC133" s="857"/>
    </row>
    <row r="134" spans="1:107" ht="18.75" customHeight="1">
      <c r="A134" s="17" t="s">
        <v>440</v>
      </c>
      <c r="B134" s="508">
        <v>40634</v>
      </c>
      <c r="C134" s="43">
        <f t="shared" si="97"/>
        <v>2011</v>
      </c>
      <c r="D134" s="719">
        <f t="shared" si="96"/>
        <v>11</v>
      </c>
      <c r="E134" s="972">
        <v>21</v>
      </c>
      <c r="F134" s="971">
        <v>5</v>
      </c>
      <c r="G134" s="971">
        <v>4</v>
      </c>
      <c r="H134" s="971">
        <v>0</v>
      </c>
      <c r="I134" s="976">
        <f t="shared" si="70"/>
        <v>30</v>
      </c>
      <c r="J134" s="621"/>
      <c r="K134" s="572">
        <f>INDEX(FX!$A$3:$C$362,MATCH(B134,FX!$A$3:$A$362,0),MATCH("Monthly Curve",FX!$A$2:$C$2,0))</f>
        <v>1.31743789086378</v>
      </c>
      <c r="L134" s="572"/>
      <c r="M134" s="1070">
        <v>3.1555</v>
      </c>
      <c r="N134" s="1071">
        <v>0.14499999999999999</v>
      </c>
      <c r="O134" s="877">
        <v>0.1</v>
      </c>
      <c r="P134" s="797">
        <f t="shared" ref="P134:P197" si="99">N134+O134</f>
        <v>0.245</v>
      </c>
      <c r="Q134" s="732">
        <f t="shared" ref="Q134:Q197" si="100">SUM(M134:O134)</f>
        <v>3.4005000000000001</v>
      </c>
      <c r="R134" s="723">
        <f>IF(A134="January",(R133+R133*Assumptions!$E$32),R133)</f>
        <v>0.36609539234988436</v>
      </c>
      <c r="S134" s="730">
        <f t="shared" ref="S134:S197" si="101">(Q134*K134)+R134</f>
        <v>4.8460429402321692</v>
      </c>
      <c r="T134" s="572"/>
      <c r="U134" s="509"/>
      <c r="V134" s="584"/>
      <c r="W134" s="584"/>
      <c r="X134" s="461"/>
      <c r="Y134" s="588">
        <f>Tables!$D$36</f>
        <v>312</v>
      </c>
      <c r="Z134" s="570">
        <f t="shared" ref="Z134:Z197" si="102">IF($Z$10=$V$10,V134,IF($Z$10=$W$10,W134,IF($Z$10=$X$10,X134,0)))</f>
        <v>0</v>
      </c>
      <c r="AA134" s="592">
        <f t="shared" ref="AA134:AA197" si="103">Y134*Z134</f>
        <v>0</v>
      </c>
      <c r="AB134" s="589">
        <f t="shared" si="98"/>
        <v>0</v>
      </c>
      <c r="AC134" s="462"/>
      <c r="AD134" s="1027">
        <f>IF(Tables!$E$30="Michigan",INDEX('Michigan Curve'!$A$4:$S$256,MATCH('Monthly Table'!B134,'Michigan Curve'!$A$4:$A$256,0),MATCH("Michigan Selected Option Value US$/month",'Michigan Curve'!$A$4:$S$4,0)),INDEX('NY Curve'!$A$4:$T$256,MATCH('Monthly Table'!B134,'NY Curve'!$A$4:$A$256,0),MATCH("New York Selected Option Value US$/month",'NY Curve'!$A$4:$T$4,0)))</f>
        <v>10313.372208639712</v>
      </c>
      <c r="AE134" s="601">
        <f t="shared" si="71"/>
        <v>13587.227330243428</v>
      </c>
      <c r="AF134" s="462"/>
      <c r="AG134" s="915"/>
      <c r="AH134" s="17"/>
      <c r="AI134" s="799">
        <f>Assumptions!$B$50</f>
        <v>65</v>
      </c>
      <c r="AJ134" s="743"/>
      <c r="AK134" s="924">
        <f>IF(Tables!$E$30="Custom",'Monthly Table'!AI134,IF(Tables!$E$30="New York",INDEX('NY Curve'!$A$4:$G$256,MATCH('Monthly Table'!B134,'NY Curve'!$A$4:$A$256,0),MATCH("Super Peak Curve",'NY Curve'!$A$4:$G$4,0)),IF(Tables!$E$30="New York Flat",INDEX('NY Curve'!$A$4:$G$256,MATCH('Monthly Table'!B134,'NY Curve'!$A$4:$A$256,0),MATCH("Flat NY West",'NY Curve'!$A$4:$G$4,0)),INDEX('Michigan Curve'!$A$4:$F$256,MATCH('Monthly Table'!B134,'Michigan Curve'!$A$4:$A$256,0),MATCH("Michigan Super Peak Curve US$/MWhr",'Michigan Curve'!$A$4:$F$4,0)))))</f>
        <v>28.75</v>
      </c>
      <c r="AL134" s="965">
        <f>IF(D134&lt;=Tables!$B$21,IF($AL$10=$AI$10,AI134,IF($AL$10=$AJ$10,AJ134,IF($AL$10=$AK$10,AK134,0))),0)</f>
        <v>28.75</v>
      </c>
      <c r="AM134" s="708">
        <f t="shared" si="72"/>
        <v>37.876339362333674</v>
      </c>
      <c r="AN134" s="916">
        <f t="shared" si="73"/>
        <v>0</v>
      </c>
      <c r="AO134" s="905"/>
      <c r="AP134" s="925"/>
      <c r="AQ134" s="926">
        <f>IF(Tables!$E$30="New York",INDEX('NY Curve'!$A$4:$L$256,MATCH('Monthly Table'!B134,'NY Curve'!$A$4:$A$256,0),MATCH("New York Shoulder Hour Curve Mon-Fri",'NY Curve'!$A$4:$L$4,0)),IF(Tables!$E$30="Michigan",INDEX('Michigan Curve'!$A$4:$K$256,MATCH('Monthly Table'!B134,'Michigan Curve'!$A$4:$A$256,0),MATCH("Michigan Shoulder Hour Curve Mon-Fri",'Michigan Curve'!$A$4:$K$4,0))))</f>
        <v>28.75</v>
      </c>
      <c r="AR134" s="708">
        <f t="shared" si="74"/>
        <v>37.876339362333674</v>
      </c>
      <c r="AS134" s="927">
        <f t="shared" si="61"/>
        <v>0</v>
      </c>
      <c r="AT134" s="462"/>
      <c r="AU134" s="926">
        <f>IF(Tables!$E$30="New York",INDEX('NY Curve'!$A$4:$L$256,MATCH('Monthly Table'!$B134,'NY Curve'!$A$4:$A$256,0),MATCH("New York Saturday Super Peak",'NY Curve'!$A$4:$L$4,0)),IF(Tables!$E$30="Michigan",INDEX('Michigan Curve'!$A$4:$K$256,MATCH('Monthly Table'!$B134,'Michigan Curve'!$A$4:$A$256,0),MATCH("Michigan Saturday Super Peak",'Michigan Curve'!$A$4:$K$4,0))))</f>
        <v>20</v>
      </c>
      <c r="AV134" s="925">
        <f t="shared" si="62"/>
        <v>26.348757817275601</v>
      </c>
      <c r="AW134" s="927">
        <f t="shared" si="63"/>
        <v>0</v>
      </c>
      <c r="AX134" s="926">
        <f>IF(Tables!$E$30="New York",INDEX('NY Curve'!$A$4:$L$256,MATCH('Monthly Table'!$B134,'NY Curve'!$A$4:$A$256,0),MATCH("New York Saturday Shoulder Peak",'NY Curve'!$A$4:$L$4,0)),IF(Tables!$E$30="Michigan",INDEX('Michigan Curve'!$A$4:$K$256,MATCH('Monthly Table'!$B134,'Michigan Curve'!$A$4:$A$256,0),MATCH("Michigan Saturday Shoulder Peak",'Michigan Curve'!$A$4:$K$4,0))))</f>
        <v>20</v>
      </c>
      <c r="AY134" s="934">
        <f t="shared" si="75"/>
        <v>26.348757817275601</v>
      </c>
      <c r="AZ134" s="927">
        <f t="shared" si="64"/>
        <v>0</v>
      </c>
      <c r="BA134" s="462"/>
      <c r="BB134" s="926">
        <f>IF(Tables!$E$30="New York",INDEX('NY Curve'!$A$4:$M$256,MATCH('Monthly Table'!$B134,'NY Curve'!$A$4:$A$256,0),MATCH("NY Sunday Super Peak",'NY Curve'!$A$4:$M$4,0)),IF(Tables!$E$30="Michigan",INDEX('Michigan Curve'!$A$4:$L$256,MATCH('Monthly Table'!$B134,'Michigan Curve'!$A$4:$A$256,0),MATCH("Michigan Sunday Super Peak",'Michigan Curve'!$A$4:$L$4,0))))</f>
        <v>18.995000839233398</v>
      </c>
      <c r="BC134" s="925">
        <f t="shared" si="76"/>
        <v>25.024733842595381</v>
      </c>
      <c r="BD134" s="927">
        <f t="shared" si="65"/>
        <v>0</v>
      </c>
      <c r="BE134" s="462"/>
      <c r="BF134" s="598">
        <f t="shared" ref="BF134:BF197" si="104">B134</f>
        <v>40634</v>
      </c>
      <c r="BG134" s="583">
        <f t="shared" si="77"/>
        <v>0</v>
      </c>
      <c r="BH134" s="764">
        <f>IF(Tables!$B$36="Combined Cycle",(BF134-BF133)*24*Assumptions!$B$21,0)</f>
        <v>0</v>
      </c>
      <c r="BI134" s="315">
        <f t="shared" si="78"/>
        <v>0</v>
      </c>
      <c r="BJ134" s="987">
        <f>IF('Monthly Table'!D134&lt;=Tables!$B$21,IF($BJ$10=$BG$10,BG134,IF($BJ$10=$BH$10,BH134,IF($BJ$10=$BI$10,BI134,0))),0)</f>
        <v>0</v>
      </c>
      <c r="BK134" s="43"/>
      <c r="BL134" s="987">
        <f t="shared" si="79"/>
        <v>0</v>
      </c>
      <c r="BM134" s="987">
        <f t="shared" si="80"/>
        <v>0</v>
      </c>
      <c r="BO134" s="987">
        <f t="shared" si="66"/>
        <v>0</v>
      </c>
      <c r="BP134" s="987">
        <f t="shared" si="81"/>
        <v>0</v>
      </c>
      <c r="BR134" s="993">
        <f>IF(BJ134&gt;0,INDEX(OperationalDetail,MATCH("Capacity Degradation",ODColumn,0),MATCH('Monthly Table'!C134,ODRow,0)),0)</f>
        <v>0</v>
      </c>
      <c r="BS134" s="994">
        <f>BJ134*(1-BR134)*Tables!$C$36</f>
        <v>0</v>
      </c>
      <c r="BT134" s="601">
        <f t="shared" si="67"/>
        <v>0</v>
      </c>
      <c r="BU134" s="601">
        <f t="shared" si="68"/>
        <v>0</v>
      </c>
      <c r="BV134" s="462"/>
      <c r="BW134" s="785">
        <f>$BO134*(1-$BR134)*Tables!$C$36</f>
        <v>0</v>
      </c>
      <c r="BX134" s="602">
        <f t="shared" si="82"/>
        <v>0</v>
      </c>
      <c r="BY134" s="601">
        <f t="shared" si="83"/>
        <v>0</v>
      </c>
      <c r="BZ134" s="462"/>
      <c r="CA134" s="785">
        <f>$BL134*(1-$BR134)*Tables!$C$36</f>
        <v>0</v>
      </c>
      <c r="CB134" s="602">
        <f t="shared" si="84"/>
        <v>0</v>
      </c>
      <c r="CC134" s="601">
        <f t="shared" si="85"/>
        <v>0</v>
      </c>
      <c r="CD134" s="785">
        <f>$BP134*(1-$BR134)*Tables!$C$36</f>
        <v>0</v>
      </c>
      <c r="CE134" s="602">
        <f t="shared" si="86"/>
        <v>0</v>
      </c>
      <c r="CF134" s="601">
        <f t="shared" si="87"/>
        <v>0</v>
      </c>
      <c r="CH134" s="785">
        <f>$BM134*(1-$BR134)*Tables!$C$36</f>
        <v>0</v>
      </c>
      <c r="CI134" s="602">
        <f t="shared" si="88"/>
        <v>0</v>
      </c>
      <c r="CJ134" s="601">
        <f t="shared" si="89"/>
        <v>0</v>
      </c>
      <c r="CK134" s="304"/>
      <c r="CL134" s="304">
        <f t="shared" si="90"/>
        <v>2010</v>
      </c>
      <c r="CM134" s="1018">
        <f>INDEX(OperationalDetail,MATCH("Degraded Heat Rate",ODColumn,0),MATCH('Monthly Table'!CL134,ODRow,0))/1000</f>
        <v>12.109500000000001</v>
      </c>
      <c r="CN134" s="737">
        <f t="shared" si="69"/>
        <v>58.683156984741458</v>
      </c>
      <c r="CO134" s="1019">
        <f>IF(A134="January",(CO133*(1+Assumptions!$E$32)),CO133)</f>
        <v>8.2106892901771893</v>
      </c>
      <c r="CP134" s="741">
        <f t="shared" ref="CP134:CP197" si="105">CN134+CO134</f>
        <v>66.893846274918644</v>
      </c>
      <c r="CQ134" s="304"/>
      <c r="CR134" s="575" t="str">
        <f t="shared" si="91"/>
        <v/>
      </c>
      <c r="CS134" s="575" t="str">
        <f t="shared" si="92"/>
        <v/>
      </c>
      <c r="CT134" s="575" t="str">
        <f t="shared" si="93"/>
        <v/>
      </c>
      <c r="CU134" s="575" t="str">
        <f t="shared" si="94"/>
        <v/>
      </c>
      <c r="CV134" s="575" t="str">
        <f t="shared" si="95"/>
        <v/>
      </c>
      <c r="CW134" s="576">
        <f t="shared" ref="CW134:CW197" si="106">YEAR(BF134)</f>
        <v>2011</v>
      </c>
      <c r="CX134" s="787">
        <f>INDEX('NY Curve'!$A$4:$G$256,MATCH('Monthly Table'!B134,'NY Curve'!$A$4:$A$256,0),MATCH("New York 5 X 16",'NY Curve'!$A$4:$G$4,0))</f>
        <v>26.5</v>
      </c>
      <c r="CY134" s="632">
        <f t="shared" ref="CY134:CY197" si="107">K134</f>
        <v>1.31743789086378</v>
      </c>
      <c r="CZ134" s="633">
        <f t="shared" ref="CZ134:CZ197" si="108">CX134*CY134</f>
        <v>34.912104107890173</v>
      </c>
      <c r="DB134" s="857"/>
      <c r="DC134" s="857"/>
    </row>
    <row r="135" spans="1:107" ht="18.75" customHeight="1">
      <c r="A135" s="17" t="s">
        <v>441</v>
      </c>
      <c r="B135" s="508">
        <v>40664</v>
      </c>
      <c r="C135" s="43">
        <f t="shared" si="97"/>
        <v>2011</v>
      </c>
      <c r="D135" s="719">
        <f t="shared" si="96"/>
        <v>11</v>
      </c>
      <c r="E135" s="972">
        <v>21</v>
      </c>
      <c r="F135" s="971">
        <v>4</v>
      </c>
      <c r="G135" s="971">
        <v>5</v>
      </c>
      <c r="H135" s="971">
        <v>1</v>
      </c>
      <c r="I135" s="976">
        <f t="shared" si="70"/>
        <v>31</v>
      </c>
      <c r="J135" s="621"/>
      <c r="K135" s="572">
        <f>INDEX(FX!$A$3:$C$362,MATCH(B135,FX!$A$3:$A$362,0),MATCH("Monthly Curve",FX!$A$2:$C$2,0))</f>
        <v>1.3165964672216099</v>
      </c>
      <c r="L135" s="572"/>
      <c r="M135" s="1070">
        <v>3.1295000000000002</v>
      </c>
      <c r="N135" s="1071">
        <v>0.14499999999999999</v>
      </c>
      <c r="O135" s="877">
        <v>0.1</v>
      </c>
      <c r="P135" s="797">
        <f t="shared" si="99"/>
        <v>0.245</v>
      </c>
      <c r="Q135" s="732">
        <f t="shared" si="100"/>
        <v>3.3745000000000003</v>
      </c>
      <c r="R135" s="723">
        <f>IF(A135="January",(R134+R134*Assumptions!$E$32),R134)</f>
        <v>0.36609539234988436</v>
      </c>
      <c r="S135" s="730">
        <f t="shared" si="101"/>
        <v>4.808950170989208</v>
      </c>
      <c r="T135" s="572"/>
      <c r="U135" s="509"/>
      <c r="V135" s="584"/>
      <c r="W135" s="584"/>
      <c r="X135" s="461"/>
      <c r="Y135" s="588">
        <f>Tables!$D$36</f>
        <v>312</v>
      </c>
      <c r="Z135" s="570">
        <f t="shared" si="102"/>
        <v>0</v>
      </c>
      <c r="AA135" s="592">
        <f t="shared" si="103"/>
        <v>0</v>
      </c>
      <c r="AB135" s="589">
        <f t="shared" si="98"/>
        <v>0</v>
      </c>
      <c r="AC135" s="462"/>
      <c r="AD135" s="1027">
        <f>IF(Tables!$E$30="Michigan",INDEX('Michigan Curve'!$A$4:$S$256,MATCH('Monthly Table'!B135,'Michigan Curve'!$A$4:$A$256,0),MATCH("Michigan Selected Option Value US$/month",'Michigan Curve'!$A$4:$S$4,0)),INDEX('NY Curve'!$A$4:$T$256,MATCH('Monthly Table'!B135,'NY Curve'!$A$4:$A$256,0),MATCH("New York Selected Option Value US$/month",'NY Curve'!$A$4:$T$4,0)))</f>
        <v>22476.062343759691</v>
      </c>
      <c r="AE135" s="601">
        <f t="shared" si="71"/>
        <v>29591.904278846669</v>
      </c>
      <c r="AF135" s="462"/>
      <c r="AG135" s="915"/>
      <c r="AH135" s="17"/>
      <c r="AI135" s="799">
        <f>Assumptions!$B$50</f>
        <v>65</v>
      </c>
      <c r="AJ135" s="743"/>
      <c r="AK135" s="924">
        <f>IF(Tables!$E$30="Custom",'Monthly Table'!AI135,IF(Tables!$E$30="New York",INDEX('NY Curve'!$A$4:$G$256,MATCH('Monthly Table'!B135,'NY Curve'!$A$4:$A$256,0),MATCH("Super Peak Curve",'NY Curve'!$A$4:$G$4,0)),IF(Tables!$E$30="New York Flat",INDEX('NY Curve'!$A$4:$G$256,MATCH('Monthly Table'!B135,'NY Curve'!$A$4:$A$256,0),MATCH("Flat NY West",'NY Curve'!$A$4:$G$4,0)),INDEX('Michigan Curve'!$A$4:$F$256,MATCH('Monthly Table'!B135,'Michigan Curve'!$A$4:$A$256,0),MATCH("Michigan Super Peak Curve US$/MWhr",'Michigan Curve'!$A$4:$F$4,0)))))</f>
        <v>34.978125058114529</v>
      </c>
      <c r="AL135" s="965">
        <f>IF(D135&lt;=Tables!$B$21,IF($AL$10=$AI$10,AI135,IF($AL$10=$AJ$10,AJ135,IF($AL$10=$AK$10,AK135,0))),0)</f>
        <v>34.978125058114529</v>
      </c>
      <c r="AM135" s="708">
        <f t="shared" si="72"/>
        <v>46.052075881549257</v>
      </c>
      <c r="AN135" s="916">
        <f t="shared" si="73"/>
        <v>0</v>
      </c>
      <c r="AO135" s="905"/>
      <c r="AP135" s="925"/>
      <c r="AQ135" s="926">
        <f>IF(Tables!$E$30="New York",INDEX('NY Curve'!$A$4:$L$256,MATCH('Monthly Table'!B135,'NY Curve'!$A$4:$A$256,0),MATCH("New York Shoulder Hour Curve Mon-Fri",'NY Curve'!$A$4:$L$4,0)),IF(Tables!$E$30="Michigan",INDEX('Michigan Curve'!$A$4:$K$256,MATCH('Monthly Table'!B135,'Michigan Curve'!$A$4:$A$256,0),MATCH("Michigan Shoulder Hour Curve Mon-Fri",'Michigan Curve'!$A$4:$K$4,0))))</f>
        <v>30.021874941885471</v>
      </c>
      <c r="AR135" s="708">
        <f t="shared" si="74"/>
        <v>39.526694487855387</v>
      </c>
      <c r="AS135" s="927">
        <f t="shared" si="61"/>
        <v>0</v>
      </c>
      <c r="AT135" s="462"/>
      <c r="AU135" s="926">
        <f>IF(Tables!$E$30="New York",INDEX('NY Curve'!$A$4:$L$256,MATCH('Monthly Table'!$B135,'NY Curve'!$A$4:$A$256,0),MATCH("New York Saturday Super Peak",'NY Curve'!$A$4:$L$4,0)),IF(Tables!$E$30="Michigan",INDEX('Michigan Curve'!$A$4:$K$256,MATCH('Monthly Table'!$B135,'Michigan Curve'!$A$4:$A$256,0),MATCH("Michigan Saturday Super Peak",'Michigan Curve'!$A$4:$K$4,0))))</f>
        <v>22.601250037550926</v>
      </c>
      <c r="AV135" s="925">
        <f t="shared" si="62"/>
        <v>29.756725954231829</v>
      </c>
      <c r="AW135" s="927">
        <f t="shared" si="63"/>
        <v>0</v>
      </c>
      <c r="AX135" s="926">
        <f>IF(Tables!$E$30="New York",INDEX('NY Curve'!$A$4:$L$256,MATCH('Monthly Table'!$B135,'NY Curve'!$A$4:$A$256,0),MATCH("New York Saturday Shoulder Peak",'NY Curve'!$A$4:$L$4,0)),IF(Tables!$E$30="Michigan",INDEX('Michigan Curve'!$A$4:$K$256,MATCH('Monthly Table'!$B135,'Michigan Curve'!$A$4:$A$256,0),MATCH("Michigan Saturday Shoulder Peak",'Michigan Curve'!$A$4:$K$4,0))))</f>
        <v>19.398749962449074</v>
      </c>
      <c r="AY135" s="934">
        <f t="shared" si="75"/>
        <v>25.540325669075788</v>
      </c>
      <c r="AZ135" s="927">
        <f t="shared" si="64"/>
        <v>0</v>
      </c>
      <c r="BA135" s="462"/>
      <c r="BB135" s="926">
        <f>IF(Tables!$E$30="New York",INDEX('NY Curve'!$A$4:$M$256,MATCH('Monthly Table'!$B135,'NY Curve'!$A$4:$A$256,0),MATCH("NY Sunday Super Peak",'NY Curve'!$A$4:$M$4,0)),IF(Tables!$E$30="Michigan",INDEX('Michigan Curve'!$A$4:$L$256,MATCH('Monthly Table'!$B135,'Michigan Curve'!$A$4:$A$256,0),MATCH("Michigan Sunday Super Peak",'Michigan Curve'!$A$4:$L$4,0))))</f>
        <v>21.530380382546781</v>
      </c>
      <c r="BC135" s="925">
        <f t="shared" si="76"/>
        <v>28.346822749598548</v>
      </c>
      <c r="BD135" s="927">
        <f t="shared" si="65"/>
        <v>0</v>
      </c>
      <c r="BE135" s="462"/>
      <c r="BF135" s="598">
        <f t="shared" si="104"/>
        <v>40664</v>
      </c>
      <c r="BG135" s="583">
        <f t="shared" si="77"/>
        <v>0</v>
      </c>
      <c r="BH135" s="764">
        <f>IF(Tables!$B$36="Combined Cycle",(BF135-BF134)*24*Assumptions!$B$21,0)</f>
        <v>0</v>
      </c>
      <c r="BI135" s="315">
        <f t="shared" si="78"/>
        <v>0</v>
      </c>
      <c r="BJ135" s="987">
        <f>IF('Monthly Table'!D135&lt;=Tables!$B$21,IF($BJ$10=$BG$10,BG135,IF($BJ$10=$BH$10,BH135,IF($BJ$10=$BI$10,BI135,0))),0)</f>
        <v>0</v>
      </c>
      <c r="BK135" s="43"/>
      <c r="BL135" s="987">
        <f t="shared" si="79"/>
        <v>0</v>
      </c>
      <c r="BM135" s="987">
        <f t="shared" si="80"/>
        <v>0</v>
      </c>
      <c r="BO135" s="987">
        <f t="shared" si="66"/>
        <v>0</v>
      </c>
      <c r="BP135" s="987">
        <f t="shared" si="81"/>
        <v>0</v>
      </c>
      <c r="BR135" s="993">
        <f>IF(BJ135&gt;0,INDEX(OperationalDetail,MATCH("Capacity Degradation",ODColumn,0),MATCH('Monthly Table'!C135,ODRow,0)),0)</f>
        <v>0</v>
      </c>
      <c r="BS135" s="994">
        <f>BJ135*(1-BR135)*Tables!$C$36</f>
        <v>0</v>
      </c>
      <c r="BT135" s="601">
        <f t="shared" si="67"/>
        <v>0</v>
      </c>
      <c r="BU135" s="601">
        <f t="shared" si="68"/>
        <v>0</v>
      </c>
      <c r="BV135" s="462"/>
      <c r="BW135" s="785">
        <f>$BO135*(1-$BR135)*Tables!$C$36</f>
        <v>0</v>
      </c>
      <c r="BX135" s="602">
        <f t="shared" si="82"/>
        <v>0</v>
      </c>
      <c r="BY135" s="601">
        <f t="shared" si="83"/>
        <v>0</v>
      </c>
      <c r="BZ135" s="462"/>
      <c r="CA135" s="785">
        <f>$BL135*(1-$BR135)*Tables!$C$36</f>
        <v>0</v>
      </c>
      <c r="CB135" s="602">
        <f t="shared" si="84"/>
        <v>0</v>
      </c>
      <c r="CC135" s="601">
        <f t="shared" si="85"/>
        <v>0</v>
      </c>
      <c r="CD135" s="785">
        <f>$BP135*(1-$BR135)*Tables!$C$36</f>
        <v>0</v>
      </c>
      <c r="CE135" s="602">
        <f t="shared" si="86"/>
        <v>0</v>
      </c>
      <c r="CF135" s="601">
        <f t="shared" si="87"/>
        <v>0</v>
      </c>
      <c r="CH135" s="785">
        <f>$BM135*(1-$BR135)*Tables!$C$36</f>
        <v>0</v>
      </c>
      <c r="CI135" s="602">
        <f t="shared" si="88"/>
        <v>0</v>
      </c>
      <c r="CJ135" s="601">
        <f t="shared" si="89"/>
        <v>0</v>
      </c>
      <c r="CK135" s="304"/>
      <c r="CL135" s="304">
        <f t="shared" si="90"/>
        <v>2010</v>
      </c>
      <c r="CM135" s="1018">
        <f>INDEX(OperationalDetail,MATCH("Degraded Heat Rate",ODColumn,0),MATCH('Monthly Table'!CL135,ODRow,0))/1000</f>
        <v>12.109500000000001</v>
      </c>
      <c r="CN135" s="737">
        <f t="shared" si="69"/>
        <v>58.233982095593817</v>
      </c>
      <c r="CO135" s="1019">
        <f>IF(A135="January",(CO134*(1+Assumptions!$E$32)),CO134)</f>
        <v>8.2106892901771893</v>
      </c>
      <c r="CP135" s="741">
        <f t="shared" si="105"/>
        <v>66.444671385771002</v>
      </c>
      <c r="CQ135" s="304"/>
      <c r="CR135" s="575" t="str">
        <f t="shared" si="91"/>
        <v/>
      </c>
      <c r="CS135" s="575" t="str">
        <f t="shared" si="92"/>
        <v/>
      </c>
      <c r="CT135" s="575" t="str">
        <f t="shared" si="93"/>
        <v/>
      </c>
      <c r="CU135" s="575" t="str">
        <f t="shared" si="94"/>
        <v/>
      </c>
      <c r="CV135" s="575" t="str">
        <f t="shared" si="95"/>
        <v/>
      </c>
      <c r="CW135" s="576">
        <f t="shared" si="106"/>
        <v>2011</v>
      </c>
      <c r="CX135" s="787">
        <f>INDEX('NY Curve'!$A$4:$G$256,MATCH('Monthly Table'!B135,'NY Curve'!$A$4:$A$256,0),MATCH("New York 5 X 16",'NY Curve'!$A$4:$G$4,0))</f>
        <v>31.15</v>
      </c>
      <c r="CY135" s="632">
        <f t="shared" si="107"/>
        <v>1.3165964672216099</v>
      </c>
      <c r="CZ135" s="633">
        <f t="shared" si="108"/>
        <v>41.011979953953151</v>
      </c>
      <c r="DB135" s="857"/>
      <c r="DC135" s="857"/>
    </row>
    <row r="136" spans="1:107" ht="18.75" customHeight="1">
      <c r="A136" s="17" t="s">
        <v>442</v>
      </c>
      <c r="B136" s="508">
        <v>40695</v>
      </c>
      <c r="C136" s="43">
        <f t="shared" si="97"/>
        <v>2011</v>
      </c>
      <c r="D136" s="719">
        <f t="shared" si="96"/>
        <v>11</v>
      </c>
      <c r="E136" s="972">
        <v>22</v>
      </c>
      <c r="F136" s="971">
        <v>4</v>
      </c>
      <c r="G136" s="971">
        <v>4</v>
      </c>
      <c r="H136" s="971">
        <v>0</v>
      </c>
      <c r="I136" s="976">
        <f t="shared" si="70"/>
        <v>30</v>
      </c>
      <c r="J136" s="621"/>
      <c r="K136" s="572">
        <f>INDEX(FX!$A$3:$C$362,MATCH(B136,FX!$A$3:$A$362,0),MATCH("Monthly Curve",FX!$A$2:$C$2,0))</f>
        <v>1.3157294276076099</v>
      </c>
      <c r="L136" s="572"/>
      <c r="M136" s="1070">
        <v>3.1385000000000005</v>
      </c>
      <c r="N136" s="1071">
        <v>0.14499999999999999</v>
      </c>
      <c r="O136" s="877">
        <v>0.1</v>
      </c>
      <c r="P136" s="797">
        <f t="shared" si="99"/>
        <v>0.245</v>
      </c>
      <c r="Q136" s="732">
        <f t="shared" si="100"/>
        <v>3.3835000000000006</v>
      </c>
      <c r="R136" s="723">
        <f>IF(A136="January",(R135+R135*Assumptions!$E$32),R135)</f>
        <v>0.36609539234988436</v>
      </c>
      <c r="S136" s="730">
        <f t="shared" si="101"/>
        <v>4.8178659106602337</v>
      </c>
      <c r="T136" s="572"/>
      <c r="U136" s="509"/>
      <c r="V136" s="584"/>
      <c r="W136" s="584"/>
      <c r="X136" s="461"/>
      <c r="Y136" s="588">
        <f>Tables!$D$36</f>
        <v>312</v>
      </c>
      <c r="Z136" s="570">
        <f t="shared" si="102"/>
        <v>0</v>
      </c>
      <c r="AA136" s="592">
        <f t="shared" si="103"/>
        <v>0</v>
      </c>
      <c r="AB136" s="589">
        <f t="shared" si="98"/>
        <v>0</v>
      </c>
      <c r="AC136" s="462"/>
      <c r="AD136" s="1027">
        <f>IF(Tables!$E$30="Michigan",INDEX('Michigan Curve'!$A$4:$S$256,MATCH('Monthly Table'!B136,'Michigan Curve'!$A$4:$A$256,0),MATCH("Michigan Selected Option Value US$/month",'Michigan Curve'!$A$4:$S$4,0)),INDEX('NY Curve'!$A$4:$T$256,MATCH('Monthly Table'!B136,'NY Curve'!$A$4:$A$256,0),MATCH("New York Selected Option Value US$/month",'NY Curve'!$A$4:$T$4,0)))</f>
        <v>100606.16373707843</v>
      </c>
      <c r="AE136" s="601">
        <f t="shared" si="71"/>
        <v>132370.49022758368</v>
      </c>
      <c r="AF136" s="462"/>
      <c r="AG136" s="915"/>
      <c r="AH136" s="17"/>
      <c r="AI136" s="799">
        <f>Assumptions!$B$50</f>
        <v>65</v>
      </c>
      <c r="AJ136" s="743"/>
      <c r="AK136" s="924">
        <f>IF(Tables!$E$30="Custom",'Monthly Table'!AI136,IF(Tables!$E$30="New York",INDEX('NY Curve'!$A$4:$G$256,MATCH('Monthly Table'!B136,'NY Curve'!$A$4:$A$256,0),MATCH("Super Peak Curve",'NY Curve'!$A$4:$G$4,0)),IF(Tables!$E$30="New York Flat",INDEX('NY Curve'!$A$4:$G$256,MATCH('Monthly Table'!B136,'NY Curve'!$A$4:$A$256,0),MATCH("Flat NY West",'NY Curve'!$A$4:$G$4,0)),INDEX('Michigan Curve'!$A$4:$F$256,MATCH('Monthly Table'!B136,'Michigan Curve'!$A$4:$A$256,0),MATCH("Michigan Super Peak Curve US$/MWhr",'Michigan Curve'!$A$4:$F$4,0)))))</f>
        <v>81.635066616535696</v>
      </c>
      <c r="AL136" s="965">
        <f>IF(D136&lt;=Tables!$B$21,IF($AL$10=$AI$10,AI136,IF($AL$10=$AJ$10,AJ136,IF($AL$10=$AK$10,AK136,0))),0)</f>
        <v>81.635066616535696</v>
      </c>
      <c r="AM136" s="708">
        <f t="shared" si="72"/>
        <v>107.40965947208362</v>
      </c>
      <c r="AN136" s="916">
        <f t="shared" si="73"/>
        <v>1</v>
      </c>
      <c r="AO136" s="905"/>
      <c r="AP136" s="925"/>
      <c r="AQ136" s="926">
        <f>IF(Tables!$E$30="New York",INDEX('NY Curve'!$A$4:$L$256,MATCH('Monthly Table'!B136,'NY Curve'!$A$4:$A$256,0),MATCH("New York Shoulder Hour Curve Mon-Fri",'NY Curve'!$A$4:$L$4,0)),IF(Tables!$E$30="Michigan",INDEX('Michigan Curve'!$A$4:$K$256,MATCH('Monthly Table'!B136,'Michigan Curve'!$A$4:$A$256,0),MATCH("Michigan Shoulder Hour Curve Mon-Fri",'Michigan Curve'!$A$4:$K$4,0))))</f>
        <v>22.864933383464304</v>
      </c>
      <c r="AR136" s="708">
        <f t="shared" si="74"/>
        <v>30.08406571291162</v>
      </c>
      <c r="AS136" s="927">
        <f t="shared" si="61"/>
        <v>0</v>
      </c>
      <c r="AT136" s="462"/>
      <c r="AU136" s="926">
        <f>IF(Tables!$E$30="New York",INDEX('NY Curve'!$A$4:$L$256,MATCH('Monthly Table'!$B136,'NY Curve'!$A$4:$A$256,0),MATCH("New York Saturday Super Peak",'NY Curve'!$A$4:$L$4,0)),IF(Tables!$E$30="Michigan",INDEX('Michigan Curve'!$A$4:$K$256,MATCH('Monthly Table'!$B136,'Michigan Curve'!$A$4:$A$256,0),MATCH("Michigan Saturday Super Peak",'Michigan Curve'!$A$4:$K$4,0))))</f>
        <v>40.622234105835943</v>
      </c>
      <c r="AV136" s="925">
        <f t="shared" si="62"/>
        <v>53.447868828213856</v>
      </c>
      <c r="AW136" s="927">
        <f t="shared" si="63"/>
        <v>0</v>
      </c>
      <c r="AX136" s="926">
        <f>IF(Tables!$E$30="New York",INDEX('NY Curve'!$A$4:$L$256,MATCH('Monthly Table'!$B136,'NY Curve'!$A$4:$A$256,0),MATCH("New York Saturday Shoulder Peak",'NY Curve'!$A$4:$L$4,0)),IF(Tables!$E$30="Michigan",INDEX('Michigan Curve'!$A$4:$K$256,MATCH('Monthly Table'!$B136,'Michigan Curve'!$A$4:$A$256,0),MATCH("Michigan Saturday Shoulder Peak",'Michigan Curve'!$A$4:$K$4,0))))</f>
        <v>11.377765894164057</v>
      </c>
      <c r="AY136" s="934">
        <f t="shared" si="75"/>
        <v>14.970061407381861</v>
      </c>
      <c r="AZ136" s="927">
        <f t="shared" si="64"/>
        <v>0</v>
      </c>
      <c r="BA136" s="462"/>
      <c r="BB136" s="926">
        <f>IF(Tables!$E$30="New York",INDEX('NY Curve'!$A$4:$M$256,MATCH('Monthly Table'!$B136,'NY Curve'!$A$4:$A$256,0),MATCH("NY Sunday Super Peak",'NY Curve'!$A$4:$M$4,0)),IF(Tables!$E$30="Michigan",INDEX('Michigan Curve'!$A$4:$L$256,MATCH('Monthly Table'!$B136,'Michigan Curve'!$A$4:$A$256,0),MATCH("Michigan Sunday Super Peak",'Michigan Curve'!$A$4:$L$4,0))))</f>
        <v>37.497446866925486</v>
      </c>
      <c r="BC136" s="925">
        <f t="shared" si="76"/>
        <v>49.336494302966635</v>
      </c>
      <c r="BD136" s="927">
        <f t="shared" si="65"/>
        <v>0</v>
      </c>
      <c r="BE136" s="462"/>
      <c r="BF136" s="598">
        <f t="shared" si="104"/>
        <v>40695</v>
      </c>
      <c r="BG136" s="583">
        <f t="shared" si="77"/>
        <v>176</v>
      </c>
      <c r="BH136" s="764">
        <f>IF(Tables!$B$36="Combined Cycle",(BF136-BF135)*24*Assumptions!$B$21,0)</f>
        <v>0</v>
      </c>
      <c r="BI136" s="315">
        <f t="shared" si="78"/>
        <v>176</v>
      </c>
      <c r="BJ136" s="987">
        <f>IF('Monthly Table'!D136&lt;=Tables!$B$21,IF($BJ$10=$BG$10,BG136,IF($BJ$10=$BH$10,BH136,IF($BJ$10=$BI$10,BI136,0))),0)</f>
        <v>176</v>
      </c>
      <c r="BK136" s="43"/>
      <c r="BL136" s="987">
        <f t="shared" si="79"/>
        <v>0</v>
      </c>
      <c r="BM136" s="987">
        <f t="shared" si="80"/>
        <v>0</v>
      </c>
      <c r="BO136" s="987">
        <f t="shared" si="66"/>
        <v>0</v>
      </c>
      <c r="BP136" s="987">
        <f t="shared" si="81"/>
        <v>0</v>
      </c>
      <c r="BR136" s="993">
        <f>IF(BJ136&gt;0,INDEX(OperationalDetail,MATCH("Capacity Degradation",ODColumn,0),MATCH('Monthly Table'!C136,ODRow,0)),0)</f>
        <v>1.5089999999999999E-2</v>
      </c>
      <c r="BS136" s="994">
        <f>BJ136*(1-BR136)*Tables!$C$36</f>
        <v>56163.507839999998</v>
      </c>
      <c r="BT136" s="601">
        <f t="shared" si="67"/>
        <v>4584.9117039367247</v>
      </c>
      <c r="BU136" s="601">
        <f t="shared" si="68"/>
        <v>6032.5032518520984</v>
      </c>
      <c r="BV136" s="462"/>
      <c r="BW136" s="785">
        <f>$BO136*(1-$BR136)*Tables!$C$36</f>
        <v>0</v>
      </c>
      <c r="BX136" s="602">
        <f t="shared" si="82"/>
        <v>0</v>
      </c>
      <c r="BY136" s="601">
        <f t="shared" si="83"/>
        <v>0</v>
      </c>
      <c r="BZ136" s="462"/>
      <c r="CA136" s="785">
        <f>$BL136*(1-$BR136)*Tables!$C$36</f>
        <v>0</v>
      </c>
      <c r="CB136" s="602">
        <f t="shared" si="84"/>
        <v>0</v>
      </c>
      <c r="CC136" s="601">
        <f t="shared" si="85"/>
        <v>0</v>
      </c>
      <c r="CD136" s="785">
        <f>$BP136*(1-$BR136)*Tables!$C$36</f>
        <v>0</v>
      </c>
      <c r="CE136" s="602">
        <f t="shared" si="86"/>
        <v>0</v>
      </c>
      <c r="CF136" s="601">
        <f t="shared" si="87"/>
        <v>0</v>
      </c>
      <c r="CH136" s="785">
        <f>$BM136*(1-$BR136)*Tables!$C$36</f>
        <v>0</v>
      </c>
      <c r="CI136" s="602">
        <f t="shared" si="88"/>
        <v>0</v>
      </c>
      <c r="CJ136" s="601">
        <f t="shared" si="89"/>
        <v>0</v>
      </c>
      <c r="CK136" s="304"/>
      <c r="CL136" s="304">
        <f t="shared" si="90"/>
        <v>2010</v>
      </c>
      <c r="CM136" s="1018">
        <f>INDEX(OperationalDetail,MATCH("Degraded Heat Rate",ODColumn,0),MATCH('Monthly Table'!CL136,ODRow,0))/1000</f>
        <v>12.109500000000001</v>
      </c>
      <c r="CN136" s="737">
        <f t="shared" si="69"/>
        <v>58.341947245140105</v>
      </c>
      <c r="CO136" s="1019">
        <f>IF(A136="January",(CO135*(1+Assumptions!$E$32)),CO135)</f>
        <v>8.2106892901771893</v>
      </c>
      <c r="CP136" s="741">
        <f t="shared" si="105"/>
        <v>66.552636535317291</v>
      </c>
      <c r="CQ136" s="304"/>
      <c r="CR136" s="575">
        <f t="shared" si="91"/>
        <v>2011</v>
      </c>
      <c r="CS136" s="575" t="str">
        <f t="shared" si="92"/>
        <v/>
      </c>
      <c r="CT136" s="575" t="str">
        <f t="shared" si="93"/>
        <v/>
      </c>
      <c r="CU136" s="575" t="str">
        <f t="shared" si="94"/>
        <v/>
      </c>
      <c r="CV136" s="575" t="str">
        <f t="shared" si="95"/>
        <v/>
      </c>
      <c r="CW136" s="576">
        <f t="shared" si="106"/>
        <v>2011</v>
      </c>
      <c r="CX136" s="787">
        <f>INDEX('NY Curve'!$A$4:$G$256,MATCH('Monthly Table'!B136,'NY Curve'!$A$4:$A$256,0),MATCH("New York 5 X 16",'NY Curve'!$A$4:$G$4,0))</f>
        <v>52.25</v>
      </c>
      <c r="CY136" s="632">
        <f t="shared" si="107"/>
        <v>1.3157294276076099</v>
      </c>
      <c r="CZ136" s="633">
        <f t="shared" si="108"/>
        <v>68.746862592497621</v>
      </c>
      <c r="DB136" s="857"/>
      <c r="DC136" s="857"/>
    </row>
    <row r="137" spans="1:107" ht="18.75" customHeight="1">
      <c r="A137" s="17" t="s">
        <v>443</v>
      </c>
      <c r="B137" s="508">
        <v>40725</v>
      </c>
      <c r="C137" s="43">
        <f t="shared" si="97"/>
        <v>2011</v>
      </c>
      <c r="D137" s="719">
        <f t="shared" si="96"/>
        <v>11</v>
      </c>
      <c r="E137" s="972">
        <v>20</v>
      </c>
      <c r="F137" s="971">
        <v>5</v>
      </c>
      <c r="G137" s="971">
        <v>5</v>
      </c>
      <c r="H137" s="971">
        <v>1</v>
      </c>
      <c r="I137" s="976">
        <f t="shared" si="70"/>
        <v>31</v>
      </c>
      <c r="J137" s="621"/>
      <c r="K137" s="572">
        <f>INDEX(FX!$A$3:$C$362,MATCH(B137,FX!$A$3:$A$362,0),MATCH("Monthly Curve",FX!$A$2:$C$2,0))</f>
        <v>1.3148927062058799</v>
      </c>
      <c r="L137" s="572"/>
      <c r="M137" s="1070">
        <v>3.1475</v>
      </c>
      <c r="N137" s="1071">
        <v>0.14499999999999999</v>
      </c>
      <c r="O137" s="877">
        <v>0.1</v>
      </c>
      <c r="P137" s="797">
        <f t="shared" si="99"/>
        <v>0.245</v>
      </c>
      <c r="Q137" s="732">
        <f t="shared" si="100"/>
        <v>3.3925000000000001</v>
      </c>
      <c r="R137" s="723">
        <f>IF(A137="January",(R136+R136*Assumptions!$E$32),R136)</f>
        <v>0.36609539234988436</v>
      </c>
      <c r="S137" s="730">
        <f t="shared" si="101"/>
        <v>4.8268688981533323</v>
      </c>
      <c r="T137" s="572"/>
      <c r="U137" s="509"/>
      <c r="V137" s="584"/>
      <c r="W137" s="584"/>
      <c r="X137" s="461"/>
      <c r="Y137" s="588">
        <f>Tables!$D$36</f>
        <v>312</v>
      </c>
      <c r="Z137" s="570">
        <f t="shared" si="102"/>
        <v>0</v>
      </c>
      <c r="AA137" s="592">
        <f t="shared" si="103"/>
        <v>0</v>
      </c>
      <c r="AB137" s="589">
        <f t="shared" si="98"/>
        <v>0</v>
      </c>
      <c r="AC137" s="462"/>
      <c r="AD137" s="1027">
        <f>IF(Tables!$E$30="Michigan",INDEX('Michigan Curve'!$A$4:$S$256,MATCH('Monthly Table'!B137,'Michigan Curve'!$A$4:$A$256,0),MATCH("Michigan Selected Option Value US$/month",'Michigan Curve'!$A$4:$S$4,0)),INDEX('NY Curve'!$A$4:$T$256,MATCH('Monthly Table'!B137,'NY Curve'!$A$4:$A$256,0),MATCH("New York Selected Option Value US$/month",'NY Curve'!$A$4:$T$4,0)))</f>
        <v>333287.24578136113</v>
      </c>
      <c r="AE137" s="601">
        <f t="shared" si="71"/>
        <v>438236.96854935819</v>
      </c>
      <c r="AF137" s="462"/>
      <c r="AG137" s="915"/>
      <c r="AH137" s="17"/>
      <c r="AI137" s="799">
        <f>Assumptions!$B$50</f>
        <v>65</v>
      </c>
      <c r="AJ137" s="743"/>
      <c r="AK137" s="924">
        <f>IF(Tables!$E$30="Custom",'Monthly Table'!AI137,IF(Tables!$E$30="New York",INDEX('NY Curve'!$A$4:$G$256,MATCH('Monthly Table'!B137,'NY Curve'!$A$4:$A$256,0),MATCH("Super Peak Curve",'NY Curve'!$A$4:$G$4,0)),IF(Tables!$E$30="New York Flat",INDEX('NY Curve'!$A$4:$G$256,MATCH('Monthly Table'!B137,'NY Curve'!$A$4:$A$256,0),MATCH("Flat NY West",'NY Curve'!$A$4:$G$4,0)),INDEX('Michigan Curve'!$A$4:$F$256,MATCH('Monthly Table'!B137,'Michigan Curve'!$A$4:$A$256,0),MATCH("Michigan Super Peak Curve US$/MWhr",'Michigan Curve'!$A$4:$F$4,0)))))</f>
        <v>149.2223833206034</v>
      </c>
      <c r="AL137" s="965">
        <f>IF(D137&lt;=Tables!$B$21,IF($AL$10=$AI$10,AI137,IF($AL$10=$AJ$10,AJ137,IF($AL$10=$AK$10,AK137,0))),0)</f>
        <v>149.2223833206034</v>
      </c>
      <c r="AM137" s="708">
        <f t="shared" si="72"/>
        <v>196.21142343091935</v>
      </c>
      <c r="AN137" s="916">
        <f t="shared" si="73"/>
        <v>1</v>
      </c>
      <c r="AO137" s="905"/>
      <c r="AP137" s="925"/>
      <c r="AQ137" s="926">
        <f>IF(Tables!$E$30="New York",INDEX('NY Curve'!$A$4:$L$256,MATCH('Monthly Table'!B137,'NY Curve'!$A$4:$A$256,0),MATCH("New York Shoulder Hour Curve Mon-Fri",'NY Curve'!$A$4:$L$4,0)),IF(Tables!$E$30="Michigan",INDEX('Michigan Curve'!$A$4:$K$256,MATCH('Monthly Table'!B137,'Michigan Curve'!$A$4:$A$256,0),MATCH("Michigan Shoulder Hour Curve Mon-Fri",'Michigan Curve'!$A$4:$K$4,0))))</f>
        <v>28.777616679396608</v>
      </c>
      <c r="AR137" s="708">
        <f t="shared" si="74"/>
        <v>37.839478273727273</v>
      </c>
      <c r="AS137" s="927">
        <f t="shared" si="61"/>
        <v>0</v>
      </c>
      <c r="AT137" s="462"/>
      <c r="AU137" s="926">
        <f>IF(Tables!$E$30="New York",INDEX('NY Curve'!$A$4:$L$256,MATCH('Monthly Table'!$B137,'NY Curve'!$A$4:$A$256,0),MATCH("New York Saturday Super Peak",'NY Curve'!$A$4:$L$4,0)),IF(Tables!$E$30="Michigan",INDEX('Michigan Curve'!$A$4:$K$256,MATCH('Monthly Table'!$B137,'Michigan Curve'!$A$4:$A$256,0),MATCH("Michigan Saturday Super Peak",'Michigan Curve'!$A$4:$K$4,0))))</f>
        <v>58.682959732821558</v>
      </c>
      <c r="AV137" s="925">
        <f t="shared" si="62"/>
        <v>77.161795731260426</v>
      </c>
      <c r="AW137" s="927">
        <f t="shared" si="63"/>
        <v>1</v>
      </c>
      <c r="AX137" s="926">
        <f>IF(Tables!$E$30="New York",INDEX('NY Curve'!$A$4:$L$256,MATCH('Monthly Table'!$B137,'NY Curve'!$A$4:$A$256,0),MATCH("New York Saturday Shoulder Peak",'NY Curve'!$A$4:$L$4,0)),IF(Tables!$E$30="Michigan",INDEX('Michigan Curve'!$A$4:$K$256,MATCH('Monthly Table'!$B137,'Michigan Curve'!$A$4:$A$256,0),MATCH("Michigan Saturday Shoulder Peak",'Michigan Curve'!$A$4:$K$4,0))))</f>
        <v>11.317040267178442</v>
      </c>
      <c r="AY137" s="934">
        <f t="shared" si="75"/>
        <v>14.880693703151175</v>
      </c>
      <c r="AZ137" s="927">
        <f t="shared" si="64"/>
        <v>0</v>
      </c>
      <c r="BA137" s="462"/>
      <c r="BB137" s="926">
        <f>IF(Tables!$E$30="New York",INDEX('NY Curve'!$A$4:$M$256,MATCH('Monthly Table'!$B137,'NY Curve'!$A$4:$A$256,0),MATCH("NY Sunday Super Peak",'NY Curve'!$A$4:$M$4,0)),IF(Tables!$E$30="Michigan",INDEX('Michigan Curve'!$A$4:$L$256,MATCH('Monthly Table'!$B137,'Michigan Curve'!$A$4:$A$256,0),MATCH("Michigan Sunday Super Peak",'Michigan Curve'!$A$4:$L$4,0))))</f>
        <v>51.976332565388724</v>
      </c>
      <c r="BC137" s="925">
        <f t="shared" si="76"/>
        <v>68.343300585560783</v>
      </c>
      <c r="BD137" s="927">
        <f t="shared" si="65"/>
        <v>1</v>
      </c>
      <c r="BE137" s="462"/>
      <c r="BF137" s="598">
        <f t="shared" si="104"/>
        <v>40725</v>
      </c>
      <c r="BG137" s="583">
        <f t="shared" si="77"/>
        <v>160</v>
      </c>
      <c r="BH137" s="764">
        <f>IF(Tables!$B$36="Combined Cycle",(BF137-BF136)*24*Assumptions!$B$21,0)</f>
        <v>0</v>
      </c>
      <c r="BI137" s="315">
        <f t="shared" si="78"/>
        <v>160</v>
      </c>
      <c r="BJ137" s="987">
        <f>IF('Monthly Table'!D137&lt;=Tables!$B$21,IF($BJ$10=$BG$10,BG137,IF($BJ$10=$BH$10,BH137,IF($BJ$10=$BI$10,BI137,0))),0)</f>
        <v>160</v>
      </c>
      <c r="BK137" s="43"/>
      <c r="BL137" s="987">
        <f t="shared" si="79"/>
        <v>40</v>
      </c>
      <c r="BM137" s="987">
        <f t="shared" si="80"/>
        <v>48</v>
      </c>
      <c r="BO137" s="987">
        <f t="shared" si="66"/>
        <v>0</v>
      </c>
      <c r="BP137" s="987">
        <f t="shared" si="81"/>
        <v>0</v>
      </c>
      <c r="BR137" s="993">
        <f>IF(BJ137&gt;0,INDEX(OperationalDetail,MATCH("Capacity Degradation",ODColumn,0),MATCH('Monthly Table'!C137,ODRow,0)),0)</f>
        <v>1.5089999999999999E-2</v>
      </c>
      <c r="BS137" s="994">
        <f>BJ137*(1-BR137)*Tables!$C$36</f>
        <v>51057.734400000001</v>
      </c>
      <c r="BT137" s="601">
        <f t="shared" si="67"/>
        <v>7618.9568141183581</v>
      </c>
      <c r="BU137" s="601">
        <f t="shared" si="68"/>
        <v>10018.110743781817</v>
      </c>
      <c r="BV137" s="462"/>
      <c r="BW137" s="785">
        <f>$BO137*(1-$BR137)*Tables!$C$36</f>
        <v>0</v>
      </c>
      <c r="BX137" s="602">
        <f t="shared" si="82"/>
        <v>0</v>
      </c>
      <c r="BY137" s="601">
        <f t="shared" si="83"/>
        <v>0</v>
      </c>
      <c r="BZ137" s="462"/>
      <c r="CA137" s="785">
        <f>$BL137*(1-$BR137)*Tables!$C$36</f>
        <v>12764.4336</v>
      </c>
      <c r="CB137" s="602">
        <f t="shared" si="84"/>
        <v>749.05474296107457</v>
      </c>
      <c r="CC137" s="601">
        <f t="shared" si="85"/>
        <v>984.92661806843716</v>
      </c>
      <c r="CD137" s="785">
        <f>$BP137*(1-$BR137)*Tables!$C$36</f>
        <v>0</v>
      </c>
      <c r="CE137" s="602">
        <f t="shared" si="86"/>
        <v>0</v>
      </c>
      <c r="CF137" s="601">
        <f t="shared" si="87"/>
        <v>0</v>
      </c>
      <c r="CH137" s="785">
        <f>$BM137*(1-$BR137)*Tables!$C$36</f>
        <v>15317.320319999999</v>
      </c>
      <c r="CI137" s="602">
        <f t="shared" si="88"/>
        <v>796.13813496290641</v>
      </c>
      <c r="CJ137" s="601">
        <f t="shared" si="89"/>
        <v>1046.8362267950781</v>
      </c>
      <c r="CK137" s="304"/>
      <c r="CL137" s="304">
        <f t="shared" si="90"/>
        <v>2010</v>
      </c>
      <c r="CM137" s="1018">
        <f>INDEX(OperationalDetail,MATCH("Degraded Heat Rate",ODColumn,0),MATCH('Monthly Table'!CL137,ODRow,0))/1000</f>
        <v>12.109500000000001</v>
      </c>
      <c r="CN137" s="737">
        <f t="shared" si="69"/>
        <v>58.450968922187784</v>
      </c>
      <c r="CO137" s="1019">
        <f>IF(A137="January",(CO136*(1+Assumptions!$E$32)),CO136)</f>
        <v>8.2106892901771893</v>
      </c>
      <c r="CP137" s="741">
        <f t="shared" si="105"/>
        <v>66.661658212364969</v>
      </c>
      <c r="CQ137" s="304"/>
      <c r="CR137" s="575">
        <f t="shared" si="91"/>
        <v>2011</v>
      </c>
      <c r="CS137" s="575" t="str">
        <f t="shared" si="92"/>
        <v/>
      </c>
      <c r="CT137" s="575">
        <f t="shared" si="93"/>
        <v>2011</v>
      </c>
      <c r="CU137" s="575" t="str">
        <f t="shared" si="94"/>
        <v/>
      </c>
      <c r="CV137" s="575">
        <f t="shared" si="95"/>
        <v>2011</v>
      </c>
      <c r="CW137" s="576">
        <f t="shared" si="106"/>
        <v>2011</v>
      </c>
      <c r="CX137" s="787">
        <f>INDEX('NY Curve'!$A$4:$G$256,MATCH('Monthly Table'!B137,'NY Curve'!$A$4:$A$256,0),MATCH("New York 5 X 16",'NY Curve'!$A$4:$G$4,0))</f>
        <v>80</v>
      </c>
      <c r="CY137" s="632">
        <f t="shared" si="107"/>
        <v>1.3148927062058799</v>
      </c>
      <c r="CZ137" s="633">
        <f t="shared" si="108"/>
        <v>105.1914164964704</v>
      </c>
      <c r="DB137" s="857"/>
      <c r="DC137" s="857"/>
    </row>
    <row r="138" spans="1:107" ht="18.75" customHeight="1">
      <c r="A138" s="17" t="s">
        <v>444</v>
      </c>
      <c r="B138" s="508">
        <v>40756</v>
      </c>
      <c r="C138" s="43">
        <f t="shared" si="97"/>
        <v>2011</v>
      </c>
      <c r="D138" s="719">
        <f t="shared" si="96"/>
        <v>11</v>
      </c>
      <c r="E138" s="972">
        <v>23</v>
      </c>
      <c r="F138" s="971">
        <v>4</v>
      </c>
      <c r="G138" s="971">
        <v>4</v>
      </c>
      <c r="H138" s="971">
        <v>0</v>
      </c>
      <c r="I138" s="976">
        <f t="shared" si="70"/>
        <v>31</v>
      </c>
      <c r="J138" s="621"/>
      <c r="K138" s="572">
        <f>INDEX(FX!$A$3:$C$362,MATCH(B138,FX!$A$3:$A$362,0),MATCH("Monthly Curve",FX!$A$2:$C$2,0))</f>
        <v>1.31403051757469</v>
      </c>
      <c r="L138" s="572"/>
      <c r="M138" s="1070">
        <v>3.1545000000000001</v>
      </c>
      <c r="N138" s="1071">
        <v>0.14499999999999999</v>
      </c>
      <c r="O138" s="877">
        <v>0.1</v>
      </c>
      <c r="P138" s="797">
        <f t="shared" si="99"/>
        <v>0.245</v>
      </c>
      <c r="Q138" s="732">
        <f t="shared" si="100"/>
        <v>3.3995000000000002</v>
      </c>
      <c r="R138" s="723">
        <f>IF(A138="January",(R137+R137*Assumptions!$E$32),R137)</f>
        <v>0.36609539234988436</v>
      </c>
      <c r="S138" s="730">
        <f t="shared" si="101"/>
        <v>4.8331421368450433</v>
      </c>
      <c r="T138" s="572"/>
      <c r="U138" s="509"/>
      <c r="V138" s="584"/>
      <c r="W138" s="584"/>
      <c r="X138" s="461"/>
      <c r="Y138" s="588">
        <f>Tables!$D$36</f>
        <v>312</v>
      </c>
      <c r="Z138" s="570">
        <f t="shared" si="102"/>
        <v>0</v>
      </c>
      <c r="AA138" s="592">
        <f t="shared" si="103"/>
        <v>0</v>
      </c>
      <c r="AB138" s="589">
        <f t="shared" si="98"/>
        <v>0</v>
      </c>
      <c r="AC138" s="462"/>
      <c r="AD138" s="1027">
        <f>IF(Tables!$E$30="Michigan",INDEX('Michigan Curve'!$A$4:$S$256,MATCH('Monthly Table'!B138,'Michigan Curve'!$A$4:$A$256,0),MATCH("Michigan Selected Option Value US$/month",'Michigan Curve'!$A$4:$S$4,0)),INDEX('NY Curve'!$A$4:$T$256,MATCH('Monthly Table'!B138,'NY Curve'!$A$4:$A$256,0),MATCH("New York Selected Option Value US$/month",'NY Curve'!$A$4:$T$4,0)))</f>
        <v>281522.27450966183</v>
      </c>
      <c r="AE138" s="601">
        <f t="shared" si="71"/>
        <v>369928.8600827349</v>
      </c>
      <c r="AF138" s="462"/>
      <c r="AG138" s="915"/>
      <c r="AH138" s="17"/>
      <c r="AI138" s="799">
        <f>Assumptions!$B$50</f>
        <v>65</v>
      </c>
      <c r="AJ138" s="743"/>
      <c r="AK138" s="924">
        <f>IF(Tables!$E$30="Custom",'Monthly Table'!AI138,IF(Tables!$E$30="New York",INDEX('NY Curve'!$A$4:$G$256,MATCH('Monthly Table'!B138,'NY Curve'!$A$4:$A$256,0),MATCH("Super Peak Curve",'NY Curve'!$A$4:$G$4,0)),IF(Tables!$E$30="New York Flat",INDEX('NY Curve'!$A$4:$G$256,MATCH('Monthly Table'!B138,'NY Curve'!$A$4:$A$256,0),MATCH("Flat NY West",'NY Curve'!$A$4:$G$4,0)),INDEX('Michigan Curve'!$A$4:$F$256,MATCH('Monthly Table'!B138,'Michigan Curve'!$A$4:$A$256,0),MATCH("Michigan Super Peak Curve US$/MWhr",'Michigan Curve'!$A$4:$F$4,0)))))</f>
        <v>149.2223833206034</v>
      </c>
      <c r="AL138" s="965">
        <f>IF(D138&lt;=Tables!$B$21,IF($AL$10=$AI$10,AI138,IF($AL$10=$AJ$10,AJ138,IF($AL$10=$AK$10,AK138,0))),0)</f>
        <v>149.2223833206034</v>
      </c>
      <c r="AM138" s="708">
        <f t="shared" si="72"/>
        <v>196.08276558850127</v>
      </c>
      <c r="AN138" s="916">
        <f t="shared" si="73"/>
        <v>1</v>
      </c>
      <c r="AO138" s="905"/>
      <c r="AP138" s="925"/>
      <c r="AQ138" s="926">
        <f>IF(Tables!$E$30="New York",INDEX('NY Curve'!$A$4:$L$256,MATCH('Monthly Table'!B138,'NY Curve'!$A$4:$A$256,0),MATCH("New York Shoulder Hour Curve Mon-Fri",'NY Curve'!$A$4:$L$4,0)),IF(Tables!$E$30="Michigan",INDEX('Michigan Curve'!$A$4:$K$256,MATCH('Monthly Table'!B138,'Michigan Curve'!$A$4:$A$256,0),MATCH("Michigan Shoulder Hour Curve Mon-Fri",'Michigan Curve'!$A$4:$K$4,0))))</f>
        <v>28.777616679396608</v>
      </c>
      <c r="AR138" s="708">
        <f t="shared" si="74"/>
        <v>37.814666539793556</v>
      </c>
      <c r="AS138" s="927">
        <f t="shared" si="61"/>
        <v>0</v>
      </c>
      <c r="AT138" s="462"/>
      <c r="AU138" s="926">
        <f>IF(Tables!$E$30="New York",INDEX('NY Curve'!$A$4:$L$256,MATCH('Monthly Table'!$B138,'NY Curve'!$A$4:$A$256,0),MATCH("New York Saturday Super Peak",'NY Curve'!$A$4:$L$4,0)),IF(Tables!$E$30="Michigan",INDEX('Michigan Curve'!$A$4:$K$256,MATCH('Monthly Table'!$B138,'Michigan Curve'!$A$4:$A$256,0),MATCH("Michigan Saturday Super Peak",'Michigan Curve'!$A$4:$K$4,0))))</f>
        <v>58.68296612875659</v>
      </c>
      <c r="AV138" s="925">
        <f t="shared" si="62"/>
        <v>77.111208354988023</v>
      </c>
      <c r="AW138" s="927">
        <f t="shared" si="63"/>
        <v>1</v>
      </c>
      <c r="AX138" s="926">
        <f>IF(Tables!$E$30="New York",INDEX('NY Curve'!$A$4:$L$256,MATCH('Monthly Table'!$B138,'NY Curve'!$A$4:$A$256,0),MATCH("New York Saturday Shoulder Peak",'NY Curve'!$A$4:$L$4,0)),IF(Tables!$E$30="Michigan",INDEX('Michigan Curve'!$A$4:$K$256,MATCH('Monthly Table'!$B138,'Michigan Curve'!$A$4:$A$256,0),MATCH("Michigan Saturday Shoulder Peak",'Michigan Curve'!$A$4:$K$4,0))))</f>
        <v>11.317041500637943</v>
      </c>
      <c r="AY138" s="934">
        <f t="shared" si="75"/>
        <v>14.870937900497523</v>
      </c>
      <c r="AZ138" s="927">
        <f t="shared" si="64"/>
        <v>0</v>
      </c>
      <c r="BA138" s="462"/>
      <c r="BB138" s="926">
        <f>IF(Tables!$E$30="New York",INDEX('NY Curve'!$A$4:$M$256,MATCH('Monthly Table'!$B138,'NY Curve'!$A$4:$A$256,0),MATCH("NY Sunday Super Peak",'NY Curve'!$A$4:$M$4,0)),IF(Tables!$E$30="Michigan",INDEX('Michigan Curve'!$A$4:$L$256,MATCH('Monthly Table'!$B138,'Michigan Curve'!$A$4:$A$256,0),MATCH("Michigan Sunday Super Peak",'Michigan Curve'!$A$4:$L$4,0))))</f>
        <v>51.976335763356239</v>
      </c>
      <c r="BC138" s="925">
        <f t="shared" si="76"/>
        <v>68.298491384758876</v>
      </c>
      <c r="BD138" s="927">
        <f t="shared" si="65"/>
        <v>1</v>
      </c>
      <c r="BE138" s="462"/>
      <c r="BF138" s="598">
        <f t="shared" si="104"/>
        <v>40756</v>
      </c>
      <c r="BG138" s="583">
        <f t="shared" si="77"/>
        <v>184</v>
      </c>
      <c r="BH138" s="764">
        <f>IF(Tables!$B$36="Combined Cycle",(BF138-BF137)*24*Assumptions!$B$21,0)</f>
        <v>0</v>
      </c>
      <c r="BI138" s="315">
        <f t="shared" si="78"/>
        <v>184</v>
      </c>
      <c r="BJ138" s="987">
        <f>IF('Monthly Table'!D138&lt;=Tables!$B$21,IF($BJ$10=$BG$10,BG138,IF($BJ$10=$BH$10,BH138,IF($BJ$10=$BI$10,BI138,0))),0)</f>
        <v>184</v>
      </c>
      <c r="BK138" s="43"/>
      <c r="BL138" s="987">
        <f t="shared" si="79"/>
        <v>32</v>
      </c>
      <c r="BM138" s="987">
        <f t="shared" si="80"/>
        <v>32</v>
      </c>
      <c r="BO138" s="987">
        <f t="shared" si="66"/>
        <v>0</v>
      </c>
      <c r="BP138" s="987">
        <f t="shared" si="81"/>
        <v>0</v>
      </c>
      <c r="BR138" s="993">
        <f>IF(BJ138&gt;0,INDEX(OperationalDetail,MATCH("Capacity Degradation",ODColumn,0),MATCH('Monthly Table'!C138,ODRow,0)),0)</f>
        <v>1.5089999999999999E-2</v>
      </c>
      <c r="BS138" s="994">
        <f>BJ138*(1-BR138)*Tables!$C$36</f>
        <v>58716.394559999993</v>
      </c>
      <c r="BT138" s="601">
        <f t="shared" si="67"/>
        <v>8761.8003362361123</v>
      </c>
      <c r="BU138" s="601">
        <f t="shared" si="68"/>
        <v>11513.273030710432</v>
      </c>
      <c r="BV138" s="462"/>
      <c r="BW138" s="785">
        <f>$BO138*(1-$BR138)*Tables!$C$36</f>
        <v>0</v>
      </c>
      <c r="BX138" s="602">
        <f t="shared" si="82"/>
        <v>0</v>
      </c>
      <c r="BY138" s="601">
        <f t="shared" si="83"/>
        <v>0</v>
      </c>
      <c r="BZ138" s="462"/>
      <c r="CA138" s="785">
        <f>$BL138*(1-$BR138)*Tables!$C$36</f>
        <v>10211.54688</v>
      </c>
      <c r="CB138" s="602">
        <f t="shared" si="84"/>
        <v>599.24385968125011</v>
      </c>
      <c r="CC138" s="601">
        <f t="shared" si="85"/>
        <v>787.42471909040796</v>
      </c>
      <c r="CD138" s="785">
        <f>$BP138*(1-$BR138)*Tables!$C$36</f>
        <v>0</v>
      </c>
      <c r="CE138" s="602">
        <f t="shared" si="86"/>
        <v>0</v>
      </c>
      <c r="CF138" s="601">
        <f t="shared" si="87"/>
        <v>0</v>
      </c>
      <c r="CH138" s="785">
        <f>$BM138*(1-$BR138)*Tables!$C$36</f>
        <v>10211.54688</v>
      </c>
      <c r="CI138" s="602">
        <f t="shared" si="88"/>
        <v>530.7587892981328</v>
      </c>
      <c r="CJ138" s="601">
        <f t="shared" si="89"/>
        <v>697.43324660874134</v>
      </c>
      <c r="CK138" s="304"/>
      <c r="CL138" s="304">
        <f t="shared" si="90"/>
        <v>2010</v>
      </c>
      <c r="CM138" s="1018">
        <f>INDEX(OperationalDetail,MATCH("Degraded Heat Rate",ODColumn,0),MATCH('Monthly Table'!CL138,ODRow,0))/1000</f>
        <v>12.109500000000001</v>
      </c>
      <c r="CN138" s="737">
        <f t="shared" si="69"/>
        <v>58.526934706125054</v>
      </c>
      <c r="CO138" s="1019">
        <f>IF(A138="January",(CO137*(1+Assumptions!$E$32)),CO137)</f>
        <v>8.2106892901771893</v>
      </c>
      <c r="CP138" s="741">
        <f t="shared" si="105"/>
        <v>66.737623996302247</v>
      </c>
      <c r="CQ138" s="304"/>
      <c r="CR138" s="575">
        <f t="shared" si="91"/>
        <v>2011</v>
      </c>
      <c r="CS138" s="575" t="str">
        <f t="shared" si="92"/>
        <v/>
      </c>
      <c r="CT138" s="575">
        <f t="shared" si="93"/>
        <v>2011</v>
      </c>
      <c r="CU138" s="575" t="str">
        <f t="shared" si="94"/>
        <v/>
      </c>
      <c r="CV138" s="575">
        <f t="shared" si="95"/>
        <v>2011</v>
      </c>
      <c r="CW138" s="576">
        <f t="shared" si="106"/>
        <v>2011</v>
      </c>
      <c r="CX138" s="787">
        <f>INDEX('NY Curve'!$A$4:$G$256,MATCH('Monthly Table'!B138,'NY Curve'!$A$4:$A$256,0),MATCH("New York 5 X 16",'NY Curve'!$A$4:$G$4,0))</f>
        <v>72.5</v>
      </c>
      <c r="CY138" s="632">
        <f t="shared" si="107"/>
        <v>1.31403051757469</v>
      </c>
      <c r="CZ138" s="633">
        <f t="shared" si="108"/>
        <v>95.267212524165032</v>
      </c>
      <c r="DB138" s="857"/>
      <c r="DC138" s="857"/>
    </row>
    <row r="139" spans="1:107" ht="18.75" customHeight="1">
      <c r="A139" s="17" t="s">
        <v>445</v>
      </c>
      <c r="B139" s="508">
        <v>40787</v>
      </c>
      <c r="C139" s="43">
        <f t="shared" si="97"/>
        <v>2011</v>
      </c>
      <c r="D139" s="719">
        <f t="shared" si="96"/>
        <v>11</v>
      </c>
      <c r="E139" s="972">
        <v>21</v>
      </c>
      <c r="F139" s="971">
        <v>4</v>
      </c>
      <c r="G139" s="971">
        <v>4</v>
      </c>
      <c r="H139" s="971">
        <v>1</v>
      </c>
      <c r="I139" s="976">
        <f t="shared" si="70"/>
        <v>30</v>
      </c>
      <c r="J139" s="621"/>
      <c r="K139" s="572">
        <f>INDEX(FX!$A$3:$C$362,MATCH(B139,FX!$A$3:$A$362,0),MATCH("Monthly Curve",FX!$A$2:$C$2,0))</f>
        <v>1.31317078808901</v>
      </c>
      <c r="L139" s="572"/>
      <c r="M139" s="1070">
        <v>3.1615000000000002</v>
      </c>
      <c r="N139" s="1071">
        <v>0.14499999999999999</v>
      </c>
      <c r="O139" s="877">
        <v>0.1</v>
      </c>
      <c r="P139" s="797">
        <f t="shared" si="99"/>
        <v>0.245</v>
      </c>
      <c r="Q139" s="732">
        <f t="shared" si="100"/>
        <v>3.4065000000000003</v>
      </c>
      <c r="R139" s="723">
        <f>IF(A139="January",(R138+R138*Assumptions!$E$32),R138)</f>
        <v>0.36609539234988436</v>
      </c>
      <c r="S139" s="730">
        <f t="shared" si="101"/>
        <v>4.8394116819750979</v>
      </c>
      <c r="T139" s="572"/>
      <c r="U139" s="509"/>
      <c r="V139" s="584"/>
      <c r="W139" s="584"/>
      <c r="X139" s="461"/>
      <c r="Y139" s="588">
        <f>Tables!$D$36</f>
        <v>312</v>
      </c>
      <c r="Z139" s="570">
        <f t="shared" si="102"/>
        <v>0</v>
      </c>
      <c r="AA139" s="592">
        <f t="shared" si="103"/>
        <v>0</v>
      </c>
      <c r="AB139" s="589">
        <f t="shared" si="98"/>
        <v>0</v>
      </c>
      <c r="AC139" s="462"/>
      <c r="AD139" s="1027">
        <f>IF(Tables!$E$30="Michigan",INDEX('Michigan Curve'!$A$4:$S$256,MATCH('Monthly Table'!B139,'Michigan Curve'!$A$4:$A$256,0),MATCH("Michigan Selected Option Value US$/month",'Michigan Curve'!$A$4:$S$4,0)),INDEX('NY Curve'!$A$4:$T$256,MATCH('Monthly Table'!B139,'NY Curve'!$A$4:$A$256,0),MATCH("New York Selected Option Value US$/month",'NY Curve'!$A$4:$T$4,0)))</f>
        <v>168520.26022714545</v>
      </c>
      <c r="AE139" s="601">
        <f t="shared" si="71"/>
        <v>221295.88293144564</v>
      </c>
      <c r="AF139" s="462"/>
      <c r="AG139" s="915"/>
      <c r="AH139" s="17"/>
      <c r="AI139" s="799">
        <f>Assumptions!$B$50</f>
        <v>65</v>
      </c>
      <c r="AJ139" s="743"/>
      <c r="AK139" s="924">
        <f>IF(Tables!$E$30="Custom",'Monthly Table'!AI139,IF(Tables!$E$30="New York",INDEX('NY Curve'!$A$4:$G$256,MATCH('Monthly Table'!B139,'NY Curve'!$A$4:$A$256,0),MATCH("Super Peak Curve",'NY Curve'!$A$4:$G$4,0)),IF(Tables!$E$30="New York Flat",INDEX('NY Curve'!$A$4:$G$256,MATCH('Monthly Table'!B139,'NY Curve'!$A$4:$A$256,0),MATCH("Flat NY West",'NY Curve'!$A$4:$G$4,0)),INDEX('Michigan Curve'!$A$4:$F$256,MATCH('Monthly Table'!B139,'Michigan Curve'!$A$4:$A$256,0),MATCH("Michigan Super Peak Curve US$/MWhr",'Michigan Curve'!$A$4:$F$4,0)))))</f>
        <v>47.631562247872353</v>
      </c>
      <c r="AL139" s="965">
        <f>IF(D139&lt;=Tables!$B$21,IF($AL$10=$AI$10,AI139,IF($AL$10=$AJ$10,AJ139,IF($AL$10=$AK$10,AK139,0))),0)</f>
        <v>47.631562247872353</v>
      </c>
      <c r="AM139" s="708">
        <f t="shared" si="72"/>
        <v>62.548376134949272</v>
      </c>
      <c r="AN139" s="916">
        <f t="shared" si="73"/>
        <v>0</v>
      </c>
      <c r="AO139" s="905"/>
      <c r="AP139" s="925"/>
      <c r="AQ139" s="926">
        <f>IF(Tables!$E$30="New York",INDEX('NY Curve'!$A$4:$L$256,MATCH('Monthly Table'!B139,'NY Curve'!$A$4:$A$256,0),MATCH("New York Shoulder Hour Curve Mon-Fri",'NY Curve'!$A$4:$L$4,0)),IF(Tables!$E$30="Michigan",INDEX('Michigan Curve'!$A$4:$K$256,MATCH('Monthly Table'!B139,'Michigan Curve'!$A$4:$A$256,0),MATCH("Michigan Shoulder Hour Curve Mon-Fri",'Michigan Curve'!$A$4:$K$4,0))))</f>
        <v>22.868437752127647</v>
      </c>
      <c r="AR139" s="708">
        <f t="shared" si="74"/>
        <v>30.030164425325932</v>
      </c>
      <c r="AS139" s="927">
        <f t="shared" ref="AS139:AS202" si="109">IF(AR139&gt;($CP139+$BF$4),1,0)</f>
        <v>0</v>
      </c>
      <c r="AT139" s="462"/>
      <c r="AU139" s="926">
        <f>IF(Tables!$E$30="New York",INDEX('NY Curve'!$A$4:$L$256,MATCH('Monthly Table'!$B139,'NY Curve'!$A$4:$A$256,0),MATCH("New York Saturday Super Peak",'NY Curve'!$A$4:$L$4,0)),IF(Tables!$E$30="Michigan",INDEX('Michigan Curve'!$A$4:$K$256,MATCH('Monthly Table'!$B139,'Michigan Curve'!$A$4:$A$256,0),MATCH("Michigan Saturday Super Peak",'Michigan Curve'!$A$4:$K$4,0))))</f>
        <v>33.781249821186066</v>
      </c>
      <c r="AV139" s="925">
        <f t="shared" ref="AV139:AV202" si="110">AU139*K139</f>
        <v>44.360550450318634</v>
      </c>
      <c r="AW139" s="927">
        <f t="shared" ref="AW139:AW190" si="111">IF(AV139&gt;($CP139+$BF$4),1,0)</f>
        <v>0</v>
      </c>
      <c r="AX139" s="926">
        <f>IF(Tables!$E$30="New York",INDEX('NY Curve'!$A$4:$L$256,MATCH('Monthly Table'!$B139,'NY Curve'!$A$4:$A$256,0),MATCH("New York Saturday Shoulder Peak",'NY Curve'!$A$4:$L$4,0)),IF(Tables!$E$30="Michigan",INDEX('Michigan Curve'!$A$4:$K$256,MATCH('Monthly Table'!$B139,'Michigan Curve'!$A$4:$A$256,0),MATCH("Michigan Saturday Shoulder Peak",'Michigan Curve'!$A$4:$K$4,0))))</f>
        <v>16.218750178813934</v>
      </c>
      <c r="AY139" s="934">
        <f t="shared" si="75"/>
        <v>21.297988954131867</v>
      </c>
      <c r="AZ139" s="927">
        <f t="shared" ref="AZ139:AZ190" si="112">IF(AY139&gt;($CP139+$BF$4),1,0)</f>
        <v>0</v>
      </c>
      <c r="BA139" s="462"/>
      <c r="BB139" s="926">
        <f>IF(Tables!$E$30="New York",INDEX('NY Curve'!$A$4:$M$256,MATCH('Monthly Table'!$B139,'NY Curve'!$A$4:$A$256,0),MATCH("NY Sunday Super Peak",'NY Curve'!$A$4:$M$4,0)),IF(Tables!$E$30="Michigan",INDEX('Michigan Curve'!$A$4:$L$256,MATCH('Monthly Table'!$B139,'Michigan Curve'!$A$4:$A$256,0),MATCH("Michigan Sunday Super Peak",'Michigan Curve'!$A$4:$L$4,0))))</f>
        <v>32.429999828338623</v>
      </c>
      <c r="BC139" s="925">
        <f t="shared" si="76"/>
        <v>42.586128432305891</v>
      </c>
      <c r="BD139" s="927">
        <f t="shared" ref="BD139:BD202" si="113">IF(BC139&gt;($CP139+$BF$4),1,0)</f>
        <v>0</v>
      </c>
      <c r="BE139" s="462"/>
      <c r="BF139" s="598">
        <f t="shared" si="104"/>
        <v>40787</v>
      </c>
      <c r="BG139" s="583">
        <f t="shared" si="77"/>
        <v>0</v>
      </c>
      <c r="BH139" s="764">
        <f>IF(Tables!$B$36="Combined Cycle",(BF139-BF138)*24*Assumptions!$B$21,0)</f>
        <v>0</v>
      </c>
      <c r="BI139" s="315">
        <f t="shared" si="78"/>
        <v>0</v>
      </c>
      <c r="BJ139" s="987">
        <f>IF('Monthly Table'!D139&lt;=Tables!$B$21,IF($BJ$10=$BG$10,BG139,IF($BJ$10=$BH$10,BH139,IF($BJ$10=$BI$10,BI139,0))),0)</f>
        <v>0</v>
      </c>
      <c r="BK139" s="43"/>
      <c r="BL139" s="987">
        <f t="shared" si="79"/>
        <v>0</v>
      </c>
      <c r="BM139" s="987">
        <f t="shared" si="80"/>
        <v>0</v>
      </c>
      <c r="BO139" s="987">
        <f t="shared" ref="BO139:BO202" si="114">IF(AS139=1,BJ139,0)</f>
        <v>0</v>
      </c>
      <c r="BP139" s="987">
        <f t="shared" si="81"/>
        <v>0</v>
      </c>
      <c r="BR139" s="993">
        <f>IF(BJ139&gt;0,INDEX(OperationalDetail,MATCH("Capacity Degradation",ODColumn,0),MATCH('Monthly Table'!C139,ODRow,0)),0)</f>
        <v>0</v>
      </c>
      <c r="BS139" s="994">
        <f>BJ139*(1-BR139)*Tables!$C$36</f>
        <v>0</v>
      </c>
      <c r="BT139" s="601">
        <f t="shared" ref="BT139:BT202" si="115">BS139*AL139/1000</f>
        <v>0</v>
      </c>
      <c r="BU139" s="601">
        <f t="shared" ref="BU139:BU202" si="116">BT139*K139</f>
        <v>0</v>
      </c>
      <c r="BV139" s="462"/>
      <c r="BW139" s="785">
        <f>$BO139*(1-$BR139)*Tables!$C$36</f>
        <v>0</v>
      </c>
      <c r="BX139" s="602">
        <f t="shared" si="82"/>
        <v>0</v>
      </c>
      <c r="BY139" s="601">
        <f t="shared" si="83"/>
        <v>0</v>
      </c>
      <c r="BZ139" s="462"/>
      <c r="CA139" s="785">
        <f>$BL139*(1-$BR139)*Tables!$C$36</f>
        <v>0</v>
      </c>
      <c r="CB139" s="602">
        <f t="shared" si="84"/>
        <v>0</v>
      </c>
      <c r="CC139" s="601">
        <f t="shared" si="85"/>
        <v>0</v>
      </c>
      <c r="CD139" s="785">
        <f>$BP139*(1-$BR139)*Tables!$C$36</f>
        <v>0</v>
      </c>
      <c r="CE139" s="602">
        <f t="shared" si="86"/>
        <v>0</v>
      </c>
      <c r="CF139" s="601">
        <f t="shared" si="87"/>
        <v>0</v>
      </c>
      <c r="CH139" s="785">
        <f>$BM139*(1-$BR139)*Tables!$C$36</f>
        <v>0</v>
      </c>
      <c r="CI139" s="602">
        <f t="shared" si="88"/>
        <v>0</v>
      </c>
      <c r="CJ139" s="601">
        <f t="shared" si="89"/>
        <v>0</v>
      </c>
      <c r="CK139" s="304"/>
      <c r="CL139" s="304">
        <f t="shared" si="90"/>
        <v>2010</v>
      </c>
      <c r="CM139" s="1018">
        <f>INDEX(OperationalDetail,MATCH("Degraded Heat Rate",ODColumn,0),MATCH('Monthly Table'!CL139,ODRow,0))/1000</f>
        <v>12.109500000000001</v>
      </c>
      <c r="CN139" s="737">
        <f t="shared" ref="CN139:CN202" si="117">S139*CM139</f>
        <v>58.602855762877454</v>
      </c>
      <c r="CO139" s="1019">
        <f>IF(A139="January",(CO138*(1+Assumptions!$E$32)),CO138)</f>
        <v>8.2106892901771893</v>
      </c>
      <c r="CP139" s="741">
        <f t="shared" si="105"/>
        <v>66.813545053054639</v>
      </c>
      <c r="CQ139" s="304"/>
      <c r="CR139" s="575" t="str">
        <f t="shared" si="91"/>
        <v/>
      </c>
      <c r="CS139" s="575" t="str">
        <f t="shared" si="92"/>
        <v/>
      </c>
      <c r="CT139" s="575" t="str">
        <f t="shared" si="93"/>
        <v/>
      </c>
      <c r="CU139" s="575" t="str">
        <f t="shared" si="94"/>
        <v/>
      </c>
      <c r="CV139" s="575" t="str">
        <f t="shared" si="95"/>
        <v/>
      </c>
      <c r="CW139" s="576">
        <f t="shared" si="106"/>
        <v>2011</v>
      </c>
      <c r="CX139" s="787">
        <f>INDEX('NY Curve'!$A$4:$G$256,MATCH('Monthly Table'!B139,'NY Curve'!$A$4:$A$256,0),MATCH("New York 5 X 16",'NY Curve'!$A$4:$G$4,0))</f>
        <v>30.75</v>
      </c>
      <c r="CY139" s="632">
        <f t="shared" si="107"/>
        <v>1.31317078808901</v>
      </c>
      <c r="CZ139" s="633">
        <f t="shared" si="108"/>
        <v>40.38000173373706</v>
      </c>
      <c r="DB139" s="857"/>
      <c r="DC139" s="857"/>
    </row>
    <row r="140" spans="1:107" ht="18.75" customHeight="1">
      <c r="A140" s="17" t="s">
        <v>446</v>
      </c>
      <c r="B140" s="508">
        <v>40817</v>
      </c>
      <c r="C140" s="43">
        <f t="shared" si="97"/>
        <v>2011</v>
      </c>
      <c r="D140" s="719">
        <f t="shared" si="96"/>
        <v>11</v>
      </c>
      <c r="E140" s="972">
        <v>21</v>
      </c>
      <c r="F140" s="971">
        <v>5</v>
      </c>
      <c r="G140" s="971">
        <v>5</v>
      </c>
      <c r="H140" s="971">
        <v>0</v>
      </c>
      <c r="I140" s="976">
        <f t="shared" ref="I140:I203" si="118">SUM(E140:H140)</f>
        <v>31</v>
      </c>
      <c r="J140" s="621"/>
      <c r="K140" s="572">
        <f>INDEX(FX!$A$3:$C$362,MATCH(B140,FX!$A$3:$A$362,0),MATCH("Monthly Curve",FX!$A$2:$C$2,0))</f>
        <v>1.3123411293860501</v>
      </c>
      <c r="L140" s="572"/>
      <c r="M140" s="1070">
        <v>3.1885000000000003</v>
      </c>
      <c r="N140" s="1071">
        <v>0.14499999999999999</v>
      </c>
      <c r="O140" s="877">
        <v>0.1</v>
      </c>
      <c r="P140" s="797">
        <f t="shared" si="99"/>
        <v>0.245</v>
      </c>
      <c r="Q140" s="732">
        <f t="shared" si="100"/>
        <v>3.4335000000000004</v>
      </c>
      <c r="R140" s="723">
        <f>IF(A140="January",(R139+R139*Assumptions!$E$32),R139)</f>
        <v>0.36609539234988436</v>
      </c>
      <c r="S140" s="730">
        <f t="shared" si="101"/>
        <v>4.872018660096888</v>
      </c>
      <c r="T140" s="572"/>
      <c r="U140" s="509"/>
      <c r="V140" s="584"/>
      <c r="W140" s="584"/>
      <c r="X140" s="461"/>
      <c r="Y140" s="588">
        <f>Tables!$D$36</f>
        <v>312</v>
      </c>
      <c r="Z140" s="570">
        <f t="shared" si="102"/>
        <v>0</v>
      </c>
      <c r="AA140" s="592">
        <f t="shared" si="103"/>
        <v>0</v>
      </c>
      <c r="AB140" s="589">
        <f t="shared" si="98"/>
        <v>0</v>
      </c>
      <c r="AC140" s="462"/>
      <c r="AD140" s="1027">
        <f>IF(Tables!$E$30="Michigan",INDEX('Michigan Curve'!$A$4:$S$256,MATCH('Monthly Table'!B140,'Michigan Curve'!$A$4:$A$256,0),MATCH("Michigan Selected Option Value US$/month",'Michigan Curve'!$A$4:$S$4,0)),INDEX('NY Curve'!$A$4:$T$256,MATCH('Monthly Table'!B140,'NY Curve'!$A$4:$A$256,0),MATCH("New York Selected Option Value US$/month",'NY Curve'!$A$4:$T$4,0)))</f>
        <v>2249.3776336250976</v>
      </c>
      <c r="AE140" s="601">
        <f t="shared" ref="AE140:AE203" si="119">AD140*K140</f>
        <v>2951.9507841272812</v>
      </c>
      <c r="AF140" s="462"/>
      <c r="AG140" s="915"/>
      <c r="AH140" s="17"/>
      <c r="AI140" s="799">
        <f>Assumptions!$B$50</f>
        <v>65</v>
      </c>
      <c r="AJ140" s="743"/>
      <c r="AK140" s="924">
        <f>IF(Tables!$E$30="Custom",'Monthly Table'!AI140,IF(Tables!$E$30="New York",INDEX('NY Curve'!$A$4:$G$256,MATCH('Monthly Table'!B140,'NY Curve'!$A$4:$A$256,0),MATCH("Super Peak Curve",'NY Curve'!$A$4:$G$4,0)),IF(Tables!$E$30="New York Flat",INDEX('NY Curve'!$A$4:$G$256,MATCH('Monthly Table'!B140,'NY Curve'!$A$4:$A$256,0),MATCH("Flat NY West",'NY Curve'!$A$4:$G$4,0)),INDEX('Michigan Curve'!$A$4:$F$256,MATCH('Monthly Table'!B140,'Michigan Curve'!$A$4:$A$256,0),MATCH("Michigan Super Peak Curve US$/MWhr",'Michigan Curve'!$A$4:$F$4,0)))))</f>
        <v>28.349994659423828</v>
      </c>
      <c r="AL140" s="965">
        <f>IF(D140&lt;=Tables!$B$21,IF($AL$10=$AI$10,AI140,IF($AL$10=$AJ$10,AJ140,IF($AL$10=$AK$10,AK140,0))),0)</f>
        <v>28.349994659423828</v>
      </c>
      <c r="AM140" s="708">
        <f t="shared" ref="AM140:AM203" si="120">+AL140*K140</f>
        <v>37.204864009436754</v>
      </c>
      <c r="AN140" s="916">
        <f t="shared" ref="AN140:AN203" si="121">IF((AL140*K140)&gt;(CP140+$BF$4),1,0)</f>
        <v>0</v>
      </c>
      <c r="AO140" s="905"/>
      <c r="AP140" s="925"/>
      <c r="AQ140" s="926">
        <f>IF(Tables!$E$30="New York",INDEX('NY Curve'!$A$4:$L$256,MATCH('Monthly Table'!B140,'NY Curve'!$A$4:$A$256,0),MATCH("New York Shoulder Hour Curve Mon-Fri",'NY Curve'!$A$4:$L$4,0)),IF(Tables!$E$30="Michigan",INDEX('Michigan Curve'!$A$4:$K$256,MATCH('Monthly Table'!B140,'Michigan Curve'!$A$4:$A$256,0),MATCH("Michigan Shoulder Hour Curve Mon-Fri",'Michigan Curve'!$A$4:$K$4,0))))</f>
        <v>28.349994659423828</v>
      </c>
      <c r="AR140" s="708">
        <f t="shared" ref="AR140:AR203" si="122">AQ140*K140</f>
        <v>37.204864009436754</v>
      </c>
      <c r="AS140" s="927">
        <f t="shared" si="109"/>
        <v>0</v>
      </c>
      <c r="AT140" s="462"/>
      <c r="AU140" s="926">
        <f>IF(Tables!$E$30="New York",INDEX('NY Curve'!$A$4:$L$256,MATCH('Monthly Table'!$B140,'NY Curve'!$A$4:$A$256,0),MATCH("New York Saturday Super Peak",'NY Curve'!$A$4:$L$4,0)),IF(Tables!$E$30="Michigan",INDEX('Michigan Curve'!$A$4:$K$256,MATCH('Monthly Table'!$B140,'Michigan Curve'!$A$4:$A$256,0),MATCH("Michigan Saturday Super Peak",'Michigan Curve'!$A$4:$K$4,0))))</f>
        <v>19.996000289916992</v>
      </c>
      <c r="AV140" s="925">
        <f t="shared" si="110"/>
        <v>26.241573603673451</v>
      </c>
      <c r="AW140" s="927">
        <f t="shared" si="111"/>
        <v>0</v>
      </c>
      <c r="AX140" s="926">
        <f>IF(Tables!$E$30="New York",INDEX('NY Curve'!$A$4:$L$256,MATCH('Monthly Table'!$B140,'NY Curve'!$A$4:$A$256,0),MATCH("New York Saturday Shoulder Peak",'NY Curve'!$A$4:$L$4,0)),IF(Tables!$E$30="Michigan",INDEX('Michigan Curve'!$A$4:$K$256,MATCH('Monthly Table'!$B140,'Michigan Curve'!$A$4:$A$256,0),MATCH("Michigan Saturday Shoulder Peak",'Michigan Curve'!$A$4:$K$4,0))))</f>
        <v>19.996000289916992</v>
      </c>
      <c r="AY140" s="934">
        <f t="shared" ref="AY140:AY203" si="123">AX140*K140</f>
        <v>26.241573603673451</v>
      </c>
      <c r="AZ140" s="927">
        <f t="shared" si="112"/>
        <v>0</v>
      </c>
      <c r="BA140" s="462"/>
      <c r="BB140" s="926">
        <f>IF(Tables!$E$30="New York",INDEX('NY Curve'!$A$4:$M$256,MATCH('Monthly Table'!$B140,'NY Curve'!$A$4:$A$256,0),MATCH("NY Sunday Super Peak",'NY Curve'!$A$4:$M$4,0)),IF(Tables!$E$30="Michigan",INDEX('Michigan Curve'!$A$4:$L$256,MATCH('Monthly Table'!$B140,'Michigan Curve'!$A$4:$A$256,0),MATCH("Michigan Sunday Super Peak",'Michigan Curve'!$A$4:$L$4,0))))</f>
        <v>18.996500015258789</v>
      </c>
      <c r="BC140" s="925">
        <f t="shared" ref="BC140:BC203" si="124">BB140*K140</f>
        <v>24.929888284406836</v>
      </c>
      <c r="BD140" s="927">
        <f t="shared" si="113"/>
        <v>0</v>
      </c>
      <c r="BE140" s="462"/>
      <c r="BF140" s="598">
        <f t="shared" si="104"/>
        <v>40817</v>
      </c>
      <c r="BG140" s="583">
        <f t="shared" ref="BG140:BG203" si="125">IF($AN140=1,$E140*$BF$5,0)</f>
        <v>0</v>
      </c>
      <c r="BH140" s="764">
        <f>IF(Tables!$B$36="Combined Cycle",(BF140-BF139)*24*Assumptions!$B$21,0)</f>
        <v>0</v>
      </c>
      <c r="BI140" s="315">
        <f t="shared" ref="BI140:BI203" si="126">IF($AN140=1,$E140*$BF$5,0)</f>
        <v>0</v>
      </c>
      <c r="BJ140" s="987">
        <f>IF('Monthly Table'!D140&lt;=Tables!$B$21,IF($BJ$10=$BG$10,BG140,IF($BJ$10=$BH$10,BH140,IF($BJ$10=$BI$10,BI140,0))),0)</f>
        <v>0</v>
      </c>
      <c r="BK140" s="43"/>
      <c r="BL140" s="987">
        <f t="shared" ref="BL140:BL203" si="127">IF($AW140=1,$F140*$BF$5,0)</f>
        <v>0</v>
      </c>
      <c r="BM140" s="987">
        <f t="shared" ref="BM140:BM203" si="128">IF($BD140=1,($G140+H140)*$BF$5,0)</f>
        <v>0</v>
      </c>
      <c r="BO140" s="987">
        <f t="shared" si="114"/>
        <v>0</v>
      </c>
      <c r="BP140" s="987">
        <f t="shared" ref="BP140:BP203" si="129">IF(AZ140=1,F140*$BF$5,0)</f>
        <v>0</v>
      </c>
      <c r="BR140" s="993">
        <f>IF(BJ140&gt;0,INDEX(OperationalDetail,MATCH("Capacity Degradation",ODColumn,0),MATCH('Monthly Table'!C140,ODRow,0)),0)</f>
        <v>0</v>
      </c>
      <c r="BS140" s="994">
        <f>BJ140*(1-BR140)*Tables!$C$36</f>
        <v>0</v>
      </c>
      <c r="BT140" s="601">
        <f t="shared" si="115"/>
        <v>0</v>
      </c>
      <c r="BU140" s="601">
        <f t="shared" si="116"/>
        <v>0</v>
      </c>
      <c r="BV140" s="462"/>
      <c r="BW140" s="785">
        <f>$BO140*(1-$BR140)*Tables!$C$36</f>
        <v>0</v>
      </c>
      <c r="BX140" s="602">
        <f t="shared" ref="BX140:BX203" si="130">(BW140*AQ140)/1000</f>
        <v>0</v>
      </c>
      <c r="BY140" s="601">
        <f t="shared" ref="BY140:BY203" si="131">BX140*K140</f>
        <v>0</v>
      </c>
      <c r="BZ140" s="462"/>
      <c r="CA140" s="785">
        <f>$BL140*(1-$BR140)*Tables!$C$36</f>
        <v>0</v>
      </c>
      <c r="CB140" s="602">
        <f t="shared" ref="CB140:CB203" si="132">(CA140*AU140)/1000</f>
        <v>0</v>
      </c>
      <c r="CC140" s="601">
        <f t="shared" ref="CC140:CC203" si="133">CB140*K140</f>
        <v>0</v>
      </c>
      <c r="CD140" s="785">
        <f>$BP140*(1-$BR140)*Tables!$C$36</f>
        <v>0</v>
      </c>
      <c r="CE140" s="602">
        <f t="shared" ref="CE140:CE203" si="134">(CD140*AX140)/1000</f>
        <v>0</v>
      </c>
      <c r="CF140" s="601">
        <f t="shared" ref="CF140:CF203" si="135">CE140*K140</f>
        <v>0</v>
      </c>
      <c r="CH140" s="785">
        <f>$BM140*(1-$BR140)*Tables!$C$36</f>
        <v>0</v>
      </c>
      <c r="CI140" s="602">
        <f t="shared" ref="CI140:CI203" si="136">(CH140*BB140)/1000</f>
        <v>0</v>
      </c>
      <c r="CJ140" s="601">
        <f t="shared" ref="CJ140:CJ203" si="137">CI140*K140</f>
        <v>0</v>
      </c>
      <c r="CK140" s="304"/>
      <c r="CL140" s="304">
        <f t="shared" ref="CL140:CL203" si="138">C140-1</f>
        <v>2010</v>
      </c>
      <c r="CM140" s="1018">
        <f>INDEX(OperationalDetail,MATCH("Degraded Heat Rate",ODColumn,0),MATCH('Monthly Table'!CL140,ODRow,0))/1000</f>
        <v>12.109500000000001</v>
      </c>
      <c r="CN140" s="737">
        <f t="shared" si="117"/>
        <v>58.997709964443267</v>
      </c>
      <c r="CO140" s="1019">
        <f>IF(A140="January",(CO139*(1+Assumptions!$E$32)),CO139)</f>
        <v>8.2106892901771893</v>
      </c>
      <c r="CP140" s="741">
        <f t="shared" si="105"/>
        <v>67.20839925462046</v>
      </c>
      <c r="CQ140" s="304"/>
      <c r="CR140" s="575" t="str">
        <f t="shared" ref="CR140:CR203" si="139">IF(BJ140=0,"",C140)</f>
        <v/>
      </c>
      <c r="CS140" s="575" t="str">
        <f t="shared" ref="CS140:CS203" si="140">IF(BO140=0,"",$C140)</f>
        <v/>
      </c>
      <c r="CT140" s="575" t="str">
        <f t="shared" ref="CT140:CT203" si="141">IF(BL140=0,"",$C140)</f>
        <v/>
      </c>
      <c r="CU140" s="575" t="str">
        <f t="shared" ref="CU140:CU203" si="142">IF(BP140=0,"",$C140)</f>
        <v/>
      </c>
      <c r="CV140" s="575" t="str">
        <f t="shared" ref="CV140:CV203" si="143">IF(BD140=0,"",$C140)</f>
        <v/>
      </c>
      <c r="CW140" s="576">
        <f t="shared" si="106"/>
        <v>2011</v>
      </c>
      <c r="CX140" s="787">
        <f>INDEX('NY Curve'!$A$4:$G$256,MATCH('Monthly Table'!B140,'NY Curve'!$A$4:$A$256,0),MATCH("New York 5 X 16",'NY Curve'!$A$4:$G$4,0))</f>
        <v>26.5</v>
      </c>
      <c r="CY140" s="632">
        <f t="shared" si="107"/>
        <v>1.3123411293860501</v>
      </c>
      <c r="CZ140" s="633">
        <f t="shared" si="108"/>
        <v>34.777039928730325</v>
      </c>
      <c r="DB140" s="857"/>
      <c r="DC140" s="857"/>
    </row>
    <row r="141" spans="1:107" ht="18.75" customHeight="1">
      <c r="A141" s="17" t="s">
        <v>447</v>
      </c>
      <c r="B141" s="508">
        <v>40848</v>
      </c>
      <c r="C141" s="43">
        <f t="shared" si="97"/>
        <v>2011</v>
      </c>
      <c r="D141" s="719">
        <f t="shared" si="96"/>
        <v>11</v>
      </c>
      <c r="E141" s="972">
        <v>21</v>
      </c>
      <c r="F141" s="971">
        <v>4</v>
      </c>
      <c r="G141" s="971">
        <v>4</v>
      </c>
      <c r="H141" s="971">
        <v>1</v>
      </c>
      <c r="I141" s="976">
        <f t="shared" si="118"/>
        <v>30</v>
      </c>
      <c r="J141" s="621"/>
      <c r="K141" s="572">
        <f>INDEX(FX!$A$3:$C$362,MATCH(B141,FX!$A$3:$A$362,0),MATCH("Monthly Curve",FX!$A$2:$C$2,0))</f>
        <v>1.31148622690921</v>
      </c>
      <c r="L141" s="572"/>
      <c r="M141" s="1070">
        <v>3.3245</v>
      </c>
      <c r="N141" s="1071">
        <v>0.23</v>
      </c>
      <c r="O141" s="877">
        <v>0.1</v>
      </c>
      <c r="P141" s="797">
        <f t="shared" si="99"/>
        <v>0.33</v>
      </c>
      <c r="Q141" s="732">
        <f t="shared" si="100"/>
        <v>3.6545000000000001</v>
      </c>
      <c r="R141" s="723">
        <f>IF(A141="January",(R140+R140*Assumptions!$E$32),R140)</f>
        <v>0.36609539234988436</v>
      </c>
      <c r="S141" s="730">
        <f t="shared" si="101"/>
        <v>5.1589218085895929</v>
      </c>
      <c r="T141" s="572"/>
      <c r="U141" s="509"/>
      <c r="V141" s="584"/>
      <c r="W141" s="584"/>
      <c r="X141" s="461"/>
      <c r="Y141" s="588">
        <f>Tables!$D$36</f>
        <v>312</v>
      </c>
      <c r="Z141" s="570">
        <f t="shared" si="102"/>
        <v>0</v>
      </c>
      <c r="AA141" s="592">
        <f t="shared" si="103"/>
        <v>0</v>
      </c>
      <c r="AB141" s="589">
        <f t="shared" si="98"/>
        <v>0</v>
      </c>
      <c r="AC141" s="462"/>
      <c r="AD141" s="1027">
        <f>IF(Tables!$E$30="Michigan",INDEX('Michigan Curve'!$A$4:$S$256,MATCH('Monthly Table'!B141,'Michigan Curve'!$A$4:$A$256,0),MATCH("Michigan Selected Option Value US$/month",'Michigan Curve'!$A$4:$S$4,0)),INDEX('NY Curve'!$A$4:$T$256,MATCH('Monthly Table'!B141,'NY Curve'!$A$4:$A$256,0),MATCH("New York Selected Option Value US$/month",'NY Curve'!$A$4:$T$4,0)))</f>
        <v>14234.303585498032</v>
      </c>
      <c r="AE141" s="601">
        <f t="shared" si="119"/>
        <v>18668.093102025054</v>
      </c>
      <c r="AF141" s="462"/>
      <c r="AG141" s="915"/>
      <c r="AH141" s="17"/>
      <c r="AI141" s="799">
        <f>Assumptions!$B$50</f>
        <v>65</v>
      </c>
      <c r="AJ141" s="743"/>
      <c r="AK141" s="924">
        <f>IF(Tables!$E$30="Custom",'Monthly Table'!AI141,IF(Tables!$E$30="New York",INDEX('NY Curve'!$A$4:$G$256,MATCH('Monthly Table'!B141,'NY Curve'!$A$4:$A$256,0),MATCH("Super Peak Curve",'NY Curve'!$A$4:$G$4,0)),IF(Tables!$E$30="New York Flat",INDEX('NY Curve'!$A$4:$G$256,MATCH('Monthly Table'!B141,'NY Curve'!$A$4:$A$256,0),MATCH("Flat NY West",'NY Curve'!$A$4:$G$4,0)),INDEX('Michigan Curve'!$A$4:$F$256,MATCH('Monthly Table'!B141,'Michigan Curve'!$A$4:$A$256,0),MATCH("Michigan Super Peak Curve US$/MWhr",'Michigan Curve'!$A$4:$F$4,0)))))</f>
        <v>30.488395385742191</v>
      </c>
      <c r="AL141" s="965">
        <f>IF(D141&lt;=Tables!$B$21,IF($AL$10=$AI$10,AI141,IF($AL$10=$AJ$10,AJ141,IF($AL$10=$AK$10,AK141,0))),0)</f>
        <v>30.488395385742191</v>
      </c>
      <c r="AM141" s="708">
        <f t="shared" si="120"/>
        <v>39.985110628963191</v>
      </c>
      <c r="AN141" s="916">
        <f t="shared" si="121"/>
        <v>0</v>
      </c>
      <c r="AO141" s="905"/>
      <c r="AP141" s="925"/>
      <c r="AQ141" s="926">
        <f>IF(Tables!$E$30="New York",INDEX('NY Curve'!$A$4:$L$256,MATCH('Monthly Table'!B141,'NY Curve'!$A$4:$A$256,0),MATCH("New York Shoulder Hour Curve Mon-Fri",'NY Curve'!$A$4:$L$4,0)),IF(Tables!$E$30="Michigan",INDEX('Michigan Curve'!$A$4:$K$256,MATCH('Monthly Table'!B141,'Michigan Curve'!$A$4:$A$256,0),MATCH("Michigan Shoulder Hour Curve Mon-Fri",'Michigan Curve'!$A$4:$K$4,0))))</f>
        <v>25.971596069335934</v>
      </c>
      <c r="AR141" s="708">
        <f t="shared" si="122"/>
        <v>34.061390535783453</v>
      </c>
      <c r="AS141" s="927">
        <f t="shared" si="109"/>
        <v>0</v>
      </c>
      <c r="AT141" s="462"/>
      <c r="AU141" s="926">
        <f>IF(Tables!$E$30="New York",INDEX('NY Curve'!$A$4:$L$256,MATCH('Monthly Table'!$B141,'NY Curve'!$A$4:$A$256,0),MATCH("New York Saturday Super Peak",'NY Curve'!$A$4:$L$4,0)),IF(Tables!$E$30="Michigan",INDEX('Michigan Curve'!$A$4:$K$256,MATCH('Monthly Table'!$B141,'Michigan Curve'!$A$4:$A$256,0),MATCH("Michigan Saturday Super Peak",'Michigan Curve'!$A$4:$K$4,0))))</f>
        <v>21.6</v>
      </c>
      <c r="AV141" s="925">
        <f t="shared" si="110"/>
        <v>28.328102501238938</v>
      </c>
      <c r="AW141" s="927">
        <f t="shared" si="111"/>
        <v>0</v>
      </c>
      <c r="AX141" s="926">
        <f>IF(Tables!$E$30="New York",INDEX('NY Curve'!$A$4:$L$256,MATCH('Monthly Table'!$B141,'NY Curve'!$A$4:$A$256,0),MATCH("New York Saturday Shoulder Peak",'NY Curve'!$A$4:$L$4,0)),IF(Tables!$E$30="Michigan",INDEX('Michigan Curve'!$A$4:$K$256,MATCH('Monthly Table'!$B141,'Michigan Curve'!$A$4:$A$256,0),MATCH("Michigan Saturday Shoulder Peak",'Michigan Curve'!$A$4:$K$4,0))))</f>
        <v>18.399999999999999</v>
      </c>
      <c r="AY141" s="934">
        <f t="shared" si="123"/>
        <v>24.131346575129463</v>
      </c>
      <c r="AZ141" s="927">
        <f t="shared" si="112"/>
        <v>0</v>
      </c>
      <c r="BA141" s="462"/>
      <c r="BB141" s="926">
        <f>IF(Tables!$E$30="New York",INDEX('NY Curve'!$A$4:$M$256,MATCH('Monthly Table'!$B141,'NY Curve'!$A$4:$A$256,0),MATCH("NY Sunday Super Peak",'NY Curve'!$A$4:$M$4,0)),IF(Tables!$E$30="Michigan",INDEX('Michigan Curve'!$A$4:$L$256,MATCH('Monthly Table'!$B141,'Michigan Curve'!$A$4:$A$256,0),MATCH("Michigan Sunday Super Peak",'Michigan Curve'!$A$4:$L$4,0))))</f>
        <v>20.520000000000003</v>
      </c>
      <c r="BC141" s="925">
        <f t="shared" si="124"/>
        <v>26.911697376176992</v>
      </c>
      <c r="BD141" s="927">
        <f t="shared" si="113"/>
        <v>0</v>
      </c>
      <c r="BE141" s="462"/>
      <c r="BF141" s="598">
        <f t="shared" si="104"/>
        <v>40848</v>
      </c>
      <c r="BG141" s="583">
        <f t="shared" si="125"/>
        <v>0</v>
      </c>
      <c r="BH141" s="764">
        <f>IF(Tables!$B$36="Combined Cycle",(BF141-BF140)*24*Assumptions!$B$21,0)</f>
        <v>0</v>
      </c>
      <c r="BI141" s="315">
        <f t="shared" si="126"/>
        <v>0</v>
      </c>
      <c r="BJ141" s="987">
        <f>IF('Monthly Table'!D141&lt;=Tables!$B$21,IF($BJ$10=$BG$10,BG141,IF($BJ$10=$BH$10,BH141,IF($BJ$10=$BI$10,BI141,0))),0)</f>
        <v>0</v>
      </c>
      <c r="BK141" s="43"/>
      <c r="BL141" s="987">
        <f t="shared" si="127"/>
        <v>0</v>
      </c>
      <c r="BM141" s="987">
        <f t="shared" si="128"/>
        <v>0</v>
      </c>
      <c r="BO141" s="987">
        <f t="shared" si="114"/>
        <v>0</v>
      </c>
      <c r="BP141" s="987">
        <f t="shared" si="129"/>
        <v>0</v>
      </c>
      <c r="BR141" s="993">
        <f>IF(BJ141&gt;0,INDEX(OperationalDetail,MATCH("Capacity Degradation",ODColumn,0),MATCH('Monthly Table'!C141,ODRow,0)),0)</f>
        <v>0</v>
      </c>
      <c r="BS141" s="994">
        <f>BJ141*(1-BR141)*Tables!$C$36</f>
        <v>0</v>
      </c>
      <c r="BT141" s="601">
        <f t="shared" si="115"/>
        <v>0</v>
      </c>
      <c r="BU141" s="601">
        <f t="shared" si="116"/>
        <v>0</v>
      </c>
      <c r="BV141" s="462"/>
      <c r="BW141" s="785">
        <f>$BO141*(1-$BR141)*Tables!$C$36</f>
        <v>0</v>
      </c>
      <c r="BX141" s="602">
        <f t="shared" si="130"/>
        <v>0</v>
      </c>
      <c r="BY141" s="601">
        <f t="shared" si="131"/>
        <v>0</v>
      </c>
      <c r="BZ141" s="462"/>
      <c r="CA141" s="785">
        <f>$BL141*(1-$BR141)*Tables!$C$36</f>
        <v>0</v>
      </c>
      <c r="CB141" s="602">
        <f t="shared" si="132"/>
        <v>0</v>
      </c>
      <c r="CC141" s="601">
        <f t="shared" si="133"/>
        <v>0</v>
      </c>
      <c r="CD141" s="785">
        <f>$BP141*(1-$BR141)*Tables!$C$36</f>
        <v>0</v>
      </c>
      <c r="CE141" s="602">
        <f t="shared" si="134"/>
        <v>0</v>
      </c>
      <c r="CF141" s="601">
        <f t="shared" si="135"/>
        <v>0</v>
      </c>
      <c r="CH141" s="785">
        <f>$BM141*(1-$BR141)*Tables!$C$36</f>
        <v>0</v>
      </c>
      <c r="CI141" s="602">
        <f t="shared" si="136"/>
        <v>0</v>
      </c>
      <c r="CJ141" s="601">
        <f t="shared" si="137"/>
        <v>0</v>
      </c>
      <c r="CK141" s="304"/>
      <c r="CL141" s="304">
        <f t="shared" si="138"/>
        <v>2010</v>
      </c>
      <c r="CM141" s="1018">
        <f>INDEX(OperationalDetail,MATCH("Degraded Heat Rate",ODColumn,0),MATCH('Monthly Table'!CL141,ODRow,0))/1000</f>
        <v>12.109500000000001</v>
      </c>
      <c r="CN141" s="737">
        <f t="shared" si="117"/>
        <v>62.471963641115678</v>
      </c>
      <c r="CO141" s="1019">
        <f>IF(A141="January",(CO140*(1+Assumptions!$E$32)),CO140)</f>
        <v>8.2106892901771893</v>
      </c>
      <c r="CP141" s="741">
        <f t="shared" si="105"/>
        <v>70.682652931292864</v>
      </c>
      <c r="CQ141" s="304"/>
      <c r="CR141" s="575" t="str">
        <f t="shared" si="139"/>
        <v/>
      </c>
      <c r="CS141" s="575" t="str">
        <f t="shared" si="140"/>
        <v/>
      </c>
      <c r="CT141" s="575" t="str">
        <f t="shared" si="141"/>
        <v/>
      </c>
      <c r="CU141" s="575" t="str">
        <f t="shared" si="142"/>
        <v/>
      </c>
      <c r="CV141" s="575" t="str">
        <f t="shared" si="143"/>
        <v/>
      </c>
      <c r="CW141" s="576">
        <f t="shared" si="106"/>
        <v>2011</v>
      </c>
      <c r="CX141" s="787">
        <f>INDEX('NY Curve'!$A$4:$G$256,MATCH('Monthly Table'!B141,'NY Curve'!$A$4:$A$256,0),MATCH("New York 5 X 16",'NY Curve'!$A$4:$G$4,0))</f>
        <v>27</v>
      </c>
      <c r="CY141" s="632">
        <f t="shared" si="107"/>
        <v>1.31148622690921</v>
      </c>
      <c r="CZ141" s="633">
        <f t="shared" si="108"/>
        <v>35.41012812654867</v>
      </c>
      <c r="DB141" s="857"/>
      <c r="DC141" s="857"/>
    </row>
    <row r="142" spans="1:107" s="222" customFormat="1" ht="18.75" customHeight="1">
      <c r="A142" s="222" t="s">
        <v>448</v>
      </c>
      <c r="B142" s="564">
        <v>40878</v>
      </c>
      <c r="C142" s="565">
        <f t="shared" si="97"/>
        <v>2011</v>
      </c>
      <c r="D142" s="819">
        <f t="shared" si="96"/>
        <v>11</v>
      </c>
      <c r="E142" s="972">
        <v>21</v>
      </c>
      <c r="F142" s="971">
        <v>5</v>
      </c>
      <c r="G142" s="971">
        <v>4</v>
      </c>
      <c r="H142" s="971">
        <v>1</v>
      </c>
      <c r="I142" s="976">
        <f t="shared" si="118"/>
        <v>31</v>
      </c>
      <c r="J142" s="969"/>
      <c r="K142" s="820">
        <f>INDEX(FX!$A$3:$C$362,MATCH(B142,FX!$A$3:$A$362,0),MATCH("Monthly Curve",FX!$A$2:$C$2,0))</f>
        <v>1.3106612318628601</v>
      </c>
      <c r="L142" s="820"/>
      <c r="M142" s="1070">
        <v>3.4505000000000003</v>
      </c>
      <c r="N142" s="1071">
        <v>0.27</v>
      </c>
      <c r="O142" s="878">
        <v>0.1</v>
      </c>
      <c r="P142" s="824">
        <f t="shared" si="99"/>
        <v>0.37</v>
      </c>
      <c r="Q142" s="825">
        <f t="shared" si="100"/>
        <v>3.8205000000000005</v>
      </c>
      <c r="R142" s="837">
        <f>IF(A142="January",(R141+R141*Assumptions!$E$32),R141)</f>
        <v>0.36609539234988436</v>
      </c>
      <c r="S142" s="827">
        <f t="shared" si="101"/>
        <v>5.3734766286819422</v>
      </c>
      <c r="T142" s="820"/>
      <c r="U142" s="567"/>
      <c r="V142" s="838"/>
      <c r="W142" s="838"/>
      <c r="X142" s="566"/>
      <c r="Y142" s="839">
        <f>Tables!$D$36</f>
        <v>312</v>
      </c>
      <c r="Z142" s="678">
        <f t="shared" si="102"/>
        <v>0</v>
      </c>
      <c r="AA142" s="679">
        <f t="shared" si="103"/>
        <v>0</v>
      </c>
      <c r="AB142" s="680">
        <f t="shared" si="98"/>
        <v>0</v>
      </c>
      <c r="AC142" s="828"/>
      <c r="AD142" s="1027">
        <f>IF(Tables!$E$30="Michigan",INDEX('Michigan Curve'!$A$4:$S$256,MATCH('Monthly Table'!B142,'Michigan Curve'!$A$4:$A$256,0),MATCH("Michigan Selected Option Value US$/month",'Michigan Curve'!$A$4:$S$4,0)),INDEX('NY Curve'!$A$4:$T$256,MATCH('Monthly Table'!B142,'NY Curve'!$A$4:$A$256,0),MATCH("New York Selected Option Value US$/month",'NY Curve'!$A$4:$T$4,0)))</f>
        <v>7640.2717897706134</v>
      </c>
      <c r="AE142" s="601">
        <f t="shared" si="119"/>
        <v>10013.80803574781</v>
      </c>
      <c r="AF142" s="828"/>
      <c r="AG142" s="917"/>
      <c r="AI142" s="799">
        <f>Assumptions!$B$50</f>
        <v>65</v>
      </c>
      <c r="AJ142" s="762"/>
      <c r="AK142" s="924">
        <f>IF(Tables!$E$30="Custom",'Monthly Table'!AI142,IF(Tables!$E$30="New York",INDEX('NY Curve'!$A$4:$G$256,MATCH('Monthly Table'!B142,'NY Curve'!$A$4:$A$256,0),MATCH("Super Peak Curve",'NY Curve'!$A$4:$G$4,0)),IF(Tables!$E$30="New York Flat",INDEX('NY Curve'!$A$4:$G$256,MATCH('Monthly Table'!B142,'NY Curve'!$A$4:$A$256,0),MATCH("Flat NY West",'NY Curve'!$A$4:$G$4,0)),INDEX('Michigan Curve'!$A$4:$F$256,MATCH('Monthly Table'!B142,'Michigan Curve'!$A$4:$A$256,0),MATCH("Michigan Super Peak Curve US$/MWhr",'Michigan Curve'!$A$4:$F$4,0)))))</f>
        <v>29.273994941711425</v>
      </c>
      <c r="AL142" s="966">
        <f>IF(D142&lt;=Tables!$B$21,IF($AL$10=$AI$10,AI142,IF($AL$10=$AJ$10,AJ142,IF($AL$10=$AK$10,AK142,0))),0)</f>
        <v>29.273994941711425</v>
      </c>
      <c r="AM142" s="708">
        <f t="shared" si="120"/>
        <v>38.368290271850633</v>
      </c>
      <c r="AN142" s="918">
        <f t="shared" si="121"/>
        <v>0</v>
      </c>
      <c r="AO142" s="906"/>
      <c r="AP142" s="925"/>
      <c r="AQ142" s="926">
        <f>IF(Tables!$E$30="New York",INDEX('NY Curve'!$A$4:$L$256,MATCH('Monthly Table'!B142,'NY Curve'!$A$4:$A$256,0),MATCH("New York Shoulder Hour Curve Mon-Fri",'NY Curve'!$A$4:$L$4,0)),IF(Tables!$E$30="Michigan",INDEX('Michigan Curve'!$A$4:$K$256,MATCH('Monthly Table'!B142,'Michigan Curve'!$A$4:$A$256,0),MATCH("Michigan Shoulder Hour Curve Mon-Fri",'Michigan Curve'!$A$4:$K$4,0))))</f>
        <v>28.125995140075684</v>
      </c>
      <c r="AR142" s="708">
        <f t="shared" si="122"/>
        <v>36.863651437660415</v>
      </c>
      <c r="AS142" s="927">
        <f t="shared" si="109"/>
        <v>0</v>
      </c>
      <c r="AT142" s="828"/>
      <c r="AU142" s="926">
        <f>IF(Tables!$E$30="New York",INDEX('NY Curve'!$A$4:$L$256,MATCH('Monthly Table'!$B142,'NY Curve'!$A$4:$A$256,0),MATCH("New York Saturday Super Peak",'NY Curve'!$A$4:$L$4,0)),IF(Tables!$E$30="Michigan",INDEX('Michigan Curve'!$A$4:$K$256,MATCH('Monthly Table'!$B142,'Michigan Curve'!$A$4:$A$256,0),MATCH("Michigan Saturday Super Peak",'Michigan Curve'!$A$4:$K$4,0))))</f>
        <v>20.399999999999999</v>
      </c>
      <c r="AV142" s="925">
        <f t="shared" si="110"/>
        <v>26.737489130002345</v>
      </c>
      <c r="AW142" s="927">
        <f t="shared" si="111"/>
        <v>0</v>
      </c>
      <c r="AX142" s="926">
        <f>IF(Tables!$E$30="New York",INDEX('NY Curve'!$A$4:$L$256,MATCH('Monthly Table'!$B142,'NY Curve'!$A$4:$A$256,0),MATCH("New York Saturday Shoulder Peak",'NY Curve'!$A$4:$L$4,0)),IF(Tables!$E$30="Michigan",INDEX('Michigan Curve'!$A$4:$K$256,MATCH('Monthly Table'!$B142,'Michigan Curve'!$A$4:$A$256,0),MATCH("Michigan Saturday Shoulder Peak",'Michigan Curve'!$A$4:$K$4,0))))</f>
        <v>19.600000000000001</v>
      </c>
      <c r="AY142" s="934">
        <f t="shared" si="123"/>
        <v>25.688960144512059</v>
      </c>
      <c r="AZ142" s="927">
        <f t="shared" si="112"/>
        <v>0</v>
      </c>
      <c r="BA142" s="828"/>
      <c r="BB142" s="926">
        <f>IF(Tables!$E$30="New York",INDEX('NY Curve'!$A$4:$M$256,MATCH('Monthly Table'!$B142,'NY Curve'!$A$4:$A$256,0),MATCH("NY Sunday Super Peak",'NY Curve'!$A$4:$M$4,0)),IF(Tables!$E$30="Michigan",INDEX('Michigan Curve'!$A$4:$L$256,MATCH('Monthly Table'!$B142,'Michigan Curve'!$A$4:$A$256,0),MATCH("Michigan Sunday Super Peak",'Michigan Curve'!$A$4:$L$4,0))))</f>
        <v>19.38</v>
      </c>
      <c r="BC142" s="925">
        <f t="shared" si="124"/>
        <v>25.400614673502229</v>
      </c>
      <c r="BD142" s="927">
        <f t="shared" si="113"/>
        <v>0</v>
      </c>
      <c r="BE142" s="828"/>
      <c r="BF142" s="829">
        <f t="shared" si="104"/>
        <v>40878</v>
      </c>
      <c r="BG142" s="583">
        <f t="shared" si="125"/>
        <v>0</v>
      </c>
      <c r="BH142" s="840">
        <f>IF(Tables!$B$36="Combined Cycle",(BF142-BF141)*24*Assumptions!$B$21,0)</f>
        <v>0</v>
      </c>
      <c r="BI142" s="315">
        <f t="shared" si="126"/>
        <v>0</v>
      </c>
      <c r="BJ142" s="988">
        <f>IF('Monthly Table'!D142&lt;=Tables!$B$21,IF($BJ$10=$BG$10,BG142,IF($BJ$10=$BH$10,BH142,IF($BJ$10=$BI$10,BI142,0))),0)</f>
        <v>0</v>
      </c>
      <c r="BK142" s="43"/>
      <c r="BL142" s="987">
        <f t="shared" si="127"/>
        <v>0</v>
      </c>
      <c r="BM142" s="987">
        <f t="shared" si="128"/>
        <v>0</v>
      </c>
      <c r="BN142" s="43"/>
      <c r="BO142" s="987">
        <f t="shared" si="114"/>
        <v>0</v>
      </c>
      <c r="BP142" s="987">
        <f t="shared" si="129"/>
        <v>0</v>
      </c>
      <c r="BQ142" s="43"/>
      <c r="BR142" s="995">
        <f>IF(BJ142&gt;0,INDEX(OperationalDetail,MATCH("Capacity Degradation",ODColumn,0),MATCH('Monthly Table'!C142,ODRow,0)),0)</f>
        <v>0</v>
      </c>
      <c r="BS142" s="994">
        <f>BJ142*(1-BR142)*Tables!$C$36</f>
        <v>0</v>
      </c>
      <c r="BT142" s="834">
        <f t="shared" si="115"/>
        <v>0</v>
      </c>
      <c r="BU142" s="834">
        <f t="shared" si="116"/>
        <v>0</v>
      </c>
      <c r="BV142" s="462"/>
      <c r="BW142" s="785">
        <f>$BO142*(1-$BR142)*Tables!$C$36</f>
        <v>0</v>
      </c>
      <c r="BX142" s="602">
        <f t="shared" si="130"/>
        <v>0</v>
      </c>
      <c r="BY142" s="601">
        <f t="shared" si="131"/>
        <v>0</v>
      </c>
      <c r="BZ142" s="828"/>
      <c r="CA142" s="785">
        <f>$BL142*(1-$BR142)*Tables!$C$36</f>
        <v>0</v>
      </c>
      <c r="CB142" s="602">
        <f t="shared" si="132"/>
        <v>0</v>
      </c>
      <c r="CC142" s="601">
        <f t="shared" si="133"/>
        <v>0</v>
      </c>
      <c r="CD142" s="785">
        <f>$BP142*(1-$BR142)*Tables!$C$36</f>
        <v>0</v>
      </c>
      <c r="CE142" s="602">
        <f t="shared" si="134"/>
        <v>0</v>
      </c>
      <c r="CF142" s="601">
        <f t="shared" si="135"/>
        <v>0</v>
      </c>
      <c r="CH142" s="785">
        <f>$BM142*(1-$BR142)*Tables!$C$36</f>
        <v>0</v>
      </c>
      <c r="CI142" s="602">
        <f t="shared" si="136"/>
        <v>0</v>
      </c>
      <c r="CJ142" s="601">
        <f t="shared" si="137"/>
        <v>0</v>
      </c>
      <c r="CK142" s="304"/>
      <c r="CL142" s="304">
        <f t="shared" si="138"/>
        <v>2010</v>
      </c>
      <c r="CM142" s="1018">
        <f>INDEX(OperationalDetail,MATCH("Degraded Heat Rate",ODColumn,0),MATCH('Monthly Table'!CL142,ODRow,0))/1000</f>
        <v>12.109500000000001</v>
      </c>
      <c r="CN142" s="835">
        <f t="shared" si="117"/>
        <v>65.070115235023977</v>
      </c>
      <c r="CO142" s="1020">
        <f>IF(A142="January",(CO141*(1+Assumptions!$E$32)),CO141)</f>
        <v>8.2106892901771893</v>
      </c>
      <c r="CP142" s="836">
        <f t="shared" si="105"/>
        <v>73.280804525201162</v>
      </c>
      <c r="CQ142" s="304"/>
      <c r="CR142" s="841" t="str">
        <f t="shared" si="139"/>
        <v/>
      </c>
      <c r="CS142" s="575" t="str">
        <f t="shared" si="140"/>
        <v/>
      </c>
      <c r="CT142" s="575" t="str">
        <f t="shared" si="141"/>
        <v/>
      </c>
      <c r="CU142" s="575" t="str">
        <f t="shared" si="142"/>
        <v/>
      </c>
      <c r="CV142" s="575" t="str">
        <f t="shared" si="143"/>
        <v/>
      </c>
      <c r="CW142" s="842">
        <f t="shared" si="106"/>
        <v>2011</v>
      </c>
      <c r="CX142" s="843">
        <f>INDEX('NY Curve'!$A$4:$G$256,MATCH('Monthly Table'!B142,'NY Curve'!$A$4:$A$256,0),MATCH("New York 5 X 16",'NY Curve'!$A$4:$G$4,0))</f>
        <v>27.5</v>
      </c>
      <c r="CY142" s="844">
        <f t="shared" si="107"/>
        <v>1.3106612318628601</v>
      </c>
      <c r="CZ142" s="845">
        <f t="shared" si="108"/>
        <v>36.043183876228653</v>
      </c>
      <c r="DB142" s="857"/>
      <c r="DC142" s="857"/>
    </row>
    <row r="143" spans="1:107" ht="18.75" customHeight="1">
      <c r="A143" s="17" t="s">
        <v>437</v>
      </c>
      <c r="B143" s="508">
        <v>40909</v>
      </c>
      <c r="C143" s="43">
        <f t="shared" si="97"/>
        <v>2012</v>
      </c>
      <c r="D143" s="719">
        <f t="shared" si="96"/>
        <v>12</v>
      </c>
      <c r="E143" s="972">
        <v>21</v>
      </c>
      <c r="F143" s="971">
        <v>4</v>
      </c>
      <c r="G143" s="971">
        <v>5</v>
      </c>
      <c r="H143" s="971">
        <v>1</v>
      </c>
      <c r="I143" s="976">
        <f t="shared" si="118"/>
        <v>31</v>
      </c>
      <c r="J143" s="621"/>
      <c r="K143" s="572">
        <f>INDEX(FX!$A$3:$C$362,MATCH(B143,FX!$A$3:$A$362,0),MATCH("Monthly Curve",FX!$A$2:$C$2,0))</f>
        <v>1.30981114062628</v>
      </c>
      <c r="L143" s="572"/>
      <c r="M143" s="1070">
        <v>3.5360000000000005</v>
      </c>
      <c r="N143" s="1071">
        <v>0.28000000000000003</v>
      </c>
      <c r="O143" s="877">
        <v>0.1</v>
      </c>
      <c r="P143" s="797">
        <f t="shared" si="99"/>
        <v>0.38</v>
      </c>
      <c r="Q143" s="732">
        <f t="shared" si="100"/>
        <v>3.9160000000000008</v>
      </c>
      <c r="R143" s="723">
        <f>IF(A143="January",(R142+R142*Assumptions!$E$32),R142)</f>
        <v>0.37341730019688207</v>
      </c>
      <c r="S143" s="730">
        <f t="shared" si="101"/>
        <v>5.5026377268893958</v>
      </c>
      <c r="T143" s="572"/>
      <c r="U143" s="509"/>
      <c r="V143" s="584"/>
      <c r="W143" s="584"/>
      <c r="X143" s="461"/>
      <c r="Y143" s="588">
        <f>Tables!$D$36</f>
        <v>312</v>
      </c>
      <c r="Z143" s="570">
        <f t="shared" si="102"/>
        <v>0</v>
      </c>
      <c r="AA143" s="592">
        <f t="shared" si="103"/>
        <v>0</v>
      </c>
      <c r="AB143" s="589">
        <f t="shared" si="98"/>
        <v>0</v>
      </c>
      <c r="AC143" s="462"/>
      <c r="AD143" s="1027">
        <f>IF(Tables!$E$30="Michigan",INDEX('Michigan Curve'!$A$4:$S$256,MATCH('Monthly Table'!B143,'Michigan Curve'!$A$4:$A$256,0),MATCH("Michigan Selected Option Value US$/month",'Michigan Curve'!$A$4:$S$4,0)),INDEX('NY Curve'!$A$4:$T$256,MATCH('Monthly Table'!B143,'NY Curve'!$A$4:$A$256,0),MATCH("New York Selected Option Value US$/month",'NY Curve'!$A$4:$T$4,0)))</f>
        <v>39830.674358600751</v>
      </c>
      <c r="AE143" s="601">
        <f t="shared" si="119"/>
        <v>52170.661013552774</v>
      </c>
      <c r="AF143" s="462"/>
      <c r="AG143" s="915"/>
      <c r="AH143" s="17"/>
      <c r="AI143" s="799">
        <f>Assumptions!$B$50</f>
        <v>65</v>
      </c>
      <c r="AJ143" s="743"/>
      <c r="AK143" s="924">
        <f>IF(Tables!$E$30="Custom",'Monthly Table'!AI143,IF(Tables!$E$30="New York",INDEX('NY Curve'!$A$4:$G$256,MATCH('Monthly Table'!B143,'NY Curve'!$A$4:$A$256,0),MATCH("Super Peak Curve",'NY Curve'!$A$4:$G$4,0)),IF(Tables!$E$30="New York Flat",INDEX('NY Curve'!$A$4:$G$256,MATCH('Monthly Table'!B143,'NY Curve'!$A$4:$A$256,0),MATCH("Flat NY West",'NY Curve'!$A$4:$G$4,0)),INDEX('Michigan Curve'!$A$4:$F$256,MATCH('Monthly Table'!B143,'Michigan Curve'!$A$4:$A$256,0),MATCH("Michigan Super Peak Curve US$/MWhr",'Michigan Curve'!$A$4:$F$4,0)))))</f>
        <v>34.884000389099121</v>
      </c>
      <c r="AL143" s="965">
        <f>IF(D143&lt;=Tables!$B$21,IF($AL$10=$AI$10,AI143,IF($AL$10=$AJ$10,AJ143,IF($AL$10=$AK$10,AK143,0))),0)</f>
        <v>34.884000389099121</v>
      </c>
      <c r="AM143" s="708">
        <f t="shared" si="120"/>
        <v>45.691452339253516</v>
      </c>
      <c r="AN143" s="916">
        <f t="shared" si="121"/>
        <v>0</v>
      </c>
      <c r="AO143" s="905"/>
      <c r="AP143" s="925"/>
      <c r="AQ143" s="926">
        <f>IF(Tables!$E$30="New York",INDEX('NY Curve'!$A$4:$L$256,MATCH('Monthly Table'!B143,'NY Curve'!$A$4:$A$256,0),MATCH("New York Shoulder Hour Curve Mon-Fri",'NY Curve'!$A$4:$L$4,0)),IF(Tables!$E$30="Michigan",INDEX('Michigan Curve'!$A$4:$K$256,MATCH('Monthly Table'!B143,'Michigan Curve'!$A$4:$A$256,0),MATCH("Michigan Shoulder Hour Curve Mon-Fri",'Michigan Curve'!$A$4:$K$4,0))))</f>
        <v>33.516000373840335</v>
      </c>
      <c r="AR143" s="708">
        <f t="shared" si="122"/>
        <v>43.899630678890638</v>
      </c>
      <c r="AS143" s="927">
        <f t="shared" si="109"/>
        <v>0</v>
      </c>
      <c r="AT143" s="462"/>
      <c r="AU143" s="926">
        <f>IF(Tables!$E$30="New York",INDEX('NY Curve'!$A$4:$L$256,MATCH('Monthly Table'!$B143,'NY Curve'!$A$4:$A$256,0),MATCH("New York Saturday Super Peak",'NY Curve'!$A$4:$L$4,0)),IF(Tables!$E$30="Michigan",INDEX('Michigan Curve'!$A$4:$K$256,MATCH('Monthly Table'!$B143,'Michigan Curve'!$A$4:$A$256,0),MATCH("Michigan Saturday Super Peak",'Michigan Curve'!$A$4:$K$4,0))))</f>
        <v>22.44</v>
      </c>
      <c r="AV143" s="925">
        <f t="shared" si="110"/>
        <v>29.392161995653726</v>
      </c>
      <c r="AW143" s="927">
        <f t="shared" si="111"/>
        <v>0</v>
      </c>
      <c r="AX143" s="926">
        <f>IF(Tables!$E$30="New York",INDEX('NY Curve'!$A$4:$L$256,MATCH('Monthly Table'!$B143,'NY Curve'!$A$4:$A$256,0),MATCH("New York Saturday Shoulder Peak",'NY Curve'!$A$4:$L$4,0)),IF(Tables!$E$30="Michigan",INDEX('Michigan Curve'!$A$4:$K$256,MATCH('Monthly Table'!$B143,'Michigan Curve'!$A$4:$A$256,0),MATCH("Michigan Saturday Shoulder Peak",'Michigan Curve'!$A$4:$K$4,0))))</f>
        <v>21.56</v>
      </c>
      <c r="AY143" s="934">
        <f t="shared" si="123"/>
        <v>28.239528191902597</v>
      </c>
      <c r="AZ143" s="927">
        <f t="shared" si="112"/>
        <v>0</v>
      </c>
      <c r="BA143" s="462"/>
      <c r="BB143" s="926">
        <f>IF(Tables!$E$30="New York",INDEX('NY Curve'!$A$4:$M$256,MATCH('Monthly Table'!$B143,'NY Curve'!$A$4:$A$256,0),MATCH("NY Sunday Super Peak",'NY Curve'!$A$4:$M$4,0)),IF(Tables!$E$30="Michigan",INDEX('Michigan Curve'!$A$4:$L$256,MATCH('Monthly Table'!$B143,'Michigan Curve'!$A$4:$A$256,0),MATCH("Michigan Sunday Super Peak",'Michigan Curve'!$A$4:$L$4,0))))</f>
        <v>21.42</v>
      </c>
      <c r="BC143" s="925">
        <f t="shared" si="124"/>
        <v>28.05615463221492</v>
      </c>
      <c r="BD143" s="927">
        <f t="shared" si="113"/>
        <v>0</v>
      </c>
      <c r="BE143" s="462"/>
      <c r="BF143" s="598">
        <f t="shared" si="104"/>
        <v>40909</v>
      </c>
      <c r="BG143" s="583">
        <f t="shared" si="125"/>
        <v>0</v>
      </c>
      <c r="BH143" s="764">
        <f>IF(Tables!$B$36="Combined Cycle",(BF143-BF142)*24*Assumptions!$B$21,0)</f>
        <v>0</v>
      </c>
      <c r="BI143" s="315">
        <f t="shared" si="126"/>
        <v>0</v>
      </c>
      <c r="BJ143" s="987">
        <f>IF('Monthly Table'!D143&lt;=Tables!$B$21,IF($BJ$10=$BG$10,BG143,IF($BJ$10=$BH$10,BH143,IF($BJ$10=$BI$10,BI143,0))),0)</f>
        <v>0</v>
      </c>
      <c r="BK143" s="43"/>
      <c r="BL143" s="987">
        <f t="shared" si="127"/>
        <v>0</v>
      </c>
      <c r="BM143" s="987">
        <f t="shared" si="128"/>
        <v>0</v>
      </c>
      <c r="BO143" s="987">
        <f t="shared" si="114"/>
        <v>0</v>
      </c>
      <c r="BP143" s="987">
        <f t="shared" si="129"/>
        <v>0</v>
      </c>
      <c r="BR143" s="993">
        <f>IF(BJ143&gt;0,INDEX(OperationalDetail,MATCH("Capacity Degradation",ODColumn,0),MATCH('Monthly Table'!C143,ODRow,0)),0)</f>
        <v>0</v>
      </c>
      <c r="BS143" s="994">
        <f>BJ143*(1-BR143)*Tables!$C$36</f>
        <v>0</v>
      </c>
      <c r="BT143" s="601">
        <f t="shared" si="115"/>
        <v>0</v>
      </c>
      <c r="BU143" s="601">
        <f t="shared" si="116"/>
        <v>0</v>
      </c>
      <c r="BV143" s="462"/>
      <c r="BW143" s="785">
        <f>$BO143*(1-$BR143)*Tables!$C$36</f>
        <v>0</v>
      </c>
      <c r="BX143" s="602">
        <f t="shared" si="130"/>
        <v>0</v>
      </c>
      <c r="BY143" s="601">
        <f t="shared" si="131"/>
        <v>0</v>
      </c>
      <c r="BZ143" s="462"/>
      <c r="CA143" s="785">
        <f>$BL143*(1-$BR143)*Tables!$C$36</f>
        <v>0</v>
      </c>
      <c r="CB143" s="602">
        <f t="shared" si="132"/>
        <v>0</v>
      </c>
      <c r="CC143" s="601">
        <f t="shared" si="133"/>
        <v>0</v>
      </c>
      <c r="CD143" s="785">
        <f>$BP143*(1-$BR143)*Tables!$C$36</f>
        <v>0</v>
      </c>
      <c r="CE143" s="602">
        <f t="shared" si="134"/>
        <v>0</v>
      </c>
      <c r="CF143" s="601">
        <f t="shared" si="135"/>
        <v>0</v>
      </c>
      <c r="CH143" s="785">
        <f>$BM143*(1-$BR143)*Tables!$C$36</f>
        <v>0</v>
      </c>
      <c r="CI143" s="602">
        <f t="shared" si="136"/>
        <v>0</v>
      </c>
      <c r="CJ143" s="601">
        <f t="shared" si="137"/>
        <v>0</v>
      </c>
      <c r="CK143" s="304"/>
      <c r="CL143" s="304">
        <f t="shared" si="138"/>
        <v>2011</v>
      </c>
      <c r="CM143" s="1018">
        <f>INDEX(OperationalDetail,MATCH("Degraded Heat Rate",ODColumn,0),MATCH('Monthly Table'!CL143,ODRow,0))/1000</f>
        <v>12.140476400000001</v>
      </c>
      <c r="CN143" s="737">
        <f t="shared" si="117"/>
        <v>66.804643461050361</v>
      </c>
      <c r="CO143" s="1019">
        <f>IF(A143="January",(CO142*(1+Assumptions!$E$32)),CO142)</f>
        <v>8.3749030759807326</v>
      </c>
      <c r="CP143" s="741">
        <f t="shared" si="105"/>
        <v>75.179546537031086</v>
      </c>
      <c r="CQ143" s="304"/>
      <c r="CR143" s="575" t="str">
        <f t="shared" si="139"/>
        <v/>
      </c>
      <c r="CS143" s="575" t="str">
        <f t="shared" si="140"/>
        <v/>
      </c>
      <c r="CT143" s="575" t="str">
        <f t="shared" si="141"/>
        <v/>
      </c>
      <c r="CU143" s="575" t="str">
        <f t="shared" si="142"/>
        <v/>
      </c>
      <c r="CV143" s="575" t="str">
        <f t="shared" si="143"/>
        <v/>
      </c>
      <c r="CW143" s="576">
        <f t="shared" si="106"/>
        <v>2012</v>
      </c>
      <c r="CX143" s="787">
        <f>INDEX('NY Curve'!$A$4:$G$256,MATCH('Monthly Table'!B143,'NY Curve'!$A$4:$A$256,0),MATCH("New York 5 X 16",'NY Curve'!$A$4:$G$4,0))</f>
        <v>33.049999999999997</v>
      </c>
      <c r="CY143" s="632">
        <f t="shared" si="107"/>
        <v>1.30981114062628</v>
      </c>
      <c r="CZ143" s="633">
        <f t="shared" si="108"/>
        <v>43.289258197698551</v>
      </c>
      <c r="DB143" s="857"/>
      <c r="DC143" s="857"/>
    </row>
    <row r="144" spans="1:107" ht="18.75" customHeight="1">
      <c r="A144" s="17" t="s">
        <v>438</v>
      </c>
      <c r="B144" s="508">
        <v>40940</v>
      </c>
      <c r="C144" s="43">
        <f t="shared" si="97"/>
        <v>2012</v>
      </c>
      <c r="D144" s="719">
        <f t="shared" si="96"/>
        <v>12</v>
      </c>
      <c r="E144" s="972">
        <v>21</v>
      </c>
      <c r="F144" s="971">
        <v>4</v>
      </c>
      <c r="G144" s="971">
        <v>4</v>
      </c>
      <c r="H144" s="971">
        <v>0</v>
      </c>
      <c r="I144" s="976">
        <f t="shared" si="118"/>
        <v>29</v>
      </c>
      <c r="J144" s="621"/>
      <c r="K144" s="572">
        <f>INDEX(FX!$A$3:$C$362,MATCH(B144,FX!$A$3:$A$362,0),MATCH("Monthly Curve",FX!$A$2:$C$2,0))</f>
        <v>1.3089634884355701</v>
      </c>
      <c r="L144" s="572"/>
      <c r="M144" s="1070">
        <v>3.423</v>
      </c>
      <c r="N144" s="1071">
        <v>0.31</v>
      </c>
      <c r="O144" s="877">
        <v>0.1</v>
      </c>
      <c r="P144" s="797">
        <f t="shared" si="99"/>
        <v>0.41000000000000003</v>
      </c>
      <c r="Q144" s="732">
        <f t="shared" si="100"/>
        <v>3.8330000000000002</v>
      </c>
      <c r="R144" s="723">
        <f>IF(A144="January",(R143+R143*Assumptions!$E$32),R143)</f>
        <v>0.37341730019688207</v>
      </c>
      <c r="S144" s="730">
        <f t="shared" si="101"/>
        <v>5.3906743513704232</v>
      </c>
      <c r="T144" s="572"/>
      <c r="U144" s="509"/>
      <c r="V144" s="584"/>
      <c r="W144" s="584"/>
      <c r="X144" s="461"/>
      <c r="Y144" s="588">
        <f>Tables!$D$36</f>
        <v>312</v>
      </c>
      <c r="Z144" s="570">
        <f t="shared" si="102"/>
        <v>0</v>
      </c>
      <c r="AA144" s="592">
        <f t="shared" si="103"/>
        <v>0</v>
      </c>
      <c r="AB144" s="589">
        <f t="shared" si="98"/>
        <v>0</v>
      </c>
      <c r="AC144" s="462"/>
      <c r="AD144" s="1027">
        <f>IF(Tables!$E$30="Michigan",INDEX('Michigan Curve'!$A$4:$S$256,MATCH('Monthly Table'!B144,'Michigan Curve'!$A$4:$A$256,0),MATCH("Michigan Selected Option Value US$/month",'Michigan Curve'!$A$4:$S$4,0)),INDEX('NY Curve'!$A$4:$T$256,MATCH('Monthly Table'!B144,'NY Curve'!$A$4:$A$256,0),MATCH("New York Selected Option Value US$/month",'NY Curve'!$A$4:$T$4,0)))</f>
        <v>40157.501214488017</v>
      </c>
      <c r="AE144" s="601">
        <f t="shared" si="119"/>
        <v>52564.702876571879</v>
      </c>
      <c r="AF144" s="462"/>
      <c r="AG144" s="915"/>
      <c r="AH144" s="17"/>
      <c r="AI144" s="799">
        <f>Assumptions!$B$50</f>
        <v>65</v>
      </c>
      <c r="AJ144" s="743"/>
      <c r="AK144" s="924">
        <f>IF(Tables!$E$30="Custom",'Monthly Table'!AI144,IF(Tables!$E$30="New York",INDEX('NY Curve'!$A$4:$G$256,MATCH('Monthly Table'!B144,'NY Curve'!$A$4:$A$256,0),MATCH("Super Peak Curve",'NY Curve'!$A$4:$G$4,0)),IF(Tables!$E$30="New York Flat",INDEX('NY Curve'!$A$4:$G$256,MATCH('Monthly Table'!B144,'NY Curve'!$A$4:$A$256,0),MATCH("Flat NY West",'NY Curve'!$A$4:$G$4,0)),INDEX('Michigan Curve'!$A$4:$F$256,MATCH('Monthly Table'!B144,'Michigan Curve'!$A$4:$A$256,0),MATCH("Michigan Super Peak Curve US$/MWhr",'Michigan Curve'!$A$4:$F$4,0)))))</f>
        <v>34.883998443603517</v>
      </c>
      <c r="AL144" s="965">
        <f>IF(D144&lt;=Tables!$B$21,IF($AL$10=$AI$10,AI144,IF($AL$10=$AJ$10,AJ144,IF($AL$10=$AK$10,AK144,0))),0)</f>
        <v>34.883998443603517</v>
      </c>
      <c r="AM144" s="708">
        <f t="shared" si="120"/>
        <v>45.661880293320259</v>
      </c>
      <c r="AN144" s="916">
        <f t="shared" si="121"/>
        <v>0</v>
      </c>
      <c r="AO144" s="905"/>
      <c r="AP144" s="925"/>
      <c r="AQ144" s="926">
        <f>IF(Tables!$E$30="New York",INDEX('NY Curve'!$A$4:$L$256,MATCH('Monthly Table'!B144,'NY Curve'!$A$4:$A$256,0),MATCH("New York Shoulder Hour Curve Mon-Fri",'NY Curve'!$A$4:$L$4,0)),IF(Tables!$E$30="Michigan",INDEX('Michigan Curve'!$A$4:$K$256,MATCH('Monthly Table'!B144,'Michigan Curve'!$A$4:$A$256,0),MATCH("Michigan Shoulder Hour Curve Mon-Fri",'Michigan Curve'!$A$4:$K$4,0))))</f>
        <v>33.515998504638674</v>
      </c>
      <c r="AR144" s="708">
        <f t="shared" si="122"/>
        <v>43.87121832103319</v>
      </c>
      <c r="AS144" s="927">
        <f t="shared" si="109"/>
        <v>0</v>
      </c>
      <c r="AT144" s="462"/>
      <c r="AU144" s="926">
        <f>IF(Tables!$E$30="New York",INDEX('NY Curve'!$A$4:$L$256,MATCH('Monthly Table'!$B144,'NY Curve'!$A$4:$A$256,0),MATCH("New York Saturday Super Peak",'NY Curve'!$A$4:$L$4,0)),IF(Tables!$E$30="Michigan",INDEX('Michigan Curve'!$A$4:$K$256,MATCH('Monthly Table'!$B144,'Michigan Curve'!$A$4:$A$256,0),MATCH("Michigan Saturday Super Peak",'Michigan Curve'!$A$4:$K$4,0))))</f>
        <v>22.435920295715331</v>
      </c>
      <c r="AV144" s="925">
        <f t="shared" si="110"/>
        <v>29.367800496541946</v>
      </c>
      <c r="AW144" s="927">
        <f t="shared" si="111"/>
        <v>0</v>
      </c>
      <c r="AX144" s="926">
        <f>IF(Tables!$E$30="New York",INDEX('NY Curve'!$A$4:$L$256,MATCH('Monthly Table'!$B144,'NY Curve'!$A$4:$A$256,0),MATCH("New York Saturday Shoulder Peak",'NY Curve'!$A$4:$L$4,0)),IF(Tables!$E$30="Michigan",INDEX('Michigan Curve'!$A$4:$K$256,MATCH('Monthly Table'!$B144,'Michigan Curve'!$A$4:$A$256,0),MATCH("Michigan Saturday Shoulder Peak",'Michigan Curve'!$A$4:$K$4,0))))</f>
        <v>21.556080284118654</v>
      </c>
      <c r="AY144" s="934">
        <f t="shared" si="123"/>
        <v>28.216122045697169</v>
      </c>
      <c r="AZ144" s="927">
        <f t="shared" si="112"/>
        <v>0</v>
      </c>
      <c r="BA144" s="462"/>
      <c r="BB144" s="926">
        <f>IF(Tables!$E$30="New York",INDEX('NY Curve'!$A$4:$M$256,MATCH('Monthly Table'!$B144,'NY Curve'!$A$4:$A$256,0),MATCH("NY Sunday Super Peak",'NY Curve'!$A$4:$M$4,0)),IF(Tables!$E$30="Michigan",INDEX('Michigan Curve'!$A$4:$L$256,MATCH('Monthly Table'!$B144,'Michigan Curve'!$A$4:$A$256,0),MATCH("Michigan Sunday Super Peak",'Michigan Curve'!$A$4:$L$4,0))))</f>
        <v>21.416431961059569</v>
      </c>
      <c r="BC144" s="925">
        <f t="shared" si="124"/>
        <v>28.033327489591571</v>
      </c>
      <c r="BD144" s="927">
        <f t="shared" si="113"/>
        <v>0</v>
      </c>
      <c r="BE144" s="462"/>
      <c r="BF144" s="598">
        <f t="shared" si="104"/>
        <v>40940</v>
      </c>
      <c r="BG144" s="583">
        <f t="shared" si="125"/>
        <v>0</v>
      </c>
      <c r="BH144" s="764">
        <f>IF(Tables!$B$36="Combined Cycle",(BF144-BF143)*24*Assumptions!$B$21,0)</f>
        <v>0</v>
      </c>
      <c r="BI144" s="315">
        <f t="shared" si="126"/>
        <v>0</v>
      </c>
      <c r="BJ144" s="987">
        <f>IF('Monthly Table'!D144&lt;=Tables!$B$21,IF($BJ$10=$BG$10,BG144,IF($BJ$10=$BH$10,BH144,IF($BJ$10=$BI$10,BI144,0))),0)</f>
        <v>0</v>
      </c>
      <c r="BK144" s="43"/>
      <c r="BL144" s="987">
        <f t="shared" si="127"/>
        <v>0</v>
      </c>
      <c r="BM144" s="987">
        <f t="shared" si="128"/>
        <v>0</v>
      </c>
      <c r="BO144" s="987">
        <f t="shared" si="114"/>
        <v>0</v>
      </c>
      <c r="BP144" s="987">
        <f t="shared" si="129"/>
        <v>0</v>
      </c>
      <c r="BR144" s="993">
        <f>IF(BJ144&gt;0,INDEX(OperationalDetail,MATCH("Capacity Degradation",ODColumn,0),MATCH('Monthly Table'!C144,ODRow,0)),0)</f>
        <v>0</v>
      </c>
      <c r="BS144" s="994">
        <f>BJ144*(1-BR144)*Tables!$C$36</f>
        <v>0</v>
      </c>
      <c r="BT144" s="601">
        <f t="shared" si="115"/>
        <v>0</v>
      </c>
      <c r="BU144" s="601">
        <f t="shared" si="116"/>
        <v>0</v>
      </c>
      <c r="BV144" s="462"/>
      <c r="BW144" s="785">
        <f>$BO144*(1-$BR144)*Tables!$C$36</f>
        <v>0</v>
      </c>
      <c r="BX144" s="602">
        <f t="shared" si="130"/>
        <v>0</v>
      </c>
      <c r="BY144" s="601">
        <f t="shared" si="131"/>
        <v>0</v>
      </c>
      <c r="BZ144" s="462"/>
      <c r="CA144" s="785">
        <f>$BL144*(1-$BR144)*Tables!$C$36</f>
        <v>0</v>
      </c>
      <c r="CB144" s="602">
        <f t="shared" si="132"/>
        <v>0</v>
      </c>
      <c r="CC144" s="601">
        <f t="shared" si="133"/>
        <v>0</v>
      </c>
      <c r="CD144" s="785">
        <f>$BP144*(1-$BR144)*Tables!$C$36</f>
        <v>0</v>
      </c>
      <c r="CE144" s="602">
        <f t="shared" si="134"/>
        <v>0</v>
      </c>
      <c r="CF144" s="601">
        <f t="shared" si="135"/>
        <v>0</v>
      </c>
      <c r="CH144" s="785">
        <f>$BM144*(1-$BR144)*Tables!$C$36</f>
        <v>0</v>
      </c>
      <c r="CI144" s="602">
        <f t="shared" si="136"/>
        <v>0</v>
      </c>
      <c r="CJ144" s="601">
        <f t="shared" si="137"/>
        <v>0</v>
      </c>
      <c r="CK144" s="304"/>
      <c r="CL144" s="304">
        <f t="shared" si="138"/>
        <v>2011</v>
      </c>
      <c r="CM144" s="1018">
        <f>INDEX(OperationalDetail,MATCH("Degraded Heat Rate",ODColumn,0),MATCH('Monthly Table'!CL144,ODRow,0))/1000</f>
        <v>12.140476400000001</v>
      </c>
      <c r="CN144" s="737">
        <f t="shared" si="117"/>
        <v>65.445354742897933</v>
      </c>
      <c r="CO144" s="1019">
        <f>IF(A144="January",(CO143*(1+Assumptions!$E$32)),CO143)</f>
        <v>8.3749030759807326</v>
      </c>
      <c r="CP144" s="741">
        <f t="shared" si="105"/>
        <v>73.820257818878673</v>
      </c>
      <c r="CQ144" s="304"/>
      <c r="CR144" s="575" t="str">
        <f t="shared" si="139"/>
        <v/>
      </c>
      <c r="CS144" s="575" t="str">
        <f t="shared" si="140"/>
        <v/>
      </c>
      <c r="CT144" s="575" t="str">
        <f t="shared" si="141"/>
        <v/>
      </c>
      <c r="CU144" s="575" t="str">
        <f t="shared" si="142"/>
        <v/>
      </c>
      <c r="CV144" s="575" t="str">
        <f t="shared" si="143"/>
        <v/>
      </c>
      <c r="CW144" s="576">
        <f t="shared" si="106"/>
        <v>2012</v>
      </c>
      <c r="CX144" s="787">
        <f>INDEX('NY Curve'!$A$4:$G$256,MATCH('Monthly Table'!B144,'NY Curve'!$A$4:$A$256,0),MATCH("New York 5 X 16",'NY Curve'!$A$4:$G$4,0))</f>
        <v>33.049999999999997</v>
      </c>
      <c r="CY144" s="632">
        <f t="shared" si="107"/>
        <v>1.3089634884355701</v>
      </c>
      <c r="CZ144" s="633">
        <f t="shared" si="108"/>
        <v>43.261243292795591</v>
      </c>
      <c r="DB144" s="857"/>
      <c r="DC144" s="857"/>
    </row>
    <row r="145" spans="1:107" ht="18.75" customHeight="1">
      <c r="A145" s="17" t="s">
        <v>439</v>
      </c>
      <c r="B145" s="508">
        <v>40969</v>
      </c>
      <c r="C145" s="43">
        <f t="shared" si="97"/>
        <v>2012</v>
      </c>
      <c r="D145" s="719">
        <f t="shared" si="96"/>
        <v>12</v>
      </c>
      <c r="E145" s="972">
        <v>22</v>
      </c>
      <c r="F145" s="971">
        <v>5</v>
      </c>
      <c r="G145" s="971">
        <v>4</v>
      </c>
      <c r="H145" s="971">
        <v>0</v>
      </c>
      <c r="I145" s="976">
        <f t="shared" si="118"/>
        <v>31</v>
      </c>
      <c r="J145" s="621"/>
      <c r="K145" s="572">
        <f>INDEX(FX!$A$3:$C$362,MATCH(B145,FX!$A$3:$A$362,0),MATCH("Monthly Curve",FX!$A$2:$C$2,0))</f>
        <v>1.30817272799524</v>
      </c>
      <c r="L145" s="572"/>
      <c r="M145" s="1070">
        <v>3.3080000000000003</v>
      </c>
      <c r="N145" s="1071">
        <v>0.31</v>
      </c>
      <c r="O145" s="877">
        <v>0.1</v>
      </c>
      <c r="P145" s="797">
        <f t="shared" si="99"/>
        <v>0.41000000000000003</v>
      </c>
      <c r="Q145" s="732">
        <f t="shared" si="100"/>
        <v>3.7180000000000004</v>
      </c>
      <c r="R145" s="723">
        <f>IF(A145="January",(R144+R144*Assumptions!$E$32),R144)</f>
        <v>0.37341730019688207</v>
      </c>
      <c r="S145" s="730">
        <f t="shared" si="101"/>
        <v>5.2372035028831849</v>
      </c>
      <c r="T145" s="572"/>
      <c r="U145" s="509"/>
      <c r="V145" s="584"/>
      <c r="W145" s="584"/>
      <c r="X145" s="461"/>
      <c r="Y145" s="588">
        <f>Tables!$D$36</f>
        <v>312</v>
      </c>
      <c r="Z145" s="570">
        <f t="shared" si="102"/>
        <v>0</v>
      </c>
      <c r="AA145" s="592">
        <f t="shared" si="103"/>
        <v>0</v>
      </c>
      <c r="AB145" s="589">
        <f t="shared" si="98"/>
        <v>0</v>
      </c>
      <c r="AC145" s="462"/>
      <c r="AD145" s="1027">
        <f>IF(Tables!$E$30="Michigan",INDEX('Michigan Curve'!$A$4:$S$256,MATCH('Monthly Table'!B145,'Michigan Curve'!$A$4:$A$256,0),MATCH("Michigan Selected Option Value US$/month",'Michigan Curve'!$A$4:$S$4,0)),INDEX('NY Curve'!$A$4:$T$256,MATCH('Monthly Table'!B145,'NY Curve'!$A$4:$A$256,0),MATCH("New York Selected Option Value US$/month",'NY Curve'!$A$4:$T$4,0)))</f>
        <v>9724.7562391390074</v>
      </c>
      <c r="AE145" s="601">
        <f t="shared" si="119"/>
        <v>12721.660898443206</v>
      </c>
      <c r="AF145" s="462"/>
      <c r="AG145" s="915"/>
      <c r="AH145" s="17"/>
      <c r="AI145" s="799">
        <f>Assumptions!$B$50</f>
        <v>65</v>
      </c>
      <c r="AJ145" s="743"/>
      <c r="AK145" s="924">
        <f>IF(Tables!$E$30="Custom",'Monthly Table'!AI145,IF(Tables!$E$30="New York",INDEX('NY Curve'!$A$4:$G$256,MATCH('Monthly Table'!B145,'NY Curve'!$A$4:$A$256,0),MATCH("Super Peak Curve",'NY Curve'!$A$4:$G$4,0)),IF(Tables!$E$30="New York Flat",INDEX('NY Curve'!$A$4:$G$256,MATCH('Monthly Table'!B145,'NY Curve'!$A$4:$A$256,0),MATCH("Flat NY West",'NY Curve'!$A$4:$G$4,0)),INDEX('Michigan Curve'!$A$4:$F$256,MATCH('Monthly Table'!B145,'Michigan Curve'!$A$4:$A$256,0),MATCH("Michigan Super Peak Curve US$/MWhr",'Michigan Curve'!$A$4:$F$4,0)))))</f>
        <v>29.580000000000002</v>
      </c>
      <c r="AL145" s="965">
        <f>IF(D145&lt;=Tables!$B$21,IF($AL$10=$AI$10,AI145,IF($AL$10=$AJ$10,AJ145,IF($AL$10=$AK$10,AK145,0))),0)</f>
        <v>29.580000000000002</v>
      </c>
      <c r="AM145" s="708">
        <f t="shared" si="120"/>
        <v>38.695749294099201</v>
      </c>
      <c r="AN145" s="916">
        <f t="shared" si="121"/>
        <v>0</v>
      </c>
      <c r="AO145" s="905"/>
      <c r="AP145" s="925"/>
      <c r="AQ145" s="926">
        <f>IF(Tables!$E$30="New York",INDEX('NY Curve'!$A$4:$L$256,MATCH('Monthly Table'!B145,'NY Curve'!$A$4:$A$256,0),MATCH("New York Shoulder Hour Curve Mon-Fri",'NY Curve'!$A$4:$L$4,0)),IF(Tables!$E$30="Michigan",INDEX('Michigan Curve'!$A$4:$K$256,MATCH('Monthly Table'!B145,'Michigan Curve'!$A$4:$A$256,0),MATCH("Michigan Shoulder Hour Curve Mon-Fri",'Michigan Curve'!$A$4:$K$4,0))))</f>
        <v>28.419999999999998</v>
      </c>
      <c r="AR145" s="708">
        <f t="shared" si="122"/>
        <v>37.178268929624721</v>
      </c>
      <c r="AS145" s="927">
        <f t="shared" si="109"/>
        <v>0</v>
      </c>
      <c r="AT145" s="462"/>
      <c r="AU145" s="926">
        <f>IF(Tables!$E$30="New York",INDEX('NY Curve'!$A$4:$L$256,MATCH('Monthly Table'!$B145,'NY Curve'!$A$4:$A$256,0),MATCH("New York Saturday Super Peak",'NY Curve'!$A$4:$L$4,0)),IF(Tables!$E$30="Michigan",INDEX('Michigan Curve'!$A$4:$K$256,MATCH('Monthly Table'!$B145,'Michigan Curve'!$A$4:$A$256,0),MATCH("Michigan Saturday Super Peak",'Michigan Curve'!$A$4:$K$4,0))))</f>
        <v>20.399999999999999</v>
      </c>
      <c r="AV145" s="925">
        <f t="shared" si="110"/>
        <v>26.686723651102895</v>
      </c>
      <c r="AW145" s="927">
        <f t="shared" si="111"/>
        <v>0</v>
      </c>
      <c r="AX145" s="926">
        <f>IF(Tables!$E$30="New York",INDEX('NY Curve'!$A$4:$L$256,MATCH('Monthly Table'!$B145,'NY Curve'!$A$4:$A$256,0),MATCH("New York Saturday Shoulder Peak",'NY Curve'!$A$4:$L$4,0)),IF(Tables!$E$30="Michigan",INDEX('Michigan Curve'!$A$4:$K$256,MATCH('Monthly Table'!$B145,'Michigan Curve'!$A$4:$A$256,0),MATCH("Michigan Saturday Shoulder Peak",'Michigan Curve'!$A$4:$K$4,0))))</f>
        <v>19.600000000000001</v>
      </c>
      <c r="AY145" s="934">
        <f t="shared" si="123"/>
        <v>25.640185468706704</v>
      </c>
      <c r="AZ145" s="927">
        <f t="shared" si="112"/>
        <v>0</v>
      </c>
      <c r="BA145" s="462"/>
      <c r="BB145" s="926">
        <f>IF(Tables!$E$30="New York",INDEX('NY Curve'!$A$4:$M$256,MATCH('Monthly Table'!$B145,'NY Curve'!$A$4:$A$256,0),MATCH("NY Sunday Super Peak",'NY Curve'!$A$4:$M$4,0)),IF(Tables!$E$30="Michigan",INDEX('Michigan Curve'!$A$4:$L$256,MATCH('Monthly Table'!$B145,'Michigan Curve'!$A$4:$A$256,0),MATCH("Michigan Sunday Super Peak",'Michigan Curve'!$A$4:$L$4,0))))</f>
        <v>19.38</v>
      </c>
      <c r="BC145" s="925">
        <f t="shared" si="124"/>
        <v>25.35238746854775</v>
      </c>
      <c r="BD145" s="927">
        <f t="shared" si="113"/>
        <v>0</v>
      </c>
      <c r="BE145" s="462"/>
      <c r="BF145" s="598">
        <f t="shared" si="104"/>
        <v>40969</v>
      </c>
      <c r="BG145" s="583">
        <f t="shared" si="125"/>
        <v>0</v>
      </c>
      <c r="BH145" s="764">
        <f>IF(Tables!$B$36="Combined Cycle",(BF145-BF144)*24*Assumptions!$B$21,0)</f>
        <v>0</v>
      </c>
      <c r="BI145" s="315">
        <f t="shared" si="126"/>
        <v>0</v>
      </c>
      <c r="BJ145" s="987">
        <f>IF('Monthly Table'!D145&lt;=Tables!$B$21,IF($BJ$10=$BG$10,BG145,IF($BJ$10=$BH$10,BH145,IF($BJ$10=$BI$10,BI145,0))),0)</f>
        <v>0</v>
      </c>
      <c r="BK145" s="43"/>
      <c r="BL145" s="987">
        <f t="shared" si="127"/>
        <v>0</v>
      </c>
      <c r="BM145" s="987">
        <f t="shared" si="128"/>
        <v>0</v>
      </c>
      <c r="BO145" s="987">
        <f t="shared" si="114"/>
        <v>0</v>
      </c>
      <c r="BP145" s="987">
        <f t="shared" si="129"/>
        <v>0</v>
      </c>
      <c r="BR145" s="993">
        <f>IF(BJ145&gt;0,INDEX(OperationalDetail,MATCH("Capacity Degradation",ODColumn,0),MATCH('Monthly Table'!C145,ODRow,0)),0)</f>
        <v>0</v>
      </c>
      <c r="BS145" s="994">
        <f>BJ145*(1-BR145)*Tables!$C$36</f>
        <v>0</v>
      </c>
      <c r="BT145" s="601">
        <f t="shared" si="115"/>
        <v>0</v>
      </c>
      <c r="BU145" s="601">
        <f t="shared" si="116"/>
        <v>0</v>
      </c>
      <c r="BV145" s="462"/>
      <c r="BW145" s="785">
        <f>$BO145*(1-$BR145)*Tables!$C$36</f>
        <v>0</v>
      </c>
      <c r="BX145" s="602">
        <f t="shared" si="130"/>
        <v>0</v>
      </c>
      <c r="BY145" s="601">
        <f t="shared" si="131"/>
        <v>0</v>
      </c>
      <c r="BZ145" s="462"/>
      <c r="CA145" s="785">
        <f>$BL145*(1-$BR145)*Tables!$C$36</f>
        <v>0</v>
      </c>
      <c r="CB145" s="602">
        <f t="shared" si="132"/>
        <v>0</v>
      </c>
      <c r="CC145" s="601">
        <f t="shared" si="133"/>
        <v>0</v>
      </c>
      <c r="CD145" s="785">
        <f>$BP145*(1-$BR145)*Tables!$C$36</f>
        <v>0</v>
      </c>
      <c r="CE145" s="602">
        <f t="shared" si="134"/>
        <v>0</v>
      </c>
      <c r="CF145" s="601">
        <f t="shared" si="135"/>
        <v>0</v>
      </c>
      <c r="CH145" s="785">
        <f>$BM145*(1-$BR145)*Tables!$C$36</f>
        <v>0</v>
      </c>
      <c r="CI145" s="602">
        <f t="shared" si="136"/>
        <v>0</v>
      </c>
      <c r="CJ145" s="601">
        <f t="shared" si="137"/>
        <v>0</v>
      </c>
      <c r="CK145" s="304"/>
      <c r="CL145" s="304">
        <f t="shared" si="138"/>
        <v>2011</v>
      </c>
      <c r="CM145" s="1018">
        <f>INDEX(OperationalDetail,MATCH("Degraded Heat Rate",ODColumn,0),MATCH('Monthly Table'!CL145,ODRow,0))/1000</f>
        <v>12.140476400000001</v>
      </c>
      <c r="CN145" s="737">
        <f t="shared" si="117"/>
        <v>63.582145528750644</v>
      </c>
      <c r="CO145" s="1019">
        <f>IF(A145="January",(CO144*(1+Assumptions!$E$32)),CO144)</f>
        <v>8.3749030759807326</v>
      </c>
      <c r="CP145" s="741">
        <f t="shared" si="105"/>
        <v>71.957048604731369</v>
      </c>
      <c r="CQ145" s="304"/>
      <c r="CR145" s="575" t="str">
        <f t="shared" si="139"/>
        <v/>
      </c>
      <c r="CS145" s="575" t="str">
        <f t="shared" si="140"/>
        <v/>
      </c>
      <c r="CT145" s="575" t="str">
        <f t="shared" si="141"/>
        <v/>
      </c>
      <c r="CU145" s="575" t="str">
        <f t="shared" si="142"/>
        <v/>
      </c>
      <c r="CV145" s="575" t="str">
        <f t="shared" si="143"/>
        <v/>
      </c>
      <c r="CW145" s="576">
        <f t="shared" si="106"/>
        <v>2012</v>
      </c>
      <c r="CX145" s="787">
        <f>INDEX('NY Curve'!$A$4:$G$256,MATCH('Monthly Table'!B145,'NY Curve'!$A$4:$A$256,0),MATCH("New York 5 X 16",'NY Curve'!$A$4:$G$4,0))</f>
        <v>28.05</v>
      </c>
      <c r="CY145" s="632">
        <f t="shared" si="107"/>
        <v>1.30817272799524</v>
      </c>
      <c r="CZ145" s="633">
        <f t="shared" si="108"/>
        <v>36.694245020266486</v>
      </c>
      <c r="DB145" s="857"/>
      <c r="DC145" s="857"/>
    </row>
    <row r="146" spans="1:107" ht="18.75" customHeight="1">
      <c r="A146" s="17" t="s">
        <v>440</v>
      </c>
      <c r="B146" s="508">
        <v>41000</v>
      </c>
      <c r="C146" s="43">
        <f t="shared" si="97"/>
        <v>2012</v>
      </c>
      <c r="D146" s="719">
        <f t="shared" ref="D146:D209" si="144">IF(A146="January",D145+1,D145)</f>
        <v>12</v>
      </c>
      <c r="E146" s="972">
        <v>21</v>
      </c>
      <c r="F146" s="971">
        <v>4</v>
      </c>
      <c r="G146" s="971">
        <v>5</v>
      </c>
      <c r="H146" s="971">
        <v>0</v>
      </c>
      <c r="I146" s="976">
        <f t="shared" si="118"/>
        <v>30</v>
      </c>
      <c r="J146" s="621"/>
      <c r="K146" s="572">
        <f>INDEX(FX!$A$3:$C$362,MATCH(B146,FX!$A$3:$A$362,0),MATCH("Monthly Curve",FX!$A$2:$C$2,0))</f>
        <v>1.30732978509263</v>
      </c>
      <c r="L146" s="572"/>
      <c r="M146" s="1070">
        <v>3.2405000000000004</v>
      </c>
      <c r="N146" s="1071">
        <v>0.14499999999999999</v>
      </c>
      <c r="O146" s="877">
        <v>0.1</v>
      </c>
      <c r="P146" s="797">
        <f t="shared" si="99"/>
        <v>0.245</v>
      </c>
      <c r="Q146" s="732">
        <f t="shared" si="100"/>
        <v>3.4855000000000005</v>
      </c>
      <c r="R146" s="723">
        <f>IF(A146="January",(R145+R145*Assumptions!$E$32),R145)</f>
        <v>0.37341730019688207</v>
      </c>
      <c r="S146" s="730">
        <f t="shared" si="101"/>
        <v>4.9301152661372445</v>
      </c>
      <c r="T146" s="572"/>
      <c r="U146" s="509"/>
      <c r="V146" s="584"/>
      <c r="W146" s="584"/>
      <c r="X146" s="461"/>
      <c r="Y146" s="588">
        <f>Tables!$D$36</f>
        <v>312</v>
      </c>
      <c r="Z146" s="570">
        <f t="shared" si="102"/>
        <v>0</v>
      </c>
      <c r="AA146" s="592">
        <f t="shared" si="103"/>
        <v>0</v>
      </c>
      <c r="AB146" s="589">
        <f t="shared" si="98"/>
        <v>0</v>
      </c>
      <c r="AC146" s="462"/>
      <c r="AD146" s="1027">
        <f>IF(Tables!$E$30="Michigan",INDEX('Michigan Curve'!$A$4:$S$256,MATCH('Monthly Table'!B146,'Michigan Curve'!$A$4:$A$256,0),MATCH("Michigan Selected Option Value US$/month",'Michigan Curve'!$A$4:$S$4,0)),INDEX('NY Curve'!$A$4:$T$256,MATCH('Monthly Table'!B146,'NY Curve'!$A$4:$A$256,0),MATCH("New York Selected Option Value US$/month",'NY Curve'!$A$4:$T$4,0)))</f>
        <v>11074.532416536242</v>
      </c>
      <c r="AE146" s="601">
        <f t="shared" si="119"/>
        <v>14478.06608411169</v>
      </c>
      <c r="AF146" s="462"/>
      <c r="AG146" s="915"/>
      <c r="AH146" s="17"/>
      <c r="AI146" s="799">
        <f>Assumptions!$B$50</f>
        <v>65</v>
      </c>
      <c r="AJ146" s="743"/>
      <c r="AK146" s="924">
        <f>IF(Tables!$E$30="Custom",'Monthly Table'!AI146,IF(Tables!$E$30="New York",INDEX('NY Curve'!$A$4:$G$256,MATCH('Monthly Table'!B146,'NY Curve'!$A$4:$A$256,0),MATCH("Super Peak Curve",'NY Curve'!$A$4:$G$4,0)),IF(Tables!$E$30="New York Flat",INDEX('NY Curve'!$A$4:$G$256,MATCH('Monthly Table'!B146,'NY Curve'!$A$4:$A$256,0),MATCH("Flat NY West",'NY Curve'!$A$4:$G$4,0)),INDEX('Michigan Curve'!$A$4:$F$256,MATCH('Monthly Table'!B146,'Michigan Curve'!$A$4:$A$256,0),MATCH("Michigan Super Peak Curve US$/MWhr",'Michigan Curve'!$A$4:$F$4,0)))))</f>
        <v>29.25</v>
      </c>
      <c r="AL146" s="965">
        <f>IF(D146&lt;=Tables!$B$21,IF($AL$10=$AI$10,AI146,IF($AL$10=$AJ$10,AJ146,IF($AL$10=$AK$10,AK146,0))),0)</f>
        <v>29.25</v>
      </c>
      <c r="AM146" s="708">
        <f t="shared" si="120"/>
        <v>38.239396213959424</v>
      </c>
      <c r="AN146" s="916">
        <f t="shared" si="121"/>
        <v>0</v>
      </c>
      <c r="AO146" s="905"/>
      <c r="AP146" s="925"/>
      <c r="AQ146" s="926">
        <f>IF(Tables!$E$30="New York",INDEX('NY Curve'!$A$4:$L$256,MATCH('Monthly Table'!B146,'NY Curve'!$A$4:$A$256,0),MATCH("New York Shoulder Hour Curve Mon-Fri",'NY Curve'!$A$4:$L$4,0)),IF(Tables!$E$30="Michigan",INDEX('Michigan Curve'!$A$4:$K$256,MATCH('Monthly Table'!B146,'Michigan Curve'!$A$4:$A$256,0),MATCH("Michigan Shoulder Hour Curve Mon-Fri",'Michigan Curve'!$A$4:$K$4,0))))</f>
        <v>29.25</v>
      </c>
      <c r="AR146" s="708">
        <f t="shared" si="122"/>
        <v>38.239396213959424</v>
      </c>
      <c r="AS146" s="927">
        <f t="shared" si="109"/>
        <v>0</v>
      </c>
      <c r="AT146" s="462"/>
      <c r="AU146" s="926">
        <f>IF(Tables!$E$30="New York",INDEX('NY Curve'!$A$4:$L$256,MATCH('Monthly Table'!$B146,'NY Curve'!$A$4:$A$256,0),MATCH("New York Saturday Super Peak",'NY Curve'!$A$4:$L$4,0)),IF(Tables!$E$30="Michigan",INDEX('Michigan Curve'!$A$4:$K$256,MATCH('Monthly Table'!$B146,'Michigan Curve'!$A$4:$A$256,0),MATCH("Michigan Saturday Super Peak",'Michigan Curve'!$A$4:$K$4,0))))</f>
        <v>20</v>
      </c>
      <c r="AV146" s="925">
        <f t="shared" si="110"/>
        <v>26.146595701852601</v>
      </c>
      <c r="AW146" s="927">
        <f t="shared" si="111"/>
        <v>0</v>
      </c>
      <c r="AX146" s="926">
        <f>IF(Tables!$E$30="New York",INDEX('NY Curve'!$A$4:$L$256,MATCH('Monthly Table'!$B146,'NY Curve'!$A$4:$A$256,0),MATCH("New York Saturday Shoulder Peak",'NY Curve'!$A$4:$L$4,0)),IF(Tables!$E$30="Michigan",INDEX('Michigan Curve'!$A$4:$K$256,MATCH('Monthly Table'!$B146,'Michigan Curve'!$A$4:$A$256,0),MATCH("Michigan Saturday Shoulder Peak",'Michigan Curve'!$A$4:$K$4,0))))</f>
        <v>20</v>
      </c>
      <c r="AY146" s="934">
        <f t="shared" si="123"/>
        <v>26.146595701852601</v>
      </c>
      <c r="AZ146" s="927">
        <f t="shared" si="112"/>
        <v>0</v>
      </c>
      <c r="BA146" s="462"/>
      <c r="BB146" s="926">
        <f>IF(Tables!$E$30="New York",INDEX('NY Curve'!$A$4:$M$256,MATCH('Monthly Table'!$B146,'NY Curve'!$A$4:$A$256,0),MATCH("NY Sunday Super Peak",'NY Curve'!$A$4:$M$4,0)),IF(Tables!$E$30="Michigan",INDEX('Michigan Curve'!$A$4:$L$256,MATCH('Monthly Table'!$B146,'Michigan Curve'!$A$4:$A$256,0),MATCH("Michigan Sunday Super Peak",'Michigan Curve'!$A$4:$L$4,0))))</f>
        <v>18.995000839233398</v>
      </c>
      <c r="BC146" s="925">
        <f t="shared" si="124"/>
        <v>24.832730364989324</v>
      </c>
      <c r="BD146" s="927">
        <f t="shared" si="113"/>
        <v>0</v>
      </c>
      <c r="BE146" s="462"/>
      <c r="BF146" s="598">
        <f t="shared" si="104"/>
        <v>41000</v>
      </c>
      <c r="BG146" s="583">
        <f t="shared" si="125"/>
        <v>0</v>
      </c>
      <c r="BH146" s="764">
        <f>IF(Tables!$B$36="Combined Cycle",(BF146-BF145)*24*Assumptions!$B$21,0)</f>
        <v>0</v>
      </c>
      <c r="BI146" s="315">
        <f t="shared" si="126"/>
        <v>0</v>
      </c>
      <c r="BJ146" s="987">
        <f>IF('Monthly Table'!D146&lt;=Tables!$B$21,IF($BJ$10=$BG$10,BG146,IF($BJ$10=$BH$10,BH146,IF($BJ$10=$BI$10,BI146,0))),0)</f>
        <v>0</v>
      </c>
      <c r="BK146" s="43"/>
      <c r="BL146" s="987">
        <f t="shared" si="127"/>
        <v>0</v>
      </c>
      <c r="BM146" s="987">
        <f t="shared" si="128"/>
        <v>0</v>
      </c>
      <c r="BO146" s="987">
        <f t="shared" si="114"/>
        <v>0</v>
      </c>
      <c r="BP146" s="987">
        <f t="shared" si="129"/>
        <v>0</v>
      </c>
      <c r="BR146" s="993">
        <f>IF(BJ146&gt;0,INDEX(OperationalDetail,MATCH("Capacity Degradation",ODColumn,0),MATCH('Monthly Table'!C146,ODRow,0)),0)</f>
        <v>0</v>
      </c>
      <c r="BS146" s="994">
        <f>BJ146*(1-BR146)*Tables!$C$36</f>
        <v>0</v>
      </c>
      <c r="BT146" s="601">
        <f t="shared" si="115"/>
        <v>0</v>
      </c>
      <c r="BU146" s="601">
        <f t="shared" si="116"/>
        <v>0</v>
      </c>
      <c r="BV146" s="462"/>
      <c r="BW146" s="785">
        <f>$BO146*(1-$BR146)*Tables!$C$36</f>
        <v>0</v>
      </c>
      <c r="BX146" s="602">
        <f t="shared" si="130"/>
        <v>0</v>
      </c>
      <c r="BY146" s="601">
        <f t="shared" si="131"/>
        <v>0</v>
      </c>
      <c r="BZ146" s="462"/>
      <c r="CA146" s="785">
        <f>$BL146*(1-$BR146)*Tables!$C$36</f>
        <v>0</v>
      </c>
      <c r="CB146" s="602">
        <f t="shared" si="132"/>
        <v>0</v>
      </c>
      <c r="CC146" s="601">
        <f t="shared" si="133"/>
        <v>0</v>
      </c>
      <c r="CD146" s="785">
        <f>$BP146*(1-$BR146)*Tables!$C$36</f>
        <v>0</v>
      </c>
      <c r="CE146" s="602">
        <f t="shared" si="134"/>
        <v>0</v>
      </c>
      <c r="CF146" s="601">
        <f t="shared" si="135"/>
        <v>0</v>
      </c>
      <c r="CH146" s="785">
        <f>$BM146*(1-$BR146)*Tables!$C$36</f>
        <v>0</v>
      </c>
      <c r="CI146" s="602">
        <f t="shared" si="136"/>
        <v>0</v>
      </c>
      <c r="CJ146" s="601">
        <f t="shared" si="137"/>
        <v>0</v>
      </c>
      <c r="CK146" s="304"/>
      <c r="CL146" s="304">
        <f t="shared" si="138"/>
        <v>2011</v>
      </c>
      <c r="CM146" s="1018">
        <f>INDEX(OperationalDetail,MATCH("Degraded Heat Rate",ODColumn,0),MATCH('Monthly Table'!CL146,ODRow,0))/1000</f>
        <v>12.140476400000001</v>
      </c>
      <c r="CN146" s="737">
        <f t="shared" si="117"/>
        <v>59.853948037818938</v>
      </c>
      <c r="CO146" s="1019">
        <f>IF(A146="January",(CO145*(1+Assumptions!$E$32)),CO145)</f>
        <v>8.3749030759807326</v>
      </c>
      <c r="CP146" s="741">
        <f t="shared" si="105"/>
        <v>68.228851113799664</v>
      </c>
      <c r="CQ146" s="304"/>
      <c r="CR146" s="575" t="str">
        <f t="shared" si="139"/>
        <v/>
      </c>
      <c r="CS146" s="575" t="str">
        <f t="shared" si="140"/>
        <v/>
      </c>
      <c r="CT146" s="575" t="str">
        <f t="shared" si="141"/>
        <v/>
      </c>
      <c r="CU146" s="575" t="str">
        <f t="shared" si="142"/>
        <v/>
      </c>
      <c r="CV146" s="575" t="str">
        <f t="shared" si="143"/>
        <v/>
      </c>
      <c r="CW146" s="576">
        <f t="shared" si="106"/>
        <v>2012</v>
      </c>
      <c r="CX146" s="787">
        <f>INDEX('NY Curve'!$A$4:$G$256,MATCH('Monthly Table'!B146,'NY Curve'!$A$4:$A$256,0),MATCH("New York 5 X 16",'NY Curve'!$A$4:$G$4,0))</f>
        <v>26.8</v>
      </c>
      <c r="CY146" s="632">
        <f t="shared" si="107"/>
        <v>1.30732978509263</v>
      </c>
      <c r="CZ146" s="633">
        <f t="shared" si="108"/>
        <v>35.036438240482482</v>
      </c>
      <c r="DB146" s="857"/>
      <c r="DC146" s="857"/>
    </row>
    <row r="147" spans="1:107" ht="18.75" customHeight="1">
      <c r="A147" s="17" t="s">
        <v>441</v>
      </c>
      <c r="B147" s="508">
        <v>41030</v>
      </c>
      <c r="C147" s="43">
        <f t="shared" si="97"/>
        <v>2012</v>
      </c>
      <c r="D147" s="719">
        <f t="shared" si="144"/>
        <v>12</v>
      </c>
      <c r="E147" s="972">
        <v>22</v>
      </c>
      <c r="F147" s="971">
        <v>4</v>
      </c>
      <c r="G147" s="971">
        <v>4</v>
      </c>
      <c r="H147" s="971">
        <v>1</v>
      </c>
      <c r="I147" s="976">
        <f t="shared" si="118"/>
        <v>31</v>
      </c>
      <c r="J147" s="621"/>
      <c r="K147" s="572">
        <f>INDEX(FX!$A$3:$C$362,MATCH(B147,FX!$A$3:$A$362,0),MATCH("Monthly Curve",FX!$A$2:$C$2,0))</f>
        <v>1.3065163449969099</v>
      </c>
      <c r="L147" s="572"/>
      <c r="M147" s="1070">
        <v>3.2145000000000001</v>
      </c>
      <c r="N147" s="1071">
        <v>0.14499999999999999</v>
      </c>
      <c r="O147" s="877">
        <v>0.1</v>
      </c>
      <c r="P147" s="797">
        <f t="shared" si="99"/>
        <v>0.245</v>
      </c>
      <c r="Q147" s="732">
        <f t="shared" si="100"/>
        <v>3.4595000000000002</v>
      </c>
      <c r="R147" s="723">
        <f>IF(A147="January",(R146+R146*Assumptions!$E$32),R146)</f>
        <v>0.37341730019688207</v>
      </c>
      <c r="S147" s="730">
        <f t="shared" si="101"/>
        <v>4.8933105957136922</v>
      </c>
      <c r="T147" s="572"/>
      <c r="U147" s="509"/>
      <c r="V147" s="584"/>
      <c r="W147" s="584"/>
      <c r="X147" s="461"/>
      <c r="Y147" s="588">
        <f>Tables!$D$36</f>
        <v>312</v>
      </c>
      <c r="Z147" s="570">
        <f t="shared" si="102"/>
        <v>0</v>
      </c>
      <c r="AA147" s="592">
        <f t="shared" si="103"/>
        <v>0</v>
      </c>
      <c r="AB147" s="589">
        <f t="shared" si="98"/>
        <v>0</v>
      </c>
      <c r="AC147" s="462"/>
      <c r="AD147" s="1027">
        <f>IF(Tables!$E$30="Michigan",INDEX('Michigan Curve'!$A$4:$S$256,MATCH('Monthly Table'!B147,'Michigan Curve'!$A$4:$A$256,0),MATCH("Michigan Selected Option Value US$/month",'Michigan Curve'!$A$4:$S$4,0)),INDEX('NY Curve'!$A$4:$T$256,MATCH('Monthly Table'!B147,'NY Curve'!$A$4:$A$256,0),MATCH("New York Selected Option Value US$/month",'NY Curve'!$A$4:$T$4,0)))</f>
        <v>23321.469670833365</v>
      </c>
      <c r="AE147" s="601">
        <f t="shared" si="119"/>
        <v>30469.881314293496</v>
      </c>
      <c r="AF147" s="462"/>
      <c r="AG147" s="915"/>
      <c r="AH147" s="17"/>
      <c r="AI147" s="799">
        <f>Assumptions!$B$50</f>
        <v>65</v>
      </c>
      <c r="AJ147" s="743"/>
      <c r="AK147" s="924">
        <f>IF(Tables!$E$30="Custom",'Monthly Table'!AI147,IF(Tables!$E$30="New York",INDEX('NY Curve'!$A$4:$G$256,MATCH('Monthly Table'!B147,'NY Curve'!$A$4:$A$256,0),MATCH("Super Peak Curve",'NY Curve'!$A$4:$G$4,0)),IF(Tables!$E$30="New York Flat",INDEX('NY Curve'!$A$4:$G$256,MATCH('Monthly Table'!B147,'NY Curve'!$A$4:$A$256,0),MATCH("Flat NY West",'NY Curve'!$A$4:$G$4,0)),INDEX('Michigan Curve'!$A$4:$F$256,MATCH('Monthly Table'!B147,'Michigan Curve'!$A$4:$A$256,0),MATCH("Michigan Super Peak Curve US$/MWhr",'Michigan Curve'!$A$4:$F$4,0)))))</f>
        <v>35.516250059008598</v>
      </c>
      <c r="AL147" s="965">
        <f>IF(D147&lt;=Tables!$B$21,IF($AL$10=$AI$10,AI147,IF($AL$10=$AJ$10,AJ147,IF($AL$10=$AK$10,AK147,0))),0)</f>
        <v>35.516250059008598</v>
      </c>
      <c r="AM147" s="708">
        <f t="shared" si="120"/>
        <v>46.402561215092199</v>
      </c>
      <c r="AN147" s="916">
        <f t="shared" si="121"/>
        <v>0</v>
      </c>
      <c r="AO147" s="905"/>
      <c r="AP147" s="925"/>
      <c r="AQ147" s="926">
        <f>IF(Tables!$E$30="New York",INDEX('NY Curve'!$A$4:$L$256,MATCH('Monthly Table'!B147,'NY Curve'!$A$4:$A$256,0),MATCH("New York Shoulder Hour Curve Mon-Fri",'NY Curve'!$A$4:$L$4,0)),IF(Tables!$E$30="Michigan",INDEX('Michigan Curve'!$A$4:$K$256,MATCH('Monthly Table'!B147,'Michigan Curve'!$A$4:$A$256,0),MATCH("Michigan Shoulder Hour Curve Mon-Fri",'Michigan Curve'!$A$4:$K$4,0))))</f>
        <v>30.483749940991402</v>
      </c>
      <c r="AR147" s="708">
        <f t="shared" si="122"/>
        <v>39.827517554703853</v>
      </c>
      <c r="AS147" s="927">
        <f t="shared" si="109"/>
        <v>0</v>
      </c>
      <c r="AT147" s="462"/>
      <c r="AU147" s="926">
        <f>IF(Tables!$E$30="New York",INDEX('NY Curve'!$A$4:$L$256,MATCH('Monthly Table'!$B147,'NY Curve'!$A$4:$A$256,0),MATCH("New York Saturday Super Peak",'NY Curve'!$A$4:$L$4,0)),IF(Tables!$E$30="Michigan",INDEX('Michigan Curve'!$A$4:$K$256,MATCH('Monthly Table'!$B147,'Michigan Curve'!$A$4:$A$256,0),MATCH("Michigan Saturday Super Peak",'Michigan Curve'!$A$4:$K$4,0))))</f>
        <v>22.601250037550926</v>
      </c>
      <c r="AV147" s="925">
        <f t="shared" si="110"/>
        <v>29.528902591422309</v>
      </c>
      <c r="AW147" s="927">
        <f t="shared" si="111"/>
        <v>0</v>
      </c>
      <c r="AX147" s="926">
        <f>IF(Tables!$E$30="New York",INDEX('NY Curve'!$A$4:$L$256,MATCH('Monthly Table'!$B147,'NY Curve'!$A$4:$A$256,0),MATCH("New York Saturday Shoulder Peak",'NY Curve'!$A$4:$L$4,0)),IF(Tables!$E$30="Michigan",INDEX('Michigan Curve'!$A$4:$K$256,MATCH('Monthly Table'!$B147,'Michigan Curve'!$A$4:$A$256,0),MATCH("Michigan Saturday Shoulder Peak",'Michigan Curve'!$A$4:$K$4,0))))</f>
        <v>19.398749962449074</v>
      </c>
      <c r="AY147" s="934">
        <f t="shared" si="123"/>
        <v>25.344783898447908</v>
      </c>
      <c r="AZ147" s="927">
        <f t="shared" si="112"/>
        <v>0</v>
      </c>
      <c r="BA147" s="462"/>
      <c r="BB147" s="926">
        <f>IF(Tables!$E$30="New York",INDEX('NY Curve'!$A$4:$M$256,MATCH('Monthly Table'!$B147,'NY Curve'!$A$4:$A$256,0),MATCH("NY Sunday Super Peak",'NY Curve'!$A$4:$M$4,0)),IF(Tables!$E$30="Michigan",INDEX('Michigan Curve'!$A$4:$L$256,MATCH('Monthly Table'!$B147,'Michigan Curve'!$A$4:$A$256,0),MATCH("Michigan Sunday Super Peak",'Michigan Curve'!$A$4:$L$4,0))))</f>
        <v>21.530380382546781</v>
      </c>
      <c r="BC147" s="925">
        <f t="shared" si="124"/>
        <v>28.129793883798193</v>
      </c>
      <c r="BD147" s="927">
        <f t="shared" si="113"/>
        <v>0</v>
      </c>
      <c r="BE147" s="462"/>
      <c r="BF147" s="598">
        <f t="shared" si="104"/>
        <v>41030</v>
      </c>
      <c r="BG147" s="583">
        <f t="shared" si="125"/>
        <v>0</v>
      </c>
      <c r="BH147" s="764">
        <f>IF(Tables!$B$36="Combined Cycle",(BF147-BF146)*24*Assumptions!$B$21,0)</f>
        <v>0</v>
      </c>
      <c r="BI147" s="315">
        <f t="shared" si="126"/>
        <v>0</v>
      </c>
      <c r="BJ147" s="987">
        <f>IF('Monthly Table'!D147&lt;=Tables!$B$21,IF($BJ$10=$BG$10,BG147,IF($BJ$10=$BH$10,BH147,IF($BJ$10=$BI$10,BI147,0))),0)</f>
        <v>0</v>
      </c>
      <c r="BK147" s="43"/>
      <c r="BL147" s="987">
        <f t="shared" si="127"/>
        <v>0</v>
      </c>
      <c r="BM147" s="987">
        <f t="shared" si="128"/>
        <v>0</v>
      </c>
      <c r="BO147" s="987">
        <f t="shared" si="114"/>
        <v>0</v>
      </c>
      <c r="BP147" s="987">
        <f t="shared" si="129"/>
        <v>0</v>
      </c>
      <c r="BR147" s="993">
        <f>IF(BJ147&gt;0,INDEX(OperationalDetail,MATCH("Capacity Degradation",ODColumn,0),MATCH('Monthly Table'!C147,ODRow,0)),0)</f>
        <v>0</v>
      </c>
      <c r="BS147" s="994">
        <f>BJ147*(1-BR147)*Tables!$C$36</f>
        <v>0</v>
      </c>
      <c r="BT147" s="601">
        <f t="shared" si="115"/>
        <v>0</v>
      </c>
      <c r="BU147" s="601">
        <f t="shared" si="116"/>
        <v>0</v>
      </c>
      <c r="BV147" s="462"/>
      <c r="BW147" s="785">
        <f>$BO147*(1-$BR147)*Tables!$C$36</f>
        <v>0</v>
      </c>
      <c r="BX147" s="602">
        <f t="shared" si="130"/>
        <v>0</v>
      </c>
      <c r="BY147" s="601">
        <f t="shared" si="131"/>
        <v>0</v>
      </c>
      <c r="BZ147" s="462"/>
      <c r="CA147" s="785">
        <f>$BL147*(1-$BR147)*Tables!$C$36</f>
        <v>0</v>
      </c>
      <c r="CB147" s="602">
        <f t="shared" si="132"/>
        <v>0</v>
      </c>
      <c r="CC147" s="601">
        <f t="shared" si="133"/>
        <v>0</v>
      </c>
      <c r="CD147" s="785">
        <f>$BP147*(1-$BR147)*Tables!$C$36</f>
        <v>0</v>
      </c>
      <c r="CE147" s="602">
        <f t="shared" si="134"/>
        <v>0</v>
      </c>
      <c r="CF147" s="601">
        <f t="shared" si="135"/>
        <v>0</v>
      </c>
      <c r="CH147" s="785">
        <f>$BM147*(1-$BR147)*Tables!$C$36</f>
        <v>0</v>
      </c>
      <c r="CI147" s="602">
        <f t="shared" si="136"/>
        <v>0</v>
      </c>
      <c r="CJ147" s="601">
        <f t="shared" si="137"/>
        <v>0</v>
      </c>
      <c r="CK147" s="304"/>
      <c r="CL147" s="304">
        <f t="shared" si="138"/>
        <v>2011</v>
      </c>
      <c r="CM147" s="1018">
        <f>INDEX(OperationalDetail,MATCH("Degraded Heat Rate",ODColumn,0),MATCH('Monthly Table'!CL147,ODRow,0))/1000</f>
        <v>12.140476400000001</v>
      </c>
      <c r="CN147" s="737">
        <f t="shared" si="117"/>
        <v>59.407121805132022</v>
      </c>
      <c r="CO147" s="1019">
        <f>IF(A147="January",(CO146*(1+Assumptions!$E$32)),CO146)</f>
        <v>8.3749030759807326</v>
      </c>
      <c r="CP147" s="741">
        <f t="shared" si="105"/>
        <v>67.782024881112761</v>
      </c>
      <c r="CQ147" s="304"/>
      <c r="CR147" s="575" t="str">
        <f t="shared" si="139"/>
        <v/>
      </c>
      <c r="CS147" s="575" t="str">
        <f t="shared" si="140"/>
        <v/>
      </c>
      <c r="CT147" s="575" t="str">
        <f t="shared" si="141"/>
        <v/>
      </c>
      <c r="CU147" s="575" t="str">
        <f t="shared" si="142"/>
        <v/>
      </c>
      <c r="CV147" s="575" t="str">
        <f t="shared" si="143"/>
        <v/>
      </c>
      <c r="CW147" s="576">
        <f t="shared" si="106"/>
        <v>2012</v>
      </c>
      <c r="CX147" s="787">
        <f>INDEX('NY Curve'!$A$4:$G$256,MATCH('Monthly Table'!B147,'NY Curve'!$A$4:$A$256,0),MATCH("New York 5 X 16",'NY Curve'!$A$4:$G$4,0))</f>
        <v>31.65</v>
      </c>
      <c r="CY147" s="632">
        <f t="shared" si="107"/>
        <v>1.3065163449969099</v>
      </c>
      <c r="CZ147" s="633">
        <f t="shared" si="108"/>
        <v>41.351242319152199</v>
      </c>
      <c r="DB147" s="857"/>
      <c r="DC147" s="857"/>
    </row>
    <row r="148" spans="1:107" ht="18.75" customHeight="1">
      <c r="A148" s="17" t="s">
        <v>442</v>
      </c>
      <c r="B148" s="508">
        <v>41061</v>
      </c>
      <c r="C148" s="43">
        <f t="shared" si="97"/>
        <v>2012</v>
      </c>
      <c r="D148" s="719">
        <f t="shared" si="144"/>
        <v>12</v>
      </c>
      <c r="E148" s="972">
        <v>21</v>
      </c>
      <c r="F148" s="971">
        <v>5</v>
      </c>
      <c r="G148" s="971">
        <v>4</v>
      </c>
      <c r="H148" s="971">
        <v>0</v>
      </c>
      <c r="I148" s="976">
        <f t="shared" si="118"/>
        <v>30</v>
      </c>
      <c r="J148" s="621"/>
      <c r="K148" s="572">
        <f>INDEX(FX!$A$3:$C$362,MATCH(B148,FX!$A$3:$A$362,0),MATCH("Monthly Curve",FX!$A$2:$C$2,0))</f>
        <v>1.30567817448017</v>
      </c>
      <c r="L148" s="572"/>
      <c r="M148" s="1070">
        <v>3.2235000000000005</v>
      </c>
      <c r="N148" s="1071">
        <v>0.14499999999999999</v>
      </c>
      <c r="O148" s="877">
        <v>0.1</v>
      </c>
      <c r="P148" s="797">
        <f t="shared" si="99"/>
        <v>0.245</v>
      </c>
      <c r="Q148" s="732">
        <f t="shared" si="100"/>
        <v>3.4685000000000006</v>
      </c>
      <c r="R148" s="723">
        <f>IF(A148="January",(R147+R147*Assumptions!$E$32),R147)</f>
        <v>0.37341730019688207</v>
      </c>
      <c r="S148" s="730">
        <f t="shared" si="101"/>
        <v>4.9021620483813528</v>
      </c>
      <c r="T148" s="572"/>
      <c r="U148" s="509"/>
      <c r="V148" s="584"/>
      <c r="W148" s="584"/>
      <c r="X148" s="461"/>
      <c r="Y148" s="588">
        <f>Tables!$D$36</f>
        <v>312</v>
      </c>
      <c r="Z148" s="570">
        <f t="shared" si="102"/>
        <v>0</v>
      </c>
      <c r="AA148" s="592">
        <f t="shared" si="103"/>
        <v>0</v>
      </c>
      <c r="AB148" s="589">
        <f t="shared" si="98"/>
        <v>0</v>
      </c>
      <c r="AC148" s="462"/>
      <c r="AD148" s="1027">
        <f>IF(Tables!$E$30="Michigan",INDEX('Michigan Curve'!$A$4:$S$256,MATCH('Monthly Table'!B148,'Michigan Curve'!$A$4:$A$256,0),MATCH("Michigan Selected Option Value US$/month",'Michigan Curve'!$A$4:$S$4,0)),INDEX('NY Curve'!$A$4:$T$256,MATCH('Monthly Table'!B148,'NY Curve'!$A$4:$A$256,0),MATCH("New York Selected Option Value US$/month",'NY Curve'!$A$4:$T$4,0)))</f>
        <v>100418.86835874221</v>
      </c>
      <c r="AE148" s="601">
        <f t="shared" si="119"/>
        <v>131114.72472200703</v>
      </c>
      <c r="AF148" s="462"/>
      <c r="AG148" s="915"/>
      <c r="AH148" s="17"/>
      <c r="AI148" s="799">
        <f>Assumptions!$B$50</f>
        <v>65</v>
      </c>
      <c r="AJ148" s="743"/>
      <c r="AK148" s="924">
        <f>IF(Tables!$E$30="Custom",'Monthly Table'!AI148,IF(Tables!$E$30="New York",INDEX('NY Curve'!$A$4:$G$256,MATCH('Monthly Table'!B148,'NY Curve'!$A$4:$A$256,0),MATCH("Super Peak Curve",'NY Curve'!$A$4:$G$4,0)),IF(Tables!$E$30="New York Flat",INDEX('NY Curve'!$A$4:$G$256,MATCH('Monthly Table'!B148,'NY Curve'!$A$4:$A$256,0),MATCH("Flat NY West",'NY Curve'!$A$4:$G$4,0)),INDEX('Michigan Curve'!$A$4:$F$256,MATCH('Monthly Table'!B148,'Michigan Curve'!$A$4:$A$256,0),MATCH("Michigan Super Peak Curve US$/MWhr",'Michigan Curve'!$A$4:$F$4,0)))))</f>
        <v>83.430212532500335</v>
      </c>
      <c r="AL148" s="965">
        <f>IF(D148&lt;=Tables!$B$21,IF($AL$10=$AI$10,AI148,IF($AL$10=$AJ$10,AJ148,IF($AL$10=$AK$10,AK148,0))),0)</f>
        <v>83.430212532500335</v>
      </c>
      <c r="AM148" s="708">
        <f t="shared" si="120"/>
        <v>108.93300759592763</v>
      </c>
      <c r="AN148" s="916">
        <f t="shared" si="121"/>
        <v>1</v>
      </c>
      <c r="AO148" s="905"/>
      <c r="AP148" s="925"/>
      <c r="AQ148" s="926">
        <f>IF(Tables!$E$30="New York",INDEX('NY Curve'!$A$4:$L$256,MATCH('Monthly Table'!B148,'NY Curve'!$A$4:$A$256,0),MATCH("New York Shoulder Hour Curve Mon-Fri",'NY Curve'!$A$4:$L$4,0)),IF(Tables!$E$30="Michigan",INDEX('Michigan Curve'!$A$4:$K$256,MATCH('Monthly Table'!B148,'Michigan Curve'!$A$4:$A$256,0),MATCH("Michigan Shoulder Hour Curve Mon-Fri",'Michigan Curve'!$A$4:$K$4,0))))</f>
        <v>23.069787467499669</v>
      </c>
      <c r="AR148" s="708">
        <f t="shared" si="122"/>
        <v>30.12171798621047</v>
      </c>
      <c r="AS148" s="927">
        <f t="shared" si="109"/>
        <v>0</v>
      </c>
      <c r="AT148" s="462"/>
      <c r="AU148" s="926">
        <f>IF(Tables!$E$30="New York",INDEX('NY Curve'!$A$4:$L$256,MATCH('Monthly Table'!$B148,'NY Curve'!$A$4:$A$256,0),MATCH("New York Saturday Super Peak",'NY Curve'!$A$4:$L$4,0)),IF(Tables!$E$30="Michigan",INDEX('Michigan Curve'!$A$4:$K$256,MATCH('Monthly Table'!$B148,'Michigan Curve'!$A$4:$A$256,0),MATCH("Michigan Saturday Super Peak",'Michigan Curve'!$A$4:$K$4,0))))</f>
        <v>40.735878419624576</v>
      </c>
      <c r="AV148" s="925">
        <f t="shared" si="110"/>
        <v>53.187947370781572</v>
      </c>
      <c r="AW148" s="927">
        <f t="shared" si="111"/>
        <v>0</v>
      </c>
      <c r="AX148" s="926">
        <f>IF(Tables!$E$30="New York",INDEX('NY Curve'!$A$4:$L$256,MATCH('Monthly Table'!$B148,'NY Curve'!$A$4:$A$256,0),MATCH("New York Saturday Shoulder Peak",'NY Curve'!$A$4:$L$4,0)),IF(Tables!$E$30="Michigan",INDEX('Michigan Curve'!$A$4:$K$256,MATCH('Monthly Table'!$B148,'Michigan Curve'!$A$4:$A$256,0),MATCH("Michigan Saturday Shoulder Peak",'Michigan Curve'!$A$4:$K$4,0))))</f>
        <v>11.264121580375424</v>
      </c>
      <c r="AY148" s="934">
        <f t="shared" si="123"/>
        <v>14.70731770218727</v>
      </c>
      <c r="AZ148" s="927">
        <f t="shared" si="112"/>
        <v>0</v>
      </c>
      <c r="BA148" s="462"/>
      <c r="BB148" s="926">
        <f>IF(Tables!$E$30="New York",INDEX('NY Curve'!$A$4:$M$256,MATCH('Monthly Table'!$B148,'NY Curve'!$A$4:$A$256,0),MATCH("NY Sunday Super Peak",'NY Curve'!$A$4:$M$4,0)),IF(Tables!$E$30="Michigan",INDEX('Michigan Curve'!$A$4:$L$256,MATCH('Monthly Table'!$B148,'Michigan Curve'!$A$4:$A$256,0),MATCH("Michigan Sunday Super Peak",'Michigan Curve'!$A$4:$L$4,0))))</f>
        <v>37.602349310422682</v>
      </c>
      <c r="BC148" s="925">
        <f t="shared" si="124"/>
        <v>49.096566803798368</v>
      </c>
      <c r="BD148" s="927">
        <f t="shared" si="113"/>
        <v>0</v>
      </c>
      <c r="BE148" s="462"/>
      <c r="BF148" s="598">
        <f t="shared" si="104"/>
        <v>41061</v>
      </c>
      <c r="BG148" s="583">
        <f t="shared" si="125"/>
        <v>168</v>
      </c>
      <c r="BH148" s="764">
        <f>IF(Tables!$B$36="Combined Cycle",(BF148-BF147)*24*Assumptions!$B$21,0)</f>
        <v>0</v>
      </c>
      <c r="BI148" s="315">
        <f t="shared" si="126"/>
        <v>168</v>
      </c>
      <c r="BJ148" s="987">
        <f>IF('Monthly Table'!D148&lt;=Tables!$B$21,IF($BJ$10=$BG$10,BG148,IF($BJ$10=$BH$10,BH148,IF($BJ$10=$BI$10,BI148,0))),0)</f>
        <v>168</v>
      </c>
      <c r="BK148" s="43"/>
      <c r="BL148" s="987">
        <f t="shared" si="127"/>
        <v>0</v>
      </c>
      <c r="BM148" s="987">
        <f t="shared" si="128"/>
        <v>0</v>
      </c>
      <c r="BO148" s="987">
        <f t="shared" si="114"/>
        <v>0</v>
      </c>
      <c r="BP148" s="987">
        <f t="shared" si="129"/>
        <v>0</v>
      </c>
      <c r="BR148" s="993">
        <f>IF(BJ148&gt;0,INDEX(OperationalDetail,MATCH("Capacity Degradation",ODColumn,0),MATCH('Monthly Table'!C148,ODRow,0)),0)</f>
        <v>1.7569999999999999E-2</v>
      </c>
      <c r="BS148" s="994">
        <f>BJ148*(1-BR148)*Tables!$C$36</f>
        <v>53475.629759999996</v>
      </c>
      <c r="BT148" s="601">
        <f t="shared" si="115"/>
        <v>4461.4831561860992</v>
      </c>
      <c r="BU148" s="601">
        <f t="shared" si="116"/>
        <v>5825.2611828430927</v>
      </c>
      <c r="BV148" s="462"/>
      <c r="BW148" s="785">
        <f>$BO148*(1-$BR148)*Tables!$C$36</f>
        <v>0</v>
      </c>
      <c r="BX148" s="602">
        <f t="shared" si="130"/>
        <v>0</v>
      </c>
      <c r="BY148" s="601">
        <f t="shared" si="131"/>
        <v>0</v>
      </c>
      <c r="BZ148" s="462"/>
      <c r="CA148" s="785">
        <f>$BL148*(1-$BR148)*Tables!$C$36</f>
        <v>0</v>
      </c>
      <c r="CB148" s="602">
        <f t="shared" si="132"/>
        <v>0</v>
      </c>
      <c r="CC148" s="601">
        <f t="shared" si="133"/>
        <v>0</v>
      </c>
      <c r="CD148" s="785">
        <f>$BP148*(1-$BR148)*Tables!$C$36</f>
        <v>0</v>
      </c>
      <c r="CE148" s="602">
        <f t="shared" si="134"/>
        <v>0</v>
      </c>
      <c r="CF148" s="601">
        <f t="shared" si="135"/>
        <v>0</v>
      </c>
      <c r="CH148" s="785">
        <f>$BM148*(1-$BR148)*Tables!$C$36</f>
        <v>0</v>
      </c>
      <c r="CI148" s="602">
        <f t="shared" si="136"/>
        <v>0</v>
      </c>
      <c r="CJ148" s="601">
        <f t="shared" si="137"/>
        <v>0</v>
      </c>
      <c r="CK148" s="304"/>
      <c r="CL148" s="304">
        <f t="shared" si="138"/>
        <v>2011</v>
      </c>
      <c r="CM148" s="1018">
        <f>INDEX(OperationalDetail,MATCH("Degraded Heat Rate",ODColumn,0),MATCH('Monthly Table'!CL148,ODRow,0))/1000</f>
        <v>12.140476400000001</v>
      </c>
      <c r="CN148" s="737">
        <f t="shared" si="117"/>
        <v>59.514582657349479</v>
      </c>
      <c r="CO148" s="1019">
        <f>IF(A148="January",(CO147*(1+Assumptions!$E$32)),CO147)</f>
        <v>8.3749030759807326</v>
      </c>
      <c r="CP148" s="741">
        <f t="shared" si="105"/>
        <v>67.889485733330218</v>
      </c>
      <c r="CQ148" s="304"/>
      <c r="CR148" s="575">
        <f t="shared" si="139"/>
        <v>2012</v>
      </c>
      <c r="CS148" s="575" t="str">
        <f t="shared" si="140"/>
        <v/>
      </c>
      <c r="CT148" s="575" t="str">
        <f t="shared" si="141"/>
        <v/>
      </c>
      <c r="CU148" s="575" t="str">
        <f t="shared" si="142"/>
        <v/>
      </c>
      <c r="CV148" s="575" t="str">
        <f t="shared" si="143"/>
        <v/>
      </c>
      <c r="CW148" s="576">
        <f t="shared" si="106"/>
        <v>2012</v>
      </c>
      <c r="CX148" s="787">
        <f>INDEX('NY Curve'!$A$4:$G$256,MATCH('Monthly Table'!B148,'NY Curve'!$A$4:$A$256,0),MATCH("New York 5 X 16",'NY Curve'!$A$4:$G$4,0))</f>
        <v>53.25</v>
      </c>
      <c r="CY148" s="632">
        <f t="shared" si="107"/>
        <v>1.30567817448017</v>
      </c>
      <c r="CZ148" s="633">
        <f t="shared" si="108"/>
        <v>69.527362791069052</v>
      </c>
      <c r="DB148" s="857"/>
      <c r="DC148" s="857"/>
    </row>
    <row r="149" spans="1:107" ht="18.75" customHeight="1">
      <c r="A149" s="17" t="s">
        <v>443</v>
      </c>
      <c r="B149" s="508">
        <v>41091</v>
      </c>
      <c r="C149" s="43">
        <f t="shared" si="97"/>
        <v>2012</v>
      </c>
      <c r="D149" s="719">
        <f t="shared" si="144"/>
        <v>12</v>
      </c>
      <c r="E149" s="972">
        <v>21</v>
      </c>
      <c r="F149" s="971">
        <v>4</v>
      </c>
      <c r="G149" s="971">
        <v>5</v>
      </c>
      <c r="H149" s="971">
        <v>1</v>
      </c>
      <c r="I149" s="976">
        <f t="shared" si="118"/>
        <v>31</v>
      </c>
      <c r="J149" s="621"/>
      <c r="K149" s="572">
        <f>INDEX(FX!$A$3:$C$362,MATCH(B149,FX!$A$3:$A$362,0),MATCH("Monthly Curve",FX!$A$2:$C$2,0))</f>
        <v>1.30486934534974</v>
      </c>
      <c r="L149" s="572"/>
      <c r="M149" s="1070">
        <v>3.2324999999999999</v>
      </c>
      <c r="N149" s="1071">
        <v>0.14499999999999999</v>
      </c>
      <c r="O149" s="877">
        <v>0.1</v>
      </c>
      <c r="P149" s="797">
        <f t="shared" si="99"/>
        <v>0.245</v>
      </c>
      <c r="Q149" s="732">
        <f t="shared" si="100"/>
        <v>3.4775</v>
      </c>
      <c r="R149" s="723">
        <f>IF(A149="January",(R148+R148*Assumptions!$E$32),R148)</f>
        <v>0.37341730019688207</v>
      </c>
      <c r="S149" s="730">
        <f t="shared" si="101"/>
        <v>4.9111004486506031</v>
      </c>
      <c r="T149" s="572"/>
      <c r="U149" s="509"/>
      <c r="V149" s="584"/>
      <c r="W149" s="584"/>
      <c r="X149" s="461"/>
      <c r="Y149" s="588">
        <f>Tables!$D$36</f>
        <v>312</v>
      </c>
      <c r="Z149" s="570">
        <f t="shared" si="102"/>
        <v>0</v>
      </c>
      <c r="AA149" s="592">
        <f t="shared" si="103"/>
        <v>0</v>
      </c>
      <c r="AB149" s="589">
        <f t="shared" si="98"/>
        <v>0</v>
      </c>
      <c r="AC149" s="462"/>
      <c r="AD149" s="1027">
        <f>IF(Tables!$E$30="Michigan",INDEX('Michigan Curve'!$A$4:$S$256,MATCH('Monthly Table'!B149,'Michigan Curve'!$A$4:$A$256,0),MATCH("Michigan Selected Option Value US$/month",'Michigan Curve'!$A$4:$S$4,0)),INDEX('NY Curve'!$A$4:$T$256,MATCH('Monthly Table'!B149,'NY Curve'!$A$4:$A$256,0),MATCH("New York Selected Option Value US$/month",'NY Curve'!$A$4:$T$4,0)))</f>
        <v>316294.92717749532</v>
      </c>
      <c r="AE149" s="601">
        <f t="shared" si="119"/>
        <v>412723.55456354201</v>
      </c>
      <c r="AF149" s="462"/>
      <c r="AG149" s="915"/>
      <c r="AH149" s="17"/>
      <c r="AI149" s="799">
        <f>Assumptions!$B$50</f>
        <v>65</v>
      </c>
      <c r="AJ149" s="743"/>
      <c r="AK149" s="924">
        <f>IF(Tables!$E$30="Custom",'Monthly Table'!AI149,IF(Tables!$E$30="New York",INDEX('NY Curve'!$A$4:$G$256,MATCH('Monthly Table'!B149,'NY Curve'!$A$4:$A$256,0),MATCH("Super Peak Curve",'NY Curve'!$A$4:$G$4,0)),IF(Tables!$E$30="New York Flat",INDEX('NY Curve'!$A$4:$G$256,MATCH('Monthly Table'!B149,'NY Curve'!$A$4:$A$256,0),MATCH("Flat NY West",'NY Curve'!$A$4:$G$4,0)),INDEX('Michigan Curve'!$A$4:$F$256,MATCH('Monthly Table'!B149,'Michigan Curve'!$A$4:$A$256,0),MATCH("Michigan Super Peak Curve US$/MWhr",'Michigan Curve'!$A$4:$F$4,0)))))</f>
        <v>154.85108933618574</v>
      </c>
      <c r="AL149" s="965">
        <f>IF(D149&lt;=Tables!$B$21,IF($AL$10=$AI$10,AI149,IF($AL$10=$AJ$10,AJ149,IF($AL$10=$AK$10,AK149,0))),0)</f>
        <v>154.85108933618574</v>
      </c>
      <c r="AM149" s="708">
        <f t="shared" si="120"/>
        <v>202.06043956880279</v>
      </c>
      <c r="AN149" s="916">
        <f t="shared" si="121"/>
        <v>1</v>
      </c>
      <c r="AO149" s="905"/>
      <c r="AP149" s="925"/>
      <c r="AQ149" s="926">
        <f>IF(Tables!$E$30="New York",INDEX('NY Curve'!$A$4:$L$256,MATCH('Monthly Table'!B149,'NY Curve'!$A$4:$A$256,0),MATCH("New York Shoulder Hour Curve Mon-Fri",'NY Curve'!$A$4:$L$4,0)),IF(Tables!$E$30="Michigan",INDEX('Michigan Curve'!$A$4:$K$256,MATCH('Monthly Table'!B149,'Michigan Curve'!$A$4:$A$256,0),MATCH("Michigan Shoulder Hour Curve Mon-Fri",'Michigan Curve'!$A$4:$K$4,0))))</f>
        <v>29.148910663814277</v>
      </c>
      <c r="AR149" s="708">
        <f t="shared" si="122"/>
        <v>38.035519975549391</v>
      </c>
      <c r="AS149" s="927">
        <f t="shared" si="109"/>
        <v>0</v>
      </c>
      <c r="AT149" s="462"/>
      <c r="AU149" s="926">
        <f>IF(Tables!$E$30="New York",INDEX('NY Curve'!$A$4:$L$256,MATCH('Monthly Table'!$B149,'NY Curve'!$A$4:$A$256,0),MATCH("New York Saturday Super Peak",'NY Curve'!$A$4:$L$4,0)),IF(Tables!$E$30="Michigan",INDEX('Michigan Curve'!$A$4:$K$256,MATCH('Monthly Table'!$B149,'Michigan Curve'!$A$4:$A$256,0),MATCH("Michigan Saturday Super Peak",'Michigan Curve'!$A$4:$K$4,0))))</f>
        <v>58.910740508331529</v>
      </c>
      <c r="AV149" s="925">
        <f t="shared" si="110"/>
        <v>76.87081940117497</v>
      </c>
      <c r="AW149" s="927">
        <f t="shared" si="111"/>
        <v>1</v>
      </c>
      <c r="AX149" s="926">
        <f>IF(Tables!$E$30="New York",INDEX('NY Curve'!$A$4:$L$256,MATCH('Monthly Table'!$B149,'NY Curve'!$A$4:$A$256,0),MATCH("New York Saturday Shoulder Peak",'NY Curve'!$A$4:$L$4,0)),IF(Tables!$E$30="Michigan",INDEX('Michigan Curve'!$A$4:$K$256,MATCH('Monthly Table'!$B149,'Michigan Curve'!$A$4:$A$256,0),MATCH("Michigan Saturday Shoulder Peak",'Michigan Curve'!$A$4:$K$4,0))))</f>
        <v>11.089259491668475</v>
      </c>
      <c r="AY149" s="934">
        <f t="shared" si="123"/>
        <v>14.470034773306834</v>
      </c>
      <c r="AZ149" s="927">
        <f t="shared" si="112"/>
        <v>0</v>
      </c>
      <c r="BA149" s="462"/>
      <c r="BB149" s="926">
        <f>IF(Tables!$E$30="New York",INDEX('NY Curve'!$A$4:$M$256,MATCH('Monthly Table'!$B149,'NY Curve'!$A$4:$A$256,0),MATCH("NY Sunday Super Peak",'NY Curve'!$A$4:$M$4,0)),IF(Tables!$E$30="Michigan",INDEX('Michigan Curve'!$A$4:$L$256,MATCH('Monthly Table'!$B149,'Michigan Curve'!$A$4:$A$256,0),MATCH("Michigan Sunday Super Peak",'Michigan Curve'!$A$4:$L$4,0))))</f>
        <v>52.178081239855914</v>
      </c>
      <c r="BC149" s="925">
        <f t="shared" si="124"/>
        <v>68.085578709056335</v>
      </c>
      <c r="BD149" s="927">
        <f t="shared" si="113"/>
        <v>0</v>
      </c>
      <c r="BE149" s="462"/>
      <c r="BF149" s="598">
        <f t="shared" si="104"/>
        <v>41091</v>
      </c>
      <c r="BG149" s="583">
        <f t="shared" si="125"/>
        <v>168</v>
      </c>
      <c r="BH149" s="764">
        <f>IF(Tables!$B$36="Combined Cycle",(BF149-BF148)*24*Assumptions!$B$21,0)</f>
        <v>0</v>
      </c>
      <c r="BI149" s="315">
        <f t="shared" si="126"/>
        <v>168</v>
      </c>
      <c r="BJ149" s="987">
        <f>IF('Monthly Table'!D149&lt;=Tables!$B$21,IF($BJ$10=$BG$10,BG149,IF($BJ$10=$BH$10,BH149,IF($BJ$10=$BI$10,BI149,0))),0)</f>
        <v>168</v>
      </c>
      <c r="BK149" s="43"/>
      <c r="BL149" s="987">
        <f t="shared" si="127"/>
        <v>32</v>
      </c>
      <c r="BM149" s="987">
        <f t="shared" si="128"/>
        <v>0</v>
      </c>
      <c r="BO149" s="987">
        <f t="shared" si="114"/>
        <v>0</v>
      </c>
      <c r="BP149" s="987">
        <f t="shared" si="129"/>
        <v>0</v>
      </c>
      <c r="BR149" s="993">
        <f>IF(BJ149&gt;0,INDEX(OperationalDetail,MATCH("Capacity Degradation",ODColumn,0),MATCH('Monthly Table'!C149,ODRow,0)),0)</f>
        <v>1.7569999999999999E-2</v>
      </c>
      <c r="BS149" s="994">
        <f>BJ149*(1-BR149)*Tables!$C$36</f>
        <v>53475.629759999996</v>
      </c>
      <c r="BT149" s="601">
        <f t="shared" si="115"/>
        <v>8280.7595212745509</v>
      </c>
      <c r="BU149" s="601">
        <f t="shared" si="116"/>
        <v>10805.309255524149</v>
      </c>
      <c r="BV149" s="462"/>
      <c r="BW149" s="785">
        <f>$BO149*(1-$BR149)*Tables!$C$36</f>
        <v>0</v>
      </c>
      <c r="BX149" s="602">
        <f t="shared" si="130"/>
        <v>0</v>
      </c>
      <c r="BY149" s="601">
        <f t="shared" si="131"/>
        <v>0</v>
      </c>
      <c r="BZ149" s="462"/>
      <c r="CA149" s="785">
        <f>$BL149*(1-$BR149)*Tables!$C$36</f>
        <v>10185.83424</v>
      </c>
      <c r="CB149" s="602">
        <f t="shared" si="132"/>
        <v>600.05503777351828</v>
      </c>
      <c r="CC149" s="601">
        <f t="shared" si="133"/>
        <v>782.99342431334424</v>
      </c>
      <c r="CD149" s="785">
        <f>$BP149*(1-$BR149)*Tables!$C$36</f>
        <v>0</v>
      </c>
      <c r="CE149" s="602">
        <f t="shared" si="134"/>
        <v>0</v>
      </c>
      <c r="CF149" s="601">
        <f t="shared" si="135"/>
        <v>0</v>
      </c>
      <c r="CH149" s="785">
        <f>$BM149*(1-$BR149)*Tables!$C$36</f>
        <v>0</v>
      </c>
      <c r="CI149" s="602">
        <f t="shared" si="136"/>
        <v>0</v>
      </c>
      <c r="CJ149" s="601">
        <f t="shared" si="137"/>
        <v>0</v>
      </c>
      <c r="CK149" s="304"/>
      <c r="CL149" s="304">
        <f t="shared" si="138"/>
        <v>2011</v>
      </c>
      <c r="CM149" s="1018">
        <f>INDEX(OperationalDetail,MATCH("Degraded Heat Rate",ODColumn,0),MATCH('Monthly Table'!CL149,ODRow,0))/1000</f>
        <v>12.140476400000001</v>
      </c>
      <c r="CN149" s="737">
        <f t="shared" si="117"/>
        <v>59.62309909487206</v>
      </c>
      <c r="CO149" s="1019">
        <f>IF(A149="January",(CO148*(1+Assumptions!$E$32)),CO148)</f>
        <v>8.3749030759807326</v>
      </c>
      <c r="CP149" s="741">
        <f t="shared" si="105"/>
        <v>67.9980021708528</v>
      </c>
      <c r="CQ149" s="304"/>
      <c r="CR149" s="575">
        <f t="shared" si="139"/>
        <v>2012</v>
      </c>
      <c r="CS149" s="575" t="str">
        <f t="shared" si="140"/>
        <v/>
      </c>
      <c r="CT149" s="575">
        <f t="shared" si="141"/>
        <v>2012</v>
      </c>
      <c r="CU149" s="575" t="str">
        <f t="shared" si="142"/>
        <v/>
      </c>
      <c r="CV149" s="575" t="str">
        <f t="shared" si="143"/>
        <v/>
      </c>
      <c r="CW149" s="576">
        <f t="shared" si="106"/>
        <v>2012</v>
      </c>
      <c r="CX149" s="787">
        <f>INDEX('NY Curve'!$A$4:$G$256,MATCH('Monthly Table'!B149,'NY Curve'!$A$4:$A$256,0),MATCH("New York 5 X 16",'NY Curve'!$A$4:$G$4,0))</f>
        <v>82</v>
      </c>
      <c r="CY149" s="632">
        <f t="shared" si="107"/>
        <v>1.30486934534974</v>
      </c>
      <c r="CZ149" s="633">
        <f t="shared" si="108"/>
        <v>106.99928631867868</v>
      </c>
      <c r="DB149" s="857"/>
      <c r="DC149" s="857"/>
    </row>
    <row r="150" spans="1:107" ht="18.75" customHeight="1">
      <c r="A150" s="17" t="s">
        <v>444</v>
      </c>
      <c r="B150" s="508">
        <v>41122</v>
      </c>
      <c r="C150" s="43">
        <f t="shared" si="97"/>
        <v>2012</v>
      </c>
      <c r="D150" s="719">
        <f t="shared" si="144"/>
        <v>12</v>
      </c>
      <c r="E150" s="972">
        <v>23</v>
      </c>
      <c r="F150" s="971">
        <v>4</v>
      </c>
      <c r="G150" s="971">
        <v>4</v>
      </c>
      <c r="H150" s="971">
        <v>0</v>
      </c>
      <c r="I150" s="976">
        <f t="shared" si="118"/>
        <v>31</v>
      </c>
      <c r="J150" s="621"/>
      <c r="K150" s="572">
        <f>INDEX(FX!$A$3:$C$362,MATCH(B150,FX!$A$3:$A$362,0),MATCH("Monthly Curve",FX!$A$2:$C$2,0))</f>
        <v>1.30403593180042</v>
      </c>
      <c r="L150" s="572"/>
      <c r="M150" s="1070">
        <v>3.2395</v>
      </c>
      <c r="N150" s="1071">
        <v>0.14499999999999999</v>
      </c>
      <c r="O150" s="877">
        <v>0.1</v>
      </c>
      <c r="P150" s="797">
        <f t="shared" si="99"/>
        <v>0.245</v>
      </c>
      <c r="Q150" s="732">
        <f t="shared" si="100"/>
        <v>3.4845000000000002</v>
      </c>
      <c r="R150" s="723">
        <f>IF(A150="January",(R149+R149*Assumptions!$E$32),R149)</f>
        <v>0.37341730019688207</v>
      </c>
      <c r="S150" s="730">
        <f t="shared" si="101"/>
        <v>4.9173305045554461</v>
      </c>
      <c r="T150" s="572"/>
      <c r="U150" s="509"/>
      <c r="V150" s="584"/>
      <c r="W150" s="584"/>
      <c r="X150" s="461"/>
      <c r="Y150" s="588">
        <f>Tables!$D$36</f>
        <v>312</v>
      </c>
      <c r="Z150" s="570">
        <f t="shared" si="102"/>
        <v>0</v>
      </c>
      <c r="AA150" s="592">
        <f t="shared" si="103"/>
        <v>0</v>
      </c>
      <c r="AB150" s="589">
        <f t="shared" si="98"/>
        <v>0</v>
      </c>
      <c r="AC150" s="462"/>
      <c r="AD150" s="1027">
        <f>IF(Tables!$E$30="Michigan",INDEX('Michigan Curve'!$A$4:$S$256,MATCH('Monthly Table'!B150,'Michigan Curve'!$A$4:$A$256,0),MATCH("Michigan Selected Option Value US$/month",'Michigan Curve'!$A$4:$S$4,0)),INDEX('NY Curve'!$A$4:$T$256,MATCH('Monthly Table'!B150,'NY Curve'!$A$4:$A$256,0),MATCH("New York Selected Option Value US$/month",'NY Curve'!$A$4:$T$4,0)))</f>
        <v>278680.72554368433</v>
      </c>
      <c r="AE150" s="601">
        <f t="shared" si="119"/>
        <v>363409.67960917548</v>
      </c>
      <c r="AF150" s="462"/>
      <c r="AG150" s="915"/>
      <c r="AH150" s="17"/>
      <c r="AI150" s="799">
        <f>Assumptions!$B$50</f>
        <v>65</v>
      </c>
      <c r="AJ150" s="743"/>
      <c r="AK150" s="924">
        <f>IF(Tables!$E$30="Custom",'Monthly Table'!AI150,IF(Tables!$E$30="New York",INDEX('NY Curve'!$A$4:$G$256,MATCH('Monthly Table'!B150,'NY Curve'!$A$4:$A$256,0),MATCH("Super Peak Curve",'NY Curve'!$A$4:$G$4,0)),IF(Tables!$E$30="New York Flat",INDEX('NY Curve'!$A$4:$G$256,MATCH('Monthly Table'!B150,'NY Curve'!$A$4:$A$256,0),MATCH("Flat NY West",'NY Curve'!$A$4:$G$4,0)),INDEX('Michigan Curve'!$A$4:$F$256,MATCH('Monthly Table'!B150,'Michigan Curve'!$A$4:$A$256,0),MATCH("Michigan Super Peak Curve US$/MWhr",'Michigan Curve'!$A$4:$F$4,0)))))</f>
        <v>154.85108933618574</v>
      </c>
      <c r="AL150" s="965">
        <f>IF(D150&lt;=Tables!$B$21,IF($AL$10=$AI$10,AI150,IF($AL$10=$AJ$10,AJ150,IF($AL$10=$AK$10,AK150,0))),0)</f>
        <v>154.85108933618574</v>
      </c>
      <c r="AM150" s="708">
        <f t="shared" si="120"/>
        <v>201.93138457282305</v>
      </c>
      <c r="AN150" s="916">
        <f t="shared" si="121"/>
        <v>1</v>
      </c>
      <c r="AO150" s="905"/>
      <c r="AP150" s="925"/>
      <c r="AQ150" s="926">
        <f>IF(Tables!$E$30="New York",INDEX('NY Curve'!$A$4:$L$256,MATCH('Monthly Table'!B150,'NY Curve'!$A$4:$A$256,0),MATCH("New York Shoulder Hour Curve Mon-Fri",'NY Curve'!$A$4:$L$4,0)),IF(Tables!$E$30="Michigan",INDEX('Michigan Curve'!$A$4:$K$256,MATCH('Monthly Table'!B150,'Michigan Curve'!$A$4:$A$256,0),MATCH("Michigan Shoulder Hour Curve Mon-Fri",'Michigan Curve'!$A$4:$K$4,0))))</f>
        <v>29.148910663814277</v>
      </c>
      <c r="AR150" s="708">
        <f t="shared" si="122"/>
        <v>38.011226878454252</v>
      </c>
      <c r="AS150" s="927">
        <f t="shared" si="109"/>
        <v>0</v>
      </c>
      <c r="AT150" s="462"/>
      <c r="AU150" s="926">
        <f>IF(Tables!$E$30="New York",INDEX('NY Curve'!$A$4:$L$256,MATCH('Monthly Table'!$B150,'NY Curve'!$A$4:$A$256,0),MATCH("New York Saturday Super Peak",'NY Curve'!$A$4:$L$4,0)),IF(Tables!$E$30="Michigan",INDEX('Michigan Curve'!$A$4:$K$256,MATCH('Monthly Table'!$B150,'Michigan Curve'!$A$4:$A$256,0),MATCH("Michigan Saturday Super Peak",'Michigan Curve'!$A$4:$K$4,0))))</f>
        <v>58.910746929092689</v>
      </c>
      <c r="AV150" s="925">
        <f t="shared" si="110"/>
        <v>76.82173076473812</v>
      </c>
      <c r="AW150" s="927">
        <f t="shared" si="111"/>
        <v>1</v>
      </c>
      <c r="AX150" s="926">
        <f>IF(Tables!$E$30="New York",INDEX('NY Curve'!$A$4:$L$256,MATCH('Monthly Table'!$B150,'NY Curve'!$A$4:$A$256,0),MATCH("New York Saturday Shoulder Peak",'NY Curve'!$A$4:$L$4,0)),IF(Tables!$E$30="Michigan",INDEX('Michigan Curve'!$A$4:$K$256,MATCH('Monthly Table'!$B150,'Michigan Curve'!$A$4:$A$256,0),MATCH("Michigan Saturday Shoulder Peak",'Michigan Curve'!$A$4:$K$4,0))))</f>
        <v>11.089260700301843</v>
      </c>
      <c r="AY150" s="934">
        <f t="shared" si="123"/>
        <v>14.460794410295891</v>
      </c>
      <c r="AZ150" s="927">
        <f t="shared" si="112"/>
        <v>0</v>
      </c>
      <c r="BA150" s="462"/>
      <c r="BB150" s="926">
        <f>IF(Tables!$E$30="New York",INDEX('NY Curve'!$A$4:$M$256,MATCH('Monthly Table'!$B150,'NY Curve'!$A$4:$A$256,0),MATCH("NY Sunday Super Peak",'NY Curve'!$A$4:$M$4,0)),IF(Tables!$E$30="Michigan",INDEX('Michigan Curve'!$A$4:$L$256,MATCH('Monthly Table'!$B150,'Michigan Curve'!$A$4:$A$256,0),MATCH("Michigan Sunday Super Peak",'Michigan Curve'!$A$4:$L$4,0))))</f>
        <v>52.178084450236497</v>
      </c>
      <c r="BC150" s="925">
        <f t="shared" si="124"/>
        <v>68.042096975625157</v>
      </c>
      <c r="BD150" s="927">
        <f t="shared" si="113"/>
        <v>0</v>
      </c>
      <c r="BE150" s="462"/>
      <c r="BF150" s="598">
        <f t="shared" si="104"/>
        <v>41122</v>
      </c>
      <c r="BG150" s="583">
        <f t="shared" si="125"/>
        <v>184</v>
      </c>
      <c r="BH150" s="764">
        <f>IF(Tables!$B$36="Combined Cycle",(BF150-BF149)*24*Assumptions!$B$21,0)</f>
        <v>0</v>
      </c>
      <c r="BI150" s="315">
        <f t="shared" si="126"/>
        <v>184</v>
      </c>
      <c r="BJ150" s="987">
        <f>IF('Monthly Table'!D150&lt;=Tables!$B$21,IF($BJ$10=$BG$10,BG150,IF($BJ$10=$BH$10,BH150,IF($BJ$10=$BI$10,BI150,0))),0)</f>
        <v>184</v>
      </c>
      <c r="BK150" s="43"/>
      <c r="BL150" s="987">
        <f t="shared" si="127"/>
        <v>32</v>
      </c>
      <c r="BM150" s="987">
        <f t="shared" si="128"/>
        <v>0</v>
      </c>
      <c r="BO150" s="987">
        <f t="shared" si="114"/>
        <v>0</v>
      </c>
      <c r="BP150" s="987">
        <f t="shared" si="129"/>
        <v>0</v>
      </c>
      <c r="BR150" s="993">
        <f>IF(BJ150&gt;0,INDEX(OperationalDetail,MATCH("Capacity Degradation",ODColumn,0),MATCH('Monthly Table'!C150,ODRow,0)),0)</f>
        <v>1.7569999999999999E-2</v>
      </c>
      <c r="BS150" s="994">
        <f>BJ150*(1-BR150)*Tables!$C$36</f>
        <v>58568.546880000002</v>
      </c>
      <c r="BT150" s="601">
        <f t="shared" si="115"/>
        <v>9069.4032852054625</v>
      </c>
      <c r="BU150" s="601">
        <f t="shared" si="116"/>
        <v>11826.827763896696</v>
      </c>
      <c r="BV150" s="462"/>
      <c r="BW150" s="785">
        <f>$BO150*(1-$BR150)*Tables!$C$36</f>
        <v>0</v>
      </c>
      <c r="BX150" s="602">
        <f t="shared" si="130"/>
        <v>0</v>
      </c>
      <c r="BY150" s="601">
        <f t="shared" si="131"/>
        <v>0</v>
      </c>
      <c r="BZ150" s="462"/>
      <c r="CA150" s="785">
        <f>$BL150*(1-$BR150)*Tables!$C$36</f>
        <v>10185.83424</v>
      </c>
      <c r="CB150" s="602">
        <f t="shared" si="132"/>
        <v>600.0551031743272</v>
      </c>
      <c r="CC150" s="601">
        <f t="shared" si="133"/>
        <v>782.49341559953098</v>
      </c>
      <c r="CD150" s="785">
        <f>$BP150*(1-$BR150)*Tables!$C$36</f>
        <v>0</v>
      </c>
      <c r="CE150" s="602">
        <f t="shared" si="134"/>
        <v>0</v>
      </c>
      <c r="CF150" s="601">
        <f t="shared" si="135"/>
        <v>0</v>
      </c>
      <c r="CH150" s="785">
        <f>$BM150*(1-$BR150)*Tables!$C$36</f>
        <v>0</v>
      </c>
      <c r="CI150" s="602">
        <f t="shared" si="136"/>
        <v>0</v>
      </c>
      <c r="CJ150" s="601">
        <f t="shared" si="137"/>
        <v>0</v>
      </c>
      <c r="CK150" s="304"/>
      <c r="CL150" s="304">
        <f t="shared" si="138"/>
        <v>2011</v>
      </c>
      <c r="CM150" s="1018">
        <f>INDEX(OperationalDetail,MATCH("Degraded Heat Rate",ODColumn,0),MATCH('Monthly Table'!CL150,ODRow,0))/1000</f>
        <v>12.140476400000001</v>
      </c>
      <c r="CN150" s="737">
        <f t="shared" si="117"/>
        <v>59.698734941555486</v>
      </c>
      <c r="CO150" s="1019">
        <f>IF(A150="January",(CO149*(1+Assumptions!$E$32)),CO149)</f>
        <v>8.3749030759807326</v>
      </c>
      <c r="CP150" s="741">
        <f t="shared" si="105"/>
        <v>68.073638017536211</v>
      </c>
      <c r="CQ150" s="304"/>
      <c r="CR150" s="575">
        <f t="shared" si="139"/>
        <v>2012</v>
      </c>
      <c r="CS150" s="575" t="str">
        <f t="shared" si="140"/>
        <v/>
      </c>
      <c r="CT150" s="575">
        <f t="shared" si="141"/>
        <v>2012</v>
      </c>
      <c r="CU150" s="575" t="str">
        <f t="shared" si="142"/>
        <v/>
      </c>
      <c r="CV150" s="575" t="str">
        <f t="shared" si="143"/>
        <v/>
      </c>
      <c r="CW150" s="576">
        <f t="shared" si="106"/>
        <v>2012</v>
      </c>
      <c r="CX150" s="787">
        <f>INDEX('NY Curve'!$A$4:$G$256,MATCH('Monthly Table'!B150,'NY Curve'!$A$4:$A$256,0),MATCH("New York 5 X 16",'NY Curve'!$A$4:$G$4,0))</f>
        <v>74.5</v>
      </c>
      <c r="CY150" s="632">
        <f t="shared" si="107"/>
        <v>1.30403593180042</v>
      </c>
      <c r="CZ150" s="633">
        <f t="shared" si="108"/>
        <v>97.150676919131286</v>
      </c>
      <c r="DB150" s="857"/>
      <c r="DC150" s="857"/>
    </row>
    <row r="151" spans="1:107" ht="18.75" customHeight="1">
      <c r="A151" s="17" t="s">
        <v>445</v>
      </c>
      <c r="B151" s="508">
        <v>41153</v>
      </c>
      <c r="C151" s="43">
        <f t="shared" si="97"/>
        <v>2012</v>
      </c>
      <c r="D151" s="719">
        <f t="shared" si="144"/>
        <v>12</v>
      </c>
      <c r="E151" s="972">
        <v>19</v>
      </c>
      <c r="F151" s="971">
        <v>5</v>
      </c>
      <c r="G151" s="971">
        <v>5</v>
      </c>
      <c r="H151" s="971">
        <v>1</v>
      </c>
      <c r="I151" s="976">
        <f t="shared" si="118"/>
        <v>30</v>
      </c>
      <c r="J151" s="621"/>
      <c r="K151" s="572">
        <f>INDEX(FX!$A$3:$C$362,MATCH(B151,FX!$A$3:$A$362,0),MATCH("Monthly Curve",FX!$A$2:$C$2,0))</f>
        <v>1.30320492984935</v>
      </c>
      <c r="L151" s="572"/>
      <c r="M151" s="1070">
        <v>3.2465000000000006</v>
      </c>
      <c r="N151" s="1071">
        <v>0.14499999999999999</v>
      </c>
      <c r="O151" s="877">
        <v>0.1</v>
      </c>
      <c r="P151" s="797">
        <f t="shared" si="99"/>
        <v>0.245</v>
      </c>
      <c r="Q151" s="732">
        <f t="shared" si="100"/>
        <v>3.4915000000000007</v>
      </c>
      <c r="R151" s="723">
        <f>IF(A151="January",(R150+R150*Assumptions!$E$32),R150)</f>
        <v>0.37341730019688207</v>
      </c>
      <c r="S151" s="730">
        <f t="shared" si="101"/>
        <v>4.9235573127658885</v>
      </c>
      <c r="T151" s="572"/>
      <c r="U151" s="509"/>
      <c r="V151" s="584"/>
      <c r="W151" s="584"/>
      <c r="X151" s="461"/>
      <c r="Y151" s="588">
        <f>Tables!$D$36</f>
        <v>312</v>
      </c>
      <c r="Z151" s="570">
        <f t="shared" si="102"/>
        <v>0</v>
      </c>
      <c r="AA151" s="592">
        <f t="shared" si="103"/>
        <v>0</v>
      </c>
      <c r="AB151" s="589">
        <f t="shared" si="98"/>
        <v>0</v>
      </c>
      <c r="AC151" s="462"/>
      <c r="AD151" s="1027">
        <f>IF(Tables!$E$30="Michigan",INDEX('Michigan Curve'!$A$4:$S$256,MATCH('Monthly Table'!B151,'Michigan Curve'!$A$4:$A$256,0),MATCH("Michigan Selected Option Value US$/month",'Michigan Curve'!$A$4:$S$4,0)),INDEX('NY Curve'!$A$4:$T$256,MATCH('Monthly Table'!B151,'NY Curve'!$A$4:$A$256,0),MATCH("New York Selected Option Value US$/month",'NY Curve'!$A$4:$T$4,0)))</f>
        <v>146168.3946863935</v>
      </c>
      <c r="AE151" s="601">
        <f t="shared" si="119"/>
        <v>190487.37254347355</v>
      </c>
      <c r="AF151" s="462"/>
      <c r="AG151" s="915"/>
      <c r="AH151" s="17"/>
      <c r="AI151" s="799">
        <f>Assumptions!$B$50</f>
        <v>65</v>
      </c>
      <c r="AJ151" s="743"/>
      <c r="AK151" s="924">
        <f>IF(Tables!$E$30="Custom",'Monthly Table'!AI151,IF(Tables!$E$30="New York",INDEX('NY Curve'!$A$4:$G$256,MATCH('Monthly Table'!B151,'NY Curve'!$A$4:$A$256,0),MATCH("Super Peak Curve",'NY Curve'!$A$4:$G$4,0)),IF(Tables!$E$30="New York Flat",INDEX('NY Curve'!$A$4:$G$256,MATCH('Monthly Table'!B151,'NY Curve'!$A$4:$A$256,0),MATCH("Flat NY West",'NY Curve'!$A$4:$G$4,0)),INDEX('Michigan Curve'!$A$4:$F$256,MATCH('Monthly Table'!B151,'Michigan Curve'!$A$4:$A$256,0),MATCH("Michigan Super Peak Curve US$/MWhr",'Michigan Curve'!$A$4:$F$4,0)))))</f>
        <v>48.307187244296074</v>
      </c>
      <c r="AL151" s="965">
        <f>IF(D151&lt;=Tables!$B$21,IF($AL$10=$AI$10,AI151,IF($AL$10=$AJ$10,AJ151,IF($AL$10=$AK$10,AK151,0))),0)</f>
        <v>48.307187244296074</v>
      </c>
      <c r="AM151" s="708">
        <f t="shared" si="120"/>
        <v>62.954164563922276</v>
      </c>
      <c r="AN151" s="916">
        <f t="shared" si="121"/>
        <v>0</v>
      </c>
      <c r="AO151" s="905"/>
      <c r="AP151" s="925"/>
      <c r="AQ151" s="926">
        <f>IF(Tables!$E$30="New York",INDEX('NY Curve'!$A$4:$L$256,MATCH('Monthly Table'!B151,'NY Curve'!$A$4:$A$256,0),MATCH("New York Shoulder Hour Curve Mon-Fri",'NY Curve'!$A$4:$L$4,0)),IF(Tables!$E$30="Michigan",INDEX('Michigan Curve'!$A$4:$K$256,MATCH('Monthly Table'!B151,'Michigan Curve'!$A$4:$A$256,0),MATCH("Michigan Shoulder Hour Curve Mon-Fri",'Michigan Curve'!$A$4:$K$4,0))))</f>
        <v>23.192812755703926</v>
      </c>
      <c r="AR151" s="708">
        <f t="shared" si="122"/>
        <v>30.224987920306244</v>
      </c>
      <c r="AS151" s="927">
        <f t="shared" si="109"/>
        <v>0</v>
      </c>
      <c r="AT151" s="462"/>
      <c r="AU151" s="926">
        <f>IF(Tables!$E$30="New York",INDEX('NY Curve'!$A$4:$L$256,MATCH('Monthly Table'!$B151,'NY Curve'!$A$4:$A$256,0),MATCH("New York Saturday Super Peak",'NY Curve'!$A$4:$L$4,0)),IF(Tables!$E$30="Michigan",INDEX('Michigan Curve'!$A$4:$K$256,MATCH('Monthly Table'!$B151,'Michigan Curve'!$A$4:$A$256,0),MATCH("Michigan Saturday Super Peak",'Michigan Curve'!$A$4:$K$4,0))))</f>
        <v>33.781249821186066</v>
      </c>
      <c r="AV151" s="925">
        <f t="shared" si="110"/>
        <v>44.023891303442156</v>
      </c>
      <c r="AW151" s="927">
        <f t="shared" si="111"/>
        <v>0</v>
      </c>
      <c r="AX151" s="926">
        <f>IF(Tables!$E$30="New York",INDEX('NY Curve'!$A$4:$L$256,MATCH('Monthly Table'!$B151,'NY Curve'!$A$4:$A$256,0),MATCH("New York Saturday Shoulder Peak",'NY Curve'!$A$4:$L$4,0)),IF(Tables!$E$30="Michigan",INDEX('Michigan Curve'!$A$4:$K$256,MATCH('Monthly Table'!$B151,'Michigan Curve'!$A$4:$A$256,0),MATCH("Michigan Saturday Shoulder Peak",'Michigan Curve'!$A$4:$K$4,0))))</f>
        <v>16.218750178813934</v>
      </c>
      <c r="AY151" s="934">
        <f t="shared" si="123"/>
        <v>21.136355189025345</v>
      </c>
      <c r="AZ151" s="927">
        <f t="shared" si="112"/>
        <v>0</v>
      </c>
      <c r="BA151" s="462"/>
      <c r="BB151" s="926">
        <f>IF(Tables!$E$30="New York",INDEX('NY Curve'!$A$4:$M$256,MATCH('Monthly Table'!$B151,'NY Curve'!$A$4:$A$256,0),MATCH("NY Sunday Super Peak",'NY Curve'!$A$4:$M$4,0)),IF(Tables!$E$30="Michigan",INDEX('Michigan Curve'!$A$4:$L$256,MATCH('Monthly Table'!$B151,'Michigan Curve'!$A$4:$A$256,0),MATCH("Michigan Sunday Super Peak",'Michigan Curve'!$A$4:$L$4,0))))</f>
        <v>32.429999828338623</v>
      </c>
      <c r="BC151" s="925">
        <f t="shared" si="124"/>
        <v>42.262935651304467</v>
      </c>
      <c r="BD151" s="927">
        <f t="shared" si="113"/>
        <v>0</v>
      </c>
      <c r="BE151" s="462"/>
      <c r="BF151" s="598">
        <f t="shared" si="104"/>
        <v>41153</v>
      </c>
      <c r="BG151" s="583">
        <f t="shared" si="125"/>
        <v>0</v>
      </c>
      <c r="BH151" s="764">
        <f>IF(Tables!$B$36="Combined Cycle",(BF151-BF150)*24*Assumptions!$B$21,0)</f>
        <v>0</v>
      </c>
      <c r="BI151" s="315">
        <f t="shared" si="126"/>
        <v>0</v>
      </c>
      <c r="BJ151" s="987">
        <f>IF('Monthly Table'!D151&lt;=Tables!$B$21,IF($BJ$10=$BG$10,BG151,IF($BJ$10=$BH$10,BH151,IF($BJ$10=$BI$10,BI151,0))),0)</f>
        <v>0</v>
      </c>
      <c r="BK151" s="43"/>
      <c r="BL151" s="987">
        <f t="shared" si="127"/>
        <v>0</v>
      </c>
      <c r="BM151" s="987">
        <f t="shared" si="128"/>
        <v>0</v>
      </c>
      <c r="BO151" s="987">
        <f t="shared" si="114"/>
        <v>0</v>
      </c>
      <c r="BP151" s="987">
        <f t="shared" si="129"/>
        <v>0</v>
      </c>
      <c r="BR151" s="993">
        <f>IF(BJ151&gt;0,INDEX(OperationalDetail,MATCH("Capacity Degradation",ODColumn,0),MATCH('Monthly Table'!C151,ODRow,0)),0)</f>
        <v>0</v>
      </c>
      <c r="BS151" s="994">
        <f>BJ151*(1-BR151)*Tables!$C$36</f>
        <v>0</v>
      </c>
      <c r="BT151" s="601">
        <f t="shared" si="115"/>
        <v>0</v>
      </c>
      <c r="BU151" s="601">
        <f t="shared" si="116"/>
        <v>0</v>
      </c>
      <c r="BV151" s="462"/>
      <c r="BW151" s="785">
        <f>$BO151*(1-$BR151)*Tables!$C$36</f>
        <v>0</v>
      </c>
      <c r="BX151" s="602">
        <f t="shared" si="130"/>
        <v>0</v>
      </c>
      <c r="BY151" s="601">
        <f t="shared" si="131"/>
        <v>0</v>
      </c>
      <c r="BZ151" s="462"/>
      <c r="CA151" s="785">
        <f>$BL151*(1-$BR151)*Tables!$C$36</f>
        <v>0</v>
      </c>
      <c r="CB151" s="602">
        <f t="shared" si="132"/>
        <v>0</v>
      </c>
      <c r="CC151" s="601">
        <f t="shared" si="133"/>
        <v>0</v>
      </c>
      <c r="CD151" s="785">
        <f>$BP151*(1-$BR151)*Tables!$C$36</f>
        <v>0</v>
      </c>
      <c r="CE151" s="602">
        <f t="shared" si="134"/>
        <v>0</v>
      </c>
      <c r="CF151" s="601">
        <f t="shared" si="135"/>
        <v>0</v>
      </c>
      <c r="CH151" s="785">
        <f>$BM151*(1-$BR151)*Tables!$C$36</f>
        <v>0</v>
      </c>
      <c r="CI151" s="602">
        <f t="shared" si="136"/>
        <v>0</v>
      </c>
      <c r="CJ151" s="601">
        <f t="shared" si="137"/>
        <v>0</v>
      </c>
      <c r="CK151" s="304"/>
      <c r="CL151" s="304">
        <f t="shared" si="138"/>
        <v>2011</v>
      </c>
      <c r="CM151" s="1018">
        <f>INDEX(OperationalDetail,MATCH("Degraded Heat Rate",ODColumn,0),MATCH('Monthly Table'!CL151,ODRow,0))/1000</f>
        <v>12.140476400000001</v>
      </c>
      <c r="CN151" s="737">
        <f t="shared" si="117"/>
        <v>59.774331359681689</v>
      </c>
      <c r="CO151" s="1019">
        <f>IF(A151="January",(CO150*(1+Assumptions!$E$32)),CO150)</f>
        <v>8.3749030759807326</v>
      </c>
      <c r="CP151" s="741">
        <f t="shared" si="105"/>
        <v>68.149234435662422</v>
      </c>
      <c r="CQ151" s="304"/>
      <c r="CR151" s="575" t="str">
        <f t="shared" si="139"/>
        <v/>
      </c>
      <c r="CS151" s="575" t="str">
        <f t="shared" si="140"/>
        <v/>
      </c>
      <c r="CT151" s="575" t="str">
        <f t="shared" si="141"/>
        <v/>
      </c>
      <c r="CU151" s="575" t="str">
        <f t="shared" si="142"/>
        <v/>
      </c>
      <c r="CV151" s="575" t="str">
        <f t="shared" si="143"/>
        <v/>
      </c>
      <c r="CW151" s="576">
        <f t="shared" si="106"/>
        <v>2012</v>
      </c>
      <c r="CX151" s="787">
        <f>INDEX('NY Curve'!$A$4:$G$256,MATCH('Monthly Table'!B151,'NY Curve'!$A$4:$A$256,0),MATCH("New York 5 X 16",'NY Curve'!$A$4:$G$4,0))</f>
        <v>31.05</v>
      </c>
      <c r="CY151" s="632">
        <f t="shared" si="107"/>
        <v>1.30320492984935</v>
      </c>
      <c r="CZ151" s="633">
        <f t="shared" si="108"/>
        <v>40.464513071822317</v>
      </c>
      <c r="DB151" s="857"/>
      <c r="DC151" s="857"/>
    </row>
    <row r="152" spans="1:107" ht="18.75" customHeight="1">
      <c r="A152" s="17" t="s">
        <v>446</v>
      </c>
      <c r="B152" s="508">
        <v>41183</v>
      </c>
      <c r="C152" s="43">
        <f t="shared" si="97"/>
        <v>2012</v>
      </c>
      <c r="D152" s="719">
        <f t="shared" si="144"/>
        <v>12</v>
      </c>
      <c r="E152" s="972">
        <v>23</v>
      </c>
      <c r="F152" s="971">
        <v>4</v>
      </c>
      <c r="G152" s="971">
        <v>4</v>
      </c>
      <c r="H152" s="971">
        <v>0</v>
      </c>
      <c r="I152" s="976">
        <f t="shared" si="118"/>
        <v>31</v>
      </c>
      <c r="J152" s="621"/>
      <c r="K152" s="572">
        <f>INDEX(FX!$A$3:$C$362,MATCH(B152,FX!$A$3:$A$362,0),MATCH("Monthly Curve",FX!$A$2:$C$2,0))</f>
        <v>1.3024030268611599</v>
      </c>
      <c r="L152" s="572"/>
      <c r="M152" s="1070">
        <v>3.2735000000000003</v>
      </c>
      <c r="N152" s="1071">
        <v>0.14499999999999999</v>
      </c>
      <c r="O152" s="877">
        <v>0.1</v>
      </c>
      <c r="P152" s="797">
        <f t="shared" si="99"/>
        <v>0.245</v>
      </c>
      <c r="Q152" s="732">
        <f t="shared" si="100"/>
        <v>3.5185000000000004</v>
      </c>
      <c r="R152" s="723">
        <f>IF(A152="January",(R151+R151*Assumptions!$E$32),R151)</f>
        <v>0.37341730019688207</v>
      </c>
      <c r="S152" s="730">
        <f t="shared" si="101"/>
        <v>4.9559223502078744</v>
      </c>
      <c r="T152" s="572"/>
      <c r="U152" s="509"/>
      <c r="V152" s="584"/>
      <c r="W152" s="584"/>
      <c r="X152" s="461"/>
      <c r="Y152" s="588">
        <f>Tables!$D$36</f>
        <v>312</v>
      </c>
      <c r="Z152" s="570">
        <f t="shared" si="102"/>
        <v>0</v>
      </c>
      <c r="AA152" s="592">
        <f t="shared" si="103"/>
        <v>0</v>
      </c>
      <c r="AB152" s="589">
        <f t="shared" si="98"/>
        <v>0</v>
      </c>
      <c r="AC152" s="462"/>
      <c r="AD152" s="1027">
        <f>IF(Tables!$E$30="Michigan",INDEX('Michigan Curve'!$A$4:$S$256,MATCH('Monthly Table'!B152,'Michigan Curve'!$A$4:$A$256,0),MATCH("Michigan Selected Option Value US$/month",'Michigan Curve'!$A$4:$S$4,0)),INDEX('NY Curve'!$A$4:$T$256,MATCH('Monthly Table'!B152,'NY Curve'!$A$4:$A$256,0),MATCH("New York Selected Option Value US$/month",'NY Curve'!$A$4:$T$4,0)))</f>
        <v>2627.4849232978804</v>
      </c>
      <c r="AE152" s="601">
        <f t="shared" si="119"/>
        <v>3422.0443171352222</v>
      </c>
      <c r="AF152" s="462"/>
      <c r="AG152" s="915"/>
      <c r="AH152" s="17"/>
      <c r="AI152" s="799">
        <f>Assumptions!$B$50</f>
        <v>65</v>
      </c>
      <c r="AJ152" s="743"/>
      <c r="AK152" s="924">
        <f>IF(Tables!$E$30="Custom",'Monthly Table'!AI152,IF(Tables!$E$30="New York",INDEX('NY Curve'!$A$4:$G$256,MATCH('Monthly Table'!B152,'NY Curve'!$A$4:$A$256,0),MATCH("Super Peak Curve",'NY Curve'!$A$4:$G$4,0)),IF(Tables!$E$30="New York Flat",INDEX('NY Curve'!$A$4:$G$256,MATCH('Monthly Table'!B152,'NY Curve'!$A$4:$A$256,0),MATCH("Flat NY West",'NY Curve'!$A$4:$G$4,0)),INDEX('Michigan Curve'!$A$4:$F$256,MATCH('Monthly Table'!B152,'Michigan Curve'!$A$4:$A$256,0),MATCH("Michigan Super Peak Curve US$/MWhr",'Michigan Curve'!$A$4:$F$4,0)))))</f>
        <v>28.849994659423828</v>
      </c>
      <c r="AL152" s="965">
        <f>IF(D152&lt;=Tables!$B$21,IF($AL$10=$AI$10,AI152,IF($AL$10=$AJ$10,AJ152,IF($AL$10=$AK$10,AK152,0))),0)</f>
        <v>28.849994659423828</v>
      </c>
      <c r="AM152" s="708">
        <f t="shared" si="120"/>
        <v>37.574320369361892</v>
      </c>
      <c r="AN152" s="916">
        <f t="shared" si="121"/>
        <v>0</v>
      </c>
      <c r="AO152" s="905"/>
      <c r="AP152" s="925"/>
      <c r="AQ152" s="926">
        <f>IF(Tables!$E$30="New York",INDEX('NY Curve'!$A$4:$L$256,MATCH('Monthly Table'!B152,'NY Curve'!$A$4:$A$256,0),MATCH("New York Shoulder Hour Curve Mon-Fri",'NY Curve'!$A$4:$L$4,0)),IF(Tables!$E$30="Michigan",INDEX('Michigan Curve'!$A$4:$K$256,MATCH('Monthly Table'!B152,'Michigan Curve'!$A$4:$A$256,0),MATCH("Michigan Shoulder Hour Curve Mon-Fri",'Michigan Curve'!$A$4:$K$4,0))))</f>
        <v>28.849994659423828</v>
      </c>
      <c r="AR152" s="708">
        <f t="shared" si="122"/>
        <v>37.574320369361892</v>
      </c>
      <c r="AS152" s="927">
        <f t="shared" si="109"/>
        <v>0</v>
      </c>
      <c r="AT152" s="462"/>
      <c r="AU152" s="926">
        <f>IF(Tables!$E$30="New York",INDEX('NY Curve'!$A$4:$L$256,MATCH('Monthly Table'!$B152,'NY Curve'!$A$4:$A$256,0),MATCH("New York Saturday Super Peak",'NY Curve'!$A$4:$L$4,0)),IF(Tables!$E$30="Michigan",INDEX('Michigan Curve'!$A$4:$K$256,MATCH('Monthly Table'!$B152,'Michigan Curve'!$A$4:$A$256,0),MATCH("Michigan Saturday Super Peak",'Michigan Curve'!$A$4:$K$4,0))))</f>
        <v>19.996000289916992</v>
      </c>
      <c r="AV152" s="925">
        <f t="shared" si="110"/>
        <v>26.042851302704523</v>
      </c>
      <c r="AW152" s="927">
        <f t="shared" si="111"/>
        <v>0</v>
      </c>
      <c r="AX152" s="926">
        <f>IF(Tables!$E$30="New York",INDEX('NY Curve'!$A$4:$L$256,MATCH('Monthly Table'!$B152,'NY Curve'!$A$4:$A$256,0),MATCH("New York Saturday Shoulder Peak",'NY Curve'!$A$4:$L$4,0)),IF(Tables!$E$30="Michigan",INDEX('Michigan Curve'!$A$4:$K$256,MATCH('Monthly Table'!$B152,'Michigan Curve'!$A$4:$A$256,0),MATCH("Michigan Saturday Shoulder Peak",'Michigan Curve'!$A$4:$K$4,0))))</f>
        <v>19.996000289916992</v>
      </c>
      <c r="AY152" s="934">
        <f t="shared" si="123"/>
        <v>26.042851302704523</v>
      </c>
      <c r="AZ152" s="927">
        <f t="shared" si="112"/>
        <v>0</v>
      </c>
      <c r="BA152" s="462"/>
      <c r="BB152" s="926">
        <f>IF(Tables!$E$30="New York",INDEX('NY Curve'!$A$4:$M$256,MATCH('Monthly Table'!$B152,'NY Curve'!$A$4:$A$256,0),MATCH("NY Sunday Super Peak",'NY Curve'!$A$4:$M$4,0)),IF(Tables!$E$30="Michigan",INDEX('Michigan Curve'!$A$4:$L$256,MATCH('Monthly Table'!$B152,'Michigan Curve'!$A$4:$A$256,0),MATCH("Michigan Sunday Super Peak",'Michigan Curve'!$A$4:$L$4,0))))</f>
        <v>18.996500015258789</v>
      </c>
      <c r="BC152" s="925">
        <f t="shared" si="124"/>
        <v>24.741099119641117</v>
      </c>
      <c r="BD152" s="927">
        <f t="shared" si="113"/>
        <v>0</v>
      </c>
      <c r="BE152" s="462"/>
      <c r="BF152" s="598">
        <f t="shared" si="104"/>
        <v>41183</v>
      </c>
      <c r="BG152" s="583">
        <f t="shared" si="125"/>
        <v>0</v>
      </c>
      <c r="BH152" s="764">
        <f>IF(Tables!$B$36="Combined Cycle",(BF152-BF151)*24*Assumptions!$B$21,0)</f>
        <v>0</v>
      </c>
      <c r="BI152" s="315">
        <f t="shared" si="126"/>
        <v>0</v>
      </c>
      <c r="BJ152" s="987">
        <f>IF('Monthly Table'!D152&lt;=Tables!$B$21,IF($BJ$10=$BG$10,BG152,IF($BJ$10=$BH$10,BH152,IF($BJ$10=$BI$10,BI152,0))),0)</f>
        <v>0</v>
      </c>
      <c r="BK152" s="43"/>
      <c r="BL152" s="987">
        <f t="shared" si="127"/>
        <v>0</v>
      </c>
      <c r="BM152" s="987">
        <f t="shared" si="128"/>
        <v>0</v>
      </c>
      <c r="BO152" s="987">
        <f t="shared" si="114"/>
        <v>0</v>
      </c>
      <c r="BP152" s="987">
        <f t="shared" si="129"/>
        <v>0</v>
      </c>
      <c r="BR152" s="993">
        <f>IF(BJ152&gt;0,INDEX(OperationalDetail,MATCH("Capacity Degradation",ODColumn,0),MATCH('Monthly Table'!C152,ODRow,0)),0)</f>
        <v>0</v>
      </c>
      <c r="BS152" s="994">
        <f>BJ152*(1-BR152)*Tables!$C$36</f>
        <v>0</v>
      </c>
      <c r="BT152" s="601">
        <f t="shared" si="115"/>
        <v>0</v>
      </c>
      <c r="BU152" s="601">
        <f t="shared" si="116"/>
        <v>0</v>
      </c>
      <c r="BV152" s="462"/>
      <c r="BW152" s="785">
        <f>$BO152*(1-$BR152)*Tables!$C$36</f>
        <v>0</v>
      </c>
      <c r="BX152" s="602">
        <f t="shared" si="130"/>
        <v>0</v>
      </c>
      <c r="BY152" s="601">
        <f t="shared" si="131"/>
        <v>0</v>
      </c>
      <c r="BZ152" s="462"/>
      <c r="CA152" s="785">
        <f>$BL152*(1-$BR152)*Tables!$C$36</f>
        <v>0</v>
      </c>
      <c r="CB152" s="602">
        <f t="shared" si="132"/>
        <v>0</v>
      </c>
      <c r="CC152" s="601">
        <f t="shared" si="133"/>
        <v>0</v>
      </c>
      <c r="CD152" s="785">
        <f>$BP152*(1-$BR152)*Tables!$C$36</f>
        <v>0</v>
      </c>
      <c r="CE152" s="602">
        <f t="shared" si="134"/>
        <v>0</v>
      </c>
      <c r="CF152" s="601">
        <f t="shared" si="135"/>
        <v>0</v>
      </c>
      <c r="CH152" s="785">
        <f>$BM152*(1-$BR152)*Tables!$C$36</f>
        <v>0</v>
      </c>
      <c r="CI152" s="602">
        <f t="shared" si="136"/>
        <v>0</v>
      </c>
      <c r="CJ152" s="601">
        <f t="shared" si="137"/>
        <v>0</v>
      </c>
      <c r="CK152" s="304"/>
      <c r="CL152" s="304">
        <f t="shared" si="138"/>
        <v>2011</v>
      </c>
      <c r="CM152" s="1018">
        <f>INDEX(OperationalDetail,MATCH("Degraded Heat Rate",ODColumn,0),MATCH('Monthly Table'!CL152,ODRow,0))/1000</f>
        <v>12.140476400000001</v>
      </c>
      <c r="CN152" s="737">
        <f t="shared" si="117"/>
        <v>60.16725833293124</v>
      </c>
      <c r="CO152" s="1019">
        <f>IF(A152="January",(CO151*(1+Assumptions!$E$32)),CO151)</f>
        <v>8.3749030759807326</v>
      </c>
      <c r="CP152" s="741">
        <f t="shared" si="105"/>
        <v>68.542161408911966</v>
      </c>
      <c r="CQ152" s="304"/>
      <c r="CR152" s="575" t="str">
        <f t="shared" si="139"/>
        <v/>
      </c>
      <c r="CS152" s="575" t="str">
        <f t="shared" si="140"/>
        <v/>
      </c>
      <c r="CT152" s="575" t="str">
        <f t="shared" si="141"/>
        <v/>
      </c>
      <c r="CU152" s="575" t="str">
        <f t="shared" si="142"/>
        <v/>
      </c>
      <c r="CV152" s="575" t="str">
        <f t="shared" si="143"/>
        <v/>
      </c>
      <c r="CW152" s="576">
        <f t="shared" si="106"/>
        <v>2012</v>
      </c>
      <c r="CX152" s="787">
        <f>INDEX('NY Curve'!$A$4:$G$256,MATCH('Monthly Table'!B152,'NY Curve'!$A$4:$A$256,0),MATCH("New York 5 X 16",'NY Curve'!$A$4:$G$4,0))</f>
        <v>26.8</v>
      </c>
      <c r="CY152" s="632">
        <f t="shared" si="107"/>
        <v>1.3024030268611599</v>
      </c>
      <c r="CZ152" s="633">
        <f t="shared" si="108"/>
        <v>34.90440111987909</v>
      </c>
      <c r="DB152" s="857"/>
      <c r="DC152" s="857"/>
    </row>
    <row r="153" spans="1:107" ht="18.75" customHeight="1">
      <c r="A153" s="17" t="s">
        <v>447</v>
      </c>
      <c r="B153" s="508">
        <v>41214</v>
      </c>
      <c r="C153" s="43">
        <f t="shared" si="97"/>
        <v>2012</v>
      </c>
      <c r="D153" s="719">
        <f t="shared" si="144"/>
        <v>12</v>
      </c>
      <c r="E153" s="972">
        <v>21</v>
      </c>
      <c r="F153" s="971">
        <v>4</v>
      </c>
      <c r="G153" s="971">
        <v>4</v>
      </c>
      <c r="H153" s="971">
        <v>1</v>
      </c>
      <c r="I153" s="976">
        <f t="shared" si="118"/>
        <v>30</v>
      </c>
      <c r="J153" s="621"/>
      <c r="K153" s="572">
        <f>INDEX(FX!$A$3:$C$362,MATCH(B153,FX!$A$3:$A$362,0),MATCH("Monthly Curve",FX!$A$2:$C$2,0))</f>
        <v>1.3015767588109599</v>
      </c>
      <c r="L153" s="572"/>
      <c r="M153" s="1070">
        <v>3.4095</v>
      </c>
      <c r="N153" s="1071">
        <v>0.23</v>
      </c>
      <c r="O153" s="877">
        <v>0.1</v>
      </c>
      <c r="P153" s="797">
        <f t="shared" si="99"/>
        <v>0.33</v>
      </c>
      <c r="Q153" s="732">
        <f t="shared" si="100"/>
        <v>3.7395</v>
      </c>
      <c r="R153" s="723">
        <f>IF(A153="January",(R152+R152*Assumptions!$E$32),R152)</f>
        <v>0.37341730019688207</v>
      </c>
      <c r="S153" s="730">
        <f t="shared" si="101"/>
        <v>5.2406635897704668</v>
      </c>
      <c r="T153" s="572"/>
      <c r="U153" s="509"/>
      <c r="V153" s="584"/>
      <c r="W153" s="584"/>
      <c r="X153" s="461"/>
      <c r="Y153" s="588">
        <f>Tables!$D$36</f>
        <v>312</v>
      </c>
      <c r="Z153" s="570">
        <f t="shared" si="102"/>
        <v>0</v>
      </c>
      <c r="AA153" s="592">
        <f t="shared" si="103"/>
        <v>0</v>
      </c>
      <c r="AB153" s="589">
        <f t="shared" si="98"/>
        <v>0</v>
      </c>
      <c r="AC153" s="462"/>
      <c r="AD153" s="1027">
        <f>IF(Tables!$E$30="Michigan",INDEX('Michigan Curve'!$A$4:$S$256,MATCH('Monthly Table'!B153,'Michigan Curve'!$A$4:$A$256,0),MATCH("Michigan Selected Option Value US$/month",'Michigan Curve'!$A$4:$S$4,0)),INDEX('NY Curve'!$A$4:$T$256,MATCH('Monthly Table'!B153,'NY Curve'!$A$4:$A$256,0),MATCH("New York Selected Option Value US$/month",'NY Curve'!$A$4:$T$4,0)))</f>
        <v>15499.991393449032</v>
      </c>
      <c r="AE153" s="601">
        <f t="shared" si="119"/>
        <v>20174.428559483167</v>
      </c>
      <c r="AF153" s="462"/>
      <c r="AG153" s="915"/>
      <c r="AH153" s="17"/>
      <c r="AI153" s="799">
        <f>Assumptions!$B$50</f>
        <v>65</v>
      </c>
      <c r="AJ153" s="743"/>
      <c r="AK153" s="924">
        <f>IF(Tables!$E$30="Custom",'Monthly Table'!AI153,IF(Tables!$E$30="New York",INDEX('NY Curve'!$A$4:$G$256,MATCH('Monthly Table'!B153,'NY Curve'!$A$4:$A$256,0),MATCH("Super Peak Curve",'NY Curve'!$A$4:$G$4,0)),IF(Tables!$E$30="New York Flat",INDEX('NY Curve'!$A$4:$G$256,MATCH('Monthly Table'!B153,'NY Curve'!$A$4:$A$256,0),MATCH("Flat NY West",'NY Curve'!$A$4:$G$4,0)),INDEX('Michigan Curve'!$A$4:$F$256,MATCH('Monthly Table'!B153,'Michigan Curve'!$A$4:$A$256,0),MATCH("Michigan Super Peak Curve US$/MWhr",'Michigan Curve'!$A$4:$F$4,0)))))</f>
        <v>31.02839538574219</v>
      </c>
      <c r="AL153" s="965">
        <f>IF(D153&lt;=Tables!$B$21,IF($AL$10=$AI$10,AI153,IF($AL$10=$AJ$10,AJ153,IF($AL$10=$AK$10,AK153,0))),0)</f>
        <v>31.02839538574219</v>
      </c>
      <c r="AM153" s="708">
        <f t="shared" si="120"/>
        <v>40.385838297279264</v>
      </c>
      <c r="AN153" s="916">
        <f t="shared" si="121"/>
        <v>0</v>
      </c>
      <c r="AO153" s="905"/>
      <c r="AP153" s="925"/>
      <c r="AQ153" s="926">
        <f>IF(Tables!$E$30="New York",INDEX('NY Curve'!$A$4:$L$256,MATCH('Monthly Table'!B153,'NY Curve'!$A$4:$A$256,0),MATCH("New York Shoulder Hour Curve Mon-Fri",'NY Curve'!$A$4:$L$4,0)),IF(Tables!$E$30="Michigan",INDEX('Michigan Curve'!$A$4:$K$256,MATCH('Monthly Table'!B153,'Michigan Curve'!$A$4:$A$256,0),MATCH("Michigan Shoulder Hour Curve Mon-Fri",'Michigan Curve'!$A$4:$K$4,0))))</f>
        <v>26.431596069335935</v>
      </c>
      <c r="AR153" s="708">
        <f t="shared" si="122"/>
        <v>34.402751142126775</v>
      </c>
      <c r="AS153" s="927">
        <f t="shared" si="109"/>
        <v>0</v>
      </c>
      <c r="AT153" s="462"/>
      <c r="AU153" s="926">
        <f>IF(Tables!$E$30="New York",INDEX('NY Curve'!$A$4:$L$256,MATCH('Monthly Table'!$B153,'NY Curve'!$A$4:$A$256,0),MATCH("New York Saturday Super Peak",'NY Curve'!$A$4:$L$4,0)),IF(Tables!$E$30="Michigan",INDEX('Michigan Curve'!$A$4:$K$256,MATCH('Monthly Table'!$B153,'Michigan Curve'!$A$4:$A$256,0),MATCH("Michigan Saturday Super Peak",'Michigan Curve'!$A$4:$K$4,0))))</f>
        <v>21.6</v>
      </c>
      <c r="AV153" s="925">
        <f t="shared" si="110"/>
        <v>28.114057990316734</v>
      </c>
      <c r="AW153" s="927">
        <f t="shared" si="111"/>
        <v>0</v>
      </c>
      <c r="AX153" s="926">
        <f>IF(Tables!$E$30="New York",INDEX('NY Curve'!$A$4:$L$256,MATCH('Monthly Table'!$B153,'NY Curve'!$A$4:$A$256,0),MATCH("New York Saturday Shoulder Peak",'NY Curve'!$A$4:$L$4,0)),IF(Tables!$E$30="Michigan",INDEX('Michigan Curve'!$A$4:$K$256,MATCH('Monthly Table'!$B153,'Michigan Curve'!$A$4:$A$256,0),MATCH("Michigan Saturday Shoulder Peak",'Michigan Curve'!$A$4:$K$4,0))))</f>
        <v>18.399999999999999</v>
      </c>
      <c r="AY153" s="934">
        <f t="shared" si="123"/>
        <v>23.94901236212166</v>
      </c>
      <c r="AZ153" s="927">
        <f t="shared" si="112"/>
        <v>0</v>
      </c>
      <c r="BA153" s="462"/>
      <c r="BB153" s="926">
        <f>IF(Tables!$E$30="New York",INDEX('NY Curve'!$A$4:$M$256,MATCH('Monthly Table'!$B153,'NY Curve'!$A$4:$A$256,0),MATCH("NY Sunday Super Peak",'NY Curve'!$A$4:$M$4,0)),IF(Tables!$E$30="Michigan",INDEX('Michigan Curve'!$A$4:$L$256,MATCH('Monthly Table'!$B153,'Michigan Curve'!$A$4:$A$256,0),MATCH("Michigan Sunday Super Peak",'Michigan Curve'!$A$4:$L$4,0))))</f>
        <v>20.520000000000003</v>
      </c>
      <c r="BC153" s="925">
        <f t="shared" si="124"/>
        <v>26.7083550908009</v>
      </c>
      <c r="BD153" s="927">
        <f t="shared" si="113"/>
        <v>0</v>
      </c>
      <c r="BE153" s="462"/>
      <c r="BF153" s="598">
        <f t="shared" si="104"/>
        <v>41214</v>
      </c>
      <c r="BG153" s="583">
        <f t="shared" si="125"/>
        <v>0</v>
      </c>
      <c r="BH153" s="764">
        <f>IF(Tables!$B$36="Combined Cycle",(BF153-BF152)*24*Assumptions!$B$21,0)</f>
        <v>0</v>
      </c>
      <c r="BI153" s="315">
        <f t="shared" si="126"/>
        <v>0</v>
      </c>
      <c r="BJ153" s="987">
        <f>IF('Monthly Table'!D153&lt;=Tables!$B$21,IF($BJ$10=$BG$10,BG153,IF($BJ$10=$BH$10,BH153,IF($BJ$10=$BI$10,BI153,0))),0)</f>
        <v>0</v>
      </c>
      <c r="BK153" s="43"/>
      <c r="BL153" s="987">
        <f t="shared" si="127"/>
        <v>0</v>
      </c>
      <c r="BM153" s="987">
        <f t="shared" si="128"/>
        <v>0</v>
      </c>
      <c r="BO153" s="987">
        <f t="shared" si="114"/>
        <v>0</v>
      </c>
      <c r="BP153" s="987">
        <f t="shared" si="129"/>
        <v>0</v>
      </c>
      <c r="BR153" s="993">
        <f>IF(BJ153&gt;0,INDEX(OperationalDetail,MATCH("Capacity Degradation",ODColumn,0),MATCH('Monthly Table'!C153,ODRow,0)),0)</f>
        <v>0</v>
      </c>
      <c r="BS153" s="994">
        <f>BJ153*(1-BR153)*Tables!$C$36</f>
        <v>0</v>
      </c>
      <c r="BT153" s="601">
        <f t="shared" si="115"/>
        <v>0</v>
      </c>
      <c r="BU153" s="601">
        <f t="shared" si="116"/>
        <v>0</v>
      </c>
      <c r="BV153" s="462"/>
      <c r="BW153" s="785">
        <f>$BO153*(1-$BR153)*Tables!$C$36</f>
        <v>0</v>
      </c>
      <c r="BX153" s="602">
        <f t="shared" si="130"/>
        <v>0</v>
      </c>
      <c r="BY153" s="601">
        <f t="shared" si="131"/>
        <v>0</v>
      </c>
      <c r="BZ153" s="462"/>
      <c r="CA153" s="785">
        <f>$BL153*(1-$BR153)*Tables!$C$36</f>
        <v>0</v>
      </c>
      <c r="CB153" s="602">
        <f t="shared" si="132"/>
        <v>0</v>
      </c>
      <c r="CC153" s="601">
        <f t="shared" si="133"/>
        <v>0</v>
      </c>
      <c r="CD153" s="785">
        <f>$BP153*(1-$BR153)*Tables!$C$36</f>
        <v>0</v>
      </c>
      <c r="CE153" s="602">
        <f t="shared" si="134"/>
        <v>0</v>
      </c>
      <c r="CF153" s="601">
        <f t="shared" si="135"/>
        <v>0</v>
      </c>
      <c r="CH153" s="785">
        <f>$BM153*(1-$BR153)*Tables!$C$36</f>
        <v>0</v>
      </c>
      <c r="CI153" s="602">
        <f t="shared" si="136"/>
        <v>0</v>
      </c>
      <c r="CJ153" s="601">
        <f t="shared" si="137"/>
        <v>0</v>
      </c>
      <c r="CK153" s="304"/>
      <c r="CL153" s="304">
        <f t="shared" si="138"/>
        <v>2011</v>
      </c>
      <c r="CM153" s="1018">
        <f>INDEX(OperationalDetail,MATCH("Degraded Heat Rate",ODColumn,0),MATCH('Monthly Table'!CL153,ODRow,0))/1000</f>
        <v>12.140476400000001</v>
      </c>
      <c r="CN153" s="737">
        <f t="shared" si="117"/>
        <v>63.624152631947638</v>
      </c>
      <c r="CO153" s="1019">
        <f>IF(A153="January",(CO152*(1+Assumptions!$E$32)),CO152)</f>
        <v>8.3749030759807326</v>
      </c>
      <c r="CP153" s="741">
        <f t="shared" si="105"/>
        <v>71.999055707928363</v>
      </c>
      <c r="CQ153" s="304"/>
      <c r="CR153" s="575" t="str">
        <f t="shared" si="139"/>
        <v/>
      </c>
      <c r="CS153" s="575" t="str">
        <f t="shared" si="140"/>
        <v/>
      </c>
      <c r="CT153" s="575" t="str">
        <f t="shared" si="141"/>
        <v/>
      </c>
      <c r="CU153" s="575" t="str">
        <f t="shared" si="142"/>
        <v/>
      </c>
      <c r="CV153" s="575" t="str">
        <f t="shared" si="143"/>
        <v/>
      </c>
      <c r="CW153" s="576">
        <f t="shared" si="106"/>
        <v>2012</v>
      </c>
      <c r="CX153" s="787">
        <f>INDEX('NY Curve'!$A$4:$G$256,MATCH('Monthly Table'!B153,'NY Curve'!$A$4:$A$256,0),MATCH("New York 5 X 16",'NY Curve'!$A$4:$G$4,0))</f>
        <v>27.3</v>
      </c>
      <c r="CY153" s="632">
        <f t="shared" si="107"/>
        <v>1.3015767588109599</v>
      </c>
      <c r="CZ153" s="633">
        <f t="shared" si="108"/>
        <v>35.533045515539207</v>
      </c>
      <c r="DB153" s="857"/>
      <c r="DC153" s="857"/>
    </row>
    <row r="154" spans="1:107" s="222" customFormat="1" ht="18.75" customHeight="1">
      <c r="A154" s="222" t="s">
        <v>448</v>
      </c>
      <c r="B154" s="564">
        <v>41244</v>
      </c>
      <c r="C154" s="565">
        <f t="shared" si="97"/>
        <v>2012</v>
      </c>
      <c r="D154" s="819">
        <f t="shared" si="144"/>
        <v>12</v>
      </c>
      <c r="E154" s="980">
        <v>20</v>
      </c>
      <c r="F154" s="981">
        <v>5</v>
      </c>
      <c r="G154" s="981">
        <v>5</v>
      </c>
      <c r="H154" s="981">
        <v>1</v>
      </c>
      <c r="I154" s="982">
        <f t="shared" si="118"/>
        <v>31</v>
      </c>
      <c r="J154" s="969"/>
      <c r="K154" s="820">
        <f>INDEX(FX!$A$3:$C$362,MATCH(B154,FX!$A$3:$A$362,0),MATCH("Monthly Curve",FX!$A$2:$C$2,0))</f>
        <v>1.30077942966465</v>
      </c>
      <c r="L154" s="820"/>
      <c r="M154" s="1072">
        <v>3.5355000000000003</v>
      </c>
      <c r="N154" s="1073">
        <v>0.27</v>
      </c>
      <c r="O154" s="878">
        <v>0.1</v>
      </c>
      <c r="P154" s="824">
        <f t="shared" si="99"/>
        <v>0.37</v>
      </c>
      <c r="Q154" s="825">
        <f t="shared" si="100"/>
        <v>3.9055000000000004</v>
      </c>
      <c r="R154" s="837">
        <f>IF(A154="January",(R153+R153*Assumptions!$E$32),R153)</f>
        <v>0.37341730019688207</v>
      </c>
      <c r="S154" s="827">
        <f t="shared" si="101"/>
        <v>5.4536113627521736</v>
      </c>
      <c r="T154" s="820"/>
      <c r="U154" s="567"/>
      <c r="V154" s="838"/>
      <c r="W154" s="838"/>
      <c r="X154" s="566"/>
      <c r="Y154" s="839">
        <f>Tables!$D$36</f>
        <v>312</v>
      </c>
      <c r="Z154" s="678">
        <f t="shared" si="102"/>
        <v>0</v>
      </c>
      <c r="AA154" s="679">
        <f t="shared" si="103"/>
        <v>0</v>
      </c>
      <c r="AB154" s="680">
        <f t="shared" si="98"/>
        <v>0</v>
      </c>
      <c r="AC154" s="828"/>
      <c r="AD154" s="1027">
        <f>IF(Tables!$E$30="Michigan",INDEX('Michigan Curve'!$A$4:$S$256,MATCH('Monthly Table'!B154,'Michigan Curve'!$A$4:$A$256,0),MATCH("Michigan Selected Option Value US$/month",'Michigan Curve'!$A$4:$S$4,0)),INDEX('NY Curve'!$A$4:$T$256,MATCH('Monthly Table'!B154,'NY Curve'!$A$4:$A$256,0),MATCH("New York Selected Option Value US$/month",'NY Curve'!$A$4:$T$4,0)))</f>
        <v>8239.7394568780765</v>
      </c>
      <c r="AE154" s="601">
        <f t="shared" si="119"/>
        <v>10718.083591303177</v>
      </c>
      <c r="AF154" s="828"/>
      <c r="AG154" s="917"/>
      <c r="AI154" s="799">
        <f>Assumptions!$B$50</f>
        <v>65</v>
      </c>
      <c r="AJ154" s="762"/>
      <c r="AK154" s="924">
        <f>IF(Tables!$E$30="Custom",'Monthly Table'!AI154,IF(Tables!$E$30="New York",INDEX('NY Curve'!$A$4:$G$256,MATCH('Monthly Table'!B154,'NY Curve'!$A$4:$A$256,0),MATCH("Super Peak Curve",'NY Curve'!$A$4:$G$4,0)),IF(Tables!$E$30="New York Flat",INDEX('NY Curve'!$A$4:$G$256,MATCH('Monthly Table'!B154,'NY Curve'!$A$4:$A$256,0),MATCH("Flat NY West",'NY Curve'!$A$4:$G$4,0)),INDEX('Michigan Curve'!$A$4:$F$256,MATCH('Monthly Table'!B154,'Michigan Curve'!$A$4:$A$256,0),MATCH("Michigan Super Peak Curve US$/MWhr",'Michigan Curve'!$A$4:$F$4,0)))))</f>
        <v>29.783994941711427</v>
      </c>
      <c r="AL154" s="966">
        <f>IF(D154&lt;=Tables!$B$21,IF($AL$10=$AI$10,AI154,IF($AL$10=$AJ$10,AJ154,IF($AL$10=$AK$10,AK154,0))),0)</f>
        <v>29.783994941711427</v>
      </c>
      <c r="AM154" s="879">
        <f t="shared" si="120"/>
        <v>38.742407953414208</v>
      </c>
      <c r="AN154" s="918">
        <f t="shared" si="121"/>
        <v>0</v>
      </c>
      <c r="AO154" s="906"/>
      <c r="AP154" s="983"/>
      <c r="AQ154" s="926">
        <f>IF(Tables!$E$30="New York",INDEX('NY Curve'!$A$4:$L$256,MATCH('Monthly Table'!B154,'NY Curve'!$A$4:$A$256,0),MATCH("New York Shoulder Hour Curve Mon-Fri",'NY Curve'!$A$4:$L$4,0)),IF(Tables!$E$30="Michigan",INDEX('Michigan Curve'!$A$4:$K$256,MATCH('Monthly Table'!B154,'Michigan Curve'!$A$4:$A$256,0),MATCH("Michigan Shoulder Hour Curve Mon-Fri",'Michigan Curve'!$A$4:$K$4,0))))</f>
        <v>28.615995140075682</v>
      </c>
      <c r="AR154" s="879">
        <f t="shared" si="122"/>
        <v>37.22309783759404</v>
      </c>
      <c r="AS154" s="984">
        <f t="shared" si="109"/>
        <v>0</v>
      </c>
      <c r="AT154" s="828"/>
      <c r="AU154" s="926">
        <f>IF(Tables!$E$30="New York",INDEX('NY Curve'!$A$4:$L$256,MATCH('Monthly Table'!$B154,'NY Curve'!$A$4:$A$256,0),MATCH("New York Saturday Super Peak",'NY Curve'!$A$4:$L$4,0)),IF(Tables!$E$30="Michigan",INDEX('Michigan Curve'!$A$4:$K$256,MATCH('Monthly Table'!$B154,'Michigan Curve'!$A$4:$A$256,0),MATCH("Michigan Saturday Super Peak",'Michigan Curve'!$A$4:$K$4,0))))</f>
        <v>20.399999999999999</v>
      </c>
      <c r="AV154" s="983">
        <f t="shared" si="110"/>
        <v>26.535900365158859</v>
      </c>
      <c r="AW154" s="984">
        <f t="shared" si="111"/>
        <v>0</v>
      </c>
      <c r="AX154" s="926">
        <f>IF(Tables!$E$30="New York",INDEX('NY Curve'!$A$4:$L$256,MATCH('Monthly Table'!$B154,'NY Curve'!$A$4:$A$256,0),MATCH("New York Saturday Shoulder Peak",'NY Curve'!$A$4:$L$4,0)),IF(Tables!$E$30="Michigan",INDEX('Michigan Curve'!$A$4:$K$256,MATCH('Monthly Table'!$B154,'Michigan Curve'!$A$4:$A$256,0),MATCH("Michigan Saturday Shoulder Peak",'Michigan Curve'!$A$4:$K$4,0))))</f>
        <v>19.600000000000001</v>
      </c>
      <c r="AY154" s="985">
        <f t="shared" si="123"/>
        <v>25.49527682142714</v>
      </c>
      <c r="AZ154" s="984">
        <f t="shared" si="112"/>
        <v>0</v>
      </c>
      <c r="BA154" s="828"/>
      <c r="BB154" s="926">
        <f>IF(Tables!$E$30="New York",INDEX('NY Curve'!$A$4:$M$256,MATCH('Monthly Table'!$B154,'NY Curve'!$A$4:$A$256,0),MATCH("NY Sunday Super Peak",'NY Curve'!$A$4:$M$4,0)),IF(Tables!$E$30="Michigan",INDEX('Michigan Curve'!$A$4:$L$256,MATCH('Monthly Table'!$B154,'Michigan Curve'!$A$4:$A$256,0),MATCH("Michigan Sunday Super Peak",'Michigan Curve'!$A$4:$L$4,0))))</f>
        <v>19.38</v>
      </c>
      <c r="BC154" s="925">
        <f t="shared" si="124"/>
        <v>25.209105346900916</v>
      </c>
      <c r="BD154" s="984">
        <f t="shared" si="113"/>
        <v>0</v>
      </c>
      <c r="BE154" s="828"/>
      <c r="BF154" s="829">
        <f t="shared" si="104"/>
        <v>41244</v>
      </c>
      <c r="BG154" s="830">
        <f t="shared" si="125"/>
        <v>0</v>
      </c>
      <c r="BH154" s="840">
        <f>IF(Tables!$B$36="Combined Cycle",(BF154-BF153)*24*Assumptions!$B$21,0)</f>
        <v>0</v>
      </c>
      <c r="BI154" s="831">
        <f t="shared" si="126"/>
        <v>0</v>
      </c>
      <c r="BJ154" s="988">
        <f>IF('Monthly Table'!D154&lt;=Tables!$B$21,IF($BJ$10=$BG$10,BG154,IF($BJ$10=$BH$10,BH154,IF($BJ$10=$BI$10,BI154,0))),0)</f>
        <v>0</v>
      </c>
      <c r="BK154" s="565"/>
      <c r="BL154" s="988">
        <f t="shared" si="127"/>
        <v>0</v>
      </c>
      <c r="BM154" s="987">
        <f t="shared" si="128"/>
        <v>0</v>
      </c>
      <c r="BN154" s="565"/>
      <c r="BO154" s="988">
        <f t="shared" si="114"/>
        <v>0</v>
      </c>
      <c r="BP154" s="988">
        <f t="shared" si="129"/>
        <v>0</v>
      </c>
      <c r="BQ154" s="565"/>
      <c r="BR154" s="995">
        <f>IF(BJ154&gt;0,INDEX(OperationalDetail,MATCH("Capacity Degradation",ODColumn,0),MATCH('Monthly Table'!C154,ODRow,0)),0)</f>
        <v>0</v>
      </c>
      <c r="BS154" s="996">
        <f>BJ154*(1-BR154)*Tables!$C$36</f>
        <v>0</v>
      </c>
      <c r="BT154" s="834">
        <f t="shared" si="115"/>
        <v>0</v>
      </c>
      <c r="BU154" s="834">
        <f t="shared" si="116"/>
        <v>0</v>
      </c>
      <c r="BV154" s="828"/>
      <c r="BW154" s="832">
        <f>$BO154*(1-$BR154)*Tables!$C$36</f>
        <v>0</v>
      </c>
      <c r="BX154" s="833">
        <f t="shared" si="130"/>
        <v>0</v>
      </c>
      <c r="BY154" s="834">
        <f t="shared" si="131"/>
        <v>0</v>
      </c>
      <c r="BZ154" s="828"/>
      <c r="CA154" s="832">
        <f>$BL154*(1-$BR154)*Tables!$C$36</f>
        <v>0</v>
      </c>
      <c r="CB154" s="833">
        <f t="shared" si="132"/>
        <v>0</v>
      </c>
      <c r="CC154" s="834">
        <f t="shared" si="133"/>
        <v>0</v>
      </c>
      <c r="CD154" s="832">
        <f>$BP154*(1-$BR154)*Tables!$C$36</f>
        <v>0</v>
      </c>
      <c r="CE154" s="833">
        <f t="shared" si="134"/>
        <v>0</v>
      </c>
      <c r="CF154" s="834">
        <f t="shared" si="135"/>
        <v>0</v>
      </c>
      <c r="CH154" s="785">
        <f>$BM154*(1-$BR154)*Tables!$C$36</f>
        <v>0</v>
      </c>
      <c r="CI154" s="602">
        <f t="shared" si="136"/>
        <v>0</v>
      </c>
      <c r="CJ154" s="601">
        <f t="shared" si="137"/>
        <v>0</v>
      </c>
      <c r="CK154" s="880"/>
      <c r="CL154" s="304">
        <f t="shared" si="138"/>
        <v>2011</v>
      </c>
      <c r="CM154" s="1018">
        <f>INDEX(OperationalDetail,MATCH("Degraded Heat Rate",ODColumn,0),MATCH('Monthly Table'!CL154,ODRow,0))/1000</f>
        <v>12.140476400000001</v>
      </c>
      <c r="CN154" s="835">
        <f t="shared" si="117"/>
        <v>66.20944004426461</v>
      </c>
      <c r="CO154" s="1020">
        <f>IF(A154="January",(CO153*(1+Assumptions!$E$32)),CO153)</f>
        <v>8.3749030759807326</v>
      </c>
      <c r="CP154" s="836">
        <f t="shared" si="105"/>
        <v>74.584343120245336</v>
      </c>
      <c r="CQ154" s="880"/>
      <c r="CR154" s="841" t="str">
        <f t="shared" si="139"/>
        <v/>
      </c>
      <c r="CS154" s="841" t="str">
        <f t="shared" si="140"/>
        <v/>
      </c>
      <c r="CT154" s="841" t="str">
        <f t="shared" si="141"/>
        <v/>
      </c>
      <c r="CU154" s="841" t="str">
        <f t="shared" si="142"/>
        <v/>
      </c>
      <c r="CV154" s="575" t="str">
        <f t="shared" si="143"/>
        <v/>
      </c>
      <c r="CW154" s="842">
        <f t="shared" si="106"/>
        <v>2012</v>
      </c>
      <c r="CX154" s="843">
        <f>INDEX('NY Curve'!$A$4:$G$256,MATCH('Monthly Table'!B154,'NY Curve'!$A$4:$A$256,0),MATCH("New York 5 X 16",'NY Curve'!$A$4:$G$4,0))</f>
        <v>27.8</v>
      </c>
      <c r="CY154" s="844">
        <f t="shared" si="107"/>
        <v>1.30077942966465</v>
      </c>
      <c r="CZ154" s="845">
        <f t="shared" si="108"/>
        <v>36.161668144677272</v>
      </c>
      <c r="DB154" s="881"/>
      <c r="DC154" s="881"/>
    </row>
    <row r="155" spans="1:107" ht="18.75" customHeight="1">
      <c r="A155" s="17" t="s">
        <v>437</v>
      </c>
      <c r="B155" s="508">
        <v>41275</v>
      </c>
      <c r="C155" s="43">
        <f t="shared" si="97"/>
        <v>2013</v>
      </c>
      <c r="D155" s="719">
        <f t="shared" si="144"/>
        <v>13</v>
      </c>
      <c r="E155" s="972">
        <v>22</v>
      </c>
      <c r="F155" s="971">
        <v>4</v>
      </c>
      <c r="G155" s="971">
        <v>4</v>
      </c>
      <c r="H155" s="971">
        <v>1</v>
      </c>
      <c r="I155" s="976">
        <f t="shared" si="118"/>
        <v>31</v>
      </c>
      <c r="J155" s="621"/>
      <c r="K155" s="572">
        <f>INDEX(FX!$A$3:$C$362,MATCH(B155,FX!$A$3:$A$362,0),MATCH("Monthly Curve",FX!$A$2:$C$2,0))</f>
        <v>1.29995788034482</v>
      </c>
      <c r="L155" s="572"/>
      <c r="M155" s="1070">
        <v>3.6260000000000003</v>
      </c>
      <c r="N155" s="1071">
        <v>0.28000000000000003</v>
      </c>
      <c r="O155" s="877">
        <v>0.1</v>
      </c>
      <c r="P155" s="797">
        <f t="shared" si="99"/>
        <v>0.38</v>
      </c>
      <c r="Q155" s="732">
        <f t="shared" si="100"/>
        <v>4.0060000000000002</v>
      </c>
      <c r="R155" s="723">
        <f>IF(A155="January",(R154+R154*Assumptions!$E$32),R154)</f>
        <v>0.38088564620081972</v>
      </c>
      <c r="S155" s="730">
        <f t="shared" si="101"/>
        <v>5.5885169148621694</v>
      </c>
      <c r="T155" s="572"/>
      <c r="U155" s="509"/>
      <c r="V155" s="584"/>
      <c r="W155" s="584"/>
      <c r="X155" s="461"/>
      <c r="Y155" s="588">
        <f>Tables!$D$36</f>
        <v>312</v>
      </c>
      <c r="Z155" s="570">
        <f t="shared" si="102"/>
        <v>0</v>
      </c>
      <c r="AA155" s="592">
        <f t="shared" si="103"/>
        <v>0</v>
      </c>
      <c r="AB155" s="589">
        <f t="shared" si="98"/>
        <v>0</v>
      </c>
      <c r="AC155" s="462"/>
      <c r="AD155" s="1027">
        <f>IF(Tables!$E$30="Michigan",INDEX('Michigan Curve'!$A$4:$S$256,MATCH('Monthly Table'!B155,'Michigan Curve'!$A$4:$A$256,0),MATCH("Michigan Selected Option Value US$/month",'Michigan Curve'!$A$4:$S$4,0)),INDEX('NY Curve'!$A$4:$T$256,MATCH('Monthly Table'!B155,'NY Curve'!$A$4:$A$256,0),MATCH("New York Selected Option Value US$/month",'NY Curve'!$A$4:$T$4,0)))</f>
        <v>43564.386737729234</v>
      </c>
      <c r="AE155" s="601">
        <f t="shared" si="119"/>
        <v>56631.867842100481</v>
      </c>
      <c r="AF155" s="462"/>
      <c r="AG155" s="915"/>
      <c r="AH155" s="17"/>
      <c r="AI155" s="799">
        <f>Assumptions!$B$50</f>
        <v>65</v>
      </c>
      <c r="AJ155" s="743"/>
      <c r="AK155" s="924">
        <f>IF(Tables!$E$30="Custom",'Monthly Table'!AI155,IF(Tables!$E$30="New York",INDEX('NY Curve'!$A$4:$G$256,MATCH('Monthly Table'!B155,'NY Curve'!$A$4:$A$256,0),MATCH("Super Peak Curve",'NY Curve'!$A$4:$G$4,0)),IF(Tables!$E$30="New York Flat",INDEX('NY Curve'!$A$4:$G$256,MATCH('Monthly Table'!B155,'NY Curve'!$A$4:$A$256,0),MATCH("Flat NY West",'NY Curve'!$A$4:$G$4,0)),INDEX('Michigan Curve'!$A$4:$F$256,MATCH('Monthly Table'!B155,'Michigan Curve'!$A$4:$A$256,0),MATCH("Michigan Super Peak Curve US$/MWhr",'Michigan Curve'!$A$4:$F$4,0)))))</f>
        <v>35.394000389099126</v>
      </c>
      <c r="AL155" s="965">
        <f>IF(D155&lt;=Tables!$B$21,IF($AL$10=$AI$10,AI155,IF($AL$10=$AJ$10,AJ155,IF($AL$10=$AK$10,AK155,0))),0)</f>
        <v>35.394000389099126</v>
      </c>
      <c r="AM155" s="708">
        <f t="shared" si="120"/>
        <v>46.010709722737033</v>
      </c>
      <c r="AN155" s="916">
        <f t="shared" si="121"/>
        <v>0</v>
      </c>
      <c r="AO155" s="905"/>
      <c r="AP155" s="925"/>
      <c r="AQ155" s="926">
        <f>IF(Tables!$E$30="New York",INDEX('NY Curve'!$A$4:$L$256,MATCH('Monthly Table'!B155,'NY Curve'!$A$4:$A$256,0),MATCH("New York Shoulder Hour Curve Mon-Fri",'NY Curve'!$A$4:$L$4,0)),IF(Tables!$E$30="Michigan",INDEX('Michigan Curve'!$A$4:$K$256,MATCH('Monthly Table'!B155,'Michigan Curve'!$A$4:$A$256,0),MATCH("Michigan Shoulder Hour Curve Mon-Fri",'Michigan Curve'!$A$4:$K$4,0))))</f>
        <v>34.00600037384033</v>
      </c>
      <c r="AR155" s="708">
        <f t="shared" si="122"/>
        <v>44.206368164982628</v>
      </c>
      <c r="AS155" s="927">
        <f t="shared" si="109"/>
        <v>0</v>
      </c>
      <c r="AT155" s="462"/>
      <c r="AU155" s="926">
        <f>IF(Tables!$E$30="New York",INDEX('NY Curve'!$A$4:$L$256,MATCH('Monthly Table'!$B155,'NY Curve'!$A$4:$A$256,0),MATCH("New York Saturday Super Peak",'NY Curve'!$A$4:$L$4,0)),IF(Tables!$E$30="Michigan",INDEX('Michigan Curve'!$A$4:$K$256,MATCH('Monthly Table'!$B155,'Michigan Curve'!$A$4:$A$256,0),MATCH("Michigan Saturday Super Peak",'Michigan Curve'!$A$4:$K$4,0))))</f>
        <v>22.44</v>
      </c>
      <c r="AV155" s="925">
        <f t="shared" si="110"/>
        <v>29.171054834937763</v>
      </c>
      <c r="AW155" s="927">
        <f t="shared" si="111"/>
        <v>0</v>
      </c>
      <c r="AX155" s="926">
        <f>IF(Tables!$E$30="New York",INDEX('NY Curve'!$A$4:$L$256,MATCH('Monthly Table'!$B155,'NY Curve'!$A$4:$A$256,0),MATCH("New York Saturday Shoulder Peak",'NY Curve'!$A$4:$L$4,0)),IF(Tables!$E$30="Michigan",INDEX('Michigan Curve'!$A$4:$K$256,MATCH('Monthly Table'!$B155,'Michigan Curve'!$A$4:$A$256,0),MATCH("Michigan Saturday Shoulder Peak",'Michigan Curve'!$A$4:$K$4,0))))</f>
        <v>21.56</v>
      </c>
      <c r="AY155" s="934">
        <f t="shared" si="123"/>
        <v>28.027091900234318</v>
      </c>
      <c r="AZ155" s="927">
        <f t="shared" si="112"/>
        <v>0</v>
      </c>
      <c r="BA155" s="462"/>
      <c r="BB155" s="926">
        <f>IF(Tables!$E$30="New York",INDEX('NY Curve'!$A$4:$M$256,MATCH('Monthly Table'!$B155,'NY Curve'!$A$4:$A$256,0),MATCH("NY Sunday Super Peak",'NY Curve'!$A$4:$M$4,0)),IF(Tables!$E$30="Michigan",INDEX('Michigan Curve'!$A$4:$L$256,MATCH('Monthly Table'!$B155,'Michigan Curve'!$A$4:$A$256,0),MATCH("Michigan Sunday Super Peak",'Michigan Curve'!$A$4:$L$4,0))))</f>
        <v>21.42</v>
      </c>
      <c r="BC155" s="925">
        <f t="shared" si="124"/>
        <v>27.845097796986046</v>
      </c>
      <c r="BD155" s="927">
        <f t="shared" si="113"/>
        <v>0</v>
      </c>
      <c r="BE155" s="462"/>
      <c r="BF155" s="598">
        <f t="shared" si="104"/>
        <v>41275</v>
      </c>
      <c r="BG155" s="583">
        <f t="shared" si="125"/>
        <v>0</v>
      </c>
      <c r="BH155" s="764">
        <f>IF(Tables!$B$36="Combined Cycle",(BF155-BF154)*24*Assumptions!$B$21,0)</f>
        <v>0</v>
      </c>
      <c r="BI155" s="315">
        <f t="shared" si="126"/>
        <v>0</v>
      </c>
      <c r="BJ155" s="987">
        <f>IF('Monthly Table'!D155&lt;=Tables!$B$21,IF($BJ$10=$BG$10,BG155,IF($BJ$10=$BH$10,BH155,IF($BJ$10=$BI$10,BI155,0))),0)</f>
        <v>0</v>
      </c>
      <c r="BK155" s="43"/>
      <c r="BL155" s="987">
        <f t="shared" si="127"/>
        <v>0</v>
      </c>
      <c r="BM155" s="987">
        <f t="shared" si="128"/>
        <v>0</v>
      </c>
      <c r="BO155" s="987">
        <f t="shared" si="114"/>
        <v>0</v>
      </c>
      <c r="BP155" s="987">
        <f t="shared" si="129"/>
        <v>0</v>
      </c>
      <c r="BR155" s="993">
        <f>IF(BJ155&gt;0,INDEX(OperationalDetail,MATCH("Capacity Degradation",ODColumn,0),MATCH('Monthly Table'!C155,ODRow,0)),0)</f>
        <v>0</v>
      </c>
      <c r="BS155" s="994">
        <f>BJ155*(1-BR155)*Tables!$C$36</f>
        <v>0</v>
      </c>
      <c r="BT155" s="601">
        <f t="shared" si="115"/>
        <v>0</v>
      </c>
      <c r="BU155" s="601">
        <f t="shared" si="116"/>
        <v>0</v>
      </c>
      <c r="BV155" s="462"/>
      <c r="BW155" s="785">
        <f>$BO155*(1-$BR155)*Tables!$C$36</f>
        <v>0</v>
      </c>
      <c r="BX155" s="602">
        <f t="shared" si="130"/>
        <v>0</v>
      </c>
      <c r="BY155" s="601">
        <f t="shared" si="131"/>
        <v>0</v>
      </c>
      <c r="BZ155" s="462"/>
      <c r="CA155" s="785">
        <f>$BL155*(1-$BR155)*Tables!$C$36</f>
        <v>0</v>
      </c>
      <c r="CB155" s="602">
        <f t="shared" si="132"/>
        <v>0</v>
      </c>
      <c r="CC155" s="601">
        <f t="shared" si="133"/>
        <v>0</v>
      </c>
      <c r="CD155" s="785">
        <f>$BP155*(1-$BR155)*Tables!$C$36</f>
        <v>0</v>
      </c>
      <c r="CE155" s="602">
        <f t="shared" si="134"/>
        <v>0</v>
      </c>
      <c r="CF155" s="601">
        <f t="shared" si="135"/>
        <v>0</v>
      </c>
      <c r="CH155" s="785">
        <f>$BM155*(1-$BR155)*Tables!$C$36</f>
        <v>0</v>
      </c>
      <c r="CI155" s="602">
        <f t="shared" si="136"/>
        <v>0</v>
      </c>
      <c r="CJ155" s="601">
        <f t="shared" si="137"/>
        <v>0</v>
      </c>
      <c r="CK155" s="304"/>
      <c r="CL155" s="304">
        <f t="shared" si="138"/>
        <v>2012</v>
      </c>
      <c r="CM155" s="1018">
        <f>INDEX(OperationalDetail,MATCH("Degraded Heat Rate",ODColumn,0),MATCH('Monthly Table'!CL155,ODRow,0))/1000</f>
        <v>12.170137200000001</v>
      </c>
      <c r="CN155" s="737">
        <f t="shared" si="117"/>
        <v>68.013017598393333</v>
      </c>
      <c r="CO155" s="1019">
        <f>IF(A155="January",(CO154*(1+Assumptions!$E$32)),CO154)</f>
        <v>8.542401137500347</v>
      </c>
      <c r="CP155" s="741">
        <f t="shared" si="105"/>
        <v>76.555418735893682</v>
      </c>
      <c r="CQ155" s="304"/>
      <c r="CR155" s="575" t="str">
        <f t="shared" si="139"/>
        <v/>
      </c>
      <c r="CS155" s="575" t="str">
        <f t="shared" si="140"/>
        <v/>
      </c>
      <c r="CT155" s="575" t="str">
        <f t="shared" si="141"/>
        <v/>
      </c>
      <c r="CU155" s="575" t="str">
        <f t="shared" si="142"/>
        <v/>
      </c>
      <c r="CV155" s="575" t="str">
        <f t="shared" si="143"/>
        <v/>
      </c>
      <c r="CW155" s="576">
        <f t="shared" si="106"/>
        <v>2013</v>
      </c>
      <c r="CX155" s="787">
        <f>INDEX('NY Curve'!$A$4:$G$256,MATCH('Monthly Table'!B155,'NY Curve'!$A$4:$A$256,0),MATCH("New York 5 X 16",'NY Curve'!$A$4:$G$4,0))</f>
        <v>33.35</v>
      </c>
      <c r="CY155" s="632">
        <f t="shared" si="107"/>
        <v>1.29995788034482</v>
      </c>
      <c r="CZ155" s="633">
        <f t="shared" si="108"/>
        <v>43.353595309499745</v>
      </c>
      <c r="DB155" s="857"/>
      <c r="DC155" s="857"/>
    </row>
    <row r="156" spans="1:107" ht="18.75" customHeight="1">
      <c r="A156" s="17" t="s">
        <v>438</v>
      </c>
      <c r="B156" s="508">
        <v>41306</v>
      </c>
      <c r="C156" s="43">
        <f t="shared" si="97"/>
        <v>2013</v>
      </c>
      <c r="D156" s="719">
        <f t="shared" si="144"/>
        <v>13</v>
      </c>
      <c r="E156" s="972">
        <v>20</v>
      </c>
      <c r="F156" s="971">
        <v>4</v>
      </c>
      <c r="G156" s="971">
        <v>4</v>
      </c>
      <c r="H156" s="971">
        <v>0</v>
      </c>
      <c r="I156" s="976">
        <f t="shared" si="118"/>
        <v>28</v>
      </c>
      <c r="J156" s="621"/>
      <c r="K156" s="572">
        <f>INDEX(FX!$A$3:$C$362,MATCH(B156,FX!$A$3:$A$362,0),MATCH("Monthly Curve",FX!$A$2:$C$2,0))</f>
        <v>1.2991387232859299</v>
      </c>
      <c r="L156" s="572"/>
      <c r="M156" s="1070">
        <v>3.5130000000000003</v>
      </c>
      <c r="N156" s="1071">
        <v>0.31</v>
      </c>
      <c r="O156" s="877">
        <v>0.1</v>
      </c>
      <c r="P156" s="797">
        <f t="shared" si="99"/>
        <v>0.41000000000000003</v>
      </c>
      <c r="Q156" s="732">
        <f t="shared" si="100"/>
        <v>3.9230000000000005</v>
      </c>
      <c r="R156" s="723">
        <f>IF(A156="January",(R155+R155*Assumptions!$E$32),R155)</f>
        <v>0.38088564620081972</v>
      </c>
      <c r="S156" s="730">
        <f t="shared" si="101"/>
        <v>5.4774068576515242</v>
      </c>
      <c r="T156" s="572"/>
      <c r="U156" s="509"/>
      <c r="V156" s="584"/>
      <c r="W156" s="584"/>
      <c r="X156" s="461"/>
      <c r="Y156" s="588">
        <f>Tables!$D$36</f>
        <v>312</v>
      </c>
      <c r="Z156" s="570">
        <f t="shared" si="102"/>
        <v>0</v>
      </c>
      <c r="AA156" s="592">
        <f t="shared" si="103"/>
        <v>0</v>
      </c>
      <c r="AB156" s="589">
        <f t="shared" si="98"/>
        <v>0</v>
      </c>
      <c r="AC156" s="462"/>
      <c r="AD156" s="1027">
        <f>IF(Tables!$E$30="Michigan",INDEX('Michigan Curve'!$A$4:$S$256,MATCH('Monthly Table'!B156,'Michigan Curve'!$A$4:$A$256,0),MATCH("Michigan Selected Option Value US$/month",'Michigan Curve'!$A$4:$S$4,0)),INDEX('NY Curve'!$A$4:$T$256,MATCH('Monthly Table'!B156,'NY Curve'!$A$4:$A$256,0),MATCH("New York Selected Option Value US$/month",'NY Curve'!$A$4:$T$4,0)))</f>
        <v>39769.311261520837</v>
      </c>
      <c r="AE156" s="601">
        <f t="shared" si="119"/>
        <v>51665.852258252933</v>
      </c>
      <c r="AF156" s="462"/>
      <c r="AG156" s="915"/>
      <c r="AH156" s="17"/>
      <c r="AI156" s="799">
        <f>Assumptions!$B$50</f>
        <v>65</v>
      </c>
      <c r="AJ156" s="743"/>
      <c r="AK156" s="924">
        <f>IF(Tables!$E$30="Custom",'Monthly Table'!AI156,IF(Tables!$E$30="New York",INDEX('NY Curve'!$A$4:$G$256,MATCH('Monthly Table'!B156,'NY Curve'!$A$4:$A$256,0),MATCH("Super Peak Curve",'NY Curve'!$A$4:$G$4,0)),IF(Tables!$E$30="New York Flat",INDEX('NY Curve'!$A$4:$G$256,MATCH('Monthly Table'!B156,'NY Curve'!$A$4:$A$256,0),MATCH("Flat NY West",'NY Curve'!$A$4:$G$4,0)),INDEX('Michigan Curve'!$A$4:$F$256,MATCH('Monthly Table'!B156,'Michigan Curve'!$A$4:$A$256,0),MATCH("Michigan Super Peak Curve US$/MWhr",'Michigan Curve'!$A$4:$F$4,0)))))</f>
        <v>35.393998443603515</v>
      </c>
      <c r="AL156" s="965">
        <f>IF(D156&lt;=Tables!$B$21,IF($AL$10=$AI$10,AI156,IF($AL$10=$AJ$10,AJ156,IF($AL$10=$AK$10,AK156,0))),0)</f>
        <v>35.393998443603515</v>
      </c>
      <c r="AM156" s="708">
        <f t="shared" si="120"/>
        <v>45.981713950007261</v>
      </c>
      <c r="AN156" s="916">
        <f t="shared" si="121"/>
        <v>0</v>
      </c>
      <c r="AO156" s="905"/>
      <c r="AP156" s="925"/>
      <c r="AQ156" s="926">
        <f>IF(Tables!$E$30="New York",INDEX('NY Curve'!$A$4:$L$256,MATCH('Monthly Table'!B156,'NY Curve'!$A$4:$A$256,0),MATCH("New York Shoulder Hour Curve Mon-Fri",'NY Curve'!$A$4:$L$4,0)),IF(Tables!$E$30="Michigan",INDEX('Michigan Curve'!$A$4:$K$256,MATCH('Monthly Table'!B156,'Michigan Curve'!$A$4:$A$256,0),MATCH("Michigan Shoulder Hour Curve Mon-Fri",'Michigan Curve'!$A$4:$K$4,0))))</f>
        <v>34.005998504638676</v>
      </c>
      <c r="AR156" s="708">
        <f t="shared" si="122"/>
        <v>44.178509481379535</v>
      </c>
      <c r="AS156" s="927">
        <f t="shared" si="109"/>
        <v>0</v>
      </c>
      <c r="AT156" s="462"/>
      <c r="AU156" s="926">
        <f>IF(Tables!$E$30="New York",INDEX('NY Curve'!$A$4:$L$256,MATCH('Monthly Table'!$B156,'NY Curve'!$A$4:$A$256,0),MATCH("New York Saturday Super Peak",'NY Curve'!$A$4:$L$4,0)),IF(Tables!$E$30="Michigan",INDEX('Michigan Curve'!$A$4:$K$256,MATCH('Monthly Table'!$B156,'Michigan Curve'!$A$4:$A$256,0),MATCH("Michigan Saturday Super Peak",'Michigan Curve'!$A$4:$K$4,0))))</f>
        <v>22.435920295715331</v>
      </c>
      <c r="AV156" s="925">
        <f t="shared" si="110"/>
        <v>29.147372848720497</v>
      </c>
      <c r="AW156" s="927">
        <f t="shared" si="111"/>
        <v>0</v>
      </c>
      <c r="AX156" s="926">
        <f>IF(Tables!$E$30="New York",INDEX('NY Curve'!$A$4:$L$256,MATCH('Monthly Table'!$B156,'NY Curve'!$A$4:$A$256,0),MATCH("New York Saturday Shoulder Peak",'NY Curve'!$A$4:$L$4,0)),IF(Tables!$E$30="Michigan",INDEX('Michigan Curve'!$A$4:$K$256,MATCH('Monthly Table'!$B156,'Michigan Curve'!$A$4:$A$256,0),MATCH("Michigan Saturday Shoulder Peak",'Michigan Curve'!$A$4:$K$4,0))))</f>
        <v>21.556080284118654</v>
      </c>
      <c r="AY156" s="934">
        <f t="shared" si="123"/>
        <v>28.004338619358915</v>
      </c>
      <c r="AZ156" s="927">
        <f t="shared" si="112"/>
        <v>0</v>
      </c>
      <c r="BA156" s="462"/>
      <c r="BB156" s="926">
        <f>IF(Tables!$E$30="New York",INDEX('NY Curve'!$A$4:$M$256,MATCH('Monthly Table'!$B156,'NY Curve'!$A$4:$A$256,0),MATCH("NY Sunday Super Peak",'NY Curve'!$A$4:$M$4,0)),IF(Tables!$E$30="Michigan",INDEX('Michigan Curve'!$A$4:$L$256,MATCH('Monthly Table'!$B156,'Michigan Curve'!$A$4:$A$256,0),MATCH("Michigan Sunday Super Peak",'Michigan Curve'!$A$4:$L$4,0))))</f>
        <v>21.416431961059569</v>
      </c>
      <c r="BC156" s="925">
        <f t="shared" si="124"/>
        <v>27.822916075230914</v>
      </c>
      <c r="BD156" s="927">
        <f t="shared" si="113"/>
        <v>0</v>
      </c>
      <c r="BE156" s="462"/>
      <c r="BF156" s="598">
        <f t="shared" si="104"/>
        <v>41306</v>
      </c>
      <c r="BG156" s="583">
        <f t="shared" si="125"/>
        <v>0</v>
      </c>
      <c r="BH156" s="764">
        <f>IF(Tables!$B$36="Combined Cycle",(BF156-BF155)*24*Assumptions!$B$21,0)</f>
        <v>0</v>
      </c>
      <c r="BI156" s="315">
        <f t="shared" si="126"/>
        <v>0</v>
      </c>
      <c r="BJ156" s="987">
        <f>IF('Monthly Table'!D156&lt;=Tables!$B$21,IF($BJ$10=$BG$10,BG156,IF($BJ$10=$BH$10,BH156,IF($BJ$10=$BI$10,BI156,0))),0)</f>
        <v>0</v>
      </c>
      <c r="BK156" s="43"/>
      <c r="BL156" s="987">
        <f t="shared" si="127"/>
        <v>0</v>
      </c>
      <c r="BM156" s="987">
        <f t="shared" si="128"/>
        <v>0</v>
      </c>
      <c r="BO156" s="987">
        <f t="shared" si="114"/>
        <v>0</v>
      </c>
      <c r="BP156" s="987">
        <f t="shared" si="129"/>
        <v>0</v>
      </c>
      <c r="BR156" s="993">
        <f>IF(BJ156&gt;0,INDEX(OperationalDetail,MATCH("Capacity Degradation",ODColumn,0),MATCH('Monthly Table'!C156,ODRow,0)),0)</f>
        <v>0</v>
      </c>
      <c r="BS156" s="994">
        <f>BJ156*(1-BR156)*Tables!$C$36</f>
        <v>0</v>
      </c>
      <c r="BT156" s="601">
        <f t="shared" si="115"/>
        <v>0</v>
      </c>
      <c r="BU156" s="601">
        <f t="shared" si="116"/>
        <v>0</v>
      </c>
      <c r="BV156" s="462"/>
      <c r="BW156" s="785">
        <f>$BO156*(1-$BR156)*Tables!$C$36</f>
        <v>0</v>
      </c>
      <c r="BX156" s="602">
        <f t="shared" si="130"/>
        <v>0</v>
      </c>
      <c r="BY156" s="601">
        <f t="shared" si="131"/>
        <v>0</v>
      </c>
      <c r="BZ156" s="462"/>
      <c r="CA156" s="785">
        <f>$BL156*(1-$BR156)*Tables!$C$36</f>
        <v>0</v>
      </c>
      <c r="CB156" s="602">
        <f t="shared" si="132"/>
        <v>0</v>
      </c>
      <c r="CC156" s="601">
        <f t="shared" si="133"/>
        <v>0</v>
      </c>
      <c r="CD156" s="785">
        <f>$BP156*(1-$BR156)*Tables!$C$36</f>
        <v>0</v>
      </c>
      <c r="CE156" s="602">
        <f t="shared" si="134"/>
        <v>0</v>
      </c>
      <c r="CF156" s="601">
        <f t="shared" si="135"/>
        <v>0</v>
      </c>
      <c r="CH156" s="785">
        <f>$BM156*(1-$BR156)*Tables!$C$36</f>
        <v>0</v>
      </c>
      <c r="CI156" s="602">
        <f t="shared" si="136"/>
        <v>0</v>
      </c>
      <c r="CJ156" s="601">
        <f t="shared" si="137"/>
        <v>0</v>
      </c>
      <c r="CK156" s="304"/>
      <c r="CL156" s="304">
        <f t="shared" si="138"/>
        <v>2012</v>
      </c>
      <c r="CM156" s="1018">
        <f>INDEX(OperationalDetail,MATCH("Degraded Heat Rate",ODColumn,0),MATCH('Monthly Table'!CL156,ODRow,0))/1000</f>
        <v>12.170137200000001</v>
      </c>
      <c r="CN156" s="737">
        <f t="shared" si="117"/>
        <v>66.660792957839931</v>
      </c>
      <c r="CO156" s="1019">
        <f>IF(A156="January",(CO155*(1+Assumptions!$E$32)),CO155)</f>
        <v>8.542401137500347</v>
      </c>
      <c r="CP156" s="741">
        <f t="shared" si="105"/>
        <v>75.20319409534028</v>
      </c>
      <c r="CQ156" s="304"/>
      <c r="CR156" s="575" t="str">
        <f t="shared" si="139"/>
        <v/>
      </c>
      <c r="CS156" s="575" t="str">
        <f t="shared" si="140"/>
        <v/>
      </c>
      <c r="CT156" s="575" t="str">
        <f t="shared" si="141"/>
        <v/>
      </c>
      <c r="CU156" s="575" t="str">
        <f t="shared" si="142"/>
        <v/>
      </c>
      <c r="CV156" s="575" t="str">
        <f t="shared" si="143"/>
        <v/>
      </c>
      <c r="CW156" s="576">
        <f t="shared" si="106"/>
        <v>2013</v>
      </c>
      <c r="CX156" s="787">
        <f>INDEX('NY Curve'!$A$4:$G$256,MATCH('Monthly Table'!B156,'NY Curve'!$A$4:$A$256,0),MATCH("New York 5 X 16",'NY Curve'!$A$4:$G$4,0))</f>
        <v>33.35</v>
      </c>
      <c r="CY156" s="632">
        <f t="shared" si="107"/>
        <v>1.2991387232859299</v>
      </c>
      <c r="CZ156" s="633">
        <f t="shared" si="108"/>
        <v>43.326276421585767</v>
      </c>
      <c r="DB156" s="857"/>
      <c r="DC156" s="857"/>
    </row>
    <row r="157" spans="1:107" ht="18.75" customHeight="1">
      <c r="A157" s="17" t="s">
        <v>439</v>
      </c>
      <c r="B157" s="508">
        <v>41334</v>
      </c>
      <c r="C157" s="43">
        <f t="shared" si="97"/>
        <v>2013</v>
      </c>
      <c r="D157" s="719">
        <f t="shared" si="144"/>
        <v>13</v>
      </c>
      <c r="E157" s="972">
        <v>21</v>
      </c>
      <c r="F157" s="971">
        <v>5</v>
      </c>
      <c r="G157" s="971">
        <v>5</v>
      </c>
      <c r="H157" s="971">
        <v>0</v>
      </c>
      <c r="I157" s="976">
        <f t="shared" si="118"/>
        <v>31</v>
      </c>
      <c r="J157" s="621"/>
      <c r="K157" s="572">
        <f>INDEX(FX!$A$3:$C$362,MATCH(B157,FX!$A$3:$A$362,0),MATCH("Monthly Curve",FX!$A$2:$C$2,0))</f>
        <v>1.29840089246263</v>
      </c>
      <c r="L157" s="572"/>
      <c r="M157" s="1070">
        <v>3.3980000000000001</v>
      </c>
      <c r="N157" s="1071">
        <v>0.31</v>
      </c>
      <c r="O157" s="877">
        <v>0.1</v>
      </c>
      <c r="P157" s="797">
        <f t="shared" si="99"/>
        <v>0.41000000000000003</v>
      </c>
      <c r="Q157" s="732">
        <f t="shared" si="100"/>
        <v>3.8080000000000003</v>
      </c>
      <c r="R157" s="723">
        <f>IF(A157="January",(R156+R156*Assumptions!$E$32),R156)</f>
        <v>0.38088564620081972</v>
      </c>
      <c r="S157" s="730">
        <f t="shared" si="101"/>
        <v>5.3251962446985157</v>
      </c>
      <c r="T157" s="572"/>
      <c r="U157" s="509"/>
      <c r="V157" s="584"/>
      <c r="W157" s="584"/>
      <c r="X157" s="461"/>
      <c r="Y157" s="588">
        <f>Tables!$D$36</f>
        <v>312</v>
      </c>
      <c r="Z157" s="570">
        <f t="shared" si="102"/>
        <v>0</v>
      </c>
      <c r="AA157" s="592">
        <f t="shared" si="103"/>
        <v>0</v>
      </c>
      <c r="AB157" s="589">
        <f t="shared" si="98"/>
        <v>0</v>
      </c>
      <c r="AC157" s="462"/>
      <c r="AD157" s="1027">
        <f>IF(Tables!$E$30="Michigan",INDEX('Michigan Curve'!$A$4:$S$256,MATCH('Monthly Table'!B157,'Michigan Curve'!$A$4:$A$256,0),MATCH("Michigan Selected Option Value US$/month",'Michigan Curve'!$A$4:$S$4,0)),INDEX('NY Curve'!$A$4:$T$256,MATCH('Monthly Table'!B157,'NY Curve'!$A$4:$A$256,0),MATCH("New York Selected Option Value US$/month",'NY Curve'!$A$4:$T$4,0)))</f>
        <v>10155.813440189357</v>
      </c>
      <c r="AE157" s="601">
        <f t="shared" si="119"/>
        <v>13186.317234425833</v>
      </c>
      <c r="AF157" s="462"/>
      <c r="AG157" s="915"/>
      <c r="AH157" s="17"/>
      <c r="AI157" s="799">
        <f>Assumptions!$B$50</f>
        <v>65</v>
      </c>
      <c r="AJ157" s="743"/>
      <c r="AK157" s="924">
        <f>IF(Tables!$E$30="Custom",'Monthly Table'!AI157,IF(Tables!$E$30="New York",INDEX('NY Curve'!$A$4:$G$256,MATCH('Monthly Table'!B157,'NY Curve'!$A$4:$A$256,0),MATCH("Super Peak Curve",'NY Curve'!$A$4:$G$4,0)),IF(Tables!$E$30="New York Flat",INDEX('NY Curve'!$A$4:$G$256,MATCH('Monthly Table'!B157,'NY Curve'!$A$4:$A$256,0),MATCH("Flat NY West",'NY Curve'!$A$4:$G$4,0)),INDEX('Michigan Curve'!$A$4:$F$256,MATCH('Monthly Table'!B157,'Michigan Curve'!$A$4:$A$256,0),MATCH("Michigan Super Peak Curve US$/MWhr",'Michigan Curve'!$A$4:$F$4,0)))))</f>
        <v>30.09</v>
      </c>
      <c r="AL157" s="965">
        <f>IF(D157&lt;=Tables!$B$21,IF($AL$10=$AI$10,AI157,IF($AL$10=$AJ$10,AJ157,IF($AL$10=$AK$10,AK157,0))),0)</f>
        <v>30.09</v>
      </c>
      <c r="AM157" s="708">
        <f t="shared" si="120"/>
        <v>39.068882854200538</v>
      </c>
      <c r="AN157" s="916">
        <f t="shared" si="121"/>
        <v>0</v>
      </c>
      <c r="AO157" s="905"/>
      <c r="AP157" s="925"/>
      <c r="AQ157" s="926">
        <f>IF(Tables!$E$30="New York",INDEX('NY Curve'!$A$4:$L$256,MATCH('Monthly Table'!B157,'NY Curve'!$A$4:$A$256,0),MATCH("New York Shoulder Hour Curve Mon-Fri",'NY Curve'!$A$4:$L$4,0)),IF(Tables!$E$30="Michigan",INDEX('Michigan Curve'!$A$4:$K$256,MATCH('Monthly Table'!B157,'Michigan Curve'!$A$4:$A$256,0),MATCH("Michigan Shoulder Hour Curve Mon-Fri",'Michigan Curve'!$A$4:$K$4,0))))</f>
        <v>28.91</v>
      </c>
      <c r="AR157" s="708">
        <f t="shared" si="122"/>
        <v>37.536769801094636</v>
      </c>
      <c r="AS157" s="927">
        <f t="shared" si="109"/>
        <v>0</v>
      </c>
      <c r="AT157" s="462"/>
      <c r="AU157" s="926">
        <f>IF(Tables!$E$30="New York",INDEX('NY Curve'!$A$4:$L$256,MATCH('Monthly Table'!$B157,'NY Curve'!$A$4:$A$256,0),MATCH("New York Saturday Super Peak",'NY Curve'!$A$4:$L$4,0)),IF(Tables!$E$30="Michigan",INDEX('Michigan Curve'!$A$4:$K$256,MATCH('Monthly Table'!$B157,'Michigan Curve'!$A$4:$A$256,0),MATCH("Michigan Saturday Super Peak",'Michigan Curve'!$A$4:$K$4,0))))</f>
        <v>20.399999999999999</v>
      </c>
      <c r="AV157" s="925">
        <f t="shared" si="110"/>
        <v>26.487378206237651</v>
      </c>
      <c r="AW157" s="927">
        <f t="shared" si="111"/>
        <v>0</v>
      </c>
      <c r="AX157" s="926">
        <f>IF(Tables!$E$30="New York",INDEX('NY Curve'!$A$4:$L$256,MATCH('Monthly Table'!$B157,'NY Curve'!$A$4:$A$256,0),MATCH("New York Saturday Shoulder Peak",'NY Curve'!$A$4:$L$4,0)),IF(Tables!$E$30="Michigan",INDEX('Michigan Curve'!$A$4:$K$256,MATCH('Monthly Table'!$B157,'Michigan Curve'!$A$4:$A$256,0),MATCH("Michigan Saturday Shoulder Peak",'Michigan Curve'!$A$4:$K$4,0))))</f>
        <v>19.600000000000001</v>
      </c>
      <c r="AY157" s="934">
        <f t="shared" si="123"/>
        <v>25.44865749226755</v>
      </c>
      <c r="AZ157" s="927">
        <f t="shared" si="112"/>
        <v>0</v>
      </c>
      <c r="BA157" s="462"/>
      <c r="BB157" s="926">
        <f>IF(Tables!$E$30="New York",INDEX('NY Curve'!$A$4:$M$256,MATCH('Monthly Table'!$B157,'NY Curve'!$A$4:$A$256,0),MATCH("NY Sunday Super Peak",'NY Curve'!$A$4:$M$4,0)),IF(Tables!$E$30="Michigan",INDEX('Michigan Curve'!$A$4:$L$256,MATCH('Monthly Table'!$B157,'Michigan Curve'!$A$4:$A$256,0),MATCH("Michigan Sunday Super Peak",'Michigan Curve'!$A$4:$L$4,0))))</f>
        <v>19.38</v>
      </c>
      <c r="BC157" s="925">
        <f t="shared" si="124"/>
        <v>25.163009295925768</v>
      </c>
      <c r="BD157" s="927">
        <f t="shared" si="113"/>
        <v>0</v>
      </c>
      <c r="BE157" s="462"/>
      <c r="BF157" s="598">
        <f t="shared" si="104"/>
        <v>41334</v>
      </c>
      <c r="BG157" s="583">
        <f t="shared" si="125"/>
        <v>0</v>
      </c>
      <c r="BH157" s="764">
        <f>IF(Tables!$B$36="Combined Cycle",(BF157-BF156)*24*Assumptions!$B$21,0)</f>
        <v>0</v>
      </c>
      <c r="BI157" s="315">
        <f t="shared" si="126"/>
        <v>0</v>
      </c>
      <c r="BJ157" s="987">
        <f>IF('Monthly Table'!D157&lt;=Tables!$B$21,IF($BJ$10=$BG$10,BG157,IF($BJ$10=$BH$10,BH157,IF($BJ$10=$BI$10,BI157,0))),0)</f>
        <v>0</v>
      </c>
      <c r="BK157" s="43"/>
      <c r="BL157" s="987">
        <f t="shared" si="127"/>
        <v>0</v>
      </c>
      <c r="BM157" s="987">
        <f t="shared" si="128"/>
        <v>0</v>
      </c>
      <c r="BO157" s="987">
        <f t="shared" si="114"/>
        <v>0</v>
      </c>
      <c r="BP157" s="987">
        <f t="shared" si="129"/>
        <v>0</v>
      </c>
      <c r="BR157" s="993">
        <f>IF(BJ157&gt;0,INDEX(OperationalDetail,MATCH("Capacity Degradation",ODColumn,0),MATCH('Monthly Table'!C157,ODRow,0)),0)</f>
        <v>0</v>
      </c>
      <c r="BS157" s="994">
        <f>BJ157*(1-BR157)*Tables!$C$36</f>
        <v>0</v>
      </c>
      <c r="BT157" s="601">
        <f t="shared" si="115"/>
        <v>0</v>
      </c>
      <c r="BU157" s="601">
        <f t="shared" si="116"/>
        <v>0</v>
      </c>
      <c r="BV157" s="462"/>
      <c r="BW157" s="785">
        <f>$BO157*(1-$BR157)*Tables!$C$36</f>
        <v>0</v>
      </c>
      <c r="BX157" s="602">
        <f t="shared" si="130"/>
        <v>0</v>
      </c>
      <c r="BY157" s="601">
        <f t="shared" si="131"/>
        <v>0</v>
      </c>
      <c r="BZ157" s="462"/>
      <c r="CA157" s="785">
        <f>$BL157*(1-$BR157)*Tables!$C$36</f>
        <v>0</v>
      </c>
      <c r="CB157" s="602">
        <f t="shared" si="132"/>
        <v>0</v>
      </c>
      <c r="CC157" s="601">
        <f t="shared" si="133"/>
        <v>0</v>
      </c>
      <c r="CD157" s="785">
        <f>$BP157*(1-$BR157)*Tables!$C$36</f>
        <v>0</v>
      </c>
      <c r="CE157" s="602">
        <f t="shared" si="134"/>
        <v>0</v>
      </c>
      <c r="CF157" s="601">
        <f t="shared" si="135"/>
        <v>0</v>
      </c>
      <c r="CH157" s="785">
        <f>$BM157*(1-$BR157)*Tables!$C$36</f>
        <v>0</v>
      </c>
      <c r="CI157" s="602">
        <f t="shared" si="136"/>
        <v>0</v>
      </c>
      <c r="CJ157" s="601">
        <f t="shared" si="137"/>
        <v>0</v>
      </c>
      <c r="CK157" s="304"/>
      <c r="CL157" s="304">
        <f t="shared" si="138"/>
        <v>2012</v>
      </c>
      <c r="CM157" s="1018">
        <f>INDEX(OperationalDetail,MATCH("Degraded Heat Rate",ODColumn,0),MATCH('Monthly Table'!CL157,ODRow,0))/1000</f>
        <v>12.170137200000001</v>
      </c>
      <c r="CN157" s="737">
        <f t="shared" si="117"/>
        <v>64.808368914905714</v>
      </c>
      <c r="CO157" s="1019">
        <f>IF(A157="January",(CO156*(1+Assumptions!$E$32)),CO156)</f>
        <v>8.542401137500347</v>
      </c>
      <c r="CP157" s="741">
        <f t="shared" si="105"/>
        <v>73.350770052406062</v>
      </c>
      <c r="CQ157" s="304"/>
      <c r="CR157" s="575" t="str">
        <f t="shared" si="139"/>
        <v/>
      </c>
      <c r="CS157" s="575" t="str">
        <f t="shared" si="140"/>
        <v/>
      </c>
      <c r="CT157" s="575" t="str">
        <f t="shared" si="141"/>
        <v/>
      </c>
      <c r="CU157" s="575" t="str">
        <f t="shared" si="142"/>
        <v/>
      </c>
      <c r="CV157" s="575" t="str">
        <f t="shared" si="143"/>
        <v/>
      </c>
      <c r="CW157" s="576">
        <f t="shared" si="106"/>
        <v>2013</v>
      </c>
      <c r="CX157" s="787">
        <f>INDEX('NY Curve'!$A$4:$G$256,MATCH('Monthly Table'!B157,'NY Curve'!$A$4:$A$256,0),MATCH("New York 5 X 16",'NY Curve'!$A$4:$G$4,0))</f>
        <v>28.35</v>
      </c>
      <c r="CY157" s="632">
        <f t="shared" si="107"/>
        <v>1.29840089246263</v>
      </c>
      <c r="CZ157" s="633">
        <f t="shared" si="108"/>
        <v>36.809665301315562</v>
      </c>
      <c r="DB157" s="857"/>
      <c r="DC157" s="857"/>
    </row>
    <row r="158" spans="1:107" ht="18.75" customHeight="1">
      <c r="A158" s="17" t="s">
        <v>440</v>
      </c>
      <c r="B158" s="508">
        <v>41365</v>
      </c>
      <c r="C158" s="43">
        <f t="shared" si="97"/>
        <v>2013</v>
      </c>
      <c r="D158" s="719">
        <f t="shared" si="144"/>
        <v>13</v>
      </c>
      <c r="E158" s="972">
        <v>22</v>
      </c>
      <c r="F158" s="971">
        <v>4</v>
      </c>
      <c r="G158" s="971">
        <v>4</v>
      </c>
      <c r="H158" s="971">
        <v>0</v>
      </c>
      <c r="I158" s="976">
        <f t="shared" si="118"/>
        <v>30</v>
      </c>
      <c r="J158" s="621"/>
      <c r="K158" s="572">
        <f>INDEX(FX!$A$3:$C$362,MATCH(B158,FX!$A$3:$A$362,0),MATCH("Monthly Curve",FX!$A$2:$C$2,0))</f>
        <v>1.29758627770811</v>
      </c>
      <c r="L158" s="572"/>
      <c r="M158" s="1070">
        <v>3.3305000000000002</v>
      </c>
      <c r="N158" s="1071">
        <v>0.14499999999999999</v>
      </c>
      <c r="O158" s="877">
        <v>0.1</v>
      </c>
      <c r="P158" s="797">
        <f t="shared" si="99"/>
        <v>0.245</v>
      </c>
      <c r="Q158" s="732">
        <f t="shared" si="100"/>
        <v>3.5755000000000003</v>
      </c>
      <c r="R158" s="723">
        <f>IF(A158="January",(R157+R157*Assumptions!$E$32),R157)</f>
        <v>0.38088564620081972</v>
      </c>
      <c r="S158" s="730">
        <f t="shared" si="101"/>
        <v>5.0204053821461674</v>
      </c>
      <c r="T158" s="572"/>
      <c r="U158" s="509"/>
      <c r="V158" s="584"/>
      <c r="W158" s="584"/>
      <c r="X158" s="461"/>
      <c r="Y158" s="588">
        <f>Tables!$D$36</f>
        <v>312</v>
      </c>
      <c r="Z158" s="570">
        <f t="shared" si="102"/>
        <v>0</v>
      </c>
      <c r="AA158" s="592">
        <f t="shared" si="103"/>
        <v>0</v>
      </c>
      <c r="AB158" s="589">
        <f t="shared" si="98"/>
        <v>0</v>
      </c>
      <c r="AC158" s="462"/>
      <c r="AD158" s="1027">
        <f>IF(Tables!$E$30="Michigan",INDEX('Michigan Curve'!$A$4:$S$256,MATCH('Monthly Table'!B158,'Michigan Curve'!$A$4:$A$256,0),MATCH("Michigan Selected Option Value US$/month",'Michigan Curve'!$A$4:$S$4,0)),INDEX('NY Curve'!$A$4:$T$256,MATCH('Monthly Table'!B158,'NY Curve'!$A$4:$A$256,0),MATCH("New York Selected Option Value US$/month",'NY Curve'!$A$4:$T$4,0)))</f>
        <v>12430.705707552972</v>
      </c>
      <c r="AE158" s="601">
        <f t="shared" si="119"/>
        <v>16129.913148348618</v>
      </c>
      <c r="AF158" s="462"/>
      <c r="AG158" s="915"/>
      <c r="AH158" s="17"/>
      <c r="AI158" s="799">
        <f>Assumptions!$B$50</f>
        <v>65</v>
      </c>
      <c r="AJ158" s="743"/>
      <c r="AK158" s="924">
        <f>IF(Tables!$E$30="Custom",'Monthly Table'!AI158,IF(Tables!$E$30="New York",INDEX('NY Curve'!$A$4:$G$256,MATCH('Monthly Table'!B158,'NY Curve'!$A$4:$A$256,0),MATCH("Super Peak Curve",'NY Curve'!$A$4:$G$4,0)),IF(Tables!$E$30="New York Flat",INDEX('NY Curve'!$A$4:$G$256,MATCH('Monthly Table'!B158,'NY Curve'!$A$4:$A$256,0),MATCH("Flat NY West",'NY Curve'!$A$4:$G$4,0)),INDEX('Michigan Curve'!$A$4:$F$256,MATCH('Monthly Table'!B158,'Michigan Curve'!$A$4:$A$256,0),MATCH("Michigan Super Peak Curve US$/MWhr",'Michigan Curve'!$A$4:$F$4,0)))))</f>
        <v>29.75</v>
      </c>
      <c r="AL158" s="965">
        <f>IF(D158&lt;=Tables!$B$21,IF($AL$10=$AI$10,AI158,IF($AL$10=$AJ$10,AJ158,IF($AL$10=$AK$10,AK158,0))),0)</f>
        <v>29.75</v>
      </c>
      <c r="AM158" s="708">
        <f t="shared" si="120"/>
        <v>38.603191761816269</v>
      </c>
      <c r="AN158" s="916">
        <f t="shared" si="121"/>
        <v>0</v>
      </c>
      <c r="AO158" s="905"/>
      <c r="AP158" s="925"/>
      <c r="AQ158" s="926">
        <f>IF(Tables!$E$30="New York",INDEX('NY Curve'!$A$4:$L$256,MATCH('Monthly Table'!B158,'NY Curve'!$A$4:$A$256,0),MATCH("New York Shoulder Hour Curve Mon-Fri",'NY Curve'!$A$4:$L$4,0)),IF(Tables!$E$30="Michigan",INDEX('Michigan Curve'!$A$4:$K$256,MATCH('Monthly Table'!B158,'Michigan Curve'!$A$4:$A$256,0),MATCH("Michigan Shoulder Hour Curve Mon-Fri",'Michigan Curve'!$A$4:$K$4,0))))</f>
        <v>29.75</v>
      </c>
      <c r="AR158" s="708">
        <f t="shared" si="122"/>
        <v>38.603191761816269</v>
      </c>
      <c r="AS158" s="927">
        <f t="shared" si="109"/>
        <v>0</v>
      </c>
      <c r="AT158" s="462"/>
      <c r="AU158" s="926">
        <f>IF(Tables!$E$30="New York",INDEX('NY Curve'!$A$4:$L$256,MATCH('Monthly Table'!$B158,'NY Curve'!$A$4:$A$256,0),MATCH("New York Saturday Super Peak",'NY Curve'!$A$4:$L$4,0)),IF(Tables!$E$30="Michigan",INDEX('Michigan Curve'!$A$4:$K$256,MATCH('Monthly Table'!$B158,'Michigan Curve'!$A$4:$A$256,0),MATCH("Michigan Saturday Super Peak",'Michigan Curve'!$A$4:$K$4,0))))</f>
        <v>20</v>
      </c>
      <c r="AV158" s="925">
        <f t="shared" si="110"/>
        <v>25.951725554162199</v>
      </c>
      <c r="AW158" s="927">
        <f t="shared" si="111"/>
        <v>0</v>
      </c>
      <c r="AX158" s="926">
        <f>IF(Tables!$E$30="New York",INDEX('NY Curve'!$A$4:$L$256,MATCH('Monthly Table'!$B158,'NY Curve'!$A$4:$A$256,0),MATCH("New York Saturday Shoulder Peak",'NY Curve'!$A$4:$L$4,0)),IF(Tables!$E$30="Michigan",INDEX('Michigan Curve'!$A$4:$K$256,MATCH('Monthly Table'!$B158,'Michigan Curve'!$A$4:$A$256,0),MATCH("Michigan Saturday Shoulder Peak",'Michigan Curve'!$A$4:$K$4,0))))</f>
        <v>20</v>
      </c>
      <c r="AY158" s="934">
        <f t="shared" si="123"/>
        <v>25.951725554162199</v>
      </c>
      <c r="AZ158" s="927">
        <f t="shared" si="112"/>
        <v>0</v>
      </c>
      <c r="BA158" s="462"/>
      <c r="BB158" s="926">
        <f>IF(Tables!$E$30="New York",INDEX('NY Curve'!$A$4:$M$256,MATCH('Monthly Table'!$B158,'NY Curve'!$A$4:$A$256,0),MATCH("NY Sunday Super Peak",'NY Curve'!$A$4:$M$4,0)),IF(Tables!$E$30="Michigan",INDEX('Michigan Curve'!$A$4:$L$256,MATCH('Monthly Table'!$B158,'Michigan Curve'!$A$4:$A$256,0),MATCH("Michigan Sunday Super Peak",'Michigan Curve'!$A$4:$L$4,0))))</f>
        <v>18.995000839233398</v>
      </c>
      <c r="BC158" s="925">
        <f t="shared" si="124"/>
        <v>24.647652434043291</v>
      </c>
      <c r="BD158" s="927">
        <f t="shared" si="113"/>
        <v>0</v>
      </c>
      <c r="BE158" s="462"/>
      <c r="BF158" s="598">
        <f t="shared" si="104"/>
        <v>41365</v>
      </c>
      <c r="BG158" s="583">
        <f t="shared" si="125"/>
        <v>0</v>
      </c>
      <c r="BH158" s="764">
        <f>IF(Tables!$B$36="Combined Cycle",(BF158-BF157)*24*Assumptions!$B$21,0)</f>
        <v>0</v>
      </c>
      <c r="BI158" s="315">
        <f t="shared" si="126"/>
        <v>0</v>
      </c>
      <c r="BJ158" s="987">
        <f>IF('Monthly Table'!D158&lt;=Tables!$B$21,IF($BJ$10=$BG$10,BG158,IF($BJ$10=$BH$10,BH158,IF($BJ$10=$BI$10,BI158,0))),0)</f>
        <v>0</v>
      </c>
      <c r="BK158" s="43"/>
      <c r="BL158" s="987">
        <f t="shared" si="127"/>
        <v>0</v>
      </c>
      <c r="BM158" s="987">
        <f t="shared" si="128"/>
        <v>0</v>
      </c>
      <c r="BO158" s="987">
        <f t="shared" si="114"/>
        <v>0</v>
      </c>
      <c r="BP158" s="987">
        <f t="shared" si="129"/>
        <v>0</v>
      </c>
      <c r="BR158" s="993">
        <f>IF(BJ158&gt;0,INDEX(OperationalDetail,MATCH("Capacity Degradation",ODColumn,0),MATCH('Monthly Table'!C158,ODRow,0)),0)</f>
        <v>0</v>
      </c>
      <c r="BS158" s="994">
        <f>BJ158*(1-BR158)*Tables!$C$36</f>
        <v>0</v>
      </c>
      <c r="BT158" s="601">
        <f t="shared" si="115"/>
        <v>0</v>
      </c>
      <c r="BU158" s="601">
        <f t="shared" si="116"/>
        <v>0</v>
      </c>
      <c r="BV158" s="462"/>
      <c r="BW158" s="785">
        <f>$BO158*(1-$BR158)*Tables!$C$36</f>
        <v>0</v>
      </c>
      <c r="BX158" s="602">
        <f t="shared" si="130"/>
        <v>0</v>
      </c>
      <c r="BY158" s="601">
        <f t="shared" si="131"/>
        <v>0</v>
      </c>
      <c r="BZ158" s="462"/>
      <c r="CA158" s="785">
        <f>$BL158*(1-$BR158)*Tables!$C$36</f>
        <v>0</v>
      </c>
      <c r="CB158" s="602">
        <f t="shared" si="132"/>
        <v>0</v>
      </c>
      <c r="CC158" s="601">
        <f t="shared" si="133"/>
        <v>0</v>
      </c>
      <c r="CD158" s="785">
        <f>$BP158*(1-$BR158)*Tables!$C$36</f>
        <v>0</v>
      </c>
      <c r="CE158" s="602">
        <f t="shared" si="134"/>
        <v>0</v>
      </c>
      <c r="CF158" s="601">
        <f t="shared" si="135"/>
        <v>0</v>
      </c>
      <c r="CH158" s="785">
        <f>$BM158*(1-$BR158)*Tables!$C$36</f>
        <v>0</v>
      </c>
      <c r="CI158" s="602">
        <f t="shared" si="136"/>
        <v>0</v>
      </c>
      <c r="CJ158" s="601">
        <f t="shared" si="137"/>
        <v>0</v>
      </c>
      <c r="CK158" s="304"/>
      <c r="CL158" s="304">
        <f t="shared" si="138"/>
        <v>2012</v>
      </c>
      <c r="CM158" s="1018">
        <f>INDEX(OperationalDetail,MATCH("Degraded Heat Rate",ODColumn,0),MATCH('Monthly Table'!CL158,ODRow,0))/1000</f>
        <v>12.170137200000001</v>
      </c>
      <c r="CN158" s="737">
        <f t="shared" si="117"/>
        <v>61.099022300337289</v>
      </c>
      <c r="CO158" s="1019">
        <f>IF(A158="January",(CO157*(1+Assumptions!$E$32)),CO157)</f>
        <v>8.542401137500347</v>
      </c>
      <c r="CP158" s="741">
        <f t="shared" si="105"/>
        <v>69.641423437837631</v>
      </c>
      <c r="CQ158" s="304"/>
      <c r="CR158" s="575" t="str">
        <f t="shared" si="139"/>
        <v/>
      </c>
      <c r="CS158" s="575" t="str">
        <f t="shared" si="140"/>
        <v/>
      </c>
      <c r="CT158" s="575" t="str">
        <f t="shared" si="141"/>
        <v/>
      </c>
      <c r="CU158" s="575" t="str">
        <f t="shared" si="142"/>
        <v/>
      </c>
      <c r="CV158" s="575" t="str">
        <f t="shared" si="143"/>
        <v/>
      </c>
      <c r="CW158" s="576">
        <f t="shared" si="106"/>
        <v>2013</v>
      </c>
      <c r="CX158" s="787">
        <f>INDEX('NY Curve'!$A$4:$G$256,MATCH('Monthly Table'!B158,'NY Curve'!$A$4:$A$256,0),MATCH("New York 5 X 16",'NY Curve'!$A$4:$G$4,0))</f>
        <v>27.1</v>
      </c>
      <c r="CY158" s="632">
        <f t="shared" si="107"/>
        <v>1.29758627770811</v>
      </c>
      <c r="CZ158" s="633">
        <f t="shared" si="108"/>
        <v>35.164588125889779</v>
      </c>
      <c r="DB158" s="857"/>
      <c r="DC158" s="857"/>
    </row>
    <row r="159" spans="1:107" ht="18.75" customHeight="1">
      <c r="A159" s="17" t="s">
        <v>441</v>
      </c>
      <c r="B159" s="508">
        <v>41395</v>
      </c>
      <c r="C159" s="43">
        <f t="shared" si="97"/>
        <v>2013</v>
      </c>
      <c r="D159" s="719">
        <f t="shared" si="144"/>
        <v>13</v>
      </c>
      <c r="E159" s="972">
        <v>22</v>
      </c>
      <c r="F159" s="971">
        <v>4</v>
      </c>
      <c r="G159" s="971">
        <v>4</v>
      </c>
      <c r="H159" s="971">
        <v>1</v>
      </c>
      <c r="I159" s="976">
        <f t="shared" si="118"/>
        <v>31</v>
      </c>
      <c r="J159" s="621"/>
      <c r="K159" s="572">
        <f>INDEX(FX!$A$3:$C$362,MATCH(B159,FX!$A$3:$A$362,0),MATCH("Monthly Curve",FX!$A$2:$C$2,0))</f>
        <v>1.29680020794808</v>
      </c>
      <c r="L159" s="572"/>
      <c r="M159" s="1070">
        <v>3.3045</v>
      </c>
      <c r="N159" s="1071">
        <v>0.14499999999999999</v>
      </c>
      <c r="O159" s="877">
        <v>0.1</v>
      </c>
      <c r="P159" s="797">
        <f t="shared" si="99"/>
        <v>0.245</v>
      </c>
      <c r="Q159" s="732">
        <f t="shared" si="100"/>
        <v>3.5495000000000001</v>
      </c>
      <c r="R159" s="723">
        <f>IF(A159="January",(R158+R158*Assumptions!$E$32),R158)</f>
        <v>0.38088564620081972</v>
      </c>
      <c r="S159" s="730">
        <f t="shared" si="101"/>
        <v>4.9838779843125307</v>
      </c>
      <c r="T159" s="572"/>
      <c r="U159" s="509"/>
      <c r="V159" s="584"/>
      <c r="W159" s="584"/>
      <c r="X159" s="461"/>
      <c r="Y159" s="588">
        <f>Tables!$D$36</f>
        <v>312</v>
      </c>
      <c r="Z159" s="570">
        <f t="shared" si="102"/>
        <v>0</v>
      </c>
      <c r="AA159" s="592">
        <f t="shared" si="103"/>
        <v>0</v>
      </c>
      <c r="AB159" s="589">
        <f t="shared" si="98"/>
        <v>0</v>
      </c>
      <c r="AC159" s="462"/>
      <c r="AD159" s="1027">
        <f>IF(Tables!$E$30="Michigan",INDEX('Michigan Curve'!$A$4:$S$256,MATCH('Monthly Table'!B159,'Michigan Curve'!$A$4:$A$256,0),MATCH("Michigan Selected Option Value US$/month",'Michigan Curve'!$A$4:$S$4,0)),INDEX('NY Curve'!$A$4:$T$256,MATCH('Monthly Table'!B159,'NY Curve'!$A$4:$A$256,0),MATCH("New York Selected Option Value US$/month",'NY Curve'!$A$4:$T$4,0)))</f>
        <v>23208.34430581066</v>
      </c>
      <c r="AE159" s="601">
        <f t="shared" si="119"/>
        <v>30096.585721905903</v>
      </c>
      <c r="AF159" s="462"/>
      <c r="AG159" s="915"/>
      <c r="AH159" s="17"/>
      <c r="AI159" s="799">
        <f>Assumptions!$B$50</f>
        <v>65</v>
      </c>
      <c r="AJ159" s="743"/>
      <c r="AK159" s="924">
        <f>IF(Tables!$E$30="Custom",'Monthly Table'!AI159,IF(Tables!$E$30="New York",INDEX('NY Curve'!$A$4:$G$256,MATCH('Monthly Table'!B159,'NY Curve'!$A$4:$A$256,0),MATCH("Super Peak Curve",'NY Curve'!$A$4:$G$4,0)),IF(Tables!$E$30="New York Flat",INDEX('NY Curve'!$A$4:$G$256,MATCH('Monthly Table'!B159,'NY Curve'!$A$4:$A$256,0),MATCH("Flat NY West",'NY Curve'!$A$4:$G$4,0)),INDEX('Michigan Curve'!$A$4:$F$256,MATCH('Monthly Table'!B159,'Michigan Curve'!$A$4:$A$256,0),MATCH("Michigan Super Peak Curve US$/MWhr",'Michigan Curve'!$A$4:$F$4,0)))))</f>
        <v>36.054375059902668</v>
      </c>
      <c r="AL159" s="965">
        <f>IF(D159&lt;=Tables!$B$21,IF($AL$10=$AI$10,AI159,IF($AL$10=$AJ$10,AJ159,IF($AL$10=$AK$10,AK159,0))),0)</f>
        <v>36.054375059902668</v>
      </c>
      <c r="AM159" s="708">
        <f t="shared" si="120"/>
        <v>46.755321075119852</v>
      </c>
      <c r="AN159" s="916">
        <f t="shared" si="121"/>
        <v>0</v>
      </c>
      <c r="AO159" s="905"/>
      <c r="AP159" s="925"/>
      <c r="AQ159" s="926">
        <f>IF(Tables!$E$30="New York",INDEX('NY Curve'!$A$4:$L$256,MATCH('Monthly Table'!B159,'NY Curve'!$A$4:$A$256,0),MATCH("New York Shoulder Hour Curve Mon-Fri",'NY Curve'!$A$4:$L$4,0)),IF(Tables!$E$30="Michigan",INDEX('Michigan Curve'!$A$4:$K$256,MATCH('Monthly Table'!B159,'Michigan Curve'!$A$4:$A$256,0),MATCH("Michigan Shoulder Hour Curve Mon-Fri",'Michigan Curve'!$A$4:$K$4,0))))</f>
        <v>30.945624940097332</v>
      </c>
      <c r="AR159" s="708">
        <f t="shared" si="122"/>
        <v>40.130292857401514</v>
      </c>
      <c r="AS159" s="927">
        <f t="shared" si="109"/>
        <v>0</v>
      </c>
      <c r="AT159" s="462"/>
      <c r="AU159" s="926">
        <f>IF(Tables!$E$30="New York",INDEX('NY Curve'!$A$4:$L$256,MATCH('Monthly Table'!$B159,'NY Curve'!$A$4:$A$256,0),MATCH("New York Saturday Super Peak",'NY Curve'!$A$4:$L$4,0)),IF(Tables!$E$30="Michigan",INDEX('Michigan Curve'!$A$4:$K$256,MATCH('Monthly Table'!$B159,'Michigan Curve'!$A$4:$A$256,0),MATCH("Michigan Saturday Super Peak",'Michigan Curve'!$A$4:$K$4,0))))</f>
        <v>22.601250037550926</v>
      </c>
      <c r="AV159" s="925">
        <f t="shared" si="110"/>
        <v>29.309305748582592</v>
      </c>
      <c r="AW159" s="927">
        <f t="shared" si="111"/>
        <v>0</v>
      </c>
      <c r="AX159" s="926">
        <f>IF(Tables!$E$30="New York",INDEX('NY Curve'!$A$4:$L$256,MATCH('Monthly Table'!$B159,'NY Curve'!$A$4:$A$256,0),MATCH("New York Saturday Shoulder Peak",'NY Curve'!$A$4:$L$4,0)),IF(Tables!$E$30="Michigan",INDEX('Michigan Curve'!$A$4:$K$256,MATCH('Monthly Table'!$B159,'Michigan Curve'!$A$4:$A$256,0),MATCH("Michigan Saturday Shoulder Peak",'Michigan Curve'!$A$4:$K$4,0))))</f>
        <v>19.398749962449074</v>
      </c>
      <c r="AY159" s="934">
        <f t="shared" si="123"/>
        <v>25.156302985236771</v>
      </c>
      <c r="AZ159" s="927">
        <f t="shared" si="112"/>
        <v>0</v>
      </c>
      <c r="BA159" s="462"/>
      <c r="BB159" s="926">
        <f>IF(Tables!$E$30="New York",INDEX('NY Curve'!$A$4:$M$256,MATCH('Monthly Table'!$B159,'NY Curve'!$A$4:$A$256,0),MATCH("NY Sunday Super Peak",'NY Curve'!$A$4:$M$4,0)),IF(Tables!$E$30="Michigan",INDEX('Michigan Curve'!$A$4:$L$256,MATCH('Monthly Table'!$B159,'Michigan Curve'!$A$4:$A$256,0),MATCH("Michigan Sunday Super Peak",'Michigan Curve'!$A$4:$L$4,0))))</f>
        <v>21.530380382546781</v>
      </c>
      <c r="BC159" s="925">
        <f t="shared" si="124"/>
        <v>27.92060175728793</v>
      </c>
      <c r="BD159" s="927">
        <f t="shared" si="113"/>
        <v>0</v>
      </c>
      <c r="BE159" s="462"/>
      <c r="BF159" s="598">
        <f t="shared" si="104"/>
        <v>41395</v>
      </c>
      <c r="BG159" s="583">
        <f t="shared" si="125"/>
        <v>0</v>
      </c>
      <c r="BH159" s="764">
        <f>IF(Tables!$B$36="Combined Cycle",(BF159-BF158)*24*Assumptions!$B$21,0)</f>
        <v>0</v>
      </c>
      <c r="BI159" s="315">
        <f t="shared" si="126"/>
        <v>0</v>
      </c>
      <c r="BJ159" s="987">
        <f>IF('Monthly Table'!D159&lt;=Tables!$B$21,IF($BJ$10=$BG$10,BG159,IF($BJ$10=$BH$10,BH159,IF($BJ$10=$BI$10,BI159,0))),0)</f>
        <v>0</v>
      </c>
      <c r="BK159" s="43"/>
      <c r="BL159" s="987">
        <f t="shared" si="127"/>
        <v>0</v>
      </c>
      <c r="BM159" s="987">
        <f t="shared" si="128"/>
        <v>0</v>
      </c>
      <c r="BO159" s="987">
        <f t="shared" si="114"/>
        <v>0</v>
      </c>
      <c r="BP159" s="987">
        <f t="shared" si="129"/>
        <v>0</v>
      </c>
      <c r="BR159" s="993">
        <f>IF(BJ159&gt;0,INDEX(OperationalDetail,MATCH("Capacity Degradation",ODColumn,0),MATCH('Monthly Table'!C159,ODRow,0)),0)</f>
        <v>0</v>
      </c>
      <c r="BS159" s="994">
        <f>BJ159*(1-BR159)*Tables!$C$36</f>
        <v>0</v>
      </c>
      <c r="BT159" s="601">
        <f t="shared" si="115"/>
        <v>0</v>
      </c>
      <c r="BU159" s="601">
        <f t="shared" si="116"/>
        <v>0</v>
      </c>
      <c r="BV159" s="462"/>
      <c r="BW159" s="785">
        <f>$BO159*(1-$BR159)*Tables!$C$36</f>
        <v>0</v>
      </c>
      <c r="BX159" s="602">
        <f t="shared" si="130"/>
        <v>0</v>
      </c>
      <c r="BY159" s="601">
        <f t="shared" si="131"/>
        <v>0</v>
      </c>
      <c r="BZ159" s="462"/>
      <c r="CA159" s="785">
        <f>$BL159*(1-$BR159)*Tables!$C$36</f>
        <v>0</v>
      </c>
      <c r="CB159" s="602">
        <f t="shared" si="132"/>
        <v>0</v>
      </c>
      <c r="CC159" s="601">
        <f t="shared" si="133"/>
        <v>0</v>
      </c>
      <c r="CD159" s="785">
        <f>$BP159*(1-$BR159)*Tables!$C$36</f>
        <v>0</v>
      </c>
      <c r="CE159" s="602">
        <f t="shared" si="134"/>
        <v>0</v>
      </c>
      <c r="CF159" s="601">
        <f t="shared" si="135"/>
        <v>0</v>
      </c>
      <c r="CH159" s="785">
        <f>$BM159*(1-$BR159)*Tables!$C$36</f>
        <v>0</v>
      </c>
      <c r="CI159" s="602">
        <f t="shared" si="136"/>
        <v>0</v>
      </c>
      <c r="CJ159" s="601">
        <f t="shared" si="137"/>
        <v>0</v>
      </c>
      <c r="CK159" s="304"/>
      <c r="CL159" s="304">
        <f t="shared" si="138"/>
        <v>2012</v>
      </c>
      <c r="CM159" s="1018">
        <f>INDEX(OperationalDetail,MATCH("Degraded Heat Rate",ODColumn,0),MATCH('Monthly Table'!CL159,ODRow,0))/1000</f>
        <v>12.170137200000001</v>
      </c>
      <c r="CN159" s="737">
        <f t="shared" si="117"/>
        <v>60.654478857142948</v>
      </c>
      <c r="CO159" s="1019">
        <f>IF(A159="January",(CO158*(1+Assumptions!$E$32)),CO158)</f>
        <v>8.542401137500347</v>
      </c>
      <c r="CP159" s="741">
        <f t="shared" si="105"/>
        <v>69.196879994643297</v>
      </c>
      <c r="CQ159" s="304"/>
      <c r="CR159" s="575" t="str">
        <f t="shared" si="139"/>
        <v/>
      </c>
      <c r="CS159" s="575" t="str">
        <f t="shared" si="140"/>
        <v/>
      </c>
      <c r="CT159" s="575" t="str">
        <f t="shared" si="141"/>
        <v/>
      </c>
      <c r="CU159" s="575" t="str">
        <f t="shared" si="142"/>
        <v/>
      </c>
      <c r="CV159" s="575" t="str">
        <f t="shared" si="143"/>
        <v/>
      </c>
      <c r="CW159" s="576">
        <f t="shared" si="106"/>
        <v>2013</v>
      </c>
      <c r="CX159" s="787">
        <f>INDEX('NY Curve'!$A$4:$G$256,MATCH('Monthly Table'!B159,'NY Curve'!$A$4:$A$256,0),MATCH("New York 5 X 16",'NY Curve'!$A$4:$G$4,0))</f>
        <v>32.15</v>
      </c>
      <c r="CY159" s="632">
        <f t="shared" si="107"/>
        <v>1.29680020794808</v>
      </c>
      <c r="CZ159" s="633">
        <f t="shared" si="108"/>
        <v>41.692126685530773</v>
      </c>
      <c r="DB159" s="857"/>
      <c r="DC159" s="857"/>
    </row>
    <row r="160" spans="1:107" ht="18.75" customHeight="1">
      <c r="A160" s="17" t="s">
        <v>442</v>
      </c>
      <c r="B160" s="508">
        <v>41426</v>
      </c>
      <c r="C160" s="43">
        <f t="shared" si="97"/>
        <v>2013</v>
      </c>
      <c r="D160" s="719">
        <f t="shared" si="144"/>
        <v>13</v>
      </c>
      <c r="E160" s="972">
        <v>20</v>
      </c>
      <c r="F160" s="971">
        <v>5</v>
      </c>
      <c r="G160" s="971">
        <v>5</v>
      </c>
      <c r="H160" s="971">
        <v>0</v>
      </c>
      <c r="I160" s="976">
        <f t="shared" si="118"/>
        <v>30</v>
      </c>
      <c r="J160" s="621"/>
      <c r="K160" s="572">
        <f>INDEX(FX!$A$3:$C$362,MATCH(B160,FX!$A$3:$A$362,0),MATCH("Monthly Curve",FX!$A$2:$C$2,0))</f>
        <v>1.2959902747915</v>
      </c>
      <c r="L160" s="572"/>
      <c r="M160" s="1070">
        <v>3.3135000000000003</v>
      </c>
      <c r="N160" s="1071">
        <v>0.14499999999999999</v>
      </c>
      <c r="O160" s="877">
        <v>0.1</v>
      </c>
      <c r="P160" s="797">
        <f t="shared" si="99"/>
        <v>0.245</v>
      </c>
      <c r="Q160" s="732">
        <f t="shared" si="100"/>
        <v>3.5585000000000004</v>
      </c>
      <c r="R160" s="723">
        <f>IF(A160="January",(R159+R159*Assumptions!$E$32),R159)</f>
        <v>0.38088564620081972</v>
      </c>
      <c r="S160" s="730">
        <f t="shared" si="101"/>
        <v>4.9926670390463732</v>
      </c>
      <c r="T160" s="572"/>
      <c r="U160" s="509"/>
      <c r="V160" s="584"/>
      <c r="W160" s="584"/>
      <c r="X160" s="461"/>
      <c r="Y160" s="588">
        <f>Tables!$D$36</f>
        <v>312</v>
      </c>
      <c r="Z160" s="570">
        <f t="shared" si="102"/>
        <v>0</v>
      </c>
      <c r="AA160" s="592">
        <f t="shared" si="103"/>
        <v>0</v>
      </c>
      <c r="AB160" s="589">
        <f t="shared" si="98"/>
        <v>0</v>
      </c>
      <c r="AC160" s="462"/>
      <c r="AD160" s="1027">
        <f>IF(Tables!$E$30="Michigan",INDEX('Michigan Curve'!$A$4:$S$256,MATCH('Monthly Table'!B160,'Michigan Curve'!$A$4:$A$256,0),MATCH("Michigan Selected Option Value US$/month",'Michigan Curve'!$A$4:$S$4,0)),INDEX('NY Curve'!$A$4:$T$256,MATCH('Monthly Table'!B160,'NY Curve'!$A$4:$A$256,0),MATCH("New York Selected Option Value US$/month",'NY Curve'!$A$4:$T$4,0)))</f>
        <v>98274.806402692338</v>
      </c>
      <c r="AE160" s="601">
        <f t="shared" si="119"/>
        <v>127363.1933549067</v>
      </c>
      <c r="AF160" s="462"/>
      <c r="AG160" s="915"/>
      <c r="AH160" s="17"/>
      <c r="AI160" s="799">
        <f>Assumptions!$B$50</f>
        <v>65</v>
      </c>
      <c r="AJ160" s="743"/>
      <c r="AK160" s="924">
        <f>IF(Tables!$E$30="Custom",'Monthly Table'!AI160,IF(Tables!$E$30="New York",INDEX('NY Curve'!$A$4:$G$256,MATCH('Monthly Table'!B160,'NY Curve'!$A$4:$A$256,0),MATCH("Super Peak Curve",'NY Curve'!$A$4:$G$4,0)),IF(Tables!$E$30="New York Flat",INDEX('NY Curve'!$A$4:$G$256,MATCH('Monthly Table'!B160,'NY Curve'!$A$4:$A$256,0),MATCH("Flat NY West",'NY Curve'!$A$4:$G$4,0)),INDEX('Michigan Curve'!$A$4:$F$256,MATCH('Monthly Table'!B160,'Michigan Curve'!$A$4:$A$256,0),MATCH("Michigan Super Peak Curve US$/MWhr",'Michigan Curve'!$A$4:$F$4,0)))))</f>
        <v>85.228562791006865</v>
      </c>
      <c r="AL160" s="965">
        <f>IF(D160&lt;=Tables!$B$21,IF($AL$10=$AI$10,AI160,IF($AL$10=$AJ$10,AJ160,IF($AL$10=$AK$10,AK160,0))),0)</f>
        <v>85.228562791006865</v>
      </c>
      <c r="AM160" s="708">
        <f t="shared" si="120"/>
        <v>110.4553885116016</v>
      </c>
      <c r="AN160" s="916">
        <f t="shared" si="121"/>
        <v>1</v>
      </c>
      <c r="AO160" s="905"/>
      <c r="AP160" s="925"/>
      <c r="AQ160" s="926">
        <f>IF(Tables!$E$30="New York",INDEX('NY Curve'!$A$4:$L$256,MATCH('Monthly Table'!B160,'NY Curve'!$A$4:$A$256,0),MATCH("New York Shoulder Hour Curve Mon-Fri",'NY Curve'!$A$4:$L$4,0)),IF(Tables!$E$30="Michigan",INDEX('Michigan Curve'!$A$4:$K$256,MATCH('Monthly Table'!B160,'Michigan Curve'!$A$4:$A$256,0),MATCH("Michigan Shoulder Hour Curve Mon-Fri",'Michigan Curve'!$A$4:$K$4,0))))</f>
        <v>23.271437208993127</v>
      </c>
      <c r="AR160" s="708">
        <f t="shared" si="122"/>
        <v>30.15955630327614</v>
      </c>
      <c r="AS160" s="927">
        <f t="shared" si="109"/>
        <v>0</v>
      </c>
      <c r="AT160" s="462"/>
      <c r="AU160" s="926">
        <f>IF(Tables!$E$30="New York",INDEX('NY Curve'!$A$4:$L$256,MATCH('Monthly Table'!$B160,'NY Curve'!$A$4:$A$256,0),MATCH("New York Saturday Super Peak",'NY Curve'!$A$4:$L$4,0)),IF(Tables!$E$30="Michigan",INDEX('Michigan Curve'!$A$4:$K$256,MATCH('Monthly Table'!$B160,'Michigan Curve'!$A$4:$A$256,0),MATCH("Michigan Saturday Super Peak",'Michigan Curve'!$A$4:$K$4,0))))</f>
        <v>40.846868803063202</v>
      </c>
      <c r="AV160" s="925">
        <f t="shared" si="110"/>
        <v>52.937144724454228</v>
      </c>
      <c r="AW160" s="927">
        <f t="shared" si="111"/>
        <v>0</v>
      </c>
      <c r="AX160" s="926">
        <f>IF(Tables!$E$30="New York",INDEX('NY Curve'!$A$4:$L$256,MATCH('Monthly Table'!$B160,'NY Curve'!$A$4:$A$256,0),MATCH("New York Saturday Shoulder Peak",'NY Curve'!$A$4:$L$4,0)),IF(Tables!$E$30="Michigan",INDEX('Michigan Curve'!$A$4:$K$256,MATCH('Monthly Table'!$B160,'Michigan Curve'!$A$4:$A$256,0),MATCH("Michigan Saturday Shoulder Peak",'Michigan Curve'!$A$4:$K$4,0))))</f>
        <v>11.153131196936799</v>
      </c>
      <c r="AY160" s="934">
        <f t="shared" si="123"/>
        <v>14.454349564703774</v>
      </c>
      <c r="AZ160" s="927">
        <f t="shared" si="112"/>
        <v>0</v>
      </c>
      <c r="BA160" s="462"/>
      <c r="BB160" s="926">
        <f>IF(Tables!$E$30="New York",INDEX('NY Curve'!$A$4:$M$256,MATCH('Monthly Table'!$B160,'NY Curve'!$A$4:$A$256,0),MATCH("NY Sunday Super Peak",'NY Curve'!$A$4:$M$4,0)),IF(Tables!$E$30="Michigan",INDEX('Michigan Curve'!$A$4:$L$256,MATCH('Monthly Table'!$B160,'Michigan Curve'!$A$4:$A$256,0),MATCH("Michigan Sunday Super Peak",'Michigan Curve'!$A$4:$L$4,0))))</f>
        <v>37.704801972058341</v>
      </c>
      <c r="BC160" s="925">
        <f t="shared" si="124"/>
        <v>48.865056668726979</v>
      </c>
      <c r="BD160" s="927">
        <f t="shared" si="113"/>
        <v>0</v>
      </c>
      <c r="BE160" s="462"/>
      <c r="BF160" s="598">
        <f t="shared" si="104"/>
        <v>41426</v>
      </c>
      <c r="BG160" s="583">
        <f t="shared" si="125"/>
        <v>160</v>
      </c>
      <c r="BH160" s="764">
        <f>IF(Tables!$B$36="Combined Cycle",(BF160-BF159)*24*Assumptions!$B$21,0)</f>
        <v>0</v>
      </c>
      <c r="BI160" s="315">
        <f t="shared" si="126"/>
        <v>160</v>
      </c>
      <c r="BJ160" s="987">
        <f>IF('Monthly Table'!D160&lt;=Tables!$B$21,IF($BJ$10=$BG$10,BG160,IF($BJ$10=$BH$10,BH160,IF($BJ$10=$BI$10,BI160,0))),0)</f>
        <v>160</v>
      </c>
      <c r="BK160" s="43"/>
      <c r="BL160" s="987">
        <f t="shared" si="127"/>
        <v>0</v>
      </c>
      <c r="BM160" s="987">
        <f t="shared" si="128"/>
        <v>0</v>
      </c>
      <c r="BO160" s="987">
        <f t="shared" si="114"/>
        <v>0</v>
      </c>
      <c r="BP160" s="987">
        <f t="shared" si="129"/>
        <v>0</v>
      </c>
      <c r="BR160" s="993">
        <f>IF(BJ160&gt;0,INDEX(OperationalDetail,MATCH("Capacity Degradation",ODColumn,0),MATCH('Monthly Table'!C160,ODRow,0)),0)</f>
        <v>5.0000000000000002E-5</v>
      </c>
      <c r="BS160" s="994">
        <f>BJ160*(1-BR160)*Tables!$C$36</f>
        <v>51837.407999999996</v>
      </c>
      <c r="BT160" s="601">
        <f t="shared" si="115"/>
        <v>4418.0277826510419</v>
      </c>
      <c r="BU160" s="601">
        <f t="shared" si="116"/>
        <v>5725.7210400744052</v>
      </c>
      <c r="BV160" s="462"/>
      <c r="BW160" s="785">
        <f>$BO160*(1-$BR160)*Tables!$C$36</f>
        <v>0</v>
      </c>
      <c r="BX160" s="602">
        <f t="shared" si="130"/>
        <v>0</v>
      </c>
      <c r="BY160" s="601">
        <f t="shared" si="131"/>
        <v>0</v>
      </c>
      <c r="BZ160" s="462"/>
      <c r="CA160" s="785">
        <f>$BL160*(1-$BR160)*Tables!$C$36</f>
        <v>0</v>
      </c>
      <c r="CB160" s="602">
        <f t="shared" si="132"/>
        <v>0</v>
      </c>
      <c r="CC160" s="601">
        <f t="shared" si="133"/>
        <v>0</v>
      </c>
      <c r="CD160" s="785">
        <f>$BP160*(1-$BR160)*Tables!$C$36</f>
        <v>0</v>
      </c>
      <c r="CE160" s="602">
        <f t="shared" si="134"/>
        <v>0</v>
      </c>
      <c r="CF160" s="601">
        <f t="shared" si="135"/>
        <v>0</v>
      </c>
      <c r="CH160" s="785">
        <f>$BM160*(1-$BR160)*Tables!$C$36</f>
        <v>0</v>
      </c>
      <c r="CI160" s="602">
        <f t="shared" si="136"/>
        <v>0</v>
      </c>
      <c r="CJ160" s="601">
        <f t="shared" si="137"/>
        <v>0</v>
      </c>
      <c r="CK160" s="304"/>
      <c r="CL160" s="304">
        <f t="shared" si="138"/>
        <v>2012</v>
      </c>
      <c r="CM160" s="1018">
        <f>INDEX(OperationalDetail,MATCH("Degraded Heat Rate",ODColumn,0),MATCH('Monthly Table'!CL160,ODRow,0))/1000</f>
        <v>12.170137200000001</v>
      </c>
      <c r="CN160" s="737">
        <f t="shared" si="117"/>
        <v>60.761442859112123</v>
      </c>
      <c r="CO160" s="1019">
        <f>IF(A160="January",(CO159*(1+Assumptions!$E$32)),CO159)</f>
        <v>8.542401137500347</v>
      </c>
      <c r="CP160" s="741">
        <f t="shared" si="105"/>
        <v>69.303843996612471</v>
      </c>
      <c r="CQ160" s="304"/>
      <c r="CR160" s="575">
        <f t="shared" si="139"/>
        <v>2013</v>
      </c>
      <c r="CS160" s="575" t="str">
        <f t="shared" si="140"/>
        <v/>
      </c>
      <c r="CT160" s="575" t="str">
        <f t="shared" si="141"/>
        <v/>
      </c>
      <c r="CU160" s="575" t="str">
        <f t="shared" si="142"/>
        <v/>
      </c>
      <c r="CV160" s="575" t="str">
        <f t="shared" si="143"/>
        <v/>
      </c>
      <c r="CW160" s="576">
        <f t="shared" si="106"/>
        <v>2013</v>
      </c>
      <c r="CX160" s="787">
        <f>INDEX('NY Curve'!$A$4:$G$256,MATCH('Monthly Table'!B160,'NY Curve'!$A$4:$A$256,0),MATCH("New York 5 X 16",'NY Curve'!$A$4:$G$4,0))</f>
        <v>54.25</v>
      </c>
      <c r="CY160" s="632">
        <f t="shared" si="107"/>
        <v>1.2959902747915</v>
      </c>
      <c r="CZ160" s="633">
        <f t="shared" si="108"/>
        <v>70.30747240743888</v>
      </c>
      <c r="DB160" s="857"/>
      <c r="DC160" s="857"/>
    </row>
    <row r="161" spans="1:107" ht="18.75" customHeight="1">
      <c r="A161" s="17" t="s">
        <v>443</v>
      </c>
      <c r="B161" s="508">
        <v>41456</v>
      </c>
      <c r="C161" s="43">
        <f t="shared" si="97"/>
        <v>2013</v>
      </c>
      <c r="D161" s="719">
        <f t="shared" si="144"/>
        <v>13</v>
      </c>
      <c r="E161" s="972">
        <v>22</v>
      </c>
      <c r="F161" s="971">
        <v>4</v>
      </c>
      <c r="G161" s="971">
        <v>4</v>
      </c>
      <c r="H161" s="971">
        <v>1</v>
      </c>
      <c r="I161" s="976">
        <f t="shared" si="118"/>
        <v>31</v>
      </c>
      <c r="J161" s="621"/>
      <c r="K161" s="572">
        <f>INDEX(FX!$A$3:$C$362,MATCH(B161,FX!$A$3:$A$362,0),MATCH("Monthly Curve",FX!$A$2:$C$2,0))</f>
        <v>1.29520872842168</v>
      </c>
      <c r="L161" s="572"/>
      <c r="M161" s="1070">
        <v>3.3224999999999998</v>
      </c>
      <c r="N161" s="1071">
        <v>0.14499999999999999</v>
      </c>
      <c r="O161" s="877">
        <v>0.1</v>
      </c>
      <c r="P161" s="797">
        <f t="shared" si="99"/>
        <v>0.245</v>
      </c>
      <c r="Q161" s="732">
        <f t="shared" si="100"/>
        <v>3.5674999999999999</v>
      </c>
      <c r="R161" s="723">
        <f>IF(A161="January",(R160+R160*Assumptions!$E$32),R160)</f>
        <v>0.38088564620081972</v>
      </c>
      <c r="S161" s="730">
        <f t="shared" si="101"/>
        <v>5.0015427848451637</v>
      </c>
      <c r="T161" s="572"/>
      <c r="U161" s="509"/>
      <c r="V161" s="584"/>
      <c r="W161" s="584"/>
      <c r="X161" s="461"/>
      <c r="Y161" s="588">
        <f>Tables!$D$36</f>
        <v>312</v>
      </c>
      <c r="Z161" s="570">
        <f t="shared" si="102"/>
        <v>0</v>
      </c>
      <c r="AA161" s="592">
        <f t="shared" si="103"/>
        <v>0</v>
      </c>
      <c r="AB161" s="589">
        <f t="shared" si="98"/>
        <v>0</v>
      </c>
      <c r="AC161" s="462"/>
      <c r="AD161" s="1027">
        <f>IF(Tables!$E$30="Michigan",INDEX('Michigan Curve'!$A$4:$S$256,MATCH('Monthly Table'!B161,'Michigan Curve'!$A$4:$A$256,0),MATCH("Michigan Selected Option Value US$/month",'Michigan Curve'!$A$4:$S$4,0)),INDEX('NY Curve'!$A$4:$T$256,MATCH('Monthly Table'!B161,'NY Curve'!$A$4:$A$256,0),MATCH("New York Selected Option Value US$/month",'NY Curve'!$A$4:$T$4,0)))</f>
        <v>291367.58386383206</v>
      </c>
      <c r="AE161" s="601">
        <f t="shared" si="119"/>
        <v>377381.83779957111</v>
      </c>
      <c r="AF161" s="462"/>
      <c r="AG161" s="915"/>
      <c r="AH161" s="17"/>
      <c r="AI161" s="799">
        <f>Assumptions!$B$50</f>
        <v>65</v>
      </c>
      <c r="AJ161" s="743"/>
      <c r="AK161" s="924">
        <f>IF(Tables!$E$30="Custom",'Monthly Table'!AI161,IF(Tables!$E$30="New York",INDEX('NY Curve'!$A$4:$G$256,MATCH('Monthly Table'!B161,'NY Curve'!$A$4:$A$256,0),MATCH("Super Peak Curve",'NY Curve'!$A$4:$G$4,0)),IF(Tables!$E$30="New York Flat",INDEX('NY Curve'!$A$4:$G$256,MATCH('Monthly Table'!B161,'NY Curve'!$A$4:$A$256,0),MATCH("Flat NY West",'NY Curve'!$A$4:$G$4,0)),INDEX('Michigan Curve'!$A$4:$F$256,MATCH('Monthly Table'!B161,'Michigan Curve'!$A$4:$A$256,0),MATCH("Michigan Super Peak Curve US$/MWhr",'Michigan Curve'!$A$4:$F$4,0)))))</f>
        <v>160.49249745452488</v>
      </c>
      <c r="AL161" s="965">
        <f>IF(D161&lt;=Tables!$B$21,IF($AL$10=$AI$10,AI161,IF($AL$10=$AJ$10,AJ161,IF($AL$10=$AK$10,AK161,0))),0)</f>
        <v>160.49249745452488</v>
      </c>
      <c r="AM161" s="708">
        <f t="shared" si="120"/>
        <v>207.87128354929487</v>
      </c>
      <c r="AN161" s="916">
        <f t="shared" si="121"/>
        <v>1</v>
      </c>
      <c r="AO161" s="905"/>
      <c r="AP161" s="925"/>
      <c r="AQ161" s="926">
        <f>IF(Tables!$E$30="New York",INDEX('NY Curve'!$A$4:$L$256,MATCH('Monthly Table'!B161,'NY Curve'!$A$4:$A$256,0),MATCH("New York Shoulder Hour Curve Mon-Fri",'NY Curve'!$A$4:$L$4,0)),IF(Tables!$E$30="Michigan",INDEX('Michigan Curve'!$A$4:$K$256,MATCH('Monthly Table'!B161,'Michigan Curve'!$A$4:$A$256,0),MATCH("Michigan Shoulder Hour Curve Mon-Fri",'Michigan Curve'!$A$4:$K$4,0))))</f>
        <v>29.50750254547512</v>
      </c>
      <c r="AR161" s="708">
        <f t="shared" si="122"/>
        <v>38.218374850824318</v>
      </c>
      <c r="AS161" s="927">
        <f t="shared" si="109"/>
        <v>0</v>
      </c>
      <c r="AT161" s="462"/>
      <c r="AU161" s="926">
        <f>IF(Tables!$E$30="New York",INDEX('NY Curve'!$A$4:$L$256,MATCH('Monthly Table'!$B161,'NY Curve'!$A$4:$A$256,0),MATCH("New York Saturday Super Peak",'NY Curve'!$A$4:$L$4,0)),IF(Tables!$E$30="Michigan",INDEX('Michigan Curve'!$A$4:$K$256,MATCH('Monthly Table'!$B161,'Michigan Curve'!$A$4:$A$256,0),MATCH("Michigan Saturday Super Peak",'Michigan Curve'!$A$4:$K$4,0))))</f>
        <v>59.128814851667059</v>
      </c>
      <c r="AV161" s="925">
        <f t="shared" si="110"/>
        <v>76.584157097108644</v>
      </c>
      <c r="AW161" s="927">
        <f t="shared" si="111"/>
        <v>1</v>
      </c>
      <c r="AX161" s="926">
        <f>IF(Tables!$E$30="New York",INDEX('NY Curve'!$A$4:$L$256,MATCH('Monthly Table'!$B161,'NY Curve'!$A$4:$A$256,0),MATCH("New York Saturday Shoulder Peak",'NY Curve'!$A$4:$L$4,0)),IF(Tables!$E$30="Michigan",INDEX('Michigan Curve'!$A$4:$K$256,MATCH('Monthly Table'!$B161,'Michigan Curve'!$A$4:$A$256,0),MATCH("Michigan Saturday Shoulder Peak",'Michigan Curve'!$A$4:$K$4,0))))</f>
        <v>10.871185148332939</v>
      </c>
      <c r="AY161" s="934">
        <f t="shared" si="123"/>
        <v>14.08045389240896</v>
      </c>
      <c r="AZ161" s="927">
        <f t="shared" si="112"/>
        <v>0</v>
      </c>
      <c r="BA161" s="462"/>
      <c r="BB161" s="926">
        <f>IF(Tables!$E$30="New York",INDEX('NY Curve'!$A$4:$M$256,MATCH('Monthly Table'!$B161,'NY Curve'!$A$4:$A$256,0),MATCH("NY Sunday Super Peak",'NY Curve'!$A$4:$M$4,0)),IF(Tables!$E$30="Michigan",INDEX('Michigan Curve'!$A$4:$L$256,MATCH('Monthly Table'!$B161,'Michigan Curve'!$A$4:$A$256,0),MATCH("Michigan Sunday Super Peak",'Michigan Curve'!$A$4:$L$4,0))))</f>
        <v>52.371232789211852</v>
      </c>
      <c r="BC161" s="925">
        <f t="shared" si="124"/>
        <v>67.83167782679088</v>
      </c>
      <c r="BD161" s="927">
        <f t="shared" si="113"/>
        <v>0</v>
      </c>
      <c r="BE161" s="462"/>
      <c r="BF161" s="598">
        <f t="shared" si="104"/>
        <v>41456</v>
      </c>
      <c r="BG161" s="583">
        <f t="shared" si="125"/>
        <v>176</v>
      </c>
      <c r="BH161" s="764">
        <f>IF(Tables!$B$36="Combined Cycle",(BF161-BF160)*24*Assumptions!$B$21,0)</f>
        <v>0</v>
      </c>
      <c r="BI161" s="315">
        <f t="shared" si="126"/>
        <v>176</v>
      </c>
      <c r="BJ161" s="987">
        <f>IF('Monthly Table'!D161&lt;=Tables!$B$21,IF($BJ$10=$BG$10,BG161,IF($BJ$10=$BH$10,BH161,IF($BJ$10=$BI$10,BI161,0))),0)</f>
        <v>176</v>
      </c>
      <c r="BK161" s="43"/>
      <c r="BL161" s="987">
        <f t="shared" si="127"/>
        <v>32</v>
      </c>
      <c r="BM161" s="987">
        <f t="shared" si="128"/>
        <v>0</v>
      </c>
      <c r="BO161" s="987">
        <f t="shared" si="114"/>
        <v>0</v>
      </c>
      <c r="BP161" s="987">
        <f t="shared" si="129"/>
        <v>0</v>
      </c>
      <c r="BR161" s="993">
        <f>IF(BJ161&gt;0,INDEX(OperationalDetail,MATCH("Capacity Degradation",ODColumn,0),MATCH('Monthly Table'!C161,ODRow,0)),0)</f>
        <v>5.0000000000000002E-5</v>
      </c>
      <c r="BS161" s="994">
        <f>BJ161*(1-BR161)*Tables!$C$36</f>
        <v>57021.148799999995</v>
      </c>
      <c r="BT161" s="601">
        <f t="shared" si="115"/>
        <v>9151.4665786380847</v>
      </c>
      <c r="BU161" s="601">
        <f t="shared" si="116"/>
        <v>11853.059390511336</v>
      </c>
      <c r="BV161" s="462"/>
      <c r="BW161" s="785">
        <f>$BO161*(1-$BR161)*Tables!$C$36</f>
        <v>0</v>
      </c>
      <c r="BX161" s="602">
        <f t="shared" si="130"/>
        <v>0</v>
      </c>
      <c r="BY161" s="601">
        <f t="shared" si="131"/>
        <v>0</v>
      </c>
      <c r="BZ161" s="462"/>
      <c r="CA161" s="785">
        <f>$BL161*(1-$BR161)*Tables!$C$36</f>
        <v>10367.481599999999</v>
      </c>
      <c r="CB161" s="602">
        <f t="shared" si="132"/>
        <v>613.0169000044649</v>
      </c>
      <c r="CC161" s="601">
        <f t="shared" si="133"/>
        <v>793.9848395557832</v>
      </c>
      <c r="CD161" s="785">
        <f>$BP161*(1-$BR161)*Tables!$C$36</f>
        <v>0</v>
      </c>
      <c r="CE161" s="602">
        <f t="shared" si="134"/>
        <v>0</v>
      </c>
      <c r="CF161" s="601">
        <f t="shared" si="135"/>
        <v>0</v>
      </c>
      <c r="CH161" s="785">
        <f>$BM161*(1-$BR161)*Tables!$C$36</f>
        <v>0</v>
      </c>
      <c r="CI161" s="602">
        <f t="shared" si="136"/>
        <v>0</v>
      </c>
      <c r="CJ161" s="601">
        <f t="shared" si="137"/>
        <v>0</v>
      </c>
      <c r="CK161" s="304"/>
      <c r="CL161" s="304">
        <f t="shared" si="138"/>
        <v>2012</v>
      </c>
      <c r="CM161" s="1018">
        <f>INDEX(OperationalDetail,MATCH("Degraded Heat Rate",ODColumn,0),MATCH('Monthly Table'!CL161,ODRow,0))/1000</f>
        <v>12.170137200000001</v>
      </c>
      <c r="CN161" s="737">
        <f t="shared" si="117"/>
        <v>60.869461903235731</v>
      </c>
      <c r="CO161" s="1019">
        <f>IF(A161="January",(CO160*(1+Assumptions!$E$32)),CO160)</f>
        <v>8.542401137500347</v>
      </c>
      <c r="CP161" s="741">
        <f t="shared" si="105"/>
        <v>69.41186304073608</v>
      </c>
      <c r="CQ161" s="304"/>
      <c r="CR161" s="575">
        <f t="shared" si="139"/>
        <v>2013</v>
      </c>
      <c r="CS161" s="575" t="str">
        <f t="shared" si="140"/>
        <v/>
      </c>
      <c r="CT161" s="575">
        <f t="shared" si="141"/>
        <v>2013</v>
      </c>
      <c r="CU161" s="575" t="str">
        <f t="shared" si="142"/>
        <v/>
      </c>
      <c r="CV161" s="575" t="str">
        <f t="shared" si="143"/>
        <v/>
      </c>
      <c r="CW161" s="576">
        <f t="shared" si="106"/>
        <v>2013</v>
      </c>
      <c r="CX161" s="787">
        <f>INDEX('NY Curve'!$A$4:$G$256,MATCH('Monthly Table'!B161,'NY Curve'!$A$4:$A$256,0),MATCH("New York 5 X 16",'NY Curve'!$A$4:$G$4,0))</f>
        <v>84</v>
      </c>
      <c r="CY161" s="632">
        <f t="shared" si="107"/>
        <v>1.29520872842168</v>
      </c>
      <c r="CZ161" s="633">
        <f t="shared" si="108"/>
        <v>108.79753318742112</v>
      </c>
      <c r="DB161" s="857"/>
      <c r="DC161" s="857"/>
    </row>
    <row r="162" spans="1:107" ht="18.75" customHeight="1">
      <c r="A162" s="17" t="s">
        <v>444</v>
      </c>
      <c r="B162" s="508">
        <v>41487</v>
      </c>
      <c r="C162" s="43">
        <f t="shared" si="97"/>
        <v>2013</v>
      </c>
      <c r="D162" s="719">
        <f t="shared" si="144"/>
        <v>13</v>
      </c>
      <c r="E162" s="972">
        <v>22</v>
      </c>
      <c r="F162" s="971">
        <v>5</v>
      </c>
      <c r="G162" s="971">
        <v>4</v>
      </c>
      <c r="H162" s="971">
        <v>0</v>
      </c>
      <c r="I162" s="976">
        <f t="shared" si="118"/>
        <v>31</v>
      </c>
      <c r="J162" s="621"/>
      <c r="K162" s="572">
        <f>INDEX(FX!$A$3:$C$362,MATCH(B162,FX!$A$3:$A$362,0),MATCH("Monthly Curve",FX!$A$2:$C$2,0))</f>
        <v>1.2944034620312901</v>
      </c>
      <c r="L162" s="572"/>
      <c r="M162" s="1070">
        <v>3.3294999999999999</v>
      </c>
      <c r="N162" s="1071">
        <v>0.14499999999999999</v>
      </c>
      <c r="O162" s="877">
        <v>0.1</v>
      </c>
      <c r="P162" s="797">
        <f t="shared" si="99"/>
        <v>0.245</v>
      </c>
      <c r="Q162" s="732">
        <f t="shared" si="100"/>
        <v>3.5745</v>
      </c>
      <c r="R162" s="723">
        <f>IF(A162="January",(R161+R161*Assumptions!$E$32),R161)</f>
        <v>0.38088564620081972</v>
      </c>
      <c r="S162" s="730">
        <f t="shared" si="101"/>
        <v>5.0077308212316662</v>
      </c>
      <c r="T162" s="572"/>
      <c r="U162" s="509"/>
      <c r="V162" s="584"/>
      <c r="W162" s="584"/>
      <c r="X162" s="461"/>
      <c r="Y162" s="588">
        <f>Tables!$D$36</f>
        <v>312</v>
      </c>
      <c r="Z162" s="570">
        <f t="shared" si="102"/>
        <v>0</v>
      </c>
      <c r="AA162" s="592">
        <f t="shared" si="103"/>
        <v>0</v>
      </c>
      <c r="AB162" s="589">
        <f t="shared" si="98"/>
        <v>0</v>
      </c>
      <c r="AC162" s="462"/>
      <c r="AD162" s="1027">
        <f>IF(Tables!$E$30="Michigan",INDEX('Michigan Curve'!$A$4:$S$256,MATCH('Monthly Table'!B162,'Michigan Curve'!$A$4:$A$256,0),MATCH("Michigan Selected Option Value US$/month",'Michigan Curve'!$A$4:$S$4,0)),INDEX('NY Curve'!$A$4:$T$256,MATCH('Monthly Table'!B162,'NY Curve'!$A$4:$A$256,0),MATCH("New York Selected Option Value US$/month",'NY Curve'!$A$4:$T$4,0)))</f>
        <v>292554.22439276148</v>
      </c>
      <c r="AE162" s="601">
        <f t="shared" si="119"/>
        <v>378683.20088586933</v>
      </c>
      <c r="AF162" s="462"/>
      <c r="AG162" s="915"/>
      <c r="AH162" s="17"/>
      <c r="AI162" s="799">
        <f>Assumptions!$B$50</f>
        <v>65</v>
      </c>
      <c r="AJ162" s="743"/>
      <c r="AK162" s="924">
        <f>IF(Tables!$E$30="Custom",'Monthly Table'!AI162,IF(Tables!$E$30="New York",INDEX('NY Curve'!$A$4:$G$256,MATCH('Monthly Table'!B162,'NY Curve'!$A$4:$A$256,0),MATCH("Super Peak Curve",'NY Curve'!$A$4:$G$4,0)),IF(Tables!$E$30="New York Flat",INDEX('NY Curve'!$A$4:$G$256,MATCH('Monthly Table'!B162,'NY Curve'!$A$4:$A$256,0),MATCH("Flat NY West",'NY Curve'!$A$4:$G$4,0)),INDEX('Michigan Curve'!$A$4:$F$256,MATCH('Monthly Table'!B162,'Michigan Curve'!$A$4:$A$256,0),MATCH("Michigan Super Peak Curve US$/MWhr",'Michigan Curve'!$A$4:$F$4,0)))))</f>
        <v>160.49249745452488</v>
      </c>
      <c r="AL162" s="965">
        <f>IF(D162&lt;=Tables!$B$21,IF($AL$10=$AI$10,AI162,IF($AL$10=$AJ$10,AJ162,IF($AL$10=$AK$10,AK162,0))),0)</f>
        <v>160.49249745452488</v>
      </c>
      <c r="AM162" s="708">
        <f t="shared" si="120"/>
        <v>207.74204433518503</v>
      </c>
      <c r="AN162" s="916">
        <f t="shared" si="121"/>
        <v>1</v>
      </c>
      <c r="AO162" s="905"/>
      <c r="AP162" s="925"/>
      <c r="AQ162" s="926">
        <f>IF(Tables!$E$30="New York",INDEX('NY Curve'!$A$4:$L$256,MATCH('Monthly Table'!B162,'NY Curve'!$A$4:$A$256,0),MATCH("New York Shoulder Hour Curve Mon-Fri",'NY Curve'!$A$4:$L$4,0)),IF(Tables!$E$30="Michigan",INDEX('Michigan Curve'!$A$4:$K$256,MATCH('Monthly Table'!B162,'Michigan Curve'!$A$4:$A$256,0),MATCH("Michigan Shoulder Hour Curve Mon-Fri",'Michigan Curve'!$A$4:$K$4,0))))</f>
        <v>29.50750254547512</v>
      </c>
      <c r="AR162" s="708">
        <f t="shared" si="122"/>
        <v>38.194613450760102</v>
      </c>
      <c r="AS162" s="927">
        <f t="shared" si="109"/>
        <v>0</v>
      </c>
      <c r="AT162" s="462"/>
      <c r="AU162" s="926">
        <f>IF(Tables!$E$30="New York",INDEX('NY Curve'!$A$4:$L$256,MATCH('Monthly Table'!$B162,'NY Curve'!$A$4:$A$256,0),MATCH("New York Saturday Super Peak",'NY Curve'!$A$4:$L$4,0)),IF(Tables!$E$30="Michigan",INDEX('Michigan Curve'!$A$4:$K$256,MATCH('Monthly Table'!$B162,'Michigan Curve'!$A$4:$A$256,0),MATCH("Michigan Saturday Super Peak",'Michigan Curve'!$A$4:$K$4,0))))</f>
        <v>59.128821296196442</v>
      </c>
      <c r="AV162" s="925">
        <f t="shared" si="110"/>
        <v>76.536550991626143</v>
      </c>
      <c r="AW162" s="927">
        <f t="shared" si="111"/>
        <v>1</v>
      </c>
      <c r="AX162" s="926">
        <f>IF(Tables!$E$30="New York",INDEX('NY Curve'!$A$4:$L$256,MATCH('Monthly Table'!$B162,'NY Curve'!$A$4:$A$256,0),MATCH("New York Saturday Shoulder Peak",'NY Curve'!$A$4:$L$4,0)),IF(Tables!$E$30="Michigan",INDEX('Michigan Curve'!$A$4:$K$256,MATCH('Monthly Table'!$B162,'Michigan Curve'!$A$4:$A$256,0),MATCH("Michigan Saturday Shoulder Peak",'Michigan Curve'!$A$4:$K$4,0))))</f>
        <v>10.871186333198089</v>
      </c>
      <c r="AY162" s="934">
        <f t="shared" si="123"/>
        <v>14.071701226078853</v>
      </c>
      <c r="AZ162" s="927">
        <f t="shared" si="112"/>
        <v>0</v>
      </c>
      <c r="BA162" s="462"/>
      <c r="BB162" s="926">
        <f>IF(Tables!$E$30="New York",INDEX('NY Curve'!$A$4:$M$256,MATCH('Monthly Table'!$B162,'NY Curve'!$A$4:$A$256,0),MATCH("NY Sunday Super Peak",'NY Curve'!$A$4:$M$4,0)),IF(Tables!$E$30="Michigan",INDEX('Michigan Curve'!$A$4:$L$256,MATCH('Monthly Table'!$B162,'Michigan Curve'!$A$4:$A$256,0),MATCH("Michigan Sunday Super Peak",'Michigan Curve'!$A$4:$L$4,0))))</f>
        <v>52.37123601147654</v>
      </c>
      <c r="BC162" s="925">
        <f t="shared" si="124"/>
        <v>67.789509204113003</v>
      </c>
      <c r="BD162" s="927">
        <f t="shared" si="113"/>
        <v>0</v>
      </c>
      <c r="BE162" s="462"/>
      <c r="BF162" s="598">
        <f t="shared" si="104"/>
        <v>41487</v>
      </c>
      <c r="BG162" s="583">
        <f t="shared" si="125"/>
        <v>176</v>
      </c>
      <c r="BH162" s="764">
        <f>IF(Tables!$B$36="Combined Cycle",(BF162-BF161)*24*Assumptions!$B$21,0)</f>
        <v>0</v>
      </c>
      <c r="BI162" s="315">
        <f t="shared" si="126"/>
        <v>176</v>
      </c>
      <c r="BJ162" s="987">
        <f>IF('Monthly Table'!D162&lt;=Tables!$B$21,IF($BJ$10=$BG$10,BG162,IF($BJ$10=$BH$10,BH162,IF($BJ$10=$BI$10,BI162,0))),0)</f>
        <v>176</v>
      </c>
      <c r="BK162" s="43"/>
      <c r="BL162" s="987">
        <f t="shared" si="127"/>
        <v>40</v>
      </c>
      <c r="BM162" s="987">
        <f t="shared" si="128"/>
        <v>0</v>
      </c>
      <c r="BO162" s="987">
        <f t="shared" si="114"/>
        <v>0</v>
      </c>
      <c r="BP162" s="987">
        <f t="shared" si="129"/>
        <v>0</v>
      </c>
      <c r="BR162" s="993">
        <f>IF(BJ162&gt;0,INDEX(OperationalDetail,MATCH("Capacity Degradation",ODColumn,0),MATCH('Monthly Table'!C162,ODRow,0)),0)</f>
        <v>5.0000000000000002E-5</v>
      </c>
      <c r="BS162" s="994">
        <f>BJ162*(1-BR162)*Tables!$C$36</f>
        <v>57021.148799999995</v>
      </c>
      <c r="BT162" s="601">
        <f t="shared" si="115"/>
        <v>9151.4665786380847</v>
      </c>
      <c r="BU162" s="601">
        <f t="shared" si="116"/>
        <v>11845.690022052782</v>
      </c>
      <c r="BV162" s="462"/>
      <c r="BW162" s="785">
        <f>$BO162*(1-$BR162)*Tables!$C$36</f>
        <v>0</v>
      </c>
      <c r="BX162" s="602">
        <f t="shared" si="130"/>
        <v>0</v>
      </c>
      <c r="BY162" s="601">
        <f t="shared" si="131"/>
        <v>0</v>
      </c>
      <c r="BZ162" s="462"/>
      <c r="CA162" s="785">
        <f>$BL162*(1-$BR162)*Tables!$C$36</f>
        <v>12959.351999999999</v>
      </c>
      <c r="CB162" s="602">
        <f t="shared" si="132"/>
        <v>766.27120852250596</v>
      </c>
      <c r="CC162" s="601">
        <f t="shared" si="133"/>
        <v>991.8641051664323</v>
      </c>
      <c r="CD162" s="785">
        <f>$BP162*(1-$BR162)*Tables!$C$36</f>
        <v>0</v>
      </c>
      <c r="CE162" s="602">
        <f t="shared" si="134"/>
        <v>0</v>
      </c>
      <c r="CF162" s="601">
        <f t="shared" si="135"/>
        <v>0</v>
      </c>
      <c r="CH162" s="785">
        <f>$BM162*(1-$BR162)*Tables!$C$36</f>
        <v>0</v>
      </c>
      <c r="CI162" s="602">
        <f t="shared" si="136"/>
        <v>0</v>
      </c>
      <c r="CJ162" s="601">
        <f t="shared" si="137"/>
        <v>0</v>
      </c>
      <c r="CK162" s="304"/>
      <c r="CL162" s="304">
        <f t="shared" si="138"/>
        <v>2012</v>
      </c>
      <c r="CM162" s="1018">
        <f>INDEX(OperationalDetail,MATCH("Degraded Heat Rate",ODColumn,0),MATCH('Monthly Table'!CL162,ODRow,0))/1000</f>
        <v>12.170137200000001</v>
      </c>
      <c r="CN162" s="737">
        <f t="shared" si="117"/>
        <v>60.944771155058056</v>
      </c>
      <c r="CO162" s="1019">
        <f>IF(A162="January",(CO161*(1+Assumptions!$E$32)),CO161)</f>
        <v>8.542401137500347</v>
      </c>
      <c r="CP162" s="741">
        <f t="shared" si="105"/>
        <v>69.487172292558398</v>
      </c>
      <c r="CQ162" s="304"/>
      <c r="CR162" s="575">
        <f t="shared" si="139"/>
        <v>2013</v>
      </c>
      <c r="CS162" s="575" t="str">
        <f t="shared" si="140"/>
        <v/>
      </c>
      <c r="CT162" s="575">
        <f t="shared" si="141"/>
        <v>2013</v>
      </c>
      <c r="CU162" s="575" t="str">
        <f t="shared" si="142"/>
        <v/>
      </c>
      <c r="CV162" s="575" t="str">
        <f t="shared" si="143"/>
        <v/>
      </c>
      <c r="CW162" s="576">
        <f t="shared" si="106"/>
        <v>2013</v>
      </c>
      <c r="CX162" s="787">
        <f>INDEX('NY Curve'!$A$4:$G$256,MATCH('Monthly Table'!B162,'NY Curve'!$A$4:$A$256,0),MATCH("New York 5 X 16",'NY Curve'!$A$4:$G$4,0))</f>
        <v>76.5</v>
      </c>
      <c r="CY162" s="632">
        <f t="shared" si="107"/>
        <v>1.2944034620312901</v>
      </c>
      <c r="CZ162" s="633">
        <f t="shared" si="108"/>
        <v>99.021864845393694</v>
      </c>
      <c r="DB162" s="857"/>
      <c r="DC162" s="857"/>
    </row>
    <row r="163" spans="1:107" ht="18.75" customHeight="1">
      <c r="A163" s="17" t="s">
        <v>445</v>
      </c>
      <c r="B163" s="508">
        <v>41518</v>
      </c>
      <c r="C163" s="43">
        <f t="shared" si="97"/>
        <v>2013</v>
      </c>
      <c r="D163" s="719">
        <f t="shared" si="144"/>
        <v>13</v>
      </c>
      <c r="E163" s="972">
        <v>20</v>
      </c>
      <c r="F163" s="971">
        <v>4</v>
      </c>
      <c r="G163" s="971">
        <v>5</v>
      </c>
      <c r="H163" s="971">
        <v>1</v>
      </c>
      <c r="I163" s="976">
        <f t="shared" si="118"/>
        <v>30</v>
      </c>
      <c r="J163" s="621"/>
      <c r="K163" s="572">
        <f>INDEX(FX!$A$3:$C$362,MATCH(B163,FX!$A$3:$A$362,0),MATCH("Monthly Curve",FX!$A$2:$C$2,0))</f>
        <v>1.2936005616231001</v>
      </c>
      <c r="L163" s="572"/>
      <c r="M163" s="1070">
        <v>3.3365000000000005</v>
      </c>
      <c r="N163" s="1071">
        <v>0.14499999999999999</v>
      </c>
      <c r="O163" s="877">
        <v>0.1</v>
      </c>
      <c r="P163" s="797">
        <f t="shared" si="99"/>
        <v>0.245</v>
      </c>
      <c r="Q163" s="732">
        <f t="shared" si="100"/>
        <v>3.5815000000000006</v>
      </c>
      <c r="R163" s="723">
        <f>IF(A163="January",(R162+R162*Assumptions!$E$32),R162)</f>
        <v>0.38088564620081972</v>
      </c>
      <c r="S163" s="730">
        <f t="shared" si="101"/>
        <v>5.0139160576539537</v>
      </c>
      <c r="T163" s="572"/>
      <c r="U163" s="509"/>
      <c r="V163" s="584"/>
      <c r="W163" s="584"/>
      <c r="X163" s="461"/>
      <c r="Y163" s="588">
        <f>Tables!$D$36</f>
        <v>312</v>
      </c>
      <c r="Z163" s="570">
        <f t="shared" si="102"/>
        <v>0</v>
      </c>
      <c r="AA163" s="592">
        <f t="shared" si="103"/>
        <v>0</v>
      </c>
      <c r="AB163" s="589">
        <f t="shared" si="98"/>
        <v>0</v>
      </c>
      <c r="AC163" s="462"/>
      <c r="AD163" s="1027">
        <f>IF(Tables!$E$30="Michigan",INDEX('Michigan Curve'!$A$4:$S$256,MATCH('Monthly Table'!B163,'Michigan Curve'!$A$4:$A$256,0),MATCH("Michigan Selected Option Value US$/month",'Michigan Curve'!$A$4:$S$4,0)),INDEX('NY Curve'!$A$4:$T$256,MATCH('Monthly Table'!B163,'NY Curve'!$A$4:$A$256,0),MATCH("New York Selected Option Value US$/month",'NY Curve'!$A$4:$T$4,0)))</f>
        <v>147756.74681337853</v>
      </c>
      <c r="AE163" s="601">
        <f t="shared" si="119"/>
        <v>191138.21066138867</v>
      </c>
      <c r="AF163" s="462"/>
      <c r="AG163" s="915"/>
      <c r="AH163" s="17"/>
      <c r="AI163" s="799">
        <f>Assumptions!$B$50</f>
        <v>65</v>
      </c>
      <c r="AJ163" s="743"/>
      <c r="AK163" s="924">
        <f>IF(Tables!$E$30="Custom",'Monthly Table'!AI163,IF(Tables!$E$30="New York",INDEX('NY Curve'!$A$4:$G$256,MATCH('Monthly Table'!B163,'NY Curve'!$A$4:$A$256,0),MATCH("Super Peak Curve",'NY Curve'!$A$4:$G$4,0)),IF(Tables!$E$30="New York Flat",INDEX('NY Curve'!$A$4:$G$256,MATCH('Monthly Table'!B163,'NY Curve'!$A$4:$A$256,0),MATCH("Flat NY West",'NY Curve'!$A$4:$G$4,0)),INDEX('Michigan Curve'!$A$4:$F$256,MATCH('Monthly Table'!B163,'Michigan Curve'!$A$4:$A$256,0),MATCH("Michigan Super Peak Curve US$/MWhr",'Michigan Curve'!$A$4:$F$4,0)))))</f>
        <v>48.982812240719795</v>
      </c>
      <c r="AL163" s="965">
        <f>IF(D163&lt;=Tables!$B$21,IF($AL$10=$AI$10,AI163,IF($AL$10=$AJ$10,AJ163,IF($AL$10=$AK$10,AK163,0))),0)</f>
        <v>48.982812240719795</v>
      </c>
      <c r="AM163" s="708">
        <f t="shared" si="120"/>
        <v>63.364193424473989</v>
      </c>
      <c r="AN163" s="916">
        <f t="shared" si="121"/>
        <v>0</v>
      </c>
      <c r="AO163" s="905"/>
      <c r="AP163" s="925"/>
      <c r="AQ163" s="926">
        <f>IF(Tables!$E$30="New York",INDEX('NY Curve'!$A$4:$L$256,MATCH('Monthly Table'!B163,'NY Curve'!$A$4:$A$256,0),MATCH("New York Shoulder Hour Curve Mon-Fri",'NY Curve'!$A$4:$L$4,0)),IF(Tables!$E$30="Michigan",INDEX('Michigan Curve'!$A$4:$K$256,MATCH('Monthly Table'!B163,'Michigan Curve'!$A$4:$A$256,0),MATCH("Michigan Shoulder Hour Curve Mon-Fri",'Michigan Curve'!$A$4:$K$4,0))))</f>
        <v>23.517187759280205</v>
      </c>
      <c r="AR163" s="708">
        <f t="shared" si="122"/>
        <v>30.421847293200766</v>
      </c>
      <c r="AS163" s="927">
        <f t="shared" si="109"/>
        <v>0</v>
      </c>
      <c r="AT163" s="462"/>
      <c r="AU163" s="926">
        <f>IF(Tables!$E$30="New York",INDEX('NY Curve'!$A$4:$L$256,MATCH('Monthly Table'!$B163,'NY Curve'!$A$4:$A$256,0),MATCH("New York Saturday Super Peak",'NY Curve'!$A$4:$L$4,0)),IF(Tables!$E$30="Michigan",INDEX('Michigan Curve'!$A$4:$K$256,MATCH('Monthly Table'!$B163,'Michigan Curve'!$A$4:$A$256,0),MATCH("Michigan Saturday Super Peak",'Michigan Curve'!$A$4:$K$4,0))))</f>
        <v>33.781249821186066</v>
      </c>
      <c r="AV163" s="925">
        <f t="shared" si="110"/>
        <v>43.699443741016545</v>
      </c>
      <c r="AW163" s="927">
        <f t="shared" si="111"/>
        <v>0</v>
      </c>
      <c r="AX163" s="926">
        <f>IF(Tables!$E$30="New York",INDEX('NY Curve'!$A$4:$L$256,MATCH('Monthly Table'!$B163,'NY Curve'!$A$4:$A$256,0),MATCH("New York Saturday Shoulder Peak",'NY Curve'!$A$4:$L$4,0)),IF(Tables!$E$30="Michigan",INDEX('Michigan Curve'!$A$4:$K$256,MATCH('Monthly Table'!$B163,'Michigan Curve'!$A$4:$A$256,0),MATCH("Michigan Saturday Shoulder Peak",'Michigan Curve'!$A$4:$K$4,0))))</f>
        <v>16.218750178813934</v>
      </c>
      <c r="AY163" s="934">
        <f t="shared" si="123"/>
        <v>20.98058434013846</v>
      </c>
      <c r="AZ163" s="927">
        <f t="shared" si="112"/>
        <v>0</v>
      </c>
      <c r="BA163" s="462"/>
      <c r="BB163" s="926">
        <f>IF(Tables!$E$30="New York",INDEX('NY Curve'!$A$4:$M$256,MATCH('Monthly Table'!$B163,'NY Curve'!$A$4:$A$256,0),MATCH("NY Sunday Super Peak",'NY Curve'!$A$4:$M$4,0)),IF(Tables!$E$30="Michigan",INDEX('Michigan Curve'!$A$4:$L$256,MATCH('Monthly Table'!$B163,'Michigan Curve'!$A$4:$A$256,0),MATCH("Michigan Sunday Super Peak",'Michigan Curve'!$A$4:$L$4,0))))</f>
        <v>32.429999828338623</v>
      </c>
      <c r="BC163" s="925">
        <f t="shared" si="124"/>
        <v>41.951465991375883</v>
      </c>
      <c r="BD163" s="927">
        <f t="shared" si="113"/>
        <v>0</v>
      </c>
      <c r="BE163" s="462"/>
      <c r="BF163" s="598">
        <f t="shared" si="104"/>
        <v>41518</v>
      </c>
      <c r="BG163" s="583">
        <f t="shared" si="125"/>
        <v>0</v>
      </c>
      <c r="BH163" s="764">
        <f>IF(Tables!$B$36="Combined Cycle",(BF163-BF162)*24*Assumptions!$B$21,0)</f>
        <v>0</v>
      </c>
      <c r="BI163" s="315">
        <f t="shared" si="126"/>
        <v>0</v>
      </c>
      <c r="BJ163" s="987">
        <f>IF('Monthly Table'!D163&lt;=Tables!$B$21,IF($BJ$10=$BG$10,BG163,IF($BJ$10=$BH$10,BH163,IF($BJ$10=$BI$10,BI163,0))),0)</f>
        <v>0</v>
      </c>
      <c r="BK163" s="43"/>
      <c r="BL163" s="987">
        <f t="shared" si="127"/>
        <v>0</v>
      </c>
      <c r="BM163" s="987">
        <f t="shared" si="128"/>
        <v>0</v>
      </c>
      <c r="BO163" s="987">
        <f t="shared" si="114"/>
        <v>0</v>
      </c>
      <c r="BP163" s="987">
        <f t="shared" si="129"/>
        <v>0</v>
      </c>
      <c r="BR163" s="993">
        <f>IF(BJ163&gt;0,INDEX(OperationalDetail,MATCH("Capacity Degradation",ODColumn,0),MATCH('Monthly Table'!C163,ODRow,0)),0)</f>
        <v>0</v>
      </c>
      <c r="BS163" s="994">
        <f>BJ163*(1-BR163)*Tables!$C$36</f>
        <v>0</v>
      </c>
      <c r="BT163" s="601">
        <f t="shared" si="115"/>
        <v>0</v>
      </c>
      <c r="BU163" s="601">
        <f t="shared" si="116"/>
        <v>0</v>
      </c>
      <c r="BV163" s="462"/>
      <c r="BW163" s="785">
        <f>$BO163*(1-$BR163)*Tables!$C$36</f>
        <v>0</v>
      </c>
      <c r="BX163" s="602">
        <f t="shared" si="130"/>
        <v>0</v>
      </c>
      <c r="BY163" s="601">
        <f t="shared" si="131"/>
        <v>0</v>
      </c>
      <c r="BZ163" s="462"/>
      <c r="CA163" s="785">
        <f>$BL163*(1-$BR163)*Tables!$C$36</f>
        <v>0</v>
      </c>
      <c r="CB163" s="602">
        <f t="shared" si="132"/>
        <v>0</v>
      </c>
      <c r="CC163" s="601">
        <f t="shared" si="133"/>
        <v>0</v>
      </c>
      <c r="CD163" s="785">
        <f>$BP163*(1-$BR163)*Tables!$C$36</f>
        <v>0</v>
      </c>
      <c r="CE163" s="602">
        <f t="shared" si="134"/>
        <v>0</v>
      </c>
      <c r="CF163" s="601">
        <f t="shared" si="135"/>
        <v>0</v>
      </c>
      <c r="CH163" s="785">
        <f>$BM163*(1-$BR163)*Tables!$C$36</f>
        <v>0</v>
      </c>
      <c r="CI163" s="602">
        <f t="shared" si="136"/>
        <v>0</v>
      </c>
      <c r="CJ163" s="601">
        <f t="shared" si="137"/>
        <v>0</v>
      </c>
      <c r="CK163" s="304"/>
      <c r="CL163" s="304">
        <f t="shared" si="138"/>
        <v>2012</v>
      </c>
      <c r="CM163" s="1018">
        <f>INDEX(OperationalDetail,MATCH("Degraded Heat Rate",ODColumn,0),MATCH('Monthly Table'!CL163,ODRow,0))/1000</f>
        <v>12.170137200000001</v>
      </c>
      <c r="CN163" s="737">
        <f t="shared" si="117"/>
        <v>61.020046330931734</v>
      </c>
      <c r="CO163" s="1019">
        <f>IF(A163="January",(CO162*(1+Assumptions!$E$32)),CO162)</f>
        <v>8.542401137500347</v>
      </c>
      <c r="CP163" s="741">
        <f t="shared" si="105"/>
        <v>69.562447468432083</v>
      </c>
      <c r="CQ163" s="304"/>
      <c r="CR163" s="575" t="str">
        <f t="shared" si="139"/>
        <v/>
      </c>
      <c r="CS163" s="575" t="str">
        <f t="shared" si="140"/>
        <v/>
      </c>
      <c r="CT163" s="575" t="str">
        <f t="shared" si="141"/>
        <v/>
      </c>
      <c r="CU163" s="575" t="str">
        <f t="shared" si="142"/>
        <v/>
      </c>
      <c r="CV163" s="575" t="str">
        <f t="shared" si="143"/>
        <v/>
      </c>
      <c r="CW163" s="576">
        <f t="shared" si="106"/>
        <v>2013</v>
      </c>
      <c r="CX163" s="787">
        <f>INDEX('NY Curve'!$A$4:$G$256,MATCH('Monthly Table'!B163,'NY Curve'!$A$4:$A$256,0),MATCH("New York 5 X 16",'NY Curve'!$A$4:$G$4,0))</f>
        <v>31.35</v>
      </c>
      <c r="CY163" s="632">
        <f t="shared" si="107"/>
        <v>1.2936005616231001</v>
      </c>
      <c r="CZ163" s="633">
        <f t="shared" si="108"/>
        <v>40.554377606884188</v>
      </c>
      <c r="DB163" s="857"/>
      <c r="DC163" s="857"/>
    </row>
    <row r="164" spans="1:107" ht="18.75" customHeight="1">
      <c r="A164" s="17" t="s">
        <v>446</v>
      </c>
      <c r="B164" s="508">
        <v>41548</v>
      </c>
      <c r="C164" s="43">
        <f t="shared" si="97"/>
        <v>2013</v>
      </c>
      <c r="D164" s="719">
        <f t="shared" si="144"/>
        <v>13</v>
      </c>
      <c r="E164" s="972">
        <v>23</v>
      </c>
      <c r="F164" s="971">
        <v>4</v>
      </c>
      <c r="G164" s="971">
        <v>4</v>
      </c>
      <c r="H164" s="971">
        <v>0</v>
      </c>
      <c r="I164" s="976">
        <f t="shared" si="118"/>
        <v>31</v>
      </c>
      <c r="J164" s="621"/>
      <c r="K164" s="572">
        <f>INDEX(FX!$A$3:$C$362,MATCH(B164,FX!$A$3:$A$362,0),MATCH("Monthly Curve",FX!$A$2:$C$2,0))</f>
        <v>1.29282581038563</v>
      </c>
      <c r="L164" s="572"/>
      <c r="M164" s="1070">
        <v>3.3635000000000002</v>
      </c>
      <c r="N164" s="1071">
        <v>0.14499999999999999</v>
      </c>
      <c r="O164" s="877">
        <v>0.1</v>
      </c>
      <c r="P164" s="797">
        <f t="shared" si="99"/>
        <v>0.245</v>
      </c>
      <c r="Q164" s="732">
        <f t="shared" si="100"/>
        <v>3.6085000000000003</v>
      </c>
      <c r="R164" s="723">
        <f>IF(A164="January",(R163+R163*Assumptions!$E$32),R163)</f>
        <v>0.38088564620081972</v>
      </c>
      <c r="S164" s="730">
        <f t="shared" si="101"/>
        <v>5.0460475829773666</v>
      </c>
      <c r="T164" s="572"/>
      <c r="U164" s="509"/>
      <c r="V164" s="584"/>
      <c r="W164" s="584"/>
      <c r="X164" s="461"/>
      <c r="Y164" s="588">
        <f>Tables!$D$36</f>
        <v>312</v>
      </c>
      <c r="Z164" s="570">
        <f t="shared" si="102"/>
        <v>0</v>
      </c>
      <c r="AA164" s="592">
        <f t="shared" si="103"/>
        <v>0</v>
      </c>
      <c r="AB164" s="589">
        <f t="shared" si="98"/>
        <v>0</v>
      </c>
      <c r="AC164" s="462"/>
      <c r="AD164" s="1027">
        <f>IF(Tables!$E$30="Michigan",INDEX('Michigan Curve'!$A$4:$S$256,MATCH('Monthly Table'!B164,'Michigan Curve'!$A$4:$A$256,0),MATCH("Michigan Selected Option Value US$/month",'Michigan Curve'!$A$4:$S$4,0)),INDEX('NY Curve'!$A$4:$T$256,MATCH('Monthly Table'!B164,'NY Curve'!$A$4:$A$256,0),MATCH("New York Selected Option Value US$/month",'NY Curve'!$A$4:$T$4,0)))</f>
        <v>2808.7786451126867</v>
      </c>
      <c r="AE164" s="601">
        <f t="shared" si="119"/>
        <v>3631.261528061661</v>
      </c>
      <c r="AF164" s="462"/>
      <c r="AG164" s="915"/>
      <c r="AH164" s="17"/>
      <c r="AI164" s="799">
        <f>Assumptions!$B$50</f>
        <v>65</v>
      </c>
      <c r="AJ164" s="743"/>
      <c r="AK164" s="924">
        <f>IF(Tables!$E$30="Custom",'Monthly Table'!AI164,IF(Tables!$E$30="New York",INDEX('NY Curve'!$A$4:$G$256,MATCH('Monthly Table'!B164,'NY Curve'!$A$4:$A$256,0),MATCH("Super Peak Curve",'NY Curve'!$A$4:$G$4,0)),IF(Tables!$E$30="New York Flat",INDEX('NY Curve'!$A$4:$G$256,MATCH('Monthly Table'!B164,'NY Curve'!$A$4:$A$256,0),MATCH("Flat NY West",'NY Curve'!$A$4:$G$4,0)),INDEX('Michigan Curve'!$A$4:$F$256,MATCH('Monthly Table'!B164,'Michigan Curve'!$A$4:$A$256,0),MATCH("Michigan Super Peak Curve US$/MWhr",'Michigan Curve'!$A$4:$F$4,0)))))</f>
        <v>29.349994659423828</v>
      </c>
      <c r="AL164" s="965">
        <f>IF(D164&lt;=Tables!$B$21,IF($AL$10=$AI$10,AI164,IF($AL$10=$AJ$10,AJ164,IF($AL$10=$AK$10,AK164,0))),0)</f>
        <v>29.349994659423828</v>
      </c>
      <c r="AM164" s="708">
        <f t="shared" si="120"/>
        <v>37.944430630383522</v>
      </c>
      <c r="AN164" s="916">
        <f t="shared" si="121"/>
        <v>0</v>
      </c>
      <c r="AO164" s="905"/>
      <c r="AP164" s="925"/>
      <c r="AQ164" s="926">
        <f>IF(Tables!$E$30="New York",INDEX('NY Curve'!$A$4:$L$256,MATCH('Monthly Table'!B164,'NY Curve'!$A$4:$A$256,0),MATCH("New York Shoulder Hour Curve Mon-Fri",'NY Curve'!$A$4:$L$4,0)),IF(Tables!$E$30="Michigan",INDEX('Michigan Curve'!$A$4:$K$256,MATCH('Monthly Table'!B164,'Michigan Curve'!$A$4:$A$256,0),MATCH("Michigan Shoulder Hour Curve Mon-Fri",'Michigan Curve'!$A$4:$K$4,0))))</f>
        <v>29.349994659423828</v>
      </c>
      <c r="AR164" s="708">
        <f t="shared" si="122"/>
        <v>37.944430630383522</v>
      </c>
      <c r="AS164" s="927">
        <f t="shared" si="109"/>
        <v>0</v>
      </c>
      <c r="AT164" s="462"/>
      <c r="AU164" s="926">
        <f>IF(Tables!$E$30="New York",INDEX('NY Curve'!$A$4:$L$256,MATCH('Monthly Table'!$B164,'NY Curve'!$A$4:$A$256,0),MATCH("New York Saturday Super Peak",'NY Curve'!$A$4:$L$4,0)),IF(Tables!$E$30="Michigan",INDEX('Michigan Curve'!$A$4:$K$256,MATCH('Monthly Table'!$B164,'Michigan Curve'!$A$4:$A$256,0),MATCH("Michigan Saturday Super Peak",'Michigan Curve'!$A$4:$K$4,0))))</f>
        <v>19.996000289916992</v>
      </c>
      <c r="AV164" s="925">
        <f t="shared" si="110"/>
        <v>25.85134527928323</v>
      </c>
      <c r="AW164" s="927">
        <f t="shared" si="111"/>
        <v>0</v>
      </c>
      <c r="AX164" s="926">
        <f>IF(Tables!$E$30="New York",INDEX('NY Curve'!$A$4:$L$256,MATCH('Monthly Table'!$B164,'NY Curve'!$A$4:$A$256,0),MATCH("New York Saturday Shoulder Peak",'NY Curve'!$A$4:$L$4,0)),IF(Tables!$E$30="Michigan",INDEX('Michigan Curve'!$A$4:$K$256,MATCH('Monthly Table'!$B164,'Michigan Curve'!$A$4:$A$256,0),MATCH("Michigan Saturday Shoulder Peak",'Michigan Curve'!$A$4:$K$4,0))))</f>
        <v>19.996000289916992</v>
      </c>
      <c r="AY164" s="934">
        <f t="shared" si="123"/>
        <v>25.85134527928323</v>
      </c>
      <c r="AZ164" s="927">
        <f t="shared" si="112"/>
        <v>0</v>
      </c>
      <c r="BA164" s="462"/>
      <c r="BB164" s="926">
        <f>IF(Tables!$E$30="New York",INDEX('NY Curve'!$A$4:$M$256,MATCH('Monthly Table'!$B164,'NY Curve'!$A$4:$A$256,0),MATCH("NY Sunday Super Peak",'NY Curve'!$A$4:$M$4,0)),IF(Tables!$E$30="Michigan",INDEX('Michigan Curve'!$A$4:$L$256,MATCH('Monthly Table'!$B164,'Michigan Curve'!$A$4:$A$256,0),MATCH("Michigan Sunday Super Peak",'Michigan Curve'!$A$4:$L$4,0))))</f>
        <v>18.996500015258789</v>
      </c>
      <c r="BC164" s="925">
        <f t="shared" si="124"/>
        <v>24.559165526717578</v>
      </c>
      <c r="BD164" s="927">
        <f t="shared" si="113"/>
        <v>0</v>
      </c>
      <c r="BE164" s="462"/>
      <c r="BF164" s="598">
        <f t="shared" si="104"/>
        <v>41548</v>
      </c>
      <c r="BG164" s="583">
        <f t="shared" si="125"/>
        <v>0</v>
      </c>
      <c r="BH164" s="764">
        <f>IF(Tables!$B$36="Combined Cycle",(BF164-BF163)*24*Assumptions!$B$21,0)</f>
        <v>0</v>
      </c>
      <c r="BI164" s="315">
        <f t="shared" si="126"/>
        <v>0</v>
      </c>
      <c r="BJ164" s="987">
        <f>IF('Monthly Table'!D164&lt;=Tables!$B$21,IF($BJ$10=$BG$10,BG164,IF($BJ$10=$BH$10,BH164,IF($BJ$10=$BI$10,BI164,0))),0)</f>
        <v>0</v>
      </c>
      <c r="BK164" s="43"/>
      <c r="BL164" s="987">
        <f t="shared" si="127"/>
        <v>0</v>
      </c>
      <c r="BM164" s="987">
        <f t="shared" si="128"/>
        <v>0</v>
      </c>
      <c r="BO164" s="987">
        <f t="shared" si="114"/>
        <v>0</v>
      </c>
      <c r="BP164" s="987">
        <f t="shared" si="129"/>
        <v>0</v>
      </c>
      <c r="BR164" s="993">
        <f>IF(BJ164&gt;0,INDEX(OperationalDetail,MATCH("Capacity Degradation",ODColumn,0),MATCH('Monthly Table'!C164,ODRow,0)),0)</f>
        <v>0</v>
      </c>
      <c r="BS164" s="994">
        <f>BJ164*(1-BR164)*Tables!$C$36</f>
        <v>0</v>
      </c>
      <c r="BT164" s="601">
        <f t="shared" si="115"/>
        <v>0</v>
      </c>
      <c r="BU164" s="601">
        <f t="shared" si="116"/>
        <v>0</v>
      </c>
      <c r="BV164" s="462"/>
      <c r="BW164" s="785">
        <f>$BO164*(1-$BR164)*Tables!$C$36</f>
        <v>0</v>
      </c>
      <c r="BX164" s="602">
        <f t="shared" si="130"/>
        <v>0</v>
      </c>
      <c r="BY164" s="601">
        <f t="shared" si="131"/>
        <v>0</v>
      </c>
      <c r="BZ164" s="462"/>
      <c r="CA164" s="785">
        <f>$BL164*(1-$BR164)*Tables!$C$36</f>
        <v>0</v>
      </c>
      <c r="CB164" s="602">
        <f t="shared" si="132"/>
        <v>0</v>
      </c>
      <c r="CC164" s="601">
        <f t="shared" si="133"/>
        <v>0</v>
      </c>
      <c r="CD164" s="785">
        <f>$BP164*(1-$BR164)*Tables!$C$36</f>
        <v>0</v>
      </c>
      <c r="CE164" s="602">
        <f t="shared" si="134"/>
        <v>0</v>
      </c>
      <c r="CF164" s="601">
        <f t="shared" si="135"/>
        <v>0</v>
      </c>
      <c r="CH164" s="785">
        <f>$BM164*(1-$BR164)*Tables!$C$36</f>
        <v>0</v>
      </c>
      <c r="CI164" s="602">
        <f t="shared" si="136"/>
        <v>0</v>
      </c>
      <c r="CJ164" s="601">
        <f t="shared" si="137"/>
        <v>0</v>
      </c>
      <c r="CK164" s="304"/>
      <c r="CL164" s="304">
        <f t="shared" si="138"/>
        <v>2012</v>
      </c>
      <c r="CM164" s="1018">
        <f>INDEX(OperationalDetail,MATCH("Degraded Heat Rate",ODColumn,0),MATCH('Monthly Table'!CL164,ODRow,0))/1000</f>
        <v>12.170137200000001</v>
      </c>
      <c r="CN164" s="737">
        <f t="shared" si="117"/>
        <v>61.411091402562938</v>
      </c>
      <c r="CO164" s="1019">
        <f>IF(A164="January",(CO163*(1+Assumptions!$E$32)),CO163)</f>
        <v>8.542401137500347</v>
      </c>
      <c r="CP164" s="741">
        <f t="shared" si="105"/>
        <v>69.95349254006328</v>
      </c>
      <c r="CQ164" s="304"/>
      <c r="CR164" s="575" t="str">
        <f t="shared" si="139"/>
        <v/>
      </c>
      <c r="CS164" s="575" t="str">
        <f t="shared" si="140"/>
        <v/>
      </c>
      <c r="CT164" s="575" t="str">
        <f t="shared" si="141"/>
        <v/>
      </c>
      <c r="CU164" s="575" t="str">
        <f t="shared" si="142"/>
        <v/>
      </c>
      <c r="CV164" s="575" t="str">
        <f t="shared" si="143"/>
        <v/>
      </c>
      <c r="CW164" s="576">
        <f t="shared" si="106"/>
        <v>2013</v>
      </c>
      <c r="CX164" s="787">
        <f>INDEX('NY Curve'!$A$4:$G$256,MATCH('Monthly Table'!B164,'NY Curve'!$A$4:$A$256,0),MATCH("New York 5 X 16",'NY Curve'!$A$4:$G$4,0))</f>
        <v>27.1</v>
      </c>
      <c r="CY164" s="632">
        <f t="shared" si="107"/>
        <v>1.29282581038563</v>
      </c>
      <c r="CZ164" s="633">
        <f t="shared" si="108"/>
        <v>35.035579461450574</v>
      </c>
      <c r="DB164" s="857"/>
      <c r="DC164" s="857"/>
    </row>
    <row r="165" spans="1:107" ht="18.75" customHeight="1">
      <c r="A165" s="17" t="s">
        <v>447</v>
      </c>
      <c r="B165" s="508">
        <v>41579</v>
      </c>
      <c r="C165" s="43">
        <f t="shared" si="97"/>
        <v>2013</v>
      </c>
      <c r="D165" s="719">
        <f t="shared" si="144"/>
        <v>13</v>
      </c>
      <c r="E165" s="972">
        <v>20</v>
      </c>
      <c r="F165" s="971">
        <v>5</v>
      </c>
      <c r="G165" s="971">
        <v>4</v>
      </c>
      <c r="H165" s="971">
        <v>1</v>
      </c>
      <c r="I165" s="976">
        <f t="shared" si="118"/>
        <v>30</v>
      </c>
      <c r="J165" s="621"/>
      <c r="K165" s="572">
        <f>INDEX(FX!$A$3:$C$362,MATCH(B165,FX!$A$3:$A$362,0),MATCH("Monthly Curve",FX!$A$2:$C$2,0))</f>
        <v>1.2920275545567299</v>
      </c>
      <c r="L165" s="572"/>
      <c r="M165" s="1070">
        <v>3.4994999999999998</v>
      </c>
      <c r="N165" s="1071">
        <v>0.23</v>
      </c>
      <c r="O165" s="877">
        <v>0.1</v>
      </c>
      <c r="P165" s="797">
        <f t="shared" si="99"/>
        <v>0.33</v>
      </c>
      <c r="Q165" s="732">
        <f t="shared" si="100"/>
        <v>3.8294999999999999</v>
      </c>
      <c r="R165" s="723">
        <f>IF(A165="January",(R164+R164*Assumptions!$E$32),R164)</f>
        <v>0.38088564620081972</v>
      </c>
      <c r="S165" s="730">
        <f t="shared" si="101"/>
        <v>5.3287051663758174</v>
      </c>
      <c r="T165" s="572"/>
      <c r="U165" s="507"/>
      <c r="V165" s="583"/>
      <c r="W165" s="583"/>
      <c r="X165" s="587"/>
      <c r="Y165" s="588">
        <f>Tables!$D$36</f>
        <v>312</v>
      </c>
      <c r="Z165" s="570">
        <f t="shared" si="102"/>
        <v>0</v>
      </c>
      <c r="AA165" s="592">
        <f t="shared" si="103"/>
        <v>0</v>
      </c>
      <c r="AB165" s="589">
        <f t="shared" si="98"/>
        <v>0</v>
      </c>
      <c r="AC165" s="462"/>
      <c r="AD165" s="1027">
        <f>IF(Tables!$E$30="Michigan",INDEX('Michigan Curve'!$A$4:$S$256,MATCH('Monthly Table'!B165,'Michigan Curve'!$A$4:$A$256,0),MATCH("Michigan Selected Option Value US$/month",'Michigan Curve'!$A$4:$S$4,0)),INDEX('NY Curve'!$A$4:$T$256,MATCH('Monthly Table'!B165,'NY Curve'!$A$4:$A$256,0),MATCH("New York Selected Option Value US$/month",'NY Curve'!$A$4:$T$4,0)))</f>
        <v>15996.671938380881</v>
      </c>
      <c r="AE165" s="601">
        <f t="shared" si="119"/>
        <v>20668.140925592514</v>
      </c>
      <c r="AF165" s="462"/>
      <c r="AG165" s="915"/>
      <c r="AH165" s="17"/>
      <c r="AI165" s="799">
        <f>Assumptions!$B$50</f>
        <v>65</v>
      </c>
      <c r="AJ165" s="743"/>
      <c r="AK165" s="924">
        <f>IF(Tables!$E$30="Custom",'Monthly Table'!AI165,IF(Tables!$E$30="New York",INDEX('NY Curve'!$A$4:$G$256,MATCH('Monthly Table'!B165,'NY Curve'!$A$4:$A$256,0),MATCH("Super Peak Curve",'NY Curve'!$A$4:$G$4,0)),IF(Tables!$E$30="New York Flat",INDEX('NY Curve'!$A$4:$G$256,MATCH('Monthly Table'!B165,'NY Curve'!$A$4:$A$256,0),MATCH("Flat NY West",'NY Curve'!$A$4:$G$4,0)),INDEX('Michigan Curve'!$A$4:$F$256,MATCH('Monthly Table'!B165,'Michigan Curve'!$A$4:$A$256,0),MATCH("Michigan Super Peak Curve US$/MWhr",'Michigan Curve'!$A$4:$F$4,0)))))</f>
        <v>31.568395385742189</v>
      </c>
      <c r="AL165" s="965">
        <f>IF(D165&lt;=Tables!$B$21,IF($AL$10=$AI$10,AI165,IF($AL$10=$AJ$10,AJ165,IF($AL$10=$AK$10,AK165,0))),0)</f>
        <v>31.568395385742189</v>
      </c>
      <c r="AM165" s="708">
        <f t="shared" si="120"/>
        <v>40.787236691520434</v>
      </c>
      <c r="AN165" s="916">
        <f t="shared" si="121"/>
        <v>0</v>
      </c>
      <c r="AO165" s="905"/>
      <c r="AP165" s="925"/>
      <c r="AQ165" s="926">
        <f>IF(Tables!$E$30="New York",INDEX('NY Curve'!$A$4:$L$256,MATCH('Monthly Table'!B165,'NY Curve'!$A$4:$A$256,0),MATCH("New York Shoulder Hour Curve Mon-Fri",'NY Curve'!$A$4:$L$4,0)),IF(Tables!$E$30="Michigan",INDEX('Michigan Curve'!$A$4:$K$256,MATCH('Monthly Table'!B165,'Michigan Curve'!$A$4:$A$256,0),MATCH("Michigan Shoulder Hour Curve Mon-Fri",'Michigan Curve'!$A$4:$K$4,0))))</f>
        <v>26.891596069335936</v>
      </c>
      <c r="AR165" s="708">
        <f t="shared" si="122"/>
        <v>34.744683107591477</v>
      </c>
      <c r="AS165" s="927">
        <f t="shared" si="109"/>
        <v>0</v>
      </c>
      <c r="AU165" s="926">
        <f>IF(Tables!$E$30="New York",INDEX('NY Curve'!$A$4:$L$256,MATCH('Monthly Table'!$B165,'NY Curve'!$A$4:$A$256,0),MATCH("New York Saturday Super Peak",'NY Curve'!$A$4:$L$4,0)),IF(Tables!$E$30="Michigan",INDEX('Michigan Curve'!$A$4:$K$256,MATCH('Monthly Table'!$B165,'Michigan Curve'!$A$4:$A$256,0),MATCH("Michigan Saturday Super Peak",'Michigan Curve'!$A$4:$K$4,0))))</f>
        <v>21.6</v>
      </c>
      <c r="AV165" s="925">
        <f t="shared" si="110"/>
        <v>27.907795178425367</v>
      </c>
      <c r="AW165" s="927">
        <f t="shared" si="111"/>
        <v>0</v>
      </c>
      <c r="AX165" s="926">
        <f>IF(Tables!$E$30="New York",INDEX('NY Curve'!$A$4:$L$256,MATCH('Monthly Table'!$B165,'NY Curve'!$A$4:$A$256,0),MATCH("New York Saturday Shoulder Peak",'NY Curve'!$A$4:$L$4,0)),IF(Tables!$E$30="Michigan",INDEX('Michigan Curve'!$A$4:$K$256,MATCH('Monthly Table'!$B165,'Michigan Curve'!$A$4:$A$256,0),MATCH("Michigan Saturday Shoulder Peak",'Michigan Curve'!$A$4:$K$4,0))))</f>
        <v>18.399999999999999</v>
      </c>
      <c r="AY165" s="934">
        <f t="shared" si="123"/>
        <v>23.773307003843829</v>
      </c>
      <c r="AZ165" s="927">
        <f t="shared" si="112"/>
        <v>0</v>
      </c>
      <c r="BB165" s="926">
        <f>IF(Tables!$E$30="New York",INDEX('NY Curve'!$A$4:$M$256,MATCH('Monthly Table'!$B165,'NY Curve'!$A$4:$A$256,0),MATCH("NY Sunday Super Peak",'NY Curve'!$A$4:$M$4,0)),IF(Tables!$E$30="Michigan",INDEX('Michigan Curve'!$A$4:$L$256,MATCH('Monthly Table'!$B165,'Michigan Curve'!$A$4:$A$256,0),MATCH("Michigan Sunday Super Peak",'Michigan Curve'!$A$4:$L$4,0))))</f>
        <v>20.520000000000003</v>
      </c>
      <c r="BC165" s="925">
        <f t="shared" si="124"/>
        <v>26.512405419504102</v>
      </c>
      <c r="BD165" s="927">
        <f t="shared" si="113"/>
        <v>0</v>
      </c>
      <c r="BF165" s="598">
        <f t="shared" si="104"/>
        <v>41579</v>
      </c>
      <c r="BG165" s="583">
        <f t="shared" si="125"/>
        <v>0</v>
      </c>
      <c r="BH165" s="764">
        <f>IF(Tables!$B$36="Combined Cycle",(BF165-BF164)*24*Assumptions!$B$21,0)</f>
        <v>0</v>
      </c>
      <c r="BI165" s="315">
        <f t="shared" si="126"/>
        <v>0</v>
      </c>
      <c r="BJ165" s="987">
        <f>IF('Monthly Table'!D165&lt;=Tables!$B$21,IF($BJ$10=$BG$10,BG165,IF($BJ$10=$BH$10,BH165,IF($BJ$10=$BI$10,BI165,0))),0)</f>
        <v>0</v>
      </c>
      <c r="BK165" s="43"/>
      <c r="BL165" s="987">
        <f t="shared" si="127"/>
        <v>0</v>
      </c>
      <c r="BM165" s="987">
        <f t="shared" si="128"/>
        <v>0</v>
      </c>
      <c r="BO165" s="987">
        <f t="shared" si="114"/>
        <v>0</v>
      </c>
      <c r="BP165" s="987">
        <f t="shared" si="129"/>
        <v>0</v>
      </c>
      <c r="BR165" s="993">
        <f>IF(BJ165&gt;0,INDEX(OperationalDetail,MATCH("Capacity Degradation",ODColumn,0),MATCH('Monthly Table'!C165,ODRow,0)),0)</f>
        <v>0</v>
      </c>
      <c r="BS165" s="994">
        <f>BJ165*(1-BR165)*Tables!$C$36</f>
        <v>0</v>
      </c>
      <c r="BT165" s="601">
        <f t="shared" si="115"/>
        <v>0</v>
      </c>
      <c r="BU165" s="601">
        <f t="shared" si="116"/>
        <v>0</v>
      </c>
      <c r="BV165" s="462"/>
      <c r="BW165" s="785">
        <f>$BO165*(1-$BR165)*Tables!$C$36</f>
        <v>0</v>
      </c>
      <c r="BX165" s="602">
        <f t="shared" si="130"/>
        <v>0</v>
      </c>
      <c r="BY165" s="601">
        <f t="shared" si="131"/>
        <v>0</v>
      </c>
      <c r="BZ165" s="462"/>
      <c r="CA165" s="785">
        <f>$BL165*(1-$BR165)*Tables!$C$36</f>
        <v>0</v>
      </c>
      <c r="CB165" s="602">
        <f t="shared" si="132"/>
        <v>0</v>
      </c>
      <c r="CC165" s="601">
        <f t="shared" si="133"/>
        <v>0</v>
      </c>
      <c r="CD165" s="785">
        <f>$BP165*(1-$BR165)*Tables!$C$36</f>
        <v>0</v>
      </c>
      <c r="CE165" s="602">
        <f t="shared" si="134"/>
        <v>0</v>
      </c>
      <c r="CF165" s="601">
        <f t="shared" si="135"/>
        <v>0</v>
      </c>
      <c r="CH165" s="785">
        <f>$BM165*(1-$BR165)*Tables!$C$36</f>
        <v>0</v>
      </c>
      <c r="CI165" s="602">
        <f t="shared" si="136"/>
        <v>0</v>
      </c>
      <c r="CJ165" s="601">
        <f t="shared" si="137"/>
        <v>0</v>
      </c>
      <c r="CK165" s="304"/>
      <c r="CL165" s="304">
        <f t="shared" si="138"/>
        <v>2012</v>
      </c>
      <c r="CM165" s="1018">
        <f>INDEX(OperationalDetail,MATCH("Degraded Heat Rate",ODColumn,0),MATCH('Monthly Table'!CL165,ODRow,0))/1000</f>
        <v>12.170137200000001</v>
      </c>
      <c r="CN165" s="737">
        <f t="shared" si="117"/>
        <v>64.851072973142536</v>
      </c>
      <c r="CO165" s="1019">
        <f>IF(A165="January",(CO164*(1+Assumptions!$E$32)),CO164)</f>
        <v>8.542401137500347</v>
      </c>
      <c r="CP165" s="741">
        <f t="shared" si="105"/>
        <v>73.393474110642885</v>
      </c>
      <c r="CQ165" s="304"/>
      <c r="CR165" s="575" t="str">
        <f t="shared" si="139"/>
        <v/>
      </c>
      <c r="CS165" s="575" t="str">
        <f t="shared" si="140"/>
        <v/>
      </c>
      <c r="CT165" s="575" t="str">
        <f t="shared" si="141"/>
        <v/>
      </c>
      <c r="CU165" s="575" t="str">
        <f t="shared" si="142"/>
        <v/>
      </c>
      <c r="CV165" s="575" t="str">
        <f t="shared" si="143"/>
        <v/>
      </c>
      <c r="CW165" s="576">
        <f t="shared" si="106"/>
        <v>2013</v>
      </c>
      <c r="CX165" s="787">
        <f>INDEX('NY Curve'!$A$4:$G$256,MATCH('Monthly Table'!B165,'NY Curve'!$A$4:$A$256,0),MATCH("New York 5 X 16",'NY Curve'!$A$4:$G$4,0))</f>
        <v>27.6</v>
      </c>
      <c r="CY165" s="632">
        <f t="shared" si="107"/>
        <v>1.2920275545567299</v>
      </c>
      <c r="CZ165" s="633">
        <f t="shared" si="108"/>
        <v>35.659960505765746</v>
      </c>
      <c r="DB165" s="857"/>
      <c r="DC165" s="857"/>
    </row>
    <row r="166" spans="1:107" s="222" customFormat="1" ht="18.75" customHeight="1">
      <c r="A166" s="222" t="s">
        <v>448</v>
      </c>
      <c r="B166" s="564">
        <v>41609</v>
      </c>
      <c r="C166" s="565">
        <f t="shared" si="97"/>
        <v>2013</v>
      </c>
      <c r="D166" s="819">
        <f t="shared" si="144"/>
        <v>13</v>
      </c>
      <c r="E166" s="972">
        <v>21</v>
      </c>
      <c r="F166" s="971">
        <v>4</v>
      </c>
      <c r="G166" s="971">
        <v>5</v>
      </c>
      <c r="H166" s="971">
        <v>1</v>
      </c>
      <c r="I166" s="976">
        <f t="shared" si="118"/>
        <v>31</v>
      </c>
      <c r="J166" s="969"/>
      <c r="K166" s="820">
        <f>INDEX(FX!$A$3:$C$362,MATCH(B166,FX!$A$3:$A$362,0),MATCH("Monthly Curve",FX!$A$2:$C$2,0))</f>
        <v>1.2912572910017801</v>
      </c>
      <c r="L166" s="820"/>
      <c r="M166" s="1070">
        <v>3.6255000000000002</v>
      </c>
      <c r="N166" s="1071">
        <v>0.27</v>
      </c>
      <c r="O166" s="878">
        <v>0.1</v>
      </c>
      <c r="P166" s="824">
        <f t="shared" si="99"/>
        <v>0.37</v>
      </c>
      <c r="Q166" s="825">
        <f t="shared" si="100"/>
        <v>3.9955000000000003</v>
      </c>
      <c r="R166" s="837">
        <f>IF(A166="January",(R165+R165*Assumptions!$E$32),R165)</f>
        <v>0.38088564620081972</v>
      </c>
      <c r="S166" s="827">
        <f t="shared" si="101"/>
        <v>5.5401041523984329</v>
      </c>
      <c r="T166" s="820"/>
      <c r="U166" s="828"/>
      <c r="V166" s="830"/>
      <c r="W166" s="830"/>
      <c r="X166" s="823"/>
      <c r="Y166" s="839">
        <f>Tables!$D$36</f>
        <v>312</v>
      </c>
      <c r="Z166" s="678">
        <f t="shared" si="102"/>
        <v>0</v>
      </c>
      <c r="AA166" s="679">
        <f t="shared" si="103"/>
        <v>0</v>
      </c>
      <c r="AB166" s="680">
        <f t="shared" si="98"/>
        <v>0</v>
      </c>
      <c r="AC166" s="828"/>
      <c r="AD166" s="1027">
        <f>IF(Tables!$E$30="Michigan",INDEX('Michigan Curve'!$A$4:$S$256,MATCH('Monthly Table'!B166,'Michigan Curve'!$A$4:$A$256,0),MATCH("Michigan Selected Option Value US$/month",'Michigan Curve'!$A$4:$S$4,0)),INDEX('NY Curve'!$A$4:$T$256,MATCH('Monthly Table'!B166,'NY Curve'!$A$4:$A$256,0),MATCH("New York Selected Option Value US$/month",'NY Curve'!$A$4:$T$4,0)))</f>
        <v>9703.0950071975331</v>
      </c>
      <c r="AE166" s="601">
        <f t="shared" si="119"/>
        <v>12529.192173326785</v>
      </c>
      <c r="AF166" s="828"/>
      <c r="AG166" s="917"/>
      <c r="AI166" s="799">
        <f>Assumptions!$B$50</f>
        <v>65</v>
      </c>
      <c r="AJ166" s="762"/>
      <c r="AK166" s="924">
        <f>IF(Tables!$E$30="Custom",'Monthly Table'!AI166,IF(Tables!$E$30="New York",INDEX('NY Curve'!$A$4:$G$256,MATCH('Monthly Table'!B166,'NY Curve'!$A$4:$A$256,0),MATCH("Super Peak Curve",'NY Curve'!$A$4:$G$4,0)),IF(Tables!$E$30="New York Flat",INDEX('NY Curve'!$A$4:$G$256,MATCH('Monthly Table'!B166,'NY Curve'!$A$4:$A$256,0),MATCH("Flat NY West",'NY Curve'!$A$4:$G$4,0)),INDEX('Michigan Curve'!$A$4:$F$256,MATCH('Monthly Table'!B166,'Michigan Curve'!$A$4:$A$256,0),MATCH("Michigan Super Peak Curve US$/MWhr",'Michigan Curve'!$A$4:$F$4,0)))))</f>
        <v>30.293994941711425</v>
      </c>
      <c r="AL166" s="966">
        <f>IF(D166&lt;=Tables!$B$21,IF($AL$10=$AI$10,AI166,IF($AL$10=$AJ$10,AJ166,IF($AL$10=$AK$10,AK166,0))),0)</f>
        <v>30.293994941711425</v>
      </c>
      <c r="AM166" s="708">
        <f t="shared" si="120"/>
        <v>39.117341842055922</v>
      </c>
      <c r="AN166" s="918">
        <f t="shared" si="121"/>
        <v>0</v>
      </c>
      <c r="AO166" s="906"/>
      <c r="AP166" s="925"/>
      <c r="AQ166" s="926">
        <f>IF(Tables!$E$30="New York",INDEX('NY Curve'!$A$4:$L$256,MATCH('Monthly Table'!B166,'NY Curve'!$A$4:$A$256,0),MATCH("New York Shoulder Hour Curve Mon-Fri",'NY Curve'!$A$4:$L$4,0)),IF(Tables!$E$30="Michigan",INDEX('Michigan Curve'!$A$4:$K$256,MATCH('Monthly Table'!B166,'Michigan Curve'!$A$4:$A$256,0),MATCH("Michigan Shoulder Hour Curve Mon-Fri",'Michigan Curve'!$A$4:$K$4,0))))</f>
        <v>29.105995140075684</v>
      </c>
      <c r="AR166" s="708">
        <f t="shared" si="122"/>
        <v>37.583328436485104</v>
      </c>
      <c r="AS166" s="927">
        <f t="shared" si="109"/>
        <v>0</v>
      </c>
      <c r="AT166" s="565"/>
      <c r="AU166" s="926">
        <f>IF(Tables!$E$30="New York",INDEX('NY Curve'!$A$4:$L$256,MATCH('Monthly Table'!$B166,'NY Curve'!$A$4:$A$256,0),MATCH("New York Saturday Super Peak",'NY Curve'!$A$4:$L$4,0)),IF(Tables!$E$30="Michigan",INDEX('Michigan Curve'!$A$4:$K$256,MATCH('Monthly Table'!$B166,'Michigan Curve'!$A$4:$A$256,0),MATCH("Michigan Saturday Super Peak",'Michigan Curve'!$A$4:$K$4,0))))</f>
        <v>20.399999999999999</v>
      </c>
      <c r="AV166" s="925">
        <f t="shared" si="110"/>
        <v>26.341648736436312</v>
      </c>
      <c r="AW166" s="927">
        <f t="shared" si="111"/>
        <v>0</v>
      </c>
      <c r="AX166" s="926">
        <f>IF(Tables!$E$30="New York",INDEX('NY Curve'!$A$4:$L$256,MATCH('Monthly Table'!$B166,'NY Curve'!$A$4:$A$256,0),MATCH("New York Saturday Shoulder Peak",'NY Curve'!$A$4:$L$4,0)),IF(Tables!$E$30="Michigan",INDEX('Michigan Curve'!$A$4:$K$256,MATCH('Monthly Table'!$B166,'Michigan Curve'!$A$4:$A$256,0),MATCH("Michigan Saturday Shoulder Peak",'Michigan Curve'!$A$4:$K$4,0))))</f>
        <v>19.600000000000001</v>
      </c>
      <c r="AY166" s="934">
        <f t="shared" si="123"/>
        <v>25.30864290363489</v>
      </c>
      <c r="AZ166" s="927">
        <f t="shared" si="112"/>
        <v>0</v>
      </c>
      <c r="BA166" s="565"/>
      <c r="BB166" s="926">
        <f>IF(Tables!$E$30="New York",INDEX('NY Curve'!$A$4:$M$256,MATCH('Monthly Table'!$B166,'NY Curve'!$A$4:$A$256,0),MATCH("NY Sunday Super Peak",'NY Curve'!$A$4:$M$4,0)),IF(Tables!$E$30="Michigan",INDEX('Michigan Curve'!$A$4:$L$256,MATCH('Monthly Table'!$B166,'Michigan Curve'!$A$4:$A$256,0),MATCH("Michigan Sunday Super Peak",'Michigan Curve'!$A$4:$L$4,0))))</f>
        <v>19.38</v>
      </c>
      <c r="BC166" s="925">
        <f t="shared" si="124"/>
        <v>25.024566299614499</v>
      </c>
      <c r="BD166" s="927">
        <f t="shared" si="113"/>
        <v>0</v>
      </c>
      <c r="BE166" s="565"/>
      <c r="BF166" s="829">
        <f t="shared" si="104"/>
        <v>41609</v>
      </c>
      <c r="BG166" s="583">
        <f t="shared" si="125"/>
        <v>0</v>
      </c>
      <c r="BH166" s="840">
        <f>IF(Tables!$B$36="Combined Cycle",(BF166-BF165)*24*Assumptions!$B$21,0)</f>
        <v>0</v>
      </c>
      <c r="BI166" s="315">
        <f t="shared" si="126"/>
        <v>0</v>
      </c>
      <c r="BJ166" s="988">
        <f>IF('Monthly Table'!D166&lt;=Tables!$B$21,IF($BJ$10=$BG$10,BG166,IF($BJ$10=$BH$10,BH166,IF($BJ$10=$BI$10,BI166,0))),0)</f>
        <v>0</v>
      </c>
      <c r="BK166" s="43"/>
      <c r="BL166" s="987">
        <f t="shared" si="127"/>
        <v>0</v>
      </c>
      <c r="BM166" s="987">
        <f t="shared" si="128"/>
        <v>0</v>
      </c>
      <c r="BN166" s="43"/>
      <c r="BO166" s="987">
        <f t="shared" si="114"/>
        <v>0</v>
      </c>
      <c r="BP166" s="987">
        <f t="shared" si="129"/>
        <v>0</v>
      </c>
      <c r="BQ166" s="43"/>
      <c r="BR166" s="995">
        <f>IF(BJ166&gt;0,INDEX(OperationalDetail,MATCH("Capacity Degradation",ODColumn,0),MATCH('Monthly Table'!C166,ODRow,0)),0)</f>
        <v>0</v>
      </c>
      <c r="BS166" s="994">
        <f>BJ166*(1-BR166)*Tables!$C$36</f>
        <v>0</v>
      </c>
      <c r="BT166" s="834">
        <f t="shared" si="115"/>
        <v>0</v>
      </c>
      <c r="BU166" s="834">
        <f t="shared" si="116"/>
        <v>0</v>
      </c>
      <c r="BV166" s="462"/>
      <c r="BW166" s="785">
        <f>$BO166*(1-$BR166)*Tables!$C$36</f>
        <v>0</v>
      </c>
      <c r="BX166" s="602">
        <f t="shared" si="130"/>
        <v>0</v>
      </c>
      <c r="BY166" s="601">
        <f t="shared" si="131"/>
        <v>0</v>
      </c>
      <c r="BZ166" s="828"/>
      <c r="CA166" s="785">
        <f>$BL166*(1-$BR166)*Tables!$C$36</f>
        <v>0</v>
      </c>
      <c r="CB166" s="602">
        <f t="shared" si="132"/>
        <v>0</v>
      </c>
      <c r="CC166" s="601">
        <f t="shared" si="133"/>
        <v>0</v>
      </c>
      <c r="CD166" s="785">
        <f>$BP166*(1-$BR166)*Tables!$C$36</f>
        <v>0</v>
      </c>
      <c r="CE166" s="602">
        <f t="shared" si="134"/>
        <v>0</v>
      </c>
      <c r="CF166" s="601">
        <f t="shared" si="135"/>
        <v>0</v>
      </c>
      <c r="CH166" s="785">
        <f>$BM166*(1-$BR166)*Tables!$C$36</f>
        <v>0</v>
      </c>
      <c r="CI166" s="602">
        <f t="shared" si="136"/>
        <v>0</v>
      </c>
      <c r="CJ166" s="601">
        <f t="shared" si="137"/>
        <v>0</v>
      </c>
      <c r="CK166" s="304"/>
      <c r="CL166" s="304">
        <f t="shared" si="138"/>
        <v>2012</v>
      </c>
      <c r="CM166" s="1018">
        <f>INDEX(OperationalDetail,MATCH("Degraded Heat Rate",ODColumn,0),MATCH('Monthly Table'!CL166,ODRow,0))/1000</f>
        <v>12.170137200000001</v>
      </c>
      <c r="CN166" s="835">
        <f t="shared" si="117"/>
        <v>67.423827636978643</v>
      </c>
      <c r="CO166" s="1020">
        <f>IF(A166="January",(CO165*(1+Assumptions!$E$32)),CO165)</f>
        <v>8.542401137500347</v>
      </c>
      <c r="CP166" s="836">
        <f t="shared" si="105"/>
        <v>75.966228774478992</v>
      </c>
      <c r="CQ166" s="304"/>
      <c r="CR166" s="841" t="str">
        <f t="shared" si="139"/>
        <v/>
      </c>
      <c r="CS166" s="575" t="str">
        <f t="shared" si="140"/>
        <v/>
      </c>
      <c r="CT166" s="575" t="str">
        <f t="shared" si="141"/>
        <v/>
      </c>
      <c r="CU166" s="575" t="str">
        <f t="shared" si="142"/>
        <v/>
      </c>
      <c r="CV166" s="575" t="str">
        <f t="shared" si="143"/>
        <v/>
      </c>
      <c r="CW166" s="842">
        <f t="shared" si="106"/>
        <v>2013</v>
      </c>
      <c r="CX166" s="843">
        <f>INDEX('NY Curve'!$A$4:$G$256,MATCH('Monthly Table'!B166,'NY Curve'!$A$4:$A$256,0),MATCH("New York 5 X 16",'NY Curve'!$A$4:$G$4,0))</f>
        <v>28.1</v>
      </c>
      <c r="CY166" s="844">
        <f t="shared" si="107"/>
        <v>1.2912572910017801</v>
      </c>
      <c r="CZ166" s="845">
        <f t="shared" si="108"/>
        <v>36.284329877150022</v>
      </c>
      <c r="DB166" s="857"/>
      <c r="DC166" s="857"/>
    </row>
    <row r="167" spans="1:107" ht="18.75" customHeight="1">
      <c r="A167" s="17" t="s">
        <v>437</v>
      </c>
      <c r="B167" s="508">
        <v>41640</v>
      </c>
      <c r="C167" s="43">
        <f t="shared" si="97"/>
        <v>2014</v>
      </c>
      <c r="D167" s="719">
        <f t="shared" si="144"/>
        <v>14</v>
      </c>
      <c r="E167" s="972">
        <v>22</v>
      </c>
      <c r="F167" s="971">
        <v>4</v>
      </c>
      <c r="G167" s="971">
        <v>4</v>
      </c>
      <c r="H167" s="971">
        <v>1</v>
      </c>
      <c r="I167" s="976">
        <f t="shared" si="118"/>
        <v>31</v>
      </c>
      <c r="J167" s="621"/>
      <c r="K167" s="572">
        <f>INDEX(FX!$A$3:$C$362,MATCH(B167,FX!$A$3:$A$362,0),MATCH("Monthly Curve",FX!$A$2:$C$2,0))</f>
        <v>1.29046366516151</v>
      </c>
      <c r="L167" s="572"/>
      <c r="M167" s="1070">
        <v>3.7210000000000001</v>
      </c>
      <c r="N167" s="1071">
        <v>0.28000000000000003</v>
      </c>
      <c r="O167" s="877">
        <v>0.1</v>
      </c>
      <c r="P167" s="797">
        <f t="shared" si="99"/>
        <v>0.38</v>
      </c>
      <c r="Q167" s="732">
        <f t="shared" si="100"/>
        <v>4.101</v>
      </c>
      <c r="R167" s="723">
        <f>IF(A167="January",(R166+R166*Assumptions!$E$32),R166)</f>
        <v>0.38850335912483613</v>
      </c>
      <c r="S167" s="730">
        <f t="shared" si="101"/>
        <v>5.6806948499521894</v>
      </c>
      <c r="T167" s="572"/>
      <c r="U167" s="507"/>
      <c r="V167" s="583"/>
      <c r="W167" s="583"/>
      <c r="X167" s="587"/>
      <c r="Y167" s="588">
        <f>Tables!$D$36</f>
        <v>312</v>
      </c>
      <c r="Z167" s="570">
        <f t="shared" si="102"/>
        <v>0</v>
      </c>
      <c r="AA167" s="592">
        <f t="shared" si="103"/>
        <v>0</v>
      </c>
      <c r="AB167" s="589">
        <f t="shared" si="98"/>
        <v>0</v>
      </c>
      <c r="AC167" s="462"/>
      <c r="AD167" s="1027">
        <f>IF(Tables!$E$30="Michigan",INDEX('Michigan Curve'!$A$4:$S$256,MATCH('Monthly Table'!B167,'Michigan Curve'!$A$4:$A$256,0),MATCH("Michigan Selected Option Value US$/month",'Michigan Curve'!$A$4:$S$4,0)),INDEX('NY Curve'!$A$4:$T$256,MATCH('Monthly Table'!B167,'NY Curve'!$A$4:$A$256,0),MATCH("New York Selected Option Value US$/month",'NY Curve'!$A$4:$T$4,0)))</f>
        <v>50427.844138546934</v>
      </c>
      <c r="AE167" s="601">
        <f t="shared" si="119"/>
        <v>65075.300573222645</v>
      </c>
      <c r="AF167" s="462"/>
      <c r="AG167" s="915"/>
      <c r="AH167" s="17"/>
      <c r="AI167" s="799">
        <f>Assumptions!$B$50</f>
        <v>65</v>
      </c>
      <c r="AJ167" s="743"/>
      <c r="AK167" s="924">
        <f>IF(Tables!$E$30="Custom",'Monthly Table'!AI167,IF(Tables!$E$30="New York",INDEX('NY Curve'!$A$4:$G$256,MATCH('Monthly Table'!B167,'NY Curve'!$A$4:$A$256,0),MATCH("Super Peak Curve",'NY Curve'!$A$4:$G$4,0)),IF(Tables!$E$30="New York Flat",INDEX('NY Curve'!$A$4:$G$256,MATCH('Monthly Table'!B167,'NY Curve'!$A$4:$A$256,0),MATCH("Flat NY West",'NY Curve'!$A$4:$G$4,0)),INDEX('Michigan Curve'!$A$4:$F$256,MATCH('Monthly Table'!B167,'Michigan Curve'!$A$4:$A$256,0),MATCH("Michigan Super Peak Curve US$/MWhr",'Michigan Curve'!$A$4:$F$4,0)))))</f>
        <v>35.904000389099124</v>
      </c>
      <c r="AL167" s="965">
        <f>IF(D167&lt;=Tables!$B$21,IF($AL$10=$AI$10,AI167,IF($AL$10=$AJ$10,AJ167,IF($AL$10=$AK$10,AK167,0))),0)</f>
        <v>35.904000389099124</v>
      </c>
      <c r="AM167" s="708">
        <f t="shared" si="120"/>
        <v>46.332807936077138</v>
      </c>
      <c r="AN167" s="916">
        <f t="shared" si="121"/>
        <v>0</v>
      </c>
      <c r="AO167" s="905"/>
      <c r="AP167" s="925"/>
      <c r="AQ167" s="926">
        <f>IF(Tables!$E$30="New York",INDEX('NY Curve'!$A$4:$L$256,MATCH('Monthly Table'!B167,'NY Curve'!$A$4:$A$256,0),MATCH("New York Shoulder Hour Curve Mon-Fri",'NY Curve'!$A$4:$L$4,0)),IF(Tables!$E$30="Michigan",INDEX('Michigan Curve'!$A$4:$K$256,MATCH('Monthly Table'!B167,'Michigan Curve'!$A$4:$A$256,0),MATCH("Michigan Shoulder Hour Curve Mon-Fri",'Michigan Curve'!$A$4:$K$4,0))))</f>
        <v>34.496000373840332</v>
      </c>
      <c r="AR167" s="708">
        <f t="shared" si="122"/>
        <v>44.515835075838815</v>
      </c>
      <c r="AS167" s="927">
        <f t="shared" si="109"/>
        <v>0</v>
      </c>
      <c r="AU167" s="926">
        <f>IF(Tables!$E$30="New York",INDEX('NY Curve'!$A$4:$L$256,MATCH('Monthly Table'!$B167,'NY Curve'!$A$4:$A$256,0),MATCH("New York Saturday Super Peak",'NY Curve'!$A$4:$L$4,0)),IF(Tables!$E$30="Michigan",INDEX('Michigan Curve'!$A$4:$K$256,MATCH('Monthly Table'!$B167,'Michigan Curve'!$A$4:$A$256,0),MATCH("Michigan Saturday Super Peak",'Michigan Curve'!$A$4:$K$4,0))))</f>
        <v>22.44</v>
      </c>
      <c r="AV167" s="925">
        <f t="shared" si="110"/>
        <v>28.958004646224285</v>
      </c>
      <c r="AW167" s="927">
        <f t="shared" si="111"/>
        <v>0</v>
      </c>
      <c r="AX167" s="926">
        <f>IF(Tables!$E$30="New York",INDEX('NY Curve'!$A$4:$L$256,MATCH('Monthly Table'!$B167,'NY Curve'!$A$4:$A$256,0),MATCH("New York Saturday Shoulder Peak",'NY Curve'!$A$4:$L$4,0)),IF(Tables!$E$30="Michigan",INDEX('Michigan Curve'!$A$4:$K$256,MATCH('Monthly Table'!$B167,'Michigan Curve'!$A$4:$A$256,0),MATCH("Michigan Saturday Shoulder Peak",'Michigan Curve'!$A$4:$K$4,0))))</f>
        <v>21.56</v>
      </c>
      <c r="AY167" s="934">
        <f t="shared" si="123"/>
        <v>27.822396620882156</v>
      </c>
      <c r="AZ167" s="927">
        <f t="shared" si="112"/>
        <v>0</v>
      </c>
      <c r="BB167" s="926">
        <f>IF(Tables!$E$30="New York",INDEX('NY Curve'!$A$4:$M$256,MATCH('Monthly Table'!$B167,'NY Curve'!$A$4:$A$256,0),MATCH("NY Sunday Super Peak",'NY Curve'!$A$4:$M$4,0)),IF(Tables!$E$30="Michigan",INDEX('Michigan Curve'!$A$4:$L$256,MATCH('Monthly Table'!$B167,'Michigan Curve'!$A$4:$A$256,0),MATCH("Michigan Sunday Super Peak",'Michigan Curve'!$A$4:$L$4,0))))</f>
        <v>21.42</v>
      </c>
      <c r="BC167" s="925">
        <f t="shared" si="124"/>
        <v>27.641731707759547</v>
      </c>
      <c r="BD167" s="927">
        <f t="shared" si="113"/>
        <v>0</v>
      </c>
      <c r="BF167" s="598">
        <f t="shared" si="104"/>
        <v>41640</v>
      </c>
      <c r="BG167" s="583">
        <f t="shared" si="125"/>
        <v>0</v>
      </c>
      <c r="BH167" s="764">
        <f>IF(Tables!$B$36="Combined Cycle",(BF167-BF166)*24*Assumptions!$B$21,0)</f>
        <v>0</v>
      </c>
      <c r="BI167" s="315">
        <f t="shared" si="126"/>
        <v>0</v>
      </c>
      <c r="BJ167" s="987">
        <f>IF('Monthly Table'!D167&lt;=Tables!$B$21,IF($BJ$10=$BG$10,BG167,IF($BJ$10=$BH$10,BH167,IF($BJ$10=$BI$10,BI167,0))),0)</f>
        <v>0</v>
      </c>
      <c r="BK167" s="43"/>
      <c r="BL167" s="987">
        <f t="shared" si="127"/>
        <v>0</v>
      </c>
      <c r="BM167" s="987">
        <f t="shared" si="128"/>
        <v>0</v>
      </c>
      <c r="BO167" s="987">
        <f t="shared" si="114"/>
        <v>0</v>
      </c>
      <c r="BP167" s="987">
        <f t="shared" si="129"/>
        <v>0</v>
      </c>
      <c r="BR167" s="993">
        <f>IF(BJ167&gt;0,INDEX(OperationalDetail,MATCH("Capacity Degradation",ODColumn,0),MATCH('Monthly Table'!C167,ODRow,0)),0)</f>
        <v>0</v>
      </c>
      <c r="BS167" s="994">
        <f>BJ167*(1-BR167)*Tables!$C$36</f>
        <v>0</v>
      </c>
      <c r="BT167" s="601">
        <f t="shared" si="115"/>
        <v>0</v>
      </c>
      <c r="BU167" s="601">
        <f t="shared" si="116"/>
        <v>0</v>
      </c>
      <c r="BV167" s="462"/>
      <c r="BW167" s="785">
        <f>$BO167*(1-$BR167)*Tables!$C$36</f>
        <v>0</v>
      </c>
      <c r="BX167" s="602">
        <f t="shared" si="130"/>
        <v>0</v>
      </c>
      <c r="BY167" s="601">
        <f t="shared" si="131"/>
        <v>0</v>
      </c>
      <c r="BZ167" s="462"/>
      <c r="CA167" s="785">
        <f>$BL167*(1-$BR167)*Tables!$C$36</f>
        <v>0</v>
      </c>
      <c r="CB167" s="602">
        <f t="shared" si="132"/>
        <v>0</v>
      </c>
      <c r="CC167" s="601">
        <f t="shared" si="133"/>
        <v>0</v>
      </c>
      <c r="CD167" s="785">
        <f>$BP167*(1-$BR167)*Tables!$C$36</f>
        <v>0</v>
      </c>
      <c r="CE167" s="602">
        <f t="shared" si="134"/>
        <v>0</v>
      </c>
      <c r="CF167" s="601">
        <f t="shared" si="135"/>
        <v>0</v>
      </c>
      <c r="CH167" s="785">
        <f>$BM167*(1-$BR167)*Tables!$C$36</f>
        <v>0</v>
      </c>
      <c r="CI167" s="602">
        <f t="shared" si="136"/>
        <v>0</v>
      </c>
      <c r="CJ167" s="601">
        <f t="shared" si="137"/>
        <v>0</v>
      </c>
      <c r="CK167" s="304"/>
      <c r="CL167" s="304">
        <f t="shared" si="138"/>
        <v>2013</v>
      </c>
      <c r="CM167" s="1018">
        <f>INDEX(OperationalDetail,MATCH("Degraded Heat Rate",ODColumn,0),MATCH('Monthly Table'!CL167,ODRow,0))/1000</f>
        <v>11.960598000000001</v>
      </c>
      <c r="CN167" s="737">
        <f t="shared" si="117"/>
        <v>67.944507460948458</v>
      </c>
      <c r="CO167" s="1019">
        <f>IF(A167="January",(CO166*(1+Assumptions!$E$32)),CO166)</f>
        <v>8.7132491602503546</v>
      </c>
      <c r="CP167" s="741">
        <f t="shared" si="105"/>
        <v>76.657756621198814</v>
      </c>
      <c r="CQ167" s="304"/>
      <c r="CR167" s="575" t="str">
        <f t="shared" si="139"/>
        <v/>
      </c>
      <c r="CS167" s="575" t="str">
        <f t="shared" si="140"/>
        <v/>
      </c>
      <c r="CT167" s="575" t="str">
        <f t="shared" si="141"/>
        <v/>
      </c>
      <c r="CU167" s="575" t="str">
        <f t="shared" si="142"/>
        <v/>
      </c>
      <c r="CV167" s="575" t="str">
        <f t="shared" si="143"/>
        <v/>
      </c>
      <c r="CW167" s="576">
        <f t="shared" si="106"/>
        <v>2014</v>
      </c>
      <c r="CX167" s="787">
        <f>INDEX('NY Curve'!$A$4:$G$256,MATCH('Monthly Table'!B167,'NY Curve'!$A$4:$A$256,0),MATCH("New York 5 X 16",'NY Curve'!$A$4:$G$4,0))</f>
        <v>33.65</v>
      </c>
      <c r="CY167" s="632">
        <f t="shared" si="107"/>
        <v>1.29046366516151</v>
      </c>
      <c r="CZ167" s="633">
        <f t="shared" si="108"/>
        <v>43.424102332684811</v>
      </c>
      <c r="DB167" s="857"/>
      <c r="DC167" s="857"/>
    </row>
    <row r="168" spans="1:107" ht="18.75" customHeight="1">
      <c r="A168" s="17" t="s">
        <v>438</v>
      </c>
      <c r="B168" s="508">
        <v>41671</v>
      </c>
      <c r="C168" s="43">
        <f t="shared" si="97"/>
        <v>2014</v>
      </c>
      <c r="D168" s="719">
        <f t="shared" si="144"/>
        <v>14</v>
      </c>
      <c r="E168" s="972">
        <v>20</v>
      </c>
      <c r="F168" s="971">
        <v>4</v>
      </c>
      <c r="G168" s="971">
        <v>4</v>
      </c>
      <c r="H168" s="971">
        <v>0</v>
      </c>
      <c r="I168" s="976">
        <f t="shared" si="118"/>
        <v>28</v>
      </c>
      <c r="J168" s="621"/>
      <c r="K168" s="572">
        <f>INDEX(FX!$A$3:$C$362,MATCH(B168,FX!$A$3:$A$362,0),MATCH("Monthly Curve",FX!$A$2:$C$2,0))</f>
        <v>1.28967238670525</v>
      </c>
      <c r="L168" s="572"/>
      <c r="M168" s="1070">
        <v>3.6080000000000001</v>
      </c>
      <c r="N168" s="1071">
        <v>0.31</v>
      </c>
      <c r="O168" s="877">
        <v>0.1</v>
      </c>
      <c r="P168" s="797">
        <f t="shared" si="99"/>
        <v>0.41000000000000003</v>
      </c>
      <c r="Q168" s="732">
        <f t="shared" si="100"/>
        <v>4.0179999999999998</v>
      </c>
      <c r="R168" s="723">
        <f>IF(A168="January",(R167+R167*Assumptions!$E$32),R167)</f>
        <v>0.38850335912483613</v>
      </c>
      <c r="S168" s="730">
        <f t="shared" si="101"/>
        <v>5.5704070089065301</v>
      </c>
      <c r="T168" s="572"/>
      <c r="U168" s="507"/>
      <c r="V168" s="583"/>
      <c r="W168" s="583"/>
      <c r="X168" s="587"/>
      <c r="Y168" s="588">
        <f>Tables!$D$36</f>
        <v>312</v>
      </c>
      <c r="Z168" s="570">
        <f t="shared" si="102"/>
        <v>0</v>
      </c>
      <c r="AA168" s="592">
        <f t="shared" si="103"/>
        <v>0</v>
      </c>
      <c r="AB168" s="589">
        <f t="shared" si="98"/>
        <v>0</v>
      </c>
      <c r="AC168" s="462"/>
      <c r="AD168" s="1027">
        <f>IF(Tables!$E$30="Michigan",INDEX('Michigan Curve'!$A$4:$S$256,MATCH('Monthly Table'!B168,'Michigan Curve'!$A$4:$A$256,0),MATCH("Michigan Selected Option Value US$/month",'Michigan Curve'!$A$4:$S$4,0)),INDEX('NY Curve'!$A$4:$T$256,MATCH('Monthly Table'!B168,'NY Curve'!$A$4:$A$256,0),MATCH("New York Selected Option Value US$/month",'NY Curve'!$A$4:$T$4,0)))</f>
        <v>45841.569454946381</v>
      </c>
      <c r="AE168" s="601">
        <f t="shared" si="119"/>
        <v>59120.606289275187</v>
      </c>
      <c r="AF168" s="462"/>
      <c r="AG168" s="915"/>
      <c r="AH168" s="17"/>
      <c r="AI168" s="799">
        <f>Assumptions!$B$50</f>
        <v>65</v>
      </c>
      <c r="AJ168" s="743"/>
      <c r="AK168" s="924">
        <f>IF(Tables!$E$30="Custom",'Monthly Table'!AI168,IF(Tables!$E$30="New York",INDEX('NY Curve'!$A$4:$G$256,MATCH('Monthly Table'!B168,'NY Curve'!$A$4:$A$256,0),MATCH("Super Peak Curve",'NY Curve'!$A$4:$G$4,0)),IF(Tables!$E$30="New York Flat",INDEX('NY Curve'!$A$4:$G$256,MATCH('Monthly Table'!B168,'NY Curve'!$A$4:$A$256,0),MATCH("Flat NY West",'NY Curve'!$A$4:$G$4,0)),INDEX('Michigan Curve'!$A$4:$F$256,MATCH('Monthly Table'!B168,'Michigan Curve'!$A$4:$A$256,0),MATCH("Michigan Super Peak Curve US$/MWhr",'Michigan Curve'!$A$4:$F$4,0)))))</f>
        <v>35.90399844360352</v>
      </c>
      <c r="AL168" s="965">
        <f>IF(D168&lt;=Tables!$B$21,IF($AL$10=$AI$10,AI168,IF($AL$10=$AJ$10,AJ168,IF($AL$10=$AK$10,AK168,0))),0)</f>
        <v>35.90399844360352</v>
      </c>
      <c r="AM168" s="708">
        <f t="shared" si="120"/>
        <v>46.30439536502373</v>
      </c>
      <c r="AN168" s="916">
        <f t="shared" si="121"/>
        <v>0</v>
      </c>
      <c r="AO168" s="905"/>
      <c r="AP168" s="925"/>
      <c r="AQ168" s="926">
        <f>IF(Tables!$E$30="New York",INDEX('NY Curve'!$A$4:$L$256,MATCH('Monthly Table'!B168,'NY Curve'!$A$4:$A$256,0),MATCH("New York Shoulder Hour Curve Mon-Fri",'NY Curve'!$A$4:$L$4,0)),IF(Tables!$E$30="Michigan",INDEX('Michigan Curve'!$A$4:$K$256,MATCH('Monthly Table'!B168,'Michigan Curve'!$A$4:$A$256,0),MATCH("Michigan Shoulder Hour Curve Mon-Fri",'Michigan Curve'!$A$4:$K$4,0))))</f>
        <v>34.495998504638671</v>
      </c>
      <c r="AR168" s="708">
        <f t="shared" si="122"/>
        <v>44.488536723258086</v>
      </c>
      <c r="AS168" s="927">
        <f t="shared" si="109"/>
        <v>0</v>
      </c>
      <c r="AU168" s="926">
        <f>IF(Tables!$E$30="New York",INDEX('NY Curve'!$A$4:$L$256,MATCH('Monthly Table'!$B168,'NY Curve'!$A$4:$A$256,0),MATCH("New York Saturday Super Peak",'NY Curve'!$A$4:$L$4,0)),IF(Tables!$E$30="Michigan",INDEX('Michigan Curve'!$A$4:$K$256,MATCH('Monthly Table'!$B168,'Michigan Curve'!$A$4:$A$256,0),MATCH("Michigan Saturday Super Peak",'Michigan Curve'!$A$4:$K$4,0))))</f>
        <v>22.435920295715331</v>
      </c>
      <c r="AV168" s="925">
        <f t="shared" si="110"/>
        <v>28.934986875703949</v>
      </c>
      <c r="AW168" s="927">
        <f t="shared" si="111"/>
        <v>0</v>
      </c>
      <c r="AX168" s="926">
        <f>IF(Tables!$E$30="New York",INDEX('NY Curve'!$A$4:$L$256,MATCH('Monthly Table'!$B168,'NY Curve'!$A$4:$A$256,0),MATCH("New York Saturday Shoulder Peak",'NY Curve'!$A$4:$L$4,0)),IF(Tables!$E$30="Michigan",INDEX('Michigan Curve'!$A$4:$K$256,MATCH('Monthly Table'!$B168,'Michigan Curve'!$A$4:$A$256,0),MATCH("Michigan Saturday Shoulder Peak",'Michigan Curve'!$A$4:$K$4,0))))</f>
        <v>21.556080284118654</v>
      </c>
      <c r="AY168" s="934">
        <f t="shared" si="123"/>
        <v>27.800281508029286</v>
      </c>
      <c r="AZ168" s="927">
        <f t="shared" si="112"/>
        <v>0</v>
      </c>
      <c r="BB168" s="926">
        <f>IF(Tables!$E$30="New York",INDEX('NY Curve'!$A$4:$M$256,MATCH('Monthly Table'!$B168,'NY Curve'!$A$4:$A$256,0),MATCH("NY Sunday Super Peak",'NY Curve'!$A$4:$M$4,0)),IF(Tables!$E$30="Michigan",INDEX('Michigan Curve'!$A$4:$L$256,MATCH('Monthly Table'!$B168,'Michigan Curve'!$A$4:$A$256,0),MATCH("Michigan Sunday Super Peak",'Michigan Curve'!$A$4:$L$4,0))))</f>
        <v>21.416431961059569</v>
      </c>
      <c r="BC168" s="925">
        <f t="shared" si="124"/>
        <v>27.620180921930292</v>
      </c>
      <c r="BD168" s="927">
        <f t="shared" si="113"/>
        <v>0</v>
      </c>
      <c r="BF168" s="598">
        <f t="shared" si="104"/>
        <v>41671</v>
      </c>
      <c r="BG168" s="583">
        <f t="shared" si="125"/>
        <v>0</v>
      </c>
      <c r="BH168" s="764">
        <f>IF(Tables!$B$36="Combined Cycle",(BF168-BF167)*24*Assumptions!$B$21,0)</f>
        <v>0</v>
      </c>
      <c r="BI168" s="315">
        <f t="shared" si="126"/>
        <v>0</v>
      </c>
      <c r="BJ168" s="987">
        <f>IF('Monthly Table'!D168&lt;=Tables!$B$21,IF($BJ$10=$BG$10,BG168,IF($BJ$10=$BH$10,BH168,IF($BJ$10=$BI$10,BI168,0))),0)</f>
        <v>0</v>
      </c>
      <c r="BK168" s="43"/>
      <c r="BL168" s="987">
        <f t="shared" si="127"/>
        <v>0</v>
      </c>
      <c r="BM168" s="987">
        <f t="shared" si="128"/>
        <v>0</v>
      </c>
      <c r="BO168" s="987">
        <f t="shared" si="114"/>
        <v>0</v>
      </c>
      <c r="BP168" s="987">
        <f t="shared" si="129"/>
        <v>0</v>
      </c>
      <c r="BR168" s="993">
        <f>IF(BJ168&gt;0,INDEX(OperationalDetail,MATCH("Capacity Degradation",ODColumn,0),MATCH('Monthly Table'!C168,ODRow,0)),0)</f>
        <v>0</v>
      </c>
      <c r="BS168" s="994">
        <f>BJ168*(1-BR168)*Tables!$C$36</f>
        <v>0</v>
      </c>
      <c r="BT168" s="601">
        <f t="shared" si="115"/>
        <v>0</v>
      </c>
      <c r="BU168" s="601">
        <f t="shared" si="116"/>
        <v>0</v>
      </c>
      <c r="BV168" s="462"/>
      <c r="BW168" s="785">
        <f>$BO168*(1-$BR168)*Tables!$C$36</f>
        <v>0</v>
      </c>
      <c r="BX168" s="602">
        <f t="shared" si="130"/>
        <v>0</v>
      </c>
      <c r="BY168" s="601">
        <f t="shared" si="131"/>
        <v>0</v>
      </c>
      <c r="BZ168" s="462"/>
      <c r="CA168" s="785">
        <f>$BL168*(1-$BR168)*Tables!$C$36</f>
        <v>0</v>
      </c>
      <c r="CB168" s="602">
        <f t="shared" si="132"/>
        <v>0</v>
      </c>
      <c r="CC168" s="601">
        <f t="shared" si="133"/>
        <v>0</v>
      </c>
      <c r="CD168" s="785">
        <f>$BP168*(1-$BR168)*Tables!$C$36</f>
        <v>0</v>
      </c>
      <c r="CE168" s="602">
        <f t="shared" si="134"/>
        <v>0</v>
      </c>
      <c r="CF168" s="601">
        <f t="shared" si="135"/>
        <v>0</v>
      </c>
      <c r="CH168" s="785">
        <f>$BM168*(1-$BR168)*Tables!$C$36</f>
        <v>0</v>
      </c>
      <c r="CI168" s="602">
        <f t="shared" si="136"/>
        <v>0</v>
      </c>
      <c r="CJ168" s="601">
        <f t="shared" si="137"/>
        <v>0</v>
      </c>
      <c r="CK168" s="304"/>
      <c r="CL168" s="304">
        <f t="shared" si="138"/>
        <v>2013</v>
      </c>
      <c r="CM168" s="1018">
        <f>INDEX(OperationalDetail,MATCH("Degraded Heat Rate",ODColumn,0),MATCH('Monthly Table'!CL168,ODRow,0))/1000</f>
        <v>11.960598000000001</v>
      </c>
      <c r="CN168" s="737">
        <f t="shared" si="117"/>
        <v>66.62539892991343</v>
      </c>
      <c r="CO168" s="1019">
        <f>IF(A168="January",(CO167*(1+Assumptions!$E$32)),CO167)</f>
        <v>8.7132491602503546</v>
      </c>
      <c r="CP168" s="741">
        <f t="shared" si="105"/>
        <v>75.338648090163787</v>
      </c>
      <c r="CQ168" s="304"/>
      <c r="CR168" s="575" t="str">
        <f t="shared" si="139"/>
        <v/>
      </c>
      <c r="CS168" s="575" t="str">
        <f t="shared" si="140"/>
        <v/>
      </c>
      <c r="CT168" s="575" t="str">
        <f t="shared" si="141"/>
        <v/>
      </c>
      <c r="CU168" s="575" t="str">
        <f t="shared" si="142"/>
        <v/>
      </c>
      <c r="CV168" s="575" t="str">
        <f t="shared" si="143"/>
        <v/>
      </c>
      <c r="CW168" s="576">
        <f t="shared" si="106"/>
        <v>2014</v>
      </c>
      <c r="CX168" s="787">
        <f>INDEX('NY Curve'!$A$4:$G$256,MATCH('Monthly Table'!B168,'NY Curve'!$A$4:$A$256,0),MATCH("New York 5 X 16",'NY Curve'!$A$4:$G$4,0))</f>
        <v>33.65</v>
      </c>
      <c r="CY168" s="632">
        <f t="shared" si="107"/>
        <v>1.28967238670525</v>
      </c>
      <c r="CZ168" s="633">
        <f t="shared" si="108"/>
        <v>43.397475812631662</v>
      </c>
      <c r="DB168" s="857"/>
      <c r="DC168" s="857"/>
    </row>
    <row r="169" spans="1:107" ht="18.75" customHeight="1">
      <c r="A169" s="17" t="s">
        <v>439</v>
      </c>
      <c r="B169" s="508">
        <v>41699</v>
      </c>
      <c r="C169" s="43">
        <f t="shared" si="97"/>
        <v>2014</v>
      </c>
      <c r="D169" s="719">
        <f t="shared" si="144"/>
        <v>14</v>
      </c>
      <c r="E169" s="972">
        <v>21</v>
      </c>
      <c r="F169" s="971">
        <v>5</v>
      </c>
      <c r="G169" s="971">
        <v>5</v>
      </c>
      <c r="H169" s="971">
        <v>0</v>
      </c>
      <c r="I169" s="976">
        <f t="shared" si="118"/>
        <v>31</v>
      </c>
      <c r="J169" s="621"/>
      <c r="K169" s="572">
        <f>INDEX(FX!$A$3:$C$362,MATCH(B169,FX!$A$3:$A$362,0),MATCH("Monthly Curve",FX!$A$2:$C$2,0))</f>
        <v>1.2889596981063001</v>
      </c>
      <c r="L169" s="572"/>
      <c r="M169" s="1070">
        <v>3.4930000000000003</v>
      </c>
      <c r="N169" s="1071">
        <v>0.31</v>
      </c>
      <c r="O169" s="877">
        <v>0.1</v>
      </c>
      <c r="P169" s="797">
        <f t="shared" si="99"/>
        <v>0.41000000000000003</v>
      </c>
      <c r="Q169" s="732">
        <f t="shared" si="100"/>
        <v>3.9030000000000005</v>
      </c>
      <c r="R169" s="723">
        <f>IF(A169="January",(R168+R168*Assumptions!$E$32),R168)</f>
        <v>0.38850335912483613</v>
      </c>
      <c r="S169" s="730">
        <f t="shared" si="101"/>
        <v>5.4193130608337263</v>
      </c>
      <c r="T169" s="572"/>
      <c r="U169" s="507"/>
      <c r="V169" s="583"/>
      <c r="W169" s="583"/>
      <c r="X169" s="587"/>
      <c r="Y169" s="588">
        <f>Tables!$D$36</f>
        <v>312</v>
      </c>
      <c r="Z169" s="570">
        <f t="shared" si="102"/>
        <v>0</v>
      </c>
      <c r="AA169" s="592">
        <f t="shared" si="103"/>
        <v>0</v>
      </c>
      <c r="AB169" s="589">
        <f t="shared" si="98"/>
        <v>0</v>
      </c>
      <c r="AC169" s="462"/>
      <c r="AD169" s="1027">
        <f>IF(Tables!$E$30="Michigan",INDEX('Michigan Curve'!$A$4:$S$256,MATCH('Monthly Table'!B169,'Michigan Curve'!$A$4:$A$256,0),MATCH("Michigan Selected Option Value US$/month",'Michigan Curve'!$A$4:$S$4,0)),INDEX('NY Curve'!$A$4:$T$256,MATCH('Monthly Table'!B169,'NY Curve'!$A$4:$A$256,0),MATCH("New York Selected Option Value US$/month",'NY Curve'!$A$4:$T$4,0)))</f>
        <v>12616.387694794234</v>
      </c>
      <c r="AE169" s="601">
        <f t="shared" si="119"/>
        <v>16262.015274274014</v>
      </c>
      <c r="AF169" s="462"/>
      <c r="AG169" s="915"/>
      <c r="AH169" s="17"/>
      <c r="AI169" s="799">
        <f>Assumptions!$B$50</f>
        <v>65</v>
      </c>
      <c r="AJ169" s="743"/>
      <c r="AK169" s="924">
        <f>IF(Tables!$E$30="Custom",'Monthly Table'!AI169,IF(Tables!$E$30="New York",INDEX('NY Curve'!$A$4:$G$256,MATCH('Monthly Table'!B169,'NY Curve'!$A$4:$A$256,0),MATCH("Super Peak Curve",'NY Curve'!$A$4:$G$4,0)),IF(Tables!$E$30="New York Flat",INDEX('NY Curve'!$A$4:$G$256,MATCH('Monthly Table'!B169,'NY Curve'!$A$4:$A$256,0),MATCH("Flat NY West",'NY Curve'!$A$4:$G$4,0)),INDEX('Michigan Curve'!$A$4:$F$256,MATCH('Monthly Table'!B169,'Michigan Curve'!$A$4:$A$256,0),MATCH("Michigan Super Peak Curve US$/MWhr",'Michigan Curve'!$A$4:$F$4,0)))))</f>
        <v>30.6</v>
      </c>
      <c r="AL169" s="965">
        <f>IF(D169&lt;=Tables!$B$21,IF($AL$10=$AI$10,AI169,IF($AL$10=$AJ$10,AJ169,IF($AL$10=$AK$10,AK169,0))),0)</f>
        <v>30.6</v>
      </c>
      <c r="AM169" s="708">
        <f t="shared" si="120"/>
        <v>39.442166762052786</v>
      </c>
      <c r="AN169" s="916">
        <f t="shared" si="121"/>
        <v>0</v>
      </c>
      <c r="AO169" s="905"/>
      <c r="AP169" s="925"/>
      <c r="AQ169" s="926">
        <f>IF(Tables!$E$30="New York",INDEX('NY Curve'!$A$4:$L$256,MATCH('Monthly Table'!B169,'NY Curve'!$A$4:$A$256,0),MATCH("New York Shoulder Hour Curve Mon-Fri",'NY Curve'!$A$4:$L$4,0)),IF(Tables!$E$30="Michigan",INDEX('Michigan Curve'!$A$4:$K$256,MATCH('Monthly Table'!B169,'Michigan Curve'!$A$4:$A$256,0),MATCH("Michigan Shoulder Hour Curve Mon-Fri",'Michigan Curve'!$A$4:$K$4,0))))</f>
        <v>29.4</v>
      </c>
      <c r="AR169" s="708">
        <f t="shared" si="122"/>
        <v>37.895415124325218</v>
      </c>
      <c r="AS169" s="927">
        <f t="shared" si="109"/>
        <v>0</v>
      </c>
      <c r="AU169" s="926">
        <f>IF(Tables!$E$30="New York",INDEX('NY Curve'!$A$4:$L$256,MATCH('Monthly Table'!$B169,'NY Curve'!$A$4:$A$256,0),MATCH("New York Saturday Super Peak",'NY Curve'!$A$4:$L$4,0)),IF(Tables!$E$30="Michigan",INDEX('Michigan Curve'!$A$4:$K$256,MATCH('Monthly Table'!$B169,'Michigan Curve'!$A$4:$A$256,0),MATCH("Michigan Saturday Super Peak",'Michigan Curve'!$A$4:$K$4,0))))</f>
        <v>20.399999999999999</v>
      </c>
      <c r="AV169" s="925">
        <f t="shared" si="110"/>
        <v>26.294777841368518</v>
      </c>
      <c r="AW169" s="927">
        <f t="shared" si="111"/>
        <v>0</v>
      </c>
      <c r="AX169" s="926">
        <f>IF(Tables!$E$30="New York",INDEX('NY Curve'!$A$4:$L$256,MATCH('Monthly Table'!$B169,'NY Curve'!$A$4:$A$256,0),MATCH("New York Saturday Shoulder Peak",'NY Curve'!$A$4:$L$4,0)),IF(Tables!$E$30="Michigan",INDEX('Michigan Curve'!$A$4:$K$256,MATCH('Monthly Table'!$B169,'Michigan Curve'!$A$4:$A$256,0),MATCH("Michigan Saturday Shoulder Peak",'Michigan Curve'!$A$4:$K$4,0))))</f>
        <v>19.600000000000001</v>
      </c>
      <c r="AY169" s="934">
        <f t="shared" si="123"/>
        <v>25.263610082883485</v>
      </c>
      <c r="AZ169" s="927">
        <f t="shared" si="112"/>
        <v>0</v>
      </c>
      <c r="BB169" s="926">
        <f>IF(Tables!$E$30="New York",INDEX('NY Curve'!$A$4:$M$256,MATCH('Monthly Table'!$B169,'NY Curve'!$A$4:$A$256,0),MATCH("NY Sunday Super Peak",'NY Curve'!$A$4:$M$4,0)),IF(Tables!$E$30="Michigan",INDEX('Michigan Curve'!$A$4:$L$256,MATCH('Monthly Table'!$B169,'Michigan Curve'!$A$4:$A$256,0),MATCH("Michigan Sunday Super Peak",'Michigan Curve'!$A$4:$L$4,0))))</f>
        <v>19.38</v>
      </c>
      <c r="BC169" s="925">
        <f t="shared" si="124"/>
        <v>24.980038949300095</v>
      </c>
      <c r="BD169" s="927">
        <f t="shared" si="113"/>
        <v>0</v>
      </c>
      <c r="BF169" s="598">
        <f t="shared" si="104"/>
        <v>41699</v>
      </c>
      <c r="BG169" s="583">
        <f t="shared" si="125"/>
        <v>0</v>
      </c>
      <c r="BH169" s="764">
        <f>IF(Tables!$B$36="Combined Cycle",(BF169-BF168)*24*Assumptions!$B$21,0)</f>
        <v>0</v>
      </c>
      <c r="BI169" s="315">
        <f t="shared" si="126"/>
        <v>0</v>
      </c>
      <c r="BJ169" s="987">
        <f>IF('Monthly Table'!D169&lt;=Tables!$B$21,IF($BJ$10=$BG$10,BG169,IF($BJ$10=$BH$10,BH169,IF($BJ$10=$BI$10,BI169,0))),0)</f>
        <v>0</v>
      </c>
      <c r="BK169" s="43"/>
      <c r="BL169" s="987">
        <f t="shared" si="127"/>
        <v>0</v>
      </c>
      <c r="BM169" s="987">
        <f t="shared" si="128"/>
        <v>0</v>
      </c>
      <c r="BO169" s="987">
        <f t="shared" si="114"/>
        <v>0</v>
      </c>
      <c r="BP169" s="987">
        <f t="shared" si="129"/>
        <v>0</v>
      </c>
      <c r="BR169" s="993">
        <f>IF(BJ169&gt;0,INDEX(OperationalDetail,MATCH("Capacity Degradation",ODColumn,0),MATCH('Monthly Table'!C169,ODRow,0)),0)</f>
        <v>0</v>
      </c>
      <c r="BS169" s="994">
        <f>BJ169*(1-BR169)*Tables!$C$36</f>
        <v>0</v>
      </c>
      <c r="BT169" s="601">
        <f t="shared" si="115"/>
        <v>0</v>
      </c>
      <c r="BU169" s="601">
        <f t="shared" si="116"/>
        <v>0</v>
      </c>
      <c r="BV169" s="462"/>
      <c r="BW169" s="785">
        <f>$BO169*(1-$BR169)*Tables!$C$36</f>
        <v>0</v>
      </c>
      <c r="BX169" s="602">
        <f t="shared" si="130"/>
        <v>0</v>
      </c>
      <c r="BY169" s="601">
        <f t="shared" si="131"/>
        <v>0</v>
      </c>
      <c r="BZ169" s="462"/>
      <c r="CA169" s="785">
        <f>$BL169*(1-$BR169)*Tables!$C$36</f>
        <v>0</v>
      </c>
      <c r="CB169" s="602">
        <f t="shared" si="132"/>
        <v>0</v>
      </c>
      <c r="CC169" s="601">
        <f t="shared" si="133"/>
        <v>0</v>
      </c>
      <c r="CD169" s="785">
        <f>$BP169*(1-$BR169)*Tables!$C$36</f>
        <v>0</v>
      </c>
      <c r="CE169" s="602">
        <f t="shared" si="134"/>
        <v>0</v>
      </c>
      <c r="CF169" s="601">
        <f t="shared" si="135"/>
        <v>0</v>
      </c>
      <c r="CH169" s="785">
        <f>$BM169*(1-$BR169)*Tables!$C$36</f>
        <v>0</v>
      </c>
      <c r="CI169" s="602">
        <f t="shared" si="136"/>
        <v>0</v>
      </c>
      <c r="CJ169" s="601">
        <f t="shared" si="137"/>
        <v>0</v>
      </c>
      <c r="CK169" s="304"/>
      <c r="CL169" s="304">
        <f t="shared" si="138"/>
        <v>2013</v>
      </c>
      <c r="CM169" s="1018">
        <f>INDEX(OperationalDetail,MATCH("Degraded Heat Rate",ODColumn,0),MATCH('Monthly Table'!CL169,ODRow,0))/1000</f>
        <v>11.960598000000001</v>
      </c>
      <c r="CN169" s="737">
        <f t="shared" si="117"/>
        <v>64.818224956781748</v>
      </c>
      <c r="CO169" s="1019">
        <f>IF(A169="January",(CO168*(1+Assumptions!$E$32)),CO168)</f>
        <v>8.7132491602503546</v>
      </c>
      <c r="CP169" s="741">
        <f t="shared" si="105"/>
        <v>73.531474117032104</v>
      </c>
      <c r="CQ169" s="304"/>
      <c r="CR169" s="575" t="str">
        <f t="shared" si="139"/>
        <v/>
      </c>
      <c r="CS169" s="575" t="str">
        <f t="shared" si="140"/>
        <v/>
      </c>
      <c r="CT169" s="575" t="str">
        <f t="shared" si="141"/>
        <v/>
      </c>
      <c r="CU169" s="575" t="str">
        <f t="shared" si="142"/>
        <v/>
      </c>
      <c r="CV169" s="575" t="str">
        <f t="shared" si="143"/>
        <v/>
      </c>
      <c r="CW169" s="576">
        <f t="shared" si="106"/>
        <v>2014</v>
      </c>
      <c r="CX169" s="787">
        <f>INDEX('NY Curve'!$A$4:$G$256,MATCH('Monthly Table'!B169,'NY Curve'!$A$4:$A$256,0),MATCH("New York 5 X 16",'NY Curve'!$A$4:$G$4,0))</f>
        <v>28.65</v>
      </c>
      <c r="CY169" s="632">
        <f t="shared" si="107"/>
        <v>1.2889596981063001</v>
      </c>
      <c r="CZ169" s="633">
        <f t="shared" si="108"/>
        <v>36.928695350745492</v>
      </c>
      <c r="DB169" s="857"/>
      <c r="DC169" s="857"/>
    </row>
    <row r="170" spans="1:107" ht="18.75" customHeight="1">
      <c r="A170" s="17" t="s">
        <v>440</v>
      </c>
      <c r="B170" s="508">
        <v>41730</v>
      </c>
      <c r="C170" s="43">
        <f t="shared" si="97"/>
        <v>2014</v>
      </c>
      <c r="D170" s="719">
        <f t="shared" si="144"/>
        <v>14</v>
      </c>
      <c r="E170" s="972">
        <v>22</v>
      </c>
      <c r="F170" s="971">
        <v>4</v>
      </c>
      <c r="G170" s="971">
        <v>4</v>
      </c>
      <c r="H170" s="971">
        <v>0</v>
      </c>
      <c r="I170" s="976">
        <f t="shared" si="118"/>
        <v>30</v>
      </c>
      <c r="J170" s="621"/>
      <c r="K170" s="572">
        <f>INDEX(FX!$A$3:$C$362,MATCH(B170,FX!$A$3:$A$362,0),MATCH("Monthly Curve",FX!$A$2:$C$2,0))</f>
        <v>1.2881728769540199</v>
      </c>
      <c r="L170" s="572"/>
      <c r="M170" s="1070">
        <v>3.4255</v>
      </c>
      <c r="N170" s="1071">
        <v>0.14499999999999999</v>
      </c>
      <c r="O170" s="877">
        <v>0.1</v>
      </c>
      <c r="P170" s="797">
        <f t="shared" si="99"/>
        <v>0.245</v>
      </c>
      <c r="Q170" s="732">
        <f t="shared" si="100"/>
        <v>3.6705000000000001</v>
      </c>
      <c r="R170" s="723">
        <f>IF(A170="January",(R169+R169*Assumptions!$E$32),R169)</f>
        <v>0.38850335912483613</v>
      </c>
      <c r="S170" s="730">
        <f t="shared" si="101"/>
        <v>5.1167419039845665</v>
      </c>
      <c r="T170" s="572"/>
      <c r="U170" s="507"/>
      <c r="V170" s="583"/>
      <c r="W170" s="583"/>
      <c r="X170" s="587"/>
      <c r="Y170" s="588">
        <f>Tables!$D$36</f>
        <v>312</v>
      </c>
      <c r="Z170" s="570">
        <f t="shared" si="102"/>
        <v>0</v>
      </c>
      <c r="AA170" s="592">
        <f t="shared" si="103"/>
        <v>0</v>
      </c>
      <c r="AB170" s="589">
        <f t="shared" si="98"/>
        <v>0</v>
      </c>
      <c r="AC170" s="462"/>
      <c r="AD170" s="1027">
        <f>IF(Tables!$E$30="Michigan",INDEX('Michigan Curve'!$A$4:$S$256,MATCH('Monthly Table'!B170,'Michigan Curve'!$A$4:$A$256,0),MATCH("Michigan Selected Option Value US$/month",'Michigan Curve'!$A$4:$S$4,0)),INDEX('NY Curve'!$A$4:$T$256,MATCH('Monthly Table'!B170,'NY Curve'!$A$4:$A$256,0),MATCH("New York Selected Option Value US$/month",'NY Curve'!$A$4:$T$4,0)))</f>
        <v>15160.405590271612</v>
      </c>
      <c r="AE170" s="601">
        <f t="shared" si="119"/>
        <v>19529.22328500999</v>
      </c>
      <c r="AF170" s="462"/>
      <c r="AG170" s="915"/>
      <c r="AH170" s="17"/>
      <c r="AI170" s="799">
        <f>Assumptions!$B$50</f>
        <v>65</v>
      </c>
      <c r="AJ170" s="743"/>
      <c r="AK170" s="924">
        <f>IF(Tables!$E$30="Custom",'Monthly Table'!AI170,IF(Tables!$E$30="New York",INDEX('NY Curve'!$A$4:$G$256,MATCH('Monthly Table'!B170,'NY Curve'!$A$4:$A$256,0),MATCH("Super Peak Curve",'NY Curve'!$A$4:$G$4,0)),IF(Tables!$E$30="New York Flat",INDEX('NY Curve'!$A$4:$G$256,MATCH('Monthly Table'!B170,'NY Curve'!$A$4:$A$256,0),MATCH("Flat NY West",'NY Curve'!$A$4:$G$4,0)),INDEX('Michigan Curve'!$A$4:$F$256,MATCH('Monthly Table'!B170,'Michigan Curve'!$A$4:$A$256,0),MATCH("Michigan Super Peak Curve US$/MWhr",'Michigan Curve'!$A$4:$F$4,0)))))</f>
        <v>30.25</v>
      </c>
      <c r="AL170" s="965">
        <f>IF(D170&lt;=Tables!$B$21,IF($AL$10=$AI$10,AI170,IF($AL$10=$AJ$10,AJ170,IF($AL$10=$AK$10,AK170,0))),0)</f>
        <v>30.25</v>
      </c>
      <c r="AM170" s="708">
        <f t="shared" si="120"/>
        <v>38.967229527859104</v>
      </c>
      <c r="AN170" s="916">
        <f t="shared" si="121"/>
        <v>0</v>
      </c>
      <c r="AO170" s="905"/>
      <c r="AP170" s="925"/>
      <c r="AQ170" s="926">
        <f>IF(Tables!$E$30="New York",INDEX('NY Curve'!$A$4:$L$256,MATCH('Monthly Table'!B170,'NY Curve'!$A$4:$A$256,0),MATCH("New York Shoulder Hour Curve Mon-Fri",'NY Curve'!$A$4:$L$4,0)),IF(Tables!$E$30="Michigan",INDEX('Michigan Curve'!$A$4:$K$256,MATCH('Monthly Table'!B170,'Michigan Curve'!$A$4:$A$256,0),MATCH("Michigan Shoulder Hour Curve Mon-Fri",'Michigan Curve'!$A$4:$K$4,0))))</f>
        <v>30.25</v>
      </c>
      <c r="AR170" s="708">
        <f t="shared" si="122"/>
        <v>38.967229527859104</v>
      </c>
      <c r="AS170" s="927">
        <f t="shared" si="109"/>
        <v>0</v>
      </c>
      <c r="AU170" s="926">
        <f>IF(Tables!$E$30="New York",INDEX('NY Curve'!$A$4:$L$256,MATCH('Monthly Table'!$B170,'NY Curve'!$A$4:$A$256,0),MATCH("New York Saturday Super Peak",'NY Curve'!$A$4:$L$4,0)),IF(Tables!$E$30="Michigan",INDEX('Michigan Curve'!$A$4:$K$256,MATCH('Monthly Table'!$B170,'Michigan Curve'!$A$4:$A$256,0),MATCH("Michigan Saturday Super Peak",'Michigan Curve'!$A$4:$K$4,0))))</f>
        <v>20</v>
      </c>
      <c r="AV170" s="925">
        <f t="shared" si="110"/>
        <v>25.763457539080399</v>
      </c>
      <c r="AW170" s="927">
        <f t="shared" si="111"/>
        <v>0</v>
      </c>
      <c r="AX170" s="926">
        <f>IF(Tables!$E$30="New York",INDEX('NY Curve'!$A$4:$L$256,MATCH('Monthly Table'!$B170,'NY Curve'!$A$4:$A$256,0),MATCH("New York Saturday Shoulder Peak",'NY Curve'!$A$4:$L$4,0)),IF(Tables!$E$30="Michigan",INDEX('Michigan Curve'!$A$4:$K$256,MATCH('Monthly Table'!$B170,'Michigan Curve'!$A$4:$A$256,0),MATCH("Michigan Saturday Shoulder Peak",'Michigan Curve'!$A$4:$K$4,0))))</f>
        <v>20</v>
      </c>
      <c r="AY170" s="934">
        <f t="shared" si="123"/>
        <v>25.763457539080399</v>
      </c>
      <c r="AZ170" s="927">
        <f t="shared" si="112"/>
        <v>0</v>
      </c>
      <c r="BB170" s="926">
        <f>IF(Tables!$E$30="New York",INDEX('NY Curve'!$A$4:$M$256,MATCH('Monthly Table'!$B170,'NY Curve'!$A$4:$A$256,0),MATCH("NY Sunday Super Peak",'NY Curve'!$A$4:$M$4,0)),IF(Tables!$E$30="Michigan",INDEX('Michigan Curve'!$A$4:$L$256,MATCH('Monthly Table'!$B170,'Michigan Curve'!$A$4:$A$256,0),MATCH("Michigan Sunday Super Peak",'Michigan Curve'!$A$4:$L$4,0))))</f>
        <v>18.995000839233398</v>
      </c>
      <c r="BC170" s="925">
        <f t="shared" si="124"/>
        <v>24.468844878819311</v>
      </c>
      <c r="BD170" s="927">
        <f t="shared" si="113"/>
        <v>0</v>
      </c>
      <c r="BF170" s="598">
        <f t="shared" si="104"/>
        <v>41730</v>
      </c>
      <c r="BG170" s="583">
        <f t="shared" si="125"/>
        <v>0</v>
      </c>
      <c r="BH170" s="764">
        <f>IF(Tables!$B$36="Combined Cycle",(BF170-BF169)*24*Assumptions!$B$21,0)</f>
        <v>0</v>
      </c>
      <c r="BI170" s="315">
        <f t="shared" si="126"/>
        <v>0</v>
      </c>
      <c r="BJ170" s="987">
        <f>IF('Monthly Table'!D170&lt;=Tables!$B$21,IF($BJ$10=$BG$10,BG170,IF($BJ$10=$BH$10,BH170,IF($BJ$10=$BI$10,BI170,0))),0)</f>
        <v>0</v>
      </c>
      <c r="BK170" s="43"/>
      <c r="BL170" s="987">
        <f t="shared" si="127"/>
        <v>0</v>
      </c>
      <c r="BM170" s="987">
        <f t="shared" si="128"/>
        <v>0</v>
      </c>
      <c r="BO170" s="987">
        <f t="shared" si="114"/>
        <v>0</v>
      </c>
      <c r="BP170" s="987">
        <f t="shared" si="129"/>
        <v>0</v>
      </c>
      <c r="BR170" s="993">
        <f>IF(BJ170&gt;0,INDEX(OperationalDetail,MATCH("Capacity Degradation",ODColumn,0),MATCH('Monthly Table'!C170,ODRow,0)),0)</f>
        <v>0</v>
      </c>
      <c r="BS170" s="994">
        <f>BJ170*(1-BR170)*Tables!$C$36</f>
        <v>0</v>
      </c>
      <c r="BT170" s="601">
        <f t="shared" si="115"/>
        <v>0</v>
      </c>
      <c r="BU170" s="601">
        <f t="shared" si="116"/>
        <v>0</v>
      </c>
      <c r="BV170" s="462"/>
      <c r="BW170" s="785">
        <f>$BO170*(1-$BR170)*Tables!$C$36</f>
        <v>0</v>
      </c>
      <c r="BX170" s="602">
        <f t="shared" si="130"/>
        <v>0</v>
      </c>
      <c r="BY170" s="601">
        <f t="shared" si="131"/>
        <v>0</v>
      </c>
      <c r="BZ170" s="462"/>
      <c r="CA170" s="785">
        <f>$BL170*(1-$BR170)*Tables!$C$36</f>
        <v>0</v>
      </c>
      <c r="CB170" s="602">
        <f t="shared" si="132"/>
        <v>0</v>
      </c>
      <c r="CC170" s="601">
        <f t="shared" si="133"/>
        <v>0</v>
      </c>
      <c r="CD170" s="785">
        <f>$BP170*(1-$BR170)*Tables!$C$36</f>
        <v>0</v>
      </c>
      <c r="CE170" s="602">
        <f t="shared" si="134"/>
        <v>0</v>
      </c>
      <c r="CF170" s="601">
        <f t="shared" si="135"/>
        <v>0</v>
      </c>
      <c r="CH170" s="785">
        <f>$BM170*(1-$BR170)*Tables!$C$36</f>
        <v>0</v>
      </c>
      <c r="CI170" s="602">
        <f t="shared" si="136"/>
        <v>0</v>
      </c>
      <c r="CJ170" s="601">
        <f t="shared" si="137"/>
        <v>0</v>
      </c>
      <c r="CK170" s="304"/>
      <c r="CL170" s="304">
        <f t="shared" si="138"/>
        <v>2013</v>
      </c>
      <c r="CM170" s="1018">
        <f>INDEX(OperationalDetail,MATCH("Degraded Heat Rate",ODColumn,0),MATCH('Monthly Table'!CL170,ODRow,0))/1000</f>
        <v>11.960598000000001</v>
      </c>
      <c r="CN170" s="737">
        <f t="shared" si="117"/>
        <v>61.199292983314002</v>
      </c>
      <c r="CO170" s="1019">
        <f>IF(A170="January",(CO169*(1+Assumptions!$E$32)),CO169)</f>
        <v>8.7132491602503546</v>
      </c>
      <c r="CP170" s="741">
        <f t="shared" si="105"/>
        <v>69.912542143564352</v>
      </c>
      <c r="CQ170" s="304"/>
      <c r="CR170" s="575" t="str">
        <f t="shared" si="139"/>
        <v/>
      </c>
      <c r="CS170" s="575" t="str">
        <f t="shared" si="140"/>
        <v/>
      </c>
      <c r="CT170" s="575" t="str">
        <f t="shared" si="141"/>
        <v/>
      </c>
      <c r="CU170" s="575" t="str">
        <f t="shared" si="142"/>
        <v/>
      </c>
      <c r="CV170" s="575" t="str">
        <f t="shared" si="143"/>
        <v/>
      </c>
      <c r="CW170" s="576">
        <f t="shared" si="106"/>
        <v>2014</v>
      </c>
      <c r="CX170" s="787">
        <f>INDEX('NY Curve'!$A$4:$G$256,MATCH('Monthly Table'!B170,'NY Curve'!$A$4:$A$256,0),MATCH("New York 5 X 16",'NY Curve'!$A$4:$G$4,0))</f>
        <v>27.4</v>
      </c>
      <c r="CY170" s="632">
        <f t="shared" si="107"/>
        <v>1.2881728769540199</v>
      </c>
      <c r="CZ170" s="633">
        <f t="shared" si="108"/>
        <v>35.295936828540142</v>
      </c>
      <c r="DB170" s="857"/>
      <c r="DC170" s="857"/>
    </row>
    <row r="171" spans="1:107" ht="18.75" customHeight="1">
      <c r="A171" s="17" t="s">
        <v>441</v>
      </c>
      <c r="B171" s="508">
        <v>41760</v>
      </c>
      <c r="C171" s="43">
        <f t="shared" si="97"/>
        <v>2014</v>
      </c>
      <c r="D171" s="719">
        <f t="shared" si="144"/>
        <v>14</v>
      </c>
      <c r="E171" s="972">
        <v>21</v>
      </c>
      <c r="F171" s="971">
        <v>5</v>
      </c>
      <c r="G171" s="971">
        <v>4</v>
      </c>
      <c r="H171" s="971">
        <v>1</v>
      </c>
      <c r="I171" s="976">
        <f t="shared" si="118"/>
        <v>31</v>
      </c>
      <c r="J171" s="621"/>
      <c r="K171" s="572">
        <f>INDEX(FX!$A$3:$C$362,MATCH(B171,FX!$A$3:$A$362,0),MATCH("Monthly Curve",FX!$A$2:$C$2,0))</f>
        <v>1.28741366190819</v>
      </c>
      <c r="L171" s="572"/>
      <c r="M171" s="1070">
        <v>3.3994999999999997</v>
      </c>
      <c r="N171" s="1071">
        <v>0.14499999999999999</v>
      </c>
      <c r="O171" s="877">
        <v>0.1</v>
      </c>
      <c r="P171" s="797">
        <f t="shared" si="99"/>
        <v>0.245</v>
      </c>
      <c r="Q171" s="732">
        <f t="shared" si="100"/>
        <v>3.6444999999999999</v>
      </c>
      <c r="R171" s="723">
        <f>IF(A171="January",(R170+R170*Assumptions!$E$32),R170)</f>
        <v>0.38850335912483613</v>
      </c>
      <c r="S171" s="730">
        <f t="shared" si="101"/>
        <v>5.0804824499492334</v>
      </c>
      <c r="T171" s="572"/>
      <c r="U171" s="507"/>
      <c r="V171" s="583"/>
      <c r="W171" s="583"/>
      <c r="X171" s="587"/>
      <c r="Y171" s="588">
        <f>Tables!$D$36</f>
        <v>312</v>
      </c>
      <c r="Z171" s="570">
        <f t="shared" si="102"/>
        <v>0</v>
      </c>
      <c r="AA171" s="592">
        <f t="shared" si="103"/>
        <v>0</v>
      </c>
      <c r="AB171" s="589">
        <f t="shared" si="98"/>
        <v>0</v>
      </c>
      <c r="AC171" s="462"/>
      <c r="AD171" s="1027">
        <f>IF(Tables!$E$30="Michigan",INDEX('Michigan Curve'!$A$4:$S$256,MATCH('Monthly Table'!B171,'Michigan Curve'!$A$4:$A$256,0),MATCH("Michigan Selected Option Value US$/month",'Michigan Curve'!$A$4:$S$4,0)),INDEX('NY Curve'!$A$4:$T$256,MATCH('Monthly Table'!B171,'NY Curve'!$A$4:$A$256,0),MATCH("New York Selected Option Value US$/month",'NY Curve'!$A$4:$T$4,0)))</f>
        <v>25642.798117243292</v>
      </c>
      <c r="AE171" s="601">
        <f t="shared" si="119"/>
        <v>33012.888625692627</v>
      </c>
      <c r="AF171" s="462"/>
      <c r="AG171" s="915"/>
      <c r="AH171" s="17"/>
      <c r="AI171" s="799">
        <f>Assumptions!$B$50</f>
        <v>65</v>
      </c>
      <c r="AJ171" s="743"/>
      <c r="AK171" s="924">
        <f>IF(Tables!$E$30="Custom",'Monthly Table'!AI171,IF(Tables!$E$30="New York",INDEX('NY Curve'!$A$4:$G$256,MATCH('Monthly Table'!B171,'NY Curve'!$A$4:$A$256,0),MATCH("Super Peak Curve",'NY Curve'!$A$4:$G$4,0)),IF(Tables!$E$30="New York Flat",INDEX('NY Curve'!$A$4:$G$256,MATCH('Monthly Table'!B171,'NY Curve'!$A$4:$A$256,0),MATCH("Flat NY West",'NY Curve'!$A$4:$G$4,0)),INDEX('Michigan Curve'!$A$4:$F$256,MATCH('Monthly Table'!B171,'Michigan Curve'!$A$4:$A$256,0),MATCH("Michigan Super Peak Curve US$/MWhr",'Michigan Curve'!$A$4:$F$4,0)))))</f>
        <v>36.592500060796738</v>
      </c>
      <c r="AL171" s="965">
        <f>IF(D171&lt;=Tables!$B$21,IF($AL$10=$AI$10,AI171,IF($AL$10=$AJ$10,AJ171,IF($AL$10=$AK$10,AK171,0))),0)</f>
        <v>36.592500060796738</v>
      </c>
      <c r="AM171" s="708">
        <f t="shared" si="120"/>
        <v>47.109684501645994</v>
      </c>
      <c r="AN171" s="916">
        <f t="shared" si="121"/>
        <v>0</v>
      </c>
      <c r="AO171" s="905"/>
      <c r="AP171" s="925"/>
      <c r="AQ171" s="926">
        <f>IF(Tables!$E$30="New York",INDEX('NY Curve'!$A$4:$L$256,MATCH('Monthly Table'!B171,'NY Curve'!$A$4:$A$256,0),MATCH("New York Shoulder Hour Curve Mon-Fri",'NY Curve'!$A$4:$L$4,0)),IF(Tables!$E$30="Michigan",INDEX('Michigan Curve'!$A$4:$K$256,MATCH('Monthly Table'!B171,'Michigan Curve'!$A$4:$A$256,0),MATCH("Michigan Shoulder Hour Curve Mon-Fri",'Michigan Curve'!$A$4:$K$4,0))))</f>
        <v>31.407499939203262</v>
      </c>
      <c r="AR171" s="708">
        <f t="shared" si="122"/>
        <v>40.434444508110928</v>
      </c>
      <c r="AS171" s="927">
        <f t="shared" si="109"/>
        <v>0</v>
      </c>
      <c r="AU171" s="926">
        <f>IF(Tables!$E$30="New York",INDEX('NY Curve'!$A$4:$L$256,MATCH('Monthly Table'!$B171,'NY Curve'!$A$4:$A$256,0),MATCH("New York Saturday Super Peak",'NY Curve'!$A$4:$L$4,0)),IF(Tables!$E$30="Michigan",INDEX('Michigan Curve'!$A$4:$K$256,MATCH('Monthly Table'!$B171,'Michigan Curve'!$A$4:$A$256,0),MATCH("Michigan Saturday Super Peak",'Michigan Curve'!$A$4:$K$4,0))))</f>
        <v>22.601250037550926</v>
      </c>
      <c r="AV171" s="925">
        <f t="shared" si="110"/>
        <v>29.097158074546055</v>
      </c>
      <c r="AW171" s="927">
        <f t="shared" si="111"/>
        <v>0</v>
      </c>
      <c r="AX171" s="926">
        <f>IF(Tables!$E$30="New York",INDEX('NY Curve'!$A$4:$L$256,MATCH('Monthly Table'!$B171,'NY Curve'!$A$4:$A$256,0),MATCH("New York Saturday Shoulder Peak",'NY Curve'!$A$4:$L$4,0)),IF(Tables!$E$30="Michigan",INDEX('Michigan Curve'!$A$4:$K$256,MATCH('Monthly Table'!$B171,'Michigan Curve'!$A$4:$A$256,0),MATCH("Michigan Saturday Shoulder Peak",'Michigan Curve'!$A$4:$K$4,0))))</f>
        <v>19.398749962449074</v>
      </c>
      <c r="AY171" s="934">
        <f t="shared" si="123"/>
        <v>24.974215725597926</v>
      </c>
      <c r="AZ171" s="927">
        <f t="shared" si="112"/>
        <v>0</v>
      </c>
      <c r="BB171" s="926">
        <f>IF(Tables!$E$30="New York",INDEX('NY Curve'!$A$4:$M$256,MATCH('Monthly Table'!$B171,'NY Curve'!$A$4:$A$256,0),MATCH("NY Sunday Super Peak",'NY Curve'!$A$4:$M$4,0)),IF(Tables!$E$30="Michigan",INDEX('Michigan Curve'!$A$4:$L$256,MATCH('Monthly Table'!$B171,'Michigan Curve'!$A$4:$A$256,0),MATCH("Michigan Sunday Super Peak",'Michigan Curve'!$A$4:$L$4,0))))</f>
        <v>21.530380382546781</v>
      </c>
      <c r="BC171" s="925">
        <f t="shared" si="124"/>
        <v>27.718505850570807</v>
      </c>
      <c r="BD171" s="927">
        <f t="shared" si="113"/>
        <v>0</v>
      </c>
      <c r="BF171" s="598">
        <f t="shared" si="104"/>
        <v>41760</v>
      </c>
      <c r="BG171" s="583">
        <f t="shared" si="125"/>
        <v>0</v>
      </c>
      <c r="BH171" s="764">
        <f>IF(Tables!$B$36="Combined Cycle",(BF171-BF170)*24*Assumptions!$B$21,0)</f>
        <v>0</v>
      </c>
      <c r="BI171" s="315">
        <f t="shared" si="126"/>
        <v>0</v>
      </c>
      <c r="BJ171" s="987">
        <f>IF('Monthly Table'!D171&lt;=Tables!$B$21,IF($BJ$10=$BG$10,BG171,IF($BJ$10=$BH$10,BH171,IF($BJ$10=$BI$10,BI171,0))),0)</f>
        <v>0</v>
      </c>
      <c r="BK171" s="43"/>
      <c r="BL171" s="987">
        <f t="shared" si="127"/>
        <v>0</v>
      </c>
      <c r="BM171" s="987">
        <f t="shared" si="128"/>
        <v>0</v>
      </c>
      <c r="BO171" s="987">
        <f t="shared" si="114"/>
        <v>0</v>
      </c>
      <c r="BP171" s="987">
        <f t="shared" si="129"/>
        <v>0</v>
      </c>
      <c r="BR171" s="993">
        <f>IF(BJ171&gt;0,INDEX(OperationalDetail,MATCH("Capacity Degradation",ODColumn,0),MATCH('Monthly Table'!C171,ODRow,0)),0)</f>
        <v>0</v>
      </c>
      <c r="BS171" s="994">
        <f>BJ171*(1-BR171)*Tables!$C$36</f>
        <v>0</v>
      </c>
      <c r="BT171" s="601">
        <f t="shared" si="115"/>
        <v>0</v>
      </c>
      <c r="BU171" s="601">
        <f t="shared" si="116"/>
        <v>0</v>
      </c>
      <c r="BV171" s="462"/>
      <c r="BW171" s="785">
        <f>$BO171*(1-$BR171)*Tables!$C$36</f>
        <v>0</v>
      </c>
      <c r="BX171" s="602">
        <f t="shared" si="130"/>
        <v>0</v>
      </c>
      <c r="BY171" s="601">
        <f t="shared" si="131"/>
        <v>0</v>
      </c>
      <c r="BZ171" s="462"/>
      <c r="CA171" s="785">
        <f>$BL171*(1-$BR171)*Tables!$C$36</f>
        <v>0</v>
      </c>
      <c r="CB171" s="602">
        <f t="shared" si="132"/>
        <v>0</v>
      </c>
      <c r="CC171" s="601">
        <f t="shared" si="133"/>
        <v>0</v>
      </c>
      <c r="CD171" s="785">
        <f>$BP171*(1-$BR171)*Tables!$C$36</f>
        <v>0</v>
      </c>
      <c r="CE171" s="602">
        <f t="shared" si="134"/>
        <v>0</v>
      </c>
      <c r="CF171" s="601">
        <f t="shared" si="135"/>
        <v>0</v>
      </c>
      <c r="CH171" s="785">
        <f>$BM171*(1-$BR171)*Tables!$C$36</f>
        <v>0</v>
      </c>
      <c r="CI171" s="602">
        <f t="shared" si="136"/>
        <v>0</v>
      </c>
      <c r="CJ171" s="601">
        <f t="shared" si="137"/>
        <v>0</v>
      </c>
      <c r="CK171" s="304"/>
      <c r="CL171" s="304">
        <f t="shared" si="138"/>
        <v>2013</v>
      </c>
      <c r="CM171" s="1018">
        <f>INDEX(OperationalDetail,MATCH("Degraded Heat Rate",ODColumn,0),MATCH('Monthly Table'!CL171,ODRow,0))/1000</f>
        <v>11.960598000000001</v>
      </c>
      <c r="CN171" s="737">
        <f t="shared" si="117"/>
        <v>60.765608229897907</v>
      </c>
      <c r="CO171" s="1019">
        <f>IF(A171="January",(CO170*(1+Assumptions!$E$32)),CO170)</f>
        <v>8.7132491602503546</v>
      </c>
      <c r="CP171" s="741">
        <f t="shared" si="105"/>
        <v>69.478857390148264</v>
      </c>
      <c r="CQ171" s="304"/>
      <c r="CR171" s="575" t="str">
        <f t="shared" si="139"/>
        <v/>
      </c>
      <c r="CS171" s="575" t="str">
        <f t="shared" si="140"/>
        <v/>
      </c>
      <c r="CT171" s="575" t="str">
        <f t="shared" si="141"/>
        <v/>
      </c>
      <c r="CU171" s="575" t="str">
        <f t="shared" si="142"/>
        <v/>
      </c>
      <c r="CV171" s="575" t="str">
        <f t="shared" si="143"/>
        <v/>
      </c>
      <c r="CW171" s="576">
        <f t="shared" si="106"/>
        <v>2014</v>
      </c>
      <c r="CX171" s="787">
        <f>INDEX('NY Curve'!$A$4:$G$256,MATCH('Monthly Table'!B171,'NY Curve'!$A$4:$A$256,0),MATCH("New York 5 X 16",'NY Curve'!$A$4:$G$4,0))</f>
        <v>32.65</v>
      </c>
      <c r="CY171" s="632">
        <f t="shared" si="107"/>
        <v>1.28741366190819</v>
      </c>
      <c r="CZ171" s="633">
        <f t="shared" si="108"/>
        <v>42.034056061302401</v>
      </c>
      <c r="DB171" s="857"/>
      <c r="DC171" s="857"/>
    </row>
    <row r="172" spans="1:107" ht="18.75" customHeight="1">
      <c r="A172" s="17" t="s">
        <v>442</v>
      </c>
      <c r="B172" s="508">
        <v>41791</v>
      </c>
      <c r="C172" s="43">
        <f t="shared" si="97"/>
        <v>2014</v>
      </c>
      <c r="D172" s="719">
        <f t="shared" si="144"/>
        <v>14</v>
      </c>
      <c r="E172" s="972">
        <v>21</v>
      </c>
      <c r="F172" s="971">
        <v>4</v>
      </c>
      <c r="G172" s="971">
        <v>5</v>
      </c>
      <c r="H172" s="971">
        <v>0</v>
      </c>
      <c r="I172" s="976">
        <f t="shared" si="118"/>
        <v>30</v>
      </c>
      <c r="J172" s="621"/>
      <c r="K172" s="572">
        <f>INDEX(FX!$A$3:$C$362,MATCH(B172,FX!$A$3:$A$362,0),MATCH("Monthly Curve",FX!$A$2:$C$2,0))</f>
        <v>1.2866314350358099</v>
      </c>
      <c r="L172" s="572"/>
      <c r="M172" s="1070">
        <v>3.4085000000000001</v>
      </c>
      <c r="N172" s="1071">
        <v>0.14499999999999999</v>
      </c>
      <c r="O172" s="877">
        <v>0.1</v>
      </c>
      <c r="P172" s="797">
        <f t="shared" si="99"/>
        <v>0.245</v>
      </c>
      <c r="Q172" s="732">
        <f t="shared" si="100"/>
        <v>3.6535000000000002</v>
      </c>
      <c r="R172" s="723">
        <f>IF(A172="January",(R171+R171*Assumptions!$E$32),R171)</f>
        <v>0.38850335912483613</v>
      </c>
      <c r="S172" s="730">
        <f t="shared" si="101"/>
        <v>5.089211307028167</v>
      </c>
      <c r="T172" s="572"/>
      <c r="U172" s="507"/>
      <c r="V172" s="583"/>
      <c r="W172" s="583"/>
      <c r="X172" s="587"/>
      <c r="Y172" s="588">
        <f>Tables!$D$36</f>
        <v>312</v>
      </c>
      <c r="Z172" s="570">
        <f t="shared" si="102"/>
        <v>0</v>
      </c>
      <c r="AA172" s="592">
        <f t="shared" si="103"/>
        <v>0</v>
      </c>
      <c r="AB172" s="589">
        <f t="shared" si="98"/>
        <v>0</v>
      </c>
      <c r="AC172" s="462"/>
      <c r="AD172" s="1027">
        <f>IF(Tables!$E$30="Michigan",INDEX('Michigan Curve'!$A$4:$S$256,MATCH('Monthly Table'!B172,'Michigan Curve'!$A$4:$A$256,0),MATCH("Michigan Selected Option Value US$/month",'Michigan Curve'!$A$4:$S$4,0)),INDEX('NY Curve'!$A$4:$T$256,MATCH('Monthly Table'!B172,'NY Curve'!$A$4:$A$256,0),MATCH("New York Selected Option Value US$/month",'NY Curve'!$A$4:$T$4,0)))</f>
        <v>97609.258181011071</v>
      </c>
      <c r="AE172" s="601">
        <f t="shared" si="119"/>
        <v>125587.13992621514</v>
      </c>
      <c r="AF172" s="462"/>
      <c r="AG172" s="915"/>
      <c r="AH172" s="17"/>
      <c r="AI172" s="799">
        <f>Assumptions!$B$50</f>
        <v>65</v>
      </c>
      <c r="AJ172" s="743"/>
      <c r="AK172" s="924">
        <f>IF(Tables!$E$30="Custom",'Monthly Table'!AI172,IF(Tables!$E$30="New York",INDEX('NY Curve'!$A$4:$G$256,MATCH('Monthly Table'!B172,'NY Curve'!$A$4:$A$256,0),MATCH("Super Peak Curve",'NY Curve'!$A$4:$G$4,0)),IF(Tables!$E$30="New York Flat",INDEX('NY Curve'!$A$4:$G$256,MATCH('Monthly Table'!B172,'NY Curve'!$A$4:$A$256,0),MATCH("Flat NY West",'NY Curve'!$A$4:$G$4,0)),INDEX('Michigan Curve'!$A$4:$F$256,MATCH('Monthly Table'!B172,'Michigan Curve'!$A$4:$A$256,0),MATCH("Michigan Super Peak Curve US$/MWhr",'Michigan Curve'!$A$4:$F$4,0)))))</f>
        <v>87.030029189730072</v>
      </c>
      <c r="AL172" s="965">
        <f>IF(D172&lt;=Tables!$B$21,IF($AL$10=$AI$10,AI172,IF($AL$10=$AJ$10,AJ172,IF($AL$10=$AK$10,AK172,0))),0)</f>
        <v>87.030029189730072</v>
      </c>
      <c r="AM172" s="708">
        <f t="shared" si="120"/>
        <v>111.97557134759083</v>
      </c>
      <c r="AN172" s="916">
        <f t="shared" si="121"/>
        <v>1</v>
      </c>
      <c r="AO172" s="905"/>
      <c r="AP172" s="925"/>
      <c r="AQ172" s="926">
        <f>IF(Tables!$E$30="New York",INDEX('NY Curve'!$A$4:$L$256,MATCH('Monthly Table'!B172,'NY Curve'!$A$4:$A$256,0),MATCH("New York Shoulder Hour Curve Mon-Fri",'NY Curve'!$A$4:$L$4,0)),IF(Tables!$E$30="Michigan",INDEX('Michigan Curve'!$A$4:$K$256,MATCH('Monthly Table'!B172,'Michigan Curve'!$A$4:$A$256,0),MATCH("Michigan Shoulder Hour Curve Mon-Fri",'Michigan Curve'!$A$4:$K$4,0))))</f>
        <v>23.469970810269935</v>
      </c>
      <c r="AR172" s="708">
        <f t="shared" si="122"/>
        <v>30.197202223866178</v>
      </c>
      <c r="AS172" s="927">
        <f t="shared" si="109"/>
        <v>0</v>
      </c>
      <c r="AU172" s="926">
        <f>IF(Tables!$E$30="New York",INDEX('NY Curve'!$A$4:$L$256,MATCH('Monthly Table'!$B172,'NY Curve'!$A$4:$A$256,0),MATCH("New York Saturday Super Peak",'NY Curve'!$A$4:$L$4,0)),IF(Tables!$E$30="Michigan",INDEX('Michigan Curve'!$A$4:$K$256,MATCH('Monthly Table'!$B172,'Michigan Curve'!$A$4:$A$256,0),MATCH("Michigan Saturday Super Peak",'Michigan Curve'!$A$4:$K$4,0))))</f>
        <v>40.955307853990618</v>
      </c>
      <c r="AV172" s="925">
        <f t="shared" si="110"/>
        <v>52.694386516513326</v>
      </c>
      <c r="AW172" s="927">
        <f t="shared" si="111"/>
        <v>0</v>
      </c>
      <c r="AX172" s="926">
        <f>IF(Tables!$E$30="New York",INDEX('NY Curve'!$A$4:$L$256,MATCH('Monthly Table'!$B172,'NY Curve'!$A$4:$A$256,0),MATCH("New York Saturday Shoulder Peak",'NY Curve'!$A$4:$L$4,0)),IF(Tables!$E$30="Michigan",INDEX('Michigan Curve'!$A$4:$K$256,MATCH('Monthly Table'!$B172,'Michigan Curve'!$A$4:$A$256,0),MATCH("Michigan Saturday Shoulder Peak",'Michigan Curve'!$A$4:$K$4,0))))</f>
        <v>11.04469214600938</v>
      </c>
      <c r="AY172" s="934">
        <f t="shared" si="123"/>
        <v>14.210448105348787</v>
      </c>
      <c r="AZ172" s="927">
        <f t="shared" si="112"/>
        <v>0</v>
      </c>
      <c r="BB172" s="926">
        <f>IF(Tables!$E$30="New York",INDEX('NY Curve'!$A$4:$M$256,MATCH('Monthly Table'!$B172,'NY Curve'!$A$4:$A$256,0),MATCH("NY Sunday Super Peak",'NY Curve'!$A$4:$M$4,0)),IF(Tables!$E$30="Michigan",INDEX('Michigan Curve'!$A$4:$L$256,MATCH('Monthly Table'!$B172,'Michigan Curve'!$A$4:$A$256,0),MATCH("Michigan Sunday Super Peak",'Michigan Curve'!$A$4:$L$4,0))))</f>
        <v>37.804899557529801</v>
      </c>
      <c r="BC172" s="925">
        <f t="shared" si="124"/>
        <v>48.640972169089224</v>
      </c>
      <c r="BD172" s="927">
        <f t="shared" si="113"/>
        <v>0</v>
      </c>
      <c r="BF172" s="598">
        <f t="shared" si="104"/>
        <v>41791</v>
      </c>
      <c r="BG172" s="583">
        <f t="shared" si="125"/>
        <v>168</v>
      </c>
      <c r="BH172" s="764">
        <f>IF(Tables!$B$36="Combined Cycle",(BF172-BF171)*24*Assumptions!$B$21,0)</f>
        <v>0</v>
      </c>
      <c r="BI172" s="315">
        <f t="shared" si="126"/>
        <v>168</v>
      </c>
      <c r="BJ172" s="987">
        <f>IF('Monthly Table'!D172&lt;=Tables!$B$21,IF($BJ$10=$BG$10,BG172,IF($BJ$10=$BH$10,BH172,IF($BJ$10=$BI$10,BI172,0))),0)</f>
        <v>168</v>
      </c>
      <c r="BK172" s="43"/>
      <c r="BL172" s="987">
        <f t="shared" si="127"/>
        <v>0</v>
      </c>
      <c r="BM172" s="987">
        <f t="shared" si="128"/>
        <v>0</v>
      </c>
      <c r="BO172" s="987">
        <f t="shared" si="114"/>
        <v>0</v>
      </c>
      <c r="BP172" s="987">
        <f t="shared" si="129"/>
        <v>0</v>
      </c>
      <c r="BR172" s="993">
        <f>IF(BJ172&gt;0,INDEX(OperationalDetail,MATCH("Capacity Degradation",ODColumn,0),MATCH('Monthly Table'!C172,ODRow,0)),0)</f>
        <v>2.5300000000000001E-3</v>
      </c>
      <c r="BS172" s="994">
        <f>BJ172*(1-BR172)*Tables!$C$36</f>
        <v>54294.287040000003</v>
      </c>
      <c r="BT172" s="601">
        <f t="shared" si="115"/>
        <v>4725.2333859267828</v>
      </c>
      <c r="BU172" s="601">
        <f t="shared" si="116"/>
        <v>6079.6338122140951</v>
      </c>
      <c r="BV172" s="462"/>
      <c r="BW172" s="785">
        <f>$BO172*(1-$BR172)*Tables!$C$36</f>
        <v>0</v>
      </c>
      <c r="BX172" s="602">
        <f t="shared" si="130"/>
        <v>0</v>
      </c>
      <c r="BY172" s="601">
        <f t="shared" si="131"/>
        <v>0</v>
      </c>
      <c r="BZ172" s="462"/>
      <c r="CA172" s="785">
        <f>$BL172*(1-$BR172)*Tables!$C$36</f>
        <v>0</v>
      </c>
      <c r="CB172" s="602">
        <f t="shared" si="132"/>
        <v>0</v>
      </c>
      <c r="CC172" s="601">
        <f t="shared" si="133"/>
        <v>0</v>
      </c>
      <c r="CD172" s="785">
        <f>$BP172*(1-$BR172)*Tables!$C$36</f>
        <v>0</v>
      </c>
      <c r="CE172" s="602">
        <f t="shared" si="134"/>
        <v>0</v>
      </c>
      <c r="CF172" s="601">
        <f t="shared" si="135"/>
        <v>0</v>
      </c>
      <c r="CH172" s="785">
        <f>$BM172*(1-$BR172)*Tables!$C$36</f>
        <v>0</v>
      </c>
      <c r="CI172" s="602">
        <f t="shared" si="136"/>
        <v>0</v>
      </c>
      <c r="CJ172" s="601">
        <f t="shared" si="137"/>
        <v>0</v>
      </c>
      <c r="CK172" s="304"/>
      <c r="CL172" s="304">
        <f t="shared" si="138"/>
        <v>2013</v>
      </c>
      <c r="CM172" s="1018">
        <f>INDEX(OperationalDetail,MATCH("Degraded Heat Rate",ODColumn,0),MATCH('Monthly Table'!CL172,ODRow,0))/1000</f>
        <v>11.960598000000001</v>
      </c>
      <c r="CN172" s="737">
        <f t="shared" si="117"/>
        <v>60.870010580418487</v>
      </c>
      <c r="CO172" s="1019">
        <f>IF(A172="January",(CO171*(1+Assumptions!$E$32)),CO171)</f>
        <v>8.7132491602503546</v>
      </c>
      <c r="CP172" s="741">
        <f t="shared" si="105"/>
        <v>69.583259740668836</v>
      </c>
      <c r="CQ172" s="304"/>
      <c r="CR172" s="575">
        <f t="shared" si="139"/>
        <v>2014</v>
      </c>
      <c r="CS172" s="575" t="str">
        <f t="shared" si="140"/>
        <v/>
      </c>
      <c r="CT172" s="575" t="str">
        <f t="shared" si="141"/>
        <v/>
      </c>
      <c r="CU172" s="575" t="str">
        <f t="shared" si="142"/>
        <v/>
      </c>
      <c r="CV172" s="575" t="str">
        <f t="shared" si="143"/>
        <v/>
      </c>
      <c r="CW172" s="576">
        <f t="shared" si="106"/>
        <v>2014</v>
      </c>
      <c r="CX172" s="787">
        <f>INDEX('NY Curve'!$A$4:$G$256,MATCH('Monthly Table'!B172,'NY Curve'!$A$4:$A$256,0),MATCH("New York 5 X 16",'NY Curve'!$A$4:$G$4,0))</f>
        <v>55.25</v>
      </c>
      <c r="CY172" s="632">
        <f t="shared" si="107"/>
        <v>1.2866314350358099</v>
      </c>
      <c r="CZ172" s="633">
        <f t="shared" si="108"/>
        <v>71.086386785728493</v>
      </c>
      <c r="DB172" s="857"/>
      <c r="DC172" s="857"/>
    </row>
    <row r="173" spans="1:107" ht="18.75" customHeight="1">
      <c r="A173" s="17" t="s">
        <v>443</v>
      </c>
      <c r="B173" s="508">
        <v>41821</v>
      </c>
      <c r="C173" s="43">
        <f t="shared" si="97"/>
        <v>2014</v>
      </c>
      <c r="D173" s="719">
        <f t="shared" si="144"/>
        <v>14</v>
      </c>
      <c r="E173" s="972">
        <v>22</v>
      </c>
      <c r="F173" s="971">
        <v>4</v>
      </c>
      <c r="G173" s="971">
        <v>4</v>
      </c>
      <c r="H173" s="971">
        <v>1</v>
      </c>
      <c r="I173" s="976">
        <f t="shared" si="118"/>
        <v>31</v>
      </c>
      <c r="J173" s="621"/>
      <c r="K173" s="572">
        <f>INDEX(FX!$A$3:$C$362,MATCH(B173,FX!$A$3:$A$362,0),MATCH("Monthly Curve",FX!$A$2:$C$2,0))</f>
        <v>1.2858766591552599</v>
      </c>
      <c r="L173" s="572"/>
      <c r="M173" s="1070">
        <v>3.4175</v>
      </c>
      <c r="N173" s="1071">
        <v>0.14499999999999999</v>
      </c>
      <c r="O173" s="877">
        <v>0.1</v>
      </c>
      <c r="P173" s="797">
        <f t="shared" si="99"/>
        <v>0.245</v>
      </c>
      <c r="Q173" s="732">
        <f t="shared" si="100"/>
        <v>3.6625000000000001</v>
      </c>
      <c r="R173" s="723">
        <f>IF(A173="January",(R172+R172*Assumptions!$E$32),R172)</f>
        <v>0.38850335912483613</v>
      </c>
      <c r="S173" s="730">
        <f t="shared" si="101"/>
        <v>5.0980266232809761</v>
      </c>
      <c r="T173" s="572"/>
      <c r="U173" s="507"/>
      <c r="V173" s="583"/>
      <c r="W173" s="583"/>
      <c r="X173" s="587"/>
      <c r="Y173" s="588">
        <f>Tables!$D$36</f>
        <v>312</v>
      </c>
      <c r="Z173" s="570">
        <f t="shared" si="102"/>
        <v>0</v>
      </c>
      <c r="AA173" s="592">
        <f t="shared" si="103"/>
        <v>0</v>
      </c>
      <c r="AB173" s="589">
        <f t="shared" si="98"/>
        <v>0</v>
      </c>
      <c r="AC173" s="462"/>
      <c r="AD173" s="1027">
        <f>IF(Tables!$E$30="Michigan",INDEX('Michigan Curve'!$A$4:$S$256,MATCH('Monthly Table'!B173,'Michigan Curve'!$A$4:$A$256,0),MATCH("Michigan Selected Option Value US$/month",'Michigan Curve'!$A$4:$S$4,0)),INDEX('NY Curve'!$A$4:$T$256,MATCH('Monthly Table'!B173,'NY Curve'!$A$4:$A$256,0),MATCH("New York Selected Option Value US$/month",'NY Curve'!$A$4:$T$4,0)))</f>
        <v>295105.11187008303</v>
      </c>
      <c r="AE173" s="601">
        <f t="shared" si="119"/>
        <v>379468.77535114164</v>
      </c>
      <c r="AF173" s="462"/>
      <c r="AG173" s="915"/>
      <c r="AH173" s="17"/>
      <c r="AI173" s="799">
        <f>Assumptions!$B$50</f>
        <v>65</v>
      </c>
      <c r="AJ173" s="743"/>
      <c r="AK173" s="924">
        <f>IF(Tables!$E$30="Custom",'Monthly Table'!AI173,IF(Tables!$E$30="New York",INDEX('NY Curve'!$A$4:$G$256,MATCH('Monthly Table'!B173,'NY Curve'!$A$4:$A$256,0),MATCH("Super Peak Curve",'NY Curve'!$A$4:$G$4,0)),IF(Tables!$E$30="New York Flat",INDEX('NY Curve'!$A$4:$G$256,MATCH('Monthly Table'!B173,'NY Curve'!$A$4:$A$256,0),MATCH("Flat NY West",'NY Curve'!$A$4:$G$4,0)),INDEX('Michigan Curve'!$A$4:$F$256,MATCH('Monthly Table'!B173,'Michigan Curve'!$A$4:$A$256,0),MATCH("Michigan Super Peak Curve US$/MWhr",'Michigan Curve'!$A$4:$F$4,0)))))</f>
        <v>166.14601052223972</v>
      </c>
      <c r="AL173" s="965">
        <f>IF(D173&lt;=Tables!$B$21,IF($AL$10=$AI$10,AI173,IF($AL$10=$AJ$10,AJ173,IF($AL$10=$AK$10,AK173,0))),0)</f>
        <v>166.14601052223972</v>
      </c>
      <c r="AM173" s="708">
        <f t="shared" si="120"/>
        <v>213.64327694231227</v>
      </c>
      <c r="AN173" s="916">
        <f t="shared" si="121"/>
        <v>1</v>
      </c>
      <c r="AO173" s="905"/>
      <c r="AP173" s="925"/>
      <c r="AQ173" s="926">
        <f>IF(Tables!$E$30="New York",INDEX('NY Curve'!$A$4:$L$256,MATCH('Monthly Table'!B173,'NY Curve'!$A$4:$A$256,0),MATCH("New York Shoulder Hour Curve Mon-Fri",'NY Curve'!$A$4:$L$4,0)),IF(Tables!$E$30="Michigan",INDEX('Michigan Curve'!$A$4:$K$256,MATCH('Monthly Table'!B173,'Michigan Curve'!$A$4:$A$256,0),MATCH("Michigan Shoulder Hour Curve Mon-Fri",'Michigan Curve'!$A$4:$K$4,0))))</f>
        <v>29.853989477760276</v>
      </c>
      <c r="AR173" s="708">
        <f t="shared" si="122"/>
        <v>38.388548252118667</v>
      </c>
      <c r="AS173" s="927">
        <f t="shared" si="109"/>
        <v>0</v>
      </c>
      <c r="AU173" s="926">
        <f>IF(Tables!$E$30="New York",INDEX('NY Curve'!$A$4:$L$256,MATCH('Monthly Table'!$B173,'NY Curve'!$A$4:$A$256,0),MATCH("New York Saturday Super Peak",'NY Curve'!$A$4:$L$4,0)),IF(Tables!$E$30="Michigan",INDEX('Michigan Curve'!$A$4:$K$256,MATCH('Monthly Table'!$B173,'Michigan Curve'!$A$4:$A$256,0),MATCH("Michigan Saturday Super Peak",'Michigan Curve'!$A$4:$K$4,0))))</f>
        <v>59.337860900799903</v>
      </c>
      <c r="AV173" s="925">
        <f t="shared" si="110"/>
        <v>76.301170336540096</v>
      </c>
      <c r="AW173" s="927">
        <f t="shared" si="111"/>
        <v>1</v>
      </c>
      <c r="AX173" s="926">
        <f>IF(Tables!$E$30="New York",INDEX('NY Curve'!$A$4:$L$256,MATCH('Monthly Table'!$B173,'NY Curve'!$A$4:$A$256,0),MATCH("New York Saturday Shoulder Peak",'NY Curve'!$A$4:$L$4,0)),IF(Tables!$E$30="Michigan",INDEX('Michigan Curve'!$A$4:$K$256,MATCH('Monthly Table'!$B173,'Michigan Curve'!$A$4:$A$256,0),MATCH("Michigan Saturday Shoulder Peak",'Michigan Curve'!$A$4:$K$4,0))))</f>
        <v>10.662139099200099</v>
      </c>
      <c r="AY173" s="934">
        <f t="shared" si="123"/>
        <v>13.710195804328096</v>
      </c>
      <c r="AZ173" s="927">
        <f t="shared" si="112"/>
        <v>0</v>
      </c>
      <c r="BB173" s="926">
        <f>IF(Tables!$E$30="New York",INDEX('NY Curve'!$A$4:$M$256,MATCH('Monthly Table'!$B173,'NY Curve'!$A$4:$A$256,0),MATCH("NY Sunday Super Peak",'NY Curve'!$A$4:$M$4,0)),IF(Tables!$E$30="Michigan",INDEX('Michigan Curve'!$A$4:$L$256,MATCH('Monthly Table'!$B173,'Michigan Curve'!$A$4:$A$256,0),MATCH("Michigan Sunday Super Peak",'Michigan Curve'!$A$4:$L$4,0))))</f>
        <v>52.55638784990883</v>
      </c>
      <c r="BC173" s="925">
        <f t="shared" si="124"/>
        <v>67.581032425708855</v>
      </c>
      <c r="BD173" s="927">
        <f t="shared" si="113"/>
        <v>0</v>
      </c>
      <c r="BF173" s="598">
        <f t="shared" si="104"/>
        <v>41821</v>
      </c>
      <c r="BG173" s="583">
        <f t="shared" si="125"/>
        <v>176</v>
      </c>
      <c r="BH173" s="764">
        <f>IF(Tables!$B$36="Combined Cycle",(BF173-BF172)*24*Assumptions!$B$21,0)</f>
        <v>0</v>
      </c>
      <c r="BI173" s="315">
        <f t="shared" si="126"/>
        <v>176</v>
      </c>
      <c r="BJ173" s="987">
        <f>IF('Monthly Table'!D173&lt;=Tables!$B$21,IF($BJ$10=$BG$10,BG173,IF($BJ$10=$BH$10,BH173,IF($BJ$10=$BI$10,BI173,0))),0)</f>
        <v>176</v>
      </c>
      <c r="BK173" s="43"/>
      <c r="BL173" s="987">
        <f t="shared" si="127"/>
        <v>32</v>
      </c>
      <c r="BM173" s="987">
        <f t="shared" si="128"/>
        <v>0</v>
      </c>
      <c r="BO173" s="987">
        <f t="shared" si="114"/>
        <v>0</v>
      </c>
      <c r="BP173" s="987">
        <f t="shared" si="129"/>
        <v>0</v>
      </c>
      <c r="BR173" s="993">
        <f>IF(BJ173&gt;0,INDEX(OperationalDetail,MATCH("Capacity Degradation",ODColumn,0),MATCH('Monthly Table'!C173,ODRow,0)),0)</f>
        <v>2.5300000000000001E-3</v>
      </c>
      <c r="BS173" s="994">
        <f>BJ173*(1-BR173)*Tables!$C$36</f>
        <v>56879.72928</v>
      </c>
      <c r="BT173" s="601">
        <f t="shared" si="115"/>
        <v>9450.3400994570275</v>
      </c>
      <c r="BU173" s="601">
        <f t="shared" si="116"/>
        <v>12151.971754970789</v>
      </c>
      <c r="BV173" s="462"/>
      <c r="BW173" s="785">
        <f>$BO173*(1-$BR173)*Tables!$C$36</f>
        <v>0</v>
      </c>
      <c r="BX173" s="602">
        <f t="shared" si="130"/>
        <v>0</v>
      </c>
      <c r="BY173" s="601">
        <f t="shared" si="131"/>
        <v>0</v>
      </c>
      <c r="BZ173" s="462"/>
      <c r="CA173" s="785">
        <f>$BL173*(1-$BR173)*Tables!$C$36</f>
        <v>10341.768959999999</v>
      </c>
      <c r="CB173" s="602">
        <f t="shared" si="132"/>
        <v>613.65844801669004</v>
      </c>
      <c r="CC173" s="601">
        <f t="shared" si="133"/>
        <v>789.08907499810311</v>
      </c>
      <c r="CD173" s="785">
        <f>$BP173*(1-$BR173)*Tables!$C$36</f>
        <v>0</v>
      </c>
      <c r="CE173" s="602">
        <f t="shared" si="134"/>
        <v>0</v>
      </c>
      <c r="CF173" s="601">
        <f t="shared" si="135"/>
        <v>0</v>
      </c>
      <c r="CH173" s="785">
        <f>$BM173*(1-$BR173)*Tables!$C$36</f>
        <v>0</v>
      </c>
      <c r="CI173" s="602">
        <f t="shared" si="136"/>
        <v>0</v>
      </c>
      <c r="CJ173" s="601">
        <f t="shared" si="137"/>
        <v>0</v>
      </c>
      <c r="CK173" s="304"/>
      <c r="CL173" s="304">
        <f t="shared" si="138"/>
        <v>2013</v>
      </c>
      <c r="CM173" s="1018">
        <f>INDEX(OperationalDetail,MATCH("Degraded Heat Rate",ODColumn,0),MATCH('Monthly Table'!CL173,ODRow,0))/1000</f>
        <v>11.960598000000001</v>
      </c>
      <c r="CN173" s="737">
        <f t="shared" si="117"/>
        <v>60.975447034361203</v>
      </c>
      <c r="CO173" s="1019">
        <f>IF(A173="January",(CO172*(1+Assumptions!$E$32)),CO172)</f>
        <v>8.7132491602503546</v>
      </c>
      <c r="CP173" s="741">
        <f t="shared" si="105"/>
        <v>69.688696194611552</v>
      </c>
      <c r="CQ173" s="304"/>
      <c r="CR173" s="575">
        <f t="shared" si="139"/>
        <v>2014</v>
      </c>
      <c r="CS173" s="575" t="str">
        <f t="shared" si="140"/>
        <v/>
      </c>
      <c r="CT173" s="575">
        <f t="shared" si="141"/>
        <v>2014</v>
      </c>
      <c r="CU173" s="575" t="str">
        <f t="shared" si="142"/>
        <v/>
      </c>
      <c r="CV173" s="575" t="str">
        <f t="shared" si="143"/>
        <v/>
      </c>
      <c r="CW173" s="576">
        <f t="shared" si="106"/>
        <v>2014</v>
      </c>
      <c r="CX173" s="787">
        <f>INDEX('NY Curve'!$A$4:$G$256,MATCH('Monthly Table'!B173,'NY Curve'!$A$4:$A$256,0),MATCH("New York 5 X 16",'NY Curve'!$A$4:$G$4,0))</f>
        <v>86</v>
      </c>
      <c r="CY173" s="632">
        <f t="shared" si="107"/>
        <v>1.2858766591552599</v>
      </c>
      <c r="CZ173" s="633">
        <f t="shared" si="108"/>
        <v>110.58539268735235</v>
      </c>
      <c r="DB173" s="857"/>
      <c r="DC173" s="857"/>
    </row>
    <row r="174" spans="1:107" ht="18.75" customHeight="1">
      <c r="A174" s="17" t="s">
        <v>444</v>
      </c>
      <c r="B174" s="508">
        <v>41852</v>
      </c>
      <c r="C174" s="43">
        <f t="shared" si="97"/>
        <v>2014</v>
      </c>
      <c r="D174" s="719">
        <f t="shared" si="144"/>
        <v>14</v>
      </c>
      <c r="E174" s="972">
        <v>21</v>
      </c>
      <c r="F174" s="971">
        <v>5</v>
      </c>
      <c r="G174" s="971">
        <v>5</v>
      </c>
      <c r="H174" s="971">
        <v>0</v>
      </c>
      <c r="I174" s="976">
        <f t="shared" si="118"/>
        <v>31</v>
      </c>
      <c r="J174" s="621"/>
      <c r="K174" s="572">
        <f>INDEX(FX!$A$3:$C$362,MATCH(B174,FX!$A$3:$A$362,0),MATCH("Monthly Curve",FX!$A$2:$C$2,0))</f>
        <v>1.28509901230155</v>
      </c>
      <c r="L174" s="572"/>
      <c r="M174" s="1070">
        <v>3.4245000000000001</v>
      </c>
      <c r="N174" s="1071">
        <v>0.14499999999999999</v>
      </c>
      <c r="O174" s="877">
        <v>0.1</v>
      </c>
      <c r="P174" s="797">
        <f t="shared" si="99"/>
        <v>0.245</v>
      </c>
      <c r="Q174" s="732">
        <f t="shared" si="100"/>
        <v>3.6695000000000002</v>
      </c>
      <c r="R174" s="723">
        <f>IF(A174="January",(R173+R173*Assumptions!$E$32),R173)</f>
        <v>0.38850335912483613</v>
      </c>
      <c r="S174" s="730">
        <f t="shared" si="101"/>
        <v>5.1041741847653732</v>
      </c>
      <c r="T174" s="572"/>
      <c r="U174" s="507"/>
      <c r="V174" s="583"/>
      <c r="W174" s="583"/>
      <c r="X174" s="587"/>
      <c r="Y174" s="588">
        <f>Tables!$D$36</f>
        <v>312</v>
      </c>
      <c r="Z174" s="570">
        <f t="shared" si="102"/>
        <v>0</v>
      </c>
      <c r="AA174" s="592">
        <f t="shared" si="103"/>
        <v>0</v>
      </c>
      <c r="AB174" s="589">
        <f t="shared" si="98"/>
        <v>0</v>
      </c>
      <c r="AC174" s="462"/>
      <c r="AD174" s="1027">
        <f>IF(Tables!$E$30="Michigan",INDEX('Michigan Curve'!$A$4:$S$256,MATCH('Monthly Table'!B174,'Michigan Curve'!$A$4:$A$256,0),MATCH("Michigan Selected Option Value US$/month",'Michigan Curve'!$A$4:$S$4,0)),INDEX('NY Curve'!$A$4:$T$256,MATCH('Monthly Table'!B174,'NY Curve'!$A$4:$A$256,0),MATCH("New York Selected Option Value US$/month",'NY Curve'!$A$4:$T$4,0)))</f>
        <v>315125.79700364731</v>
      </c>
      <c r="AE174" s="601">
        <f t="shared" si="119"/>
        <v>404967.85048012593</v>
      </c>
      <c r="AF174" s="462"/>
      <c r="AG174" s="915"/>
      <c r="AH174" s="17"/>
      <c r="AI174" s="799">
        <f>Assumptions!$B$50</f>
        <v>65</v>
      </c>
      <c r="AJ174" s="743"/>
      <c r="AK174" s="924">
        <f>IF(Tables!$E$30="Custom",'Monthly Table'!AI174,IF(Tables!$E$30="New York",INDEX('NY Curve'!$A$4:$G$256,MATCH('Monthly Table'!B174,'NY Curve'!$A$4:$A$256,0),MATCH("Super Peak Curve",'NY Curve'!$A$4:$G$4,0)),IF(Tables!$E$30="New York Flat",INDEX('NY Curve'!$A$4:$G$256,MATCH('Monthly Table'!B174,'NY Curve'!$A$4:$A$256,0),MATCH("Flat NY West",'NY Curve'!$A$4:$G$4,0)),INDEX('Michigan Curve'!$A$4:$F$256,MATCH('Monthly Table'!B174,'Michigan Curve'!$A$4:$A$256,0),MATCH("Michigan Super Peak Curve US$/MWhr",'Michigan Curve'!$A$4:$F$4,0)))))</f>
        <v>166.14601052223972</v>
      </c>
      <c r="AL174" s="965">
        <f>IF(D174&lt;=Tables!$B$21,IF($AL$10=$AI$10,AI174,IF($AL$10=$AJ$10,AJ174,IF($AL$10=$AK$10,AK174,0))),0)</f>
        <v>166.14601052223972</v>
      </c>
      <c r="AM174" s="708">
        <f t="shared" si="120"/>
        <v>213.51407401997321</v>
      </c>
      <c r="AN174" s="916">
        <f t="shared" si="121"/>
        <v>1</v>
      </c>
      <c r="AO174" s="905"/>
      <c r="AP174" s="925"/>
      <c r="AQ174" s="926">
        <f>IF(Tables!$E$30="New York",INDEX('NY Curve'!$A$4:$L$256,MATCH('Monthly Table'!B174,'NY Curve'!$A$4:$A$256,0),MATCH("New York Shoulder Hour Curve Mon-Fri",'NY Curve'!$A$4:$L$4,0)),IF(Tables!$E$30="Michigan",INDEX('Michigan Curve'!$A$4:$K$256,MATCH('Monthly Table'!B174,'Michigan Curve'!$A$4:$A$256,0),MATCH("Michigan Shoulder Hour Curve Mon-Fri",'Michigan Curve'!$A$4:$K$4,0))))</f>
        <v>29.853989477760276</v>
      </c>
      <c r="AR174" s="708">
        <f t="shared" si="122"/>
        <v>38.3653323911306</v>
      </c>
      <c r="AS174" s="927">
        <f t="shared" si="109"/>
        <v>0</v>
      </c>
      <c r="AU174" s="926">
        <f>IF(Tables!$E$30="New York",INDEX('NY Curve'!$A$4:$L$256,MATCH('Monthly Table'!$B174,'NY Curve'!$A$4:$A$256,0),MATCH("New York Saturday Super Peak",'NY Curve'!$A$4:$L$4,0)),IF(Tables!$E$30="Michigan",INDEX('Michigan Curve'!$A$4:$K$256,MATCH('Monthly Table'!$B174,'Michigan Curve'!$A$4:$A$256,0),MATCH("Michigan Saturday Super Peak",'Michigan Curve'!$A$4:$K$4,0))))</f>
        <v>59.337867368113493</v>
      </c>
      <c r="AV174" s="925">
        <f t="shared" si="110"/>
        <v>76.255034746843023</v>
      </c>
      <c r="AW174" s="927">
        <f t="shared" si="111"/>
        <v>1</v>
      </c>
      <c r="AX174" s="926">
        <f>IF(Tables!$E$30="New York",INDEX('NY Curve'!$A$4:$L$256,MATCH('Monthly Table'!$B174,'NY Curve'!$A$4:$A$256,0),MATCH("New York Saturday Shoulder Peak",'NY Curve'!$A$4:$L$4,0)),IF(Tables!$E$30="Michigan",INDEX('Michigan Curve'!$A$4:$K$256,MATCH('Monthly Table'!$B174,'Michigan Curve'!$A$4:$A$256,0),MATCH("Michigan Saturday Shoulder Peak",'Michigan Curve'!$A$4:$K$4,0))))</f>
        <v>10.662140261281039</v>
      </c>
      <c r="AY174" s="934">
        <f t="shared" si="123"/>
        <v>13.701905918792853</v>
      </c>
      <c r="AZ174" s="927">
        <f t="shared" si="112"/>
        <v>0</v>
      </c>
      <c r="BB174" s="926">
        <f>IF(Tables!$E$30="New York",INDEX('NY Curve'!$A$4:$M$256,MATCH('Monthly Table'!$B174,'NY Curve'!$A$4:$A$256,0),MATCH("NY Sunday Super Peak",'NY Curve'!$A$4:$M$4,0)),IF(Tables!$E$30="Michigan",INDEX('Michigan Curve'!$A$4:$L$256,MATCH('Monthly Table'!$B174,'Michigan Curve'!$A$4:$A$256,0),MATCH("Michigan Sunday Super Peak",'Michigan Curve'!$A$4:$L$4,0))))</f>
        <v>52.556391083565629</v>
      </c>
      <c r="BC174" s="925">
        <f t="shared" si="124"/>
        <v>67.540166271624173</v>
      </c>
      <c r="BD174" s="927">
        <f t="shared" si="113"/>
        <v>0</v>
      </c>
      <c r="BF174" s="598">
        <f t="shared" si="104"/>
        <v>41852</v>
      </c>
      <c r="BG174" s="583">
        <f t="shared" si="125"/>
        <v>168</v>
      </c>
      <c r="BH174" s="764">
        <f>IF(Tables!$B$36="Combined Cycle",(BF174-BF173)*24*Assumptions!$B$21,0)</f>
        <v>0</v>
      </c>
      <c r="BI174" s="315">
        <f t="shared" si="126"/>
        <v>168</v>
      </c>
      <c r="BJ174" s="987">
        <f>IF('Monthly Table'!D174&lt;=Tables!$B$21,IF($BJ$10=$BG$10,BG174,IF($BJ$10=$BH$10,BH174,IF($BJ$10=$BI$10,BI174,0))),0)</f>
        <v>168</v>
      </c>
      <c r="BK174" s="43"/>
      <c r="BL174" s="987">
        <f t="shared" si="127"/>
        <v>40</v>
      </c>
      <c r="BM174" s="987">
        <f t="shared" si="128"/>
        <v>0</v>
      </c>
      <c r="BO174" s="987">
        <f t="shared" si="114"/>
        <v>0</v>
      </c>
      <c r="BP174" s="987">
        <f t="shared" si="129"/>
        <v>0</v>
      </c>
      <c r="BR174" s="993">
        <f>IF(BJ174&gt;0,INDEX(OperationalDetail,MATCH("Capacity Degradation",ODColumn,0),MATCH('Monthly Table'!C174,ODRow,0)),0)</f>
        <v>2.5300000000000001E-3</v>
      </c>
      <c r="BS174" s="994">
        <f>BJ174*(1-BR174)*Tables!$C$36</f>
        <v>54294.287040000003</v>
      </c>
      <c r="BT174" s="601">
        <f t="shared" si="115"/>
        <v>9020.7791858453438</v>
      </c>
      <c r="BU174" s="601">
        <f t="shared" si="116"/>
        <v>11592.594421920232</v>
      </c>
      <c r="BV174" s="462"/>
      <c r="BW174" s="785">
        <f>$BO174*(1-$BR174)*Tables!$C$36</f>
        <v>0</v>
      </c>
      <c r="BX174" s="602">
        <f t="shared" si="130"/>
        <v>0</v>
      </c>
      <c r="BY174" s="601">
        <f t="shared" si="131"/>
        <v>0</v>
      </c>
      <c r="BZ174" s="462"/>
      <c r="CA174" s="785">
        <f>$BL174*(1-$BR174)*Tables!$C$36</f>
        <v>12927.2112</v>
      </c>
      <c r="CB174" s="602">
        <f t="shared" si="132"/>
        <v>767.07314362519128</v>
      </c>
      <c r="CC174" s="601">
        <f t="shared" si="133"/>
        <v>985.76493923577834</v>
      </c>
      <c r="CD174" s="785">
        <f>$BP174*(1-$BR174)*Tables!$C$36</f>
        <v>0</v>
      </c>
      <c r="CE174" s="602">
        <f t="shared" si="134"/>
        <v>0</v>
      </c>
      <c r="CF174" s="601">
        <f t="shared" si="135"/>
        <v>0</v>
      </c>
      <c r="CH174" s="785">
        <f>$BM174*(1-$BR174)*Tables!$C$36</f>
        <v>0</v>
      </c>
      <c r="CI174" s="602">
        <f t="shared" si="136"/>
        <v>0</v>
      </c>
      <c r="CJ174" s="601">
        <f t="shared" si="137"/>
        <v>0</v>
      </c>
      <c r="CK174" s="304"/>
      <c r="CL174" s="304">
        <f t="shared" si="138"/>
        <v>2013</v>
      </c>
      <c r="CM174" s="1018">
        <f>INDEX(OperationalDetail,MATCH("Degraded Heat Rate",ODColumn,0),MATCH('Monthly Table'!CL174,ODRow,0))/1000</f>
        <v>11.960598000000001</v>
      </c>
      <c r="CN174" s="737">
        <f t="shared" si="117"/>
        <v>61.04897554595636</v>
      </c>
      <c r="CO174" s="1019">
        <f>IF(A174="January",(CO173*(1+Assumptions!$E$32)),CO173)</f>
        <v>8.7132491602503546</v>
      </c>
      <c r="CP174" s="741">
        <f t="shared" si="105"/>
        <v>69.762224706206709</v>
      </c>
      <c r="CQ174" s="304"/>
      <c r="CR174" s="575">
        <f t="shared" si="139"/>
        <v>2014</v>
      </c>
      <c r="CS174" s="575" t="str">
        <f t="shared" si="140"/>
        <v/>
      </c>
      <c r="CT174" s="575">
        <f t="shared" si="141"/>
        <v>2014</v>
      </c>
      <c r="CU174" s="575" t="str">
        <f t="shared" si="142"/>
        <v/>
      </c>
      <c r="CV174" s="575" t="str">
        <f t="shared" si="143"/>
        <v/>
      </c>
      <c r="CW174" s="576">
        <f t="shared" si="106"/>
        <v>2014</v>
      </c>
      <c r="CX174" s="787">
        <f>INDEX('NY Curve'!$A$4:$G$256,MATCH('Monthly Table'!B174,'NY Curve'!$A$4:$A$256,0),MATCH("New York 5 X 16",'NY Curve'!$A$4:$G$4,0))</f>
        <v>78.5</v>
      </c>
      <c r="CY174" s="632">
        <f t="shared" si="107"/>
        <v>1.28509901230155</v>
      </c>
      <c r="CZ174" s="633">
        <f t="shared" si="108"/>
        <v>100.88027246567168</v>
      </c>
      <c r="DB174" s="857"/>
      <c r="DC174" s="857"/>
    </row>
    <row r="175" spans="1:107" ht="18.75" customHeight="1">
      <c r="A175" s="17" t="s">
        <v>445</v>
      </c>
      <c r="B175" s="508">
        <v>41883</v>
      </c>
      <c r="C175" s="43">
        <f t="shared" si="97"/>
        <v>2014</v>
      </c>
      <c r="D175" s="719">
        <f t="shared" si="144"/>
        <v>14</v>
      </c>
      <c r="E175" s="972">
        <v>21</v>
      </c>
      <c r="F175" s="971">
        <v>4</v>
      </c>
      <c r="G175" s="971">
        <v>4</v>
      </c>
      <c r="H175" s="971">
        <v>1</v>
      </c>
      <c r="I175" s="976">
        <f t="shared" si="118"/>
        <v>30</v>
      </c>
      <c r="J175" s="621"/>
      <c r="K175" s="572">
        <f>INDEX(FX!$A$3:$C$362,MATCH(B175,FX!$A$3:$A$362,0),MATCH("Monthly Curve",FX!$A$2:$C$2,0))</f>
        <v>1.2843236875630499</v>
      </c>
      <c r="L175" s="572"/>
      <c r="M175" s="1070">
        <v>3.4315000000000002</v>
      </c>
      <c r="N175" s="1071">
        <v>0.14499999999999999</v>
      </c>
      <c r="O175" s="877">
        <v>0.1</v>
      </c>
      <c r="P175" s="797">
        <f t="shared" si="99"/>
        <v>0.245</v>
      </c>
      <c r="Q175" s="732">
        <f t="shared" si="100"/>
        <v>3.6765000000000003</v>
      </c>
      <c r="R175" s="723">
        <f>IF(A175="January",(R174+R174*Assumptions!$E$32),R174)</f>
        <v>0.38850335912483613</v>
      </c>
      <c r="S175" s="730">
        <f t="shared" si="101"/>
        <v>5.1103193964503895</v>
      </c>
      <c r="T175" s="572"/>
      <c r="U175" s="507"/>
      <c r="V175" s="583"/>
      <c r="W175" s="583"/>
      <c r="X175" s="587"/>
      <c r="Y175" s="588">
        <f>Tables!$D$36</f>
        <v>312</v>
      </c>
      <c r="Z175" s="570">
        <f t="shared" si="102"/>
        <v>0</v>
      </c>
      <c r="AA175" s="592">
        <f t="shared" si="103"/>
        <v>0</v>
      </c>
      <c r="AB175" s="589">
        <f t="shared" si="98"/>
        <v>0</v>
      </c>
      <c r="AC175" s="462"/>
      <c r="AD175" s="1027">
        <f>IF(Tables!$E$30="Michigan",INDEX('Michigan Curve'!$A$4:$S$256,MATCH('Monthly Table'!B175,'Michigan Curve'!$A$4:$A$256,0),MATCH("Michigan Selected Option Value US$/month",'Michigan Curve'!$A$4:$S$4,0)),INDEX('NY Curve'!$A$4:$T$256,MATCH('Monthly Table'!B175,'NY Curve'!$A$4:$A$256,0),MATCH("New York Selected Option Value US$/month",'NY Curve'!$A$4:$T$4,0)))</f>
        <v>167750.53227196526</v>
      </c>
      <c r="AE175" s="601">
        <f t="shared" si="119"/>
        <v>215445.98219819483</v>
      </c>
      <c r="AF175" s="462"/>
      <c r="AG175" s="915"/>
      <c r="AH175" s="17"/>
      <c r="AI175" s="799">
        <f>Assumptions!$B$50</f>
        <v>65</v>
      </c>
      <c r="AJ175" s="743"/>
      <c r="AK175" s="924">
        <f>IF(Tables!$E$30="Custom",'Monthly Table'!AI175,IF(Tables!$E$30="New York",INDEX('NY Curve'!$A$4:$G$256,MATCH('Monthly Table'!B175,'NY Curve'!$A$4:$A$256,0),MATCH("Super Peak Curve",'NY Curve'!$A$4:$G$4,0)),IF(Tables!$E$30="New York Flat",INDEX('NY Curve'!$A$4:$G$256,MATCH('Monthly Table'!B175,'NY Curve'!$A$4:$A$256,0),MATCH("Flat NY West",'NY Curve'!$A$4:$G$4,0)),INDEX('Michigan Curve'!$A$4:$F$256,MATCH('Monthly Table'!B175,'Michigan Curve'!$A$4:$A$256,0),MATCH("Michigan Super Peak Curve US$/MWhr",'Michigan Curve'!$A$4:$F$4,0)))))</f>
        <v>49.658437237143517</v>
      </c>
      <c r="AL175" s="965">
        <f>IF(D175&lt;=Tables!$B$21,IF($AL$10=$AI$10,AI175,IF($AL$10=$AJ$10,AJ175,IF($AL$10=$AK$10,AK175,0))),0)</f>
        <v>49.658437237143517</v>
      </c>
      <c r="AM175" s="708">
        <f t="shared" si="120"/>
        <v>63.777507231026433</v>
      </c>
      <c r="AN175" s="916">
        <f t="shared" si="121"/>
        <v>0</v>
      </c>
      <c r="AO175" s="905"/>
      <c r="AP175" s="925"/>
      <c r="AQ175" s="926">
        <f>IF(Tables!$E$30="New York",INDEX('NY Curve'!$A$4:$L$256,MATCH('Monthly Table'!B175,'NY Curve'!$A$4:$A$256,0),MATCH("New York Shoulder Hour Curve Mon-Fri",'NY Curve'!$A$4:$L$4,0)),IF(Tables!$E$30="Michigan",INDEX('Michigan Curve'!$A$4:$K$256,MATCH('Monthly Table'!B175,'Michigan Curve'!$A$4:$A$256,0),MATCH("Michigan Shoulder Hour Curve Mon-Fri",'Michigan Curve'!$A$4:$K$4,0))))</f>
        <v>23.841562762856483</v>
      </c>
      <c r="AR175" s="708">
        <f t="shared" si="122"/>
        <v>30.620283804857735</v>
      </c>
      <c r="AS175" s="927">
        <f t="shared" si="109"/>
        <v>0</v>
      </c>
      <c r="AU175" s="926">
        <f>IF(Tables!$E$30="New York",INDEX('NY Curve'!$A$4:$L$256,MATCH('Monthly Table'!$B175,'NY Curve'!$A$4:$A$256,0),MATCH("New York Saturday Super Peak",'NY Curve'!$A$4:$L$4,0)),IF(Tables!$E$30="Michigan",INDEX('Michigan Curve'!$A$4:$K$256,MATCH('Monthly Table'!$B175,'Michigan Curve'!$A$4:$A$256,0),MATCH("Michigan Saturday Super Peak",'Michigan Curve'!$A$4:$K$4,0))))</f>
        <v>33.781249821186066</v>
      </c>
      <c r="AV175" s="925">
        <f t="shared" si="110"/>
        <v>43.386059340834308</v>
      </c>
      <c r="AW175" s="927">
        <f t="shared" si="111"/>
        <v>0</v>
      </c>
      <c r="AX175" s="926">
        <f>IF(Tables!$E$30="New York",INDEX('NY Curve'!$A$4:$L$256,MATCH('Monthly Table'!$B175,'NY Curve'!$A$4:$A$256,0),MATCH("New York Saturday Shoulder Peak",'NY Curve'!$A$4:$L$4,0)),IF(Tables!$E$30="Michigan",INDEX('Michigan Curve'!$A$4:$K$256,MATCH('Monthly Table'!$B175,'Michigan Curve'!$A$4:$A$256,0),MATCH("Michigan Saturday Shoulder Peak",'Michigan Curve'!$A$4:$K$4,0))))</f>
        <v>16.218750178813934</v>
      </c>
      <c r="AY175" s="934">
        <f t="shared" si="123"/>
        <v>20.830125037318187</v>
      </c>
      <c r="AZ175" s="927">
        <f t="shared" si="112"/>
        <v>0</v>
      </c>
      <c r="BB175" s="926">
        <f>IF(Tables!$E$30="New York",INDEX('NY Curve'!$A$4:$M$256,MATCH('Monthly Table'!$B175,'NY Curve'!$A$4:$A$256,0),MATCH("NY Sunday Super Peak",'NY Curve'!$A$4:$M$4,0)),IF(Tables!$E$30="Michigan",INDEX('Michigan Curve'!$A$4:$L$256,MATCH('Monthly Table'!$B175,'Michigan Curve'!$A$4:$A$256,0),MATCH("Michigan Sunday Super Peak",'Michigan Curve'!$A$4:$L$4,0))))</f>
        <v>32.429999828338623</v>
      </c>
      <c r="BC175" s="925">
        <f t="shared" si="124"/>
        <v>41.650616967200939</v>
      </c>
      <c r="BD175" s="927">
        <f t="shared" si="113"/>
        <v>0</v>
      </c>
      <c r="BF175" s="598">
        <f t="shared" si="104"/>
        <v>41883</v>
      </c>
      <c r="BG175" s="583">
        <f t="shared" si="125"/>
        <v>0</v>
      </c>
      <c r="BH175" s="764">
        <f>IF(Tables!$B$36="Combined Cycle",(BF175-BF174)*24*Assumptions!$B$21,0)</f>
        <v>0</v>
      </c>
      <c r="BI175" s="315">
        <f t="shared" si="126"/>
        <v>0</v>
      </c>
      <c r="BJ175" s="987">
        <f>IF('Monthly Table'!D175&lt;=Tables!$B$21,IF($BJ$10=$BG$10,BG175,IF($BJ$10=$BH$10,BH175,IF($BJ$10=$BI$10,BI175,0))),0)</f>
        <v>0</v>
      </c>
      <c r="BK175" s="43"/>
      <c r="BL175" s="987">
        <f t="shared" si="127"/>
        <v>0</v>
      </c>
      <c r="BM175" s="987">
        <f t="shared" si="128"/>
        <v>0</v>
      </c>
      <c r="BO175" s="987">
        <f t="shared" si="114"/>
        <v>0</v>
      </c>
      <c r="BP175" s="987">
        <f t="shared" si="129"/>
        <v>0</v>
      </c>
      <c r="BR175" s="993">
        <f>IF(BJ175&gt;0,INDEX(OperationalDetail,MATCH("Capacity Degradation",ODColumn,0),MATCH('Monthly Table'!C175,ODRow,0)),0)</f>
        <v>0</v>
      </c>
      <c r="BS175" s="994">
        <f>BJ175*(1-BR175)*Tables!$C$36</f>
        <v>0</v>
      </c>
      <c r="BT175" s="601">
        <f t="shared" si="115"/>
        <v>0</v>
      </c>
      <c r="BU175" s="601">
        <f t="shared" si="116"/>
        <v>0</v>
      </c>
      <c r="BV175" s="462"/>
      <c r="BW175" s="785">
        <f>$BO175*(1-$BR175)*Tables!$C$36</f>
        <v>0</v>
      </c>
      <c r="BX175" s="602">
        <f t="shared" si="130"/>
        <v>0</v>
      </c>
      <c r="BY175" s="601">
        <f t="shared" si="131"/>
        <v>0</v>
      </c>
      <c r="BZ175" s="462"/>
      <c r="CA175" s="785">
        <f>$BL175*(1-$BR175)*Tables!$C$36</f>
        <v>0</v>
      </c>
      <c r="CB175" s="602">
        <f t="shared" si="132"/>
        <v>0</v>
      </c>
      <c r="CC175" s="601">
        <f t="shared" si="133"/>
        <v>0</v>
      </c>
      <c r="CD175" s="785">
        <f>$BP175*(1-$BR175)*Tables!$C$36</f>
        <v>0</v>
      </c>
      <c r="CE175" s="602">
        <f t="shared" si="134"/>
        <v>0</v>
      </c>
      <c r="CF175" s="601">
        <f t="shared" si="135"/>
        <v>0</v>
      </c>
      <c r="CH175" s="785">
        <f>$BM175*(1-$BR175)*Tables!$C$36</f>
        <v>0</v>
      </c>
      <c r="CI175" s="602">
        <f t="shared" si="136"/>
        <v>0</v>
      </c>
      <c r="CJ175" s="601">
        <f t="shared" si="137"/>
        <v>0</v>
      </c>
      <c r="CK175" s="304"/>
      <c r="CL175" s="304">
        <f t="shared" si="138"/>
        <v>2013</v>
      </c>
      <c r="CM175" s="1018">
        <f>INDEX(OperationalDetail,MATCH("Degraded Heat Rate",ODColumn,0),MATCH('Monthly Table'!CL175,ODRow,0))/1000</f>
        <v>11.960598000000001</v>
      </c>
      <c r="CN175" s="737">
        <f t="shared" si="117"/>
        <v>61.122475952545742</v>
      </c>
      <c r="CO175" s="1019">
        <f>IF(A175="January",(CO174*(1+Assumptions!$E$32)),CO174)</f>
        <v>8.7132491602503546</v>
      </c>
      <c r="CP175" s="741">
        <f t="shared" si="105"/>
        <v>69.835725112796098</v>
      </c>
      <c r="CQ175" s="304"/>
      <c r="CR175" s="575" t="str">
        <f t="shared" si="139"/>
        <v/>
      </c>
      <c r="CS175" s="575" t="str">
        <f t="shared" si="140"/>
        <v/>
      </c>
      <c r="CT175" s="575" t="str">
        <f t="shared" si="141"/>
        <v/>
      </c>
      <c r="CU175" s="575" t="str">
        <f t="shared" si="142"/>
        <v/>
      </c>
      <c r="CV175" s="575" t="str">
        <f t="shared" si="143"/>
        <v/>
      </c>
      <c r="CW175" s="576">
        <f t="shared" si="106"/>
        <v>2014</v>
      </c>
      <c r="CX175" s="787">
        <f>INDEX('NY Curve'!$A$4:$G$256,MATCH('Monthly Table'!B175,'NY Curve'!$A$4:$A$256,0),MATCH("New York 5 X 16",'NY Curve'!$A$4:$G$4,0))</f>
        <v>31.65</v>
      </c>
      <c r="CY175" s="632">
        <f t="shared" si="107"/>
        <v>1.2843236875630499</v>
      </c>
      <c r="CZ175" s="633">
        <f t="shared" si="108"/>
        <v>40.648844711370529</v>
      </c>
      <c r="DB175" s="857"/>
      <c r="DC175" s="857"/>
    </row>
    <row r="176" spans="1:107" ht="18.75" customHeight="1">
      <c r="A176" s="17" t="s">
        <v>446</v>
      </c>
      <c r="B176" s="508">
        <v>41913</v>
      </c>
      <c r="C176" s="43">
        <f t="shared" si="97"/>
        <v>2014</v>
      </c>
      <c r="D176" s="719">
        <f t="shared" si="144"/>
        <v>14</v>
      </c>
      <c r="E176" s="972">
        <v>23</v>
      </c>
      <c r="F176" s="971">
        <v>4</v>
      </c>
      <c r="G176" s="971">
        <v>4</v>
      </c>
      <c r="H176" s="971">
        <v>0</v>
      </c>
      <c r="I176" s="976">
        <f t="shared" si="118"/>
        <v>31</v>
      </c>
      <c r="J176" s="621"/>
      <c r="K176" s="572">
        <f>INDEX(FX!$A$3:$C$362,MATCH(B176,FX!$A$3:$A$362,0),MATCH("Monthly Curve",FX!$A$2:$C$2,0))</f>
        <v>1.2835755808281</v>
      </c>
      <c r="L176" s="572"/>
      <c r="M176" s="1070">
        <v>3.4585000000000004</v>
      </c>
      <c r="N176" s="1071">
        <v>0.14499999999999999</v>
      </c>
      <c r="O176" s="877">
        <v>0.1</v>
      </c>
      <c r="P176" s="797">
        <f t="shared" si="99"/>
        <v>0.245</v>
      </c>
      <c r="Q176" s="732">
        <f t="shared" si="100"/>
        <v>3.7035000000000005</v>
      </c>
      <c r="R176" s="723">
        <f>IF(A176="January",(R175+R175*Assumptions!$E$32),R175)</f>
        <v>0.38850335912483613</v>
      </c>
      <c r="S176" s="730">
        <f t="shared" si="101"/>
        <v>5.1422255227217057</v>
      </c>
      <c r="T176" s="572"/>
      <c r="U176" s="507"/>
      <c r="V176" s="583"/>
      <c r="W176" s="583"/>
      <c r="X176" s="587"/>
      <c r="Y176" s="588">
        <f>Tables!$D$36</f>
        <v>312</v>
      </c>
      <c r="Z176" s="570">
        <f t="shared" si="102"/>
        <v>0</v>
      </c>
      <c r="AA176" s="592">
        <f t="shared" si="103"/>
        <v>0</v>
      </c>
      <c r="AB176" s="589">
        <f t="shared" si="98"/>
        <v>0</v>
      </c>
      <c r="AC176" s="462"/>
      <c r="AD176" s="1027">
        <f>IF(Tables!$E$30="Michigan",INDEX('Michigan Curve'!$A$4:$S$256,MATCH('Monthly Table'!B176,'Michigan Curve'!$A$4:$A$256,0),MATCH("Michigan Selected Option Value US$/month",'Michigan Curve'!$A$4:$S$4,0)),INDEX('NY Curve'!$A$4:$T$256,MATCH('Monthly Table'!B176,'NY Curve'!$A$4:$A$256,0),MATCH("New York Selected Option Value US$/month",'NY Curve'!$A$4:$T$4,0)))</f>
        <v>3625.3002404241511</v>
      </c>
      <c r="AE176" s="601">
        <f t="shared" si="119"/>
        <v>4653.3468617786802</v>
      </c>
      <c r="AF176" s="462"/>
      <c r="AG176" s="915"/>
      <c r="AH176" s="17"/>
      <c r="AI176" s="799">
        <f>Assumptions!$B$50</f>
        <v>65</v>
      </c>
      <c r="AJ176" s="743"/>
      <c r="AK176" s="924">
        <f>IF(Tables!$E$30="Custom",'Monthly Table'!AI176,IF(Tables!$E$30="New York",INDEX('NY Curve'!$A$4:$G$256,MATCH('Monthly Table'!B176,'NY Curve'!$A$4:$A$256,0),MATCH("Super Peak Curve",'NY Curve'!$A$4:$G$4,0)),IF(Tables!$E$30="New York Flat",INDEX('NY Curve'!$A$4:$G$256,MATCH('Monthly Table'!B176,'NY Curve'!$A$4:$A$256,0),MATCH("Flat NY West",'NY Curve'!$A$4:$G$4,0)),INDEX('Michigan Curve'!$A$4:$F$256,MATCH('Monthly Table'!B176,'Michigan Curve'!$A$4:$A$256,0),MATCH("Michigan Super Peak Curve US$/MWhr",'Michigan Curve'!$A$4:$F$4,0)))))</f>
        <v>29.849994659423828</v>
      </c>
      <c r="AL176" s="965">
        <f>IF(D176&lt;=Tables!$B$21,IF($AL$10=$AI$10,AI176,IF($AL$10=$AJ$10,AJ176,IF($AL$10=$AK$10,AK176,0))),0)</f>
        <v>29.849994659423828</v>
      </c>
      <c r="AM176" s="708">
        <f t="shared" si="120"/>
        <v>38.31472423268562</v>
      </c>
      <c r="AN176" s="916">
        <f t="shared" si="121"/>
        <v>0</v>
      </c>
      <c r="AO176" s="905"/>
      <c r="AP176" s="925"/>
      <c r="AQ176" s="926">
        <f>IF(Tables!$E$30="New York",INDEX('NY Curve'!$A$4:$L$256,MATCH('Monthly Table'!B176,'NY Curve'!$A$4:$A$256,0),MATCH("New York Shoulder Hour Curve Mon-Fri",'NY Curve'!$A$4:$L$4,0)),IF(Tables!$E$30="Michigan",INDEX('Michigan Curve'!$A$4:$K$256,MATCH('Monthly Table'!B176,'Michigan Curve'!$A$4:$A$256,0),MATCH("Michigan Shoulder Hour Curve Mon-Fri",'Michigan Curve'!$A$4:$K$4,0))))</f>
        <v>29.849994659423828</v>
      </c>
      <c r="AR176" s="708">
        <f t="shared" si="122"/>
        <v>38.31472423268562</v>
      </c>
      <c r="AS176" s="927">
        <f t="shared" si="109"/>
        <v>0</v>
      </c>
      <c r="AU176" s="926">
        <f>IF(Tables!$E$30="New York",INDEX('NY Curve'!$A$4:$L$256,MATCH('Monthly Table'!$B176,'NY Curve'!$A$4:$A$256,0),MATCH("New York Saturday Super Peak",'NY Curve'!$A$4:$L$4,0)),IF(Tables!$E$30="Michigan",INDEX('Michigan Curve'!$A$4:$K$256,MATCH('Monthly Table'!$B176,'Michigan Curve'!$A$4:$A$256,0),MATCH("Michigan Saturday Super Peak",'Michigan Curve'!$A$4:$K$4,0))))</f>
        <v>19.996000289916992</v>
      </c>
      <c r="AV176" s="925">
        <f t="shared" si="110"/>
        <v>25.66637768636906</v>
      </c>
      <c r="AW176" s="927">
        <f t="shared" si="111"/>
        <v>0</v>
      </c>
      <c r="AX176" s="926">
        <f>IF(Tables!$E$30="New York",INDEX('NY Curve'!$A$4:$L$256,MATCH('Monthly Table'!$B176,'NY Curve'!$A$4:$A$256,0),MATCH("New York Saturday Shoulder Peak",'NY Curve'!$A$4:$L$4,0)),IF(Tables!$E$30="Michigan",INDEX('Michigan Curve'!$A$4:$K$256,MATCH('Monthly Table'!$B176,'Michigan Curve'!$A$4:$A$256,0),MATCH("Michigan Saturday Shoulder Peak",'Michigan Curve'!$A$4:$K$4,0))))</f>
        <v>19.996000289916992</v>
      </c>
      <c r="AY176" s="934">
        <f t="shared" si="123"/>
        <v>25.66637768636906</v>
      </c>
      <c r="AZ176" s="927">
        <f t="shared" si="112"/>
        <v>0</v>
      </c>
      <c r="BB176" s="926">
        <f>IF(Tables!$E$30="New York",INDEX('NY Curve'!$A$4:$M$256,MATCH('Monthly Table'!$B176,'NY Curve'!$A$4:$A$256,0),MATCH("NY Sunday Super Peak",'NY Curve'!$A$4:$M$4,0)),IF(Tables!$E$30="Michigan",INDEX('Michigan Curve'!$A$4:$L$256,MATCH('Monthly Table'!$B176,'Michigan Curve'!$A$4:$A$256,0),MATCH("Michigan Sunday Super Peak",'Michigan Curve'!$A$4:$L$4,0))))</f>
        <v>18.996500015258789</v>
      </c>
      <c r="BC176" s="925">
        <f t="shared" si="124"/>
        <v>24.383443540786811</v>
      </c>
      <c r="BD176" s="927">
        <f t="shared" si="113"/>
        <v>0</v>
      </c>
      <c r="BF176" s="598">
        <f t="shared" si="104"/>
        <v>41913</v>
      </c>
      <c r="BG176" s="583">
        <f t="shared" si="125"/>
        <v>0</v>
      </c>
      <c r="BH176" s="764">
        <f>IF(Tables!$B$36="Combined Cycle",(BF176-BF175)*24*Assumptions!$B$21,0)</f>
        <v>0</v>
      </c>
      <c r="BI176" s="315">
        <f t="shared" si="126"/>
        <v>0</v>
      </c>
      <c r="BJ176" s="987">
        <f>IF('Monthly Table'!D176&lt;=Tables!$B$21,IF($BJ$10=$BG$10,BG176,IF($BJ$10=$BH$10,BH176,IF($BJ$10=$BI$10,BI176,0))),0)</f>
        <v>0</v>
      </c>
      <c r="BK176" s="43"/>
      <c r="BL176" s="987">
        <f t="shared" si="127"/>
        <v>0</v>
      </c>
      <c r="BM176" s="987">
        <f t="shared" si="128"/>
        <v>0</v>
      </c>
      <c r="BO176" s="987">
        <f t="shared" si="114"/>
        <v>0</v>
      </c>
      <c r="BP176" s="987">
        <f t="shared" si="129"/>
        <v>0</v>
      </c>
      <c r="BR176" s="993">
        <f>IF(BJ176&gt;0,INDEX(OperationalDetail,MATCH("Capacity Degradation",ODColumn,0),MATCH('Monthly Table'!C176,ODRow,0)),0)</f>
        <v>0</v>
      </c>
      <c r="BS176" s="994">
        <f>BJ176*(1-BR176)*Tables!$C$36</f>
        <v>0</v>
      </c>
      <c r="BT176" s="601">
        <f t="shared" si="115"/>
        <v>0</v>
      </c>
      <c r="BU176" s="601">
        <f t="shared" si="116"/>
        <v>0</v>
      </c>
      <c r="BV176" s="462"/>
      <c r="BW176" s="785">
        <f>$BO176*(1-$BR176)*Tables!$C$36</f>
        <v>0</v>
      </c>
      <c r="BX176" s="602">
        <f t="shared" si="130"/>
        <v>0</v>
      </c>
      <c r="BY176" s="601">
        <f t="shared" si="131"/>
        <v>0</v>
      </c>
      <c r="BZ176" s="462"/>
      <c r="CA176" s="785">
        <f>$BL176*(1-$BR176)*Tables!$C$36</f>
        <v>0</v>
      </c>
      <c r="CB176" s="602">
        <f t="shared" si="132"/>
        <v>0</v>
      </c>
      <c r="CC176" s="601">
        <f t="shared" si="133"/>
        <v>0</v>
      </c>
      <c r="CD176" s="785">
        <f>$BP176*(1-$BR176)*Tables!$C$36</f>
        <v>0</v>
      </c>
      <c r="CE176" s="602">
        <f t="shared" si="134"/>
        <v>0</v>
      </c>
      <c r="CF176" s="601">
        <f t="shared" si="135"/>
        <v>0</v>
      </c>
      <c r="CH176" s="785">
        <f>$BM176*(1-$BR176)*Tables!$C$36</f>
        <v>0</v>
      </c>
      <c r="CI176" s="602">
        <f t="shared" si="136"/>
        <v>0</v>
      </c>
      <c r="CJ176" s="601">
        <f t="shared" si="137"/>
        <v>0</v>
      </c>
      <c r="CK176" s="304"/>
      <c r="CL176" s="304">
        <f t="shared" si="138"/>
        <v>2013</v>
      </c>
      <c r="CM176" s="1018">
        <f>INDEX(OperationalDetail,MATCH("Degraded Heat Rate",ODColumn,0),MATCH('Monthly Table'!CL176,ODRow,0))/1000</f>
        <v>11.960598000000001</v>
      </c>
      <c r="CN176" s="737">
        <f t="shared" si="117"/>
        <v>61.50409230261419</v>
      </c>
      <c r="CO176" s="1019">
        <f>IF(A176="January",(CO175*(1+Assumptions!$E$32)),CO175)</f>
        <v>8.7132491602503546</v>
      </c>
      <c r="CP176" s="741">
        <f t="shared" si="105"/>
        <v>70.217341462864539</v>
      </c>
      <c r="CQ176" s="304"/>
      <c r="CR176" s="575" t="str">
        <f t="shared" si="139"/>
        <v/>
      </c>
      <c r="CS176" s="575" t="str">
        <f t="shared" si="140"/>
        <v/>
      </c>
      <c r="CT176" s="575" t="str">
        <f t="shared" si="141"/>
        <v/>
      </c>
      <c r="CU176" s="575" t="str">
        <f t="shared" si="142"/>
        <v/>
      </c>
      <c r="CV176" s="575" t="str">
        <f t="shared" si="143"/>
        <v/>
      </c>
      <c r="CW176" s="576">
        <f t="shared" si="106"/>
        <v>2014</v>
      </c>
      <c r="CX176" s="787">
        <f>INDEX('NY Curve'!$A$4:$G$256,MATCH('Monthly Table'!B176,'NY Curve'!$A$4:$A$256,0),MATCH("New York 5 X 16",'NY Curve'!$A$4:$G$4,0))</f>
        <v>27.4</v>
      </c>
      <c r="CY176" s="632">
        <f t="shared" si="107"/>
        <v>1.2835755808281</v>
      </c>
      <c r="CZ176" s="633">
        <f t="shared" si="108"/>
        <v>35.169970914689941</v>
      </c>
      <c r="DB176" s="857"/>
      <c r="DC176" s="857"/>
    </row>
    <row r="177" spans="1:107" ht="18.75" customHeight="1">
      <c r="A177" s="17" t="s">
        <v>447</v>
      </c>
      <c r="B177" s="508">
        <v>41944</v>
      </c>
      <c r="C177" s="43">
        <f t="shared" si="97"/>
        <v>2014</v>
      </c>
      <c r="D177" s="719">
        <f t="shared" si="144"/>
        <v>14</v>
      </c>
      <c r="E177" s="972">
        <v>19</v>
      </c>
      <c r="F177" s="971">
        <v>5</v>
      </c>
      <c r="G177" s="971">
        <v>5</v>
      </c>
      <c r="H177" s="971">
        <v>1</v>
      </c>
      <c r="I177" s="976">
        <f t="shared" si="118"/>
        <v>30</v>
      </c>
      <c r="J177" s="621"/>
      <c r="K177" s="572">
        <f>INDEX(FX!$A$3:$C$362,MATCH(B177,FX!$A$3:$A$362,0),MATCH("Monthly Curve",FX!$A$2:$C$2,0))</f>
        <v>1.28280481477686</v>
      </c>
      <c r="L177" s="572"/>
      <c r="M177" s="1070">
        <v>3.5945</v>
      </c>
      <c r="N177" s="1071">
        <v>0.23</v>
      </c>
      <c r="O177" s="877">
        <v>0.1</v>
      </c>
      <c r="P177" s="797">
        <f t="shared" si="99"/>
        <v>0.33</v>
      </c>
      <c r="Q177" s="732">
        <f t="shared" si="100"/>
        <v>3.9245000000000001</v>
      </c>
      <c r="R177" s="723">
        <f>IF(A177="January",(R176+R176*Assumptions!$E$32),R176)</f>
        <v>0.38850335912483613</v>
      </c>
      <c r="S177" s="730">
        <f t="shared" si="101"/>
        <v>5.4228708547166242</v>
      </c>
      <c r="T177" s="572"/>
      <c r="U177" s="507"/>
      <c r="V177" s="583"/>
      <c r="W177" s="583"/>
      <c r="X177" s="587"/>
      <c r="Y177" s="588">
        <f>Tables!$D$36</f>
        <v>312</v>
      </c>
      <c r="Z177" s="570">
        <f t="shared" si="102"/>
        <v>0</v>
      </c>
      <c r="AA177" s="592">
        <f t="shared" si="103"/>
        <v>0</v>
      </c>
      <c r="AB177" s="589">
        <f t="shared" si="98"/>
        <v>0</v>
      </c>
      <c r="AC177" s="462"/>
      <c r="AD177" s="1027">
        <f>IF(Tables!$E$30="Michigan",INDEX('Michigan Curve'!$A$4:$S$256,MATCH('Monthly Table'!B177,'Michigan Curve'!$A$4:$A$256,0),MATCH("Michigan Selected Option Value US$/month",'Michigan Curve'!$A$4:$S$4,0)),INDEX('NY Curve'!$A$4:$T$256,MATCH('Monthly Table'!B177,'NY Curve'!$A$4:$A$256,0),MATCH("New York Selected Option Value US$/month",'NY Curve'!$A$4:$T$4,0)))</f>
        <v>16415.024096473757</v>
      </c>
      <c r="AE177" s="601">
        <f t="shared" si="119"/>
        <v>21057.271945634711</v>
      </c>
      <c r="AF177" s="462"/>
      <c r="AG177" s="915"/>
      <c r="AH177" s="17"/>
      <c r="AI177" s="799">
        <f>Assumptions!$B$50</f>
        <v>65</v>
      </c>
      <c r="AJ177" s="743"/>
      <c r="AK177" s="924">
        <f>IF(Tables!$E$30="Custom",'Monthly Table'!AI177,IF(Tables!$E$30="New York",INDEX('NY Curve'!$A$4:$G$256,MATCH('Monthly Table'!B177,'NY Curve'!$A$4:$A$256,0),MATCH("Super Peak Curve",'NY Curve'!$A$4:$G$4,0)),IF(Tables!$E$30="New York Flat",INDEX('NY Curve'!$A$4:$G$256,MATCH('Monthly Table'!B177,'NY Curve'!$A$4:$A$256,0),MATCH("Flat NY West",'NY Curve'!$A$4:$G$4,0)),INDEX('Michigan Curve'!$A$4:$F$256,MATCH('Monthly Table'!B177,'Michigan Curve'!$A$4:$A$256,0),MATCH("Michigan Super Peak Curve US$/MWhr",'Michigan Curve'!$A$4:$F$4,0)))))</f>
        <v>32.108395385742192</v>
      </c>
      <c r="AL177" s="965">
        <f>IF(D177&lt;=Tables!$B$21,IF($AL$10=$AI$10,AI177,IF($AL$10=$AJ$10,AJ177,IF($AL$10=$AK$10,AK177,0))),0)</f>
        <v>32.108395385742192</v>
      </c>
      <c r="AM177" s="708">
        <f t="shared" si="120"/>
        <v>41.188804195589199</v>
      </c>
      <c r="AN177" s="916">
        <f t="shared" si="121"/>
        <v>0</v>
      </c>
      <c r="AO177" s="905"/>
      <c r="AP177" s="925"/>
      <c r="AQ177" s="926">
        <f>IF(Tables!$E$30="New York",INDEX('NY Curve'!$A$4:$L$256,MATCH('Monthly Table'!B177,'NY Curve'!$A$4:$A$256,0),MATCH("New York Shoulder Hour Curve Mon-Fri",'NY Curve'!$A$4:$L$4,0)),IF(Tables!$E$30="Michigan",INDEX('Michigan Curve'!$A$4:$K$256,MATCH('Monthly Table'!B177,'Michigan Curve'!$A$4:$A$256,0),MATCH("Michigan Shoulder Hour Curve Mon-Fri",'Michigan Curve'!$A$4:$K$4,0))))</f>
        <v>27.351596069335937</v>
      </c>
      <c r="AR177" s="708">
        <f t="shared" si="122"/>
        <v>35.086759129575981</v>
      </c>
      <c r="AS177" s="927">
        <f t="shared" si="109"/>
        <v>0</v>
      </c>
      <c r="AU177" s="926">
        <f>IF(Tables!$E$30="New York",INDEX('NY Curve'!$A$4:$L$256,MATCH('Monthly Table'!$B177,'NY Curve'!$A$4:$A$256,0),MATCH("New York Saturday Super Peak",'NY Curve'!$A$4:$L$4,0)),IF(Tables!$E$30="Michigan",INDEX('Michigan Curve'!$A$4:$K$256,MATCH('Monthly Table'!$B177,'Michigan Curve'!$A$4:$A$256,0),MATCH("Michigan Saturday Super Peak",'Michigan Curve'!$A$4:$K$4,0))))</f>
        <v>21.6</v>
      </c>
      <c r="AV177" s="925">
        <f t="shared" si="110"/>
        <v>27.708583999180178</v>
      </c>
      <c r="AW177" s="927">
        <f t="shared" si="111"/>
        <v>0</v>
      </c>
      <c r="AX177" s="926">
        <f>IF(Tables!$E$30="New York",INDEX('NY Curve'!$A$4:$L$256,MATCH('Monthly Table'!$B177,'NY Curve'!$A$4:$A$256,0),MATCH("New York Saturday Shoulder Peak",'NY Curve'!$A$4:$L$4,0)),IF(Tables!$E$30="Michigan",INDEX('Michigan Curve'!$A$4:$K$256,MATCH('Monthly Table'!$B177,'Michigan Curve'!$A$4:$A$256,0),MATCH("Michigan Saturday Shoulder Peak",'Michigan Curve'!$A$4:$K$4,0))))</f>
        <v>18.399999999999999</v>
      </c>
      <c r="AY177" s="934">
        <f t="shared" si="123"/>
        <v>23.603608591894222</v>
      </c>
      <c r="AZ177" s="927">
        <f t="shared" si="112"/>
        <v>0</v>
      </c>
      <c r="BB177" s="926">
        <f>IF(Tables!$E$30="New York",INDEX('NY Curve'!$A$4:$M$256,MATCH('Monthly Table'!$B177,'NY Curve'!$A$4:$A$256,0),MATCH("NY Sunday Super Peak",'NY Curve'!$A$4:$M$4,0)),IF(Tables!$E$30="Michigan",INDEX('Michigan Curve'!$A$4:$L$256,MATCH('Monthly Table'!$B177,'Michigan Curve'!$A$4:$A$256,0),MATCH("Michigan Sunday Super Peak",'Michigan Curve'!$A$4:$L$4,0))))</f>
        <v>20.520000000000003</v>
      </c>
      <c r="BC177" s="925">
        <f t="shared" si="124"/>
        <v>26.323154799221172</v>
      </c>
      <c r="BD177" s="927">
        <f t="shared" si="113"/>
        <v>0</v>
      </c>
      <c r="BF177" s="598">
        <f t="shared" si="104"/>
        <v>41944</v>
      </c>
      <c r="BG177" s="583">
        <f t="shared" si="125"/>
        <v>0</v>
      </c>
      <c r="BH177" s="764">
        <f>IF(Tables!$B$36="Combined Cycle",(BF177-BF176)*24*Assumptions!$B$21,0)</f>
        <v>0</v>
      </c>
      <c r="BI177" s="315">
        <f t="shared" si="126"/>
        <v>0</v>
      </c>
      <c r="BJ177" s="987">
        <f>IF('Monthly Table'!D177&lt;=Tables!$B$21,IF($BJ$10=$BG$10,BG177,IF($BJ$10=$BH$10,BH177,IF($BJ$10=$BI$10,BI177,0))),0)</f>
        <v>0</v>
      </c>
      <c r="BK177" s="43"/>
      <c r="BL177" s="987">
        <f t="shared" si="127"/>
        <v>0</v>
      </c>
      <c r="BM177" s="987">
        <f t="shared" si="128"/>
        <v>0</v>
      </c>
      <c r="BO177" s="987">
        <f t="shared" si="114"/>
        <v>0</v>
      </c>
      <c r="BP177" s="987">
        <f t="shared" si="129"/>
        <v>0</v>
      </c>
      <c r="BR177" s="993">
        <f>IF(BJ177&gt;0,INDEX(OperationalDetail,MATCH("Capacity Degradation",ODColumn,0),MATCH('Monthly Table'!C177,ODRow,0)),0)</f>
        <v>0</v>
      </c>
      <c r="BS177" s="994">
        <f>BJ177*(1-BR177)*Tables!$C$36</f>
        <v>0</v>
      </c>
      <c r="BT177" s="601">
        <f t="shared" si="115"/>
        <v>0</v>
      </c>
      <c r="BU177" s="601">
        <f t="shared" si="116"/>
        <v>0</v>
      </c>
      <c r="BV177" s="462"/>
      <c r="BW177" s="785">
        <f>$BO177*(1-$BR177)*Tables!$C$36</f>
        <v>0</v>
      </c>
      <c r="BX177" s="602">
        <f t="shared" si="130"/>
        <v>0</v>
      </c>
      <c r="BY177" s="601">
        <f t="shared" si="131"/>
        <v>0</v>
      </c>
      <c r="BZ177" s="462"/>
      <c r="CA177" s="785">
        <f>$BL177*(1-$BR177)*Tables!$C$36</f>
        <v>0</v>
      </c>
      <c r="CB177" s="602">
        <f t="shared" si="132"/>
        <v>0</v>
      </c>
      <c r="CC177" s="601">
        <f t="shared" si="133"/>
        <v>0</v>
      </c>
      <c r="CD177" s="785">
        <f>$BP177*(1-$BR177)*Tables!$C$36</f>
        <v>0</v>
      </c>
      <c r="CE177" s="602">
        <f t="shared" si="134"/>
        <v>0</v>
      </c>
      <c r="CF177" s="601">
        <f t="shared" si="135"/>
        <v>0</v>
      </c>
      <c r="CH177" s="785">
        <f>$BM177*(1-$BR177)*Tables!$C$36</f>
        <v>0</v>
      </c>
      <c r="CI177" s="602">
        <f t="shared" si="136"/>
        <v>0</v>
      </c>
      <c r="CJ177" s="601">
        <f t="shared" si="137"/>
        <v>0</v>
      </c>
      <c r="CK177" s="304"/>
      <c r="CL177" s="304">
        <f t="shared" si="138"/>
        <v>2013</v>
      </c>
      <c r="CM177" s="1018">
        <f>INDEX(OperationalDetail,MATCH("Degraded Heat Rate",ODColumn,0),MATCH('Monthly Table'!CL177,ODRow,0))/1000</f>
        <v>11.960598000000001</v>
      </c>
      <c r="CN177" s="737">
        <f t="shared" si="117"/>
        <v>64.860778299181945</v>
      </c>
      <c r="CO177" s="1019">
        <f>IF(A177="January",(CO176*(1+Assumptions!$E$32)),CO176)</f>
        <v>8.7132491602503546</v>
      </c>
      <c r="CP177" s="741">
        <f t="shared" si="105"/>
        <v>73.574027459432301</v>
      </c>
      <c r="CQ177" s="304"/>
      <c r="CR177" s="575" t="str">
        <f t="shared" si="139"/>
        <v/>
      </c>
      <c r="CS177" s="575" t="str">
        <f t="shared" si="140"/>
        <v/>
      </c>
      <c r="CT177" s="575" t="str">
        <f t="shared" si="141"/>
        <v/>
      </c>
      <c r="CU177" s="575" t="str">
        <f t="shared" si="142"/>
        <v/>
      </c>
      <c r="CV177" s="575" t="str">
        <f t="shared" si="143"/>
        <v/>
      </c>
      <c r="CW177" s="576">
        <f t="shared" si="106"/>
        <v>2014</v>
      </c>
      <c r="CX177" s="787">
        <f>INDEX('NY Curve'!$A$4:$G$256,MATCH('Monthly Table'!B177,'NY Curve'!$A$4:$A$256,0),MATCH("New York 5 X 16",'NY Curve'!$A$4:$G$4,0))</f>
        <v>27.9</v>
      </c>
      <c r="CY177" s="632">
        <f t="shared" si="107"/>
        <v>1.28280481477686</v>
      </c>
      <c r="CZ177" s="633">
        <f t="shared" si="108"/>
        <v>35.790254332274394</v>
      </c>
      <c r="DB177" s="857"/>
      <c r="DC177" s="857"/>
    </row>
    <row r="178" spans="1:107" s="222" customFormat="1" ht="18.75" customHeight="1">
      <c r="A178" s="222" t="s">
        <v>448</v>
      </c>
      <c r="B178" s="564">
        <v>41974</v>
      </c>
      <c r="C178" s="565">
        <f t="shared" si="97"/>
        <v>2014</v>
      </c>
      <c r="D178" s="819">
        <f t="shared" si="144"/>
        <v>14</v>
      </c>
      <c r="E178" s="972">
        <v>22</v>
      </c>
      <c r="F178" s="971">
        <v>4</v>
      </c>
      <c r="G178" s="971">
        <v>4</v>
      </c>
      <c r="H178" s="971">
        <v>1</v>
      </c>
      <c r="I178" s="976">
        <f t="shared" si="118"/>
        <v>31</v>
      </c>
      <c r="J178" s="969"/>
      <c r="K178" s="820">
        <f>INDEX(FX!$A$3:$C$362,MATCH(B178,FX!$A$3:$A$362,0),MATCH("Monthly Curve",FX!$A$2:$C$2,0))</f>
        <v>1.28206111287631</v>
      </c>
      <c r="L178" s="820"/>
      <c r="M178" s="1070">
        <v>3.7205000000000004</v>
      </c>
      <c r="N178" s="1071">
        <v>0.27</v>
      </c>
      <c r="O178" s="878">
        <v>0.1</v>
      </c>
      <c r="P178" s="824">
        <f t="shared" si="99"/>
        <v>0.37</v>
      </c>
      <c r="Q178" s="825">
        <f t="shared" si="100"/>
        <v>4.0905000000000005</v>
      </c>
      <c r="R178" s="837">
        <f>IF(A178="January",(R177+R177*Assumptions!$E$32),R177)</f>
        <v>0.38850335912483613</v>
      </c>
      <c r="S178" s="827">
        <f t="shared" si="101"/>
        <v>5.6327743413453835</v>
      </c>
      <c r="T178" s="820"/>
      <c r="U178" s="828"/>
      <c r="V178" s="830"/>
      <c r="W178" s="830"/>
      <c r="X178" s="823"/>
      <c r="Y178" s="839">
        <f>Tables!$D$36</f>
        <v>312</v>
      </c>
      <c r="Z178" s="678">
        <f t="shared" si="102"/>
        <v>0</v>
      </c>
      <c r="AA178" s="679">
        <f t="shared" si="103"/>
        <v>0</v>
      </c>
      <c r="AB178" s="680">
        <f t="shared" si="98"/>
        <v>0</v>
      </c>
      <c r="AC178" s="828"/>
      <c r="AD178" s="1027">
        <f>IF(Tables!$E$30="Michigan",INDEX('Michigan Curve'!$A$4:$S$256,MATCH('Monthly Table'!B178,'Michigan Curve'!$A$4:$A$256,0),MATCH("Michigan Selected Option Value US$/month",'Michigan Curve'!$A$4:$S$4,0)),INDEX('NY Curve'!$A$4:$T$256,MATCH('Monthly Table'!B178,'NY Curve'!$A$4:$A$256,0),MATCH("New York Selected Option Value US$/month",'NY Curve'!$A$4:$T$4,0)))</f>
        <v>11356.395304561913</v>
      </c>
      <c r="AE178" s="601">
        <f t="shared" si="119"/>
        <v>14559.592802429946</v>
      </c>
      <c r="AF178" s="828"/>
      <c r="AG178" s="917"/>
      <c r="AI178" s="799">
        <f>Assumptions!$B$50</f>
        <v>65</v>
      </c>
      <c r="AJ178" s="762"/>
      <c r="AK178" s="924">
        <f>IF(Tables!$E$30="Custom",'Monthly Table'!AI178,IF(Tables!$E$30="New York",INDEX('NY Curve'!$A$4:$G$256,MATCH('Monthly Table'!B178,'NY Curve'!$A$4:$A$256,0),MATCH("Super Peak Curve",'NY Curve'!$A$4:$G$4,0)),IF(Tables!$E$30="New York Flat",INDEX('NY Curve'!$A$4:$G$256,MATCH('Monthly Table'!B178,'NY Curve'!$A$4:$A$256,0),MATCH("Flat NY West",'NY Curve'!$A$4:$G$4,0)),INDEX('Michigan Curve'!$A$4:$F$256,MATCH('Monthly Table'!B178,'Michigan Curve'!$A$4:$A$256,0),MATCH("Michigan Super Peak Curve US$/MWhr",'Michigan Curve'!$A$4:$F$4,0)))))</f>
        <v>30.803994941711426</v>
      </c>
      <c r="AL178" s="966">
        <f>IF(D178&lt;=Tables!$B$21,IF($AL$10=$AI$10,AI178,IF($AL$10=$AJ$10,AJ178,IF($AL$10=$AK$10,AK178,0))),0)</f>
        <v>30.803994941711426</v>
      </c>
      <c r="AM178" s="708">
        <f t="shared" si="120"/>
        <v>39.492604036006774</v>
      </c>
      <c r="AN178" s="918">
        <f t="shared" si="121"/>
        <v>0</v>
      </c>
      <c r="AO178" s="906"/>
      <c r="AP178" s="925"/>
      <c r="AQ178" s="926">
        <f>IF(Tables!$E$30="New York",INDEX('NY Curve'!$A$4:$L$256,MATCH('Monthly Table'!B178,'NY Curve'!$A$4:$A$256,0),MATCH("New York Shoulder Hour Curve Mon-Fri",'NY Curve'!$A$4:$L$4,0)),IF(Tables!$E$30="Michigan",INDEX('Michigan Curve'!$A$4:$K$256,MATCH('Monthly Table'!B178,'Michigan Curve'!$A$4:$A$256,0),MATCH("Michigan Shoulder Hour Curve Mon-Fri",'Michigan Curve'!$A$4:$K$4,0))))</f>
        <v>29.595995140075683</v>
      </c>
      <c r="AR178" s="708">
        <f t="shared" si="122"/>
        <v>37.943874465967291</v>
      </c>
      <c r="AS178" s="927">
        <f t="shared" si="109"/>
        <v>0</v>
      </c>
      <c r="AT178" s="565"/>
      <c r="AU178" s="926">
        <f>IF(Tables!$E$30="New York",INDEX('NY Curve'!$A$4:$L$256,MATCH('Monthly Table'!$B178,'NY Curve'!$A$4:$A$256,0),MATCH("New York Saturday Super Peak",'NY Curve'!$A$4:$L$4,0)),IF(Tables!$E$30="Michigan",INDEX('Michigan Curve'!$A$4:$K$256,MATCH('Monthly Table'!$B178,'Michigan Curve'!$A$4:$A$256,0),MATCH("Michigan Saturday Super Peak",'Michigan Curve'!$A$4:$K$4,0))))</f>
        <v>20.399999999999999</v>
      </c>
      <c r="AV178" s="925">
        <f t="shared" si="110"/>
        <v>26.154046702676723</v>
      </c>
      <c r="AW178" s="927">
        <f t="shared" si="111"/>
        <v>0</v>
      </c>
      <c r="AX178" s="926">
        <f>IF(Tables!$E$30="New York",INDEX('NY Curve'!$A$4:$L$256,MATCH('Monthly Table'!$B178,'NY Curve'!$A$4:$A$256,0),MATCH("New York Saturday Shoulder Peak",'NY Curve'!$A$4:$L$4,0)),IF(Tables!$E$30="Michigan",INDEX('Michigan Curve'!$A$4:$K$256,MATCH('Monthly Table'!$B178,'Michigan Curve'!$A$4:$A$256,0),MATCH("Michigan Saturday Shoulder Peak",'Michigan Curve'!$A$4:$K$4,0))))</f>
        <v>19.600000000000001</v>
      </c>
      <c r="AY178" s="934">
        <f t="shared" si="123"/>
        <v>25.128397812375677</v>
      </c>
      <c r="AZ178" s="927">
        <f t="shared" si="112"/>
        <v>0</v>
      </c>
      <c r="BA178" s="565"/>
      <c r="BB178" s="926">
        <f>IF(Tables!$E$30="New York",INDEX('NY Curve'!$A$4:$M$256,MATCH('Monthly Table'!$B178,'NY Curve'!$A$4:$A$256,0),MATCH("NY Sunday Super Peak",'NY Curve'!$A$4:$M$4,0)),IF(Tables!$E$30="Michigan",INDEX('Michigan Curve'!$A$4:$L$256,MATCH('Monthly Table'!$B178,'Michigan Curve'!$A$4:$A$256,0),MATCH("Michigan Sunday Super Peak",'Michigan Curve'!$A$4:$L$4,0))))</f>
        <v>19.38</v>
      </c>
      <c r="BC178" s="925">
        <f t="shared" si="124"/>
        <v>24.846344367542887</v>
      </c>
      <c r="BD178" s="927">
        <f t="shared" si="113"/>
        <v>0</v>
      </c>
      <c r="BE178" s="565"/>
      <c r="BF178" s="829">
        <f t="shared" si="104"/>
        <v>41974</v>
      </c>
      <c r="BG178" s="583">
        <f t="shared" si="125"/>
        <v>0</v>
      </c>
      <c r="BH178" s="840">
        <f>IF(Tables!$B$36="Combined Cycle",(BF178-BF177)*24*Assumptions!$B$21,0)</f>
        <v>0</v>
      </c>
      <c r="BI178" s="315">
        <f t="shared" si="126"/>
        <v>0</v>
      </c>
      <c r="BJ178" s="988">
        <f>IF('Monthly Table'!D178&lt;=Tables!$B$21,IF($BJ$10=$BG$10,BG178,IF($BJ$10=$BH$10,BH178,IF($BJ$10=$BI$10,BI178,0))),0)</f>
        <v>0</v>
      </c>
      <c r="BK178" s="43"/>
      <c r="BL178" s="987">
        <f t="shared" si="127"/>
        <v>0</v>
      </c>
      <c r="BM178" s="987">
        <f t="shared" si="128"/>
        <v>0</v>
      </c>
      <c r="BN178" s="43"/>
      <c r="BO178" s="987">
        <f t="shared" si="114"/>
        <v>0</v>
      </c>
      <c r="BP178" s="987">
        <f t="shared" si="129"/>
        <v>0</v>
      </c>
      <c r="BQ178" s="43"/>
      <c r="BR178" s="995">
        <f>IF(BJ178&gt;0,INDEX(OperationalDetail,MATCH("Capacity Degradation",ODColumn,0),MATCH('Monthly Table'!C178,ODRow,0)),0)</f>
        <v>0</v>
      </c>
      <c r="BS178" s="994">
        <f>BJ178*(1-BR178)*Tables!$C$36</f>
        <v>0</v>
      </c>
      <c r="BT178" s="834">
        <f t="shared" si="115"/>
        <v>0</v>
      </c>
      <c r="BU178" s="834">
        <f t="shared" si="116"/>
        <v>0</v>
      </c>
      <c r="BV178" s="462"/>
      <c r="BW178" s="785">
        <f>$BO178*(1-$BR178)*Tables!$C$36</f>
        <v>0</v>
      </c>
      <c r="BX178" s="602">
        <f t="shared" si="130"/>
        <v>0</v>
      </c>
      <c r="BY178" s="601">
        <f t="shared" si="131"/>
        <v>0</v>
      </c>
      <c r="BZ178" s="828"/>
      <c r="CA178" s="785">
        <f>$BL178*(1-$BR178)*Tables!$C$36</f>
        <v>0</v>
      </c>
      <c r="CB178" s="602">
        <f t="shared" si="132"/>
        <v>0</v>
      </c>
      <c r="CC178" s="601">
        <f t="shared" si="133"/>
        <v>0</v>
      </c>
      <c r="CD178" s="785">
        <f>$BP178*(1-$BR178)*Tables!$C$36</f>
        <v>0</v>
      </c>
      <c r="CE178" s="602">
        <f t="shared" si="134"/>
        <v>0</v>
      </c>
      <c r="CF178" s="601">
        <f t="shared" si="135"/>
        <v>0</v>
      </c>
      <c r="CH178" s="785">
        <f>$BM178*(1-$BR178)*Tables!$C$36</f>
        <v>0</v>
      </c>
      <c r="CI178" s="602">
        <f t="shared" si="136"/>
        <v>0</v>
      </c>
      <c r="CJ178" s="601">
        <f t="shared" si="137"/>
        <v>0</v>
      </c>
      <c r="CK178" s="304"/>
      <c r="CL178" s="304">
        <f t="shared" si="138"/>
        <v>2013</v>
      </c>
      <c r="CM178" s="1018">
        <f>INDEX(OperationalDetail,MATCH("Degraded Heat Rate",ODColumn,0),MATCH('Monthly Table'!CL178,ODRow,0))/1000</f>
        <v>11.960598000000001</v>
      </c>
      <c r="CN178" s="835">
        <f t="shared" si="117"/>
        <v>67.371349521546918</v>
      </c>
      <c r="CO178" s="1020">
        <f>IF(A178="January",(CO177*(1+Assumptions!$E$32)),CO177)</f>
        <v>8.7132491602503546</v>
      </c>
      <c r="CP178" s="836">
        <f t="shared" si="105"/>
        <v>76.084598681797274</v>
      </c>
      <c r="CQ178" s="304"/>
      <c r="CR178" s="841" t="str">
        <f t="shared" si="139"/>
        <v/>
      </c>
      <c r="CS178" s="575" t="str">
        <f t="shared" si="140"/>
        <v/>
      </c>
      <c r="CT178" s="575" t="str">
        <f t="shared" si="141"/>
        <v/>
      </c>
      <c r="CU178" s="575" t="str">
        <f t="shared" si="142"/>
        <v/>
      </c>
      <c r="CV178" s="575" t="str">
        <f t="shared" si="143"/>
        <v/>
      </c>
      <c r="CW178" s="842">
        <f t="shared" si="106"/>
        <v>2014</v>
      </c>
      <c r="CX178" s="843">
        <f>INDEX('NY Curve'!$A$4:$G$256,MATCH('Monthly Table'!B178,'NY Curve'!$A$4:$A$256,0),MATCH("New York 5 X 16",'NY Curve'!$A$4:$G$4,0))</f>
        <v>28.4</v>
      </c>
      <c r="CY178" s="844">
        <f t="shared" si="107"/>
        <v>1.28206111287631</v>
      </c>
      <c r="CZ178" s="845">
        <f t="shared" si="108"/>
        <v>36.410535605687201</v>
      </c>
      <c r="DB178" s="857"/>
      <c r="DC178" s="857"/>
    </row>
    <row r="179" spans="1:107" ht="18.75" customHeight="1">
      <c r="A179" s="17" t="s">
        <v>437</v>
      </c>
      <c r="B179" s="508">
        <v>42005</v>
      </c>
      <c r="C179" s="43">
        <f t="shared" si="97"/>
        <v>2015</v>
      </c>
      <c r="D179" s="719">
        <f t="shared" si="144"/>
        <v>15</v>
      </c>
      <c r="E179" s="972">
        <v>21</v>
      </c>
      <c r="F179" s="971">
        <v>5</v>
      </c>
      <c r="G179" s="971">
        <v>4</v>
      </c>
      <c r="H179" s="971">
        <v>1</v>
      </c>
      <c r="I179" s="976">
        <f t="shared" si="118"/>
        <v>31</v>
      </c>
      <c r="J179" s="621"/>
      <c r="K179" s="572">
        <f>INDEX(FX!$A$3:$C$362,MATCH(B179,FX!$A$3:$A$362,0),MATCH("Monthly Curve",FX!$A$2:$C$2,0))</f>
        <v>1.2812948914855999</v>
      </c>
      <c r="L179" s="572"/>
      <c r="M179" s="1070">
        <v>3.8210000000000002</v>
      </c>
      <c r="N179" s="1071">
        <v>0.28000000000000003</v>
      </c>
      <c r="O179" s="877">
        <v>0.1</v>
      </c>
      <c r="P179" s="797">
        <f t="shared" si="99"/>
        <v>0.38</v>
      </c>
      <c r="Q179" s="732">
        <f t="shared" si="100"/>
        <v>4.2009999999999996</v>
      </c>
      <c r="R179" s="723">
        <f>IF(A179="January",(R178+R178*Assumptions!$E$32),R178)</f>
        <v>0.39627342630733287</v>
      </c>
      <c r="S179" s="730">
        <f t="shared" si="101"/>
        <v>5.7789932654383378</v>
      </c>
      <c r="T179" s="572"/>
      <c r="U179" s="507"/>
      <c r="V179" s="583"/>
      <c r="W179" s="583"/>
      <c r="X179" s="587"/>
      <c r="Y179" s="588">
        <f>Tables!$D$36</f>
        <v>312</v>
      </c>
      <c r="Z179" s="570">
        <f t="shared" si="102"/>
        <v>0</v>
      </c>
      <c r="AA179" s="592">
        <f t="shared" si="103"/>
        <v>0</v>
      </c>
      <c r="AB179" s="589">
        <f t="shared" si="98"/>
        <v>0</v>
      </c>
      <c r="AC179" s="462"/>
      <c r="AD179" s="1027">
        <f>IF(Tables!$E$30="Michigan",INDEX('Michigan Curve'!$A$4:$S$256,MATCH('Monthly Table'!B179,'Michigan Curve'!$A$4:$A$256,0),MATCH("Michigan Selected Option Value US$/month",'Michigan Curve'!$A$4:$S$4,0)),INDEX('NY Curve'!$A$4:$T$256,MATCH('Monthly Table'!B179,'NY Curve'!$A$4:$A$256,0),MATCH("New York Selected Option Value US$/month",'NY Curve'!$A$4:$T$4,0)))</f>
        <v>45509.206575487558</v>
      </c>
      <c r="AE179" s="601">
        <f t="shared" si="119"/>
        <v>58310.713900735085</v>
      </c>
      <c r="AF179" s="462"/>
      <c r="AG179" s="915"/>
      <c r="AH179" s="17"/>
      <c r="AI179" s="799">
        <f>Assumptions!$B$50</f>
        <v>65</v>
      </c>
      <c r="AJ179" s="743"/>
      <c r="AK179" s="924">
        <f>IF(Tables!$E$30="Custom",'Monthly Table'!AI179,IF(Tables!$E$30="New York",INDEX('NY Curve'!$A$4:$G$256,MATCH('Monthly Table'!B179,'NY Curve'!$A$4:$A$256,0),MATCH("Super Peak Curve",'NY Curve'!$A$4:$G$4,0)),IF(Tables!$E$30="New York Flat",INDEX('NY Curve'!$A$4:$G$256,MATCH('Monthly Table'!B179,'NY Curve'!$A$4:$A$256,0),MATCH("Flat NY West",'NY Curve'!$A$4:$G$4,0)),INDEX('Michigan Curve'!$A$4:$F$256,MATCH('Monthly Table'!B179,'Michigan Curve'!$A$4:$A$256,0),MATCH("Michigan Super Peak Curve US$/MWhr",'Michigan Curve'!$A$4:$F$4,0)))))</f>
        <v>36.414000389099122</v>
      </c>
      <c r="AL179" s="965">
        <f>IF(D179&lt;=Tables!$B$21,IF($AL$10=$AI$10,AI179,IF($AL$10=$AJ$10,AJ179,IF($AL$10=$AK$10,AK179,0))),0)</f>
        <v>36.414000389099122</v>
      </c>
      <c r="AM179" s="708">
        <f t="shared" si="120"/>
        <v>46.657072677107351</v>
      </c>
      <c r="AN179" s="916">
        <f t="shared" si="121"/>
        <v>0</v>
      </c>
      <c r="AO179" s="905"/>
      <c r="AP179" s="925"/>
      <c r="AQ179" s="926">
        <f>IF(Tables!$E$30="New York",INDEX('NY Curve'!$A$4:$L$256,MATCH('Monthly Table'!B179,'NY Curve'!$A$4:$A$256,0),MATCH("New York Shoulder Hour Curve Mon-Fri",'NY Curve'!$A$4:$L$4,0)),IF(Tables!$E$30="Michigan",INDEX('Michigan Curve'!$A$4:$K$256,MATCH('Monthly Table'!B179,'Michigan Curve'!$A$4:$A$256,0),MATCH("Michigan Shoulder Hour Curve Mon-Fri",'Michigan Curve'!$A$4:$K$4,0))))</f>
        <v>34.986000373840334</v>
      </c>
      <c r="AR179" s="708">
        <f t="shared" si="122"/>
        <v>44.82738355251491</v>
      </c>
      <c r="AS179" s="927">
        <f t="shared" si="109"/>
        <v>0</v>
      </c>
      <c r="AU179" s="926">
        <f>IF(Tables!$E$30="New York",INDEX('NY Curve'!$A$4:$L$256,MATCH('Monthly Table'!$B179,'NY Curve'!$A$4:$A$256,0),MATCH("New York Saturday Super Peak",'NY Curve'!$A$4:$L$4,0)),IF(Tables!$E$30="Michigan",INDEX('Michigan Curve'!$A$4:$K$256,MATCH('Monthly Table'!$B179,'Michigan Curve'!$A$4:$A$256,0),MATCH("Michigan Saturday Super Peak",'Michigan Curve'!$A$4:$K$4,0))))</f>
        <v>22.44</v>
      </c>
      <c r="AV179" s="925">
        <f t="shared" si="110"/>
        <v>28.752257364936863</v>
      </c>
      <c r="AW179" s="927">
        <f t="shared" si="111"/>
        <v>0</v>
      </c>
      <c r="AX179" s="926">
        <f>IF(Tables!$E$30="New York",INDEX('NY Curve'!$A$4:$L$256,MATCH('Monthly Table'!$B179,'NY Curve'!$A$4:$A$256,0),MATCH("New York Saturday Shoulder Peak",'NY Curve'!$A$4:$L$4,0)),IF(Tables!$E$30="Michigan",INDEX('Michigan Curve'!$A$4:$K$256,MATCH('Monthly Table'!$B179,'Michigan Curve'!$A$4:$A$256,0),MATCH("Michigan Saturday Shoulder Peak",'Michigan Curve'!$A$4:$K$4,0))))</f>
        <v>21.56</v>
      </c>
      <c r="AY179" s="934">
        <f t="shared" si="123"/>
        <v>27.624717860429534</v>
      </c>
      <c r="AZ179" s="927">
        <f t="shared" si="112"/>
        <v>0</v>
      </c>
      <c r="BB179" s="926">
        <f>IF(Tables!$E$30="New York",INDEX('NY Curve'!$A$4:$M$256,MATCH('Monthly Table'!$B179,'NY Curve'!$A$4:$A$256,0),MATCH("NY Sunday Super Peak",'NY Curve'!$A$4:$M$4,0)),IF(Tables!$E$30="Michigan",INDEX('Michigan Curve'!$A$4:$L$256,MATCH('Monthly Table'!$B179,'Michigan Curve'!$A$4:$A$256,0),MATCH("Michigan Sunday Super Peak",'Michigan Curve'!$A$4:$L$4,0))))</f>
        <v>21.42</v>
      </c>
      <c r="BC179" s="925">
        <f t="shared" si="124"/>
        <v>27.445336575621553</v>
      </c>
      <c r="BD179" s="927">
        <f t="shared" si="113"/>
        <v>0</v>
      </c>
      <c r="BF179" s="598">
        <f t="shared" si="104"/>
        <v>42005</v>
      </c>
      <c r="BG179" s="583">
        <f t="shared" si="125"/>
        <v>0</v>
      </c>
      <c r="BH179" s="764">
        <f>IF(Tables!$B$36="Combined Cycle",(BF179-BF178)*24*Assumptions!$B$21,0)</f>
        <v>0</v>
      </c>
      <c r="BI179" s="315">
        <f t="shared" si="126"/>
        <v>0</v>
      </c>
      <c r="BJ179" s="987">
        <f>IF('Monthly Table'!D179&lt;=Tables!$B$21,IF($BJ$10=$BG$10,BG179,IF($BJ$10=$BH$10,BH179,IF($BJ$10=$BI$10,BI179,0))),0)</f>
        <v>0</v>
      </c>
      <c r="BK179" s="43"/>
      <c r="BL179" s="987">
        <f t="shared" si="127"/>
        <v>0</v>
      </c>
      <c r="BM179" s="987">
        <f t="shared" si="128"/>
        <v>0</v>
      </c>
      <c r="BO179" s="987">
        <f t="shared" si="114"/>
        <v>0</v>
      </c>
      <c r="BP179" s="987">
        <f t="shared" si="129"/>
        <v>0</v>
      </c>
      <c r="BR179" s="993">
        <f>IF(BJ179&gt;0,INDEX(OperationalDetail,MATCH("Capacity Degradation",ODColumn,0),MATCH('Monthly Table'!C179,ODRow,0)),0)</f>
        <v>0</v>
      </c>
      <c r="BS179" s="994">
        <f>BJ179*(1-BR179)*Tables!$C$36</f>
        <v>0</v>
      </c>
      <c r="BT179" s="601">
        <f t="shared" si="115"/>
        <v>0</v>
      </c>
      <c r="BU179" s="601">
        <f t="shared" si="116"/>
        <v>0</v>
      </c>
      <c r="BV179" s="462"/>
      <c r="BW179" s="785">
        <f>$BO179*(1-$BR179)*Tables!$C$36</f>
        <v>0</v>
      </c>
      <c r="BX179" s="602">
        <f t="shared" si="130"/>
        <v>0</v>
      </c>
      <c r="BY179" s="601">
        <f t="shared" si="131"/>
        <v>0</v>
      </c>
      <c r="BZ179" s="462"/>
      <c r="CA179" s="785">
        <f>$BL179*(1-$BR179)*Tables!$C$36</f>
        <v>0</v>
      </c>
      <c r="CB179" s="602">
        <f t="shared" si="132"/>
        <v>0</v>
      </c>
      <c r="CC179" s="601">
        <f t="shared" si="133"/>
        <v>0</v>
      </c>
      <c r="CD179" s="785">
        <f>$BP179*(1-$BR179)*Tables!$C$36</f>
        <v>0</v>
      </c>
      <c r="CE179" s="602">
        <f t="shared" si="134"/>
        <v>0</v>
      </c>
      <c r="CF179" s="601">
        <f t="shared" si="135"/>
        <v>0</v>
      </c>
      <c r="CH179" s="785">
        <f>$BM179*(1-$BR179)*Tables!$C$36</f>
        <v>0</v>
      </c>
      <c r="CI179" s="602">
        <f t="shared" si="136"/>
        <v>0</v>
      </c>
      <c r="CJ179" s="601">
        <f t="shared" si="137"/>
        <v>0</v>
      </c>
      <c r="CK179" s="304"/>
      <c r="CL179" s="304">
        <f t="shared" si="138"/>
        <v>2014</v>
      </c>
      <c r="CM179" s="1018">
        <f>INDEX(OperationalDetail,MATCH("Degraded Heat Rate",ODColumn,0),MATCH('Monthly Table'!CL179,ODRow,0))/1000</f>
        <v>11.990258799999999</v>
      </c>
      <c r="CN179" s="737">
        <f t="shared" si="117"/>
        <v>69.291624856062768</v>
      </c>
      <c r="CO179" s="1019">
        <f>IF(A179="January",(CO178*(1+Assumptions!$E$32)),CO178)</f>
        <v>8.8875141434553626</v>
      </c>
      <c r="CP179" s="741">
        <f t="shared" si="105"/>
        <v>78.179138999518131</v>
      </c>
      <c r="CQ179" s="304"/>
      <c r="CR179" s="575" t="str">
        <f t="shared" si="139"/>
        <v/>
      </c>
      <c r="CS179" s="575" t="str">
        <f t="shared" si="140"/>
        <v/>
      </c>
      <c r="CT179" s="575" t="str">
        <f t="shared" si="141"/>
        <v/>
      </c>
      <c r="CU179" s="575" t="str">
        <f t="shared" si="142"/>
        <v/>
      </c>
      <c r="CV179" s="575" t="str">
        <f t="shared" si="143"/>
        <v/>
      </c>
      <c r="CW179" s="576">
        <f t="shared" si="106"/>
        <v>2015</v>
      </c>
      <c r="CX179" s="787">
        <f>INDEX('NY Curve'!$A$4:$G$256,MATCH('Monthly Table'!B179,'NY Curve'!$A$4:$A$256,0),MATCH("New York 5 X 16",'NY Curve'!$A$4:$G$4,0))</f>
        <v>33.950000000000003</v>
      </c>
      <c r="CY179" s="632">
        <f t="shared" si="107"/>
        <v>1.2812948914855999</v>
      </c>
      <c r="CZ179" s="633">
        <f t="shared" si="108"/>
        <v>43.499961565936118</v>
      </c>
      <c r="DB179" s="857"/>
      <c r="DC179" s="857"/>
    </row>
    <row r="180" spans="1:107" ht="18.75" customHeight="1">
      <c r="A180" s="17" t="s">
        <v>438</v>
      </c>
      <c r="B180" s="508">
        <v>42036</v>
      </c>
      <c r="C180" s="43">
        <f t="shared" si="97"/>
        <v>2015</v>
      </c>
      <c r="D180" s="719">
        <f t="shared" si="144"/>
        <v>15</v>
      </c>
      <c r="E180" s="972">
        <v>20</v>
      </c>
      <c r="F180" s="971">
        <v>4</v>
      </c>
      <c r="G180" s="971">
        <v>4</v>
      </c>
      <c r="H180" s="971">
        <v>0</v>
      </c>
      <c r="I180" s="976">
        <f t="shared" si="118"/>
        <v>28</v>
      </c>
      <c r="J180" s="621"/>
      <c r="K180" s="572">
        <f>INDEX(FX!$A$3:$C$362,MATCH(B180,FX!$A$3:$A$362,0),MATCH("Monthly Curve",FX!$A$2:$C$2,0))</f>
        <v>1.2805309743307201</v>
      </c>
      <c r="L180" s="572"/>
      <c r="M180" s="1070">
        <v>3.7080000000000002</v>
      </c>
      <c r="N180" s="1071">
        <v>0.31</v>
      </c>
      <c r="O180" s="877">
        <v>0.1</v>
      </c>
      <c r="P180" s="797">
        <f t="shared" si="99"/>
        <v>0.41000000000000003</v>
      </c>
      <c r="Q180" s="732">
        <f t="shared" si="100"/>
        <v>4.1179999999999994</v>
      </c>
      <c r="R180" s="723">
        <f>IF(A180="January",(R179+R179*Assumptions!$E$32),R179)</f>
        <v>0.39627342630733287</v>
      </c>
      <c r="S180" s="730">
        <f t="shared" si="101"/>
        <v>5.6694999786012374</v>
      </c>
      <c r="T180" s="572"/>
      <c r="U180" s="507"/>
      <c r="V180" s="583"/>
      <c r="W180" s="583"/>
      <c r="X180" s="587"/>
      <c r="Y180" s="588">
        <f>Tables!$D$36</f>
        <v>312</v>
      </c>
      <c r="Z180" s="570">
        <f t="shared" si="102"/>
        <v>0</v>
      </c>
      <c r="AA180" s="592">
        <f t="shared" si="103"/>
        <v>0</v>
      </c>
      <c r="AB180" s="589">
        <f t="shared" si="98"/>
        <v>0</v>
      </c>
      <c r="AC180" s="462"/>
      <c r="AD180" s="1027">
        <f>IF(Tables!$E$30="Michigan",INDEX('Michigan Curve'!$A$4:$S$256,MATCH('Monthly Table'!B180,'Michigan Curve'!$A$4:$A$256,0),MATCH("Michigan Selected Option Value US$/month",'Michigan Curve'!$A$4:$S$4,0)),INDEX('NY Curve'!$A$4:$T$256,MATCH('Monthly Table'!B180,'NY Curve'!$A$4:$A$256,0),MATCH("New York Selected Option Value US$/month",'NY Curve'!$A$4:$T$4,0)))</f>
        <v>43193.60101283971</v>
      </c>
      <c r="AE180" s="601">
        <f t="shared" si="119"/>
        <v>55310.743989824012</v>
      </c>
      <c r="AF180" s="462"/>
      <c r="AG180" s="915"/>
      <c r="AH180" s="17"/>
      <c r="AI180" s="799">
        <f>Assumptions!$B$50</f>
        <v>65</v>
      </c>
      <c r="AJ180" s="743"/>
      <c r="AK180" s="924">
        <f>IF(Tables!$E$30="Custom",'Monthly Table'!AI180,IF(Tables!$E$30="New York",INDEX('NY Curve'!$A$4:$G$256,MATCH('Monthly Table'!B180,'NY Curve'!$A$4:$A$256,0),MATCH("Super Peak Curve",'NY Curve'!$A$4:$G$4,0)),IF(Tables!$E$30="New York Flat",INDEX('NY Curve'!$A$4:$G$256,MATCH('Monthly Table'!B180,'NY Curve'!$A$4:$A$256,0),MATCH("Flat NY West",'NY Curve'!$A$4:$G$4,0)),INDEX('Michigan Curve'!$A$4:$F$256,MATCH('Monthly Table'!B180,'Michigan Curve'!$A$4:$A$256,0),MATCH("Michigan Super Peak Curve US$/MWhr",'Michigan Curve'!$A$4:$F$4,0)))))</f>
        <v>36.413998443603518</v>
      </c>
      <c r="AL180" s="965">
        <f>IF(D180&lt;=Tables!$B$21,IF($AL$10=$AI$10,AI180,IF($AL$10=$AJ$10,AJ180,IF($AL$10=$AK$10,AK180,0))),0)</f>
        <v>36.413998443603518</v>
      </c>
      <c r="AM180" s="708">
        <f t="shared" si="120"/>
        <v>46.629252906264938</v>
      </c>
      <c r="AN180" s="916">
        <f t="shared" si="121"/>
        <v>0</v>
      </c>
      <c r="AO180" s="905"/>
      <c r="AP180" s="925"/>
      <c r="AQ180" s="926">
        <f>IF(Tables!$E$30="New York",INDEX('NY Curve'!$A$4:$L$256,MATCH('Monthly Table'!B180,'NY Curve'!$A$4:$A$256,0),MATCH("New York Shoulder Hour Curve Mon-Fri",'NY Curve'!$A$4:$L$4,0)),IF(Tables!$E$30="Michigan",INDEX('Michigan Curve'!$A$4:$K$256,MATCH('Monthly Table'!B180,'Michigan Curve'!$A$4:$A$256,0),MATCH("Michigan Shoulder Hour Curve Mon-Fri",'Michigan Curve'!$A$4:$K$4,0))))</f>
        <v>34.985998504638673</v>
      </c>
      <c r="AR180" s="708">
        <f t="shared" si="122"/>
        <v>44.800654753078071</v>
      </c>
      <c r="AS180" s="927">
        <f t="shared" si="109"/>
        <v>0</v>
      </c>
      <c r="AU180" s="926">
        <f>IF(Tables!$E$30="New York",INDEX('NY Curve'!$A$4:$L$256,MATCH('Monthly Table'!$B180,'NY Curve'!$A$4:$A$256,0),MATCH("New York Saturday Super Peak",'NY Curve'!$A$4:$L$4,0)),IF(Tables!$E$30="Michigan",INDEX('Michigan Curve'!$A$4:$K$256,MATCH('Monthly Table'!$B180,'Michigan Curve'!$A$4:$A$256,0),MATCH("Michigan Saturday Super Peak",'Michigan Curve'!$A$4:$K$4,0))))</f>
        <v>22.435920295715331</v>
      </c>
      <c r="AV180" s="925">
        <f t="shared" si="110"/>
        <v>28.729890876278731</v>
      </c>
      <c r="AW180" s="927">
        <f t="shared" si="111"/>
        <v>0</v>
      </c>
      <c r="AX180" s="926">
        <f>IF(Tables!$E$30="New York",INDEX('NY Curve'!$A$4:$L$256,MATCH('Monthly Table'!$B180,'NY Curve'!$A$4:$A$256,0),MATCH("New York Saturday Shoulder Peak",'NY Curve'!$A$4:$L$4,0)),IF(Tables!$E$30="Michigan",INDEX('Michigan Curve'!$A$4:$K$256,MATCH('Monthly Table'!$B180,'Michigan Curve'!$A$4:$A$256,0),MATCH("Michigan Saturday Shoulder Peak",'Michigan Curve'!$A$4:$K$4,0))))</f>
        <v>21.556080284118654</v>
      </c>
      <c r="AY180" s="934">
        <f t="shared" si="123"/>
        <v>27.603228488973684</v>
      </c>
      <c r="AZ180" s="927">
        <f t="shared" si="112"/>
        <v>0</v>
      </c>
      <c r="BB180" s="926">
        <f>IF(Tables!$E$30="New York",INDEX('NY Curve'!$A$4:$M$256,MATCH('Monthly Table'!$B180,'NY Curve'!$A$4:$A$256,0),MATCH("NY Sunday Super Peak",'NY Curve'!$A$4:$M$4,0)),IF(Tables!$E$30="Michigan",INDEX('Michigan Curve'!$A$4:$L$256,MATCH('Monthly Table'!$B180,'Michigan Curve'!$A$4:$A$256,0),MATCH("Michigan Sunday Super Peak",'Michigan Curve'!$A$4:$L$4,0))))</f>
        <v>21.416431961059569</v>
      </c>
      <c r="BC180" s="925">
        <f t="shared" si="124"/>
        <v>27.424404485783185</v>
      </c>
      <c r="BD180" s="927">
        <f t="shared" si="113"/>
        <v>0</v>
      </c>
      <c r="BF180" s="598">
        <f t="shared" si="104"/>
        <v>42036</v>
      </c>
      <c r="BG180" s="583">
        <f t="shared" si="125"/>
        <v>0</v>
      </c>
      <c r="BH180" s="764">
        <f>IF(Tables!$B$36="Combined Cycle",(BF180-BF179)*24*Assumptions!$B$21,0)</f>
        <v>0</v>
      </c>
      <c r="BI180" s="315">
        <f t="shared" si="126"/>
        <v>0</v>
      </c>
      <c r="BJ180" s="987">
        <f>IF('Monthly Table'!D180&lt;=Tables!$B$21,IF($BJ$10=$BG$10,BG180,IF($BJ$10=$BH$10,BH180,IF($BJ$10=$BI$10,BI180,0))),0)</f>
        <v>0</v>
      </c>
      <c r="BK180" s="43"/>
      <c r="BL180" s="987">
        <f t="shared" si="127"/>
        <v>0</v>
      </c>
      <c r="BM180" s="987">
        <f t="shared" si="128"/>
        <v>0</v>
      </c>
      <c r="BO180" s="987">
        <f t="shared" si="114"/>
        <v>0</v>
      </c>
      <c r="BP180" s="987">
        <f t="shared" si="129"/>
        <v>0</v>
      </c>
      <c r="BR180" s="993">
        <f>IF(BJ180&gt;0,INDEX(OperationalDetail,MATCH("Capacity Degradation",ODColumn,0),MATCH('Monthly Table'!C180,ODRow,0)),0)</f>
        <v>0</v>
      </c>
      <c r="BS180" s="994">
        <f>BJ180*(1-BR180)*Tables!$C$36</f>
        <v>0</v>
      </c>
      <c r="BT180" s="601">
        <f t="shared" si="115"/>
        <v>0</v>
      </c>
      <c r="BU180" s="601">
        <f t="shared" si="116"/>
        <v>0</v>
      </c>
      <c r="BV180" s="462"/>
      <c r="BW180" s="785">
        <f>$BO180*(1-$BR180)*Tables!$C$36</f>
        <v>0</v>
      </c>
      <c r="BX180" s="602">
        <f t="shared" si="130"/>
        <v>0</v>
      </c>
      <c r="BY180" s="601">
        <f t="shared" si="131"/>
        <v>0</v>
      </c>
      <c r="BZ180" s="462"/>
      <c r="CA180" s="785">
        <f>$BL180*(1-$BR180)*Tables!$C$36</f>
        <v>0</v>
      </c>
      <c r="CB180" s="602">
        <f t="shared" si="132"/>
        <v>0</v>
      </c>
      <c r="CC180" s="601">
        <f t="shared" si="133"/>
        <v>0</v>
      </c>
      <c r="CD180" s="785">
        <f>$BP180*(1-$BR180)*Tables!$C$36</f>
        <v>0</v>
      </c>
      <c r="CE180" s="602">
        <f t="shared" si="134"/>
        <v>0</v>
      </c>
      <c r="CF180" s="601">
        <f t="shared" si="135"/>
        <v>0</v>
      </c>
      <c r="CH180" s="785">
        <f>$BM180*(1-$BR180)*Tables!$C$36</f>
        <v>0</v>
      </c>
      <c r="CI180" s="602">
        <f t="shared" si="136"/>
        <v>0</v>
      </c>
      <c r="CJ180" s="601">
        <f t="shared" si="137"/>
        <v>0</v>
      </c>
      <c r="CK180" s="304"/>
      <c r="CL180" s="304">
        <f t="shared" si="138"/>
        <v>2014</v>
      </c>
      <c r="CM180" s="1018">
        <f>INDEX(OperationalDetail,MATCH("Degraded Heat Rate",ODColumn,0),MATCH('Monthly Table'!CL180,ODRow,0))/1000</f>
        <v>11.990258799999999</v>
      </c>
      <c r="CN180" s="737">
        <f t="shared" si="117"/>
        <v>67.978772010023292</v>
      </c>
      <c r="CO180" s="1019">
        <f>IF(A180="January",(CO179*(1+Assumptions!$E$32)),CO179)</f>
        <v>8.8875141434553626</v>
      </c>
      <c r="CP180" s="741">
        <f t="shared" si="105"/>
        <v>76.866286153478654</v>
      </c>
      <c r="CQ180" s="304"/>
      <c r="CR180" s="575" t="str">
        <f t="shared" si="139"/>
        <v/>
      </c>
      <c r="CS180" s="575" t="str">
        <f t="shared" si="140"/>
        <v/>
      </c>
      <c r="CT180" s="575" t="str">
        <f t="shared" si="141"/>
        <v/>
      </c>
      <c r="CU180" s="575" t="str">
        <f t="shared" si="142"/>
        <v/>
      </c>
      <c r="CV180" s="575" t="str">
        <f t="shared" si="143"/>
        <v/>
      </c>
      <c r="CW180" s="576">
        <f t="shared" si="106"/>
        <v>2015</v>
      </c>
      <c r="CX180" s="787">
        <f>INDEX('NY Curve'!$A$4:$G$256,MATCH('Monthly Table'!B180,'NY Curve'!$A$4:$A$256,0),MATCH("New York 5 X 16",'NY Curve'!$A$4:$G$4,0))</f>
        <v>33.950000000000003</v>
      </c>
      <c r="CY180" s="632">
        <f t="shared" si="107"/>
        <v>1.2805309743307201</v>
      </c>
      <c r="CZ180" s="633">
        <f t="shared" si="108"/>
        <v>43.474026578527948</v>
      </c>
      <c r="DB180" s="857"/>
      <c r="DC180" s="857"/>
    </row>
    <row r="181" spans="1:107" ht="18.75" customHeight="1">
      <c r="A181" s="17" t="s">
        <v>439</v>
      </c>
      <c r="B181" s="508">
        <v>42064</v>
      </c>
      <c r="C181" s="43">
        <f t="shared" si="97"/>
        <v>2015</v>
      </c>
      <c r="D181" s="719">
        <f t="shared" si="144"/>
        <v>15</v>
      </c>
      <c r="E181" s="972">
        <v>22</v>
      </c>
      <c r="F181" s="971">
        <v>4</v>
      </c>
      <c r="G181" s="971">
        <v>5</v>
      </c>
      <c r="H181" s="971">
        <v>0</v>
      </c>
      <c r="I181" s="976">
        <f t="shared" si="118"/>
        <v>31</v>
      </c>
      <c r="J181" s="621"/>
      <c r="K181" s="572">
        <f>INDEX(FX!$A$3:$C$362,MATCH(B181,FX!$A$3:$A$362,0),MATCH("Monthly Curve",FX!$A$2:$C$2,0))</f>
        <v>1.2798429621988301</v>
      </c>
      <c r="L181" s="572"/>
      <c r="M181" s="1070">
        <v>3.593</v>
      </c>
      <c r="N181" s="1071">
        <v>0.31</v>
      </c>
      <c r="O181" s="877">
        <v>0.1</v>
      </c>
      <c r="P181" s="797">
        <f t="shared" si="99"/>
        <v>0.41000000000000003</v>
      </c>
      <c r="Q181" s="732">
        <f t="shared" si="100"/>
        <v>4.0030000000000001</v>
      </c>
      <c r="R181" s="723">
        <f>IF(A181="January",(R180+R180*Assumptions!$E$32),R180)</f>
        <v>0.39627342630733287</v>
      </c>
      <c r="S181" s="730">
        <f t="shared" si="101"/>
        <v>5.5194848039892506</v>
      </c>
      <c r="T181" s="572"/>
      <c r="U181" s="507"/>
      <c r="V181" s="583"/>
      <c r="W181" s="583"/>
      <c r="X181" s="587"/>
      <c r="Y181" s="588">
        <f>Tables!$D$36</f>
        <v>312</v>
      </c>
      <c r="Z181" s="570">
        <f t="shared" si="102"/>
        <v>0</v>
      </c>
      <c r="AA181" s="592">
        <f t="shared" si="103"/>
        <v>0</v>
      </c>
      <c r="AB181" s="589">
        <f t="shared" si="98"/>
        <v>0</v>
      </c>
      <c r="AC181" s="462"/>
      <c r="AD181" s="1027">
        <f>IF(Tables!$E$30="Michigan",INDEX('Michigan Curve'!$A$4:$S$256,MATCH('Monthly Table'!B181,'Michigan Curve'!$A$4:$A$256,0),MATCH("Michigan Selected Option Value US$/month",'Michigan Curve'!$A$4:$S$4,0)),INDEX('NY Curve'!$A$4:$T$256,MATCH('Monthly Table'!B181,'NY Curve'!$A$4:$A$256,0),MATCH("New York Selected Option Value US$/month",'NY Curve'!$A$4:$T$4,0)))</f>
        <v>12642.531726696308</v>
      </c>
      <c r="AE181" s="601">
        <f t="shared" si="119"/>
        <v>16180.455254787694</v>
      </c>
      <c r="AF181" s="462"/>
      <c r="AG181" s="915"/>
      <c r="AH181" s="17"/>
      <c r="AI181" s="799">
        <f>Assumptions!$B$50</f>
        <v>65</v>
      </c>
      <c r="AJ181" s="743"/>
      <c r="AK181" s="924">
        <f>IF(Tables!$E$30="Custom",'Monthly Table'!AI181,IF(Tables!$E$30="New York",INDEX('NY Curve'!$A$4:$G$256,MATCH('Monthly Table'!B181,'NY Curve'!$A$4:$A$256,0),MATCH("Super Peak Curve",'NY Curve'!$A$4:$G$4,0)),IF(Tables!$E$30="New York Flat",INDEX('NY Curve'!$A$4:$G$256,MATCH('Monthly Table'!B181,'NY Curve'!$A$4:$A$256,0),MATCH("Flat NY West",'NY Curve'!$A$4:$G$4,0)),INDEX('Michigan Curve'!$A$4:$F$256,MATCH('Monthly Table'!B181,'Michigan Curve'!$A$4:$A$256,0),MATCH("Michigan Super Peak Curve US$/MWhr",'Michigan Curve'!$A$4:$F$4,0)))))</f>
        <v>31.11</v>
      </c>
      <c r="AL181" s="965">
        <f>IF(D181&lt;=Tables!$B$21,IF($AL$10=$AI$10,AI181,IF($AL$10=$AJ$10,AJ181,IF($AL$10=$AK$10,AK181,0))),0)</f>
        <v>31.11</v>
      </c>
      <c r="AM181" s="708">
        <f t="shared" si="120"/>
        <v>39.815914554005602</v>
      </c>
      <c r="AN181" s="916">
        <f t="shared" si="121"/>
        <v>0</v>
      </c>
      <c r="AO181" s="905"/>
      <c r="AP181" s="925"/>
      <c r="AQ181" s="926">
        <f>IF(Tables!$E$30="New York",INDEX('NY Curve'!$A$4:$L$256,MATCH('Monthly Table'!B181,'NY Curve'!$A$4:$A$256,0),MATCH("New York Shoulder Hour Curve Mon-Fri",'NY Curve'!$A$4:$L$4,0)),IF(Tables!$E$30="Michigan",INDEX('Michigan Curve'!$A$4:$K$256,MATCH('Monthly Table'!B181,'Michigan Curve'!$A$4:$A$256,0),MATCH("Michigan Shoulder Hour Curve Mon-Fri",'Michigan Curve'!$A$4:$K$4,0))))</f>
        <v>29.89</v>
      </c>
      <c r="AR181" s="708">
        <f t="shared" si="122"/>
        <v>38.254506140123034</v>
      </c>
      <c r="AS181" s="927">
        <f t="shared" si="109"/>
        <v>0</v>
      </c>
      <c r="AU181" s="926">
        <f>IF(Tables!$E$30="New York",INDEX('NY Curve'!$A$4:$L$256,MATCH('Monthly Table'!$B181,'NY Curve'!$A$4:$A$256,0),MATCH("New York Saturday Super Peak",'NY Curve'!$A$4:$L$4,0)),IF(Tables!$E$30="Michigan",INDEX('Michigan Curve'!$A$4:$K$256,MATCH('Monthly Table'!$B181,'Michigan Curve'!$A$4:$A$256,0),MATCH("Michigan Saturday Super Peak",'Michigan Curve'!$A$4:$K$4,0))))</f>
        <v>20.399999999999999</v>
      </c>
      <c r="AV181" s="925">
        <f t="shared" si="110"/>
        <v>26.108796428856131</v>
      </c>
      <c r="AW181" s="927">
        <f t="shared" si="111"/>
        <v>0</v>
      </c>
      <c r="AX181" s="926">
        <f>IF(Tables!$E$30="New York",INDEX('NY Curve'!$A$4:$L$256,MATCH('Monthly Table'!$B181,'NY Curve'!$A$4:$A$256,0),MATCH("New York Saturday Shoulder Peak",'NY Curve'!$A$4:$L$4,0)),IF(Tables!$E$30="Michigan",INDEX('Michigan Curve'!$A$4:$K$256,MATCH('Monthly Table'!$B181,'Michigan Curve'!$A$4:$A$256,0),MATCH("Michigan Saturday Shoulder Peak",'Michigan Curve'!$A$4:$K$4,0))))</f>
        <v>19.600000000000001</v>
      </c>
      <c r="AY181" s="934">
        <f t="shared" si="123"/>
        <v>25.084922059097071</v>
      </c>
      <c r="AZ181" s="927">
        <f t="shared" si="112"/>
        <v>0</v>
      </c>
      <c r="BB181" s="926">
        <f>IF(Tables!$E$30="New York",INDEX('NY Curve'!$A$4:$M$256,MATCH('Monthly Table'!$B181,'NY Curve'!$A$4:$A$256,0),MATCH("NY Sunday Super Peak",'NY Curve'!$A$4:$M$4,0)),IF(Tables!$E$30="Michigan",INDEX('Michigan Curve'!$A$4:$L$256,MATCH('Monthly Table'!$B181,'Michigan Curve'!$A$4:$A$256,0),MATCH("Michigan Sunday Super Peak",'Michigan Curve'!$A$4:$L$4,0))))</f>
        <v>19.38</v>
      </c>
      <c r="BC181" s="925">
        <f t="shared" si="124"/>
        <v>24.803356607413328</v>
      </c>
      <c r="BD181" s="927">
        <f t="shared" si="113"/>
        <v>0</v>
      </c>
      <c r="BF181" s="598">
        <f t="shared" si="104"/>
        <v>42064</v>
      </c>
      <c r="BG181" s="583">
        <f t="shared" si="125"/>
        <v>0</v>
      </c>
      <c r="BH181" s="764">
        <f>IF(Tables!$B$36="Combined Cycle",(BF181-BF180)*24*Assumptions!$B$21,0)</f>
        <v>0</v>
      </c>
      <c r="BI181" s="315">
        <f t="shared" si="126"/>
        <v>0</v>
      </c>
      <c r="BJ181" s="987">
        <f>IF('Monthly Table'!D181&lt;=Tables!$B$21,IF($BJ$10=$BG$10,BG181,IF($BJ$10=$BH$10,BH181,IF($BJ$10=$BI$10,BI181,0))),0)</f>
        <v>0</v>
      </c>
      <c r="BK181" s="43"/>
      <c r="BL181" s="987">
        <f t="shared" si="127"/>
        <v>0</v>
      </c>
      <c r="BM181" s="987">
        <f t="shared" si="128"/>
        <v>0</v>
      </c>
      <c r="BO181" s="987">
        <f t="shared" si="114"/>
        <v>0</v>
      </c>
      <c r="BP181" s="987">
        <f t="shared" si="129"/>
        <v>0</v>
      </c>
      <c r="BR181" s="993">
        <f>IF(BJ181&gt;0,INDEX(OperationalDetail,MATCH("Capacity Degradation",ODColumn,0),MATCH('Monthly Table'!C181,ODRow,0)),0)</f>
        <v>0</v>
      </c>
      <c r="BS181" s="994">
        <f>BJ181*(1-BR181)*Tables!$C$36</f>
        <v>0</v>
      </c>
      <c r="BT181" s="601">
        <f t="shared" si="115"/>
        <v>0</v>
      </c>
      <c r="BU181" s="601">
        <f t="shared" si="116"/>
        <v>0</v>
      </c>
      <c r="BV181" s="462"/>
      <c r="BW181" s="785">
        <f>$BO181*(1-$BR181)*Tables!$C$36</f>
        <v>0</v>
      </c>
      <c r="BX181" s="602">
        <f t="shared" si="130"/>
        <v>0</v>
      </c>
      <c r="BY181" s="601">
        <f t="shared" si="131"/>
        <v>0</v>
      </c>
      <c r="BZ181" s="462"/>
      <c r="CA181" s="785">
        <f>$BL181*(1-$BR181)*Tables!$C$36</f>
        <v>0</v>
      </c>
      <c r="CB181" s="602">
        <f t="shared" si="132"/>
        <v>0</v>
      </c>
      <c r="CC181" s="601">
        <f t="shared" si="133"/>
        <v>0</v>
      </c>
      <c r="CD181" s="785">
        <f>$BP181*(1-$BR181)*Tables!$C$36</f>
        <v>0</v>
      </c>
      <c r="CE181" s="602">
        <f t="shared" si="134"/>
        <v>0</v>
      </c>
      <c r="CF181" s="601">
        <f t="shared" si="135"/>
        <v>0</v>
      </c>
      <c r="CH181" s="785">
        <f>$BM181*(1-$BR181)*Tables!$C$36</f>
        <v>0</v>
      </c>
      <c r="CI181" s="602">
        <f t="shared" si="136"/>
        <v>0</v>
      </c>
      <c r="CJ181" s="601">
        <f t="shared" si="137"/>
        <v>0</v>
      </c>
      <c r="CK181" s="304"/>
      <c r="CL181" s="304">
        <f t="shared" si="138"/>
        <v>2014</v>
      </c>
      <c r="CM181" s="1018">
        <f>INDEX(OperationalDetail,MATCH("Degraded Heat Rate",ODColumn,0),MATCH('Monthly Table'!CL181,ODRow,0))/1000</f>
        <v>11.990258799999999</v>
      </c>
      <c r="CN181" s="737">
        <f t="shared" si="117"/>
        <v>66.180051242498379</v>
      </c>
      <c r="CO181" s="1019">
        <f>IF(A181="January",(CO180*(1+Assumptions!$E$32)),CO180)</f>
        <v>8.8875141434553626</v>
      </c>
      <c r="CP181" s="741">
        <f t="shared" si="105"/>
        <v>75.067565385953742</v>
      </c>
      <c r="CQ181" s="304"/>
      <c r="CR181" s="575" t="str">
        <f t="shared" si="139"/>
        <v/>
      </c>
      <c r="CS181" s="575" t="str">
        <f t="shared" si="140"/>
        <v/>
      </c>
      <c r="CT181" s="575" t="str">
        <f t="shared" si="141"/>
        <v/>
      </c>
      <c r="CU181" s="575" t="str">
        <f t="shared" si="142"/>
        <v/>
      </c>
      <c r="CV181" s="575" t="str">
        <f t="shared" si="143"/>
        <v/>
      </c>
      <c r="CW181" s="576">
        <f t="shared" si="106"/>
        <v>2015</v>
      </c>
      <c r="CX181" s="787">
        <f>INDEX('NY Curve'!$A$4:$G$256,MATCH('Monthly Table'!B181,'NY Curve'!$A$4:$A$256,0),MATCH("New York 5 X 16",'NY Curve'!$A$4:$G$4,0))</f>
        <v>28.95</v>
      </c>
      <c r="CY181" s="632">
        <f t="shared" si="107"/>
        <v>1.2798429621988301</v>
      </c>
      <c r="CZ181" s="633">
        <f t="shared" si="108"/>
        <v>37.051453755656134</v>
      </c>
      <c r="DB181" s="857"/>
      <c r="DC181" s="857"/>
    </row>
    <row r="182" spans="1:107" ht="18.75" customHeight="1">
      <c r="A182" s="17" t="s">
        <v>440</v>
      </c>
      <c r="B182" s="508">
        <v>42095</v>
      </c>
      <c r="C182" s="43">
        <f t="shared" si="97"/>
        <v>2015</v>
      </c>
      <c r="D182" s="719">
        <f t="shared" si="144"/>
        <v>15</v>
      </c>
      <c r="E182" s="972">
        <v>22</v>
      </c>
      <c r="F182" s="971">
        <v>4</v>
      </c>
      <c r="G182" s="971">
        <v>4</v>
      </c>
      <c r="H182" s="971">
        <v>0</v>
      </c>
      <c r="I182" s="976">
        <f t="shared" si="118"/>
        <v>30</v>
      </c>
      <c r="J182" s="621"/>
      <c r="K182" s="572">
        <f>INDEX(FX!$A$3:$C$362,MATCH(B182,FX!$A$3:$A$362,0),MATCH("Monthly Curve",FX!$A$2:$C$2,0))</f>
        <v>1.27908342062653</v>
      </c>
      <c r="L182" s="572"/>
      <c r="M182" s="1070">
        <v>3.5255000000000001</v>
      </c>
      <c r="N182" s="1071">
        <v>0.14499999999999999</v>
      </c>
      <c r="O182" s="877">
        <v>0.1</v>
      </c>
      <c r="P182" s="797">
        <f t="shared" si="99"/>
        <v>0.245</v>
      </c>
      <c r="Q182" s="732">
        <f t="shared" si="100"/>
        <v>3.7705000000000002</v>
      </c>
      <c r="R182" s="723">
        <f>IF(A182="January",(R181+R181*Assumptions!$E$32),R181)</f>
        <v>0.39627342630733287</v>
      </c>
      <c r="S182" s="730">
        <f t="shared" si="101"/>
        <v>5.2190574637796647</v>
      </c>
      <c r="T182" s="572"/>
      <c r="U182" s="507"/>
      <c r="V182" s="583"/>
      <c r="W182" s="583"/>
      <c r="X182" s="587"/>
      <c r="Y182" s="588">
        <f>Tables!$D$36</f>
        <v>312</v>
      </c>
      <c r="Z182" s="570">
        <f t="shared" si="102"/>
        <v>0</v>
      </c>
      <c r="AA182" s="592">
        <f t="shared" si="103"/>
        <v>0</v>
      </c>
      <c r="AB182" s="589">
        <f t="shared" si="98"/>
        <v>0</v>
      </c>
      <c r="AC182" s="462"/>
      <c r="AD182" s="1027">
        <f>IF(Tables!$E$30="Michigan",INDEX('Michigan Curve'!$A$4:$S$256,MATCH('Monthly Table'!B182,'Michigan Curve'!$A$4:$A$256,0),MATCH("Michigan Selected Option Value US$/month",'Michigan Curve'!$A$4:$S$4,0)),INDEX('NY Curve'!$A$4:$T$256,MATCH('Monthly Table'!B182,'NY Curve'!$A$4:$A$256,0),MATCH("New York Selected Option Value US$/month",'NY Curve'!$A$4:$T$4,0)))</f>
        <v>14159.8010121482</v>
      </c>
      <c r="AE182" s="601">
        <f t="shared" si="119"/>
        <v>18111.566714009521</v>
      </c>
      <c r="AF182" s="462"/>
      <c r="AG182" s="915"/>
      <c r="AH182" s="17"/>
      <c r="AI182" s="799">
        <f>Assumptions!$B$50</f>
        <v>65</v>
      </c>
      <c r="AJ182" s="743"/>
      <c r="AK182" s="924">
        <f>IF(Tables!$E$30="Custom",'Monthly Table'!AI182,IF(Tables!$E$30="New York",INDEX('NY Curve'!$A$4:$G$256,MATCH('Monthly Table'!B182,'NY Curve'!$A$4:$A$256,0),MATCH("Super Peak Curve",'NY Curve'!$A$4:$G$4,0)),IF(Tables!$E$30="New York Flat",INDEX('NY Curve'!$A$4:$G$256,MATCH('Monthly Table'!B182,'NY Curve'!$A$4:$A$256,0),MATCH("Flat NY West",'NY Curve'!$A$4:$G$4,0)),INDEX('Michigan Curve'!$A$4:$F$256,MATCH('Monthly Table'!B182,'Michigan Curve'!$A$4:$A$256,0),MATCH("Michigan Super Peak Curve US$/MWhr",'Michigan Curve'!$A$4:$F$4,0)))))</f>
        <v>30.75</v>
      </c>
      <c r="AL182" s="965">
        <f>IF(D182&lt;=Tables!$B$21,IF($AL$10=$AI$10,AI182,IF($AL$10=$AJ$10,AJ182,IF($AL$10=$AK$10,AK182,0))),0)</f>
        <v>30.75</v>
      </c>
      <c r="AM182" s="708">
        <f t="shared" si="120"/>
        <v>39.3318151842658</v>
      </c>
      <c r="AN182" s="916">
        <f t="shared" si="121"/>
        <v>0</v>
      </c>
      <c r="AO182" s="905"/>
      <c r="AP182" s="925"/>
      <c r="AQ182" s="926">
        <f>IF(Tables!$E$30="New York",INDEX('NY Curve'!$A$4:$L$256,MATCH('Monthly Table'!B182,'NY Curve'!$A$4:$A$256,0),MATCH("New York Shoulder Hour Curve Mon-Fri",'NY Curve'!$A$4:$L$4,0)),IF(Tables!$E$30="Michigan",INDEX('Michigan Curve'!$A$4:$K$256,MATCH('Monthly Table'!B182,'Michigan Curve'!$A$4:$A$256,0),MATCH("Michigan Shoulder Hour Curve Mon-Fri",'Michigan Curve'!$A$4:$K$4,0))))</f>
        <v>30.75</v>
      </c>
      <c r="AR182" s="708">
        <f t="shared" si="122"/>
        <v>39.3318151842658</v>
      </c>
      <c r="AS182" s="927">
        <f t="shared" si="109"/>
        <v>0</v>
      </c>
      <c r="AU182" s="926">
        <f>IF(Tables!$E$30="New York",INDEX('NY Curve'!$A$4:$L$256,MATCH('Monthly Table'!$B182,'NY Curve'!$A$4:$A$256,0),MATCH("New York Saturday Super Peak",'NY Curve'!$A$4:$L$4,0)),IF(Tables!$E$30="Michigan",INDEX('Michigan Curve'!$A$4:$K$256,MATCH('Monthly Table'!$B182,'Michigan Curve'!$A$4:$A$256,0),MATCH("Michigan Saturday Super Peak",'Michigan Curve'!$A$4:$K$4,0))))</f>
        <v>20</v>
      </c>
      <c r="AV182" s="925">
        <f t="shared" si="110"/>
        <v>25.5816684125306</v>
      </c>
      <c r="AW182" s="927">
        <f t="shared" si="111"/>
        <v>0</v>
      </c>
      <c r="AX182" s="926">
        <f>IF(Tables!$E$30="New York",INDEX('NY Curve'!$A$4:$L$256,MATCH('Monthly Table'!$B182,'NY Curve'!$A$4:$A$256,0),MATCH("New York Saturday Shoulder Peak",'NY Curve'!$A$4:$L$4,0)),IF(Tables!$E$30="Michigan",INDEX('Michigan Curve'!$A$4:$K$256,MATCH('Monthly Table'!$B182,'Michigan Curve'!$A$4:$A$256,0),MATCH("Michigan Saturday Shoulder Peak",'Michigan Curve'!$A$4:$K$4,0))))</f>
        <v>20</v>
      </c>
      <c r="AY182" s="934">
        <f t="shared" si="123"/>
        <v>25.5816684125306</v>
      </c>
      <c r="AZ182" s="927">
        <f t="shared" si="112"/>
        <v>0</v>
      </c>
      <c r="BB182" s="926">
        <f>IF(Tables!$E$30="New York",INDEX('NY Curve'!$A$4:$M$256,MATCH('Monthly Table'!$B182,'NY Curve'!$A$4:$A$256,0),MATCH("NY Sunday Super Peak",'NY Curve'!$A$4:$M$4,0)),IF(Tables!$E$30="Michigan",INDEX('Michigan Curve'!$A$4:$L$256,MATCH('Monthly Table'!$B182,'Michigan Curve'!$A$4:$A$256,0),MATCH("Michigan Sunday Super Peak",'Michigan Curve'!$A$4:$L$4,0))))</f>
        <v>18.995000839233398</v>
      </c>
      <c r="BC182" s="925">
        <f t="shared" si="124"/>
        <v>24.296190648250462</v>
      </c>
      <c r="BD182" s="927">
        <f t="shared" si="113"/>
        <v>0</v>
      </c>
      <c r="BF182" s="598">
        <f t="shared" si="104"/>
        <v>42095</v>
      </c>
      <c r="BG182" s="583">
        <f t="shared" si="125"/>
        <v>0</v>
      </c>
      <c r="BH182" s="764">
        <f>IF(Tables!$B$36="Combined Cycle",(BF182-BF181)*24*Assumptions!$B$21,0)</f>
        <v>0</v>
      </c>
      <c r="BI182" s="315">
        <f t="shared" si="126"/>
        <v>0</v>
      </c>
      <c r="BJ182" s="987">
        <f>IF('Monthly Table'!D182&lt;=Tables!$B$21,IF($BJ$10=$BG$10,BG182,IF($BJ$10=$BH$10,BH182,IF($BJ$10=$BI$10,BI182,0))),0)</f>
        <v>0</v>
      </c>
      <c r="BK182" s="43"/>
      <c r="BL182" s="987">
        <f t="shared" si="127"/>
        <v>0</v>
      </c>
      <c r="BM182" s="987">
        <f t="shared" si="128"/>
        <v>0</v>
      </c>
      <c r="BO182" s="987">
        <f t="shared" si="114"/>
        <v>0</v>
      </c>
      <c r="BP182" s="987">
        <f t="shared" si="129"/>
        <v>0</v>
      </c>
      <c r="BR182" s="993">
        <f>IF(BJ182&gt;0,INDEX(OperationalDetail,MATCH("Capacity Degradation",ODColumn,0),MATCH('Monthly Table'!C182,ODRow,0)),0)</f>
        <v>0</v>
      </c>
      <c r="BS182" s="994">
        <f>BJ182*(1-BR182)*Tables!$C$36</f>
        <v>0</v>
      </c>
      <c r="BT182" s="601">
        <f t="shared" si="115"/>
        <v>0</v>
      </c>
      <c r="BU182" s="601">
        <f t="shared" si="116"/>
        <v>0</v>
      </c>
      <c r="BV182" s="462"/>
      <c r="BW182" s="785">
        <f>$BO182*(1-$BR182)*Tables!$C$36</f>
        <v>0</v>
      </c>
      <c r="BX182" s="602">
        <f t="shared" si="130"/>
        <v>0</v>
      </c>
      <c r="BY182" s="601">
        <f t="shared" si="131"/>
        <v>0</v>
      </c>
      <c r="BZ182" s="462"/>
      <c r="CA182" s="785">
        <f>$BL182*(1-$BR182)*Tables!$C$36</f>
        <v>0</v>
      </c>
      <c r="CB182" s="602">
        <f t="shared" si="132"/>
        <v>0</v>
      </c>
      <c r="CC182" s="601">
        <f t="shared" si="133"/>
        <v>0</v>
      </c>
      <c r="CD182" s="785">
        <f>$BP182*(1-$BR182)*Tables!$C$36</f>
        <v>0</v>
      </c>
      <c r="CE182" s="602">
        <f t="shared" si="134"/>
        <v>0</v>
      </c>
      <c r="CF182" s="601">
        <f t="shared" si="135"/>
        <v>0</v>
      </c>
      <c r="CH182" s="785">
        <f>$BM182*(1-$BR182)*Tables!$C$36</f>
        <v>0</v>
      </c>
      <c r="CI182" s="602">
        <f t="shared" si="136"/>
        <v>0</v>
      </c>
      <c r="CJ182" s="601">
        <f t="shared" si="137"/>
        <v>0</v>
      </c>
      <c r="CK182" s="304"/>
      <c r="CL182" s="304">
        <f t="shared" si="138"/>
        <v>2014</v>
      </c>
      <c r="CM182" s="1018">
        <f>INDEX(OperationalDetail,MATCH("Degraded Heat Rate",ODColumn,0),MATCH('Monthly Table'!CL182,ODRow,0))/1000</f>
        <v>11.990258799999999</v>
      </c>
      <c r="CN182" s="737">
        <f t="shared" si="117"/>
        <v>62.577849682789804</v>
      </c>
      <c r="CO182" s="1019">
        <f>IF(A182="January",(CO181*(1+Assumptions!$E$32)),CO181)</f>
        <v>8.8875141434553626</v>
      </c>
      <c r="CP182" s="741">
        <f t="shared" si="105"/>
        <v>71.465363826245166</v>
      </c>
      <c r="CQ182" s="304"/>
      <c r="CR182" s="575" t="str">
        <f t="shared" si="139"/>
        <v/>
      </c>
      <c r="CS182" s="575" t="str">
        <f t="shared" si="140"/>
        <v/>
      </c>
      <c r="CT182" s="575" t="str">
        <f t="shared" si="141"/>
        <v/>
      </c>
      <c r="CU182" s="575" t="str">
        <f t="shared" si="142"/>
        <v/>
      </c>
      <c r="CV182" s="575" t="str">
        <f t="shared" si="143"/>
        <v/>
      </c>
      <c r="CW182" s="576">
        <f t="shared" si="106"/>
        <v>2015</v>
      </c>
      <c r="CX182" s="787">
        <f>INDEX('NY Curve'!$A$4:$G$256,MATCH('Monthly Table'!B182,'NY Curve'!$A$4:$A$256,0),MATCH("New York 5 X 16",'NY Curve'!$A$4:$G$4,0))</f>
        <v>27.7</v>
      </c>
      <c r="CY182" s="632">
        <f t="shared" si="107"/>
        <v>1.27908342062653</v>
      </c>
      <c r="CZ182" s="633">
        <f t="shared" si="108"/>
        <v>35.430610751354884</v>
      </c>
      <c r="DB182" s="857"/>
      <c r="DC182" s="857"/>
    </row>
    <row r="183" spans="1:107" ht="18.75" customHeight="1">
      <c r="A183" s="17" t="s">
        <v>441</v>
      </c>
      <c r="B183" s="508">
        <v>42125</v>
      </c>
      <c r="C183" s="43">
        <f t="shared" si="97"/>
        <v>2015</v>
      </c>
      <c r="D183" s="719">
        <f t="shared" si="144"/>
        <v>15</v>
      </c>
      <c r="E183" s="972">
        <v>20</v>
      </c>
      <c r="F183" s="971">
        <v>5</v>
      </c>
      <c r="G183" s="971">
        <v>5</v>
      </c>
      <c r="H183" s="971">
        <v>1</v>
      </c>
      <c r="I183" s="976">
        <f t="shared" si="118"/>
        <v>31</v>
      </c>
      <c r="J183" s="621"/>
      <c r="K183" s="572">
        <f>INDEX(FX!$A$3:$C$362,MATCH(B183,FX!$A$3:$A$362,0),MATCH("Monthly Curve",FX!$A$2:$C$2,0))</f>
        <v>1.2784222804232099</v>
      </c>
      <c r="L183" s="572"/>
      <c r="M183" s="1070">
        <v>3.4994999999999998</v>
      </c>
      <c r="N183" s="1071">
        <v>0.14499999999999999</v>
      </c>
      <c r="O183" s="877">
        <v>0.1</v>
      </c>
      <c r="P183" s="797">
        <f t="shared" si="99"/>
        <v>0.245</v>
      </c>
      <c r="Q183" s="732">
        <f t="shared" si="100"/>
        <v>3.7444999999999999</v>
      </c>
      <c r="R183" s="723">
        <f>IF(A183="January",(R182+R182*Assumptions!$E$32),R182)</f>
        <v>0.39627342630733287</v>
      </c>
      <c r="S183" s="730">
        <f t="shared" si="101"/>
        <v>5.1833256553520428</v>
      </c>
      <c r="T183" s="572"/>
      <c r="U183" s="507"/>
      <c r="V183" s="583"/>
      <c r="W183" s="583"/>
      <c r="X183" s="587"/>
      <c r="Y183" s="588">
        <f>Tables!$D$36</f>
        <v>312</v>
      </c>
      <c r="Z183" s="570">
        <f t="shared" si="102"/>
        <v>0</v>
      </c>
      <c r="AA183" s="592">
        <f t="shared" si="103"/>
        <v>0</v>
      </c>
      <c r="AB183" s="589">
        <f t="shared" si="98"/>
        <v>0</v>
      </c>
      <c r="AC183" s="462"/>
      <c r="AD183" s="1027">
        <f>IF(Tables!$E$30="Michigan",INDEX('Michigan Curve'!$A$4:$S$256,MATCH('Monthly Table'!B183,'Michigan Curve'!$A$4:$A$256,0),MATCH("Michigan Selected Option Value US$/month",'Michigan Curve'!$A$4:$S$4,0)),INDEX('NY Curve'!$A$4:$T$256,MATCH('Monthly Table'!B183,'NY Curve'!$A$4:$A$256,0),MATCH("New York Selected Option Value US$/month",'NY Curve'!$A$4:$T$4,0)))</f>
        <v>20981.101073426671</v>
      </c>
      <c r="AE183" s="601">
        <f t="shared" si="119"/>
        <v>26822.707080079981</v>
      </c>
      <c r="AF183" s="462"/>
      <c r="AG183" s="915"/>
      <c r="AH183" s="17"/>
      <c r="AI183" s="799">
        <f>Assumptions!$B$50</f>
        <v>65</v>
      </c>
      <c r="AJ183" s="743"/>
      <c r="AK183" s="924">
        <f>IF(Tables!$E$30="Custom",'Monthly Table'!AI183,IF(Tables!$E$30="New York",INDEX('NY Curve'!$A$4:$G$256,MATCH('Monthly Table'!B183,'NY Curve'!$A$4:$A$256,0),MATCH("Super Peak Curve",'NY Curve'!$A$4:$G$4,0)),IF(Tables!$E$30="New York Flat",INDEX('NY Curve'!$A$4:$G$256,MATCH('Monthly Table'!B183,'NY Curve'!$A$4:$A$256,0),MATCH("Flat NY West",'NY Curve'!$A$4:$G$4,0)),INDEX('Michigan Curve'!$A$4:$F$256,MATCH('Monthly Table'!B183,'Michigan Curve'!$A$4:$A$256,0),MATCH("Michigan Super Peak Curve US$/MWhr",'Michigan Curve'!$A$4:$F$4,0)))))</f>
        <v>37.130625061690807</v>
      </c>
      <c r="AL183" s="965">
        <f>IF(D183&lt;=Tables!$B$21,IF($AL$10=$AI$10,AI183,IF($AL$10=$AJ$10,AJ183,IF($AL$10=$AK$10,AK183,0))),0)</f>
        <v>37.130625061690807</v>
      </c>
      <c r="AM183" s="708">
        <f t="shared" si="120"/>
        <v>47.46861836490595</v>
      </c>
      <c r="AN183" s="916">
        <f t="shared" si="121"/>
        <v>0</v>
      </c>
      <c r="AO183" s="905"/>
      <c r="AP183" s="925"/>
      <c r="AQ183" s="926">
        <f>IF(Tables!$E$30="New York",INDEX('NY Curve'!$A$4:$L$256,MATCH('Monthly Table'!B183,'NY Curve'!$A$4:$A$256,0),MATCH("New York Shoulder Hour Curve Mon-Fri",'NY Curve'!$A$4:$L$4,0)),IF(Tables!$E$30="Michigan",INDEX('Michigan Curve'!$A$4:$K$256,MATCH('Monthly Table'!B183,'Michigan Curve'!$A$4:$A$256,0),MATCH("Michigan Shoulder Hour Curve Mon-Fri",'Michigan Curve'!$A$4:$K$4,0))))</f>
        <v>31.869374938309193</v>
      </c>
      <c r="AR183" s="708">
        <f t="shared" si="122"/>
        <v>40.742518984295536</v>
      </c>
      <c r="AS183" s="927">
        <f t="shared" si="109"/>
        <v>0</v>
      </c>
      <c r="AU183" s="926">
        <f>IF(Tables!$E$30="New York",INDEX('NY Curve'!$A$4:$L$256,MATCH('Monthly Table'!$B183,'NY Curve'!$A$4:$A$256,0),MATCH("New York Saturday Super Peak",'NY Curve'!$A$4:$L$4,0)),IF(Tables!$E$30="Michigan",INDEX('Michigan Curve'!$A$4:$K$256,MATCH('Monthly Table'!$B183,'Michigan Curve'!$A$4:$A$256,0),MATCH("Michigan Saturday Super Peak",'Michigan Curve'!$A$4:$K$4,0))))</f>
        <v>22.601250037550926</v>
      </c>
      <c r="AV183" s="925">
        <f t="shared" si="110"/>
        <v>28.893941613421013</v>
      </c>
      <c r="AW183" s="927">
        <f t="shared" si="111"/>
        <v>0</v>
      </c>
      <c r="AX183" s="926">
        <f>IF(Tables!$E$30="New York",INDEX('NY Curve'!$A$4:$L$256,MATCH('Monthly Table'!$B183,'NY Curve'!$A$4:$A$256,0),MATCH("New York Saturday Shoulder Peak",'NY Curve'!$A$4:$L$4,0)),IF(Tables!$E$30="Michigan",INDEX('Michigan Curve'!$A$4:$K$256,MATCH('Monthly Table'!$B183,'Michigan Curve'!$A$4:$A$256,0),MATCH("Michigan Saturday Shoulder Peak",'Michigan Curve'!$A$4:$K$4,0))))</f>
        <v>19.398749962449074</v>
      </c>
      <c r="AY183" s="934">
        <f t="shared" si="123"/>
        <v>24.799794164353802</v>
      </c>
      <c r="AZ183" s="927">
        <f t="shared" si="112"/>
        <v>0</v>
      </c>
      <c r="BB183" s="926">
        <f>IF(Tables!$E$30="New York",INDEX('NY Curve'!$A$4:$M$256,MATCH('Monthly Table'!$B183,'NY Curve'!$A$4:$A$256,0),MATCH("NY Sunday Super Peak",'NY Curve'!$A$4:$M$4,0)),IF(Tables!$E$30="Michigan",INDEX('Michigan Curve'!$A$4:$L$256,MATCH('Monthly Table'!$B183,'Michigan Curve'!$A$4:$A$256,0),MATCH("Michigan Sunday Super Peak",'Michigan Curve'!$A$4:$L$4,0))))</f>
        <v>21.530380382546781</v>
      </c>
      <c r="BC183" s="925">
        <f t="shared" si="124"/>
        <v>27.524917987034598</v>
      </c>
      <c r="BD183" s="927">
        <f t="shared" si="113"/>
        <v>0</v>
      </c>
      <c r="BF183" s="598">
        <f t="shared" si="104"/>
        <v>42125</v>
      </c>
      <c r="BG183" s="583">
        <f t="shared" si="125"/>
        <v>0</v>
      </c>
      <c r="BH183" s="764">
        <f>IF(Tables!$B$36="Combined Cycle",(BF183-BF182)*24*Assumptions!$B$21,0)</f>
        <v>0</v>
      </c>
      <c r="BI183" s="315">
        <f t="shared" si="126"/>
        <v>0</v>
      </c>
      <c r="BJ183" s="987">
        <f>IF('Monthly Table'!D183&lt;=Tables!$B$21,IF($BJ$10=$BG$10,BG183,IF($BJ$10=$BH$10,BH183,IF($BJ$10=$BI$10,BI183,0))),0)</f>
        <v>0</v>
      </c>
      <c r="BK183" s="43"/>
      <c r="BL183" s="987">
        <f t="shared" si="127"/>
        <v>0</v>
      </c>
      <c r="BM183" s="987">
        <f t="shared" si="128"/>
        <v>0</v>
      </c>
      <c r="BO183" s="987">
        <f t="shared" si="114"/>
        <v>0</v>
      </c>
      <c r="BP183" s="987">
        <f t="shared" si="129"/>
        <v>0</v>
      </c>
      <c r="BR183" s="993">
        <f>IF(BJ183&gt;0,INDEX(OperationalDetail,MATCH("Capacity Degradation",ODColumn,0),MATCH('Monthly Table'!C183,ODRow,0)),0)</f>
        <v>0</v>
      </c>
      <c r="BS183" s="994">
        <f>BJ183*(1-BR183)*Tables!$C$36</f>
        <v>0</v>
      </c>
      <c r="BT183" s="601">
        <f t="shared" si="115"/>
        <v>0</v>
      </c>
      <c r="BU183" s="601">
        <f t="shared" si="116"/>
        <v>0</v>
      </c>
      <c r="BV183" s="462"/>
      <c r="BW183" s="785">
        <f>$BO183*(1-$BR183)*Tables!$C$36</f>
        <v>0</v>
      </c>
      <c r="BX183" s="602">
        <f t="shared" si="130"/>
        <v>0</v>
      </c>
      <c r="BY183" s="601">
        <f t="shared" si="131"/>
        <v>0</v>
      </c>
      <c r="BZ183" s="462"/>
      <c r="CA183" s="785">
        <f>$BL183*(1-$BR183)*Tables!$C$36</f>
        <v>0</v>
      </c>
      <c r="CB183" s="602">
        <f t="shared" si="132"/>
        <v>0</v>
      </c>
      <c r="CC183" s="601">
        <f t="shared" si="133"/>
        <v>0</v>
      </c>
      <c r="CD183" s="785">
        <f>$BP183*(1-$BR183)*Tables!$C$36</f>
        <v>0</v>
      </c>
      <c r="CE183" s="602">
        <f t="shared" si="134"/>
        <v>0</v>
      </c>
      <c r="CF183" s="601">
        <f t="shared" si="135"/>
        <v>0</v>
      </c>
      <c r="CH183" s="785">
        <f>$BM183*(1-$BR183)*Tables!$C$36</f>
        <v>0</v>
      </c>
      <c r="CI183" s="602">
        <f t="shared" si="136"/>
        <v>0</v>
      </c>
      <c r="CJ183" s="601">
        <f t="shared" si="137"/>
        <v>0</v>
      </c>
      <c r="CK183" s="304"/>
      <c r="CL183" s="304">
        <f t="shared" si="138"/>
        <v>2014</v>
      </c>
      <c r="CM183" s="1018">
        <f>INDEX(OperationalDetail,MATCH("Degraded Heat Rate",ODColumn,0),MATCH('Monthly Table'!CL183,ODRow,0))/1000</f>
        <v>11.990258799999999</v>
      </c>
      <c r="CN183" s="737">
        <f t="shared" si="117"/>
        <v>62.149416052350595</v>
      </c>
      <c r="CO183" s="1019">
        <f>IF(A183="January",(CO182*(1+Assumptions!$E$32)),CO182)</f>
        <v>8.8875141434553626</v>
      </c>
      <c r="CP183" s="741">
        <f t="shared" si="105"/>
        <v>71.036930195805951</v>
      </c>
      <c r="CQ183" s="304"/>
      <c r="CR183" s="575" t="str">
        <f t="shared" si="139"/>
        <v/>
      </c>
      <c r="CS183" s="575" t="str">
        <f t="shared" si="140"/>
        <v/>
      </c>
      <c r="CT183" s="575" t="str">
        <f t="shared" si="141"/>
        <v/>
      </c>
      <c r="CU183" s="575" t="str">
        <f t="shared" si="142"/>
        <v/>
      </c>
      <c r="CV183" s="575" t="str">
        <f t="shared" si="143"/>
        <v/>
      </c>
      <c r="CW183" s="576">
        <f t="shared" si="106"/>
        <v>2015</v>
      </c>
      <c r="CX183" s="787">
        <f>INDEX('NY Curve'!$A$4:$G$256,MATCH('Monthly Table'!B183,'NY Curve'!$A$4:$A$256,0),MATCH("New York 5 X 16",'NY Curve'!$A$4:$G$4,0))</f>
        <v>33.15</v>
      </c>
      <c r="CY183" s="632">
        <f t="shared" si="107"/>
        <v>1.2784222804232099</v>
      </c>
      <c r="CZ183" s="633">
        <f t="shared" si="108"/>
        <v>42.379698596029407</v>
      </c>
      <c r="DB183" s="857"/>
      <c r="DC183" s="857"/>
    </row>
    <row r="184" spans="1:107" ht="18.75" customHeight="1">
      <c r="A184" s="17" t="s">
        <v>442</v>
      </c>
      <c r="B184" s="508">
        <v>42156</v>
      </c>
      <c r="C184" s="43">
        <f t="shared" si="97"/>
        <v>2015</v>
      </c>
      <c r="D184" s="719">
        <f t="shared" si="144"/>
        <v>15</v>
      </c>
      <c r="E184" s="972">
        <v>22</v>
      </c>
      <c r="F184" s="971">
        <v>4</v>
      </c>
      <c r="G184" s="971">
        <v>4</v>
      </c>
      <c r="H184" s="971">
        <v>0</v>
      </c>
      <c r="I184" s="976">
        <f t="shared" si="118"/>
        <v>30</v>
      </c>
      <c r="J184" s="621"/>
      <c r="K184" s="572">
        <f>INDEX(FX!$A$3:$C$362,MATCH(B184,FX!$A$3:$A$362,0),MATCH("Monthly Curve",FX!$A$2:$C$2,0))</f>
        <v>1.27776071532541</v>
      </c>
      <c r="L184" s="572"/>
      <c r="M184" s="1070">
        <v>3.5085000000000002</v>
      </c>
      <c r="N184" s="1071">
        <v>0.14499999999999999</v>
      </c>
      <c r="O184" s="877">
        <v>0.1</v>
      </c>
      <c r="P184" s="797">
        <f t="shared" si="99"/>
        <v>0.245</v>
      </c>
      <c r="Q184" s="732">
        <f t="shared" si="100"/>
        <v>3.7535000000000003</v>
      </c>
      <c r="R184" s="723">
        <f>IF(A184="January",(R183+R183*Assumptions!$E$32),R183)</f>
        <v>0.39627342630733287</v>
      </c>
      <c r="S184" s="730">
        <f t="shared" si="101"/>
        <v>5.1923482712812596</v>
      </c>
      <c r="T184" s="572"/>
      <c r="U184" s="507"/>
      <c r="V184" s="583"/>
      <c r="W184" s="583"/>
      <c r="X184" s="587"/>
      <c r="Y184" s="588">
        <f>Tables!$D$36</f>
        <v>312</v>
      </c>
      <c r="Z184" s="570">
        <f t="shared" si="102"/>
        <v>0</v>
      </c>
      <c r="AA184" s="592">
        <f t="shared" si="103"/>
        <v>0</v>
      </c>
      <c r="AB184" s="589">
        <f t="shared" si="98"/>
        <v>0</v>
      </c>
      <c r="AC184" s="462"/>
      <c r="AD184" s="1027">
        <f>IF(Tables!$E$30="Michigan",INDEX('Michigan Curve'!$A$4:$S$256,MATCH('Monthly Table'!B184,'Michigan Curve'!$A$4:$A$256,0),MATCH("Michigan Selected Option Value US$/month",'Michigan Curve'!$A$4:$S$4,0)),INDEX('NY Curve'!$A$4:$T$256,MATCH('Monthly Table'!B184,'NY Curve'!$A$4:$A$256,0),MATCH("New York Selected Option Value US$/month",'NY Curve'!$A$4:$T$4,0)))</f>
        <v>103121.02301234961</v>
      </c>
      <c r="AE184" s="601">
        <f t="shared" si="119"/>
        <v>131763.9921293479</v>
      </c>
      <c r="AF184" s="462"/>
      <c r="AG184" s="915"/>
      <c r="AH184" s="17"/>
      <c r="AI184" s="799">
        <f>Assumptions!$B$50</f>
        <v>65</v>
      </c>
      <c r="AJ184" s="743"/>
      <c r="AK184" s="924">
        <f>IF(Tables!$E$30="Custom",'Monthly Table'!AI184,IF(Tables!$E$30="New York",INDEX('NY Curve'!$A$4:$G$256,MATCH('Monthly Table'!B184,'NY Curve'!$A$4:$A$256,0),MATCH("Super Peak Curve",'NY Curve'!$A$4:$G$4,0)),IF(Tables!$E$30="New York Flat",INDEX('NY Curve'!$A$4:$G$256,MATCH('Monthly Table'!B184,'NY Curve'!$A$4:$A$256,0),MATCH("Flat NY West",'NY Curve'!$A$4:$G$4,0)),INDEX('Michigan Curve'!$A$4:$F$256,MATCH('Monthly Table'!B184,'Michigan Curve'!$A$4:$A$256,0),MATCH("Michigan Super Peak Curve US$/MWhr",'Michigan Curve'!$A$4:$F$4,0)))))</f>
        <v>88.834527500000007</v>
      </c>
      <c r="AL184" s="965">
        <f>IF(D184&lt;=Tables!$B$21,IF($AL$10=$AI$10,AI184,IF($AL$10=$AJ$10,AJ184,IF($AL$10=$AK$10,AK184,0))),0)</f>
        <v>88.834527500000007</v>
      </c>
      <c r="AM184" s="708">
        <f t="shared" si="120"/>
        <v>113.50926940399482</v>
      </c>
      <c r="AN184" s="916">
        <f t="shared" si="121"/>
        <v>1</v>
      </c>
      <c r="AO184" s="905"/>
      <c r="AP184" s="925"/>
      <c r="AQ184" s="926">
        <f>IF(Tables!$E$30="New York",INDEX('NY Curve'!$A$4:$L$256,MATCH('Monthly Table'!B184,'NY Curve'!$A$4:$A$256,0),MATCH("New York Shoulder Hour Curve Mon-Fri",'NY Curve'!$A$4:$L$4,0)),IF(Tables!$E$30="Michigan",INDEX('Michigan Curve'!$A$4:$K$256,MATCH('Monthly Table'!B184,'Michigan Curve'!$A$4:$A$256,0),MATCH("Michigan Shoulder Hour Curve Mon-Fri",'Michigan Curve'!$A$4:$K$4,0))))</f>
        <v>23.665472499999996</v>
      </c>
      <c r="AR184" s="708">
        <f t="shared" si="122"/>
        <v>30.238811070113815</v>
      </c>
      <c r="AS184" s="927">
        <f t="shared" si="109"/>
        <v>0</v>
      </c>
      <c r="AU184" s="926">
        <f>IF(Tables!$E$30="New York",INDEX('NY Curve'!$A$4:$L$256,MATCH('Monthly Table'!$B184,'NY Curve'!$A$4:$A$256,0),MATCH("New York Saturday Super Peak",'NY Curve'!$A$4:$L$4,0)),IF(Tables!$E$30="Michigan",INDEX('Michigan Curve'!$A$4:$K$256,MATCH('Monthly Table'!$B184,'Michigan Curve'!$A$4:$A$256,0),MATCH("Michigan Saturday Super Peak",'Michigan Curve'!$A$4:$K$4,0))))</f>
        <v>41.061292711111115</v>
      </c>
      <c r="AV184" s="925">
        <f t="shared" si="110"/>
        <v>52.466506746735384</v>
      </c>
      <c r="AW184" s="927">
        <f t="shared" si="111"/>
        <v>0</v>
      </c>
      <c r="AX184" s="926">
        <f>IF(Tables!$E$30="New York",INDEX('NY Curve'!$A$4:$L$256,MATCH('Monthly Table'!$B184,'NY Curve'!$A$4:$A$256,0),MATCH("New York Saturday Shoulder Peak",'NY Curve'!$A$4:$L$4,0)),IF(Tables!$E$30="Michigan",INDEX('Michigan Curve'!$A$4:$K$256,MATCH('Monthly Table'!$B184,'Michigan Curve'!$A$4:$A$256,0),MATCH("Michigan Saturday Shoulder Peak",'Michigan Curve'!$A$4:$K$4,0))))</f>
        <v>10.938707288888887</v>
      </c>
      <c r="AY184" s="934">
        <f t="shared" si="123"/>
        <v>13.97705045018594</v>
      </c>
      <c r="AZ184" s="927">
        <f t="shared" si="112"/>
        <v>0</v>
      </c>
      <c r="BB184" s="926">
        <f>IF(Tables!$E$30="New York",INDEX('NY Curve'!$A$4:$M$256,MATCH('Monthly Table'!$B184,'NY Curve'!$A$4:$A$256,0),MATCH("NY Sunday Super Peak",'NY Curve'!$A$4:$M$4,0)),IF(Tables!$E$30="Michigan",INDEX('Michigan Curve'!$A$4:$L$256,MATCH('Monthly Table'!$B184,'Michigan Curve'!$A$4:$A$256,0),MATCH("Michigan Sunday Super Peak",'Michigan Curve'!$A$4:$L$4,0))))</f>
        <v>37.902731733333333</v>
      </c>
      <c r="BC184" s="925">
        <f t="shared" si="124"/>
        <v>48.43062161237112</v>
      </c>
      <c r="BD184" s="927">
        <f t="shared" si="113"/>
        <v>0</v>
      </c>
      <c r="BF184" s="598">
        <f t="shared" si="104"/>
        <v>42156</v>
      </c>
      <c r="BG184" s="583">
        <f t="shared" si="125"/>
        <v>176</v>
      </c>
      <c r="BH184" s="764">
        <f>IF(Tables!$B$36="Combined Cycle",(BF184-BF183)*24*Assumptions!$B$21,0)</f>
        <v>0</v>
      </c>
      <c r="BI184" s="315">
        <f t="shared" si="126"/>
        <v>176</v>
      </c>
      <c r="BJ184" s="987">
        <f>IF('Monthly Table'!D184&lt;=Tables!$B$21,IF($BJ$10=$BG$10,BG184,IF($BJ$10=$BH$10,BH184,IF($BJ$10=$BI$10,BI184,0))),0)</f>
        <v>176</v>
      </c>
      <c r="BK184" s="43"/>
      <c r="BL184" s="987">
        <f t="shared" si="127"/>
        <v>0</v>
      </c>
      <c r="BM184" s="987">
        <f t="shared" si="128"/>
        <v>0</v>
      </c>
      <c r="BO184" s="987">
        <f t="shared" si="114"/>
        <v>0</v>
      </c>
      <c r="BP184" s="987">
        <f t="shared" si="129"/>
        <v>0</v>
      </c>
      <c r="BR184" s="993">
        <f>IF(BJ184&gt;0,INDEX(OperationalDetail,MATCH("Capacity Degradation",ODColumn,0),MATCH('Monthly Table'!C184,ODRow,0)),0)</f>
        <v>5.0200000000000002E-3</v>
      </c>
      <c r="BS184" s="994">
        <f>BJ184*(1-BR184)*Tables!$C$36</f>
        <v>56737.739519999996</v>
      </c>
      <c r="BT184" s="601">
        <f t="shared" si="115"/>
        <v>5040.2702816772771</v>
      </c>
      <c r="BU184" s="601">
        <f t="shared" si="116"/>
        <v>6440.2593605493639</v>
      </c>
      <c r="BV184" s="462"/>
      <c r="BW184" s="785">
        <f>$BO184*(1-$BR184)*Tables!$C$36</f>
        <v>0</v>
      </c>
      <c r="BX184" s="602">
        <f t="shared" si="130"/>
        <v>0</v>
      </c>
      <c r="BY184" s="601">
        <f t="shared" si="131"/>
        <v>0</v>
      </c>
      <c r="BZ184" s="462"/>
      <c r="CA184" s="785">
        <f>$BL184*(1-$BR184)*Tables!$C$36</f>
        <v>0</v>
      </c>
      <c r="CB184" s="602">
        <f t="shared" si="132"/>
        <v>0</v>
      </c>
      <c r="CC184" s="601">
        <f t="shared" si="133"/>
        <v>0</v>
      </c>
      <c r="CD184" s="785">
        <f>$BP184*(1-$BR184)*Tables!$C$36</f>
        <v>0</v>
      </c>
      <c r="CE184" s="602">
        <f t="shared" si="134"/>
        <v>0</v>
      </c>
      <c r="CF184" s="601">
        <f t="shared" si="135"/>
        <v>0</v>
      </c>
      <c r="CH184" s="785">
        <f>$BM184*(1-$BR184)*Tables!$C$36</f>
        <v>0</v>
      </c>
      <c r="CI184" s="602">
        <f t="shared" si="136"/>
        <v>0</v>
      </c>
      <c r="CJ184" s="601">
        <f t="shared" si="137"/>
        <v>0</v>
      </c>
      <c r="CK184" s="304"/>
      <c r="CL184" s="304">
        <f t="shared" si="138"/>
        <v>2014</v>
      </c>
      <c r="CM184" s="1018">
        <f>INDEX(OperationalDetail,MATCH("Degraded Heat Rate",ODColumn,0),MATCH('Monthly Table'!CL184,ODRow,0))/1000</f>
        <v>11.990258799999999</v>
      </c>
      <c r="CN184" s="737">
        <f t="shared" si="117"/>
        <v>62.257599552394908</v>
      </c>
      <c r="CO184" s="1019">
        <f>IF(A184="January",(CO183*(1+Assumptions!$E$32)),CO183)</f>
        <v>8.8875141434553626</v>
      </c>
      <c r="CP184" s="741">
        <f t="shared" si="105"/>
        <v>71.14511369585027</v>
      </c>
      <c r="CQ184" s="304"/>
      <c r="CR184" s="575">
        <f t="shared" si="139"/>
        <v>2015</v>
      </c>
      <c r="CS184" s="575" t="str">
        <f t="shared" si="140"/>
        <v/>
      </c>
      <c r="CT184" s="575" t="str">
        <f t="shared" si="141"/>
        <v/>
      </c>
      <c r="CU184" s="575" t="str">
        <f t="shared" si="142"/>
        <v/>
      </c>
      <c r="CV184" s="575" t="str">
        <f t="shared" si="143"/>
        <v/>
      </c>
      <c r="CW184" s="576">
        <f t="shared" si="106"/>
        <v>2015</v>
      </c>
      <c r="CX184" s="787">
        <f>INDEX('NY Curve'!$A$4:$G$256,MATCH('Monthly Table'!B184,'NY Curve'!$A$4:$A$256,0),MATCH("New York 5 X 16",'NY Curve'!$A$4:$G$4,0))</f>
        <v>56.25</v>
      </c>
      <c r="CY184" s="632">
        <f t="shared" si="107"/>
        <v>1.27776071532541</v>
      </c>
      <c r="CZ184" s="633">
        <f t="shared" si="108"/>
        <v>71.874040237054317</v>
      </c>
      <c r="DB184" s="857"/>
      <c r="DC184" s="857"/>
    </row>
    <row r="185" spans="1:107" ht="18.75" customHeight="1">
      <c r="A185" s="17" t="s">
        <v>443</v>
      </c>
      <c r="B185" s="508">
        <v>42186</v>
      </c>
      <c r="C185" s="43">
        <f t="shared" si="97"/>
        <v>2015</v>
      </c>
      <c r="D185" s="719">
        <f t="shared" si="144"/>
        <v>15</v>
      </c>
      <c r="E185" s="972">
        <v>23</v>
      </c>
      <c r="F185" s="971">
        <v>3</v>
      </c>
      <c r="G185" s="971">
        <v>4</v>
      </c>
      <c r="H185" s="971">
        <v>1</v>
      </c>
      <c r="I185" s="976">
        <f t="shared" si="118"/>
        <v>31</v>
      </c>
      <c r="J185" s="621"/>
      <c r="K185" s="572">
        <f>INDEX(FX!$A$3:$C$362,MATCH(B185,FX!$A$3:$A$362,0),MATCH("Monthly Curve",FX!$A$2:$C$2,0))</f>
        <v>1.27712356162318</v>
      </c>
      <c r="L185" s="572"/>
      <c r="M185" s="1070">
        <v>3.5175000000000001</v>
      </c>
      <c r="N185" s="1071">
        <v>0.14499999999999999</v>
      </c>
      <c r="O185" s="877">
        <v>0.1</v>
      </c>
      <c r="P185" s="797">
        <f t="shared" si="99"/>
        <v>0.245</v>
      </c>
      <c r="Q185" s="732">
        <f t="shared" si="100"/>
        <v>3.7625000000000002</v>
      </c>
      <c r="R185" s="723">
        <f>IF(A185="January",(R184+R184*Assumptions!$E$32),R184)</f>
        <v>0.39627342630733287</v>
      </c>
      <c r="S185" s="730">
        <f t="shared" si="101"/>
        <v>5.201450826914547</v>
      </c>
      <c r="T185" s="572"/>
      <c r="U185" s="507"/>
      <c r="V185" s="583"/>
      <c r="W185" s="583"/>
      <c r="X185" s="587"/>
      <c r="Y185" s="588">
        <f>Tables!$D$36</f>
        <v>312</v>
      </c>
      <c r="Z185" s="570">
        <f t="shared" si="102"/>
        <v>0</v>
      </c>
      <c r="AA185" s="592">
        <f t="shared" si="103"/>
        <v>0</v>
      </c>
      <c r="AB185" s="589">
        <f t="shared" si="98"/>
        <v>0</v>
      </c>
      <c r="AC185" s="462"/>
      <c r="AD185" s="1027">
        <f>IF(Tables!$E$30="Michigan",INDEX('Michigan Curve'!$A$4:$S$256,MATCH('Monthly Table'!B185,'Michigan Curve'!$A$4:$A$256,0),MATCH("Michigan Selected Option Value US$/month",'Michigan Curve'!$A$4:$S$4,0)),INDEX('NY Curve'!$A$4:$T$256,MATCH('Monthly Table'!B185,'NY Curve'!$A$4:$A$256,0),MATCH("New York Selected Option Value US$/month",'NY Curve'!$A$4:$T$4,0)))</f>
        <v>268664.3758863695</v>
      </c>
      <c r="AE185" s="601">
        <f t="shared" si="119"/>
        <v>343117.60461326898</v>
      </c>
      <c r="AF185" s="462"/>
      <c r="AG185" s="915"/>
      <c r="AH185" s="17"/>
      <c r="AI185" s="799">
        <f>Assumptions!$B$50</f>
        <v>65</v>
      </c>
      <c r="AJ185" s="743"/>
      <c r="AK185" s="924">
        <f>IF(Tables!$E$30="Custom",'Monthly Table'!AI185,IF(Tables!$E$30="New York",INDEX('NY Curve'!$A$4:$G$256,MATCH('Monthly Table'!B185,'NY Curve'!$A$4:$A$256,0),MATCH("Super Peak Curve",'NY Curve'!$A$4:$G$4,0)),IF(Tables!$E$30="New York Flat",INDEX('NY Curve'!$A$4:$G$256,MATCH('Monthly Table'!B185,'NY Curve'!$A$4:$A$256,0),MATCH("Flat NY West",'NY Curve'!$A$4:$G$4,0)),INDEX('Michigan Curve'!$A$4:$F$256,MATCH('Monthly Table'!B185,'Michigan Curve'!$A$4:$A$256,0),MATCH("Michigan Super Peak Curve US$/MWhr",'Michigan Curve'!$A$4:$F$4,0)))))</f>
        <v>171.81107675843489</v>
      </c>
      <c r="AL185" s="965">
        <f>IF(D185&lt;=Tables!$B$21,IF($AL$10=$AI$10,AI185,IF($AL$10=$AJ$10,AJ185,IF($AL$10=$AK$10,AK185,0))),0)</f>
        <v>171.81107675843489</v>
      </c>
      <c r="AM185" s="708">
        <f t="shared" si="120"/>
        <v>219.42397427604593</v>
      </c>
      <c r="AN185" s="916">
        <f t="shared" si="121"/>
        <v>1</v>
      </c>
      <c r="AO185" s="905"/>
      <c r="AP185" s="925"/>
      <c r="AQ185" s="926">
        <f>IF(Tables!$E$30="New York",INDEX('NY Curve'!$A$4:$L$256,MATCH('Monthly Table'!B185,'NY Curve'!$A$4:$A$256,0),MATCH("New York Shoulder Hour Curve Mon-Fri",'NY Curve'!$A$4:$L$4,0)),IF(Tables!$E$30="Michigan",INDEX('Michigan Curve'!$A$4:$K$256,MATCH('Monthly Table'!B185,'Michigan Curve'!$A$4:$A$256,0),MATCH("Michigan Shoulder Hour Curve Mon-Fri",'Michigan Curve'!$A$4:$K$4,0))))</f>
        <v>30.188923241565114</v>
      </c>
      <c r="AR185" s="708">
        <f t="shared" si="122"/>
        <v>38.554985171836435</v>
      </c>
      <c r="AS185" s="927">
        <f t="shared" si="109"/>
        <v>0</v>
      </c>
      <c r="AU185" s="926">
        <f>IF(Tables!$E$30="New York",INDEX('NY Curve'!$A$4:$L$256,MATCH('Monthly Table'!$B185,'NY Curve'!$A$4:$A$256,0),MATCH("New York Saturday Super Peak",'NY Curve'!$A$4:$L$4,0)),IF(Tables!$E$30="Michigan",INDEX('Michigan Curve'!$A$4:$K$256,MATCH('Monthly Table'!$B185,'Michigan Curve'!$A$4:$A$256,0),MATCH("Michigan Saturday Super Peak",'Michigan Curve'!$A$4:$K$4,0))))</f>
        <v>59.538491945992291</v>
      </c>
      <c r="AV185" s="925">
        <f t="shared" si="110"/>
        <v>76.038010887738693</v>
      </c>
      <c r="AW185" s="927">
        <f t="shared" si="111"/>
        <v>1</v>
      </c>
      <c r="AX185" s="926">
        <f>IF(Tables!$E$30="New York",INDEX('NY Curve'!$A$4:$L$256,MATCH('Monthly Table'!$B185,'NY Curve'!$A$4:$A$256,0),MATCH("New York Saturday Shoulder Peak",'NY Curve'!$A$4:$L$4,0)),IF(Tables!$E$30="Michigan",INDEX('Michigan Curve'!$A$4:$K$256,MATCH('Monthly Table'!$B185,'Michigan Curve'!$A$4:$A$256,0),MATCH("Michigan Saturday Shoulder Peak",'Michigan Curve'!$A$4:$K$4,0))))</f>
        <v>10.461508054007712</v>
      </c>
      <c r="AY185" s="934">
        <f t="shared" si="123"/>
        <v>13.360638425883913</v>
      </c>
      <c r="AZ185" s="927">
        <f t="shared" si="112"/>
        <v>0</v>
      </c>
      <c r="BB185" s="926">
        <f>IF(Tables!$E$30="New York",INDEX('NY Curve'!$A$4:$M$256,MATCH('Monthly Table'!$B185,'NY Curve'!$A$4:$A$256,0),MATCH("NY Sunday Super Peak",'NY Curve'!$A$4:$M$4,0)),IF(Tables!$E$30="Michigan",INDEX('Michigan Curve'!$A$4:$L$256,MATCH('Monthly Table'!$B185,'Michigan Curve'!$A$4:$A$256,0),MATCH("Michigan Sunday Super Peak",'Michigan Curve'!$A$4:$L$4,0))))</f>
        <v>52.734089621859994</v>
      </c>
      <c r="BC185" s="925">
        <f t="shared" si="124"/>
        <v>67.34794835682581</v>
      </c>
      <c r="BD185" s="927">
        <f t="shared" si="113"/>
        <v>0</v>
      </c>
      <c r="BF185" s="598">
        <f t="shared" si="104"/>
        <v>42186</v>
      </c>
      <c r="BG185" s="583">
        <f t="shared" si="125"/>
        <v>184</v>
      </c>
      <c r="BH185" s="764">
        <f>IF(Tables!$B$36="Combined Cycle",(BF185-BF184)*24*Assumptions!$B$21,0)</f>
        <v>0</v>
      </c>
      <c r="BI185" s="315">
        <f t="shared" si="126"/>
        <v>184</v>
      </c>
      <c r="BJ185" s="987">
        <f>IF('Monthly Table'!D185&lt;=Tables!$B$21,IF($BJ$10=$BG$10,BG185,IF($BJ$10=$BH$10,BH185,IF($BJ$10=$BI$10,BI185,0))),0)</f>
        <v>184</v>
      </c>
      <c r="BK185" s="43"/>
      <c r="BL185" s="987">
        <f t="shared" si="127"/>
        <v>24</v>
      </c>
      <c r="BM185" s="987">
        <f t="shared" si="128"/>
        <v>0</v>
      </c>
      <c r="BO185" s="987">
        <f t="shared" si="114"/>
        <v>0</v>
      </c>
      <c r="BP185" s="987">
        <f t="shared" si="129"/>
        <v>0</v>
      </c>
      <c r="BR185" s="993">
        <f>IF(BJ185&gt;0,INDEX(OperationalDetail,MATCH("Capacity Degradation",ODColumn,0),MATCH('Monthly Table'!C185,ODRow,0)),0)</f>
        <v>5.0200000000000002E-3</v>
      </c>
      <c r="BS185" s="994">
        <f>BJ185*(1-BR185)*Tables!$C$36</f>
        <v>59316.727680000004</v>
      </c>
      <c r="BT185" s="601">
        <f t="shared" si="115"/>
        <v>10191.270852487662</v>
      </c>
      <c r="BU185" s="601">
        <f t="shared" si="116"/>
        <v>13015.512128595545</v>
      </c>
      <c r="BV185" s="462"/>
      <c r="BW185" s="785">
        <f>$BO185*(1-$BR185)*Tables!$C$36</f>
        <v>0</v>
      </c>
      <c r="BX185" s="602">
        <f t="shared" si="130"/>
        <v>0</v>
      </c>
      <c r="BY185" s="601">
        <f t="shared" si="131"/>
        <v>0</v>
      </c>
      <c r="BZ185" s="462"/>
      <c r="CA185" s="785">
        <f>$BL185*(1-$BR185)*Tables!$C$36</f>
        <v>7736.9644799999996</v>
      </c>
      <c r="CB185" s="602">
        <f t="shared" si="132"/>
        <v>460.6471973789084</v>
      </c>
      <c r="CC185" s="601">
        <f t="shared" si="133"/>
        <v>588.30338936828753</v>
      </c>
      <c r="CD185" s="785">
        <f>$BP185*(1-$BR185)*Tables!$C$36</f>
        <v>0</v>
      </c>
      <c r="CE185" s="602">
        <f t="shared" si="134"/>
        <v>0</v>
      </c>
      <c r="CF185" s="601">
        <f t="shared" si="135"/>
        <v>0</v>
      </c>
      <c r="CH185" s="785">
        <f>$BM185*(1-$BR185)*Tables!$C$36</f>
        <v>0</v>
      </c>
      <c r="CI185" s="602">
        <f t="shared" si="136"/>
        <v>0</v>
      </c>
      <c r="CJ185" s="601">
        <f t="shared" si="137"/>
        <v>0</v>
      </c>
      <c r="CK185" s="304"/>
      <c r="CL185" s="304">
        <f t="shared" si="138"/>
        <v>2014</v>
      </c>
      <c r="CM185" s="1018">
        <f>INDEX(OperationalDetail,MATCH("Degraded Heat Rate",ODColumn,0),MATCH('Monthly Table'!CL185,ODRow,0))/1000</f>
        <v>11.990258799999999</v>
      </c>
      <c r="CN185" s="737">
        <f t="shared" si="117"/>
        <v>62.36674155017942</v>
      </c>
      <c r="CO185" s="1019">
        <f>IF(A185="January",(CO184*(1+Assumptions!$E$32)),CO184)</f>
        <v>8.8875141434553626</v>
      </c>
      <c r="CP185" s="741">
        <f t="shared" si="105"/>
        <v>71.254255693634775</v>
      </c>
      <c r="CQ185" s="304"/>
      <c r="CR185" s="575">
        <f t="shared" si="139"/>
        <v>2015</v>
      </c>
      <c r="CS185" s="575" t="str">
        <f t="shared" si="140"/>
        <v/>
      </c>
      <c r="CT185" s="575">
        <f t="shared" si="141"/>
        <v>2015</v>
      </c>
      <c r="CU185" s="575" t="str">
        <f t="shared" si="142"/>
        <v/>
      </c>
      <c r="CV185" s="575" t="str">
        <f t="shared" si="143"/>
        <v/>
      </c>
      <c r="CW185" s="576">
        <f t="shared" si="106"/>
        <v>2015</v>
      </c>
      <c r="CX185" s="787">
        <f>INDEX('NY Curve'!$A$4:$G$256,MATCH('Monthly Table'!B185,'NY Curve'!$A$4:$A$256,0),MATCH("New York 5 X 16",'NY Curve'!$A$4:$G$4,0))</f>
        <v>88</v>
      </c>
      <c r="CY185" s="632">
        <f t="shared" si="107"/>
        <v>1.27712356162318</v>
      </c>
      <c r="CZ185" s="633">
        <f t="shared" si="108"/>
        <v>112.38687342283984</v>
      </c>
      <c r="DB185" s="857"/>
      <c r="DC185" s="857"/>
    </row>
    <row r="186" spans="1:107" ht="18.75" customHeight="1">
      <c r="A186" s="17" t="s">
        <v>444</v>
      </c>
      <c r="B186" s="508">
        <v>42217</v>
      </c>
      <c r="C186" s="43">
        <f t="shared" si="97"/>
        <v>2015</v>
      </c>
      <c r="D186" s="719">
        <f t="shared" si="144"/>
        <v>15</v>
      </c>
      <c r="E186" s="972">
        <v>21</v>
      </c>
      <c r="F186" s="971">
        <v>5</v>
      </c>
      <c r="G186" s="971">
        <v>5</v>
      </c>
      <c r="H186" s="971">
        <v>0</v>
      </c>
      <c r="I186" s="976">
        <f t="shared" si="118"/>
        <v>31</v>
      </c>
      <c r="J186" s="621"/>
      <c r="K186" s="572">
        <f>INDEX(FX!$A$3:$C$362,MATCH(B186,FX!$A$3:$A$362,0),MATCH("Monthly Curve",FX!$A$2:$C$2,0))</f>
        <v>1.27646833786765</v>
      </c>
      <c r="L186" s="572"/>
      <c r="M186" s="1070">
        <v>3.5244999999999997</v>
      </c>
      <c r="N186" s="1071">
        <v>0.14499999999999999</v>
      </c>
      <c r="O186" s="877">
        <v>0.1</v>
      </c>
      <c r="P186" s="797">
        <f t="shared" si="99"/>
        <v>0.245</v>
      </c>
      <c r="Q186" s="732">
        <f t="shared" si="100"/>
        <v>3.7694999999999999</v>
      </c>
      <c r="R186" s="723">
        <f>IF(A186="January",(R185+R185*Assumptions!$E$32),R185)</f>
        <v>0.39627342630733287</v>
      </c>
      <c r="S186" s="730">
        <f t="shared" si="101"/>
        <v>5.2079208258994392</v>
      </c>
      <c r="T186" s="572"/>
      <c r="U186" s="507"/>
      <c r="V186" s="583"/>
      <c r="W186" s="583"/>
      <c r="X186" s="587"/>
      <c r="Y186" s="588">
        <f>Tables!$D$36</f>
        <v>312</v>
      </c>
      <c r="Z186" s="570">
        <f t="shared" si="102"/>
        <v>0</v>
      </c>
      <c r="AA186" s="592">
        <f t="shared" si="103"/>
        <v>0</v>
      </c>
      <c r="AB186" s="589">
        <f t="shared" si="98"/>
        <v>0</v>
      </c>
      <c r="AC186" s="462"/>
      <c r="AD186" s="1027">
        <f>IF(Tables!$E$30="Michigan",INDEX('Michigan Curve'!$A$4:$S$256,MATCH('Monthly Table'!B186,'Michigan Curve'!$A$4:$A$256,0),MATCH("Michigan Selected Option Value US$/month",'Michigan Curve'!$A$4:$S$4,0)),INDEX('NY Curve'!$A$4:$T$256,MATCH('Monthly Table'!B186,'NY Curve'!$A$4:$A$256,0),MATCH("New York Selected Option Value US$/month",'NY Curve'!$A$4:$T$4,0)))</f>
        <v>312731.22430419922</v>
      </c>
      <c r="AE186" s="601">
        <f t="shared" si="119"/>
        <v>399191.50608689641</v>
      </c>
      <c r="AF186" s="462"/>
      <c r="AG186" s="915"/>
      <c r="AH186" s="17"/>
      <c r="AI186" s="799">
        <f>Assumptions!$B$50</f>
        <v>65</v>
      </c>
      <c r="AJ186" s="743"/>
      <c r="AK186" s="924">
        <f>IF(Tables!$E$30="Custom",'Monthly Table'!AI186,IF(Tables!$E$30="New York",INDEX('NY Curve'!$A$4:$G$256,MATCH('Monthly Table'!B186,'NY Curve'!$A$4:$A$256,0),MATCH("Super Peak Curve",'NY Curve'!$A$4:$G$4,0)),IF(Tables!$E$30="New York Flat",INDEX('NY Curve'!$A$4:$G$256,MATCH('Monthly Table'!B186,'NY Curve'!$A$4:$A$256,0),MATCH("Flat NY West",'NY Curve'!$A$4:$G$4,0)),INDEX('Michigan Curve'!$A$4:$F$256,MATCH('Monthly Table'!B186,'Michigan Curve'!$A$4:$A$256,0),MATCH("Michigan Super Peak Curve US$/MWhr",'Michigan Curve'!$A$4:$F$4,0)))))</f>
        <v>171.81107675843489</v>
      </c>
      <c r="AL186" s="965">
        <f>IF(D186&lt;=Tables!$B$21,IF($AL$10=$AI$10,AI186,IF($AL$10=$AJ$10,AJ186,IF($AL$10=$AK$10,AK186,0))),0)</f>
        <v>171.81107675843489</v>
      </c>
      <c r="AM186" s="708">
        <f t="shared" si="120"/>
        <v>219.31139957709061</v>
      </c>
      <c r="AN186" s="916">
        <f t="shared" si="121"/>
        <v>1</v>
      </c>
      <c r="AO186" s="905"/>
      <c r="AP186" s="925"/>
      <c r="AQ186" s="926">
        <f>IF(Tables!$E$30="New York",INDEX('NY Curve'!$A$4:$L$256,MATCH('Monthly Table'!B186,'NY Curve'!$A$4:$A$256,0),MATCH("New York Shoulder Hour Curve Mon-Fri",'NY Curve'!$A$4:$L$4,0)),IF(Tables!$E$30="Michigan",INDEX('Michigan Curve'!$A$4:$K$256,MATCH('Monthly Table'!B186,'Michigan Curve'!$A$4:$A$256,0),MATCH("Michigan Shoulder Hour Curve Mon-Fri",'Michigan Curve'!$A$4:$K$4,0))))</f>
        <v>30.188923241565114</v>
      </c>
      <c r="AR186" s="708">
        <f t="shared" si="122"/>
        <v>38.535204672174693</v>
      </c>
      <c r="AS186" s="927">
        <f t="shared" si="109"/>
        <v>0</v>
      </c>
      <c r="AU186" s="926">
        <f>IF(Tables!$E$30="New York",INDEX('NY Curve'!$A$4:$L$256,MATCH('Monthly Table'!$B186,'NY Curve'!$A$4:$A$256,0),MATCH("New York Saturday Super Peak",'NY Curve'!$A$4:$L$4,0)),IF(Tables!$E$30="Michigan",INDEX('Michigan Curve'!$A$4:$K$256,MATCH('Monthly Table'!$B186,'Michigan Curve'!$A$4:$A$256,0),MATCH("Michigan Saturday Super Peak",'Michigan Curve'!$A$4:$K$4,0))))</f>
        <v>59.538498435172926</v>
      </c>
      <c r="AV186" s="925">
        <f t="shared" si="110"/>
        <v>75.999008136680871</v>
      </c>
      <c r="AW186" s="927">
        <f t="shared" si="111"/>
        <v>1</v>
      </c>
      <c r="AX186" s="926">
        <f>IF(Tables!$E$30="New York",INDEX('NY Curve'!$A$4:$L$256,MATCH('Monthly Table'!$B186,'NY Curve'!$A$4:$A$256,0),MATCH("New York Saturday Shoulder Peak",'NY Curve'!$A$4:$L$4,0)),IF(Tables!$E$30="Michigan",INDEX('Michigan Curve'!$A$4:$K$256,MATCH('Monthly Table'!$B186,'Michigan Curve'!$A$4:$A$256,0),MATCH("Michigan Saturday Shoulder Peak",'Michigan Curve'!$A$4:$K$4,0))))</f>
        <v>10.461509194221602</v>
      </c>
      <c r="AY186" s="934">
        <f t="shared" si="123"/>
        <v>13.353785252735186</v>
      </c>
      <c r="AZ186" s="927">
        <f t="shared" si="112"/>
        <v>0</v>
      </c>
      <c r="BB186" s="926">
        <f>IF(Tables!$E$30="New York",INDEX('NY Curve'!$A$4:$M$256,MATCH('Monthly Table'!$B186,'NY Curve'!$A$4:$A$256,0),MATCH("NY Sunday Super Peak",'NY Curve'!$A$4:$M$4,0)),IF(Tables!$E$30="Michigan",INDEX('Michigan Curve'!$A$4:$L$256,MATCH('Monthly Table'!$B186,'Michigan Curve'!$A$4:$A$256,0),MATCH("Michigan Sunday Super Peak",'Michigan Curve'!$A$4:$L$4,0))))</f>
        <v>52.734092866450311</v>
      </c>
      <c r="BC186" s="925">
        <f t="shared" si="124"/>
        <v>67.313399870196122</v>
      </c>
      <c r="BD186" s="927">
        <f t="shared" si="113"/>
        <v>0</v>
      </c>
      <c r="BF186" s="598">
        <f t="shared" si="104"/>
        <v>42217</v>
      </c>
      <c r="BG186" s="583">
        <f t="shared" si="125"/>
        <v>168</v>
      </c>
      <c r="BH186" s="764">
        <f>IF(Tables!$B$36="Combined Cycle",(BF186-BF185)*24*Assumptions!$B$21,0)</f>
        <v>0</v>
      </c>
      <c r="BI186" s="315">
        <f t="shared" si="126"/>
        <v>168</v>
      </c>
      <c r="BJ186" s="987">
        <f>IF('Monthly Table'!D186&lt;=Tables!$B$21,IF($BJ$10=$BG$10,BG186,IF($BJ$10=$BH$10,BH186,IF($BJ$10=$BI$10,BI186,0))),0)</f>
        <v>168</v>
      </c>
      <c r="BK186" s="43"/>
      <c r="BL186" s="987">
        <f t="shared" si="127"/>
        <v>40</v>
      </c>
      <c r="BM186" s="987">
        <f t="shared" si="128"/>
        <v>0</v>
      </c>
      <c r="BO186" s="987">
        <f t="shared" si="114"/>
        <v>0</v>
      </c>
      <c r="BP186" s="987">
        <f t="shared" si="129"/>
        <v>0</v>
      </c>
      <c r="BR186" s="993">
        <f>IF(BJ186&gt;0,INDEX(OperationalDetail,MATCH("Capacity Degradation",ODColumn,0),MATCH('Monthly Table'!C186,ODRow,0)),0)</f>
        <v>5.0200000000000002E-3</v>
      </c>
      <c r="BS186" s="994">
        <f>BJ186*(1-BR186)*Tables!$C$36</f>
        <v>54158.751359999995</v>
      </c>
      <c r="BT186" s="601">
        <f t="shared" si="115"/>
        <v>9305.0733870539498</v>
      </c>
      <c r="BU186" s="601">
        <f t="shared" si="116"/>
        <v>11877.631560109259</v>
      </c>
      <c r="BV186" s="462"/>
      <c r="BW186" s="785">
        <f>$BO186*(1-$BR186)*Tables!$C$36</f>
        <v>0</v>
      </c>
      <c r="BX186" s="602">
        <f t="shared" si="130"/>
        <v>0</v>
      </c>
      <c r="BY186" s="601">
        <f t="shared" si="131"/>
        <v>0</v>
      </c>
      <c r="BZ186" s="462"/>
      <c r="CA186" s="785">
        <f>$BL186*(1-$BR186)*Tables!$C$36</f>
        <v>12894.9408</v>
      </c>
      <c r="CB186" s="602">
        <f t="shared" si="132"/>
        <v>767.74541264244749</v>
      </c>
      <c r="CC186" s="601">
        <f t="shared" si="133"/>
        <v>980.00271078121807</v>
      </c>
      <c r="CD186" s="785">
        <f>$BP186*(1-$BR186)*Tables!$C$36</f>
        <v>0</v>
      </c>
      <c r="CE186" s="602">
        <f t="shared" si="134"/>
        <v>0</v>
      </c>
      <c r="CF186" s="601">
        <f t="shared" si="135"/>
        <v>0</v>
      </c>
      <c r="CH186" s="785">
        <f>$BM186*(1-$BR186)*Tables!$C$36</f>
        <v>0</v>
      </c>
      <c r="CI186" s="602">
        <f t="shared" si="136"/>
        <v>0</v>
      </c>
      <c r="CJ186" s="601">
        <f t="shared" si="137"/>
        <v>0</v>
      </c>
      <c r="CK186" s="304"/>
      <c r="CL186" s="304">
        <f t="shared" si="138"/>
        <v>2014</v>
      </c>
      <c r="CM186" s="1018">
        <f>INDEX(OperationalDetail,MATCH("Degraded Heat Rate",ODColumn,0),MATCH('Monthly Table'!CL186,ODRow,0))/1000</f>
        <v>11.990258799999999</v>
      </c>
      <c r="CN186" s="737">
        <f t="shared" si="117"/>
        <v>62.444318512444013</v>
      </c>
      <c r="CO186" s="1019">
        <f>IF(A186="January",(CO185*(1+Assumptions!$E$32)),CO185)</f>
        <v>8.8875141434553626</v>
      </c>
      <c r="CP186" s="741">
        <f t="shared" si="105"/>
        <v>71.331832655899376</v>
      </c>
      <c r="CQ186" s="304"/>
      <c r="CR186" s="575">
        <f t="shared" si="139"/>
        <v>2015</v>
      </c>
      <c r="CS186" s="575" t="str">
        <f t="shared" si="140"/>
        <v/>
      </c>
      <c r="CT186" s="575">
        <f t="shared" si="141"/>
        <v>2015</v>
      </c>
      <c r="CU186" s="575" t="str">
        <f t="shared" si="142"/>
        <v/>
      </c>
      <c r="CV186" s="575" t="str">
        <f t="shared" si="143"/>
        <v/>
      </c>
      <c r="CW186" s="576">
        <f t="shared" si="106"/>
        <v>2015</v>
      </c>
      <c r="CX186" s="787">
        <f>INDEX('NY Curve'!$A$4:$G$256,MATCH('Monthly Table'!B186,'NY Curve'!$A$4:$A$256,0),MATCH("New York 5 X 16",'NY Curve'!$A$4:$G$4,0))</f>
        <v>80.5</v>
      </c>
      <c r="CY186" s="632">
        <f t="shared" si="107"/>
        <v>1.27646833786765</v>
      </c>
      <c r="CZ186" s="633">
        <f t="shared" si="108"/>
        <v>102.75570119834583</v>
      </c>
      <c r="DB186" s="857"/>
      <c r="DC186" s="857"/>
    </row>
    <row r="187" spans="1:107" ht="18.75" customHeight="1">
      <c r="A187" s="17" t="s">
        <v>445</v>
      </c>
      <c r="B187" s="508">
        <v>42248</v>
      </c>
      <c r="C187" s="43">
        <f t="shared" si="97"/>
        <v>2015</v>
      </c>
      <c r="D187" s="719">
        <f t="shared" si="144"/>
        <v>15</v>
      </c>
      <c r="E187" s="972">
        <v>21</v>
      </c>
      <c r="F187" s="971">
        <v>4</v>
      </c>
      <c r="G187" s="971">
        <v>4</v>
      </c>
      <c r="H187" s="971">
        <v>1</v>
      </c>
      <c r="I187" s="976">
        <f t="shared" si="118"/>
        <v>30</v>
      </c>
      <c r="J187" s="621"/>
      <c r="K187" s="572">
        <f>INDEX(FX!$A$3:$C$362,MATCH(B187,FX!$A$3:$A$362,0),MATCH("Monthly Curve",FX!$A$2:$C$2,0))</f>
        <v>1.27581632987067</v>
      </c>
      <c r="L187" s="572"/>
      <c r="M187" s="1070">
        <v>3.5315000000000003</v>
      </c>
      <c r="N187" s="1071">
        <v>0.14499999999999999</v>
      </c>
      <c r="O187" s="877">
        <v>0.1</v>
      </c>
      <c r="P187" s="797">
        <f t="shared" si="99"/>
        <v>0.245</v>
      </c>
      <c r="Q187" s="732">
        <f t="shared" si="100"/>
        <v>3.7765000000000004</v>
      </c>
      <c r="R187" s="723">
        <f>IF(A187="January",(R186+R186*Assumptions!$E$32),R186)</f>
        <v>0.39627342630733287</v>
      </c>
      <c r="S187" s="730">
        <f t="shared" si="101"/>
        <v>5.2143937960639182</v>
      </c>
      <c r="T187" s="572"/>
      <c r="U187" s="507"/>
      <c r="V187" s="583"/>
      <c r="W187" s="583"/>
      <c r="X187" s="587"/>
      <c r="Y187" s="588">
        <f>Tables!$D$36</f>
        <v>312</v>
      </c>
      <c r="Z187" s="570">
        <f t="shared" si="102"/>
        <v>0</v>
      </c>
      <c r="AA187" s="592">
        <f t="shared" si="103"/>
        <v>0</v>
      </c>
      <c r="AB187" s="589">
        <f t="shared" si="98"/>
        <v>0</v>
      </c>
      <c r="AC187" s="462"/>
      <c r="AD187" s="1027">
        <f>IF(Tables!$E$30="Michigan",INDEX('Michigan Curve'!$A$4:$S$256,MATCH('Monthly Table'!B187,'Michigan Curve'!$A$4:$A$256,0),MATCH("Michigan Selected Option Value US$/month",'Michigan Curve'!$A$4:$S$4,0)),INDEX('NY Curve'!$A$4:$T$256,MATCH('Monthly Table'!B187,'NY Curve'!$A$4:$A$256,0),MATCH("New York Selected Option Value US$/month",'NY Curve'!$A$4:$T$4,0)))</f>
        <v>143757.27038111415</v>
      </c>
      <c r="AE187" s="601">
        <f t="shared" si="119"/>
        <v>183407.87308985862</v>
      </c>
      <c r="AF187" s="462"/>
      <c r="AG187" s="915"/>
      <c r="AH187" s="17"/>
      <c r="AI187" s="799">
        <f>Assumptions!$B$50</f>
        <v>65</v>
      </c>
      <c r="AJ187" s="743"/>
      <c r="AK187" s="924">
        <f>IF(Tables!$E$30="Custom",'Monthly Table'!AI187,IF(Tables!$E$30="New York",INDEX('NY Curve'!$A$4:$G$256,MATCH('Monthly Table'!B187,'NY Curve'!$A$4:$A$256,0),MATCH("Super Peak Curve",'NY Curve'!$A$4:$G$4,0)),IF(Tables!$E$30="New York Flat",INDEX('NY Curve'!$A$4:$G$256,MATCH('Monthly Table'!B187,'NY Curve'!$A$4:$A$256,0),MATCH("Flat NY West",'NY Curve'!$A$4:$G$4,0)),INDEX('Michigan Curve'!$A$4:$F$256,MATCH('Monthly Table'!B187,'Michigan Curve'!$A$4:$A$256,0),MATCH("Michigan Super Peak Curve US$/MWhr",'Michigan Curve'!$A$4:$F$4,0)))))</f>
        <v>50.334062233567238</v>
      </c>
      <c r="AL187" s="965">
        <f>IF(D187&lt;=Tables!$B$21,IF($AL$10=$AI$10,AI187,IF($AL$10=$AJ$10,AJ187,IF($AL$10=$AK$10,AK187,0))),0)</f>
        <v>50.334062233567238</v>
      </c>
      <c r="AM187" s="708">
        <f t="shared" si="120"/>
        <v>64.21701854631165</v>
      </c>
      <c r="AN187" s="916">
        <f t="shared" si="121"/>
        <v>0</v>
      </c>
      <c r="AO187" s="905"/>
      <c r="AP187" s="925"/>
      <c r="AQ187" s="926">
        <f>IF(Tables!$E$30="New York",INDEX('NY Curve'!$A$4:$L$256,MATCH('Monthly Table'!B187,'NY Curve'!$A$4:$A$256,0),MATCH("New York Shoulder Hour Curve Mon-Fri",'NY Curve'!$A$4:$L$4,0)),IF(Tables!$E$30="Michigan",INDEX('Michigan Curve'!$A$4:$K$256,MATCH('Monthly Table'!B187,'Michigan Curve'!$A$4:$A$256,0),MATCH("Michigan Shoulder Hour Curve Mon-Fri",'Michigan Curve'!$A$4:$K$4,0))))</f>
        <v>24.165937766432762</v>
      </c>
      <c r="AR187" s="708">
        <f t="shared" si="122"/>
        <v>30.831298029053261</v>
      </c>
      <c r="AS187" s="927">
        <f t="shared" si="109"/>
        <v>0</v>
      </c>
      <c r="AU187" s="926">
        <f>IF(Tables!$E$30="New York",INDEX('NY Curve'!$A$4:$L$256,MATCH('Monthly Table'!$B187,'NY Curve'!$A$4:$A$256,0),MATCH("New York Saturday Super Peak",'NY Curve'!$A$4:$L$4,0)),IF(Tables!$E$30="Michigan",INDEX('Michigan Curve'!$A$4:$K$256,MATCH('Monthly Table'!$B187,'Michigan Curve'!$A$4:$A$256,0),MATCH("Michigan Saturday Super Peak",'Michigan Curve'!$A$4:$K$4,0))))</f>
        <v>33.781249821186066</v>
      </c>
      <c r="AV187" s="925">
        <f t="shared" si="110"/>
        <v>43.098670165309834</v>
      </c>
      <c r="AW187" s="927">
        <f t="shared" si="111"/>
        <v>0</v>
      </c>
      <c r="AX187" s="926">
        <f>IF(Tables!$E$30="New York",INDEX('NY Curve'!$A$4:$L$256,MATCH('Monthly Table'!$B187,'NY Curve'!$A$4:$A$256,0),MATCH("New York Saturday Shoulder Peak",'NY Curve'!$A$4:$L$4,0)),IF(Tables!$E$30="Michigan",INDEX('Michigan Curve'!$A$4:$K$256,MATCH('Monthly Table'!$B187,'Michigan Curve'!$A$4:$A$256,0),MATCH("Michigan Saturday Shoulder Peak",'Michigan Curve'!$A$4:$K$4,0))))</f>
        <v>16.218750178813934</v>
      </c>
      <c r="AY187" s="934">
        <f t="shared" si="123"/>
        <v>20.692146328223664</v>
      </c>
      <c r="AZ187" s="927">
        <f t="shared" si="112"/>
        <v>0</v>
      </c>
      <c r="BB187" s="926">
        <f>IF(Tables!$E$30="New York",INDEX('NY Curve'!$A$4:$M$256,MATCH('Monthly Table'!$B187,'NY Curve'!$A$4:$A$256,0),MATCH("NY Sunday Super Peak",'NY Curve'!$A$4:$M$4,0)),IF(Tables!$E$30="Michigan",INDEX('Michigan Curve'!$A$4:$L$256,MATCH('Monthly Table'!$B187,'Michigan Curve'!$A$4:$A$256,0),MATCH("Michigan Sunday Super Peak",'Michigan Curve'!$A$4:$L$4,0))))</f>
        <v>32.429999828338623</v>
      </c>
      <c r="BC187" s="925">
        <f t="shared" si="124"/>
        <v>41.374723358697437</v>
      </c>
      <c r="BD187" s="927">
        <f t="shared" si="113"/>
        <v>0</v>
      </c>
      <c r="BF187" s="598">
        <f t="shared" si="104"/>
        <v>42248</v>
      </c>
      <c r="BG187" s="583">
        <f t="shared" si="125"/>
        <v>0</v>
      </c>
      <c r="BH187" s="764">
        <f>IF(Tables!$B$36="Combined Cycle",(BF187-BF186)*24*Assumptions!$B$21,0)</f>
        <v>0</v>
      </c>
      <c r="BI187" s="315">
        <f t="shared" si="126"/>
        <v>0</v>
      </c>
      <c r="BJ187" s="987">
        <f>IF('Monthly Table'!D187&lt;=Tables!$B$21,IF($BJ$10=$BG$10,BG187,IF($BJ$10=$BH$10,BH187,IF($BJ$10=$BI$10,BI187,0))),0)</f>
        <v>0</v>
      </c>
      <c r="BK187" s="43"/>
      <c r="BL187" s="987">
        <f t="shared" si="127"/>
        <v>0</v>
      </c>
      <c r="BM187" s="987">
        <f t="shared" si="128"/>
        <v>0</v>
      </c>
      <c r="BO187" s="987">
        <f t="shared" si="114"/>
        <v>0</v>
      </c>
      <c r="BP187" s="987">
        <f t="shared" si="129"/>
        <v>0</v>
      </c>
      <c r="BR187" s="993">
        <f>IF(BJ187&gt;0,INDEX(OperationalDetail,MATCH("Capacity Degradation",ODColumn,0),MATCH('Monthly Table'!C187,ODRow,0)),0)</f>
        <v>0</v>
      </c>
      <c r="BS187" s="994">
        <f>BJ187*(1-BR187)*Tables!$C$36</f>
        <v>0</v>
      </c>
      <c r="BT187" s="601">
        <f t="shared" si="115"/>
        <v>0</v>
      </c>
      <c r="BU187" s="601">
        <f t="shared" si="116"/>
        <v>0</v>
      </c>
      <c r="BV187" s="462"/>
      <c r="BW187" s="785">
        <f>$BO187*(1-$BR187)*Tables!$C$36</f>
        <v>0</v>
      </c>
      <c r="BX187" s="602">
        <f t="shared" si="130"/>
        <v>0</v>
      </c>
      <c r="BY187" s="601">
        <f t="shared" si="131"/>
        <v>0</v>
      </c>
      <c r="BZ187" s="462"/>
      <c r="CA187" s="785">
        <f>$BL187*(1-$BR187)*Tables!$C$36</f>
        <v>0</v>
      </c>
      <c r="CB187" s="602">
        <f t="shared" si="132"/>
        <v>0</v>
      </c>
      <c r="CC187" s="601">
        <f t="shared" si="133"/>
        <v>0</v>
      </c>
      <c r="CD187" s="785">
        <f>$BP187*(1-$BR187)*Tables!$C$36</f>
        <v>0</v>
      </c>
      <c r="CE187" s="602">
        <f t="shared" si="134"/>
        <v>0</v>
      </c>
      <c r="CF187" s="601">
        <f t="shared" si="135"/>
        <v>0</v>
      </c>
      <c r="CH187" s="785">
        <f>$BM187*(1-$BR187)*Tables!$C$36</f>
        <v>0</v>
      </c>
      <c r="CI187" s="602">
        <f t="shared" si="136"/>
        <v>0</v>
      </c>
      <c r="CJ187" s="601">
        <f t="shared" si="137"/>
        <v>0</v>
      </c>
      <c r="CK187" s="304"/>
      <c r="CL187" s="304">
        <f t="shared" si="138"/>
        <v>2014</v>
      </c>
      <c r="CM187" s="1018">
        <f>INDEX(OperationalDetail,MATCH("Degraded Heat Rate",ODColumn,0),MATCH('Monthly Table'!CL187,ODRow,0))/1000</f>
        <v>11.990258799999999</v>
      </c>
      <c r="CN187" s="737">
        <f t="shared" si="117"/>
        <v>62.521931099920799</v>
      </c>
      <c r="CO187" s="1019">
        <f>IF(A187="January",(CO186*(1+Assumptions!$E$32)),CO186)</f>
        <v>8.8875141434553626</v>
      </c>
      <c r="CP187" s="741">
        <f t="shared" si="105"/>
        <v>71.409445243376155</v>
      </c>
      <c r="CQ187" s="304"/>
      <c r="CR187" s="575" t="str">
        <f t="shared" si="139"/>
        <v/>
      </c>
      <c r="CS187" s="575" t="str">
        <f t="shared" si="140"/>
        <v/>
      </c>
      <c r="CT187" s="575" t="str">
        <f t="shared" si="141"/>
        <v/>
      </c>
      <c r="CU187" s="575" t="str">
        <f t="shared" si="142"/>
        <v/>
      </c>
      <c r="CV187" s="575" t="str">
        <f t="shared" si="143"/>
        <v/>
      </c>
      <c r="CW187" s="576">
        <f t="shared" si="106"/>
        <v>2015</v>
      </c>
      <c r="CX187" s="787">
        <f>INDEX('NY Curve'!$A$4:$G$256,MATCH('Monthly Table'!B187,'NY Curve'!$A$4:$A$256,0),MATCH("New York 5 X 16",'NY Curve'!$A$4:$G$4,0))</f>
        <v>31.95</v>
      </c>
      <c r="CY187" s="632">
        <f t="shared" si="107"/>
        <v>1.27581632987067</v>
      </c>
      <c r="CZ187" s="633">
        <f t="shared" si="108"/>
        <v>40.762331739367902</v>
      </c>
      <c r="DB187" s="857"/>
      <c r="DC187" s="857"/>
    </row>
    <row r="188" spans="1:107" ht="18.75" customHeight="1">
      <c r="A188" s="17" t="s">
        <v>446</v>
      </c>
      <c r="B188" s="508">
        <v>42278</v>
      </c>
      <c r="C188" s="43">
        <f t="shared" si="97"/>
        <v>2015</v>
      </c>
      <c r="D188" s="719">
        <f t="shared" si="144"/>
        <v>15</v>
      </c>
      <c r="E188" s="972">
        <v>22</v>
      </c>
      <c r="F188" s="971">
        <v>5</v>
      </c>
      <c r="G188" s="971">
        <v>4</v>
      </c>
      <c r="H188" s="971">
        <v>0</v>
      </c>
      <c r="I188" s="976">
        <f t="shared" si="118"/>
        <v>31</v>
      </c>
      <c r="J188" s="621"/>
      <c r="K188" s="572">
        <f>INDEX(FX!$A$3:$C$362,MATCH(B188,FX!$A$3:$A$362,0),MATCH("Monthly Curve",FX!$A$2:$C$2,0))</f>
        <v>1.27518841187618</v>
      </c>
      <c r="L188" s="572"/>
      <c r="M188" s="1070">
        <v>3.5585000000000004</v>
      </c>
      <c r="N188" s="1071">
        <v>0.14499999999999999</v>
      </c>
      <c r="O188" s="877">
        <v>0.1</v>
      </c>
      <c r="P188" s="797">
        <f t="shared" si="99"/>
        <v>0.245</v>
      </c>
      <c r="Q188" s="732">
        <f t="shared" si="100"/>
        <v>3.8035000000000005</v>
      </c>
      <c r="R188" s="723">
        <f>IF(A188="January",(R187+R187*Assumptions!$E$32),R187)</f>
        <v>0.39627342630733287</v>
      </c>
      <c r="S188" s="730">
        <f t="shared" si="101"/>
        <v>5.2464525508783844</v>
      </c>
      <c r="T188" s="572"/>
      <c r="U188" s="507"/>
      <c r="V188" s="583"/>
      <c r="W188" s="583"/>
      <c r="X188" s="587"/>
      <c r="Y188" s="588">
        <f>Tables!$D$36</f>
        <v>312</v>
      </c>
      <c r="Z188" s="570">
        <f t="shared" si="102"/>
        <v>0</v>
      </c>
      <c r="AA188" s="592">
        <f t="shared" si="103"/>
        <v>0</v>
      </c>
      <c r="AB188" s="589">
        <f t="shared" si="98"/>
        <v>0</v>
      </c>
      <c r="AC188" s="462"/>
      <c r="AD188" s="1027">
        <f>IF(Tables!$E$30="Michigan",INDEX('Michigan Curve'!$A$4:$S$256,MATCH('Monthly Table'!B188,'Michigan Curve'!$A$4:$A$256,0),MATCH("Michigan Selected Option Value US$/month",'Michigan Curve'!$A$4:$S$4,0)),INDEX('NY Curve'!$A$4:$T$256,MATCH('Monthly Table'!B188,'NY Curve'!$A$4:$A$256,0),MATCH("New York Selected Option Value US$/month",'NY Curve'!$A$4:$T$4,0)))</f>
        <v>3044.0592777546935</v>
      </c>
      <c r="AE188" s="601">
        <f t="shared" si="119"/>
        <v>3881.7491160569593</v>
      </c>
      <c r="AF188" s="462"/>
      <c r="AG188" s="915"/>
      <c r="AH188" s="17"/>
      <c r="AI188" s="799">
        <f>Assumptions!$B$50</f>
        <v>65</v>
      </c>
      <c r="AJ188" s="743"/>
      <c r="AK188" s="924">
        <f>IF(Tables!$E$30="Custom",'Monthly Table'!AI188,IF(Tables!$E$30="New York",INDEX('NY Curve'!$A$4:$G$256,MATCH('Monthly Table'!B188,'NY Curve'!$A$4:$A$256,0),MATCH("Super Peak Curve",'NY Curve'!$A$4:$G$4,0)),IF(Tables!$E$30="New York Flat",INDEX('NY Curve'!$A$4:$G$256,MATCH('Monthly Table'!B188,'NY Curve'!$A$4:$A$256,0),MATCH("Flat NY West",'NY Curve'!$A$4:$G$4,0)),INDEX('Michigan Curve'!$A$4:$F$256,MATCH('Monthly Table'!B188,'Michigan Curve'!$A$4:$A$256,0),MATCH("Michigan Super Peak Curve US$/MWhr",'Michigan Curve'!$A$4:$F$4,0)))))</f>
        <v>30.349994659423828</v>
      </c>
      <c r="AL188" s="965">
        <f>IF(D188&lt;=Tables!$B$21,IF($AL$10=$AI$10,AI188,IF($AL$10=$AJ$10,AJ188,IF($AL$10=$AK$10,AK188,0))),0)</f>
        <v>30.349994659423828</v>
      </c>
      <c r="AM188" s="708">
        <f t="shared" si="120"/>
        <v>38.701961490201214</v>
      </c>
      <c r="AN188" s="916">
        <f t="shared" si="121"/>
        <v>0</v>
      </c>
      <c r="AO188" s="905"/>
      <c r="AP188" s="925"/>
      <c r="AQ188" s="926">
        <f>IF(Tables!$E$30="New York",INDEX('NY Curve'!$A$4:$L$256,MATCH('Monthly Table'!B188,'NY Curve'!$A$4:$A$256,0),MATCH("New York Shoulder Hour Curve Mon-Fri",'NY Curve'!$A$4:$L$4,0)),IF(Tables!$E$30="Michigan",INDEX('Michigan Curve'!$A$4:$K$256,MATCH('Monthly Table'!B188,'Michigan Curve'!$A$4:$A$256,0),MATCH("Michigan Shoulder Hour Curve Mon-Fri",'Michigan Curve'!$A$4:$K$4,0))))</f>
        <v>30.349994659423828</v>
      </c>
      <c r="AR188" s="708">
        <f t="shared" si="122"/>
        <v>38.701961490201214</v>
      </c>
      <c r="AS188" s="927">
        <f t="shared" si="109"/>
        <v>0</v>
      </c>
      <c r="AU188" s="926">
        <f>IF(Tables!$E$30="New York",INDEX('NY Curve'!$A$4:$L$256,MATCH('Monthly Table'!$B188,'NY Curve'!$A$4:$A$256,0),MATCH("New York Saturday Super Peak",'NY Curve'!$A$4:$L$4,0)),IF(Tables!$E$30="Michigan",INDEX('Michigan Curve'!$A$4:$K$256,MATCH('Monthly Table'!$B188,'Michigan Curve'!$A$4:$A$256,0),MATCH("Michigan Saturday Super Peak",'Michigan Curve'!$A$4:$K$4,0))))</f>
        <v>19.996000289916992</v>
      </c>
      <c r="AV188" s="925">
        <f t="shared" si="110"/>
        <v>25.498667853574887</v>
      </c>
      <c r="AW188" s="927">
        <f t="shared" si="111"/>
        <v>0</v>
      </c>
      <c r="AX188" s="926">
        <f>IF(Tables!$E$30="New York",INDEX('NY Curve'!$A$4:$L$256,MATCH('Monthly Table'!$B188,'NY Curve'!$A$4:$A$256,0),MATCH("New York Saturday Shoulder Peak",'NY Curve'!$A$4:$L$4,0)),IF(Tables!$E$30="Michigan",INDEX('Michigan Curve'!$A$4:$K$256,MATCH('Monthly Table'!$B188,'Michigan Curve'!$A$4:$A$256,0),MATCH("Michigan Saturday Shoulder Peak",'Michigan Curve'!$A$4:$K$4,0))))</f>
        <v>19.996000289916992</v>
      </c>
      <c r="AY188" s="934">
        <f t="shared" si="123"/>
        <v>25.498667853574887</v>
      </c>
      <c r="AZ188" s="927">
        <f t="shared" si="112"/>
        <v>0</v>
      </c>
      <c r="BB188" s="926">
        <f>IF(Tables!$E$30="New York",INDEX('NY Curve'!$A$4:$M$256,MATCH('Monthly Table'!$B188,'NY Curve'!$A$4:$A$256,0),MATCH("NY Sunday Super Peak",'NY Curve'!$A$4:$M$4,0)),IF(Tables!$E$30="Michigan",INDEX('Michigan Curve'!$A$4:$L$256,MATCH('Monthly Table'!$B188,'Michigan Curve'!$A$4:$A$256,0),MATCH("Michigan Sunday Super Peak",'Michigan Curve'!$A$4:$L$4,0))))</f>
        <v>18.996500015258789</v>
      </c>
      <c r="BC188" s="925">
        <f t="shared" si="124"/>
        <v>24.224116685663684</v>
      </c>
      <c r="BD188" s="927">
        <f t="shared" si="113"/>
        <v>0</v>
      </c>
      <c r="BF188" s="598">
        <f t="shared" si="104"/>
        <v>42278</v>
      </c>
      <c r="BG188" s="583">
        <f t="shared" si="125"/>
        <v>0</v>
      </c>
      <c r="BH188" s="764">
        <f>IF(Tables!$B$36="Combined Cycle",(BF188-BF187)*24*Assumptions!$B$21,0)</f>
        <v>0</v>
      </c>
      <c r="BI188" s="315">
        <f t="shared" si="126"/>
        <v>0</v>
      </c>
      <c r="BJ188" s="987">
        <f>IF('Monthly Table'!D188&lt;=Tables!$B$21,IF($BJ$10=$BG$10,BG188,IF($BJ$10=$BH$10,BH188,IF($BJ$10=$BI$10,BI188,0))),0)</f>
        <v>0</v>
      </c>
      <c r="BK188" s="43"/>
      <c r="BL188" s="987">
        <f t="shared" si="127"/>
        <v>0</v>
      </c>
      <c r="BM188" s="987">
        <f t="shared" si="128"/>
        <v>0</v>
      </c>
      <c r="BO188" s="987">
        <f t="shared" si="114"/>
        <v>0</v>
      </c>
      <c r="BP188" s="987">
        <f t="shared" si="129"/>
        <v>0</v>
      </c>
      <c r="BR188" s="993">
        <f>IF(BJ188&gt;0,INDEX(OperationalDetail,MATCH("Capacity Degradation",ODColumn,0),MATCH('Monthly Table'!C188,ODRow,0)),0)</f>
        <v>0</v>
      </c>
      <c r="BS188" s="994">
        <f>BJ188*(1-BR188)*Tables!$C$36</f>
        <v>0</v>
      </c>
      <c r="BT188" s="601">
        <f t="shared" si="115"/>
        <v>0</v>
      </c>
      <c r="BU188" s="601">
        <f t="shared" si="116"/>
        <v>0</v>
      </c>
      <c r="BV188" s="462"/>
      <c r="BW188" s="785">
        <f>$BO188*(1-$BR188)*Tables!$C$36</f>
        <v>0</v>
      </c>
      <c r="BX188" s="602">
        <f t="shared" si="130"/>
        <v>0</v>
      </c>
      <c r="BY188" s="601">
        <f t="shared" si="131"/>
        <v>0</v>
      </c>
      <c r="BZ188" s="462"/>
      <c r="CA188" s="785">
        <f>$BL188*(1-$BR188)*Tables!$C$36</f>
        <v>0</v>
      </c>
      <c r="CB188" s="602">
        <f t="shared" si="132"/>
        <v>0</v>
      </c>
      <c r="CC188" s="601">
        <f t="shared" si="133"/>
        <v>0</v>
      </c>
      <c r="CD188" s="785">
        <f>$BP188*(1-$BR188)*Tables!$C$36</f>
        <v>0</v>
      </c>
      <c r="CE188" s="602">
        <f t="shared" si="134"/>
        <v>0</v>
      </c>
      <c r="CF188" s="601">
        <f t="shared" si="135"/>
        <v>0</v>
      </c>
      <c r="CH188" s="785">
        <f>$BM188*(1-$BR188)*Tables!$C$36</f>
        <v>0</v>
      </c>
      <c r="CI188" s="602">
        <f t="shared" si="136"/>
        <v>0</v>
      </c>
      <c r="CJ188" s="601">
        <f t="shared" si="137"/>
        <v>0</v>
      </c>
      <c r="CK188" s="304"/>
      <c r="CL188" s="304">
        <f t="shared" si="138"/>
        <v>2014</v>
      </c>
      <c r="CM188" s="1018">
        <f>INDEX(OperationalDetail,MATCH("Degraded Heat Rate",ODColumn,0),MATCH('Monthly Table'!CL188,ODRow,0))/1000</f>
        <v>11.990258799999999</v>
      </c>
      <c r="CN188" s="737">
        <f t="shared" si="117"/>
        <v>62.906323866951993</v>
      </c>
      <c r="CO188" s="1019">
        <f>IF(A188="January",(CO187*(1+Assumptions!$E$32)),CO187)</f>
        <v>8.8875141434553626</v>
      </c>
      <c r="CP188" s="741">
        <f t="shared" si="105"/>
        <v>71.793838010407356</v>
      </c>
      <c r="CQ188" s="304"/>
      <c r="CR188" s="575" t="str">
        <f t="shared" si="139"/>
        <v/>
      </c>
      <c r="CS188" s="575" t="str">
        <f t="shared" si="140"/>
        <v/>
      </c>
      <c r="CT188" s="575" t="str">
        <f t="shared" si="141"/>
        <v/>
      </c>
      <c r="CU188" s="575" t="str">
        <f t="shared" si="142"/>
        <v/>
      </c>
      <c r="CV188" s="575" t="str">
        <f t="shared" si="143"/>
        <v/>
      </c>
      <c r="CW188" s="576">
        <f t="shared" si="106"/>
        <v>2015</v>
      </c>
      <c r="CX188" s="787">
        <f>INDEX('NY Curve'!$A$4:$G$256,MATCH('Monthly Table'!B188,'NY Curve'!$A$4:$A$256,0),MATCH("New York 5 X 16",'NY Curve'!$A$4:$G$4,0))</f>
        <v>27.7</v>
      </c>
      <c r="CY188" s="632">
        <f t="shared" si="107"/>
        <v>1.27518841187618</v>
      </c>
      <c r="CZ188" s="633">
        <f t="shared" si="108"/>
        <v>35.322719008970189</v>
      </c>
      <c r="DB188" s="857"/>
      <c r="DC188" s="857"/>
    </row>
    <row r="189" spans="1:107" ht="18.75" customHeight="1">
      <c r="A189" s="17" t="s">
        <v>447</v>
      </c>
      <c r="B189" s="508">
        <v>42309</v>
      </c>
      <c r="C189" s="43">
        <f t="shared" si="97"/>
        <v>2015</v>
      </c>
      <c r="D189" s="719">
        <f t="shared" si="144"/>
        <v>15</v>
      </c>
      <c r="E189" s="972">
        <v>20</v>
      </c>
      <c r="F189" s="971">
        <v>4</v>
      </c>
      <c r="G189" s="971">
        <v>5</v>
      </c>
      <c r="H189" s="971">
        <v>1</v>
      </c>
      <c r="I189" s="976">
        <f t="shared" si="118"/>
        <v>30</v>
      </c>
      <c r="J189" s="621"/>
      <c r="K189" s="572">
        <f>INDEX(FX!$A$3:$C$362,MATCH(B189,FX!$A$3:$A$362,0),MATCH("Monthly Curve",FX!$A$2:$C$2,0))</f>
        <v>1.2745427182190101</v>
      </c>
      <c r="L189" s="572"/>
      <c r="M189" s="1070">
        <v>3.6945000000000001</v>
      </c>
      <c r="N189" s="1071">
        <v>0.23</v>
      </c>
      <c r="O189" s="877">
        <v>0.1</v>
      </c>
      <c r="P189" s="797">
        <f t="shared" si="99"/>
        <v>0.33</v>
      </c>
      <c r="Q189" s="732">
        <f t="shared" si="100"/>
        <v>4.0244999999999997</v>
      </c>
      <c r="R189" s="723">
        <f>IF(A189="January",(R188+R188*Assumptions!$E$32),R188)</f>
        <v>0.39627342630733287</v>
      </c>
      <c r="S189" s="730">
        <f t="shared" si="101"/>
        <v>5.5256705957797383</v>
      </c>
      <c r="T189" s="572"/>
      <c r="U189" s="507"/>
      <c r="V189" s="583"/>
      <c r="W189" s="583"/>
      <c r="X189" s="587"/>
      <c r="Y189" s="588">
        <f>Tables!$D$36</f>
        <v>312</v>
      </c>
      <c r="Z189" s="570">
        <f t="shared" si="102"/>
        <v>0</v>
      </c>
      <c r="AA189" s="592">
        <f t="shared" si="103"/>
        <v>0</v>
      </c>
      <c r="AB189" s="589">
        <f t="shared" si="98"/>
        <v>0</v>
      </c>
      <c r="AC189" s="462"/>
      <c r="AD189" s="1027">
        <f>IF(Tables!$E$30="Michigan",INDEX('Michigan Curve'!$A$4:$S$256,MATCH('Monthly Table'!B189,'Michigan Curve'!$A$4:$A$256,0),MATCH("Michigan Selected Option Value US$/month",'Michigan Curve'!$A$4:$S$4,0)),INDEX('NY Curve'!$A$4:$T$256,MATCH('Monthly Table'!B189,'NY Curve'!$A$4:$A$256,0),MATCH("New York Selected Option Value US$/month",'NY Curve'!$A$4:$T$4,0)))</f>
        <v>16623.816911625796</v>
      </c>
      <c r="AE189" s="601">
        <f t="shared" si="119"/>
        <v>21187.764793718692</v>
      </c>
      <c r="AF189" s="462"/>
      <c r="AG189" s="915"/>
      <c r="AH189" s="17"/>
      <c r="AI189" s="799">
        <f>Assumptions!$B$50</f>
        <v>65</v>
      </c>
      <c r="AJ189" s="743"/>
      <c r="AK189" s="924">
        <f>IF(Tables!$E$30="Custom",'Monthly Table'!AI189,IF(Tables!$E$30="New York",INDEX('NY Curve'!$A$4:$G$256,MATCH('Monthly Table'!B189,'NY Curve'!$A$4:$A$256,0),MATCH("Super Peak Curve",'NY Curve'!$A$4:$G$4,0)),IF(Tables!$E$30="New York Flat",INDEX('NY Curve'!$A$4:$G$256,MATCH('Monthly Table'!B189,'NY Curve'!$A$4:$A$256,0),MATCH("Flat NY West",'NY Curve'!$A$4:$G$4,0)),INDEX('Michigan Curve'!$A$4:$F$256,MATCH('Monthly Table'!B189,'Michigan Curve'!$A$4:$A$256,0),MATCH("Michigan Super Peak Curve US$/MWhr",'Michigan Curve'!$A$4:$F$4,0)))))</f>
        <v>32.648395385742191</v>
      </c>
      <c r="AL189" s="965">
        <f>IF(D189&lt;=Tables!$B$21,IF($AL$10=$AI$10,AI189,IF($AL$10=$AJ$10,AJ189,IF($AL$10=$AK$10,AK189,0))),0)</f>
        <v>32.648395385742191</v>
      </c>
      <c r="AM189" s="708">
        <f t="shared" si="120"/>
        <v>41.611774600432838</v>
      </c>
      <c r="AN189" s="916">
        <f t="shared" si="121"/>
        <v>0</v>
      </c>
      <c r="AO189" s="905"/>
      <c r="AP189" s="925"/>
      <c r="AQ189" s="926">
        <f>IF(Tables!$E$30="New York",INDEX('NY Curve'!$A$4:$L$256,MATCH('Monthly Table'!B189,'NY Curve'!$A$4:$A$256,0),MATCH("New York Shoulder Hour Curve Mon-Fri",'NY Curve'!$A$4:$L$4,0)),IF(Tables!$E$30="Michigan",INDEX('Michigan Curve'!$A$4:$K$256,MATCH('Monthly Table'!B189,'Michigan Curve'!$A$4:$A$256,0),MATCH("Michigan Shoulder Hour Curve Mon-Fri",'Michigan Curve'!$A$4:$K$4,0))))</f>
        <v>27.811596069335934</v>
      </c>
      <c r="AR189" s="708">
        <f t="shared" si="122"/>
        <v>35.447067252220556</v>
      </c>
      <c r="AS189" s="927">
        <f t="shared" si="109"/>
        <v>0</v>
      </c>
      <c r="AU189" s="926">
        <f>IF(Tables!$E$30="New York",INDEX('NY Curve'!$A$4:$L$256,MATCH('Monthly Table'!$B189,'NY Curve'!$A$4:$A$256,0),MATCH("New York Saturday Super Peak",'NY Curve'!$A$4:$L$4,0)),IF(Tables!$E$30="Michigan",INDEX('Michigan Curve'!$A$4:$K$256,MATCH('Monthly Table'!$B189,'Michigan Curve'!$A$4:$A$256,0),MATCH("Michigan Saturday Super Peak",'Michigan Curve'!$A$4:$K$4,0))))</f>
        <v>21.6</v>
      </c>
      <c r="AV189" s="925">
        <f t="shared" si="110"/>
        <v>27.53012271353062</v>
      </c>
      <c r="AW189" s="927">
        <f t="shared" si="111"/>
        <v>0</v>
      </c>
      <c r="AX189" s="926">
        <f>IF(Tables!$E$30="New York",INDEX('NY Curve'!$A$4:$L$256,MATCH('Monthly Table'!$B189,'NY Curve'!$A$4:$A$256,0),MATCH("New York Saturday Shoulder Peak",'NY Curve'!$A$4:$L$4,0)),IF(Tables!$E$30="Michigan",INDEX('Michigan Curve'!$A$4:$K$256,MATCH('Monthly Table'!$B189,'Michigan Curve'!$A$4:$A$256,0),MATCH("Michigan Saturday Shoulder Peak",'Michigan Curve'!$A$4:$K$4,0))))</f>
        <v>18.399999999999999</v>
      </c>
      <c r="AY189" s="934">
        <f t="shared" si="123"/>
        <v>23.451586015229783</v>
      </c>
      <c r="AZ189" s="927">
        <f t="shared" si="112"/>
        <v>0</v>
      </c>
      <c r="BB189" s="926">
        <f>IF(Tables!$E$30="New York",INDEX('NY Curve'!$A$4:$M$256,MATCH('Monthly Table'!$B189,'NY Curve'!$A$4:$A$256,0),MATCH("NY Sunday Super Peak",'NY Curve'!$A$4:$M$4,0)),IF(Tables!$E$30="Michigan",INDEX('Michigan Curve'!$A$4:$L$256,MATCH('Monthly Table'!$B189,'Michigan Curve'!$A$4:$A$256,0),MATCH("Michigan Sunday Super Peak",'Michigan Curve'!$A$4:$L$4,0))))</f>
        <v>20.520000000000003</v>
      </c>
      <c r="BC189" s="925">
        <f t="shared" si="124"/>
        <v>26.153616577854091</v>
      </c>
      <c r="BD189" s="927">
        <f t="shared" si="113"/>
        <v>0</v>
      </c>
      <c r="BF189" s="598">
        <f t="shared" si="104"/>
        <v>42309</v>
      </c>
      <c r="BG189" s="583">
        <f t="shared" si="125"/>
        <v>0</v>
      </c>
      <c r="BH189" s="764">
        <f>IF(Tables!$B$36="Combined Cycle",(BF189-BF188)*24*Assumptions!$B$21,0)</f>
        <v>0</v>
      </c>
      <c r="BI189" s="315">
        <f t="shared" si="126"/>
        <v>0</v>
      </c>
      <c r="BJ189" s="987">
        <f>IF('Monthly Table'!D189&lt;=Tables!$B$21,IF($BJ$10=$BG$10,BG189,IF($BJ$10=$BH$10,BH189,IF($BJ$10=$BI$10,BI189,0))),0)</f>
        <v>0</v>
      </c>
      <c r="BK189" s="43"/>
      <c r="BL189" s="987">
        <f t="shared" si="127"/>
        <v>0</v>
      </c>
      <c r="BM189" s="987">
        <f t="shared" si="128"/>
        <v>0</v>
      </c>
      <c r="BO189" s="987">
        <f t="shared" si="114"/>
        <v>0</v>
      </c>
      <c r="BP189" s="987">
        <f t="shared" si="129"/>
        <v>0</v>
      </c>
      <c r="BR189" s="993">
        <f>IF(BJ189&gt;0,INDEX(OperationalDetail,MATCH("Capacity Degradation",ODColumn,0),MATCH('Monthly Table'!C189,ODRow,0)),0)</f>
        <v>0</v>
      </c>
      <c r="BS189" s="994">
        <f>BJ189*(1-BR189)*Tables!$C$36</f>
        <v>0</v>
      </c>
      <c r="BT189" s="601">
        <f t="shared" si="115"/>
        <v>0</v>
      </c>
      <c r="BU189" s="601">
        <f t="shared" si="116"/>
        <v>0</v>
      </c>
      <c r="BV189" s="462"/>
      <c r="BW189" s="785">
        <f>$BO189*(1-$BR189)*Tables!$C$36</f>
        <v>0</v>
      </c>
      <c r="BX189" s="602">
        <f t="shared" si="130"/>
        <v>0</v>
      </c>
      <c r="BY189" s="601">
        <f t="shared" si="131"/>
        <v>0</v>
      </c>
      <c r="BZ189" s="462"/>
      <c r="CA189" s="785">
        <f>$BL189*(1-$BR189)*Tables!$C$36</f>
        <v>0</v>
      </c>
      <c r="CB189" s="602">
        <f t="shared" si="132"/>
        <v>0</v>
      </c>
      <c r="CC189" s="601">
        <f t="shared" si="133"/>
        <v>0</v>
      </c>
      <c r="CD189" s="785">
        <f>$BP189*(1-$BR189)*Tables!$C$36</f>
        <v>0</v>
      </c>
      <c r="CE189" s="602">
        <f t="shared" si="134"/>
        <v>0</v>
      </c>
      <c r="CF189" s="601">
        <f t="shared" si="135"/>
        <v>0</v>
      </c>
      <c r="CH189" s="785">
        <f>$BM189*(1-$BR189)*Tables!$C$36</f>
        <v>0</v>
      </c>
      <c r="CI189" s="602">
        <f t="shared" si="136"/>
        <v>0</v>
      </c>
      <c r="CJ189" s="601">
        <f t="shared" si="137"/>
        <v>0</v>
      </c>
      <c r="CK189" s="304"/>
      <c r="CL189" s="304">
        <f t="shared" si="138"/>
        <v>2014</v>
      </c>
      <c r="CM189" s="1018">
        <f>INDEX(OperationalDetail,MATCH("Degraded Heat Rate",ODColumn,0),MATCH('Monthly Table'!CL189,ODRow,0))/1000</f>
        <v>11.990258799999999</v>
      </c>
      <c r="CN189" s="737">
        <f t="shared" si="117"/>
        <v>66.254220486949251</v>
      </c>
      <c r="CO189" s="1019">
        <f>IF(A189="January",(CO188*(1+Assumptions!$E$32)),CO188)</f>
        <v>8.8875141434553626</v>
      </c>
      <c r="CP189" s="741">
        <f t="shared" si="105"/>
        <v>75.141734630404613</v>
      </c>
      <c r="CQ189" s="304"/>
      <c r="CR189" s="575" t="str">
        <f t="shared" si="139"/>
        <v/>
      </c>
      <c r="CS189" s="575" t="str">
        <f t="shared" si="140"/>
        <v/>
      </c>
      <c r="CT189" s="575" t="str">
        <f t="shared" si="141"/>
        <v/>
      </c>
      <c r="CU189" s="575" t="str">
        <f t="shared" si="142"/>
        <v/>
      </c>
      <c r="CV189" s="575" t="str">
        <f t="shared" si="143"/>
        <v/>
      </c>
      <c r="CW189" s="576">
        <f t="shared" si="106"/>
        <v>2015</v>
      </c>
      <c r="CX189" s="787">
        <f>INDEX('NY Curve'!$A$4:$G$256,MATCH('Monthly Table'!B189,'NY Curve'!$A$4:$A$256,0),MATCH("New York 5 X 16",'NY Curve'!$A$4:$G$4,0))</f>
        <v>28.2</v>
      </c>
      <c r="CY189" s="632">
        <f t="shared" si="107"/>
        <v>1.2745427182190101</v>
      </c>
      <c r="CZ189" s="633">
        <f t="shared" si="108"/>
        <v>35.942104653776084</v>
      </c>
      <c r="DB189" s="857"/>
      <c r="DC189" s="857"/>
    </row>
    <row r="190" spans="1:107" s="222" customFormat="1" ht="18.75" customHeight="1">
      <c r="A190" s="222" t="s">
        <v>448</v>
      </c>
      <c r="B190" s="564">
        <v>42339</v>
      </c>
      <c r="C190" s="565">
        <f t="shared" si="97"/>
        <v>2015</v>
      </c>
      <c r="D190" s="819">
        <f t="shared" si="144"/>
        <v>15</v>
      </c>
      <c r="E190" s="972">
        <v>22</v>
      </c>
      <c r="F190" s="971">
        <v>4</v>
      </c>
      <c r="G190" s="971">
        <v>4</v>
      </c>
      <c r="H190" s="971">
        <v>1</v>
      </c>
      <c r="I190" s="976">
        <f t="shared" si="118"/>
        <v>31</v>
      </c>
      <c r="J190" s="969"/>
      <c r="K190" s="820">
        <f>INDEX(FX!$A$3:$C$362,MATCH(B190,FX!$A$3:$A$362,0),MATCH("Monthly Curve",FX!$A$2:$C$2,0))</f>
        <v>1.2739209023020399</v>
      </c>
      <c r="L190" s="820"/>
      <c r="M190" s="1070">
        <v>3.8205</v>
      </c>
      <c r="N190" s="1071">
        <v>0.27</v>
      </c>
      <c r="O190" s="878">
        <v>0.1</v>
      </c>
      <c r="P190" s="824">
        <f t="shared" si="99"/>
        <v>0.37</v>
      </c>
      <c r="Q190" s="825">
        <f t="shared" si="100"/>
        <v>4.1905000000000001</v>
      </c>
      <c r="R190" s="837">
        <f>IF(A190="January",(R189+R189*Assumptions!$E$32),R189)</f>
        <v>0.39627342630733287</v>
      </c>
      <c r="S190" s="827">
        <f t="shared" si="101"/>
        <v>5.734638967404031</v>
      </c>
      <c r="T190" s="820"/>
      <c r="U190" s="828"/>
      <c r="V190" s="830"/>
      <c r="W190" s="830"/>
      <c r="X190" s="823"/>
      <c r="Y190" s="839">
        <f>Tables!$D$36</f>
        <v>312</v>
      </c>
      <c r="Z190" s="678">
        <f t="shared" si="102"/>
        <v>0</v>
      </c>
      <c r="AA190" s="679">
        <f t="shared" si="103"/>
        <v>0</v>
      </c>
      <c r="AB190" s="680">
        <f t="shared" si="98"/>
        <v>0</v>
      </c>
      <c r="AC190" s="828"/>
      <c r="AD190" s="1027">
        <f>IF(Tables!$E$30="Michigan",INDEX('Michigan Curve'!$A$4:$S$256,MATCH('Monthly Table'!B190,'Michigan Curve'!$A$4:$A$256,0),MATCH("Michigan Selected Option Value US$/month",'Michigan Curve'!$A$4:$S$4,0)),INDEX('NY Curve'!$A$4:$T$256,MATCH('Monthly Table'!B190,'NY Curve'!$A$4:$A$256,0),MATCH("New York Selected Option Value US$/month",'NY Curve'!$A$4:$T$4,0)))</f>
        <v>11173.891256031351</v>
      </c>
      <c r="AE190" s="601">
        <f t="shared" si="119"/>
        <v>14234.653631108333</v>
      </c>
      <c r="AF190" s="828"/>
      <c r="AG190" s="917"/>
      <c r="AI190" s="799">
        <f>Assumptions!$B$50</f>
        <v>65</v>
      </c>
      <c r="AJ190" s="762"/>
      <c r="AK190" s="924">
        <f>IF(Tables!$E$30="Custom",'Monthly Table'!AI190,IF(Tables!$E$30="New York",INDEX('NY Curve'!$A$4:$G$256,MATCH('Monthly Table'!B190,'NY Curve'!$A$4:$A$256,0),MATCH("Super Peak Curve",'NY Curve'!$A$4:$G$4,0)),IF(Tables!$E$30="New York Flat",INDEX('NY Curve'!$A$4:$G$256,MATCH('Monthly Table'!B190,'NY Curve'!$A$4:$A$256,0),MATCH("Flat NY West",'NY Curve'!$A$4:$G$4,0)),INDEX('Michigan Curve'!$A$4:$F$256,MATCH('Monthly Table'!B190,'Michigan Curve'!$A$4:$A$256,0),MATCH("Michigan Super Peak Curve US$/MWhr",'Michigan Curve'!$A$4:$F$4,0)))))</f>
        <v>31.313994941711428</v>
      </c>
      <c r="AL190" s="966">
        <f>IF(D190&lt;=Tables!$B$21,IF($AL$10=$AI$10,AI190,IF($AL$10=$AJ$10,AJ190,IF($AL$10=$AK$10,AK190,0))),0)</f>
        <v>31.313994941711428</v>
      </c>
      <c r="AM190" s="708">
        <f t="shared" si="120"/>
        <v>39.891552690826536</v>
      </c>
      <c r="AN190" s="918">
        <f t="shared" si="121"/>
        <v>0</v>
      </c>
      <c r="AO190" s="906"/>
      <c r="AP190" s="925"/>
      <c r="AQ190" s="926">
        <f>IF(Tables!$E$30="New York",INDEX('NY Curve'!$A$4:$L$256,MATCH('Monthly Table'!B190,'NY Curve'!$A$4:$A$256,0),MATCH("New York Shoulder Hour Curve Mon-Fri",'NY Curve'!$A$4:$L$4,0)),IF(Tables!$E$30="Michigan",INDEX('Michigan Curve'!$A$4:$K$256,MATCH('Monthly Table'!B190,'Michigan Curve'!$A$4:$A$256,0),MATCH("Michigan Shoulder Hour Curve Mon-Fri",'Michigan Curve'!$A$4:$K$4,0))))</f>
        <v>30.085995140075681</v>
      </c>
      <c r="AR190" s="708">
        <f t="shared" si="122"/>
        <v>38.327178075500001</v>
      </c>
      <c r="AS190" s="927">
        <f t="shared" si="109"/>
        <v>0</v>
      </c>
      <c r="AT190" s="565"/>
      <c r="AU190" s="926">
        <f>IF(Tables!$E$30="New York",INDEX('NY Curve'!$A$4:$L$256,MATCH('Monthly Table'!$B190,'NY Curve'!$A$4:$A$256,0),MATCH("New York Saturday Super Peak",'NY Curve'!$A$4:$L$4,0)),IF(Tables!$E$30="Michigan",INDEX('Michigan Curve'!$A$4:$K$256,MATCH('Monthly Table'!$B190,'Michigan Curve'!$A$4:$A$256,0),MATCH("Michigan Saturday Super Peak",'Michigan Curve'!$A$4:$K$4,0))))</f>
        <v>20.399999999999999</v>
      </c>
      <c r="AV190" s="925">
        <f t="shared" si="110"/>
        <v>25.987986406961614</v>
      </c>
      <c r="AW190" s="927">
        <f t="shared" si="111"/>
        <v>0</v>
      </c>
      <c r="AX190" s="926">
        <f>IF(Tables!$E$30="New York",INDEX('NY Curve'!$A$4:$L$256,MATCH('Monthly Table'!$B190,'NY Curve'!$A$4:$A$256,0),MATCH("New York Saturday Shoulder Peak",'NY Curve'!$A$4:$L$4,0)),IF(Tables!$E$30="Michigan",INDEX('Michigan Curve'!$A$4:$K$256,MATCH('Monthly Table'!$B190,'Michigan Curve'!$A$4:$A$256,0),MATCH("Michigan Saturday Shoulder Peak",'Michigan Curve'!$A$4:$K$4,0))))</f>
        <v>19.600000000000001</v>
      </c>
      <c r="AY190" s="934">
        <f t="shared" si="123"/>
        <v>24.968849685119984</v>
      </c>
      <c r="AZ190" s="927">
        <f t="shared" si="112"/>
        <v>0</v>
      </c>
      <c r="BA190" s="565"/>
      <c r="BB190" s="926">
        <f>IF(Tables!$E$30="New York",INDEX('NY Curve'!$A$4:$M$256,MATCH('Monthly Table'!$B190,'NY Curve'!$A$4:$A$256,0),MATCH("NY Sunday Super Peak",'NY Curve'!$A$4:$M$4,0)),IF(Tables!$E$30="Michigan",INDEX('Michigan Curve'!$A$4:$L$256,MATCH('Monthly Table'!$B190,'Michigan Curve'!$A$4:$A$256,0),MATCH("Michigan Sunday Super Peak",'Michigan Curve'!$A$4:$L$4,0))))</f>
        <v>19.38</v>
      </c>
      <c r="BC190" s="925">
        <f t="shared" si="124"/>
        <v>24.688587086613531</v>
      </c>
      <c r="BD190" s="927">
        <f t="shared" si="113"/>
        <v>0</v>
      </c>
      <c r="BE190" s="565"/>
      <c r="BF190" s="829">
        <f t="shared" si="104"/>
        <v>42339</v>
      </c>
      <c r="BG190" s="583">
        <f t="shared" si="125"/>
        <v>0</v>
      </c>
      <c r="BH190" s="840">
        <f>IF(Tables!$B$36="Combined Cycle",(BF190-BF189)*24*Assumptions!$B$21,0)</f>
        <v>0</v>
      </c>
      <c r="BI190" s="315">
        <f t="shared" si="126"/>
        <v>0</v>
      </c>
      <c r="BJ190" s="988">
        <f>IF('Monthly Table'!D190&lt;=Tables!$B$21,IF($BJ$10=$BG$10,BG190,IF($BJ$10=$BH$10,BH190,IF($BJ$10=$BI$10,BI190,0))),0)</f>
        <v>0</v>
      </c>
      <c r="BK190" s="43"/>
      <c r="BL190" s="987">
        <f t="shared" si="127"/>
        <v>0</v>
      </c>
      <c r="BM190" s="987">
        <f t="shared" si="128"/>
        <v>0</v>
      </c>
      <c r="BN190" s="43"/>
      <c r="BO190" s="987">
        <f t="shared" si="114"/>
        <v>0</v>
      </c>
      <c r="BP190" s="987">
        <f t="shared" si="129"/>
        <v>0</v>
      </c>
      <c r="BQ190" s="43"/>
      <c r="BR190" s="995">
        <f>IF(BJ190&gt;0,INDEX(OperationalDetail,MATCH("Capacity Degradation",ODColumn,0),MATCH('Monthly Table'!C190,ODRow,0)),0)</f>
        <v>0</v>
      </c>
      <c r="BS190" s="994">
        <f>BJ190*(1-BR190)*Tables!$C$36</f>
        <v>0</v>
      </c>
      <c r="BT190" s="834">
        <f t="shared" si="115"/>
        <v>0</v>
      </c>
      <c r="BU190" s="834">
        <f t="shared" si="116"/>
        <v>0</v>
      </c>
      <c r="BV190" s="462"/>
      <c r="BW190" s="785">
        <f>$BO190*(1-$BR190)*Tables!$C$36</f>
        <v>0</v>
      </c>
      <c r="BX190" s="602">
        <f t="shared" si="130"/>
        <v>0</v>
      </c>
      <c r="BY190" s="601">
        <f t="shared" si="131"/>
        <v>0</v>
      </c>
      <c r="BZ190" s="828"/>
      <c r="CA190" s="785">
        <f>$BL190*(1-$BR190)*Tables!$C$36</f>
        <v>0</v>
      </c>
      <c r="CB190" s="602">
        <f t="shared" si="132"/>
        <v>0</v>
      </c>
      <c r="CC190" s="601">
        <f t="shared" si="133"/>
        <v>0</v>
      </c>
      <c r="CD190" s="785">
        <f>$BP190*(1-$BR190)*Tables!$C$36</f>
        <v>0</v>
      </c>
      <c r="CE190" s="602">
        <f t="shared" si="134"/>
        <v>0</v>
      </c>
      <c r="CF190" s="601">
        <f t="shared" si="135"/>
        <v>0</v>
      </c>
      <c r="CH190" s="785">
        <f>$BM190*(1-$BR190)*Tables!$C$36</f>
        <v>0</v>
      </c>
      <c r="CI190" s="602">
        <f t="shared" si="136"/>
        <v>0</v>
      </c>
      <c r="CJ190" s="601">
        <f t="shared" si="137"/>
        <v>0</v>
      </c>
      <c r="CK190" s="304"/>
      <c r="CL190" s="304">
        <f t="shared" si="138"/>
        <v>2014</v>
      </c>
      <c r="CM190" s="1018">
        <f>INDEX(OperationalDetail,MATCH("Degraded Heat Rate",ODColumn,0),MATCH('Monthly Table'!CL190,ODRow,0))/1000</f>
        <v>11.990258799999999</v>
      </c>
      <c r="CN190" s="835">
        <f t="shared" si="117"/>
        <v>68.759805343739089</v>
      </c>
      <c r="CO190" s="1020">
        <f>IF(A190="January",(CO189*(1+Assumptions!$E$32)),CO189)</f>
        <v>8.8875141434553626</v>
      </c>
      <c r="CP190" s="836">
        <f t="shared" si="105"/>
        <v>77.647319487194451</v>
      </c>
      <c r="CQ190" s="304"/>
      <c r="CR190" s="841" t="str">
        <f t="shared" si="139"/>
        <v/>
      </c>
      <c r="CS190" s="575" t="str">
        <f t="shared" si="140"/>
        <v/>
      </c>
      <c r="CT190" s="575" t="str">
        <f t="shared" si="141"/>
        <v/>
      </c>
      <c r="CU190" s="575" t="str">
        <f t="shared" si="142"/>
        <v/>
      </c>
      <c r="CV190" s="575" t="str">
        <f t="shared" si="143"/>
        <v/>
      </c>
      <c r="CW190" s="842">
        <f t="shared" si="106"/>
        <v>2015</v>
      </c>
      <c r="CX190" s="843">
        <f>INDEX('NY Curve'!$A$4:$G$256,MATCH('Monthly Table'!B190,'NY Curve'!$A$4:$A$256,0),MATCH("New York 5 X 16",'NY Curve'!$A$4:$G$4,0))</f>
        <v>28.7</v>
      </c>
      <c r="CY190" s="844">
        <f t="shared" si="107"/>
        <v>1.2739209023020399</v>
      </c>
      <c r="CZ190" s="845">
        <f t="shared" si="108"/>
        <v>36.561529896068542</v>
      </c>
      <c r="DB190" s="857"/>
      <c r="DC190" s="857"/>
    </row>
    <row r="191" spans="1:107" ht="18.75" customHeight="1">
      <c r="A191" s="17" t="s">
        <v>437</v>
      </c>
      <c r="B191" s="508">
        <v>42370</v>
      </c>
      <c r="C191" s="43">
        <f t="shared" si="97"/>
        <v>2016</v>
      </c>
      <c r="D191" s="719">
        <f t="shared" si="144"/>
        <v>16</v>
      </c>
      <c r="E191" s="972">
        <v>20</v>
      </c>
      <c r="F191" s="971">
        <v>5</v>
      </c>
      <c r="G191" s="971">
        <v>5</v>
      </c>
      <c r="H191" s="971">
        <v>1</v>
      </c>
      <c r="I191" s="976">
        <f t="shared" si="118"/>
        <v>31</v>
      </c>
      <c r="J191" s="621"/>
      <c r="K191" s="572">
        <f>INDEX(FX!$A$3:$C$362,MATCH(B191,FX!$A$3:$A$362,0),MATCH("Monthly Curve",FX!$A$2:$C$2,0))</f>
        <v>1.27328150531135</v>
      </c>
      <c r="L191" s="572"/>
      <c r="M191" s="724"/>
      <c r="N191" s="746"/>
      <c r="O191" s="877">
        <v>0.1</v>
      </c>
      <c r="P191" s="797">
        <f t="shared" si="99"/>
        <v>0.1</v>
      </c>
      <c r="Q191" s="732">
        <f t="shared" si="100"/>
        <v>0.1</v>
      </c>
      <c r="R191" s="723">
        <f>IF(A191="January",(R190+R190*Assumptions!$E$32),R190)</f>
        <v>0.40419889483347954</v>
      </c>
      <c r="S191" s="730">
        <f t="shared" si="101"/>
        <v>0.53152704536461459</v>
      </c>
      <c r="T191" s="572"/>
      <c r="U191" s="507"/>
      <c r="V191" s="583"/>
      <c r="W191" s="583"/>
      <c r="X191" s="587"/>
      <c r="Y191" s="588">
        <f>Tables!$D$36</f>
        <v>312</v>
      </c>
      <c r="Z191" s="570">
        <f t="shared" si="102"/>
        <v>0</v>
      </c>
      <c r="AA191" s="592">
        <f t="shared" si="103"/>
        <v>0</v>
      </c>
      <c r="AB191" s="589">
        <f t="shared" si="98"/>
        <v>0</v>
      </c>
      <c r="AC191" s="462"/>
      <c r="AD191" s="1027">
        <f>IF(Tables!$E$30="Michigan",INDEX('Michigan Curve'!$A$4:$S$256,MATCH('Monthly Table'!B191,'Michigan Curve'!$A$4:$A$256,0),MATCH("Michigan Selected Option Value US$/month",'Michigan Curve'!$A$4:$S$4,0)),INDEX('NY Curve'!$A$4:$T$256,MATCH('Monthly Table'!B191,'NY Curve'!$A$4:$A$256,0),MATCH("New York Selected Option Value US$/month",'NY Curve'!$A$4:$T$4,0)))</f>
        <v>0</v>
      </c>
      <c r="AE191" s="601">
        <f t="shared" si="119"/>
        <v>0</v>
      </c>
      <c r="AF191" s="462"/>
      <c r="AG191" s="915"/>
      <c r="AH191" s="17"/>
      <c r="AI191" s="799">
        <f>Assumptions!$B$50</f>
        <v>65</v>
      </c>
      <c r="AJ191" s="743"/>
      <c r="AK191" s="924">
        <f>IF(Tables!$E$30="Custom",'Monthly Table'!AI191,IF(Tables!$E$30="New York",INDEX('NY Curve'!$A$4:$G$256,MATCH('Monthly Table'!B191,'NY Curve'!$A$4:$A$256,0),MATCH("Super Peak Curve",'NY Curve'!$A$4:$G$4,0)),IF(Tables!$E$30="New York Flat",INDEX('NY Curve'!$A$4:$G$256,MATCH('Monthly Table'!B191,'NY Curve'!$A$4:$A$256,0),MATCH("Flat NY West",'NY Curve'!$A$4:$G$4,0)),INDEX('Michigan Curve'!$A$4:$F$256,MATCH('Monthly Table'!B191,'Michigan Curve'!$A$4:$A$256,0),MATCH("Michigan Super Peak Curve US$/MWhr",'Michigan Curve'!$A$4:$F$4,0)))))</f>
        <v>36.92400038909912</v>
      </c>
      <c r="AL191" s="965">
        <f>IF(D191&lt;=Tables!$B$21,IF($AL$10=$AI$10,AI191,IF($AL$10=$AJ$10,AJ191,IF($AL$10=$AK$10,AK191,0))),0)</f>
        <v>0</v>
      </c>
      <c r="AM191" s="708">
        <f t="shared" si="120"/>
        <v>0</v>
      </c>
      <c r="AN191" s="916">
        <f t="shared" si="121"/>
        <v>0</v>
      </c>
      <c r="AO191" s="905"/>
      <c r="AP191" s="925"/>
      <c r="AQ191" s="926">
        <f>IF(Tables!$E$30="New York",INDEX('NY Curve'!$A$4:$L$256,MATCH('Monthly Table'!B191,'NY Curve'!$A$4:$A$256,0),MATCH("New York Shoulder Hour Curve Mon-Fri",'NY Curve'!$A$4:$L$4,0)),IF(Tables!$E$30="Michigan",INDEX('Michigan Curve'!$A$4:$K$256,MATCH('Monthly Table'!B191,'Michigan Curve'!$A$4:$A$256,0),MATCH("Michigan Shoulder Hour Curve Mon-Fri",'Michigan Curve'!$A$4:$K$4,0))))</f>
        <v>35.476000373840336</v>
      </c>
      <c r="AR191" s="708">
        <f t="shared" si="122"/>
        <v>45.170935158429437</v>
      </c>
      <c r="AS191" s="927">
        <f t="shared" si="109"/>
        <v>1</v>
      </c>
      <c r="AU191" s="926">
        <f>IF(Tables!$E$30="New York",INDEX('NY Curve'!$A$4:$L$256,MATCH('Monthly Table'!$B191,'NY Curve'!$A$4:$A$256,0),MATCH("New York Saturday Super Peak",'NY Curve'!$A$4:$L$4,0)),IF(Tables!$E$30="Michigan",INDEX('Michigan Curve'!$A$4:$K$256,MATCH('Monthly Table'!$B191,'Michigan Curve'!$A$4:$A$256,0),MATCH("Michigan Saturday Super Peak",'Michigan Curve'!$A$4:$K$4,0))))</f>
        <v>22.44</v>
      </c>
      <c r="AV191" s="925">
        <f t="shared" si="110"/>
        <v>28.572436979186694</v>
      </c>
      <c r="AW191" s="927">
        <f>IF(Tables!$B$21=15,0,IF(AV191&gt;($CP191+$BF$4),1,0))</f>
        <v>0</v>
      </c>
      <c r="AX191" s="926">
        <f>IF(Tables!$E$30="New York",INDEX('NY Curve'!$A$4:$L$256,MATCH('Monthly Table'!$B191,'NY Curve'!$A$4:$A$256,0),MATCH("New York Saturday Shoulder Peak",'NY Curve'!$A$4:$L$4,0)),IF(Tables!$E$30="Michigan",INDEX('Michigan Curve'!$A$4:$K$256,MATCH('Monthly Table'!$B191,'Michigan Curve'!$A$4:$A$256,0),MATCH("Michigan Saturday Shoulder Peak",'Michigan Curve'!$A$4:$K$4,0))))</f>
        <v>21.56</v>
      </c>
      <c r="AY191" s="934">
        <f t="shared" si="123"/>
        <v>27.451949254512705</v>
      </c>
      <c r="AZ191" s="927">
        <f>IF(Tables!$B$21=15,0,IF(AY191&gt;($CP191+$BF$4),1,0))</f>
        <v>0</v>
      </c>
      <c r="BB191" s="926">
        <f>IF(Tables!$E$30="New York",INDEX('NY Curve'!$A$4:$M$256,MATCH('Monthly Table'!$B191,'NY Curve'!$A$4:$A$256,0),MATCH("NY Sunday Super Peak",'NY Curve'!$A$4:$M$4,0)),IF(Tables!$E$30="Michigan",INDEX('Michigan Curve'!$A$4:$L$256,MATCH('Monthly Table'!$B191,'Michigan Curve'!$A$4:$A$256,0),MATCH("Michigan Sunday Super Peak",'Michigan Curve'!$A$4:$L$4,0))))</f>
        <v>21.42</v>
      </c>
      <c r="BC191" s="925">
        <f t="shared" si="124"/>
        <v>27.27368984376912</v>
      </c>
      <c r="BD191" s="927">
        <f t="shared" si="113"/>
        <v>1</v>
      </c>
      <c r="BF191" s="598">
        <f t="shared" si="104"/>
        <v>42370</v>
      </c>
      <c r="BG191" s="583">
        <f t="shared" si="125"/>
        <v>0</v>
      </c>
      <c r="BH191" s="764">
        <f>IF(Tables!$B$36="Combined Cycle",(BF191-BF190)*24*Assumptions!$B$21,0)</f>
        <v>0</v>
      </c>
      <c r="BI191" s="315">
        <f t="shared" si="126"/>
        <v>0</v>
      </c>
      <c r="BJ191" s="987">
        <f>IF('Monthly Table'!D191&lt;=Tables!$B$21,IF($BJ$10=$BG$10,BG191,IF($BJ$10=$BH$10,BH191,IF($BJ$10=$BI$10,BI191,0))),0)</f>
        <v>0</v>
      </c>
      <c r="BK191" s="43"/>
      <c r="BL191" s="987">
        <f t="shared" si="127"/>
        <v>0</v>
      </c>
      <c r="BM191" s="987">
        <f t="shared" si="128"/>
        <v>48</v>
      </c>
      <c r="BO191" s="987">
        <f t="shared" si="114"/>
        <v>0</v>
      </c>
      <c r="BP191" s="987">
        <f t="shared" si="129"/>
        <v>0</v>
      </c>
      <c r="BR191" s="993">
        <f>IF(BJ191&gt;0,INDEX(OperationalDetail,MATCH("Capacity Degradation",ODColumn,0),MATCH('Monthly Table'!C191,ODRow,0)),0)</f>
        <v>0</v>
      </c>
      <c r="BS191" s="994">
        <f>BJ191*(1-BR191)*Tables!$C$36</f>
        <v>0</v>
      </c>
      <c r="BT191" s="601">
        <f t="shared" si="115"/>
        <v>0</v>
      </c>
      <c r="BU191" s="601">
        <f t="shared" si="116"/>
        <v>0</v>
      </c>
      <c r="BV191" s="462"/>
      <c r="BW191" s="785">
        <f>$BO191*(1-$BR191)*Tables!$C$36</f>
        <v>0</v>
      </c>
      <c r="BX191" s="602">
        <f t="shared" si="130"/>
        <v>0</v>
      </c>
      <c r="BY191" s="601">
        <f t="shared" si="131"/>
        <v>0</v>
      </c>
      <c r="BZ191" s="462"/>
      <c r="CA191" s="785">
        <f>$BL191*(1-$BR191)*Tables!$C$36</f>
        <v>0</v>
      </c>
      <c r="CB191" s="602">
        <f t="shared" si="132"/>
        <v>0</v>
      </c>
      <c r="CC191" s="601">
        <f t="shared" si="133"/>
        <v>0</v>
      </c>
      <c r="CD191" s="785">
        <f>$BP191*(1-$BR191)*Tables!$C$36</f>
        <v>0</v>
      </c>
      <c r="CE191" s="602">
        <f t="shared" si="134"/>
        <v>0</v>
      </c>
      <c r="CF191" s="601">
        <f t="shared" si="135"/>
        <v>0</v>
      </c>
      <c r="CH191" s="785">
        <f>$BM191*(1-$BR191)*Tables!$C$36</f>
        <v>15552</v>
      </c>
      <c r="CI191" s="602">
        <f t="shared" si="136"/>
        <v>333.12384000000003</v>
      </c>
      <c r="CJ191" s="601">
        <f t="shared" si="137"/>
        <v>424.16042445029734</v>
      </c>
      <c r="CK191" s="304"/>
      <c r="CL191" s="304">
        <f t="shared" si="138"/>
        <v>2015</v>
      </c>
      <c r="CM191" s="1018">
        <f>INDEX(OperationalDetail,MATCH("Degraded Heat Rate",ODColumn,0),MATCH('Monthly Table'!CL191,ODRow,0))/1000</f>
        <v>12.020039200000001</v>
      </c>
      <c r="CN191" s="737">
        <f t="shared" si="117"/>
        <v>6.3889759211428467</v>
      </c>
      <c r="CO191" s="1019">
        <f>IF(A191="January",(CO190*(1+Assumptions!$E$32)),CO190)</f>
        <v>9.0652644263244699</v>
      </c>
      <c r="CP191" s="741">
        <f t="shared" si="105"/>
        <v>15.454240347467316</v>
      </c>
      <c r="CQ191" s="304"/>
      <c r="CR191" s="575" t="str">
        <f t="shared" si="139"/>
        <v/>
      </c>
      <c r="CS191" s="575" t="str">
        <f t="shared" si="140"/>
        <v/>
      </c>
      <c r="CT191" s="575" t="str">
        <f t="shared" si="141"/>
        <v/>
      </c>
      <c r="CU191" s="575" t="str">
        <f t="shared" si="142"/>
        <v/>
      </c>
      <c r="CV191" s="575">
        <f t="shared" si="143"/>
        <v>2016</v>
      </c>
      <c r="CW191" s="576">
        <f t="shared" si="106"/>
        <v>2016</v>
      </c>
      <c r="CX191" s="787">
        <f>INDEX('NY Curve'!$A$4:$G$256,MATCH('Monthly Table'!B191,'NY Curve'!$A$4:$A$256,0),MATCH("New York 5 X 16",'NY Curve'!$A$4:$G$4,0))</f>
        <v>34.25</v>
      </c>
      <c r="CY191" s="632">
        <f t="shared" si="107"/>
        <v>1.27328150531135</v>
      </c>
      <c r="CZ191" s="633">
        <f t="shared" si="108"/>
        <v>43.609891556913738</v>
      </c>
      <c r="DB191" s="857"/>
      <c r="DC191" s="857"/>
    </row>
    <row r="192" spans="1:107" ht="18.75" customHeight="1">
      <c r="A192" s="17" t="s">
        <v>438</v>
      </c>
      <c r="B192" s="508">
        <v>42401</v>
      </c>
      <c r="C192" s="43">
        <f t="shared" si="97"/>
        <v>2016</v>
      </c>
      <c r="D192" s="719">
        <f t="shared" si="144"/>
        <v>16</v>
      </c>
      <c r="E192" s="972">
        <v>21</v>
      </c>
      <c r="F192" s="971">
        <v>4</v>
      </c>
      <c r="G192" s="971">
        <v>4</v>
      </c>
      <c r="H192" s="971">
        <v>0</v>
      </c>
      <c r="I192" s="976">
        <f t="shared" si="118"/>
        <v>29</v>
      </c>
      <c r="J192" s="621"/>
      <c r="K192" s="572">
        <f>INDEX(FX!$A$3:$C$362,MATCH(B192,FX!$A$3:$A$362,0),MATCH("Monthly Curve",FX!$A$2:$C$2,0))</f>
        <v>1.27264530155158</v>
      </c>
      <c r="L192" s="572"/>
      <c r="M192" s="724"/>
      <c r="N192" s="746"/>
      <c r="O192" s="877">
        <v>0.1</v>
      </c>
      <c r="P192" s="797">
        <f t="shared" si="99"/>
        <v>0.1</v>
      </c>
      <c r="Q192" s="732">
        <f t="shared" si="100"/>
        <v>0.1</v>
      </c>
      <c r="R192" s="723">
        <f>IF(A192="January",(R191+R191*Assumptions!$E$32),R191)</f>
        <v>0.40419889483347954</v>
      </c>
      <c r="S192" s="730">
        <f t="shared" si="101"/>
        <v>0.53146342498863752</v>
      </c>
      <c r="T192" s="572"/>
      <c r="U192" s="507"/>
      <c r="V192" s="583"/>
      <c r="W192" s="583"/>
      <c r="X192" s="587"/>
      <c r="Y192" s="588">
        <f>Tables!$D$36</f>
        <v>312</v>
      </c>
      <c r="Z192" s="570">
        <f t="shared" si="102"/>
        <v>0</v>
      </c>
      <c r="AA192" s="592">
        <f t="shared" si="103"/>
        <v>0</v>
      </c>
      <c r="AB192" s="589">
        <f t="shared" si="98"/>
        <v>0</v>
      </c>
      <c r="AC192" s="462"/>
      <c r="AD192" s="1027">
        <f>IF(Tables!$E$30="Michigan",INDEX('Michigan Curve'!$A$4:$S$256,MATCH('Monthly Table'!B192,'Michigan Curve'!$A$4:$A$256,0),MATCH("Michigan Selected Option Value US$/month",'Michigan Curve'!$A$4:$S$4,0)),INDEX('NY Curve'!$A$4:$T$256,MATCH('Monthly Table'!B192,'NY Curve'!$A$4:$A$256,0),MATCH("New York Selected Option Value US$/month",'NY Curve'!$A$4:$T$4,0)))</f>
        <v>0</v>
      </c>
      <c r="AE192" s="601">
        <f t="shared" si="119"/>
        <v>0</v>
      </c>
      <c r="AF192" s="462"/>
      <c r="AG192" s="915"/>
      <c r="AH192" s="17"/>
      <c r="AI192" s="799">
        <f>Assumptions!$B$50</f>
        <v>65</v>
      </c>
      <c r="AJ192" s="743"/>
      <c r="AK192" s="924">
        <f>IF(Tables!$E$30="Custom",'Monthly Table'!AI192,IF(Tables!$E$30="New York",INDEX('NY Curve'!$A$4:$G$256,MATCH('Monthly Table'!B192,'NY Curve'!$A$4:$A$256,0),MATCH("Super Peak Curve",'NY Curve'!$A$4:$G$4,0)),IF(Tables!$E$30="New York Flat",INDEX('NY Curve'!$A$4:$G$256,MATCH('Monthly Table'!B192,'NY Curve'!$A$4:$A$256,0),MATCH("Flat NY West",'NY Curve'!$A$4:$G$4,0)),INDEX('Michigan Curve'!$A$4:$F$256,MATCH('Monthly Table'!B192,'Michigan Curve'!$A$4:$A$256,0),MATCH("Michigan Super Peak Curve US$/MWhr",'Michigan Curve'!$A$4:$F$4,0)))))</f>
        <v>36.923998443603516</v>
      </c>
      <c r="AL192" s="965">
        <f>IF(D192&lt;=Tables!$B$21,IF($AL$10=$AI$10,AI192,IF($AL$10=$AJ$10,AJ192,IF($AL$10=$AK$10,AK192,0))),0)</f>
        <v>0</v>
      </c>
      <c r="AM192" s="708">
        <f t="shared" si="120"/>
        <v>0</v>
      </c>
      <c r="AN192" s="916">
        <f t="shared" si="121"/>
        <v>0</v>
      </c>
      <c r="AO192" s="905"/>
      <c r="AP192" s="925"/>
      <c r="AQ192" s="926">
        <f>IF(Tables!$E$30="New York",INDEX('NY Curve'!$A$4:$L$256,MATCH('Monthly Table'!B192,'NY Curve'!$A$4:$A$256,0),MATCH("New York Shoulder Hour Curve Mon-Fri",'NY Curve'!$A$4:$L$4,0)),IF(Tables!$E$30="Michigan",INDEX('Michigan Curve'!$A$4:$K$256,MATCH('Monthly Table'!B192,'Michigan Curve'!$A$4:$A$256,0),MATCH("Michigan Shoulder Hour Curve Mon-Fri",'Michigan Curve'!$A$4:$K$4,0))))</f>
        <v>35.475998504638675</v>
      </c>
      <c r="AR192" s="708">
        <f t="shared" si="122"/>
        <v>45.148362814779283</v>
      </c>
      <c r="AS192" s="927">
        <f t="shared" si="109"/>
        <v>1</v>
      </c>
      <c r="AU192" s="926">
        <f>IF(Tables!$E$30="New York",INDEX('NY Curve'!$A$4:$L$256,MATCH('Monthly Table'!$B192,'NY Curve'!$A$4:$A$256,0),MATCH("New York Saturday Super Peak",'NY Curve'!$A$4:$L$4,0)),IF(Tables!$E$30="Michigan",INDEX('Michigan Curve'!$A$4:$K$256,MATCH('Monthly Table'!$B192,'Michigan Curve'!$A$4:$A$256,0),MATCH("Michigan Saturday Super Peak",'Michigan Curve'!$A$4:$K$4,0))))</f>
        <v>22.435920295715331</v>
      </c>
      <c r="AV192" s="925">
        <f t="shared" si="110"/>
        <v>28.552968550327851</v>
      </c>
      <c r="AW192" s="927">
        <f>IF(Tables!$B$21=15,0,IF(AV192&gt;($CP192+$BF$4),1,0))</f>
        <v>0</v>
      </c>
      <c r="AX192" s="926">
        <f>IF(Tables!$E$30="New York",INDEX('NY Curve'!$A$4:$L$256,MATCH('Monthly Table'!$B192,'NY Curve'!$A$4:$A$256,0),MATCH("New York Saturday Shoulder Peak",'NY Curve'!$A$4:$L$4,0)),IF(Tables!$E$30="Michigan",INDEX('Michigan Curve'!$A$4:$K$256,MATCH('Monthly Table'!$B192,'Michigan Curve'!$A$4:$A$256,0),MATCH("Michigan Saturday Shoulder Peak",'Michigan Curve'!$A$4:$K$4,0))))</f>
        <v>21.556080284118654</v>
      </c>
      <c r="AY192" s="934">
        <f t="shared" si="123"/>
        <v>27.433244293452251</v>
      </c>
      <c r="AZ192" s="927">
        <f>IF(Tables!$B$21=15,0,IF(AY192&gt;($CP192+$BF$4),1,0))</f>
        <v>0</v>
      </c>
      <c r="BB192" s="926">
        <f>IF(Tables!$E$30="New York",INDEX('NY Curve'!$A$4:$M$256,MATCH('Monthly Table'!$B192,'NY Curve'!$A$4:$A$256,0),MATCH("NY Sunday Super Peak",'NY Curve'!$A$4:$M$4,0)),IF(Tables!$E$30="Michigan",INDEX('Michigan Curve'!$A$4:$L$256,MATCH('Monthly Table'!$B192,'Michigan Curve'!$A$4:$A$256,0),MATCH("Michigan Sunday Super Peak",'Michigan Curve'!$A$4:$L$4,0))))</f>
        <v>21.416431961059569</v>
      </c>
      <c r="BC192" s="925">
        <f t="shared" si="124"/>
        <v>27.25552151124155</v>
      </c>
      <c r="BD192" s="927">
        <f t="shared" si="113"/>
        <v>1</v>
      </c>
      <c r="BF192" s="598">
        <f t="shared" si="104"/>
        <v>42401</v>
      </c>
      <c r="BG192" s="583">
        <f t="shared" si="125"/>
        <v>0</v>
      </c>
      <c r="BH192" s="764">
        <f>IF(Tables!$B$36="Combined Cycle",(BF192-BF191)*24*Assumptions!$B$21,0)</f>
        <v>0</v>
      </c>
      <c r="BI192" s="315">
        <f t="shared" si="126"/>
        <v>0</v>
      </c>
      <c r="BJ192" s="987">
        <f>IF('Monthly Table'!D192&lt;=Tables!$B$21,IF($BJ$10=$BG$10,BG192,IF($BJ$10=$BH$10,BH192,IF($BJ$10=$BI$10,BI192,0))),0)</f>
        <v>0</v>
      </c>
      <c r="BK192" s="43"/>
      <c r="BL192" s="987">
        <f t="shared" si="127"/>
        <v>0</v>
      </c>
      <c r="BM192" s="987">
        <f t="shared" si="128"/>
        <v>32</v>
      </c>
      <c r="BO192" s="987">
        <f t="shared" si="114"/>
        <v>0</v>
      </c>
      <c r="BP192" s="987">
        <f t="shared" si="129"/>
        <v>0</v>
      </c>
      <c r="BR192" s="993">
        <f>IF(BJ192&gt;0,INDEX(OperationalDetail,MATCH("Capacity Degradation",ODColumn,0),MATCH('Monthly Table'!C192,ODRow,0)),0)</f>
        <v>0</v>
      </c>
      <c r="BS192" s="994">
        <f>BJ192*(1-BR192)*Tables!$C$36</f>
        <v>0</v>
      </c>
      <c r="BT192" s="601">
        <f t="shared" si="115"/>
        <v>0</v>
      </c>
      <c r="BU192" s="601">
        <f t="shared" si="116"/>
        <v>0</v>
      </c>
      <c r="BV192" s="462"/>
      <c r="BW192" s="785">
        <f>$BO192*(1-$BR192)*Tables!$C$36</f>
        <v>0</v>
      </c>
      <c r="BX192" s="602">
        <f t="shared" si="130"/>
        <v>0</v>
      </c>
      <c r="BY192" s="601">
        <f t="shared" si="131"/>
        <v>0</v>
      </c>
      <c r="BZ192" s="462"/>
      <c r="CA192" s="785">
        <f>$BL192*(1-$BR192)*Tables!$C$36</f>
        <v>0</v>
      </c>
      <c r="CB192" s="602">
        <f t="shared" si="132"/>
        <v>0</v>
      </c>
      <c r="CC192" s="601">
        <f t="shared" si="133"/>
        <v>0</v>
      </c>
      <c r="CD192" s="785">
        <f>$BP192*(1-$BR192)*Tables!$C$36</f>
        <v>0</v>
      </c>
      <c r="CE192" s="602">
        <f t="shared" si="134"/>
        <v>0</v>
      </c>
      <c r="CF192" s="601">
        <f t="shared" si="135"/>
        <v>0</v>
      </c>
      <c r="CH192" s="785">
        <f>$BM192*(1-$BR192)*Tables!$C$36</f>
        <v>10368</v>
      </c>
      <c r="CI192" s="602">
        <f t="shared" si="136"/>
        <v>222.04556657226561</v>
      </c>
      <c r="CJ192" s="601">
        <f t="shared" si="137"/>
        <v>282.58524702855237</v>
      </c>
      <c r="CK192" s="304"/>
      <c r="CL192" s="304">
        <f t="shared" si="138"/>
        <v>2015</v>
      </c>
      <c r="CM192" s="1018">
        <f>INDEX(OperationalDetail,MATCH("Degraded Heat Rate",ODColumn,0),MATCH('Monthly Table'!CL192,ODRow,0))/1000</f>
        <v>12.020039200000001</v>
      </c>
      <c r="CN192" s="737">
        <f t="shared" si="117"/>
        <v>6.3882112017296828</v>
      </c>
      <c r="CO192" s="1019">
        <f>IF(A192="January",(CO191*(1+Assumptions!$E$32)),CO191)</f>
        <v>9.0652644263244699</v>
      </c>
      <c r="CP192" s="741">
        <f t="shared" si="105"/>
        <v>15.453475628054154</v>
      </c>
      <c r="CQ192" s="304"/>
      <c r="CR192" s="575" t="str">
        <f t="shared" si="139"/>
        <v/>
      </c>
      <c r="CS192" s="575" t="str">
        <f t="shared" si="140"/>
        <v/>
      </c>
      <c r="CT192" s="575" t="str">
        <f t="shared" si="141"/>
        <v/>
      </c>
      <c r="CU192" s="575" t="str">
        <f t="shared" si="142"/>
        <v/>
      </c>
      <c r="CV192" s="575">
        <f t="shared" si="143"/>
        <v>2016</v>
      </c>
      <c r="CW192" s="576">
        <f t="shared" si="106"/>
        <v>2016</v>
      </c>
      <c r="CX192" s="787">
        <f>INDEX('NY Curve'!$A$4:$G$256,MATCH('Monthly Table'!B192,'NY Curve'!$A$4:$A$256,0),MATCH("New York 5 X 16",'NY Curve'!$A$4:$G$4,0))</f>
        <v>34.25</v>
      </c>
      <c r="CY192" s="632">
        <f t="shared" si="107"/>
        <v>1.27264530155158</v>
      </c>
      <c r="CZ192" s="633">
        <f t="shared" si="108"/>
        <v>43.588101578141611</v>
      </c>
      <c r="DB192" s="857"/>
      <c r="DC192" s="857"/>
    </row>
    <row r="193" spans="1:107" ht="18.75" customHeight="1">
      <c r="A193" s="17" t="s">
        <v>439</v>
      </c>
      <c r="B193" s="508">
        <v>42430</v>
      </c>
      <c r="C193" s="43">
        <f t="shared" si="97"/>
        <v>2016</v>
      </c>
      <c r="D193" s="719">
        <f t="shared" si="144"/>
        <v>16</v>
      </c>
      <c r="E193" s="972">
        <v>23</v>
      </c>
      <c r="F193" s="971">
        <v>4</v>
      </c>
      <c r="G193" s="971">
        <v>4</v>
      </c>
      <c r="H193" s="971">
        <v>0</v>
      </c>
      <c r="I193" s="976">
        <f t="shared" si="118"/>
        <v>31</v>
      </c>
      <c r="J193" s="621"/>
      <c r="K193" s="572">
        <f>INDEX(FX!$A$3:$C$362,MATCH(B193,FX!$A$3:$A$362,0),MATCH("Monthly Curve",FX!$A$2:$C$2,0))</f>
        <v>1.2720530300692401</v>
      </c>
      <c r="L193" s="572"/>
      <c r="M193" s="724"/>
      <c r="N193" s="746"/>
      <c r="O193" s="877">
        <v>0.1</v>
      </c>
      <c r="P193" s="797">
        <f t="shared" si="99"/>
        <v>0.1</v>
      </c>
      <c r="Q193" s="732">
        <f t="shared" si="100"/>
        <v>0.1</v>
      </c>
      <c r="R193" s="723">
        <f>IF(A193="January",(R192+R192*Assumptions!$E$32),R192)</f>
        <v>0.40419889483347954</v>
      </c>
      <c r="S193" s="730">
        <f t="shared" si="101"/>
        <v>0.5314041978404036</v>
      </c>
      <c r="T193" s="572"/>
      <c r="U193" s="507"/>
      <c r="V193" s="583"/>
      <c r="W193" s="583"/>
      <c r="X193" s="587"/>
      <c r="Y193" s="588">
        <f>Tables!$D$36</f>
        <v>312</v>
      </c>
      <c r="Z193" s="570">
        <f t="shared" si="102"/>
        <v>0</v>
      </c>
      <c r="AA193" s="592">
        <f t="shared" si="103"/>
        <v>0</v>
      </c>
      <c r="AB193" s="589">
        <f t="shared" si="98"/>
        <v>0</v>
      </c>
      <c r="AC193" s="462"/>
      <c r="AD193" s="1027">
        <f>IF(Tables!$E$30="Michigan",INDEX('Michigan Curve'!$A$4:$S$256,MATCH('Monthly Table'!B193,'Michigan Curve'!$A$4:$A$256,0),MATCH("Michigan Selected Option Value US$/month",'Michigan Curve'!$A$4:$S$4,0)),INDEX('NY Curve'!$A$4:$T$256,MATCH('Monthly Table'!B193,'NY Curve'!$A$4:$A$256,0),MATCH("New York Selected Option Value US$/month",'NY Curve'!$A$4:$T$4,0)))</f>
        <v>0</v>
      </c>
      <c r="AE193" s="601">
        <f t="shared" si="119"/>
        <v>0</v>
      </c>
      <c r="AF193" s="462"/>
      <c r="AG193" s="915"/>
      <c r="AH193" s="17"/>
      <c r="AI193" s="799">
        <f>Assumptions!$B$50</f>
        <v>65</v>
      </c>
      <c r="AJ193" s="743"/>
      <c r="AK193" s="924">
        <f>IF(Tables!$E$30="Custom",'Monthly Table'!AI193,IF(Tables!$E$30="New York",INDEX('NY Curve'!$A$4:$G$256,MATCH('Monthly Table'!B193,'NY Curve'!$A$4:$A$256,0),MATCH("Super Peak Curve",'NY Curve'!$A$4:$G$4,0)),IF(Tables!$E$30="New York Flat",INDEX('NY Curve'!$A$4:$G$256,MATCH('Monthly Table'!B193,'NY Curve'!$A$4:$A$256,0),MATCH("Flat NY West",'NY Curve'!$A$4:$G$4,0)),INDEX('Michigan Curve'!$A$4:$F$256,MATCH('Monthly Table'!B193,'Michigan Curve'!$A$4:$A$256,0),MATCH("Michigan Super Peak Curve US$/MWhr",'Michigan Curve'!$A$4:$F$4,0)))))</f>
        <v>31.62</v>
      </c>
      <c r="AL193" s="965">
        <f>IF(D193&lt;=Tables!$B$21,IF($AL$10=$AI$10,AI193,IF($AL$10=$AJ$10,AJ193,IF($AL$10=$AK$10,AK193,0))),0)</f>
        <v>0</v>
      </c>
      <c r="AM193" s="708">
        <f t="shared" si="120"/>
        <v>0</v>
      </c>
      <c r="AN193" s="916">
        <f t="shared" si="121"/>
        <v>0</v>
      </c>
      <c r="AO193" s="905"/>
      <c r="AP193" s="925"/>
      <c r="AQ193" s="926">
        <f>IF(Tables!$E$30="New York",INDEX('NY Curve'!$A$4:$L$256,MATCH('Monthly Table'!B193,'NY Curve'!$A$4:$A$256,0),MATCH("New York Shoulder Hour Curve Mon-Fri",'NY Curve'!$A$4:$L$4,0)),IF(Tables!$E$30="Michigan",INDEX('Michigan Curve'!$A$4:$K$256,MATCH('Monthly Table'!B193,'Michigan Curve'!$A$4:$A$256,0),MATCH("Michigan Shoulder Hour Curve Mon-Fri",'Michigan Curve'!$A$4:$K$4,0))))</f>
        <v>30.38</v>
      </c>
      <c r="AR193" s="708">
        <f t="shared" si="122"/>
        <v>38.644971053503511</v>
      </c>
      <c r="AS193" s="927">
        <f t="shared" si="109"/>
        <v>1</v>
      </c>
      <c r="AU193" s="926">
        <f>IF(Tables!$E$30="New York",INDEX('NY Curve'!$A$4:$L$256,MATCH('Monthly Table'!$B193,'NY Curve'!$A$4:$A$256,0),MATCH("New York Saturday Super Peak",'NY Curve'!$A$4:$L$4,0)),IF(Tables!$E$30="Michigan",INDEX('Michigan Curve'!$A$4:$K$256,MATCH('Monthly Table'!$B193,'Michigan Curve'!$A$4:$A$256,0),MATCH("Michigan Saturday Super Peak",'Michigan Curve'!$A$4:$K$4,0))))</f>
        <v>20.399999999999999</v>
      </c>
      <c r="AV193" s="925">
        <f t="shared" si="110"/>
        <v>25.949881813412496</v>
      </c>
      <c r="AW193" s="927">
        <f>IF(Tables!$B$21=15,0,IF(AV193&gt;($CP193+$BF$4),1,0))</f>
        <v>0</v>
      </c>
      <c r="AX193" s="926">
        <f>IF(Tables!$E$30="New York",INDEX('NY Curve'!$A$4:$L$256,MATCH('Monthly Table'!$B193,'NY Curve'!$A$4:$A$256,0),MATCH("New York Saturday Shoulder Peak",'NY Curve'!$A$4:$L$4,0)),IF(Tables!$E$30="Michigan",INDEX('Michigan Curve'!$A$4:$K$256,MATCH('Monthly Table'!$B193,'Michigan Curve'!$A$4:$A$256,0),MATCH("Michigan Saturday Shoulder Peak",'Michigan Curve'!$A$4:$K$4,0))))</f>
        <v>19.600000000000001</v>
      </c>
      <c r="AY193" s="934">
        <f t="shared" si="123"/>
        <v>24.932239389357107</v>
      </c>
      <c r="AZ193" s="927">
        <f>IF(Tables!$B$21=15,0,IF(AY193&gt;($CP193+$BF$4),1,0))</f>
        <v>0</v>
      </c>
      <c r="BB193" s="926">
        <f>IF(Tables!$E$30="New York",INDEX('NY Curve'!$A$4:$M$256,MATCH('Monthly Table'!$B193,'NY Curve'!$A$4:$A$256,0),MATCH("NY Sunday Super Peak",'NY Curve'!$A$4:$M$4,0)),IF(Tables!$E$30="Michigan",INDEX('Michigan Curve'!$A$4:$L$256,MATCH('Monthly Table'!$B193,'Michigan Curve'!$A$4:$A$256,0),MATCH("Michigan Sunday Super Peak",'Michigan Curve'!$A$4:$L$4,0))))</f>
        <v>19.38</v>
      </c>
      <c r="BC193" s="925">
        <f t="shared" si="124"/>
        <v>24.652387722741871</v>
      </c>
      <c r="BD193" s="927">
        <f t="shared" si="113"/>
        <v>1</v>
      </c>
      <c r="BF193" s="598">
        <f t="shared" si="104"/>
        <v>42430</v>
      </c>
      <c r="BG193" s="583">
        <f t="shared" si="125"/>
        <v>0</v>
      </c>
      <c r="BH193" s="764">
        <f>IF(Tables!$B$36="Combined Cycle",(BF193-BF192)*24*Assumptions!$B$21,0)</f>
        <v>0</v>
      </c>
      <c r="BI193" s="315">
        <f t="shared" si="126"/>
        <v>0</v>
      </c>
      <c r="BJ193" s="987">
        <f>IF('Monthly Table'!D193&lt;=Tables!$B$21,IF($BJ$10=$BG$10,BG193,IF($BJ$10=$BH$10,BH193,IF($BJ$10=$BI$10,BI193,0))),0)</f>
        <v>0</v>
      </c>
      <c r="BK193" s="43"/>
      <c r="BL193" s="987">
        <f t="shared" si="127"/>
        <v>0</v>
      </c>
      <c r="BM193" s="987">
        <f t="shared" si="128"/>
        <v>32</v>
      </c>
      <c r="BO193" s="987">
        <f t="shared" si="114"/>
        <v>0</v>
      </c>
      <c r="BP193" s="987">
        <f t="shared" si="129"/>
        <v>0</v>
      </c>
      <c r="BR193" s="993">
        <f>IF(BJ193&gt;0,INDEX(OperationalDetail,MATCH("Capacity Degradation",ODColumn,0),MATCH('Monthly Table'!C193,ODRow,0)),0)</f>
        <v>0</v>
      </c>
      <c r="BS193" s="994">
        <f>BJ193*(1-BR193)*Tables!$C$36</f>
        <v>0</v>
      </c>
      <c r="BT193" s="601">
        <f t="shared" si="115"/>
        <v>0</v>
      </c>
      <c r="BU193" s="601">
        <f t="shared" si="116"/>
        <v>0</v>
      </c>
      <c r="BV193" s="462"/>
      <c r="BW193" s="785">
        <f>$BO193*(1-$BR193)*Tables!$C$36</f>
        <v>0</v>
      </c>
      <c r="BX193" s="602">
        <f t="shared" si="130"/>
        <v>0</v>
      </c>
      <c r="BY193" s="601">
        <f t="shared" si="131"/>
        <v>0</v>
      </c>
      <c r="BZ193" s="462"/>
      <c r="CA193" s="785">
        <f>$BL193*(1-$BR193)*Tables!$C$36</f>
        <v>0</v>
      </c>
      <c r="CB193" s="602">
        <f t="shared" si="132"/>
        <v>0</v>
      </c>
      <c r="CC193" s="601">
        <f t="shared" si="133"/>
        <v>0</v>
      </c>
      <c r="CD193" s="785">
        <f>$BP193*(1-$BR193)*Tables!$C$36</f>
        <v>0</v>
      </c>
      <c r="CE193" s="602">
        <f t="shared" si="134"/>
        <v>0</v>
      </c>
      <c r="CF193" s="601">
        <f t="shared" si="135"/>
        <v>0</v>
      </c>
      <c r="CH193" s="785">
        <f>$BM193*(1-$BR193)*Tables!$C$36</f>
        <v>10368</v>
      </c>
      <c r="CI193" s="602">
        <f t="shared" si="136"/>
        <v>200.93183999999999</v>
      </c>
      <c r="CJ193" s="601">
        <f t="shared" si="137"/>
        <v>255.59595590938773</v>
      </c>
      <c r="CK193" s="304"/>
      <c r="CL193" s="304">
        <f t="shared" si="138"/>
        <v>2015</v>
      </c>
      <c r="CM193" s="1018">
        <f>INDEX(OperationalDetail,MATCH("Degraded Heat Rate",ODColumn,0),MATCH('Monthly Table'!CL193,ODRow,0))/1000</f>
        <v>12.020039200000001</v>
      </c>
      <c r="CN193" s="737">
        <f t="shared" si="117"/>
        <v>6.3874992890862075</v>
      </c>
      <c r="CO193" s="1019">
        <f>IF(A193="January",(CO192*(1+Assumptions!$E$32)),CO192)</f>
        <v>9.0652644263244699</v>
      </c>
      <c r="CP193" s="741">
        <f t="shared" si="105"/>
        <v>15.452763715410677</v>
      </c>
      <c r="CQ193" s="304"/>
      <c r="CR193" s="575" t="str">
        <f t="shared" si="139"/>
        <v/>
      </c>
      <c r="CS193" s="575" t="str">
        <f t="shared" si="140"/>
        <v/>
      </c>
      <c r="CT193" s="575" t="str">
        <f t="shared" si="141"/>
        <v/>
      </c>
      <c r="CU193" s="575" t="str">
        <f t="shared" si="142"/>
        <v/>
      </c>
      <c r="CV193" s="575">
        <f t="shared" si="143"/>
        <v>2016</v>
      </c>
      <c r="CW193" s="576">
        <f t="shared" si="106"/>
        <v>2016</v>
      </c>
      <c r="CX193" s="787">
        <f>INDEX('NY Curve'!$A$4:$G$256,MATCH('Monthly Table'!B193,'NY Curve'!$A$4:$A$256,0),MATCH("New York 5 X 16",'NY Curve'!$A$4:$G$4,0))</f>
        <v>29.25</v>
      </c>
      <c r="CY193" s="632">
        <f t="shared" si="107"/>
        <v>1.2720530300692401</v>
      </c>
      <c r="CZ193" s="633">
        <f t="shared" si="108"/>
        <v>37.207551129525271</v>
      </c>
      <c r="DB193" s="857"/>
      <c r="DC193" s="857"/>
    </row>
    <row r="194" spans="1:107" ht="18.75" customHeight="1">
      <c r="A194" s="17" t="s">
        <v>440</v>
      </c>
      <c r="B194" s="508">
        <v>42461</v>
      </c>
      <c r="C194" s="43">
        <f t="shared" si="97"/>
        <v>2016</v>
      </c>
      <c r="D194" s="719">
        <f t="shared" si="144"/>
        <v>16</v>
      </c>
      <c r="E194" s="972">
        <v>21</v>
      </c>
      <c r="F194" s="971">
        <v>5</v>
      </c>
      <c r="G194" s="971">
        <v>4</v>
      </c>
      <c r="H194" s="971">
        <v>0</v>
      </c>
      <c r="I194" s="976">
        <f t="shared" si="118"/>
        <v>30</v>
      </c>
      <c r="J194" s="621"/>
      <c r="K194" s="572">
        <f>INDEX(FX!$A$3:$C$362,MATCH(B194,FX!$A$3:$A$362,0),MATCH("Monthly Curve",FX!$A$2:$C$2,0))</f>
        <v>1.27142299401321</v>
      </c>
      <c r="L194" s="572"/>
      <c r="M194" s="724"/>
      <c r="N194" s="746"/>
      <c r="O194" s="877">
        <v>0.1</v>
      </c>
      <c r="P194" s="797">
        <f t="shared" si="99"/>
        <v>0.1</v>
      </c>
      <c r="Q194" s="732">
        <f t="shared" si="100"/>
        <v>0.1</v>
      </c>
      <c r="R194" s="723">
        <f>IF(A194="January",(R193+R193*Assumptions!$E$32),R193)</f>
        <v>0.40419889483347954</v>
      </c>
      <c r="S194" s="730">
        <f t="shared" si="101"/>
        <v>0.53134119423480053</v>
      </c>
      <c r="T194" s="572"/>
      <c r="U194" s="507"/>
      <c r="V194" s="583"/>
      <c r="W194" s="583"/>
      <c r="X194" s="587"/>
      <c r="Y194" s="588">
        <f>Tables!$D$36</f>
        <v>312</v>
      </c>
      <c r="Z194" s="570">
        <f t="shared" si="102"/>
        <v>0</v>
      </c>
      <c r="AA194" s="592">
        <f t="shared" si="103"/>
        <v>0</v>
      </c>
      <c r="AB194" s="589">
        <f t="shared" si="98"/>
        <v>0</v>
      </c>
      <c r="AC194" s="462"/>
      <c r="AD194" s="1027">
        <f>IF(Tables!$E$30="Michigan",INDEX('Michigan Curve'!$A$4:$S$256,MATCH('Monthly Table'!B194,'Michigan Curve'!$A$4:$A$256,0),MATCH("Michigan Selected Option Value US$/month",'Michigan Curve'!$A$4:$S$4,0)),INDEX('NY Curve'!$A$4:$T$256,MATCH('Monthly Table'!B194,'NY Curve'!$A$4:$A$256,0),MATCH("New York Selected Option Value US$/month",'NY Curve'!$A$4:$T$4,0)))</f>
        <v>0</v>
      </c>
      <c r="AE194" s="601">
        <f t="shared" si="119"/>
        <v>0</v>
      </c>
      <c r="AF194" s="462"/>
      <c r="AG194" s="915"/>
      <c r="AH194" s="17"/>
      <c r="AI194" s="799">
        <f>Assumptions!$B$50</f>
        <v>65</v>
      </c>
      <c r="AJ194" s="743"/>
      <c r="AK194" s="924">
        <f>IF(Tables!$E$30="Custom",'Monthly Table'!AI194,IF(Tables!$E$30="New York",INDEX('NY Curve'!$A$4:$G$256,MATCH('Monthly Table'!B194,'NY Curve'!$A$4:$A$256,0),MATCH("Super Peak Curve",'NY Curve'!$A$4:$G$4,0)),IF(Tables!$E$30="New York Flat",INDEX('NY Curve'!$A$4:$G$256,MATCH('Monthly Table'!B194,'NY Curve'!$A$4:$A$256,0),MATCH("Flat NY West",'NY Curve'!$A$4:$G$4,0)),INDEX('Michigan Curve'!$A$4:$F$256,MATCH('Monthly Table'!B194,'Michigan Curve'!$A$4:$A$256,0),MATCH("Michigan Super Peak Curve US$/MWhr",'Michigan Curve'!$A$4:$F$4,0)))))</f>
        <v>31.25</v>
      </c>
      <c r="AL194" s="965">
        <f>IF(D194&lt;=Tables!$B$21,IF($AL$10=$AI$10,AI194,IF($AL$10=$AJ$10,AJ194,IF($AL$10=$AK$10,AK194,0))),0)</f>
        <v>0</v>
      </c>
      <c r="AM194" s="708">
        <f t="shared" si="120"/>
        <v>0</v>
      </c>
      <c r="AN194" s="916">
        <f t="shared" si="121"/>
        <v>0</v>
      </c>
      <c r="AO194" s="905"/>
      <c r="AP194" s="925"/>
      <c r="AQ194" s="926">
        <f>IF(Tables!$E$30="New York",INDEX('NY Curve'!$A$4:$L$256,MATCH('Monthly Table'!B194,'NY Curve'!$A$4:$A$256,0),MATCH("New York Shoulder Hour Curve Mon-Fri",'NY Curve'!$A$4:$L$4,0)),IF(Tables!$E$30="Michigan",INDEX('Michigan Curve'!$A$4:$K$256,MATCH('Monthly Table'!B194,'Michigan Curve'!$A$4:$A$256,0),MATCH("Michigan Shoulder Hour Curve Mon-Fri",'Michigan Curve'!$A$4:$K$4,0))))</f>
        <v>31.25</v>
      </c>
      <c r="AR194" s="708">
        <f t="shared" si="122"/>
        <v>39.731968562912812</v>
      </c>
      <c r="AS194" s="927">
        <f t="shared" si="109"/>
        <v>1</v>
      </c>
      <c r="AU194" s="926">
        <f>IF(Tables!$E$30="New York",INDEX('NY Curve'!$A$4:$L$256,MATCH('Monthly Table'!$B194,'NY Curve'!$A$4:$A$256,0),MATCH("New York Saturday Super Peak",'NY Curve'!$A$4:$L$4,0)),IF(Tables!$E$30="Michigan",INDEX('Michigan Curve'!$A$4:$K$256,MATCH('Monthly Table'!$B194,'Michigan Curve'!$A$4:$A$256,0),MATCH("Michigan Saturday Super Peak",'Michigan Curve'!$A$4:$K$4,0))))</f>
        <v>20</v>
      </c>
      <c r="AV194" s="925">
        <f t="shared" si="110"/>
        <v>25.428459880264199</v>
      </c>
      <c r="AW194" s="927">
        <f>IF(Tables!$B$21=15,0,IF(AV194&gt;($CP194+$BF$4),1,0))</f>
        <v>0</v>
      </c>
      <c r="AX194" s="926">
        <f>IF(Tables!$E$30="New York",INDEX('NY Curve'!$A$4:$L$256,MATCH('Monthly Table'!$B194,'NY Curve'!$A$4:$A$256,0),MATCH("New York Saturday Shoulder Peak",'NY Curve'!$A$4:$L$4,0)),IF(Tables!$E$30="Michigan",INDEX('Michigan Curve'!$A$4:$K$256,MATCH('Monthly Table'!$B194,'Michigan Curve'!$A$4:$A$256,0),MATCH("Michigan Saturday Shoulder Peak",'Michigan Curve'!$A$4:$K$4,0))))</f>
        <v>20</v>
      </c>
      <c r="AY194" s="934">
        <f t="shared" si="123"/>
        <v>25.428459880264199</v>
      </c>
      <c r="AZ194" s="927">
        <f>IF(Tables!$B$21=15,0,IF(AY194&gt;($CP194+$BF$4),1,0))</f>
        <v>0</v>
      </c>
      <c r="BB194" s="926">
        <f>IF(Tables!$E$30="New York",INDEX('NY Curve'!$A$4:$M$256,MATCH('Monthly Table'!$B194,'NY Curve'!$A$4:$A$256,0),MATCH("NY Sunday Super Peak",'NY Curve'!$A$4:$M$4,0)),IF(Tables!$E$30="Michigan",INDEX('Michigan Curve'!$A$4:$L$256,MATCH('Monthly Table'!$B194,'Michigan Curve'!$A$4:$A$256,0),MATCH("Michigan Sunday Super Peak",'Michigan Curve'!$A$4:$L$4,0))))</f>
        <v>18.995000839233398</v>
      </c>
      <c r="BC194" s="925">
        <f t="shared" si="124"/>
        <v>24.150680838301565</v>
      </c>
      <c r="BD194" s="927">
        <f t="shared" si="113"/>
        <v>1</v>
      </c>
      <c r="BF194" s="598">
        <f t="shared" si="104"/>
        <v>42461</v>
      </c>
      <c r="BG194" s="583">
        <f t="shared" si="125"/>
        <v>0</v>
      </c>
      <c r="BH194" s="764">
        <f>IF(Tables!$B$36="Combined Cycle",(BF194-BF193)*24*Assumptions!$B$21,0)</f>
        <v>0</v>
      </c>
      <c r="BI194" s="315">
        <f t="shared" si="126"/>
        <v>0</v>
      </c>
      <c r="BJ194" s="987">
        <f>IF('Monthly Table'!D194&lt;=Tables!$B$21,IF($BJ$10=$BG$10,BG194,IF($BJ$10=$BH$10,BH194,IF($BJ$10=$BI$10,BI194,0))),0)</f>
        <v>0</v>
      </c>
      <c r="BK194" s="43"/>
      <c r="BL194" s="987">
        <f t="shared" si="127"/>
        <v>0</v>
      </c>
      <c r="BM194" s="987">
        <f t="shared" si="128"/>
        <v>32</v>
      </c>
      <c r="BO194" s="987">
        <f t="shared" si="114"/>
        <v>0</v>
      </c>
      <c r="BP194" s="987">
        <f t="shared" si="129"/>
        <v>0</v>
      </c>
      <c r="BR194" s="993">
        <f>IF(BJ194&gt;0,INDEX(OperationalDetail,MATCH("Capacity Degradation",ODColumn,0),MATCH('Monthly Table'!C194,ODRow,0)),0)</f>
        <v>0</v>
      </c>
      <c r="BS194" s="994">
        <f>BJ194*(1-BR194)*Tables!$C$36</f>
        <v>0</v>
      </c>
      <c r="BT194" s="601">
        <f t="shared" si="115"/>
        <v>0</v>
      </c>
      <c r="BU194" s="601">
        <f t="shared" si="116"/>
        <v>0</v>
      </c>
      <c r="BV194" s="462"/>
      <c r="BW194" s="785">
        <f>$BO194*(1-$BR194)*Tables!$C$36</f>
        <v>0</v>
      </c>
      <c r="BX194" s="602">
        <f t="shared" si="130"/>
        <v>0</v>
      </c>
      <c r="BY194" s="601">
        <f t="shared" si="131"/>
        <v>0</v>
      </c>
      <c r="BZ194" s="462"/>
      <c r="CA194" s="785">
        <f>$BL194*(1-$BR194)*Tables!$C$36</f>
        <v>0</v>
      </c>
      <c r="CB194" s="602">
        <f t="shared" si="132"/>
        <v>0</v>
      </c>
      <c r="CC194" s="601">
        <f t="shared" si="133"/>
        <v>0</v>
      </c>
      <c r="CD194" s="785">
        <f>$BP194*(1-$BR194)*Tables!$C$36</f>
        <v>0</v>
      </c>
      <c r="CE194" s="602">
        <f t="shared" si="134"/>
        <v>0</v>
      </c>
      <c r="CF194" s="601">
        <f t="shared" si="135"/>
        <v>0</v>
      </c>
      <c r="CH194" s="785">
        <f>$BM194*(1-$BR194)*Tables!$C$36</f>
        <v>10368</v>
      </c>
      <c r="CI194" s="602">
        <f t="shared" si="136"/>
        <v>196.94016870117187</v>
      </c>
      <c r="CJ194" s="601">
        <f t="shared" si="137"/>
        <v>250.39425893151062</v>
      </c>
      <c r="CK194" s="304"/>
      <c r="CL194" s="304">
        <f t="shared" si="138"/>
        <v>2015</v>
      </c>
      <c r="CM194" s="1018">
        <f>INDEX(OperationalDetail,MATCH("Degraded Heat Rate",ODColumn,0),MATCH('Monthly Table'!CL194,ODRow,0))/1000</f>
        <v>12.020039200000001</v>
      </c>
      <c r="CN194" s="737">
        <f t="shared" si="117"/>
        <v>6.3867419832771173</v>
      </c>
      <c r="CO194" s="1019">
        <f>IF(A194="January",(CO193*(1+Assumptions!$E$32)),CO193)</f>
        <v>9.0652644263244699</v>
      </c>
      <c r="CP194" s="741">
        <f t="shared" si="105"/>
        <v>15.452006409601587</v>
      </c>
      <c r="CQ194" s="304"/>
      <c r="CR194" s="575" t="str">
        <f t="shared" si="139"/>
        <v/>
      </c>
      <c r="CS194" s="575" t="str">
        <f t="shared" si="140"/>
        <v/>
      </c>
      <c r="CT194" s="575" t="str">
        <f t="shared" si="141"/>
        <v/>
      </c>
      <c r="CU194" s="575" t="str">
        <f t="shared" si="142"/>
        <v/>
      </c>
      <c r="CV194" s="575">
        <f t="shared" si="143"/>
        <v>2016</v>
      </c>
      <c r="CW194" s="576">
        <f t="shared" si="106"/>
        <v>2016</v>
      </c>
      <c r="CX194" s="787">
        <f>INDEX('NY Curve'!$A$4:$G$256,MATCH('Monthly Table'!B194,'NY Curve'!$A$4:$A$256,0),MATCH("New York 5 X 16",'NY Curve'!$A$4:$G$4,0))</f>
        <v>28</v>
      </c>
      <c r="CY194" s="632">
        <f t="shared" si="107"/>
        <v>1.27142299401321</v>
      </c>
      <c r="CZ194" s="633">
        <f t="shared" si="108"/>
        <v>35.599843832369878</v>
      </c>
      <c r="DB194" s="857"/>
      <c r="DC194" s="857"/>
    </row>
    <row r="195" spans="1:107" ht="18.75" customHeight="1">
      <c r="A195" s="17" t="s">
        <v>441</v>
      </c>
      <c r="B195" s="508">
        <v>42491</v>
      </c>
      <c r="C195" s="43">
        <f t="shared" si="97"/>
        <v>2016</v>
      </c>
      <c r="D195" s="719">
        <f t="shared" si="144"/>
        <v>16</v>
      </c>
      <c r="E195" s="972">
        <v>21</v>
      </c>
      <c r="F195" s="971">
        <v>4</v>
      </c>
      <c r="G195" s="971">
        <v>5</v>
      </c>
      <c r="H195" s="971">
        <v>1</v>
      </c>
      <c r="I195" s="976">
        <f t="shared" si="118"/>
        <v>31</v>
      </c>
      <c r="J195" s="621"/>
      <c r="K195" s="572">
        <f>INDEX(FX!$A$3:$C$362,MATCH(B195,FX!$A$3:$A$362,0),MATCH("Monthly Curve",FX!$A$2:$C$2,0))</f>
        <v>1.2708163096334699</v>
      </c>
      <c r="L195" s="572"/>
      <c r="M195" s="724"/>
      <c r="N195" s="746"/>
      <c r="O195" s="877">
        <v>0.1</v>
      </c>
      <c r="P195" s="797">
        <f t="shared" si="99"/>
        <v>0.1</v>
      </c>
      <c r="Q195" s="732">
        <f t="shared" si="100"/>
        <v>0.1</v>
      </c>
      <c r="R195" s="723">
        <f>IF(A195="January",(R194+R194*Assumptions!$E$32),R194)</f>
        <v>0.40419889483347954</v>
      </c>
      <c r="S195" s="730">
        <f t="shared" si="101"/>
        <v>0.5312805257968265</v>
      </c>
      <c r="T195" s="572"/>
      <c r="U195" s="507"/>
      <c r="V195" s="583"/>
      <c r="W195" s="583"/>
      <c r="X195" s="587"/>
      <c r="Y195" s="588">
        <f>Tables!$D$36</f>
        <v>312</v>
      </c>
      <c r="Z195" s="570">
        <f t="shared" si="102"/>
        <v>0</v>
      </c>
      <c r="AA195" s="592">
        <f t="shared" si="103"/>
        <v>0</v>
      </c>
      <c r="AB195" s="589">
        <f t="shared" si="98"/>
        <v>0</v>
      </c>
      <c r="AC195" s="462"/>
      <c r="AD195" s="1027">
        <f>IF(Tables!$E$30="Michigan",INDEX('Michigan Curve'!$A$4:$S$256,MATCH('Monthly Table'!B195,'Michigan Curve'!$A$4:$A$256,0),MATCH("Michigan Selected Option Value US$/month",'Michigan Curve'!$A$4:$S$4,0)),INDEX('NY Curve'!$A$4:$T$256,MATCH('Monthly Table'!B195,'NY Curve'!$A$4:$A$256,0),MATCH("New York Selected Option Value US$/month",'NY Curve'!$A$4:$T$4,0)))</f>
        <v>0</v>
      </c>
      <c r="AE195" s="601">
        <f t="shared" si="119"/>
        <v>0</v>
      </c>
      <c r="AF195" s="462"/>
      <c r="AG195" s="915"/>
      <c r="AH195" s="17"/>
      <c r="AI195" s="799">
        <f>Assumptions!$B$50</f>
        <v>65</v>
      </c>
      <c r="AJ195" s="743"/>
      <c r="AK195" s="924">
        <f>IF(Tables!$E$30="Custom",'Monthly Table'!AI195,IF(Tables!$E$30="New York",INDEX('NY Curve'!$A$4:$G$256,MATCH('Monthly Table'!B195,'NY Curve'!$A$4:$A$256,0),MATCH("Super Peak Curve",'NY Curve'!$A$4:$G$4,0)),IF(Tables!$E$30="New York Flat",INDEX('NY Curve'!$A$4:$G$256,MATCH('Monthly Table'!B195,'NY Curve'!$A$4:$A$256,0),MATCH("Flat NY West",'NY Curve'!$A$4:$G$4,0)),INDEX('Michigan Curve'!$A$4:$F$256,MATCH('Monthly Table'!B195,'Michigan Curve'!$A$4:$A$256,0),MATCH("Michigan Super Peak Curve US$/MWhr",'Michigan Curve'!$A$4:$F$4,0)))))</f>
        <v>37.668750062584877</v>
      </c>
      <c r="AL195" s="965">
        <f>IF(D195&lt;=Tables!$B$21,IF($AL$10=$AI$10,AI195,IF($AL$10=$AJ$10,AJ195,IF($AL$10=$AK$10,AK195,0))),0)</f>
        <v>0</v>
      </c>
      <c r="AM195" s="708">
        <f t="shared" si="120"/>
        <v>0</v>
      </c>
      <c r="AN195" s="916">
        <f t="shared" si="121"/>
        <v>0</v>
      </c>
      <c r="AO195" s="905"/>
      <c r="AP195" s="925"/>
      <c r="AQ195" s="926">
        <f>IF(Tables!$E$30="New York",INDEX('NY Curve'!$A$4:$L$256,MATCH('Monthly Table'!B195,'NY Curve'!$A$4:$A$256,0),MATCH("New York Shoulder Hour Curve Mon-Fri",'NY Curve'!$A$4:$L$4,0)),IF(Tables!$E$30="Michigan",INDEX('Michigan Curve'!$A$4:$K$256,MATCH('Monthly Table'!B195,'Michigan Curve'!$A$4:$A$256,0),MATCH("Michigan Shoulder Hour Curve Mon-Fri",'Michigan Curve'!$A$4:$K$4,0))))</f>
        <v>32.331249937415123</v>
      </c>
      <c r="AR195" s="708">
        <f t="shared" si="122"/>
        <v>41.087079731303241</v>
      </c>
      <c r="AS195" s="927">
        <f t="shared" si="109"/>
        <v>1</v>
      </c>
      <c r="AU195" s="926">
        <f>IF(Tables!$E$30="New York",INDEX('NY Curve'!$A$4:$L$256,MATCH('Monthly Table'!$B195,'NY Curve'!$A$4:$A$256,0),MATCH("New York Saturday Super Peak",'NY Curve'!$A$4:$L$4,0)),IF(Tables!$E$30="Michigan",INDEX('Michigan Curve'!$A$4:$K$256,MATCH('Monthly Table'!$B195,'Michigan Curve'!$A$4:$A$256,0),MATCH("Michigan Saturday Super Peak",'Michigan Curve'!$A$4:$K$4,0))))</f>
        <v>22.601250037550926</v>
      </c>
      <c r="AV195" s="925">
        <f t="shared" si="110"/>
        <v>28.722037165823792</v>
      </c>
      <c r="AW195" s="927">
        <f>IF(Tables!$B$21=15,0,IF(AV195&gt;($CP195+$BF$4),1,0))</f>
        <v>0</v>
      </c>
      <c r="AX195" s="926">
        <f>IF(Tables!$E$30="New York",INDEX('NY Curve'!$A$4:$L$256,MATCH('Monthly Table'!$B195,'NY Curve'!$A$4:$A$256,0),MATCH("New York Saturday Shoulder Peak",'NY Curve'!$A$4:$L$4,0)),IF(Tables!$E$30="Michigan",INDEX('Michigan Curve'!$A$4:$K$256,MATCH('Monthly Table'!$B195,'Michigan Curve'!$A$4:$A$256,0),MATCH("Michigan Saturday Shoulder Peak",'Michigan Curve'!$A$4:$K$4,0))))</f>
        <v>19.398749962449074</v>
      </c>
      <c r="AY195" s="934">
        <f t="shared" si="123"/>
        <v>24.652247838781946</v>
      </c>
      <c r="AZ195" s="927">
        <f>IF(Tables!$B$21=15,0,IF(AY195&gt;($CP195+$BF$4),1,0))</f>
        <v>0</v>
      </c>
      <c r="BB195" s="926">
        <f>IF(Tables!$E$30="New York",INDEX('NY Curve'!$A$4:$M$256,MATCH('Monthly Table'!$B195,'NY Curve'!$A$4:$A$256,0),MATCH("NY Sunday Super Peak",'NY Curve'!$A$4:$M$4,0)),IF(Tables!$E$30="Michigan",INDEX('Michigan Curve'!$A$4:$L$256,MATCH('Monthly Table'!$B195,'Michigan Curve'!$A$4:$A$256,0),MATCH("Michigan Sunday Super Peak",'Michigan Curve'!$A$4:$L$4,0))))</f>
        <v>21.530380382546781</v>
      </c>
      <c r="BC195" s="925">
        <f t="shared" si="124"/>
        <v>27.361158542752957</v>
      </c>
      <c r="BD195" s="927">
        <f t="shared" si="113"/>
        <v>1</v>
      </c>
      <c r="BF195" s="598">
        <f t="shared" si="104"/>
        <v>42491</v>
      </c>
      <c r="BG195" s="583">
        <f t="shared" si="125"/>
        <v>0</v>
      </c>
      <c r="BH195" s="764">
        <f>IF(Tables!$B$36="Combined Cycle",(BF195-BF194)*24*Assumptions!$B$21,0)</f>
        <v>0</v>
      </c>
      <c r="BI195" s="315">
        <f t="shared" si="126"/>
        <v>0</v>
      </c>
      <c r="BJ195" s="987">
        <f>IF('Monthly Table'!D195&lt;=Tables!$B$21,IF($BJ$10=$BG$10,BG195,IF($BJ$10=$BH$10,BH195,IF($BJ$10=$BI$10,BI195,0))),0)</f>
        <v>0</v>
      </c>
      <c r="BK195" s="43"/>
      <c r="BL195" s="987">
        <f t="shared" si="127"/>
        <v>0</v>
      </c>
      <c r="BM195" s="987">
        <f t="shared" si="128"/>
        <v>48</v>
      </c>
      <c r="BO195" s="987">
        <f t="shared" si="114"/>
        <v>0</v>
      </c>
      <c r="BP195" s="987">
        <f t="shared" si="129"/>
        <v>0</v>
      </c>
      <c r="BR195" s="993">
        <f>IF(BJ195&gt;0,INDEX(OperationalDetail,MATCH("Capacity Degradation",ODColumn,0),MATCH('Monthly Table'!C195,ODRow,0)),0)</f>
        <v>0</v>
      </c>
      <c r="BS195" s="994">
        <f>BJ195*(1-BR195)*Tables!$C$36</f>
        <v>0</v>
      </c>
      <c r="BT195" s="601">
        <f t="shared" si="115"/>
        <v>0</v>
      </c>
      <c r="BU195" s="601">
        <f t="shared" si="116"/>
        <v>0</v>
      </c>
      <c r="BV195" s="462"/>
      <c r="BW195" s="785">
        <f>$BO195*(1-$BR195)*Tables!$C$36</f>
        <v>0</v>
      </c>
      <c r="BX195" s="602">
        <f t="shared" si="130"/>
        <v>0</v>
      </c>
      <c r="BY195" s="601">
        <f t="shared" si="131"/>
        <v>0</v>
      </c>
      <c r="BZ195" s="462"/>
      <c r="CA195" s="785">
        <f>$BL195*(1-$BR195)*Tables!$C$36</f>
        <v>0</v>
      </c>
      <c r="CB195" s="602">
        <f t="shared" si="132"/>
        <v>0</v>
      </c>
      <c r="CC195" s="601">
        <f t="shared" si="133"/>
        <v>0</v>
      </c>
      <c r="CD195" s="785">
        <f>$BP195*(1-$BR195)*Tables!$C$36</f>
        <v>0</v>
      </c>
      <c r="CE195" s="602">
        <f t="shared" si="134"/>
        <v>0</v>
      </c>
      <c r="CF195" s="601">
        <f t="shared" si="135"/>
        <v>0</v>
      </c>
      <c r="CH195" s="785">
        <f>$BM195*(1-$BR195)*Tables!$C$36</f>
        <v>15552</v>
      </c>
      <c r="CI195" s="602">
        <f t="shared" si="136"/>
        <v>334.84047570936752</v>
      </c>
      <c r="CJ195" s="601">
        <f t="shared" si="137"/>
        <v>425.52073765689397</v>
      </c>
      <c r="CK195" s="304"/>
      <c r="CL195" s="304">
        <f t="shared" si="138"/>
        <v>2015</v>
      </c>
      <c r="CM195" s="1018">
        <f>INDEX(OperationalDetail,MATCH("Degraded Heat Rate",ODColumn,0),MATCH('Monthly Table'!CL195,ODRow,0))/1000</f>
        <v>12.020039200000001</v>
      </c>
      <c r="CN195" s="737">
        <f t="shared" si="117"/>
        <v>6.3860127462744662</v>
      </c>
      <c r="CO195" s="1019">
        <f>IF(A195="January",(CO194*(1+Assumptions!$E$32)),CO194)</f>
        <v>9.0652644263244699</v>
      </c>
      <c r="CP195" s="741">
        <f t="shared" si="105"/>
        <v>15.451277172598935</v>
      </c>
      <c r="CQ195" s="304"/>
      <c r="CR195" s="575" t="str">
        <f t="shared" si="139"/>
        <v/>
      </c>
      <c r="CS195" s="575" t="str">
        <f t="shared" si="140"/>
        <v/>
      </c>
      <c r="CT195" s="575" t="str">
        <f t="shared" si="141"/>
        <v/>
      </c>
      <c r="CU195" s="575" t="str">
        <f t="shared" si="142"/>
        <v/>
      </c>
      <c r="CV195" s="575">
        <f t="shared" si="143"/>
        <v>2016</v>
      </c>
      <c r="CW195" s="576">
        <f t="shared" si="106"/>
        <v>2016</v>
      </c>
      <c r="CX195" s="787">
        <f>INDEX('NY Curve'!$A$4:$G$256,MATCH('Monthly Table'!B195,'NY Curve'!$A$4:$A$256,0),MATCH("New York 5 X 16",'NY Curve'!$A$4:$G$4,0))</f>
        <v>33.65</v>
      </c>
      <c r="CY195" s="632">
        <f t="shared" si="107"/>
        <v>1.2708163096334699</v>
      </c>
      <c r="CZ195" s="633">
        <f t="shared" si="108"/>
        <v>42.762968819166261</v>
      </c>
      <c r="DB195" s="857"/>
      <c r="DC195" s="857"/>
    </row>
    <row r="196" spans="1:107" ht="18.75" customHeight="1">
      <c r="A196" s="17" t="s">
        <v>442</v>
      </c>
      <c r="B196" s="508">
        <v>42522</v>
      </c>
      <c r="C196" s="43">
        <f t="shared" si="97"/>
        <v>2016</v>
      </c>
      <c r="D196" s="719">
        <f t="shared" si="144"/>
        <v>16</v>
      </c>
      <c r="E196" s="972">
        <v>22</v>
      </c>
      <c r="F196" s="971">
        <v>4</v>
      </c>
      <c r="G196" s="971">
        <v>4</v>
      </c>
      <c r="H196" s="971">
        <v>0</v>
      </c>
      <c r="I196" s="976">
        <f t="shared" si="118"/>
        <v>30</v>
      </c>
      <c r="J196" s="621"/>
      <c r="K196" s="572">
        <f>INDEX(FX!$A$3:$C$362,MATCH(B196,FX!$A$3:$A$362,0),MATCH("Monthly Curve",FX!$A$2:$C$2,0))</f>
        <v>1.2701925269991601</v>
      </c>
      <c r="L196" s="572"/>
      <c r="M196" s="724"/>
      <c r="N196" s="746"/>
      <c r="O196" s="877">
        <v>0.1</v>
      </c>
      <c r="P196" s="797">
        <f t="shared" si="99"/>
        <v>0.1</v>
      </c>
      <c r="Q196" s="732">
        <f t="shared" si="100"/>
        <v>0.1</v>
      </c>
      <c r="R196" s="723">
        <f>IF(A196="January",(R195+R195*Assumptions!$E$32),R195)</f>
        <v>0.40419889483347954</v>
      </c>
      <c r="S196" s="730">
        <f t="shared" si="101"/>
        <v>0.53121814753339558</v>
      </c>
      <c r="T196" s="572"/>
      <c r="U196" s="507"/>
      <c r="V196" s="583"/>
      <c r="W196" s="583"/>
      <c r="X196" s="587"/>
      <c r="Y196" s="588">
        <f>Tables!$D$36</f>
        <v>312</v>
      </c>
      <c r="Z196" s="570">
        <f t="shared" si="102"/>
        <v>0</v>
      </c>
      <c r="AA196" s="592">
        <f t="shared" si="103"/>
        <v>0</v>
      </c>
      <c r="AB196" s="589">
        <f t="shared" si="98"/>
        <v>0</v>
      </c>
      <c r="AC196" s="462"/>
      <c r="AD196" s="1027">
        <f>IF(Tables!$E$30="Michigan",INDEX('Michigan Curve'!$A$4:$S$256,MATCH('Monthly Table'!B196,'Michigan Curve'!$A$4:$A$256,0),MATCH("Michigan Selected Option Value US$/month",'Michigan Curve'!$A$4:$S$4,0)),INDEX('NY Curve'!$A$4:$T$256,MATCH('Monthly Table'!B196,'NY Curve'!$A$4:$A$256,0),MATCH("New York Selected Option Value US$/month",'NY Curve'!$A$4:$T$4,0)))</f>
        <v>0</v>
      </c>
      <c r="AE196" s="601">
        <f t="shared" si="119"/>
        <v>0</v>
      </c>
      <c r="AF196" s="462"/>
      <c r="AG196" s="915"/>
      <c r="AH196" s="17"/>
      <c r="AI196" s="799">
        <f>Assumptions!$B$50</f>
        <v>65</v>
      </c>
      <c r="AJ196" s="743"/>
      <c r="AK196" s="924">
        <f>IF(Tables!$E$30="Custom",'Monthly Table'!AI196,IF(Tables!$E$30="New York",INDEX('NY Curve'!$A$4:$G$256,MATCH('Monthly Table'!B196,'NY Curve'!$A$4:$A$256,0),MATCH("Super Peak Curve",'NY Curve'!$A$4:$G$4,0)),IF(Tables!$E$30="New York Flat",INDEX('NY Curve'!$A$4:$G$256,MATCH('Monthly Table'!B196,'NY Curve'!$A$4:$A$256,0),MATCH("Flat NY West",'NY Curve'!$A$4:$G$4,0)),INDEX('Michigan Curve'!$A$4:$F$256,MATCH('Monthly Table'!B196,'Michigan Curve'!$A$4:$A$256,0),MATCH("Michigan Super Peak Curve US$/MWhr",'Michigan Curve'!$A$4:$F$4,0)))))</f>
        <v>90.641977220601646</v>
      </c>
      <c r="AL196" s="965">
        <f>IF(D196&lt;=Tables!$B$21,IF($AL$10=$AI$10,AI196,IF($AL$10=$AJ$10,AJ196,IF($AL$10=$AK$10,AK196,0))),0)</f>
        <v>0</v>
      </c>
      <c r="AM196" s="708">
        <f t="shared" si="120"/>
        <v>0</v>
      </c>
      <c r="AN196" s="916">
        <f t="shared" si="121"/>
        <v>0</v>
      </c>
      <c r="AO196" s="905"/>
      <c r="AP196" s="925"/>
      <c r="AQ196" s="926">
        <f>IF(Tables!$E$30="New York",INDEX('NY Curve'!$A$4:$L$256,MATCH('Monthly Table'!B196,'NY Curve'!$A$4:$A$256,0),MATCH("New York Shoulder Hour Curve Mon-Fri",'NY Curve'!$A$4:$L$4,0)),IF(Tables!$E$30="Michigan",INDEX('Michigan Curve'!$A$4:$K$256,MATCH('Monthly Table'!B196,'Michigan Curve'!$A$4:$A$256,0),MATCH("Michigan Shoulder Hour Curve Mon-Fri",'Michigan Curve'!$A$4:$K$4,0))))</f>
        <v>23.858022779398354</v>
      </c>
      <c r="AR196" s="708">
        <f t="shared" si="122"/>
        <v>30.304282243367521</v>
      </c>
      <c r="AS196" s="927">
        <f t="shared" si="109"/>
        <v>1</v>
      </c>
      <c r="AU196" s="926">
        <f>IF(Tables!$E$30="New York",INDEX('NY Curve'!$A$4:$L$256,MATCH('Monthly Table'!$B196,'NY Curve'!$A$4:$A$256,0),MATCH("New York Saturday Super Peak",'NY Curve'!$A$4:$L$4,0)),IF(Tables!$E$30="Michigan",INDEX('Michigan Curve'!$A$4:$K$256,MATCH('Monthly Table'!$B196,'Michigan Curve'!$A$4:$A$256,0),MATCH("Michigan Saturday Super Peak",'Michigan Curve'!$A$4:$K$4,0))))</f>
        <v>41.16491541896319</v>
      </c>
      <c r="AV196" s="925">
        <f t="shared" si="110"/>
        <v>52.287367939719545</v>
      </c>
      <c r="AW196" s="927">
        <f>IF(Tables!$B$21=15,0,IF(AV196&gt;($CP196+$BF$4),1,0))</f>
        <v>0</v>
      </c>
      <c r="AX196" s="926">
        <f>IF(Tables!$E$30="New York",INDEX('NY Curve'!$A$4:$L$256,MATCH('Monthly Table'!$B196,'NY Curve'!$A$4:$A$256,0),MATCH("New York Saturday Shoulder Peak",'NY Curve'!$A$4:$L$4,0)),IF(Tables!$E$30="Michigan",INDEX('Michigan Curve'!$A$4:$K$256,MATCH('Monthly Table'!$B196,'Michigan Curve'!$A$4:$A$256,0),MATCH("Michigan Saturday Shoulder Peak",'Michigan Curve'!$A$4:$K$4,0))))</f>
        <v>10.835084581036806</v>
      </c>
      <c r="AY196" s="934">
        <f t="shared" si="123"/>
        <v>13.762643464236776</v>
      </c>
      <c r="AZ196" s="927">
        <f>IF(Tables!$B$21=15,0,IF(AY196&gt;($CP196+$BF$4),1,0))</f>
        <v>0</v>
      </c>
      <c r="BB196" s="926">
        <f>IF(Tables!$E$30="New York",INDEX('NY Curve'!$A$4:$M$256,MATCH('Monthly Table'!$B196,'NY Curve'!$A$4:$A$256,0),MATCH("NY Sunday Super Peak",'NY Curve'!$A$4:$M$4,0)),IF(Tables!$E$30="Michigan",INDEX('Michigan Curve'!$A$4:$L$256,MATCH('Monthly Table'!$B196,'Michigan Curve'!$A$4:$A$256,0),MATCH("Michigan Sunday Super Peak",'Michigan Curve'!$A$4:$L$4,0))))</f>
        <v>37.998383463658328</v>
      </c>
      <c r="BC196" s="925">
        <f t="shared" si="124"/>
        <v>48.265262713587269</v>
      </c>
      <c r="BD196" s="927">
        <f t="shared" si="113"/>
        <v>1</v>
      </c>
      <c r="BF196" s="598">
        <f t="shared" si="104"/>
        <v>42522</v>
      </c>
      <c r="BG196" s="583">
        <f t="shared" si="125"/>
        <v>0</v>
      </c>
      <c r="BH196" s="764">
        <f>IF(Tables!$B$36="Combined Cycle",(BF196-BF195)*24*Assumptions!$B$21,0)</f>
        <v>0</v>
      </c>
      <c r="BI196" s="315">
        <f t="shared" si="126"/>
        <v>0</v>
      </c>
      <c r="BJ196" s="987">
        <f>IF('Monthly Table'!D196&lt;=Tables!$B$21,IF($BJ$10=$BG$10,BG196,IF($BJ$10=$BH$10,BH196,IF($BJ$10=$BI$10,BI196,0))),0)</f>
        <v>0</v>
      </c>
      <c r="BK196" s="43"/>
      <c r="BL196" s="987">
        <f t="shared" si="127"/>
        <v>0</v>
      </c>
      <c r="BM196" s="987">
        <f t="shared" si="128"/>
        <v>32</v>
      </c>
      <c r="BO196" s="987">
        <f t="shared" si="114"/>
        <v>0</v>
      </c>
      <c r="BP196" s="987">
        <f t="shared" si="129"/>
        <v>0</v>
      </c>
      <c r="BR196" s="993">
        <f>IF(BJ196&gt;0,INDEX(OperationalDetail,MATCH("Capacity Degradation",ODColumn,0),MATCH('Monthly Table'!C196,ODRow,0)),0)</f>
        <v>0</v>
      </c>
      <c r="BS196" s="994">
        <f>BJ196*(1-BR196)*Tables!$C$36</f>
        <v>0</v>
      </c>
      <c r="BT196" s="601">
        <f t="shared" si="115"/>
        <v>0</v>
      </c>
      <c r="BU196" s="601">
        <f t="shared" si="116"/>
        <v>0</v>
      </c>
      <c r="BV196" s="462"/>
      <c r="BW196" s="785">
        <f>$BO196*(1-$BR196)*Tables!$C$36</f>
        <v>0</v>
      </c>
      <c r="BX196" s="602">
        <f t="shared" si="130"/>
        <v>0</v>
      </c>
      <c r="BY196" s="601">
        <f t="shared" si="131"/>
        <v>0</v>
      </c>
      <c r="BZ196" s="462"/>
      <c r="CA196" s="785">
        <f>$BL196*(1-$BR196)*Tables!$C$36</f>
        <v>0</v>
      </c>
      <c r="CB196" s="602">
        <f t="shared" si="132"/>
        <v>0</v>
      </c>
      <c r="CC196" s="601">
        <f t="shared" si="133"/>
        <v>0</v>
      </c>
      <c r="CD196" s="785">
        <f>$BP196*(1-$BR196)*Tables!$C$36</f>
        <v>0</v>
      </c>
      <c r="CE196" s="602">
        <f t="shared" si="134"/>
        <v>0</v>
      </c>
      <c r="CF196" s="601">
        <f t="shared" si="135"/>
        <v>0</v>
      </c>
      <c r="CH196" s="785">
        <f>$BM196*(1-$BR196)*Tables!$C$36</f>
        <v>10368</v>
      </c>
      <c r="CI196" s="602">
        <f t="shared" si="136"/>
        <v>393.96723975120955</v>
      </c>
      <c r="CJ196" s="601">
        <f t="shared" si="137"/>
        <v>500.4142438144728</v>
      </c>
      <c r="CK196" s="304"/>
      <c r="CL196" s="304">
        <f t="shared" si="138"/>
        <v>2015</v>
      </c>
      <c r="CM196" s="1018">
        <f>INDEX(OperationalDetail,MATCH("Degraded Heat Rate",ODColumn,0),MATCH('Monthly Table'!CL196,ODRow,0))/1000</f>
        <v>12.020039200000001</v>
      </c>
      <c r="CN196" s="737">
        <f t="shared" si="117"/>
        <v>6.3852629571027988</v>
      </c>
      <c r="CO196" s="1019">
        <f>IF(A196="January",(CO195*(1+Assumptions!$E$32)),CO195)</f>
        <v>9.0652644263244699</v>
      </c>
      <c r="CP196" s="741">
        <f t="shared" si="105"/>
        <v>15.450527383427268</v>
      </c>
      <c r="CQ196" s="304"/>
      <c r="CR196" s="575" t="str">
        <f t="shared" si="139"/>
        <v/>
      </c>
      <c r="CS196" s="575" t="str">
        <f t="shared" si="140"/>
        <v/>
      </c>
      <c r="CT196" s="575" t="str">
        <f t="shared" si="141"/>
        <v/>
      </c>
      <c r="CU196" s="575" t="str">
        <f t="shared" si="142"/>
        <v/>
      </c>
      <c r="CV196" s="575">
        <f t="shared" si="143"/>
        <v>2016</v>
      </c>
      <c r="CW196" s="576">
        <f t="shared" si="106"/>
        <v>2016</v>
      </c>
      <c r="CX196" s="787">
        <f>INDEX('NY Curve'!$A$4:$G$256,MATCH('Monthly Table'!B196,'NY Curve'!$A$4:$A$256,0),MATCH("New York 5 X 16",'NY Curve'!$A$4:$G$4,0))</f>
        <v>57.25</v>
      </c>
      <c r="CY196" s="632">
        <f t="shared" si="107"/>
        <v>1.2701925269991601</v>
      </c>
      <c r="CZ196" s="633">
        <f t="shared" si="108"/>
        <v>72.718522170701917</v>
      </c>
      <c r="DB196" s="857"/>
      <c r="DC196" s="857"/>
    </row>
    <row r="197" spans="1:107" ht="18.75" customHeight="1">
      <c r="A197" s="17" t="s">
        <v>443</v>
      </c>
      <c r="B197" s="508">
        <v>42552</v>
      </c>
      <c r="C197" s="43">
        <f t="shared" ref="C197:C238" si="145">YEAR(B197)</f>
        <v>2016</v>
      </c>
      <c r="D197" s="719">
        <f t="shared" si="144"/>
        <v>16</v>
      </c>
      <c r="E197" s="972">
        <v>20</v>
      </c>
      <c r="F197" s="971">
        <v>5</v>
      </c>
      <c r="G197" s="971">
        <v>5</v>
      </c>
      <c r="H197" s="971">
        <v>1</v>
      </c>
      <c r="I197" s="976">
        <f t="shared" si="118"/>
        <v>31</v>
      </c>
      <c r="J197" s="621"/>
      <c r="K197" s="572">
        <f>INDEX(FX!$A$3:$C$362,MATCH(B197,FX!$A$3:$A$362,0),MATCH("Monthly Curve",FX!$A$2:$C$2,0))</f>
        <v>1.26959188605155</v>
      </c>
      <c r="L197" s="572"/>
      <c r="M197" s="724"/>
      <c r="N197" s="746"/>
      <c r="O197" s="877">
        <v>0.1</v>
      </c>
      <c r="P197" s="797">
        <f t="shared" si="99"/>
        <v>0.1</v>
      </c>
      <c r="Q197" s="732">
        <f t="shared" si="100"/>
        <v>0.1</v>
      </c>
      <c r="R197" s="723">
        <f>IF(A197="January",(R196+R196*Assumptions!$E$32),R196)</f>
        <v>0.40419889483347954</v>
      </c>
      <c r="S197" s="730">
        <f t="shared" si="101"/>
        <v>0.53115808343863458</v>
      </c>
      <c r="T197" s="572"/>
      <c r="U197" s="507"/>
      <c r="V197" s="583"/>
      <c r="W197" s="583"/>
      <c r="X197" s="587"/>
      <c r="Y197" s="588">
        <f>Tables!$D$36</f>
        <v>312</v>
      </c>
      <c r="Z197" s="570">
        <f t="shared" si="102"/>
        <v>0</v>
      </c>
      <c r="AA197" s="592">
        <f t="shared" si="103"/>
        <v>0</v>
      </c>
      <c r="AB197" s="589">
        <f t="shared" ref="AB197:AB244" si="146">AA197*K197</f>
        <v>0</v>
      </c>
      <c r="AC197" s="462"/>
      <c r="AD197" s="1027">
        <f>IF(Tables!$E$30="Michigan",INDEX('Michigan Curve'!$A$4:$S$256,MATCH('Monthly Table'!B197,'Michigan Curve'!$A$4:$A$256,0),MATCH("Michigan Selected Option Value US$/month",'Michigan Curve'!$A$4:$S$4,0)),INDEX('NY Curve'!$A$4:$T$256,MATCH('Monthly Table'!B197,'NY Curve'!$A$4:$A$256,0),MATCH("New York Selected Option Value US$/month",'NY Curve'!$A$4:$T$4,0)))</f>
        <v>0</v>
      </c>
      <c r="AE197" s="601">
        <f t="shared" si="119"/>
        <v>0</v>
      </c>
      <c r="AF197" s="462"/>
      <c r="AG197" s="915"/>
      <c r="AH197" s="17"/>
      <c r="AI197" s="799">
        <f>Assumptions!$B$50</f>
        <v>65</v>
      </c>
      <c r="AJ197" s="743"/>
      <c r="AK197" s="924">
        <f>IF(Tables!$E$30="Custom",'Monthly Table'!AI197,IF(Tables!$E$30="New York",INDEX('NY Curve'!$A$4:$G$256,MATCH('Monthly Table'!B197,'NY Curve'!$A$4:$A$256,0),MATCH("Super Peak Curve",'NY Curve'!$A$4:$G$4,0)),IF(Tables!$E$30="New York Flat",INDEX('NY Curve'!$A$4:$G$256,MATCH('Monthly Table'!B197,'NY Curve'!$A$4:$A$256,0),MATCH("Flat NY West",'NY Curve'!$A$4:$G$4,0)),INDEX('Michigan Curve'!$A$4:$F$256,MATCH('Monthly Table'!B197,'Michigan Curve'!$A$4:$A$256,0),MATCH("Michigan Super Peak Curve US$/MWhr",'Michigan Curve'!$A$4:$F$4,0)))))</f>
        <v>177.48718507010852</v>
      </c>
      <c r="AL197" s="965">
        <f>IF(D197&lt;=Tables!$B$21,IF($AL$10=$AI$10,AI197,IF($AL$10=$AJ$10,AJ197,IF($AL$10=$AK$10,AK197,0))),0)</f>
        <v>0</v>
      </c>
      <c r="AM197" s="708">
        <f t="shared" si="120"/>
        <v>0</v>
      </c>
      <c r="AN197" s="916">
        <f t="shared" si="121"/>
        <v>0</v>
      </c>
      <c r="AO197" s="905"/>
      <c r="AP197" s="925"/>
      <c r="AQ197" s="926">
        <f>IF(Tables!$E$30="New York",INDEX('NY Curve'!$A$4:$L$256,MATCH('Monthly Table'!B197,'NY Curve'!$A$4:$A$256,0),MATCH("New York Shoulder Hour Curve Mon-Fri",'NY Curve'!$A$4:$L$4,0)),IF(Tables!$E$30="Michigan",INDEX('Michigan Curve'!$A$4:$K$256,MATCH('Monthly Table'!B197,'Michigan Curve'!$A$4:$A$256,0),MATCH("Michigan Shoulder Hour Curve Mon-Fri",'Michigan Curve'!$A$4:$K$4,0))))</f>
        <v>30.512814929891476</v>
      </c>
      <c r="AR197" s="708">
        <f t="shared" si="122"/>
        <v>38.738822255582811</v>
      </c>
      <c r="AS197" s="927">
        <f t="shared" si="109"/>
        <v>1</v>
      </c>
      <c r="AU197" s="926">
        <f>IF(Tables!$E$30="New York",INDEX('NY Curve'!$A$4:$L$256,MATCH('Monthly Table'!$B197,'NY Curve'!$A$4:$A$256,0),MATCH("New York Saturday Super Peak",'NY Curve'!$A$4:$L$4,0)),IF(Tables!$E$30="Michigan",INDEX('Michigan Curve'!$A$4:$K$256,MATCH('Monthly Table'!$B197,'Michigan Curve'!$A$4:$A$256,0),MATCH("Michigan Saturday Super Peak",'Michigan Curve'!$A$4:$K$4,0))))</f>
        <v>59.731264206286525</v>
      </c>
      <c r="AV197" s="925">
        <f t="shared" si="110"/>
        <v>75.834328379902757</v>
      </c>
      <c r="AW197" s="927">
        <f>IF(Tables!$B$21=15,0,IF(AV197&gt;($CP197+$BF$4),1,0))</f>
        <v>0</v>
      </c>
      <c r="AX197" s="926">
        <f>IF(Tables!$E$30="New York",INDEX('NY Curve'!$A$4:$L$256,MATCH('Monthly Table'!$B197,'NY Curve'!$A$4:$A$256,0),MATCH("New York Saturday Shoulder Peak",'NY Curve'!$A$4:$L$4,0)),IF(Tables!$E$30="Michigan",INDEX('Michigan Curve'!$A$4:$K$256,MATCH('Monthly Table'!$B197,'Michigan Curve'!$A$4:$A$256,0),MATCH("Michigan Saturday Shoulder Peak",'Michigan Curve'!$A$4:$K$4,0))))</f>
        <v>10.268735793713478</v>
      </c>
      <c r="AY197" s="934">
        <f t="shared" si="123"/>
        <v>13.037103643705755</v>
      </c>
      <c r="AZ197" s="927">
        <f>IF(Tables!$B$21=15,0,IF(AY197&gt;($CP197+$BF$4),1,0))</f>
        <v>0</v>
      </c>
      <c r="BB197" s="926">
        <f>IF(Tables!$E$30="New York",INDEX('NY Curve'!$A$4:$M$256,MATCH('Monthly Table'!$B197,'NY Curve'!$A$4:$A$256,0),MATCH("NY Sunday Super Peak",'NY Curve'!$A$4:$M$4,0)),IF(Tables!$E$30="Michigan",INDEX('Michigan Curve'!$A$4:$L$256,MATCH('Monthly Table'!$B197,'Michigan Curve'!$A$4:$A$256,0),MATCH("Michigan Sunday Super Peak",'Michigan Curve'!$A$4:$L$4,0))))</f>
        <v>52.904830756186776</v>
      </c>
      <c r="BC197" s="925">
        <f t="shared" si="124"/>
        <v>67.167543860985219</v>
      </c>
      <c r="BD197" s="927">
        <f t="shared" si="113"/>
        <v>1</v>
      </c>
      <c r="BF197" s="598">
        <f t="shared" si="104"/>
        <v>42552</v>
      </c>
      <c r="BG197" s="583">
        <f t="shared" si="125"/>
        <v>0</v>
      </c>
      <c r="BH197" s="764">
        <f>IF(Tables!$B$36="Combined Cycle",(BF197-BF196)*24*Assumptions!$B$21,0)</f>
        <v>0</v>
      </c>
      <c r="BI197" s="315">
        <f t="shared" si="126"/>
        <v>0</v>
      </c>
      <c r="BJ197" s="987">
        <f>IF('Monthly Table'!D197&lt;=Tables!$B$21,IF($BJ$10=$BG$10,BG197,IF($BJ$10=$BH$10,BH197,IF($BJ$10=$BI$10,BI197,0))),0)</f>
        <v>0</v>
      </c>
      <c r="BK197" s="43"/>
      <c r="BL197" s="987">
        <f t="shared" si="127"/>
        <v>0</v>
      </c>
      <c r="BM197" s="987">
        <f t="shared" si="128"/>
        <v>48</v>
      </c>
      <c r="BO197" s="987">
        <f t="shared" si="114"/>
        <v>0</v>
      </c>
      <c r="BP197" s="987">
        <f t="shared" si="129"/>
        <v>0</v>
      </c>
      <c r="BR197" s="993">
        <f>IF(BJ197&gt;0,INDEX(OperationalDetail,MATCH("Capacity Degradation",ODColumn,0),MATCH('Monthly Table'!C197,ODRow,0)),0)</f>
        <v>0</v>
      </c>
      <c r="BS197" s="994">
        <f>BJ197*(1-BR197)*Tables!$C$36</f>
        <v>0</v>
      </c>
      <c r="BT197" s="601">
        <f t="shared" si="115"/>
        <v>0</v>
      </c>
      <c r="BU197" s="601">
        <f t="shared" si="116"/>
        <v>0</v>
      </c>
      <c r="BV197" s="462"/>
      <c r="BW197" s="785">
        <f>$BO197*(1-$BR197)*Tables!$C$36</f>
        <v>0</v>
      </c>
      <c r="BX197" s="602">
        <f t="shared" si="130"/>
        <v>0</v>
      </c>
      <c r="BY197" s="601">
        <f t="shared" si="131"/>
        <v>0</v>
      </c>
      <c r="BZ197" s="462"/>
      <c r="CA197" s="785">
        <f>$BL197*(1-$BR197)*Tables!$C$36</f>
        <v>0</v>
      </c>
      <c r="CB197" s="602">
        <f t="shared" si="132"/>
        <v>0</v>
      </c>
      <c r="CC197" s="601">
        <f t="shared" si="133"/>
        <v>0</v>
      </c>
      <c r="CD197" s="785">
        <f>$BP197*(1-$BR197)*Tables!$C$36</f>
        <v>0</v>
      </c>
      <c r="CE197" s="602">
        <f t="shared" si="134"/>
        <v>0</v>
      </c>
      <c r="CF197" s="601">
        <f t="shared" si="135"/>
        <v>0</v>
      </c>
      <c r="CH197" s="785">
        <f>$BM197*(1-$BR197)*Tables!$C$36</f>
        <v>15552</v>
      </c>
      <c r="CI197" s="602">
        <f t="shared" si="136"/>
        <v>822.77592792021665</v>
      </c>
      <c r="CJ197" s="601">
        <f t="shared" si="137"/>
        <v>1044.589642126042</v>
      </c>
      <c r="CK197" s="304"/>
      <c r="CL197" s="304">
        <f t="shared" si="138"/>
        <v>2015</v>
      </c>
      <c r="CM197" s="1018">
        <f>INDEX(OperationalDetail,MATCH("Degraded Heat Rate",ODColumn,0),MATCH('Monthly Table'!CL197,ODRow,0))/1000</f>
        <v>12.020039200000001</v>
      </c>
      <c r="CN197" s="737">
        <f t="shared" si="117"/>
        <v>6.3845409843292593</v>
      </c>
      <c r="CO197" s="1019">
        <f>IF(A197="January",(CO196*(1+Assumptions!$E$32)),CO196)</f>
        <v>9.0652644263244699</v>
      </c>
      <c r="CP197" s="741">
        <f t="shared" si="105"/>
        <v>15.449805410653729</v>
      </c>
      <c r="CQ197" s="304"/>
      <c r="CR197" s="575" t="str">
        <f t="shared" si="139"/>
        <v/>
      </c>
      <c r="CS197" s="575" t="str">
        <f t="shared" si="140"/>
        <v/>
      </c>
      <c r="CT197" s="575" t="str">
        <f t="shared" si="141"/>
        <v/>
      </c>
      <c r="CU197" s="575" t="str">
        <f t="shared" si="142"/>
        <v/>
      </c>
      <c r="CV197" s="575">
        <f t="shared" si="143"/>
        <v>2016</v>
      </c>
      <c r="CW197" s="576">
        <f t="shared" si="106"/>
        <v>2016</v>
      </c>
      <c r="CX197" s="787">
        <f>INDEX('NY Curve'!$A$4:$G$256,MATCH('Monthly Table'!B197,'NY Curve'!$A$4:$A$256,0),MATCH("New York 5 X 16",'NY Curve'!$A$4:$G$4,0))</f>
        <v>90</v>
      </c>
      <c r="CY197" s="632">
        <f t="shared" si="107"/>
        <v>1.26959188605155</v>
      </c>
      <c r="CZ197" s="633">
        <f t="shared" si="108"/>
        <v>114.2632697446395</v>
      </c>
      <c r="DB197" s="857"/>
      <c r="DC197" s="857"/>
    </row>
    <row r="198" spans="1:107" ht="18.75" customHeight="1">
      <c r="A198" s="17" t="s">
        <v>444</v>
      </c>
      <c r="B198" s="508">
        <v>42583</v>
      </c>
      <c r="C198" s="43">
        <f t="shared" si="145"/>
        <v>2016</v>
      </c>
      <c r="D198" s="719">
        <f t="shared" si="144"/>
        <v>16</v>
      </c>
      <c r="E198" s="972">
        <v>23</v>
      </c>
      <c r="F198" s="971">
        <v>4</v>
      </c>
      <c r="G198" s="971">
        <v>4</v>
      </c>
      <c r="H198" s="971">
        <v>0</v>
      </c>
      <c r="I198" s="976">
        <f t="shared" si="118"/>
        <v>31</v>
      </c>
      <c r="J198" s="621"/>
      <c r="K198" s="572">
        <f>INDEX(FX!$A$3:$C$362,MATCH(B198,FX!$A$3:$A$362,0),MATCH("Monthly Curve",FX!$A$2:$C$2,0))</f>
        <v>1.2689743398006099</v>
      </c>
      <c r="L198" s="572"/>
      <c r="M198" s="724"/>
      <c r="N198" s="746"/>
      <c r="O198" s="877">
        <v>0.1</v>
      </c>
      <c r="P198" s="797">
        <f t="shared" ref="P198:P244" si="147">N198+O198</f>
        <v>0.1</v>
      </c>
      <c r="Q198" s="732">
        <f t="shared" ref="Q198:Q244" si="148">SUM(M198:O198)</f>
        <v>0.1</v>
      </c>
      <c r="R198" s="723">
        <f>IF(A198="January",(R197+R197*Assumptions!$E$32),R197)</f>
        <v>0.40419889483347954</v>
      </c>
      <c r="S198" s="730">
        <f t="shared" ref="S198:S244" si="149">(Q198*K198)+R198</f>
        <v>0.53109632881354052</v>
      </c>
      <c r="T198" s="572"/>
      <c r="U198" s="507"/>
      <c r="V198" s="583"/>
      <c r="W198" s="583"/>
      <c r="X198" s="587"/>
      <c r="Y198" s="588">
        <f>Tables!$D$36</f>
        <v>312</v>
      </c>
      <c r="Z198" s="570">
        <f t="shared" ref="Z198:Z238" si="150">IF($Z$10=$V$10,V198,IF($Z$10=$W$10,W198,IF($Z$10=$X$10,X198,0)))</f>
        <v>0</v>
      </c>
      <c r="AA198" s="592">
        <f t="shared" ref="AA198:AA238" si="151">Y198*Z198</f>
        <v>0</v>
      </c>
      <c r="AB198" s="589">
        <f t="shared" si="146"/>
        <v>0</v>
      </c>
      <c r="AC198" s="462"/>
      <c r="AD198" s="1027">
        <f>IF(Tables!$E$30="Michigan",INDEX('Michigan Curve'!$A$4:$S$256,MATCH('Monthly Table'!B198,'Michigan Curve'!$A$4:$A$256,0),MATCH("Michigan Selected Option Value US$/month",'Michigan Curve'!$A$4:$S$4,0)),INDEX('NY Curve'!$A$4:$T$256,MATCH('Monthly Table'!B198,'NY Curve'!$A$4:$A$256,0),MATCH("New York Selected Option Value US$/month",'NY Curve'!$A$4:$T$4,0)))</f>
        <v>0</v>
      </c>
      <c r="AE198" s="601">
        <f t="shared" si="119"/>
        <v>0</v>
      </c>
      <c r="AF198" s="462"/>
      <c r="AG198" s="915"/>
      <c r="AH198" s="17"/>
      <c r="AI198" s="799">
        <f>Assumptions!$B$50</f>
        <v>65</v>
      </c>
      <c r="AJ198" s="743"/>
      <c r="AK198" s="924">
        <f>IF(Tables!$E$30="Custom",'Monthly Table'!AI198,IF(Tables!$E$30="New York",INDEX('NY Curve'!$A$4:$G$256,MATCH('Monthly Table'!B198,'NY Curve'!$A$4:$A$256,0),MATCH("Super Peak Curve",'NY Curve'!$A$4:$G$4,0)),IF(Tables!$E$30="New York Flat",INDEX('NY Curve'!$A$4:$G$256,MATCH('Monthly Table'!B198,'NY Curve'!$A$4:$A$256,0),MATCH("Flat NY West",'NY Curve'!$A$4:$G$4,0)),INDEX('Michigan Curve'!$A$4:$F$256,MATCH('Monthly Table'!B198,'Michigan Curve'!$A$4:$A$256,0),MATCH("Michigan Super Peak Curve US$/MWhr",'Michigan Curve'!$A$4:$F$4,0)))))</f>
        <v>177.48718507010852</v>
      </c>
      <c r="AL198" s="965">
        <f>IF(D198&lt;=Tables!$B$21,IF($AL$10=$AI$10,AI198,IF($AL$10=$AJ$10,AJ198,IF($AL$10=$AK$10,AK198,0))),0)</f>
        <v>0</v>
      </c>
      <c r="AM198" s="708">
        <f t="shared" si="120"/>
        <v>0</v>
      </c>
      <c r="AN198" s="916">
        <f t="shared" si="121"/>
        <v>0</v>
      </c>
      <c r="AO198" s="905"/>
      <c r="AP198" s="925"/>
      <c r="AQ198" s="926">
        <f>IF(Tables!$E$30="New York",INDEX('NY Curve'!$A$4:$L$256,MATCH('Monthly Table'!B198,'NY Curve'!$A$4:$A$256,0),MATCH("New York Shoulder Hour Curve Mon-Fri",'NY Curve'!$A$4:$L$4,0)),IF(Tables!$E$30="Michigan",INDEX('Michigan Curve'!$A$4:$K$256,MATCH('Monthly Table'!B198,'Michigan Curve'!$A$4:$A$256,0),MATCH("Michigan Shoulder Hour Curve Mon-Fri",'Michigan Curve'!$A$4:$K$4,0))))</f>
        <v>30.512814929891476</v>
      </c>
      <c r="AR198" s="708">
        <f t="shared" si="122"/>
        <v>38.719979181117232</v>
      </c>
      <c r="AS198" s="927">
        <f t="shared" si="109"/>
        <v>1</v>
      </c>
      <c r="AU198" s="926">
        <f>IF(Tables!$E$30="New York",INDEX('NY Curve'!$A$4:$L$256,MATCH('Monthly Table'!$B198,'NY Curve'!$A$4:$A$256,0),MATCH("New York Saturday Super Peak",'NY Curve'!$A$4:$L$4,0)),IF(Tables!$E$30="Michigan",INDEX('Michigan Curve'!$A$4:$K$256,MATCH('Monthly Table'!$B198,'Michigan Curve'!$A$4:$A$256,0),MATCH("Michigan Saturday Super Peak",'Michigan Curve'!$A$4:$K$4,0))))</f>
        <v>59.731270716477674</v>
      </c>
      <c r="AV198" s="925">
        <f t="shared" si="110"/>
        <v>75.797449822893753</v>
      </c>
      <c r="AW198" s="927">
        <f>IF(Tables!$B$21=15,0,IF(AV198&gt;($CP198+$BF$4),1,0))</f>
        <v>0</v>
      </c>
      <c r="AX198" s="926">
        <f>IF(Tables!$E$30="New York",INDEX('NY Curve'!$A$4:$L$256,MATCH('Monthly Table'!$B198,'NY Curve'!$A$4:$A$256,0),MATCH("New York Saturday Shoulder Peak",'NY Curve'!$A$4:$L$4,0)),IF(Tables!$E$30="Michigan",INDEX('Michigan Curve'!$A$4:$K$256,MATCH('Monthly Table'!$B198,'Michigan Curve'!$A$4:$A$256,0),MATCH("Michigan Saturday Shoulder Peak",'Michigan Curve'!$A$4:$K$4,0))))</f>
        <v>10.268736912916859</v>
      </c>
      <c r="AY198" s="934">
        <f t="shared" si="123"/>
        <v>13.030763644654824</v>
      </c>
      <c r="AZ198" s="927">
        <f>IF(Tables!$B$21=15,0,IF(AY198&gt;($CP198+$BF$4),1,0))</f>
        <v>0</v>
      </c>
      <c r="BB198" s="926">
        <f>IF(Tables!$E$30="New York",INDEX('NY Curve'!$A$4:$M$256,MATCH('Monthly Table'!$B198,'NY Curve'!$A$4:$A$256,0),MATCH("NY Sunday Super Peak",'NY Curve'!$A$4:$M$4,0)),IF(Tables!$E$30="Michigan",INDEX('Michigan Curve'!$A$4:$L$256,MATCH('Monthly Table'!$B198,'Michigan Curve'!$A$4:$A$256,0),MATCH("Michigan Sunday Super Peak",'Michigan Curve'!$A$4:$L$4,0))))</f>
        <v>52.904834011282347</v>
      </c>
      <c r="BC198" s="925">
        <f t="shared" si="124"/>
        <v>67.134876811727864</v>
      </c>
      <c r="BD198" s="927">
        <f t="shared" si="113"/>
        <v>1</v>
      </c>
      <c r="BF198" s="598">
        <f t="shared" ref="BF198:BF244" si="152">B198</f>
        <v>42583</v>
      </c>
      <c r="BG198" s="583">
        <f t="shared" si="125"/>
        <v>0</v>
      </c>
      <c r="BH198" s="764">
        <f>IF(Tables!$B$36="Combined Cycle",(BF198-BF197)*24*Assumptions!$B$21,0)</f>
        <v>0</v>
      </c>
      <c r="BI198" s="315">
        <f t="shared" si="126"/>
        <v>0</v>
      </c>
      <c r="BJ198" s="987">
        <f>IF('Monthly Table'!D198&lt;=Tables!$B$21,IF($BJ$10=$BG$10,BG198,IF($BJ$10=$BH$10,BH198,IF($BJ$10=$BI$10,BI198,0))),0)</f>
        <v>0</v>
      </c>
      <c r="BK198" s="43"/>
      <c r="BL198" s="987">
        <f t="shared" si="127"/>
        <v>0</v>
      </c>
      <c r="BM198" s="987">
        <f t="shared" si="128"/>
        <v>32</v>
      </c>
      <c r="BO198" s="987">
        <f t="shared" si="114"/>
        <v>0</v>
      </c>
      <c r="BP198" s="987">
        <f t="shared" si="129"/>
        <v>0</v>
      </c>
      <c r="BR198" s="993">
        <f>IF(BJ198&gt;0,INDEX(OperationalDetail,MATCH("Capacity Degradation",ODColumn,0),MATCH('Monthly Table'!C198,ODRow,0)),0)</f>
        <v>0</v>
      </c>
      <c r="BS198" s="994">
        <f>BJ198*(1-BR198)*Tables!$C$36</f>
        <v>0</v>
      </c>
      <c r="BT198" s="601">
        <f t="shared" si="115"/>
        <v>0</v>
      </c>
      <c r="BU198" s="601">
        <f t="shared" si="116"/>
        <v>0</v>
      </c>
      <c r="BV198" s="462"/>
      <c r="BW198" s="785">
        <f>$BO198*(1-$BR198)*Tables!$C$36</f>
        <v>0</v>
      </c>
      <c r="BX198" s="602">
        <f t="shared" si="130"/>
        <v>0</v>
      </c>
      <c r="BY198" s="601">
        <f t="shared" si="131"/>
        <v>0</v>
      </c>
      <c r="BZ198" s="462"/>
      <c r="CA198" s="785">
        <f>$BL198*(1-$BR198)*Tables!$C$36</f>
        <v>0</v>
      </c>
      <c r="CB198" s="602">
        <f t="shared" si="132"/>
        <v>0</v>
      </c>
      <c r="CC198" s="601">
        <f t="shared" si="133"/>
        <v>0</v>
      </c>
      <c r="CD198" s="785">
        <f>$BP198*(1-$BR198)*Tables!$C$36</f>
        <v>0</v>
      </c>
      <c r="CE198" s="602">
        <f t="shared" si="134"/>
        <v>0</v>
      </c>
      <c r="CF198" s="601">
        <f t="shared" si="135"/>
        <v>0</v>
      </c>
      <c r="CH198" s="785">
        <f>$BM198*(1-$BR198)*Tables!$C$36</f>
        <v>10368</v>
      </c>
      <c r="CI198" s="602">
        <f t="shared" si="136"/>
        <v>548.51731902897529</v>
      </c>
      <c r="CJ198" s="601">
        <f t="shared" si="137"/>
        <v>696.05440278399442</v>
      </c>
      <c r="CK198" s="304"/>
      <c r="CL198" s="304">
        <f t="shared" si="138"/>
        <v>2015</v>
      </c>
      <c r="CM198" s="1018">
        <f>INDEX(OperationalDetail,MATCH("Degraded Heat Rate",ODColumn,0),MATCH('Monthly Table'!CL198,ODRow,0))/1000</f>
        <v>12.020039200000001</v>
      </c>
      <c r="CN198" s="737">
        <f t="shared" si="117"/>
        <v>6.3837986913148468</v>
      </c>
      <c r="CO198" s="1019">
        <f>IF(A198="January",(CO197*(1+Assumptions!$E$32)),CO197)</f>
        <v>9.0652644263244699</v>
      </c>
      <c r="CP198" s="741">
        <f t="shared" ref="CP198:CP244" si="153">CN198+CO198</f>
        <v>15.449063117639316</v>
      </c>
      <c r="CQ198" s="304"/>
      <c r="CR198" s="575" t="str">
        <f t="shared" si="139"/>
        <v/>
      </c>
      <c r="CS198" s="575" t="str">
        <f t="shared" si="140"/>
        <v/>
      </c>
      <c r="CT198" s="575" t="str">
        <f t="shared" si="141"/>
        <v/>
      </c>
      <c r="CU198" s="575" t="str">
        <f t="shared" si="142"/>
        <v/>
      </c>
      <c r="CV198" s="575">
        <f t="shared" si="143"/>
        <v>2016</v>
      </c>
      <c r="CW198" s="576">
        <f t="shared" ref="CW198:CW244" si="154">YEAR(BF198)</f>
        <v>2016</v>
      </c>
      <c r="CX198" s="787">
        <f>INDEX('NY Curve'!$A$4:$G$256,MATCH('Monthly Table'!B198,'NY Curve'!$A$4:$A$256,0),MATCH("New York 5 X 16",'NY Curve'!$A$4:$G$4,0))</f>
        <v>82.5</v>
      </c>
      <c r="CY198" s="632">
        <f t="shared" ref="CY198:CY244" si="155">K198</f>
        <v>1.2689743398006099</v>
      </c>
      <c r="CZ198" s="633">
        <f t="shared" ref="CZ198:CZ244" si="156">CX198*CY198</f>
        <v>104.69038303355032</v>
      </c>
      <c r="DB198" s="857"/>
      <c r="DC198" s="857"/>
    </row>
    <row r="199" spans="1:107" ht="18.75" customHeight="1">
      <c r="A199" s="17" t="s">
        <v>445</v>
      </c>
      <c r="B199" s="508">
        <v>42614</v>
      </c>
      <c r="C199" s="43">
        <f t="shared" si="145"/>
        <v>2016</v>
      </c>
      <c r="D199" s="719">
        <f t="shared" si="144"/>
        <v>16</v>
      </c>
      <c r="E199" s="972">
        <v>21</v>
      </c>
      <c r="F199" s="971">
        <v>4</v>
      </c>
      <c r="G199" s="971">
        <v>4</v>
      </c>
      <c r="H199" s="971">
        <v>1</v>
      </c>
      <c r="I199" s="976">
        <f t="shared" si="118"/>
        <v>30</v>
      </c>
      <c r="J199" s="621"/>
      <c r="K199" s="572">
        <f>INDEX(FX!$A$3:$C$362,MATCH(B199,FX!$A$3:$A$362,0),MATCH("Monthly Curve",FX!$A$2:$C$2,0))</f>
        <v>1.26835995638737</v>
      </c>
      <c r="L199" s="572"/>
      <c r="M199" s="724"/>
      <c r="N199" s="746"/>
      <c r="O199" s="877">
        <v>0.1</v>
      </c>
      <c r="P199" s="797">
        <f t="shared" si="147"/>
        <v>0.1</v>
      </c>
      <c r="Q199" s="732">
        <f t="shared" si="148"/>
        <v>0.1</v>
      </c>
      <c r="R199" s="723">
        <f>IF(A199="January",(R198+R198*Assumptions!$E$32),R198)</f>
        <v>0.40419889483347954</v>
      </c>
      <c r="S199" s="730">
        <f t="shared" si="149"/>
        <v>0.53103489047221653</v>
      </c>
      <c r="T199" s="572"/>
      <c r="U199" s="507"/>
      <c r="V199" s="583"/>
      <c r="W199" s="583"/>
      <c r="X199" s="587"/>
      <c r="Y199" s="588">
        <f>Tables!$D$36</f>
        <v>312</v>
      </c>
      <c r="Z199" s="570">
        <f t="shared" si="150"/>
        <v>0</v>
      </c>
      <c r="AA199" s="592">
        <f t="shared" si="151"/>
        <v>0</v>
      </c>
      <c r="AB199" s="589">
        <f t="shared" si="146"/>
        <v>0</v>
      </c>
      <c r="AC199" s="462"/>
      <c r="AD199" s="1027">
        <f>IF(Tables!$E$30="Michigan",INDEX('Michigan Curve'!$A$4:$S$256,MATCH('Monthly Table'!B199,'Michigan Curve'!$A$4:$A$256,0),MATCH("Michigan Selected Option Value US$/month",'Michigan Curve'!$A$4:$S$4,0)),INDEX('NY Curve'!$A$4:$T$256,MATCH('Monthly Table'!B199,'NY Curve'!$A$4:$A$256,0),MATCH("New York Selected Option Value US$/month",'NY Curve'!$A$4:$T$4,0)))</f>
        <v>0</v>
      </c>
      <c r="AE199" s="601">
        <f t="shared" si="119"/>
        <v>0</v>
      </c>
      <c r="AF199" s="462"/>
      <c r="AG199" s="915"/>
      <c r="AH199" s="17"/>
      <c r="AI199" s="799">
        <f>Assumptions!$B$50</f>
        <v>65</v>
      </c>
      <c r="AJ199" s="743"/>
      <c r="AK199" s="924">
        <f>IF(Tables!$E$30="Custom",'Monthly Table'!AI199,IF(Tables!$E$30="New York",INDEX('NY Curve'!$A$4:$G$256,MATCH('Monthly Table'!B199,'NY Curve'!$A$4:$A$256,0),MATCH("Super Peak Curve",'NY Curve'!$A$4:$G$4,0)),IF(Tables!$E$30="New York Flat",INDEX('NY Curve'!$A$4:$G$256,MATCH('Monthly Table'!B199,'NY Curve'!$A$4:$A$256,0),MATCH("Flat NY West",'NY Curve'!$A$4:$G$4,0)),INDEX('Michigan Curve'!$A$4:$F$256,MATCH('Monthly Table'!B199,'Michigan Curve'!$A$4:$A$256,0),MATCH("Michigan Super Peak Curve US$/MWhr",'Michigan Curve'!$A$4:$F$4,0)))))</f>
        <v>51.009687229990959</v>
      </c>
      <c r="AL199" s="965">
        <f>IF(D199&lt;=Tables!$B$21,IF($AL$10=$AI$10,AI199,IF($AL$10=$AJ$10,AJ199,IF($AL$10=$AK$10,AK199,0))),0)</f>
        <v>0</v>
      </c>
      <c r="AM199" s="708">
        <f t="shared" si="120"/>
        <v>0</v>
      </c>
      <c r="AN199" s="916">
        <f t="shared" si="121"/>
        <v>0</v>
      </c>
      <c r="AO199" s="905"/>
      <c r="AP199" s="925"/>
      <c r="AQ199" s="926">
        <f>IF(Tables!$E$30="New York",INDEX('NY Curve'!$A$4:$L$256,MATCH('Monthly Table'!B199,'NY Curve'!$A$4:$A$256,0),MATCH("New York Shoulder Hour Curve Mon-Fri",'NY Curve'!$A$4:$L$4,0)),IF(Tables!$E$30="Michigan",INDEX('Michigan Curve'!$A$4:$K$256,MATCH('Monthly Table'!B199,'Michigan Curve'!$A$4:$A$256,0),MATCH("Michigan Shoulder Hour Curve Mon-Fri",'Michigan Curve'!$A$4:$K$4,0))))</f>
        <v>24.490312770009041</v>
      </c>
      <c r="AR199" s="708">
        <f t="shared" si="122"/>
        <v>31.062532036881716</v>
      </c>
      <c r="AS199" s="927">
        <f t="shared" si="109"/>
        <v>1</v>
      </c>
      <c r="AU199" s="926">
        <f>IF(Tables!$E$30="New York",INDEX('NY Curve'!$A$4:$L$256,MATCH('Monthly Table'!$B199,'NY Curve'!$A$4:$A$256,0),MATCH("New York Saturday Super Peak",'NY Curve'!$A$4:$L$4,0)),IF(Tables!$E$30="Michigan",INDEX('Michigan Curve'!$A$4:$K$256,MATCH('Monthly Table'!$B199,'Michigan Curve'!$A$4:$A$256,0),MATCH("Michigan Saturday Super Peak",'Michigan Curve'!$A$4:$K$4,0))))</f>
        <v>33.781249821186066</v>
      </c>
      <c r="AV199" s="925">
        <f t="shared" si="110"/>
        <v>42.84678454991041</v>
      </c>
      <c r="AW199" s="927">
        <f>IF(Tables!$B$21=15,0,IF(AV199&gt;($CP199+$BF$4),1,0))</f>
        <v>0</v>
      </c>
      <c r="AX199" s="926">
        <f>IF(Tables!$E$30="New York",INDEX('NY Curve'!$A$4:$L$256,MATCH('Monthly Table'!$B199,'NY Curve'!$A$4:$A$256,0),MATCH("New York Saturday Shoulder Peak",'NY Curve'!$A$4:$L$4,0)),IF(Tables!$E$30="Michigan",INDEX('Michigan Curve'!$A$4:$K$256,MATCH('Monthly Table'!$B199,'Michigan Curve'!$A$4:$A$256,0),MATCH("Michigan Saturday Shoulder Peak",'Michigan Curve'!$A$4:$K$4,0))))</f>
        <v>16.218750178813934</v>
      </c>
      <c r="AY199" s="934">
        <f t="shared" si="123"/>
        <v>20.571213269458092</v>
      </c>
      <c r="AZ199" s="927">
        <f>IF(Tables!$B$21=15,0,IF(AY199&gt;($CP199+$BF$4),1,0))</f>
        <v>0</v>
      </c>
      <c r="BB199" s="926">
        <f>IF(Tables!$E$30="New York",INDEX('NY Curve'!$A$4:$M$256,MATCH('Monthly Table'!$B199,'NY Curve'!$A$4:$A$256,0),MATCH("NY Sunday Super Peak",'NY Curve'!$A$4:$M$4,0)),IF(Tables!$E$30="Michigan",INDEX('Michigan Curve'!$A$4:$L$256,MATCH('Monthly Table'!$B199,'Michigan Curve'!$A$4:$A$256,0),MATCH("Michigan Sunday Super Peak",'Michigan Curve'!$A$4:$L$4,0))))</f>
        <v>32.429999828338623</v>
      </c>
      <c r="BC199" s="925">
        <f t="shared" si="124"/>
        <v>41.132913167913991</v>
      </c>
      <c r="BD199" s="927">
        <f t="shared" si="113"/>
        <v>1</v>
      </c>
      <c r="BF199" s="598">
        <f t="shared" si="152"/>
        <v>42614</v>
      </c>
      <c r="BG199" s="583">
        <f t="shared" si="125"/>
        <v>0</v>
      </c>
      <c r="BH199" s="764">
        <f>IF(Tables!$B$36="Combined Cycle",(BF199-BF198)*24*Assumptions!$B$21,0)</f>
        <v>0</v>
      </c>
      <c r="BI199" s="315">
        <f t="shared" si="126"/>
        <v>0</v>
      </c>
      <c r="BJ199" s="987">
        <f>IF('Monthly Table'!D199&lt;=Tables!$B$21,IF($BJ$10=$BG$10,BG199,IF($BJ$10=$BH$10,BH199,IF($BJ$10=$BI$10,BI199,0))),0)</f>
        <v>0</v>
      </c>
      <c r="BK199" s="43"/>
      <c r="BL199" s="987">
        <f t="shared" si="127"/>
        <v>0</v>
      </c>
      <c r="BM199" s="987">
        <f t="shared" si="128"/>
        <v>40</v>
      </c>
      <c r="BO199" s="987">
        <f t="shared" si="114"/>
        <v>0</v>
      </c>
      <c r="BP199" s="987">
        <f t="shared" si="129"/>
        <v>0</v>
      </c>
      <c r="BR199" s="993">
        <f>IF(BJ199&gt;0,INDEX(OperationalDetail,MATCH("Capacity Degradation",ODColumn,0),MATCH('Monthly Table'!C199,ODRow,0)),0)</f>
        <v>0</v>
      </c>
      <c r="BS199" s="994">
        <f>BJ199*(1-BR199)*Tables!$C$36</f>
        <v>0</v>
      </c>
      <c r="BT199" s="601">
        <f t="shared" si="115"/>
        <v>0</v>
      </c>
      <c r="BU199" s="601">
        <f t="shared" si="116"/>
        <v>0</v>
      </c>
      <c r="BV199" s="462"/>
      <c r="BW199" s="785">
        <f>$BO199*(1-$BR199)*Tables!$C$36</f>
        <v>0</v>
      </c>
      <c r="BX199" s="602">
        <f t="shared" si="130"/>
        <v>0</v>
      </c>
      <c r="BY199" s="601">
        <f t="shared" si="131"/>
        <v>0</v>
      </c>
      <c r="BZ199" s="462"/>
      <c r="CA199" s="785">
        <f>$BL199*(1-$BR199)*Tables!$C$36</f>
        <v>0</v>
      </c>
      <c r="CB199" s="602">
        <f t="shared" si="132"/>
        <v>0</v>
      </c>
      <c r="CC199" s="601">
        <f t="shared" si="133"/>
        <v>0</v>
      </c>
      <c r="CD199" s="785">
        <f>$BP199*(1-$BR199)*Tables!$C$36</f>
        <v>0</v>
      </c>
      <c r="CE199" s="602">
        <f t="shared" si="134"/>
        <v>0</v>
      </c>
      <c r="CF199" s="601">
        <f t="shared" si="135"/>
        <v>0</v>
      </c>
      <c r="CH199" s="785">
        <f>$BM199*(1-$BR199)*Tables!$C$36</f>
        <v>12960</v>
      </c>
      <c r="CI199" s="602">
        <f t="shared" si="136"/>
        <v>420.29279777526858</v>
      </c>
      <c r="CJ199" s="601">
        <f t="shared" si="137"/>
        <v>533.08255465616537</v>
      </c>
      <c r="CK199" s="304"/>
      <c r="CL199" s="304">
        <f t="shared" si="138"/>
        <v>2015</v>
      </c>
      <c r="CM199" s="1018">
        <f>INDEX(OperationalDetail,MATCH("Degraded Heat Rate",ODColumn,0),MATCH('Monthly Table'!CL199,ODRow,0))/1000</f>
        <v>12.020039200000001</v>
      </c>
      <c r="CN199" s="737">
        <f t="shared" si="117"/>
        <v>6.38306020004375</v>
      </c>
      <c r="CO199" s="1019">
        <f>IF(A199="January",(CO198*(1+Assumptions!$E$32)),CO198)</f>
        <v>9.0652644263244699</v>
      </c>
      <c r="CP199" s="741">
        <f t="shared" si="153"/>
        <v>15.448324626368219</v>
      </c>
      <c r="CQ199" s="304"/>
      <c r="CR199" s="575" t="str">
        <f t="shared" si="139"/>
        <v/>
      </c>
      <c r="CS199" s="575" t="str">
        <f t="shared" si="140"/>
        <v/>
      </c>
      <c r="CT199" s="575" t="str">
        <f t="shared" si="141"/>
        <v/>
      </c>
      <c r="CU199" s="575" t="str">
        <f t="shared" si="142"/>
        <v/>
      </c>
      <c r="CV199" s="575">
        <f t="shared" si="143"/>
        <v>2016</v>
      </c>
      <c r="CW199" s="576">
        <f t="shared" si="154"/>
        <v>2016</v>
      </c>
      <c r="CX199" s="787">
        <f>INDEX('NY Curve'!$A$4:$G$256,MATCH('Monthly Table'!B199,'NY Curve'!$A$4:$A$256,0),MATCH("New York 5 X 16",'NY Curve'!$A$4:$G$4,0))</f>
        <v>32.25</v>
      </c>
      <c r="CY199" s="632">
        <f t="shared" si="155"/>
        <v>1.26835995638737</v>
      </c>
      <c r="CZ199" s="633">
        <f t="shared" si="156"/>
        <v>40.904608593492682</v>
      </c>
      <c r="DB199" s="857"/>
      <c r="DC199" s="857"/>
    </row>
    <row r="200" spans="1:107" ht="18.75" customHeight="1">
      <c r="A200" s="17" t="s">
        <v>446</v>
      </c>
      <c r="B200" s="508">
        <v>42644</v>
      </c>
      <c r="C200" s="43">
        <f t="shared" si="145"/>
        <v>2016</v>
      </c>
      <c r="D200" s="719">
        <f t="shared" si="144"/>
        <v>16</v>
      </c>
      <c r="E200" s="972">
        <v>21</v>
      </c>
      <c r="F200" s="971">
        <v>5</v>
      </c>
      <c r="G200" s="971">
        <v>5</v>
      </c>
      <c r="H200" s="971">
        <v>0</v>
      </c>
      <c r="I200" s="976">
        <f t="shared" si="118"/>
        <v>31</v>
      </c>
      <c r="J200" s="621"/>
      <c r="K200" s="572">
        <f>INDEX(FX!$A$3:$C$362,MATCH(B200,FX!$A$3:$A$362,0),MATCH("Monthly Curve",FX!$A$2:$C$2,0))</f>
        <v>1.2677683991578099</v>
      </c>
      <c r="L200" s="572"/>
      <c r="M200" s="724"/>
      <c r="N200" s="746"/>
      <c r="O200" s="877">
        <v>0.1</v>
      </c>
      <c r="P200" s="797">
        <f t="shared" si="147"/>
        <v>0.1</v>
      </c>
      <c r="Q200" s="732">
        <f t="shared" si="148"/>
        <v>0.1</v>
      </c>
      <c r="R200" s="723">
        <f>IF(A200="January",(R199+R199*Assumptions!$E$32),R199)</f>
        <v>0.40419889483347954</v>
      </c>
      <c r="S200" s="730">
        <f t="shared" si="149"/>
        <v>0.53097573474926052</v>
      </c>
      <c r="T200" s="572"/>
      <c r="U200" s="507"/>
      <c r="V200" s="583"/>
      <c r="W200" s="583"/>
      <c r="X200" s="587"/>
      <c r="Y200" s="588">
        <f>Tables!$D$36</f>
        <v>312</v>
      </c>
      <c r="Z200" s="570">
        <f t="shared" si="150"/>
        <v>0</v>
      </c>
      <c r="AA200" s="592">
        <f t="shared" si="151"/>
        <v>0</v>
      </c>
      <c r="AB200" s="589">
        <f t="shared" si="146"/>
        <v>0</v>
      </c>
      <c r="AC200" s="462"/>
      <c r="AD200" s="1027">
        <f>IF(Tables!$E$30="Michigan",INDEX('Michigan Curve'!$A$4:$S$256,MATCH('Monthly Table'!B200,'Michigan Curve'!$A$4:$A$256,0),MATCH("Michigan Selected Option Value US$/month",'Michigan Curve'!$A$4:$S$4,0)),INDEX('NY Curve'!$A$4:$T$256,MATCH('Monthly Table'!B200,'NY Curve'!$A$4:$A$256,0),MATCH("New York Selected Option Value US$/month",'NY Curve'!$A$4:$T$4,0)))</f>
        <v>0</v>
      </c>
      <c r="AE200" s="601">
        <f t="shared" si="119"/>
        <v>0</v>
      </c>
      <c r="AF200" s="462"/>
      <c r="AG200" s="915"/>
      <c r="AH200" s="17"/>
      <c r="AI200" s="799">
        <f>Assumptions!$B$50</f>
        <v>65</v>
      </c>
      <c r="AJ200" s="743"/>
      <c r="AK200" s="924">
        <f>IF(Tables!$E$30="Custom",'Monthly Table'!AI200,IF(Tables!$E$30="New York",INDEX('NY Curve'!$A$4:$G$256,MATCH('Monthly Table'!B200,'NY Curve'!$A$4:$A$256,0),MATCH("Super Peak Curve",'NY Curve'!$A$4:$G$4,0)),IF(Tables!$E$30="New York Flat",INDEX('NY Curve'!$A$4:$G$256,MATCH('Monthly Table'!B200,'NY Curve'!$A$4:$A$256,0),MATCH("Flat NY West",'NY Curve'!$A$4:$G$4,0)),INDEX('Michigan Curve'!$A$4:$F$256,MATCH('Monthly Table'!B200,'Michigan Curve'!$A$4:$A$256,0),MATCH("Michigan Super Peak Curve US$/MWhr",'Michigan Curve'!$A$4:$F$4,0)))))</f>
        <v>30.849994659423828</v>
      </c>
      <c r="AL200" s="965">
        <f>IF(D200&lt;=Tables!$B$21,IF($AL$10=$AI$10,AI200,IF($AL$10=$AJ$10,AJ200,IF($AL$10=$AK$10,AK200,0))),0)</f>
        <v>0</v>
      </c>
      <c r="AM200" s="708">
        <f t="shared" si="120"/>
        <v>0</v>
      </c>
      <c r="AN200" s="916">
        <f t="shared" si="121"/>
        <v>0</v>
      </c>
      <c r="AO200" s="905"/>
      <c r="AP200" s="925"/>
      <c r="AQ200" s="926">
        <f>IF(Tables!$E$30="New York",INDEX('NY Curve'!$A$4:$L$256,MATCH('Monthly Table'!B200,'NY Curve'!$A$4:$A$256,0),MATCH("New York Shoulder Hour Curve Mon-Fri",'NY Curve'!$A$4:$L$4,0)),IF(Tables!$E$30="Michigan",INDEX('Michigan Curve'!$A$4:$K$256,MATCH('Monthly Table'!B200,'Michigan Curve'!$A$4:$A$256,0),MATCH("Michigan Shoulder Hour Curve Mon-Fri",'Michigan Curve'!$A$4:$K$4,0))))</f>
        <v>30.849994659423828</v>
      </c>
      <c r="AR200" s="708">
        <f t="shared" si="122"/>
        <v>39.110648343404733</v>
      </c>
      <c r="AS200" s="927">
        <f t="shared" si="109"/>
        <v>1</v>
      </c>
      <c r="AU200" s="926">
        <f>IF(Tables!$E$30="New York",INDEX('NY Curve'!$A$4:$L$256,MATCH('Monthly Table'!$B200,'NY Curve'!$A$4:$A$256,0),MATCH("New York Saturday Super Peak",'NY Curve'!$A$4:$L$4,0)),IF(Tables!$E$30="Michigan",INDEX('Michigan Curve'!$A$4:$K$256,MATCH('Monthly Table'!$B200,'Michigan Curve'!$A$4:$A$256,0),MATCH("Michigan Saturday Super Peak",'Michigan Curve'!$A$4:$K$4,0))))</f>
        <v>19.996000289916992</v>
      </c>
      <c r="AV200" s="925">
        <f t="shared" si="110"/>
        <v>25.350297277107167</v>
      </c>
      <c r="AW200" s="927">
        <f>IF(Tables!$B$21=15,0,IF(AV200&gt;($CP200+$BF$4),1,0))</f>
        <v>0</v>
      </c>
      <c r="AX200" s="926">
        <f>IF(Tables!$E$30="New York",INDEX('NY Curve'!$A$4:$L$256,MATCH('Monthly Table'!$B200,'NY Curve'!$A$4:$A$256,0),MATCH("New York Saturday Shoulder Peak",'NY Curve'!$A$4:$L$4,0)),IF(Tables!$E$30="Michigan",INDEX('Michigan Curve'!$A$4:$K$256,MATCH('Monthly Table'!$B200,'Michigan Curve'!$A$4:$A$256,0),MATCH("Michigan Saturday Shoulder Peak",'Michigan Curve'!$A$4:$K$4,0))))</f>
        <v>19.996000289916992</v>
      </c>
      <c r="AY200" s="934">
        <f t="shared" si="123"/>
        <v>25.350297277107167</v>
      </c>
      <c r="AZ200" s="927">
        <f>IF(Tables!$B$21=15,0,IF(AY200&gt;($CP200+$BF$4),1,0))</f>
        <v>0</v>
      </c>
      <c r="BB200" s="926">
        <f>IF(Tables!$E$30="New York",INDEX('NY Curve'!$A$4:$M$256,MATCH('Monthly Table'!$B200,'NY Curve'!$A$4:$A$256,0),MATCH("NY Sunday Super Peak",'NY Curve'!$A$4:$M$4,0)),IF(Tables!$E$30="Michigan",INDEX('Michigan Curve'!$A$4:$L$256,MATCH('Monthly Table'!$B200,'Michigan Curve'!$A$4:$A$256,0),MATCH("Michigan Sunday Super Peak",'Michigan Curve'!$A$4:$L$4,0))))</f>
        <v>18.996500015258789</v>
      </c>
      <c r="BC200" s="925">
        <f t="shared" si="124"/>
        <v>24.083162413945946</v>
      </c>
      <c r="BD200" s="927">
        <f t="shared" si="113"/>
        <v>1</v>
      </c>
      <c r="BF200" s="598">
        <f t="shared" si="152"/>
        <v>42644</v>
      </c>
      <c r="BG200" s="583">
        <f t="shared" si="125"/>
        <v>0</v>
      </c>
      <c r="BH200" s="764">
        <f>IF(Tables!$B$36="Combined Cycle",(BF200-BF199)*24*Assumptions!$B$21,0)</f>
        <v>0</v>
      </c>
      <c r="BI200" s="315">
        <f t="shared" si="126"/>
        <v>0</v>
      </c>
      <c r="BJ200" s="987">
        <f>IF('Monthly Table'!D200&lt;=Tables!$B$21,IF($BJ$10=$BG$10,BG200,IF($BJ$10=$BH$10,BH200,IF($BJ$10=$BI$10,BI200,0))),0)</f>
        <v>0</v>
      </c>
      <c r="BK200" s="43"/>
      <c r="BL200" s="987">
        <f t="shared" si="127"/>
        <v>0</v>
      </c>
      <c r="BM200" s="987">
        <f t="shared" si="128"/>
        <v>40</v>
      </c>
      <c r="BO200" s="987">
        <f t="shared" si="114"/>
        <v>0</v>
      </c>
      <c r="BP200" s="987">
        <f t="shared" si="129"/>
        <v>0</v>
      </c>
      <c r="BR200" s="993">
        <f>IF(BJ200&gt;0,INDEX(OperationalDetail,MATCH("Capacity Degradation",ODColumn,0),MATCH('Monthly Table'!C200,ODRow,0)),0)</f>
        <v>0</v>
      </c>
      <c r="BS200" s="994">
        <f>BJ200*(1-BR200)*Tables!$C$36</f>
        <v>0</v>
      </c>
      <c r="BT200" s="601">
        <f t="shared" si="115"/>
        <v>0</v>
      </c>
      <c r="BU200" s="601">
        <f t="shared" si="116"/>
        <v>0</v>
      </c>
      <c r="BV200" s="462"/>
      <c r="BW200" s="785">
        <f>$BO200*(1-$BR200)*Tables!$C$36</f>
        <v>0</v>
      </c>
      <c r="BX200" s="602">
        <f t="shared" si="130"/>
        <v>0</v>
      </c>
      <c r="BY200" s="601">
        <f t="shared" si="131"/>
        <v>0</v>
      </c>
      <c r="BZ200" s="462"/>
      <c r="CA200" s="785">
        <f>$BL200*(1-$BR200)*Tables!$C$36</f>
        <v>0</v>
      </c>
      <c r="CB200" s="602">
        <f t="shared" si="132"/>
        <v>0</v>
      </c>
      <c r="CC200" s="601">
        <f t="shared" si="133"/>
        <v>0</v>
      </c>
      <c r="CD200" s="785">
        <f>$BP200*(1-$BR200)*Tables!$C$36</f>
        <v>0</v>
      </c>
      <c r="CE200" s="602">
        <f t="shared" si="134"/>
        <v>0</v>
      </c>
      <c r="CF200" s="601">
        <f t="shared" si="135"/>
        <v>0</v>
      </c>
      <c r="CH200" s="785">
        <f>$BM200*(1-$BR200)*Tables!$C$36</f>
        <v>12960</v>
      </c>
      <c r="CI200" s="602">
        <f t="shared" si="136"/>
        <v>246.1946401977539</v>
      </c>
      <c r="CJ200" s="601">
        <f t="shared" si="137"/>
        <v>312.11778488473948</v>
      </c>
      <c r="CK200" s="304"/>
      <c r="CL200" s="304">
        <f t="shared" si="138"/>
        <v>2015</v>
      </c>
      <c r="CM200" s="1018">
        <f>INDEX(OperationalDetail,MATCH("Degraded Heat Rate",ODColumn,0),MATCH('Monthly Table'!CL200,ODRow,0))/1000</f>
        <v>12.020039200000001</v>
      </c>
      <c r="CN200" s="737">
        <f t="shared" si="117"/>
        <v>6.3823491459349144</v>
      </c>
      <c r="CO200" s="1019">
        <f>IF(A200="January",(CO199*(1+Assumptions!$E$32)),CO199)</f>
        <v>9.0652644263244699</v>
      </c>
      <c r="CP200" s="741">
        <f t="shared" si="153"/>
        <v>15.447613572259385</v>
      </c>
      <c r="CQ200" s="304"/>
      <c r="CR200" s="575" t="str">
        <f t="shared" si="139"/>
        <v/>
      </c>
      <c r="CS200" s="575" t="str">
        <f t="shared" si="140"/>
        <v/>
      </c>
      <c r="CT200" s="575" t="str">
        <f t="shared" si="141"/>
        <v/>
      </c>
      <c r="CU200" s="575" t="str">
        <f t="shared" si="142"/>
        <v/>
      </c>
      <c r="CV200" s="575">
        <f t="shared" si="143"/>
        <v>2016</v>
      </c>
      <c r="CW200" s="576">
        <f t="shared" si="154"/>
        <v>2016</v>
      </c>
      <c r="CX200" s="787">
        <f>INDEX('NY Curve'!$A$4:$G$256,MATCH('Monthly Table'!B200,'NY Curve'!$A$4:$A$256,0),MATCH("New York 5 X 16",'NY Curve'!$A$4:$G$4,0))</f>
        <v>28</v>
      </c>
      <c r="CY200" s="632">
        <f t="shared" si="155"/>
        <v>1.2677683991578099</v>
      </c>
      <c r="CZ200" s="633">
        <f t="shared" si="156"/>
        <v>35.49751517641868</v>
      </c>
      <c r="DB200" s="857"/>
      <c r="DC200" s="857"/>
    </row>
    <row r="201" spans="1:107" ht="18.75" customHeight="1">
      <c r="A201" s="17" t="s">
        <v>447</v>
      </c>
      <c r="B201" s="508">
        <v>42675</v>
      </c>
      <c r="C201" s="43">
        <f t="shared" si="145"/>
        <v>2016</v>
      </c>
      <c r="D201" s="719">
        <f t="shared" si="144"/>
        <v>16</v>
      </c>
      <c r="E201" s="972">
        <v>21</v>
      </c>
      <c r="F201" s="971">
        <v>4</v>
      </c>
      <c r="G201" s="971">
        <v>4</v>
      </c>
      <c r="H201" s="971">
        <v>1</v>
      </c>
      <c r="I201" s="976">
        <f t="shared" si="118"/>
        <v>30</v>
      </c>
      <c r="J201" s="621"/>
      <c r="K201" s="572">
        <f>INDEX(FX!$A$3:$C$362,MATCH(B201,FX!$A$3:$A$362,0),MATCH("Monthly Curve",FX!$A$2:$C$2,0))</f>
        <v>1.2671602267711599</v>
      </c>
      <c r="L201" s="572"/>
      <c r="M201" s="724"/>
      <c r="N201" s="746"/>
      <c r="O201" s="877">
        <v>0.1</v>
      </c>
      <c r="P201" s="797">
        <f t="shared" si="147"/>
        <v>0.1</v>
      </c>
      <c r="Q201" s="732">
        <f t="shared" si="148"/>
        <v>0.1</v>
      </c>
      <c r="R201" s="723">
        <f>IF(A201="January",(R200+R200*Assumptions!$E$32),R200)</f>
        <v>0.40419889483347954</v>
      </c>
      <c r="S201" s="730">
        <f t="shared" si="149"/>
        <v>0.5309149175105955</v>
      </c>
      <c r="T201" s="572"/>
      <c r="U201" s="507"/>
      <c r="V201" s="583"/>
      <c r="W201" s="583"/>
      <c r="X201" s="587"/>
      <c r="Y201" s="588">
        <f>Tables!$D$36</f>
        <v>312</v>
      </c>
      <c r="Z201" s="570">
        <f t="shared" si="150"/>
        <v>0</v>
      </c>
      <c r="AA201" s="592">
        <f t="shared" si="151"/>
        <v>0</v>
      </c>
      <c r="AB201" s="589">
        <f t="shared" si="146"/>
        <v>0</v>
      </c>
      <c r="AC201" s="462"/>
      <c r="AD201" s="1027">
        <f>IF(Tables!$E$30="Michigan",INDEX('Michigan Curve'!$A$4:$S$256,MATCH('Monthly Table'!B201,'Michigan Curve'!$A$4:$A$256,0),MATCH("Michigan Selected Option Value US$/month",'Michigan Curve'!$A$4:$S$4,0)),INDEX('NY Curve'!$A$4:$T$256,MATCH('Monthly Table'!B201,'NY Curve'!$A$4:$A$256,0),MATCH("New York Selected Option Value US$/month",'NY Curve'!$A$4:$T$4,0)))</f>
        <v>0</v>
      </c>
      <c r="AE201" s="601">
        <f t="shared" si="119"/>
        <v>0</v>
      </c>
      <c r="AF201" s="462"/>
      <c r="AG201" s="915"/>
      <c r="AH201" s="17"/>
      <c r="AI201" s="799">
        <f>Assumptions!$B$50</f>
        <v>65</v>
      </c>
      <c r="AJ201" s="743"/>
      <c r="AK201" s="924">
        <f>IF(Tables!$E$30="Custom",'Monthly Table'!AI201,IF(Tables!$E$30="New York",INDEX('NY Curve'!$A$4:$G$256,MATCH('Monthly Table'!B201,'NY Curve'!$A$4:$A$256,0),MATCH("Super Peak Curve",'NY Curve'!$A$4:$G$4,0)),IF(Tables!$E$30="New York Flat",INDEX('NY Curve'!$A$4:$G$256,MATCH('Monthly Table'!B201,'NY Curve'!$A$4:$A$256,0),MATCH("Flat NY West",'NY Curve'!$A$4:$G$4,0)),INDEX('Michigan Curve'!$A$4:$F$256,MATCH('Monthly Table'!B201,'Michigan Curve'!$A$4:$A$256,0),MATCH("Michigan Super Peak Curve US$/MWhr",'Michigan Curve'!$A$4:$F$4,0)))))</f>
        <v>33.18839538574219</v>
      </c>
      <c r="AL201" s="965">
        <f>IF(D201&lt;=Tables!$B$21,IF($AL$10=$AI$10,AI201,IF($AL$10=$AJ$10,AJ201,IF($AL$10=$AK$10,AK201,0))),0)</f>
        <v>0</v>
      </c>
      <c r="AM201" s="708">
        <f t="shared" si="120"/>
        <v>0</v>
      </c>
      <c r="AN201" s="916">
        <f t="shared" si="121"/>
        <v>0</v>
      </c>
      <c r="AO201" s="905"/>
      <c r="AP201" s="925"/>
      <c r="AQ201" s="926">
        <f>IF(Tables!$E$30="New York",INDEX('NY Curve'!$A$4:$L$256,MATCH('Monthly Table'!B201,'NY Curve'!$A$4:$A$256,0),MATCH("New York Shoulder Hour Curve Mon-Fri",'NY Curve'!$A$4:$L$4,0)),IF(Tables!$E$30="Michigan",INDEX('Michigan Curve'!$A$4:$K$256,MATCH('Monthly Table'!B201,'Michigan Curve'!$A$4:$A$256,0),MATCH("Michigan Shoulder Hour Curve Mon-Fri",'Michigan Curve'!$A$4:$K$4,0))))</f>
        <v>28.271596069335935</v>
      </c>
      <c r="AR201" s="708">
        <f t="shared" si="122"/>
        <v>35.824642086402356</v>
      </c>
      <c r="AS201" s="927">
        <f t="shared" si="109"/>
        <v>1</v>
      </c>
      <c r="AU201" s="926">
        <f>IF(Tables!$E$30="New York",INDEX('NY Curve'!$A$4:$L$256,MATCH('Monthly Table'!$B201,'NY Curve'!$A$4:$A$256,0),MATCH("New York Saturday Super Peak",'NY Curve'!$A$4:$L$4,0)),IF(Tables!$E$30="Michigan",INDEX('Michigan Curve'!$A$4:$K$256,MATCH('Monthly Table'!$B201,'Michigan Curve'!$A$4:$A$256,0),MATCH("Michigan Saturday Super Peak",'Michigan Curve'!$A$4:$K$4,0))))</f>
        <v>21.6</v>
      </c>
      <c r="AV201" s="925">
        <f t="shared" si="110"/>
        <v>27.370660898257057</v>
      </c>
      <c r="AW201" s="927">
        <f>IF(Tables!$B$21=15,0,IF(AV201&gt;($CP201+$BF$4),1,0))</f>
        <v>0</v>
      </c>
      <c r="AX201" s="926">
        <f>IF(Tables!$E$30="New York",INDEX('NY Curve'!$A$4:$L$256,MATCH('Monthly Table'!$B201,'NY Curve'!$A$4:$A$256,0),MATCH("New York Saturday Shoulder Peak",'NY Curve'!$A$4:$L$4,0)),IF(Tables!$E$30="Michigan",INDEX('Michigan Curve'!$A$4:$K$256,MATCH('Monthly Table'!$B201,'Michigan Curve'!$A$4:$A$256,0),MATCH("Michigan Saturday Shoulder Peak",'Michigan Curve'!$A$4:$K$4,0))))</f>
        <v>18.399999999999999</v>
      </c>
      <c r="AY201" s="934">
        <f t="shared" si="123"/>
        <v>23.315748172589341</v>
      </c>
      <c r="AZ201" s="927">
        <f>IF(Tables!$B$21=15,0,IF(AY201&gt;($CP201+$BF$4),1,0))</f>
        <v>0</v>
      </c>
      <c r="BB201" s="926">
        <f>IF(Tables!$E$30="New York",INDEX('NY Curve'!$A$4:$M$256,MATCH('Monthly Table'!$B201,'NY Curve'!$A$4:$A$256,0),MATCH("NY Sunday Super Peak",'NY Curve'!$A$4:$M$4,0)),IF(Tables!$E$30="Michigan",INDEX('Michigan Curve'!$A$4:$L$256,MATCH('Monthly Table'!$B201,'Michigan Curve'!$A$4:$A$256,0),MATCH("Michigan Sunday Super Peak",'Michigan Curve'!$A$4:$L$4,0))))</f>
        <v>20.520000000000003</v>
      </c>
      <c r="BC201" s="925">
        <f t="shared" si="124"/>
        <v>26.002127853344206</v>
      </c>
      <c r="BD201" s="927">
        <f t="shared" si="113"/>
        <v>1</v>
      </c>
      <c r="BF201" s="598">
        <f t="shared" si="152"/>
        <v>42675</v>
      </c>
      <c r="BG201" s="583">
        <f t="shared" si="125"/>
        <v>0</v>
      </c>
      <c r="BH201" s="764">
        <f>IF(Tables!$B$36="Combined Cycle",(BF201-BF200)*24*Assumptions!$B$21,0)</f>
        <v>0</v>
      </c>
      <c r="BI201" s="315">
        <f t="shared" si="126"/>
        <v>0</v>
      </c>
      <c r="BJ201" s="987">
        <f>IF('Monthly Table'!D201&lt;=Tables!$B$21,IF($BJ$10=$BG$10,BG201,IF($BJ$10=$BH$10,BH201,IF($BJ$10=$BI$10,BI201,0))),0)</f>
        <v>0</v>
      </c>
      <c r="BK201" s="43"/>
      <c r="BL201" s="987">
        <f t="shared" si="127"/>
        <v>0</v>
      </c>
      <c r="BM201" s="987">
        <f t="shared" si="128"/>
        <v>40</v>
      </c>
      <c r="BO201" s="987">
        <f t="shared" si="114"/>
        <v>0</v>
      </c>
      <c r="BP201" s="987">
        <f t="shared" si="129"/>
        <v>0</v>
      </c>
      <c r="BR201" s="993">
        <f>IF(BJ201&gt;0,INDEX(OperationalDetail,MATCH("Capacity Degradation",ODColumn,0),MATCH('Monthly Table'!C201,ODRow,0)),0)</f>
        <v>0</v>
      </c>
      <c r="BS201" s="994">
        <f>BJ201*(1-BR201)*Tables!$C$36</f>
        <v>0</v>
      </c>
      <c r="BT201" s="601">
        <f t="shared" si="115"/>
        <v>0</v>
      </c>
      <c r="BU201" s="601">
        <f t="shared" si="116"/>
        <v>0</v>
      </c>
      <c r="BV201" s="462"/>
      <c r="BW201" s="785">
        <f>$BO201*(1-$BR201)*Tables!$C$36</f>
        <v>0</v>
      </c>
      <c r="BX201" s="602">
        <f t="shared" si="130"/>
        <v>0</v>
      </c>
      <c r="BY201" s="601">
        <f t="shared" si="131"/>
        <v>0</v>
      </c>
      <c r="BZ201" s="462"/>
      <c r="CA201" s="785">
        <f>$BL201*(1-$BR201)*Tables!$C$36</f>
        <v>0</v>
      </c>
      <c r="CB201" s="602">
        <f t="shared" si="132"/>
        <v>0</v>
      </c>
      <c r="CC201" s="601">
        <f t="shared" si="133"/>
        <v>0</v>
      </c>
      <c r="CD201" s="785">
        <f>$BP201*(1-$BR201)*Tables!$C$36</f>
        <v>0</v>
      </c>
      <c r="CE201" s="602">
        <f t="shared" si="134"/>
        <v>0</v>
      </c>
      <c r="CF201" s="601">
        <f t="shared" si="135"/>
        <v>0</v>
      </c>
      <c r="CH201" s="785">
        <f>$BM201*(1-$BR201)*Tables!$C$36</f>
        <v>12960</v>
      </c>
      <c r="CI201" s="602">
        <f t="shared" si="136"/>
        <v>265.93920000000003</v>
      </c>
      <c r="CJ201" s="601">
        <f t="shared" si="137"/>
        <v>336.98757697934087</v>
      </c>
      <c r="CK201" s="304"/>
      <c r="CL201" s="304">
        <f t="shared" si="138"/>
        <v>2015</v>
      </c>
      <c r="CM201" s="1018">
        <f>INDEX(OperationalDetail,MATCH("Degraded Heat Rate",ODColumn,0),MATCH('Monthly Table'!CL201,ODRow,0))/1000</f>
        <v>12.020039200000001</v>
      </c>
      <c r="CN201" s="737">
        <f t="shared" si="117"/>
        <v>6.3816181203421252</v>
      </c>
      <c r="CO201" s="1019">
        <f>IF(A201="January",(CO200*(1+Assumptions!$E$32)),CO200)</f>
        <v>9.0652644263244699</v>
      </c>
      <c r="CP201" s="741">
        <f t="shared" si="153"/>
        <v>15.446882546666595</v>
      </c>
      <c r="CQ201" s="304"/>
      <c r="CR201" s="575" t="str">
        <f t="shared" si="139"/>
        <v/>
      </c>
      <c r="CS201" s="575" t="str">
        <f t="shared" si="140"/>
        <v/>
      </c>
      <c r="CT201" s="575" t="str">
        <f t="shared" si="141"/>
        <v/>
      </c>
      <c r="CU201" s="575" t="str">
        <f t="shared" si="142"/>
        <v/>
      </c>
      <c r="CV201" s="575">
        <f t="shared" si="143"/>
        <v>2016</v>
      </c>
      <c r="CW201" s="576">
        <f t="shared" si="154"/>
        <v>2016</v>
      </c>
      <c r="CX201" s="787">
        <f>INDEX('NY Curve'!$A$4:$G$256,MATCH('Monthly Table'!B201,'NY Curve'!$A$4:$A$256,0),MATCH("New York 5 X 16",'NY Curve'!$A$4:$G$4,0))</f>
        <v>28.5</v>
      </c>
      <c r="CY201" s="632">
        <f t="shared" si="155"/>
        <v>1.2671602267711599</v>
      </c>
      <c r="CZ201" s="633">
        <f t="shared" si="156"/>
        <v>36.114066462978059</v>
      </c>
      <c r="DB201" s="857"/>
      <c r="DC201" s="857"/>
    </row>
    <row r="202" spans="1:107" s="222" customFormat="1" ht="18.75" customHeight="1">
      <c r="A202" s="222" t="s">
        <v>448</v>
      </c>
      <c r="B202" s="564">
        <v>42705</v>
      </c>
      <c r="C202" s="565">
        <f t="shared" si="145"/>
        <v>2016</v>
      </c>
      <c r="D202" s="819">
        <f t="shared" si="144"/>
        <v>16</v>
      </c>
      <c r="E202" s="972">
        <v>21</v>
      </c>
      <c r="F202" s="971">
        <v>5</v>
      </c>
      <c r="G202" s="971">
        <v>4</v>
      </c>
      <c r="H202" s="971">
        <v>1</v>
      </c>
      <c r="I202" s="976">
        <f t="shared" si="118"/>
        <v>31</v>
      </c>
      <c r="J202" s="969"/>
      <c r="K202" s="820">
        <f>INDEX(FX!$A$3:$C$362,MATCH(B202,FX!$A$3:$A$362,0),MATCH("Monthly Curve",FX!$A$2:$C$2,0))</f>
        <v>1.2665746721642901</v>
      </c>
      <c r="L202" s="820"/>
      <c r="M202" s="821"/>
      <c r="N202" s="822"/>
      <c r="O202" s="878">
        <v>0.1</v>
      </c>
      <c r="P202" s="824">
        <f t="shared" si="147"/>
        <v>0.1</v>
      </c>
      <c r="Q202" s="825">
        <f t="shared" si="148"/>
        <v>0.1</v>
      </c>
      <c r="R202" s="837">
        <f>IF(A202="January",(R201+R201*Assumptions!$E$32),R201)</f>
        <v>0.40419889483347954</v>
      </c>
      <c r="S202" s="827">
        <f t="shared" si="149"/>
        <v>0.53085636204990849</v>
      </c>
      <c r="T202" s="820"/>
      <c r="U202" s="828"/>
      <c r="V202" s="830"/>
      <c r="W202" s="830"/>
      <c r="X202" s="823"/>
      <c r="Y202" s="839">
        <f>Tables!$D$36</f>
        <v>312</v>
      </c>
      <c r="Z202" s="678">
        <f t="shared" si="150"/>
        <v>0</v>
      </c>
      <c r="AA202" s="679">
        <f t="shared" si="151"/>
        <v>0</v>
      </c>
      <c r="AB202" s="680">
        <f t="shared" si="146"/>
        <v>0</v>
      </c>
      <c r="AC202" s="828"/>
      <c r="AD202" s="1027">
        <f>IF(Tables!$E$30="Michigan",INDEX('Michigan Curve'!$A$4:$S$256,MATCH('Monthly Table'!B202,'Michigan Curve'!$A$4:$A$256,0),MATCH("Michigan Selected Option Value US$/month",'Michigan Curve'!$A$4:$S$4,0)),INDEX('NY Curve'!$A$4:$T$256,MATCH('Monthly Table'!B202,'NY Curve'!$A$4:$A$256,0),MATCH("New York Selected Option Value US$/month",'NY Curve'!$A$4:$T$4,0)))</f>
        <v>0</v>
      </c>
      <c r="AE202" s="601">
        <f t="shared" si="119"/>
        <v>0</v>
      </c>
      <c r="AF202" s="828"/>
      <c r="AG202" s="917"/>
      <c r="AI202" s="799">
        <f>Assumptions!$B$50</f>
        <v>65</v>
      </c>
      <c r="AJ202" s="762"/>
      <c r="AK202" s="924">
        <f>IF(Tables!$E$30="Custom",'Monthly Table'!AI202,IF(Tables!$E$30="New York",INDEX('NY Curve'!$A$4:$G$256,MATCH('Monthly Table'!B202,'NY Curve'!$A$4:$A$256,0),MATCH("Super Peak Curve",'NY Curve'!$A$4:$G$4,0)),IF(Tables!$E$30="New York Flat",INDEX('NY Curve'!$A$4:$G$256,MATCH('Monthly Table'!B202,'NY Curve'!$A$4:$A$256,0),MATCH("Flat NY West",'NY Curve'!$A$4:$G$4,0)),INDEX('Michigan Curve'!$A$4:$F$256,MATCH('Monthly Table'!B202,'Michigan Curve'!$A$4:$A$256,0),MATCH("Michigan Super Peak Curve US$/MWhr",'Michigan Curve'!$A$4:$F$4,0)))))</f>
        <v>31.823994941711426</v>
      </c>
      <c r="AL202" s="966">
        <f>IF(D202&lt;=Tables!$B$21,IF($AL$10=$AI$10,AI202,IF($AL$10=$AJ$10,AJ202,IF($AL$10=$AK$10,AK202,0))),0)</f>
        <v>0</v>
      </c>
      <c r="AM202" s="708">
        <f t="shared" si="120"/>
        <v>0</v>
      </c>
      <c r="AN202" s="918">
        <f t="shared" si="121"/>
        <v>0</v>
      </c>
      <c r="AO202" s="906"/>
      <c r="AP202" s="925"/>
      <c r="AQ202" s="926">
        <f>IF(Tables!$E$30="New York",INDEX('NY Curve'!$A$4:$L$256,MATCH('Monthly Table'!B202,'NY Curve'!$A$4:$A$256,0),MATCH("New York Shoulder Hour Curve Mon-Fri",'NY Curve'!$A$4:$L$4,0)),IF(Tables!$E$30="Michigan",INDEX('Michigan Curve'!$A$4:$K$256,MATCH('Monthly Table'!B202,'Michigan Curve'!$A$4:$A$256,0),MATCH("Michigan Shoulder Hour Curve Mon-Fri",'Michigan Curve'!$A$4:$K$4,0))))</f>
        <v>30.575995140075683</v>
      </c>
      <c r="AR202" s="708">
        <f t="shared" si="122"/>
        <v>38.726781020638285</v>
      </c>
      <c r="AS202" s="927">
        <f t="shared" si="109"/>
        <v>1</v>
      </c>
      <c r="AT202" s="565"/>
      <c r="AU202" s="926">
        <f>IF(Tables!$E$30="New York",INDEX('NY Curve'!$A$4:$L$256,MATCH('Monthly Table'!$B202,'NY Curve'!$A$4:$A$256,0),MATCH("New York Saturday Super Peak",'NY Curve'!$A$4:$L$4,0)),IF(Tables!$E$30="Michigan",INDEX('Michigan Curve'!$A$4:$K$256,MATCH('Monthly Table'!$B202,'Michigan Curve'!$A$4:$A$256,0),MATCH("Michigan Saturday Super Peak",'Michigan Curve'!$A$4:$K$4,0))))</f>
        <v>20.399999999999999</v>
      </c>
      <c r="AV202" s="925">
        <f t="shared" si="110"/>
        <v>25.838123312151517</v>
      </c>
      <c r="AW202" s="927">
        <f>IF(Tables!$B$21=15,0,IF(AV202&gt;($CP202+$BF$4),1,0))</f>
        <v>0</v>
      </c>
      <c r="AX202" s="926">
        <f>IF(Tables!$E$30="New York",INDEX('NY Curve'!$A$4:$L$256,MATCH('Monthly Table'!$B202,'NY Curve'!$A$4:$A$256,0),MATCH("New York Saturday Shoulder Peak",'NY Curve'!$A$4:$L$4,0)),IF(Tables!$E$30="Michigan",INDEX('Michigan Curve'!$A$4:$K$256,MATCH('Monthly Table'!$B202,'Michigan Curve'!$A$4:$A$256,0),MATCH("Michigan Saturday Shoulder Peak",'Michigan Curve'!$A$4:$K$4,0))))</f>
        <v>19.600000000000001</v>
      </c>
      <c r="AY202" s="934">
        <f t="shared" si="123"/>
        <v>24.824863574420089</v>
      </c>
      <c r="AZ202" s="927">
        <f>IF(Tables!$B$21=15,0,IF(AY202&gt;($CP202+$BF$4),1,0))</f>
        <v>0</v>
      </c>
      <c r="BA202" s="565"/>
      <c r="BB202" s="926">
        <f>IF(Tables!$E$30="New York",INDEX('NY Curve'!$A$4:$M$256,MATCH('Monthly Table'!$B202,'NY Curve'!$A$4:$A$256,0),MATCH("NY Sunday Super Peak",'NY Curve'!$A$4:$M$4,0)),IF(Tables!$E$30="Michigan",INDEX('Michigan Curve'!$A$4:$L$256,MATCH('Monthly Table'!$B202,'Michigan Curve'!$A$4:$A$256,0),MATCH("Michigan Sunday Super Peak",'Michigan Curve'!$A$4:$L$4,0))))</f>
        <v>19.38</v>
      </c>
      <c r="BC202" s="925">
        <f t="shared" si="124"/>
        <v>24.546217146543942</v>
      </c>
      <c r="BD202" s="927">
        <f t="shared" si="113"/>
        <v>1</v>
      </c>
      <c r="BE202" s="565"/>
      <c r="BF202" s="829">
        <f t="shared" si="152"/>
        <v>42705</v>
      </c>
      <c r="BG202" s="583">
        <f t="shared" si="125"/>
        <v>0</v>
      </c>
      <c r="BH202" s="840">
        <f>IF(Tables!$B$36="Combined Cycle",(BF202-BF201)*24*Assumptions!$B$21,0)</f>
        <v>0</v>
      </c>
      <c r="BI202" s="315">
        <f t="shared" si="126"/>
        <v>0</v>
      </c>
      <c r="BJ202" s="988">
        <f>IF('Monthly Table'!D202&lt;=Tables!$B$21,IF($BJ$10=$BG$10,BG202,IF($BJ$10=$BH$10,BH202,IF($BJ$10=$BI$10,BI202,0))),0)</f>
        <v>0</v>
      </c>
      <c r="BK202" s="43"/>
      <c r="BL202" s="987">
        <f t="shared" si="127"/>
        <v>0</v>
      </c>
      <c r="BM202" s="987">
        <f t="shared" si="128"/>
        <v>40</v>
      </c>
      <c r="BN202" s="43"/>
      <c r="BO202" s="987">
        <f t="shared" si="114"/>
        <v>0</v>
      </c>
      <c r="BP202" s="987">
        <f t="shared" si="129"/>
        <v>0</v>
      </c>
      <c r="BQ202" s="43"/>
      <c r="BR202" s="995">
        <f>IF(BJ202&gt;0,INDEX(OperationalDetail,MATCH("Capacity Degradation",ODColumn,0),MATCH('Monthly Table'!C202,ODRow,0)),0)</f>
        <v>0</v>
      </c>
      <c r="BS202" s="994">
        <f>BJ202*(1-BR202)*Tables!$C$36</f>
        <v>0</v>
      </c>
      <c r="BT202" s="834">
        <f t="shared" si="115"/>
        <v>0</v>
      </c>
      <c r="BU202" s="834">
        <f t="shared" si="116"/>
        <v>0</v>
      </c>
      <c r="BV202" s="462"/>
      <c r="BW202" s="785">
        <f>$BO202*(1-$BR202)*Tables!$C$36</f>
        <v>0</v>
      </c>
      <c r="BX202" s="602">
        <f t="shared" si="130"/>
        <v>0</v>
      </c>
      <c r="BY202" s="601">
        <f t="shared" si="131"/>
        <v>0</v>
      </c>
      <c r="BZ202" s="828"/>
      <c r="CA202" s="785">
        <f>$BL202*(1-$BR202)*Tables!$C$36</f>
        <v>0</v>
      </c>
      <c r="CB202" s="602">
        <f t="shared" si="132"/>
        <v>0</v>
      </c>
      <c r="CC202" s="601">
        <f t="shared" si="133"/>
        <v>0</v>
      </c>
      <c r="CD202" s="785">
        <f>$BP202*(1-$BR202)*Tables!$C$36</f>
        <v>0</v>
      </c>
      <c r="CE202" s="602">
        <f t="shared" si="134"/>
        <v>0</v>
      </c>
      <c r="CF202" s="601">
        <f t="shared" si="135"/>
        <v>0</v>
      </c>
      <c r="CH202" s="785">
        <f>$BM202*(1-$BR202)*Tables!$C$36</f>
        <v>12960</v>
      </c>
      <c r="CI202" s="602">
        <f t="shared" si="136"/>
        <v>251.16479999999999</v>
      </c>
      <c r="CJ202" s="601">
        <f t="shared" si="137"/>
        <v>318.11897421920946</v>
      </c>
      <c r="CK202" s="304"/>
      <c r="CL202" s="304">
        <f t="shared" si="138"/>
        <v>2015</v>
      </c>
      <c r="CM202" s="1018">
        <f>INDEX(OperationalDetail,MATCH("Degraded Heat Rate",ODColumn,0),MATCH('Monthly Table'!CL202,ODRow,0))/1000</f>
        <v>12.020039200000001</v>
      </c>
      <c r="CN202" s="835">
        <f t="shared" si="117"/>
        <v>6.380914281409293</v>
      </c>
      <c r="CO202" s="1020">
        <f>IF(A202="January",(CO201*(1+Assumptions!$E$32)),CO201)</f>
        <v>9.0652644263244699</v>
      </c>
      <c r="CP202" s="836">
        <f t="shared" si="153"/>
        <v>15.446178707733763</v>
      </c>
      <c r="CQ202" s="304"/>
      <c r="CR202" s="841" t="str">
        <f t="shared" si="139"/>
        <v/>
      </c>
      <c r="CS202" s="575" t="str">
        <f t="shared" si="140"/>
        <v/>
      </c>
      <c r="CT202" s="575" t="str">
        <f t="shared" si="141"/>
        <v/>
      </c>
      <c r="CU202" s="575" t="str">
        <f t="shared" si="142"/>
        <v/>
      </c>
      <c r="CV202" s="575">
        <f t="shared" si="143"/>
        <v>2016</v>
      </c>
      <c r="CW202" s="842">
        <f t="shared" si="154"/>
        <v>2016</v>
      </c>
      <c r="CX202" s="843">
        <f>INDEX('NY Curve'!$A$4:$G$256,MATCH('Monthly Table'!B202,'NY Curve'!$A$4:$A$256,0),MATCH("New York 5 X 16",'NY Curve'!$A$4:$G$4,0))</f>
        <v>29</v>
      </c>
      <c r="CY202" s="844">
        <f t="shared" si="155"/>
        <v>1.2665746721642901</v>
      </c>
      <c r="CZ202" s="845">
        <f t="shared" si="156"/>
        <v>36.730665492764416</v>
      </c>
      <c r="DB202" s="857"/>
      <c r="DC202" s="857"/>
    </row>
    <row r="203" spans="1:107" ht="18.75" customHeight="1">
      <c r="A203" s="17" t="s">
        <v>437</v>
      </c>
      <c r="B203" s="508">
        <v>42736</v>
      </c>
      <c r="C203" s="43">
        <f t="shared" si="145"/>
        <v>2017</v>
      </c>
      <c r="D203" s="719">
        <f t="shared" si="144"/>
        <v>17</v>
      </c>
      <c r="E203" s="972">
        <v>21</v>
      </c>
      <c r="F203" s="971">
        <v>4</v>
      </c>
      <c r="G203" s="971">
        <v>5</v>
      </c>
      <c r="H203" s="971">
        <v>1</v>
      </c>
      <c r="I203" s="976">
        <f t="shared" si="118"/>
        <v>31</v>
      </c>
      <c r="J203" s="621"/>
      <c r="K203" s="572">
        <f>INDEX(FX!$A$3:$C$362,MATCH(B203,FX!$A$3:$A$362,0),MATCH("Monthly Curve",FX!$A$2:$C$2,0))</f>
        <v>1.26597269421613</v>
      </c>
      <c r="L203" s="572"/>
      <c r="M203" s="724"/>
      <c r="N203" s="746"/>
      <c r="O203" s="877">
        <v>0.1</v>
      </c>
      <c r="P203" s="797">
        <f t="shared" si="147"/>
        <v>0.1</v>
      </c>
      <c r="Q203" s="732">
        <f t="shared" si="148"/>
        <v>0.1</v>
      </c>
      <c r="R203" s="723">
        <f>IF(A203="January",(R202+R202*Assumptions!$E$32),R202)</f>
        <v>0.41228287273014913</v>
      </c>
      <c r="S203" s="730">
        <f t="shared" si="149"/>
        <v>0.53888014215176216</v>
      </c>
      <c r="T203" s="572"/>
      <c r="U203" s="507"/>
      <c r="V203" s="583"/>
      <c r="W203" s="583"/>
      <c r="X203" s="587"/>
      <c r="Y203" s="588">
        <f>Tables!$D$36</f>
        <v>312</v>
      </c>
      <c r="Z203" s="570">
        <f t="shared" si="150"/>
        <v>0</v>
      </c>
      <c r="AA203" s="592">
        <f t="shared" si="151"/>
        <v>0</v>
      </c>
      <c r="AB203" s="589">
        <f t="shared" si="146"/>
        <v>0</v>
      </c>
      <c r="AC203" s="462"/>
      <c r="AD203" s="1027">
        <f>IF(Tables!$E$30="Michigan",INDEX('Michigan Curve'!$A$4:$S$256,MATCH('Monthly Table'!B203,'Michigan Curve'!$A$4:$A$256,0),MATCH("Michigan Selected Option Value US$/month",'Michigan Curve'!$A$4:$S$4,0)),INDEX('NY Curve'!$A$4:$T$256,MATCH('Monthly Table'!B203,'NY Curve'!$A$4:$A$256,0),MATCH("New York Selected Option Value US$/month",'NY Curve'!$A$4:$T$4,0)))</f>
        <v>0</v>
      </c>
      <c r="AE203" s="601">
        <f t="shared" si="119"/>
        <v>0</v>
      </c>
      <c r="AF203" s="462"/>
      <c r="AG203" s="915"/>
      <c r="AH203" s="17"/>
      <c r="AI203" s="799">
        <f>Assumptions!$B$50</f>
        <v>65</v>
      </c>
      <c r="AJ203" s="743"/>
      <c r="AK203" s="924">
        <f>IF(Tables!$E$30="Custom",'Monthly Table'!AI203,IF(Tables!$E$30="New York",INDEX('NY Curve'!$A$4:$G$256,MATCH('Monthly Table'!B203,'NY Curve'!$A$4:$A$256,0),MATCH("Super Peak Curve",'NY Curve'!$A$4:$G$4,0)),IF(Tables!$E$30="New York Flat",INDEX('NY Curve'!$A$4:$G$256,MATCH('Monthly Table'!B203,'NY Curve'!$A$4:$A$256,0),MATCH("Flat NY West",'NY Curve'!$A$4:$G$4,0)),INDEX('Michigan Curve'!$A$4:$F$256,MATCH('Monthly Table'!B203,'Michigan Curve'!$A$4:$A$256,0),MATCH("Michigan Super Peak Curve US$/MWhr",'Michigan Curve'!$A$4:$F$4,0)))))</f>
        <v>37.434000389099126</v>
      </c>
      <c r="AL203" s="965">
        <f>IF(D203&lt;=Tables!$B$21,IF($AL$10=$AI$10,AI203,IF($AL$10=$AJ$10,AJ203,IF($AL$10=$AK$10,AK203,0))),0)</f>
        <v>0</v>
      </c>
      <c r="AM203" s="708">
        <f t="shared" si="120"/>
        <v>0</v>
      </c>
      <c r="AN203" s="916">
        <f t="shared" si="121"/>
        <v>0</v>
      </c>
      <c r="AO203" s="905"/>
      <c r="AP203" s="925"/>
      <c r="AQ203" s="926">
        <f>IF(Tables!$E$30="New York",INDEX('NY Curve'!$A$4:$L$256,MATCH('Monthly Table'!B203,'NY Curve'!$A$4:$A$256,0),MATCH("New York Shoulder Hour Curve Mon-Fri",'NY Curve'!$A$4:$L$4,0)),IF(Tables!$E$30="Michigan",INDEX('Michigan Curve'!$A$4:$K$256,MATCH('Monthly Table'!B203,'Michigan Curve'!$A$4:$A$256,0),MATCH("Michigan Shoulder Hour Curve Mon-Fri",'Michigan Curve'!$A$4:$K$4,0))))</f>
        <v>35.96600037384033</v>
      </c>
      <c r="AR203" s="708">
        <f t="shared" si="122"/>
        <v>45.531974393448984</v>
      </c>
      <c r="AS203" s="927">
        <f t="shared" ref="AS203:AS244" si="157">IF(AR203&gt;($CP203+$BF$4),1,0)</f>
        <v>1</v>
      </c>
      <c r="AU203" s="926">
        <f>IF(Tables!$E$30="New York",INDEX('NY Curve'!$A$4:$L$256,MATCH('Monthly Table'!$B203,'NY Curve'!$A$4:$A$256,0),MATCH("New York Saturday Super Peak",'NY Curve'!$A$4:$L$4,0)),IF(Tables!$E$30="Michigan",INDEX('Michigan Curve'!$A$4:$K$256,MATCH('Monthly Table'!$B203,'Michigan Curve'!$A$4:$A$256,0),MATCH("Michigan Saturday Super Peak",'Michigan Curve'!$A$4:$K$4,0))))</f>
        <v>22.44</v>
      </c>
      <c r="AV203" s="925">
        <f t="shared" ref="AV203:AV244" si="158">AU203*K203</f>
        <v>28.408427258209958</v>
      </c>
      <c r="AW203" s="927">
        <f>IF(Tables!$B$21=15,0,IF(AV203&gt;($CP203+$BF$4),1,0))</f>
        <v>0</v>
      </c>
      <c r="AX203" s="926">
        <f>IF(Tables!$E$30="New York",INDEX('NY Curve'!$A$4:$L$256,MATCH('Monthly Table'!$B203,'NY Curve'!$A$4:$A$256,0),MATCH("New York Saturday Shoulder Peak",'NY Curve'!$A$4:$L$4,0)),IF(Tables!$E$30="Michigan",INDEX('Michigan Curve'!$A$4:$K$256,MATCH('Monthly Table'!$B203,'Michigan Curve'!$A$4:$A$256,0),MATCH("Michigan Saturday Shoulder Peak",'Michigan Curve'!$A$4:$K$4,0))))</f>
        <v>21.56</v>
      </c>
      <c r="AY203" s="934">
        <f t="shared" si="123"/>
        <v>27.294371287299761</v>
      </c>
      <c r="AZ203" s="927">
        <f>IF(Tables!$B$21=15,0,IF(AY203&gt;($CP203+$BF$4),1,0))</f>
        <v>0</v>
      </c>
      <c r="BB203" s="926">
        <f>IF(Tables!$E$30="New York",INDEX('NY Curve'!$A$4:$M$256,MATCH('Monthly Table'!$B203,'NY Curve'!$A$4:$A$256,0),MATCH("NY Sunday Super Peak",'NY Curve'!$A$4:$M$4,0)),IF(Tables!$E$30="Michigan",INDEX('Michigan Curve'!$A$4:$L$256,MATCH('Monthly Table'!$B203,'Michigan Curve'!$A$4:$A$256,0),MATCH("Michigan Sunday Super Peak",'Michigan Curve'!$A$4:$L$4,0))))</f>
        <v>21.42</v>
      </c>
      <c r="BC203" s="925">
        <f t="shared" si="124"/>
        <v>27.117135110109508</v>
      </c>
      <c r="BD203" s="927">
        <f t="shared" ref="BD203:BD244" si="159">IF(BC203&gt;($CP203+$BF$4),1,0)</f>
        <v>1</v>
      </c>
      <c r="BF203" s="598">
        <f t="shared" si="152"/>
        <v>42736</v>
      </c>
      <c r="BG203" s="583">
        <f t="shared" si="125"/>
        <v>0</v>
      </c>
      <c r="BH203" s="764">
        <f>IF(Tables!$B$36="Combined Cycle",(BF203-BF202)*24*Assumptions!$B$21,0)</f>
        <v>0</v>
      </c>
      <c r="BI203" s="315">
        <f t="shared" si="126"/>
        <v>0</v>
      </c>
      <c r="BJ203" s="987">
        <f>IF('Monthly Table'!D203&lt;=Tables!$B$21,IF($BJ$10=$BG$10,BG203,IF($BJ$10=$BH$10,BH203,IF($BJ$10=$BI$10,BI203,0))),0)</f>
        <v>0</v>
      </c>
      <c r="BK203" s="43"/>
      <c r="BL203" s="987">
        <f t="shared" si="127"/>
        <v>0</v>
      </c>
      <c r="BM203" s="987">
        <f t="shared" si="128"/>
        <v>48</v>
      </c>
      <c r="BO203" s="987">
        <f t="shared" ref="BO203:BO244" si="160">IF(AS203=1,BJ203,0)</f>
        <v>0</v>
      </c>
      <c r="BP203" s="987">
        <f t="shared" si="129"/>
        <v>0</v>
      </c>
      <c r="BR203" s="993">
        <f>IF(BJ203&gt;0,INDEX(OperationalDetail,MATCH("Capacity Degradation",ODColumn,0),MATCH('Monthly Table'!C203,ODRow,0)),0)</f>
        <v>0</v>
      </c>
      <c r="BS203" s="994">
        <f>BJ203*(1-BR203)*Tables!$C$36</f>
        <v>0</v>
      </c>
      <c r="BT203" s="601">
        <f t="shared" ref="BT203:BT244" si="161">BS203*AL203/1000</f>
        <v>0</v>
      </c>
      <c r="BU203" s="601">
        <f t="shared" ref="BU203:BU244" si="162">BT203*K203</f>
        <v>0</v>
      </c>
      <c r="BV203" s="462"/>
      <c r="BW203" s="785">
        <f>$BO203*(1-$BR203)*Tables!$C$36</f>
        <v>0</v>
      </c>
      <c r="BX203" s="602">
        <f t="shared" si="130"/>
        <v>0</v>
      </c>
      <c r="BY203" s="601">
        <f t="shared" si="131"/>
        <v>0</v>
      </c>
      <c r="BZ203" s="462"/>
      <c r="CA203" s="785">
        <f>$BL203*(1-$BR203)*Tables!$C$36</f>
        <v>0</v>
      </c>
      <c r="CB203" s="602">
        <f t="shared" si="132"/>
        <v>0</v>
      </c>
      <c r="CC203" s="601">
        <f t="shared" si="133"/>
        <v>0</v>
      </c>
      <c r="CD203" s="785">
        <f>$BP203*(1-$BR203)*Tables!$C$36</f>
        <v>0</v>
      </c>
      <c r="CE203" s="602">
        <f t="shared" si="134"/>
        <v>0</v>
      </c>
      <c r="CF203" s="601">
        <f t="shared" si="135"/>
        <v>0</v>
      </c>
      <c r="CH203" s="785">
        <f>$BM203*(1-$BR203)*Tables!$C$36</f>
        <v>15552</v>
      </c>
      <c r="CI203" s="602">
        <f t="shared" si="136"/>
        <v>333.12384000000003</v>
      </c>
      <c r="CJ203" s="601">
        <f t="shared" si="137"/>
        <v>421.72568523242307</v>
      </c>
      <c r="CK203" s="304"/>
      <c r="CL203" s="304">
        <f t="shared" si="138"/>
        <v>2016</v>
      </c>
      <c r="CM203" s="1018">
        <f>INDEX(OperationalDetail,MATCH("Degraded Heat Rate",ODColumn,0),MATCH('Monthly Table'!CL203,ODRow,0))/1000</f>
        <v>11.96</v>
      </c>
      <c r="CN203" s="737">
        <f t="shared" ref="CN203:CN244" si="163">S203*CM203</f>
        <v>6.4450065001350758</v>
      </c>
      <c r="CO203" s="1019">
        <f>IF(A203="January",(CO202*(1+Assumptions!$E$32)),CO202)</f>
        <v>9.2465697148509598</v>
      </c>
      <c r="CP203" s="741">
        <f t="shared" si="153"/>
        <v>15.691576214986036</v>
      </c>
      <c r="CQ203" s="304"/>
      <c r="CR203" s="575" t="str">
        <f t="shared" si="139"/>
        <v/>
      </c>
      <c r="CS203" s="575" t="str">
        <f t="shared" si="140"/>
        <v/>
      </c>
      <c r="CT203" s="575" t="str">
        <f t="shared" si="141"/>
        <v/>
      </c>
      <c r="CU203" s="575" t="str">
        <f t="shared" si="142"/>
        <v/>
      </c>
      <c r="CV203" s="575">
        <f t="shared" si="143"/>
        <v>2017</v>
      </c>
      <c r="CW203" s="576">
        <f t="shared" si="154"/>
        <v>2017</v>
      </c>
      <c r="CX203" s="787">
        <f>INDEX('NY Curve'!$A$4:$G$256,MATCH('Monthly Table'!B203,'NY Curve'!$A$4:$A$256,0),MATCH("New York 5 X 16",'NY Curve'!$A$4:$G$4,0))</f>
        <v>34.549999999999997</v>
      </c>
      <c r="CY203" s="632">
        <f t="shared" si="155"/>
        <v>1.26597269421613</v>
      </c>
      <c r="CZ203" s="633">
        <f t="shared" si="156"/>
        <v>43.739356585167286</v>
      </c>
      <c r="DB203" s="857"/>
      <c r="DC203" s="857"/>
    </row>
    <row r="204" spans="1:107" ht="18.75" customHeight="1">
      <c r="A204" s="17" t="s">
        <v>438</v>
      </c>
      <c r="B204" s="508">
        <v>42767</v>
      </c>
      <c r="C204" s="43">
        <f t="shared" si="145"/>
        <v>2017</v>
      </c>
      <c r="D204" s="719">
        <f t="shared" si="144"/>
        <v>17</v>
      </c>
      <c r="E204" s="972">
        <v>20</v>
      </c>
      <c r="F204" s="971">
        <v>4</v>
      </c>
      <c r="G204" s="971">
        <v>4</v>
      </c>
      <c r="H204" s="971">
        <v>0</v>
      </c>
      <c r="I204" s="976">
        <f t="shared" ref="I204:I244" si="164">SUM(E204:H204)</f>
        <v>28</v>
      </c>
      <c r="J204" s="621"/>
      <c r="K204" s="572">
        <f>INDEX(FX!$A$3:$C$362,MATCH(B204,FX!$A$3:$A$362,0),MATCH("Monthly Curve",FX!$A$2:$C$2,0))</f>
        <v>1.26537385796139</v>
      </c>
      <c r="L204" s="572"/>
      <c r="M204" s="724"/>
      <c r="N204" s="746"/>
      <c r="O204" s="877">
        <v>0.1</v>
      </c>
      <c r="P204" s="797">
        <f t="shared" si="147"/>
        <v>0.1</v>
      </c>
      <c r="Q204" s="732">
        <f t="shared" si="148"/>
        <v>0.1</v>
      </c>
      <c r="R204" s="723">
        <f>IF(A204="January",(R203+R203*Assumptions!$E$32),R203)</f>
        <v>0.41228287273014913</v>
      </c>
      <c r="S204" s="730">
        <f t="shared" si="149"/>
        <v>0.53882025852628812</v>
      </c>
      <c r="T204" s="572"/>
      <c r="U204" s="507"/>
      <c r="V204" s="583"/>
      <c r="W204" s="583"/>
      <c r="X204" s="587"/>
      <c r="Y204" s="588">
        <f>Tables!$D$36</f>
        <v>312</v>
      </c>
      <c r="Z204" s="570">
        <f t="shared" si="150"/>
        <v>0</v>
      </c>
      <c r="AA204" s="592">
        <f t="shared" si="151"/>
        <v>0</v>
      </c>
      <c r="AB204" s="589">
        <f t="shared" si="146"/>
        <v>0</v>
      </c>
      <c r="AC204" s="462"/>
      <c r="AD204" s="1027">
        <f>IF(Tables!$E$30="Michigan",INDEX('Michigan Curve'!$A$4:$S$256,MATCH('Monthly Table'!B204,'Michigan Curve'!$A$4:$A$256,0),MATCH("Michigan Selected Option Value US$/month",'Michigan Curve'!$A$4:$S$4,0)),INDEX('NY Curve'!$A$4:$T$256,MATCH('Monthly Table'!B204,'NY Curve'!$A$4:$A$256,0),MATCH("New York Selected Option Value US$/month",'NY Curve'!$A$4:$T$4,0)))</f>
        <v>0</v>
      </c>
      <c r="AE204" s="601">
        <f t="shared" ref="AE204:AE244" si="165">AD204*K204</f>
        <v>0</v>
      </c>
      <c r="AF204" s="462"/>
      <c r="AG204" s="915"/>
      <c r="AH204" s="17"/>
      <c r="AI204" s="799">
        <f>Assumptions!$B$50</f>
        <v>65</v>
      </c>
      <c r="AJ204" s="743"/>
      <c r="AK204" s="924">
        <f>IF(Tables!$E$30="Custom",'Monthly Table'!AI204,IF(Tables!$E$30="New York",INDEX('NY Curve'!$A$4:$G$256,MATCH('Monthly Table'!B204,'NY Curve'!$A$4:$A$256,0),MATCH("Super Peak Curve",'NY Curve'!$A$4:$G$4,0)),IF(Tables!$E$30="New York Flat",INDEX('NY Curve'!$A$4:$G$256,MATCH('Monthly Table'!B204,'NY Curve'!$A$4:$A$256,0),MATCH("Flat NY West",'NY Curve'!$A$4:$G$4,0)),INDEX('Michigan Curve'!$A$4:$F$256,MATCH('Monthly Table'!B204,'Michigan Curve'!$A$4:$A$256,0),MATCH("Michigan Super Peak Curve US$/MWhr",'Michigan Curve'!$A$4:$F$4,0)))))</f>
        <v>37.433998443603521</v>
      </c>
      <c r="AL204" s="965">
        <f>IF(D204&lt;=Tables!$B$21,IF($AL$10=$AI$10,AI204,IF($AL$10=$AJ$10,AJ204,IF($AL$10=$AK$10,AK204,0))),0)</f>
        <v>0</v>
      </c>
      <c r="AM204" s="708">
        <f t="shared" ref="AM204:AM244" si="166">+AL204*K204</f>
        <v>0</v>
      </c>
      <c r="AN204" s="916">
        <f t="shared" ref="AN204:AN244" si="167">IF((AL204*K204)&gt;(CP204+$BF$4),1,0)</f>
        <v>0</v>
      </c>
      <c r="AO204" s="905"/>
      <c r="AP204" s="925"/>
      <c r="AQ204" s="926">
        <f>IF(Tables!$E$30="New York",INDEX('NY Curve'!$A$4:$L$256,MATCH('Monthly Table'!B204,'NY Curve'!$A$4:$A$256,0),MATCH("New York Shoulder Hour Curve Mon-Fri",'NY Curve'!$A$4:$L$4,0)),IF(Tables!$E$30="Michigan",INDEX('Michigan Curve'!$A$4:$K$256,MATCH('Monthly Table'!B204,'Michigan Curve'!$A$4:$A$256,0),MATCH("Michigan Shoulder Hour Curve Mon-Fri",'Michigan Curve'!$A$4:$K$4,0))))</f>
        <v>35.965998504638669</v>
      </c>
      <c r="AR204" s="708">
        <f t="shared" ref="AR204:AR244" si="168">AQ204*K204</f>
        <v>45.510434283248216</v>
      </c>
      <c r="AS204" s="927">
        <f t="shared" si="157"/>
        <v>1</v>
      </c>
      <c r="AU204" s="926">
        <f>IF(Tables!$E$30="New York",INDEX('NY Curve'!$A$4:$L$256,MATCH('Monthly Table'!$B204,'NY Curve'!$A$4:$A$256,0),MATCH("New York Saturday Super Peak",'NY Curve'!$A$4:$L$4,0)),IF(Tables!$E$30="Michigan",INDEX('Michigan Curve'!$A$4:$K$256,MATCH('Monthly Table'!$B204,'Michigan Curve'!$A$4:$A$256,0),MATCH("Michigan Saturday Super Peak",'Michigan Curve'!$A$4:$K$4,0))))</f>
        <v>22.435920295715331</v>
      </c>
      <c r="AV204" s="925">
        <f t="shared" si="158"/>
        <v>28.389827021503557</v>
      </c>
      <c r="AW204" s="927">
        <f>IF(Tables!$B$21=15,0,IF(AV204&gt;($CP204+$BF$4),1,0))</f>
        <v>0</v>
      </c>
      <c r="AX204" s="926">
        <f>IF(Tables!$E$30="New York",INDEX('NY Curve'!$A$4:$L$256,MATCH('Monthly Table'!$B204,'NY Curve'!$A$4:$A$256,0),MATCH("New York Saturday Shoulder Peak",'NY Curve'!$A$4:$L$4,0)),IF(Tables!$E$30="Michigan",INDEX('Michigan Curve'!$A$4:$K$256,MATCH('Monthly Table'!$B204,'Michigan Curve'!$A$4:$A$256,0),MATCH("Michigan Saturday Shoulder Peak",'Michigan Curve'!$A$4:$K$4,0))))</f>
        <v>21.556080284118654</v>
      </c>
      <c r="AY204" s="934">
        <f t="shared" ref="AY204:AY244" si="169">AX204*K204</f>
        <v>27.276500471640677</v>
      </c>
      <c r="AZ204" s="927">
        <f>IF(Tables!$B$21=15,0,IF(AY204&gt;($CP204+$BF$4),1,0))</f>
        <v>0</v>
      </c>
      <c r="BB204" s="926">
        <f>IF(Tables!$E$30="New York",INDEX('NY Curve'!$A$4:$M$256,MATCH('Monthly Table'!$B204,'NY Curve'!$A$4:$A$256,0),MATCH("NY Sunday Super Peak",'NY Curve'!$A$4:$M$4,0)),IF(Tables!$E$30="Michigan",INDEX('Michigan Curve'!$A$4:$L$256,MATCH('Monthly Table'!$B204,'Michigan Curve'!$A$4:$A$256,0),MATCH("Michigan Sunday Super Peak",'Michigan Curve'!$A$4:$L$4,0))))</f>
        <v>21.416431961059569</v>
      </c>
      <c r="BC204" s="925">
        <f t="shared" ref="BC204:BC244" si="170">BB204*K204</f>
        <v>27.099793134333563</v>
      </c>
      <c r="BD204" s="927">
        <f t="shared" si="159"/>
        <v>1</v>
      </c>
      <c r="BF204" s="598">
        <f t="shared" si="152"/>
        <v>42767</v>
      </c>
      <c r="BG204" s="583">
        <f t="shared" ref="BG204:BG244" si="171">IF($AN204=1,$E204*$BF$5,0)</f>
        <v>0</v>
      </c>
      <c r="BH204" s="764">
        <f>IF(Tables!$B$36="Combined Cycle",(BF204-BF203)*24*Assumptions!$B$21,0)</f>
        <v>0</v>
      </c>
      <c r="BI204" s="315">
        <f t="shared" ref="BI204:BI244" si="172">IF($AN204=1,$E204*$BF$5,0)</f>
        <v>0</v>
      </c>
      <c r="BJ204" s="987">
        <f>IF('Monthly Table'!D204&lt;=Tables!$B$21,IF($BJ$10=$BG$10,BG204,IF($BJ$10=$BH$10,BH204,IF($BJ$10=$BI$10,BI204,0))),0)</f>
        <v>0</v>
      </c>
      <c r="BK204" s="43"/>
      <c r="BL204" s="987">
        <f t="shared" ref="BL204:BL244" si="173">IF($AW204=1,$F204*$BF$5,0)</f>
        <v>0</v>
      </c>
      <c r="BM204" s="987">
        <f t="shared" ref="BM204:BM244" si="174">IF($BD204=1,($G204+H204)*$BF$5,0)</f>
        <v>32</v>
      </c>
      <c r="BO204" s="987">
        <f t="shared" si="160"/>
        <v>0</v>
      </c>
      <c r="BP204" s="987">
        <f t="shared" ref="BP204:BP244" si="175">IF(AZ204=1,F204*$BF$5,0)</f>
        <v>0</v>
      </c>
      <c r="BR204" s="993">
        <f>IF(BJ204&gt;0,INDEX(OperationalDetail,MATCH("Capacity Degradation",ODColumn,0),MATCH('Monthly Table'!C204,ODRow,0)),0)</f>
        <v>0</v>
      </c>
      <c r="BS204" s="994">
        <f>BJ204*(1-BR204)*Tables!$C$36</f>
        <v>0</v>
      </c>
      <c r="BT204" s="601">
        <f t="shared" si="161"/>
        <v>0</v>
      </c>
      <c r="BU204" s="601">
        <f t="shared" si="162"/>
        <v>0</v>
      </c>
      <c r="BV204" s="462"/>
      <c r="BW204" s="785">
        <f>$BO204*(1-$BR204)*Tables!$C$36</f>
        <v>0</v>
      </c>
      <c r="BX204" s="602">
        <f t="shared" ref="BX204:BX244" si="176">(BW204*AQ204)/1000</f>
        <v>0</v>
      </c>
      <c r="BY204" s="601">
        <f t="shared" ref="BY204:BY244" si="177">BX204*K204</f>
        <v>0</v>
      </c>
      <c r="BZ204" s="462"/>
      <c r="CA204" s="785">
        <f>$BL204*(1-$BR204)*Tables!$C$36</f>
        <v>0</v>
      </c>
      <c r="CB204" s="602">
        <f t="shared" ref="CB204:CB244" si="178">(CA204*AU204)/1000</f>
        <v>0</v>
      </c>
      <c r="CC204" s="601">
        <f t="shared" ref="CC204:CC244" si="179">CB204*K204</f>
        <v>0</v>
      </c>
      <c r="CD204" s="785">
        <f>$BP204*(1-$BR204)*Tables!$C$36</f>
        <v>0</v>
      </c>
      <c r="CE204" s="602">
        <f t="shared" ref="CE204:CE244" si="180">(CD204*AX204)/1000</f>
        <v>0</v>
      </c>
      <c r="CF204" s="601">
        <f t="shared" ref="CF204:CF244" si="181">CE204*K204</f>
        <v>0</v>
      </c>
      <c r="CH204" s="785">
        <f>$BM204*(1-$BR204)*Tables!$C$36</f>
        <v>10368</v>
      </c>
      <c r="CI204" s="602">
        <f t="shared" ref="CI204:CI244" si="182">(CH204*BB204)/1000</f>
        <v>222.04556657226561</v>
      </c>
      <c r="CJ204" s="601">
        <f t="shared" ref="CJ204:CJ244" si="183">CI204*K204</f>
        <v>280.97065521677041</v>
      </c>
      <c r="CK204" s="304"/>
      <c r="CL204" s="304">
        <f t="shared" ref="CL204:CL244" si="184">C204-1</f>
        <v>2016</v>
      </c>
      <c r="CM204" s="1018">
        <f>INDEX(OperationalDetail,MATCH("Degraded Heat Rate",ODColumn,0),MATCH('Monthly Table'!CL204,ODRow,0))/1000</f>
        <v>11.96</v>
      </c>
      <c r="CN204" s="737">
        <f t="shared" si="163"/>
        <v>6.4442902919744061</v>
      </c>
      <c r="CO204" s="1019">
        <f>IF(A204="January",(CO203*(1+Assumptions!$E$32)),CO203)</f>
        <v>9.2465697148509598</v>
      </c>
      <c r="CP204" s="741">
        <f t="shared" si="153"/>
        <v>15.690860006825366</v>
      </c>
      <c r="CQ204" s="304"/>
      <c r="CR204" s="575" t="str">
        <f t="shared" ref="CR204:CR244" si="185">IF(BJ204=0,"",C204)</f>
        <v/>
      </c>
      <c r="CS204" s="575" t="str">
        <f t="shared" ref="CS204:CS244" si="186">IF(BO204=0,"",$C204)</f>
        <v/>
      </c>
      <c r="CT204" s="575" t="str">
        <f t="shared" ref="CT204:CT244" si="187">IF(BL204=0,"",$C204)</f>
        <v/>
      </c>
      <c r="CU204" s="575" t="str">
        <f t="shared" ref="CU204:CU244" si="188">IF(BP204=0,"",$C204)</f>
        <v/>
      </c>
      <c r="CV204" s="575">
        <f t="shared" ref="CV204:CV244" si="189">IF(BD204=0,"",$C204)</f>
        <v>2017</v>
      </c>
      <c r="CW204" s="576">
        <f t="shared" si="154"/>
        <v>2017</v>
      </c>
      <c r="CX204" s="787">
        <f>INDEX('NY Curve'!$A$4:$G$256,MATCH('Monthly Table'!B204,'NY Curve'!$A$4:$A$256,0),MATCH("New York 5 X 16",'NY Curve'!$A$4:$G$4,0))</f>
        <v>34.549999999999997</v>
      </c>
      <c r="CY204" s="632">
        <f t="shared" si="155"/>
        <v>1.26537385796139</v>
      </c>
      <c r="CZ204" s="633">
        <f t="shared" si="156"/>
        <v>43.718666792566019</v>
      </c>
      <c r="DB204" s="857"/>
      <c r="DC204" s="857"/>
    </row>
    <row r="205" spans="1:107" ht="18.75" customHeight="1">
      <c r="A205" s="17" t="s">
        <v>439</v>
      </c>
      <c r="B205" s="508">
        <v>42795</v>
      </c>
      <c r="C205" s="43">
        <f t="shared" si="145"/>
        <v>2017</v>
      </c>
      <c r="D205" s="719">
        <f t="shared" si="144"/>
        <v>17</v>
      </c>
      <c r="E205" s="972">
        <v>23</v>
      </c>
      <c r="F205" s="971">
        <v>4</v>
      </c>
      <c r="G205" s="971">
        <v>4</v>
      </c>
      <c r="H205" s="971">
        <v>0</v>
      </c>
      <c r="I205" s="976">
        <f t="shared" si="164"/>
        <v>31</v>
      </c>
      <c r="J205" s="621"/>
      <c r="K205" s="572">
        <f>INDEX(FX!$A$3:$C$362,MATCH(B205,FX!$A$3:$A$362,0),MATCH("Monthly Curve",FX!$A$2:$C$2,0))</f>
        <v>1.26483567044846</v>
      </c>
      <c r="L205" s="572"/>
      <c r="M205" s="724"/>
      <c r="N205" s="746"/>
      <c r="O205" s="877">
        <v>0.1</v>
      </c>
      <c r="P205" s="797">
        <f t="shared" si="147"/>
        <v>0.1</v>
      </c>
      <c r="Q205" s="732">
        <f t="shared" si="148"/>
        <v>0.1</v>
      </c>
      <c r="R205" s="723">
        <f>IF(A205="January",(R204+R204*Assumptions!$E$32),R204)</f>
        <v>0.41228287273014913</v>
      </c>
      <c r="S205" s="730">
        <f t="shared" si="149"/>
        <v>0.53876643977499517</v>
      </c>
      <c r="T205" s="572"/>
      <c r="U205" s="507"/>
      <c r="V205" s="583"/>
      <c r="W205" s="583"/>
      <c r="X205" s="587"/>
      <c r="Y205" s="588">
        <f>Tables!$D$36</f>
        <v>312</v>
      </c>
      <c r="Z205" s="570">
        <f t="shared" si="150"/>
        <v>0</v>
      </c>
      <c r="AA205" s="592">
        <f t="shared" si="151"/>
        <v>0</v>
      </c>
      <c r="AB205" s="589">
        <f t="shared" si="146"/>
        <v>0</v>
      </c>
      <c r="AC205" s="462"/>
      <c r="AD205" s="1027">
        <f>IF(Tables!$E$30="Michigan",INDEX('Michigan Curve'!$A$4:$S$256,MATCH('Monthly Table'!B205,'Michigan Curve'!$A$4:$A$256,0),MATCH("Michigan Selected Option Value US$/month",'Michigan Curve'!$A$4:$S$4,0)),INDEX('NY Curve'!$A$4:$T$256,MATCH('Monthly Table'!B205,'NY Curve'!$A$4:$A$256,0),MATCH("New York Selected Option Value US$/month",'NY Curve'!$A$4:$T$4,0)))</f>
        <v>0</v>
      </c>
      <c r="AE205" s="601">
        <f t="shared" si="165"/>
        <v>0</v>
      </c>
      <c r="AF205" s="462"/>
      <c r="AG205" s="915"/>
      <c r="AH205" s="17"/>
      <c r="AI205" s="799">
        <f>Assumptions!$B$50</f>
        <v>65</v>
      </c>
      <c r="AJ205" s="743"/>
      <c r="AK205" s="924">
        <f>IF(Tables!$E$30="Custom",'Monthly Table'!AI205,IF(Tables!$E$30="New York",INDEX('NY Curve'!$A$4:$G$256,MATCH('Monthly Table'!B205,'NY Curve'!$A$4:$A$256,0),MATCH("Super Peak Curve",'NY Curve'!$A$4:$G$4,0)),IF(Tables!$E$30="New York Flat",INDEX('NY Curve'!$A$4:$G$256,MATCH('Monthly Table'!B205,'NY Curve'!$A$4:$A$256,0),MATCH("Flat NY West",'NY Curve'!$A$4:$G$4,0)),INDEX('Michigan Curve'!$A$4:$F$256,MATCH('Monthly Table'!B205,'Michigan Curve'!$A$4:$A$256,0),MATCH("Michigan Super Peak Curve US$/MWhr",'Michigan Curve'!$A$4:$F$4,0)))))</f>
        <v>32.130000000000003</v>
      </c>
      <c r="AL205" s="965">
        <f>IF(D205&lt;=Tables!$B$21,IF($AL$10=$AI$10,AI205,IF($AL$10=$AJ$10,AJ205,IF($AL$10=$AK$10,AK205,0))),0)</f>
        <v>0</v>
      </c>
      <c r="AM205" s="708">
        <f t="shared" si="166"/>
        <v>0</v>
      </c>
      <c r="AN205" s="916">
        <f t="shared" si="167"/>
        <v>0</v>
      </c>
      <c r="AO205" s="905"/>
      <c r="AP205" s="925"/>
      <c r="AQ205" s="926">
        <f>IF(Tables!$E$30="New York",INDEX('NY Curve'!$A$4:$L$256,MATCH('Monthly Table'!B205,'NY Curve'!$A$4:$A$256,0),MATCH("New York Shoulder Hour Curve Mon-Fri",'NY Curve'!$A$4:$L$4,0)),IF(Tables!$E$30="Michigan",INDEX('Michigan Curve'!$A$4:$K$256,MATCH('Monthly Table'!B205,'Michigan Curve'!$A$4:$A$256,0),MATCH("Michigan Shoulder Hour Curve Mon-Fri",'Michigan Curve'!$A$4:$K$4,0))))</f>
        <v>30.87</v>
      </c>
      <c r="AR205" s="708">
        <f t="shared" si="168"/>
        <v>39.045477146743963</v>
      </c>
      <c r="AS205" s="927">
        <f t="shared" si="157"/>
        <v>1</v>
      </c>
      <c r="AU205" s="926">
        <f>IF(Tables!$E$30="New York",INDEX('NY Curve'!$A$4:$L$256,MATCH('Monthly Table'!$B205,'NY Curve'!$A$4:$A$256,0),MATCH("New York Saturday Super Peak",'NY Curve'!$A$4:$L$4,0)),IF(Tables!$E$30="Michigan",INDEX('Michigan Curve'!$A$4:$K$256,MATCH('Monthly Table'!$B205,'Michigan Curve'!$A$4:$A$256,0),MATCH("Michigan Saturday Super Peak",'Michigan Curve'!$A$4:$K$4,0))))</f>
        <v>20.399999999999999</v>
      </c>
      <c r="AV205" s="925">
        <f t="shared" si="158"/>
        <v>25.802647677148581</v>
      </c>
      <c r="AW205" s="927">
        <f>IF(Tables!$B$21=15,0,IF(AV205&gt;($CP205+$BF$4),1,0))</f>
        <v>0</v>
      </c>
      <c r="AX205" s="926">
        <f>IF(Tables!$E$30="New York",INDEX('NY Curve'!$A$4:$L$256,MATCH('Monthly Table'!$B205,'NY Curve'!$A$4:$A$256,0),MATCH("New York Saturday Shoulder Peak",'NY Curve'!$A$4:$L$4,0)),IF(Tables!$E$30="Michigan",INDEX('Michigan Curve'!$A$4:$K$256,MATCH('Monthly Table'!$B205,'Michigan Curve'!$A$4:$A$256,0),MATCH("Michigan Saturday Shoulder Peak",'Michigan Curve'!$A$4:$K$4,0))))</f>
        <v>19.600000000000001</v>
      </c>
      <c r="AY205" s="934">
        <f t="shared" si="169"/>
        <v>24.790779140789819</v>
      </c>
      <c r="AZ205" s="927">
        <f>IF(Tables!$B$21=15,0,IF(AY205&gt;($CP205+$BF$4),1,0))</f>
        <v>0</v>
      </c>
      <c r="BB205" s="926">
        <f>IF(Tables!$E$30="New York",INDEX('NY Curve'!$A$4:$M$256,MATCH('Monthly Table'!$B205,'NY Curve'!$A$4:$A$256,0),MATCH("NY Sunday Super Peak",'NY Curve'!$A$4:$M$4,0)),IF(Tables!$E$30="Michigan",INDEX('Michigan Curve'!$A$4:$L$256,MATCH('Monthly Table'!$B205,'Michigan Curve'!$A$4:$A$256,0),MATCH("Michigan Sunday Super Peak",'Michigan Curve'!$A$4:$L$4,0))))</f>
        <v>19.38</v>
      </c>
      <c r="BC205" s="925">
        <f t="shared" si="170"/>
        <v>24.512515293291155</v>
      </c>
      <c r="BD205" s="927">
        <f t="shared" si="159"/>
        <v>1</v>
      </c>
      <c r="BF205" s="598">
        <f t="shared" si="152"/>
        <v>42795</v>
      </c>
      <c r="BG205" s="583">
        <f t="shared" si="171"/>
        <v>0</v>
      </c>
      <c r="BH205" s="764">
        <f>IF(Tables!$B$36="Combined Cycle",(BF205-BF204)*24*Assumptions!$B$21,0)</f>
        <v>0</v>
      </c>
      <c r="BI205" s="315">
        <f t="shared" si="172"/>
        <v>0</v>
      </c>
      <c r="BJ205" s="987">
        <f>IF('Monthly Table'!D205&lt;=Tables!$B$21,IF($BJ$10=$BG$10,BG205,IF($BJ$10=$BH$10,BH205,IF($BJ$10=$BI$10,BI205,0))),0)</f>
        <v>0</v>
      </c>
      <c r="BK205" s="43"/>
      <c r="BL205" s="987">
        <f t="shared" si="173"/>
        <v>0</v>
      </c>
      <c r="BM205" s="987">
        <f t="shared" si="174"/>
        <v>32</v>
      </c>
      <c r="BO205" s="987">
        <f t="shared" si="160"/>
        <v>0</v>
      </c>
      <c r="BP205" s="987">
        <f t="shared" si="175"/>
        <v>0</v>
      </c>
      <c r="BR205" s="993">
        <f>IF(BJ205&gt;0,INDEX(OperationalDetail,MATCH("Capacity Degradation",ODColumn,0),MATCH('Monthly Table'!C205,ODRow,0)),0)</f>
        <v>0</v>
      </c>
      <c r="BS205" s="994">
        <f>BJ205*(1-BR205)*Tables!$C$36</f>
        <v>0</v>
      </c>
      <c r="BT205" s="601">
        <f t="shared" si="161"/>
        <v>0</v>
      </c>
      <c r="BU205" s="601">
        <f t="shared" si="162"/>
        <v>0</v>
      </c>
      <c r="BV205" s="462"/>
      <c r="BW205" s="785">
        <f>$BO205*(1-$BR205)*Tables!$C$36</f>
        <v>0</v>
      </c>
      <c r="BX205" s="602">
        <f t="shared" si="176"/>
        <v>0</v>
      </c>
      <c r="BY205" s="601">
        <f t="shared" si="177"/>
        <v>0</v>
      </c>
      <c r="BZ205" s="462"/>
      <c r="CA205" s="785">
        <f>$BL205*(1-$BR205)*Tables!$C$36</f>
        <v>0</v>
      </c>
      <c r="CB205" s="602">
        <f t="shared" si="178"/>
        <v>0</v>
      </c>
      <c r="CC205" s="601">
        <f t="shared" si="179"/>
        <v>0</v>
      </c>
      <c r="CD205" s="785">
        <f>$BP205*(1-$BR205)*Tables!$C$36</f>
        <v>0</v>
      </c>
      <c r="CE205" s="602">
        <f t="shared" si="180"/>
        <v>0</v>
      </c>
      <c r="CF205" s="601">
        <f t="shared" si="181"/>
        <v>0</v>
      </c>
      <c r="CH205" s="785">
        <f>$BM205*(1-$BR205)*Tables!$C$36</f>
        <v>10368</v>
      </c>
      <c r="CI205" s="602">
        <f t="shared" si="182"/>
        <v>200.93183999999999</v>
      </c>
      <c r="CJ205" s="601">
        <f t="shared" si="183"/>
        <v>254.14575856084269</v>
      </c>
      <c r="CK205" s="304"/>
      <c r="CL205" s="304">
        <f t="shared" si="184"/>
        <v>2016</v>
      </c>
      <c r="CM205" s="1018">
        <f>INDEX(OperationalDetail,MATCH("Degraded Heat Rate",ODColumn,0),MATCH('Monthly Table'!CL205,ODRow,0))/1000</f>
        <v>11.96</v>
      </c>
      <c r="CN205" s="737">
        <f t="shared" si="163"/>
        <v>6.443646619708943</v>
      </c>
      <c r="CO205" s="1019">
        <f>IF(A205="January",(CO204*(1+Assumptions!$E$32)),CO204)</f>
        <v>9.2465697148509598</v>
      </c>
      <c r="CP205" s="741">
        <f t="shared" si="153"/>
        <v>15.690216334559903</v>
      </c>
      <c r="CQ205" s="304"/>
      <c r="CR205" s="575" t="str">
        <f t="shared" si="185"/>
        <v/>
      </c>
      <c r="CS205" s="575" t="str">
        <f t="shared" si="186"/>
        <v/>
      </c>
      <c r="CT205" s="575" t="str">
        <f t="shared" si="187"/>
        <v/>
      </c>
      <c r="CU205" s="575" t="str">
        <f t="shared" si="188"/>
        <v/>
      </c>
      <c r="CV205" s="575">
        <f t="shared" si="189"/>
        <v>2017</v>
      </c>
      <c r="CW205" s="576">
        <f t="shared" si="154"/>
        <v>2017</v>
      </c>
      <c r="CX205" s="787">
        <f>INDEX('NY Curve'!$A$4:$G$256,MATCH('Monthly Table'!B205,'NY Curve'!$A$4:$A$256,0),MATCH("New York 5 X 16",'NY Curve'!$A$4:$G$4,0))</f>
        <v>29.55</v>
      </c>
      <c r="CY205" s="632">
        <f t="shared" si="155"/>
        <v>1.26483567044846</v>
      </c>
      <c r="CZ205" s="633">
        <f t="shared" si="156"/>
        <v>37.375894061751993</v>
      </c>
      <c r="DB205" s="857"/>
      <c r="DC205" s="857"/>
    </row>
    <row r="206" spans="1:107" ht="18.75" customHeight="1">
      <c r="A206" s="17" t="s">
        <v>440</v>
      </c>
      <c r="B206" s="508">
        <v>42826</v>
      </c>
      <c r="C206" s="43">
        <f t="shared" si="145"/>
        <v>2017</v>
      </c>
      <c r="D206" s="719">
        <f t="shared" si="144"/>
        <v>17</v>
      </c>
      <c r="E206" s="972">
        <v>20</v>
      </c>
      <c r="F206" s="971">
        <v>5</v>
      </c>
      <c r="G206" s="971">
        <v>5</v>
      </c>
      <c r="H206" s="971">
        <v>0</v>
      </c>
      <c r="I206" s="976">
        <f t="shared" si="164"/>
        <v>30</v>
      </c>
      <c r="J206" s="621"/>
      <c r="K206" s="572">
        <f>INDEX(FX!$A$3:$C$362,MATCH(B206,FX!$A$3:$A$362,0),MATCH("Monthly Curve",FX!$A$2:$C$2,0))</f>
        <v>1.2642428019206899</v>
      </c>
      <c r="L206" s="572"/>
      <c r="M206" s="724"/>
      <c r="N206" s="746"/>
      <c r="O206" s="877">
        <v>0.1</v>
      </c>
      <c r="P206" s="797">
        <f t="shared" si="147"/>
        <v>0.1</v>
      </c>
      <c r="Q206" s="732">
        <f t="shared" si="148"/>
        <v>0.1</v>
      </c>
      <c r="R206" s="723">
        <f>IF(A206="January",(R205+R205*Assumptions!$E$32),R205)</f>
        <v>0.41228287273014913</v>
      </c>
      <c r="S206" s="730">
        <f t="shared" si="149"/>
        <v>0.53870715292221816</v>
      </c>
      <c r="T206" s="572"/>
      <c r="U206" s="507"/>
      <c r="V206" s="583"/>
      <c r="W206" s="583"/>
      <c r="X206" s="587"/>
      <c r="Y206" s="588">
        <f>Tables!$D$36</f>
        <v>312</v>
      </c>
      <c r="Z206" s="570">
        <f t="shared" si="150"/>
        <v>0</v>
      </c>
      <c r="AA206" s="592">
        <f t="shared" si="151"/>
        <v>0</v>
      </c>
      <c r="AB206" s="589">
        <f t="shared" si="146"/>
        <v>0</v>
      </c>
      <c r="AC206" s="462"/>
      <c r="AD206" s="1027">
        <f>IF(Tables!$E$30="Michigan",INDEX('Michigan Curve'!$A$4:$S$256,MATCH('Monthly Table'!B206,'Michigan Curve'!$A$4:$A$256,0),MATCH("Michigan Selected Option Value US$/month",'Michigan Curve'!$A$4:$S$4,0)),INDEX('NY Curve'!$A$4:$T$256,MATCH('Monthly Table'!B206,'NY Curve'!$A$4:$A$256,0),MATCH("New York Selected Option Value US$/month",'NY Curve'!$A$4:$T$4,0)))</f>
        <v>0</v>
      </c>
      <c r="AE206" s="601">
        <f t="shared" si="165"/>
        <v>0</v>
      </c>
      <c r="AF206" s="462"/>
      <c r="AG206" s="915"/>
      <c r="AH206" s="17"/>
      <c r="AI206" s="799">
        <f>Assumptions!$B$50</f>
        <v>65</v>
      </c>
      <c r="AJ206" s="743"/>
      <c r="AK206" s="924">
        <f>IF(Tables!$E$30="Custom",'Monthly Table'!AI206,IF(Tables!$E$30="New York",INDEX('NY Curve'!$A$4:$G$256,MATCH('Monthly Table'!B206,'NY Curve'!$A$4:$A$256,0),MATCH("Super Peak Curve",'NY Curve'!$A$4:$G$4,0)),IF(Tables!$E$30="New York Flat",INDEX('NY Curve'!$A$4:$G$256,MATCH('Monthly Table'!B206,'NY Curve'!$A$4:$A$256,0),MATCH("Flat NY West",'NY Curve'!$A$4:$G$4,0)),INDEX('Michigan Curve'!$A$4:$F$256,MATCH('Monthly Table'!B206,'Michigan Curve'!$A$4:$A$256,0),MATCH("Michigan Super Peak Curve US$/MWhr",'Michigan Curve'!$A$4:$F$4,0)))))</f>
        <v>31.75</v>
      </c>
      <c r="AL206" s="965">
        <f>IF(D206&lt;=Tables!$B$21,IF($AL$10=$AI$10,AI206,IF($AL$10=$AJ$10,AJ206,IF($AL$10=$AK$10,AK206,0))),0)</f>
        <v>0</v>
      </c>
      <c r="AM206" s="708">
        <f t="shared" si="166"/>
        <v>0</v>
      </c>
      <c r="AN206" s="916">
        <f t="shared" si="167"/>
        <v>0</v>
      </c>
      <c r="AO206" s="905"/>
      <c r="AP206" s="925"/>
      <c r="AQ206" s="926">
        <f>IF(Tables!$E$30="New York",INDEX('NY Curve'!$A$4:$L$256,MATCH('Monthly Table'!B206,'NY Curve'!$A$4:$A$256,0),MATCH("New York Shoulder Hour Curve Mon-Fri",'NY Curve'!$A$4:$L$4,0)),IF(Tables!$E$30="Michigan",INDEX('Michigan Curve'!$A$4:$K$256,MATCH('Monthly Table'!B206,'Michigan Curve'!$A$4:$A$256,0),MATCH("Michigan Shoulder Hour Curve Mon-Fri",'Michigan Curve'!$A$4:$K$4,0))))</f>
        <v>31.75</v>
      </c>
      <c r="AR206" s="708">
        <f t="shared" si="168"/>
        <v>40.139708960981906</v>
      </c>
      <c r="AS206" s="927">
        <f t="shared" si="157"/>
        <v>1</v>
      </c>
      <c r="AU206" s="926">
        <f>IF(Tables!$E$30="New York",INDEX('NY Curve'!$A$4:$L$256,MATCH('Monthly Table'!$B206,'NY Curve'!$A$4:$A$256,0),MATCH("New York Saturday Super Peak",'NY Curve'!$A$4:$L$4,0)),IF(Tables!$E$30="Michigan",INDEX('Michigan Curve'!$A$4:$K$256,MATCH('Monthly Table'!$B206,'Michigan Curve'!$A$4:$A$256,0),MATCH("Michigan Saturday Super Peak",'Michigan Curve'!$A$4:$K$4,0))))</f>
        <v>20</v>
      </c>
      <c r="AV206" s="925">
        <f t="shared" si="158"/>
        <v>25.2848560384138</v>
      </c>
      <c r="AW206" s="927">
        <f>IF(Tables!$B$21=15,0,IF(AV206&gt;($CP206+$BF$4),1,0))</f>
        <v>0</v>
      </c>
      <c r="AX206" s="926">
        <f>IF(Tables!$E$30="New York",INDEX('NY Curve'!$A$4:$L$256,MATCH('Monthly Table'!$B206,'NY Curve'!$A$4:$A$256,0),MATCH("New York Saturday Shoulder Peak",'NY Curve'!$A$4:$L$4,0)),IF(Tables!$E$30="Michigan",INDEX('Michigan Curve'!$A$4:$K$256,MATCH('Monthly Table'!$B206,'Michigan Curve'!$A$4:$A$256,0),MATCH("Michigan Saturday Shoulder Peak",'Michigan Curve'!$A$4:$K$4,0))))</f>
        <v>20</v>
      </c>
      <c r="AY206" s="934">
        <f t="shared" si="169"/>
        <v>25.2848560384138</v>
      </c>
      <c r="AZ206" s="927">
        <f>IF(Tables!$B$21=15,0,IF(AY206&gt;($CP206+$BF$4),1,0))</f>
        <v>0</v>
      </c>
      <c r="BB206" s="926">
        <f>IF(Tables!$E$30="New York",INDEX('NY Curve'!$A$4:$M$256,MATCH('Monthly Table'!$B206,'NY Curve'!$A$4:$A$256,0),MATCH("NY Sunday Super Peak",'NY Curve'!$A$4:$M$4,0)),IF(Tables!$E$30="Michigan",INDEX('Michigan Curve'!$A$4:$L$256,MATCH('Monthly Table'!$B206,'Michigan Curve'!$A$4:$A$256,0),MATCH("Michigan Sunday Super Peak",'Michigan Curve'!$A$4:$L$4,0))))</f>
        <v>18.995000839233398</v>
      </c>
      <c r="BC206" s="925">
        <f t="shared" si="170"/>
        <v>24.01429308347829</v>
      </c>
      <c r="BD206" s="927">
        <f t="shared" si="159"/>
        <v>1</v>
      </c>
      <c r="BF206" s="598">
        <f t="shared" si="152"/>
        <v>42826</v>
      </c>
      <c r="BG206" s="583">
        <f t="shared" si="171"/>
        <v>0</v>
      </c>
      <c r="BH206" s="764">
        <f>IF(Tables!$B$36="Combined Cycle",(BF206-BF205)*24*Assumptions!$B$21,0)</f>
        <v>0</v>
      </c>
      <c r="BI206" s="315">
        <f t="shared" si="172"/>
        <v>0</v>
      </c>
      <c r="BJ206" s="987">
        <f>IF('Monthly Table'!D206&lt;=Tables!$B$21,IF($BJ$10=$BG$10,BG206,IF($BJ$10=$BH$10,BH206,IF($BJ$10=$BI$10,BI206,0))),0)</f>
        <v>0</v>
      </c>
      <c r="BK206" s="43"/>
      <c r="BL206" s="987">
        <f t="shared" si="173"/>
        <v>0</v>
      </c>
      <c r="BM206" s="987">
        <f t="shared" si="174"/>
        <v>40</v>
      </c>
      <c r="BO206" s="987">
        <f t="shared" si="160"/>
        <v>0</v>
      </c>
      <c r="BP206" s="987">
        <f t="shared" si="175"/>
        <v>0</v>
      </c>
      <c r="BR206" s="993">
        <f>IF(BJ206&gt;0,INDEX(OperationalDetail,MATCH("Capacity Degradation",ODColumn,0),MATCH('Monthly Table'!C206,ODRow,0)),0)</f>
        <v>0</v>
      </c>
      <c r="BS206" s="994">
        <f>BJ206*(1-BR206)*Tables!$C$36</f>
        <v>0</v>
      </c>
      <c r="BT206" s="601">
        <f t="shared" si="161"/>
        <v>0</v>
      </c>
      <c r="BU206" s="601">
        <f t="shared" si="162"/>
        <v>0</v>
      </c>
      <c r="BV206" s="462"/>
      <c r="BW206" s="785">
        <f>$BO206*(1-$BR206)*Tables!$C$36</f>
        <v>0</v>
      </c>
      <c r="BX206" s="602">
        <f t="shared" si="176"/>
        <v>0</v>
      </c>
      <c r="BY206" s="601">
        <f t="shared" si="177"/>
        <v>0</v>
      </c>
      <c r="BZ206" s="462"/>
      <c r="CA206" s="785">
        <f>$BL206*(1-$BR206)*Tables!$C$36</f>
        <v>0</v>
      </c>
      <c r="CB206" s="602">
        <f t="shared" si="178"/>
        <v>0</v>
      </c>
      <c r="CC206" s="601">
        <f t="shared" si="179"/>
        <v>0</v>
      </c>
      <c r="CD206" s="785">
        <f>$BP206*(1-$BR206)*Tables!$C$36</f>
        <v>0</v>
      </c>
      <c r="CE206" s="602">
        <f t="shared" si="180"/>
        <v>0</v>
      </c>
      <c r="CF206" s="601">
        <f t="shared" si="181"/>
        <v>0</v>
      </c>
      <c r="CH206" s="785">
        <f>$BM206*(1-$BR206)*Tables!$C$36</f>
        <v>12960</v>
      </c>
      <c r="CI206" s="602">
        <f t="shared" si="182"/>
        <v>246.17521087646483</v>
      </c>
      <c r="CJ206" s="601">
        <f t="shared" si="183"/>
        <v>311.22523836187861</v>
      </c>
      <c r="CK206" s="304"/>
      <c r="CL206" s="304">
        <f t="shared" si="184"/>
        <v>2016</v>
      </c>
      <c r="CM206" s="1018">
        <f>INDEX(OperationalDetail,MATCH("Degraded Heat Rate",ODColumn,0),MATCH('Monthly Table'!CL206,ODRow,0))/1000</f>
        <v>11.96</v>
      </c>
      <c r="CN206" s="737">
        <f t="shared" si="163"/>
        <v>6.4429375489497298</v>
      </c>
      <c r="CO206" s="1019">
        <f>IF(A206="January",(CO205*(1+Assumptions!$E$32)),CO205)</f>
        <v>9.2465697148509598</v>
      </c>
      <c r="CP206" s="741">
        <f t="shared" si="153"/>
        <v>15.689507263800689</v>
      </c>
      <c r="CQ206" s="304"/>
      <c r="CR206" s="575" t="str">
        <f t="shared" si="185"/>
        <v/>
      </c>
      <c r="CS206" s="575" t="str">
        <f t="shared" si="186"/>
        <v/>
      </c>
      <c r="CT206" s="575" t="str">
        <f t="shared" si="187"/>
        <v/>
      </c>
      <c r="CU206" s="575" t="str">
        <f t="shared" si="188"/>
        <v/>
      </c>
      <c r="CV206" s="575">
        <f t="shared" si="189"/>
        <v>2017</v>
      </c>
      <c r="CW206" s="576">
        <f t="shared" si="154"/>
        <v>2017</v>
      </c>
      <c r="CX206" s="787">
        <f>INDEX('NY Curve'!$A$4:$G$256,MATCH('Monthly Table'!B206,'NY Curve'!$A$4:$A$256,0),MATCH("New York 5 X 16",'NY Curve'!$A$4:$G$4,0))</f>
        <v>28.3</v>
      </c>
      <c r="CY206" s="632">
        <f t="shared" si="155"/>
        <v>1.2642428019206899</v>
      </c>
      <c r="CZ206" s="633">
        <f t="shared" si="156"/>
        <v>35.778071294355527</v>
      </c>
      <c r="DB206" s="857"/>
      <c r="DC206" s="857"/>
    </row>
    <row r="207" spans="1:107" ht="18.75" customHeight="1">
      <c r="A207" s="17" t="s">
        <v>441</v>
      </c>
      <c r="B207" s="508">
        <v>42856</v>
      </c>
      <c r="C207" s="43">
        <f t="shared" si="145"/>
        <v>2017</v>
      </c>
      <c r="D207" s="719">
        <f t="shared" si="144"/>
        <v>17</v>
      </c>
      <c r="E207" s="972">
        <v>22</v>
      </c>
      <c r="F207" s="971">
        <v>4</v>
      </c>
      <c r="G207" s="971">
        <v>4</v>
      </c>
      <c r="H207" s="971">
        <v>1</v>
      </c>
      <c r="I207" s="976">
        <f t="shared" si="164"/>
        <v>31</v>
      </c>
      <c r="J207" s="621"/>
      <c r="K207" s="572">
        <f>INDEX(FX!$A$3:$C$362,MATCH(B207,FX!$A$3:$A$362,0),MATCH("Monthly Curve",FX!$A$2:$C$2,0))</f>
        <v>1.26367203794771</v>
      </c>
      <c r="L207" s="572"/>
      <c r="M207" s="724"/>
      <c r="N207" s="746"/>
      <c r="O207" s="877">
        <v>0.1</v>
      </c>
      <c r="P207" s="797">
        <f t="shared" si="147"/>
        <v>0.1</v>
      </c>
      <c r="Q207" s="732">
        <f t="shared" si="148"/>
        <v>0.1</v>
      </c>
      <c r="R207" s="723">
        <f>IF(A207="January",(R206+R206*Assumptions!$E$32),R206)</f>
        <v>0.41228287273014913</v>
      </c>
      <c r="S207" s="730">
        <f t="shared" si="149"/>
        <v>0.53865007652492014</v>
      </c>
      <c r="T207" s="572"/>
      <c r="U207" s="507"/>
      <c r="V207" s="583"/>
      <c r="W207" s="583"/>
      <c r="X207" s="587"/>
      <c r="Y207" s="588">
        <f>Tables!$D$36</f>
        <v>312</v>
      </c>
      <c r="Z207" s="570">
        <f t="shared" si="150"/>
        <v>0</v>
      </c>
      <c r="AA207" s="592">
        <f t="shared" si="151"/>
        <v>0</v>
      </c>
      <c r="AB207" s="589">
        <f t="shared" si="146"/>
        <v>0</v>
      </c>
      <c r="AC207" s="462"/>
      <c r="AD207" s="1027">
        <f>IF(Tables!$E$30="Michigan",INDEX('Michigan Curve'!$A$4:$S$256,MATCH('Monthly Table'!B207,'Michigan Curve'!$A$4:$A$256,0),MATCH("Michigan Selected Option Value US$/month",'Michigan Curve'!$A$4:$S$4,0)),INDEX('NY Curve'!$A$4:$T$256,MATCH('Monthly Table'!B207,'NY Curve'!$A$4:$A$256,0),MATCH("New York Selected Option Value US$/month",'NY Curve'!$A$4:$T$4,0)))</f>
        <v>0</v>
      </c>
      <c r="AE207" s="601">
        <f t="shared" si="165"/>
        <v>0</v>
      </c>
      <c r="AF207" s="462"/>
      <c r="AG207" s="915"/>
      <c r="AH207" s="17"/>
      <c r="AI207" s="799">
        <f>Assumptions!$B$50</f>
        <v>65</v>
      </c>
      <c r="AJ207" s="743"/>
      <c r="AK207" s="924">
        <f>IF(Tables!$E$30="Custom",'Monthly Table'!AI207,IF(Tables!$E$30="New York",INDEX('NY Curve'!$A$4:$G$256,MATCH('Monthly Table'!B207,'NY Curve'!$A$4:$A$256,0),MATCH("Super Peak Curve",'NY Curve'!$A$4:$G$4,0)),IF(Tables!$E$30="New York Flat",INDEX('NY Curve'!$A$4:$G$256,MATCH('Monthly Table'!B207,'NY Curve'!$A$4:$A$256,0),MATCH("Flat NY West",'NY Curve'!$A$4:$G$4,0)),INDEX('Michigan Curve'!$A$4:$F$256,MATCH('Monthly Table'!B207,'Michigan Curve'!$A$4:$A$256,0),MATCH("Michigan Super Peak Curve US$/MWhr",'Michigan Curve'!$A$4:$F$4,0)))))</f>
        <v>38.206875063478947</v>
      </c>
      <c r="AL207" s="965">
        <f>IF(D207&lt;=Tables!$B$21,IF($AL$10=$AI$10,AI207,IF($AL$10=$AJ$10,AJ207,IF($AL$10=$AK$10,AK207,0))),0)</f>
        <v>0</v>
      </c>
      <c r="AM207" s="708">
        <f t="shared" si="166"/>
        <v>0</v>
      </c>
      <c r="AN207" s="916">
        <f t="shared" si="167"/>
        <v>0</v>
      </c>
      <c r="AO207" s="905"/>
      <c r="AP207" s="925"/>
      <c r="AQ207" s="926">
        <f>IF(Tables!$E$30="New York",INDEX('NY Curve'!$A$4:$L$256,MATCH('Monthly Table'!B207,'NY Curve'!$A$4:$A$256,0),MATCH("New York Shoulder Hour Curve Mon-Fri",'NY Curve'!$A$4:$L$4,0)),IF(Tables!$E$30="Michigan",INDEX('Michigan Curve'!$A$4:$K$256,MATCH('Monthly Table'!B207,'Michigan Curve'!$A$4:$A$256,0),MATCH("Michigan Shoulder Hour Curve Mon-Fri",'Michigan Curve'!$A$4:$K$4,0))))</f>
        <v>32.793124936521053</v>
      </c>
      <c r="AR207" s="708">
        <f t="shared" si="168"/>
        <v>41.439755019207425</v>
      </c>
      <c r="AS207" s="927">
        <f t="shared" si="157"/>
        <v>1</v>
      </c>
      <c r="AU207" s="926">
        <f>IF(Tables!$E$30="New York",INDEX('NY Curve'!$A$4:$L$256,MATCH('Monthly Table'!$B207,'NY Curve'!$A$4:$A$256,0),MATCH("New York Saturday Super Peak",'NY Curve'!$A$4:$L$4,0)),IF(Tables!$E$30="Michigan",INDEX('Michigan Curve'!$A$4:$K$256,MATCH('Monthly Table'!$B207,'Michigan Curve'!$A$4:$A$256,0),MATCH("Michigan Saturday Super Peak",'Michigan Curve'!$A$4:$K$4,0))))</f>
        <v>22.601250037550926</v>
      </c>
      <c r="AV207" s="925">
        <f t="shared" si="158"/>
        <v>28.560567695117737</v>
      </c>
      <c r="AW207" s="927">
        <f>IF(Tables!$B$21=15,0,IF(AV207&gt;($CP207+$BF$4),1,0))</f>
        <v>0</v>
      </c>
      <c r="AX207" s="926">
        <f>IF(Tables!$E$30="New York",INDEX('NY Curve'!$A$4:$L$256,MATCH('Monthly Table'!$B207,'NY Curve'!$A$4:$A$256,0),MATCH("New York Saturday Shoulder Peak",'NY Curve'!$A$4:$L$4,0)),IF(Tables!$E$30="Michigan",INDEX('Michigan Curve'!$A$4:$K$256,MATCH('Monthly Table'!$B207,'Michigan Curve'!$A$4:$A$256,0),MATCH("Michigan Saturday Shoulder Peak",'Michigan Curve'!$A$4:$K$4,0))))</f>
        <v>19.398749962449074</v>
      </c>
      <c r="AY207" s="934">
        <f t="shared" si="169"/>
        <v>24.513657898686084</v>
      </c>
      <c r="AZ207" s="927">
        <f>IF(Tables!$B$21=15,0,IF(AY207&gt;($CP207+$BF$4),1,0))</f>
        <v>0</v>
      </c>
      <c r="BB207" s="926">
        <f>IF(Tables!$E$30="New York",INDEX('NY Curve'!$A$4:$M$256,MATCH('Monthly Table'!$B207,'NY Curve'!$A$4:$A$256,0),MATCH("NY Sunday Super Peak",'NY Curve'!$A$4:$M$4,0)),IF(Tables!$E$30="Michigan",INDEX('Michigan Curve'!$A$4:$L$256,MATCH('Monthly Table'!$B207,'Michigan Curve'!$A$4:$A$256,0),MATCH("Michigan Sunday Super Peak",'Michigan Curve'!$A$4:$L$4,0))))</f>
        <v>21.530380382546781</v>
      </c>
      <c r="BC207" s="925">
        <f t="shared" si="170"/>
        <v>27.207339655802286</v>
      </c>
      <c r="BD207" s="927">
        <f t="shared" si="159"/>
        <v>1</v>
      </c>
      <c r="BF207" s="598">
        <f t="shared" si="152"/>
        <v>42856</v>
      </c>
      <c r="BG207" s="583">
        <f t="shared" si="171"/>
        <v>0</v>
      </c>
      <c r="BH207" s="764">
        <f>IF(Tables!$B$36="Combined Cycle",(BF207-BF206)*24*Assumptions!$B$21,0)</f>
        <v>0</v>
      </c>
      <c r="BI207" s="315">
        <f t="shared" si="172"/>
        <v>0</v>
      </c>
      <c r="BJ207" s="987">
        <f>IF('Monthly Table'!D207&lt;=Tables!$B$21,IF($BJ$10=$BG$10,BG207,IF($BJ$10=$BH$10,BH207,IF($BJ$10=$BI$10,BI207,0))),0)</f>
        <v>0</v>
      </c>
      <c r="BK207" s="43"/>
      <c r="BL207" s="987">
        <f t="shared" si="173"/>
        <v>0</v>
      </c>
      <c r="BM207" s="987">
        <f t="shared" si="174"/>
        <v>40</v>
      </c>
      <c r="BO207" s="987">
        <f t="shared" si="160"/>
        <v>0</v>
      </c>
      <c r="BP207" s="987">
        <f t="shared" si="175"/>
        <v>0</v>
      </c>
      <c r="BR207" s="993">
        <f>IF(BJ207&gt;0,INDEX(OperationalDetail,MATCH("Capacity Degradation",ODColumn,0),MATCH('Monthly Table'!C207,ODRow,0)),0)</f>
        <v>0</v>
      </c>
      <c r="BS207" s="994">
        <f>BJ207*(1-BR207)*Tables!$C$36</f>
        <v>0</v>
      </c>
      <c r="BT207" s="601">
        <f t="shared" si="161"/>
        <v>0</v>
      </c>
      <c r="BU207" s="601">
        <f t="shared" si="162"/>
        <v>0</v>
      </c>
      <c r="BV207" s="462"/>
      <c r="BW207" s="785">
        <f>$BO207*(1-$BR207)*Tables!$C$36</f>
        <v>0</v>
      </c>
      <c r="BX207" s="602">
        <f t="shared" si="176"/>
        <v>0</v>
      </c>
      <c r="BY207" s="601">
        <f t="shared" si="177"/>
        <v>0</v>
      </c>
      <c r="BZ207" s="462"/>
      <c r="CA207" s="785">
        <f>$BL207*(1-$BR207)*Tables!$C$36</f>
        <v>0</v>
      </c>
      <c r="CB207" s="602">
        <f t="shared" si="178"/>
        <v>0</v>
      </c>
      <c r="CC207" s="601">
        <f t="shared" si="179"/>
        <v>0</v>
      </c>
      <c r="CD207" s="785">
        <f>$BP207*(1-$BR207)*Tables!$C$36</f>
        <v>0</v>
      </c>
      <c r="CE207" s="602">
        <f t="shared" si="180"/>
        <v>0</v>
      </c>
      <c r="CF207" s="601">
        <f t="shared" si="181"/>
        <v>0</v>
      </c>
      <c r="CH207" s="785">
        <f>$BM207*(1-$BR207)*Tables!$C$36</f>
        <v>12960</v>
      </c>
      <c r="CI207" s="602">
        <f t="shared" si="182"/>
        <v>279.03372975780627</v>
      </c>
      <c r="CJ207" s="601">
        <f t="shared" si="183"/>
        <v>352.60712193919761</v>
      </c>
      <c r="CK207" s="304"/>
      <c r="CL207" s="304">
        <f t="shared" si="184"/>
        <v>2016</v>
      </c>
      <c r="CM207" s="1018">
        <f>INDEX(OperationalDetail,MATCH("Degraded Heat Rate",ODColumn,0),MATCH('Monthly Table'!CL207,ODRow,0))/1000</f>
        <v>11.96</v>
      </c>
      <c r="CN207" s="737">
        <f t="shared" si="163"/>
        <v>6.4422549152380455</v>
      </c>
      <c r="CO207" s="1019">
        <f>IF(A207="January",(CO206*(1+Assumptions!$E$32)),CO206)</f>
        <v>9.2465697148509598</v>
      </c>
      <c r="CP207" s="741">
        <f t="shared" si="153"/>
        <v>15.688824630089005</v>
      </c>
      <c r="CQ207" s="304"/>
      <c r="CR207" s="575" t="str">
        <f t="shared" si="185"/>
        <v/>
      </c>
      <c r="CS207" s="575" t="str">
        <f t="shared" si="186"/>
        <v/>
      </c>
      <c r="CT207" s="575" t="str">
        <f t="shared" si="187"/>
        <v/>
      </c>
      <c r="CU207" s="575" t="str">
        <f t="shared" si="188"/>
        <v/>
      </c>
      <c r="CV207" s="575">
        <f t="shared" si="189"/>
        <v>2017</v>
      </c>
      <c r="CW207" s="576">
        <f t="shared" si="154"/>
        <v>2017</v>
      </c>
      <c r="CX207" s="787">
        <f>INDEX('NY Curve'!$A$4:$G$256,MATCH('Monthly Table'!B207,'NY Curve'!$A$4:$A$256,0),MATCH("New York 5 X 16",'NY Curve'!$A$4:$G$4,0))</f>
        <v>34.15</v>
      </c>
      <c r="CY207" s="632">
        <f t="shared" si="155"/>
        <v>1.26367203794771</v>
      </c>
      <c r="CZ207" s="633">
        <f t="shared" si="156"/>
        <v>43.154400095914298</v>
      </c>
      <c r="DB207" s="857"/>
      <c r="DC207" s="857"/>
    </row>
    <row r="208" spans="1:107" ht="18.75" customHeight="1">
      <c r="A208" s="17" t="s">
        <v>442</v>
      </c>
      <c r="B208" s="508">
        <v>42887</v>
      </c>
      <c r="C208" s="43">
        <f t="shared" si="145"/>
        <v>2017</v>
      </c>
      <c r="D208" s="719">
        <f t="shared" si="144"/>
        <v>17</v>
      </c>
      <c r="E208" s="972">
        <v>22</v>
      </c>
      <c r="F208" s="971">
        <v>4</v>
      </c>
      <c r="G208" s="971">
        <v>4</v>
      </c>
      <c r="H208" s="971">
        <v>0</v>
      </c>
      <c r="I208" s="976">
        <f t="shared" si="164"/>
        <v>30</v>
      </c>
      <c r="J208" s="621"/>
      <c r="K208" s="572">
        <f>INDEX(FX!$A$3:$C$362,MATCH(B208,FX!$A$3:$A$362,0),MATCH("Monthly Curve",FX!$A$2:$C$2,0))</f>
        <v>1.26308532356102</v>
      </c>
      <c r="L208" s="572"/>
      <c r="M208" s="724"/>
      <c r="N208" s="746"/>
      <c r="O208" s="877">
        <v>0.1</v>
      </c>
      <c r="P208" s="797">
        <f t="shared" si="147"/>
        <v>0.1</v>
      </c>
      <c r="Q208" s="732">
        <f t="shared" si="148"/>
        <v>0.1</v>
      </c>
      <c r="R208" s="723">
        <f>IF(A208="January",(R207+R207*Assumptions!$E$32),R207)</f>
        <v>0.41228287273014913</v>
      </c>
      <c r="S208" s="730">
        <f t="shared" si="149"/>
        <v>0.53859140508625114</v>
      </c>
      <c r="T208" s="572"/>
      <c r="U208" s="507"/>
      <c r="V208" s="583"/>
      <c r="W208" s="583"/>
      <c r="X208" s="587"/>
      <c r="Y208" s="588">
        <f>Tables!$D$36</f>
        <v>312</v>
      </c>
      <c r="Z208" s="570">
        <f t="shared" si="150"/>
        <v>0</v>
      </c>
      <c r="AA208" s="592">
        <f t="shared" si="151"/>
        <v>0</v>
      </c>
      <c r="AB208" s="589">
        <f t="shared" si="146"/>
        <v>0</v>
      </c>
      <c r="AC208" s="462"/>
      <c r="AD208" s="1027">
        <f>IF(Tables!$E$30="Michigan",INDEX('Michigan Curve'!$A$4:$S$256,MATCH('Monthly Table'!B208,'Michigan Curve'!$A$4:$A$256,0),MATCH("Michigan Selected Option Value US$/month",'Michigan Curve'!$A$4:$S$4,0)),INDEX('NY Curve'!$A$4:$T$256,MATCH('Monthly Table'!B208,'NY Curve'!$A$4:$A$256,0),MATCH("New York Selected Option Value US$/month",'NY Curve'!$A$4:$T$4,0)))</f>
        <v>0</v>
      </c>
      <c r="AE208" s="601">
        <f t="shared" si="165"/>
        <v>0</v>
      </c>
      <c r="AF208" s="462"/>
      <c r="AG208" s="915"/>
      <c r="AH208" s="17"/>
      <c r="AI208" s="799">
        <f>Assumptions!$B$50</f>
        <v>65</v>
      </c>
      <c r="AJ208" s="743"/>
      <c r="AK208" s="924">
        <f>IF(Tables!$E$30="Custom",'Monthly Table'!AI208,IF(Tables!$E$30="New York",INDEX('NY Curve'!$A$4:$G$256,MATCH('Monthly Table'!B208,'NY Curve'!$A$4:$A$256,0),MATCH("Super Peak Curve",'NY Curve'!$A$4:$G$4,0)),IF(Tables!$E$30="New York Flat",INDEX('NY Curve'!$A$4:$G$256,MATCH('Monthly Table'!B208,'NY Curve'!$A$4:$A$256,0),MATCH("Flat NY West",'NY Curve'!$A$4:$G$4,0)),INDEX('Michigan Curve'!$A$4:$F$256,MATCH('Monthly Table'!B208,'Michigan Curve'!$A$4:$A$256,0),MATCH("Michigan Super Peak Curve US$/MWhr",'Michigan Curve'!$A$4:$F$4,0)))))</f>
        <v>92.452301350846469</v>
      </c>
      <c r="AL208" s="965">
        <f>IF(D208&lt;=Tables!$B$21,IF($AL$10=$AI$10,AI208,IF($AL$10=$AJ$10,AJ208,IF($AL$10=$AK$10,AK208,0))),0)</f>
        <v>0</v>
      </c>
      <c r="AM208" s="708">
        <f t="shared" si="166"/>
        <v>0</v>
      </c>
      <c r="AN208" s="916">
        <f t="shared" si="167"/>
        <v>0</v>
      </c>
      <c r="AO208" s="905"/>
      <c r="AP208" s="925"/>
      <c r="AQ208" s="926">
        <f>IF(Tables!$E$30="New York",INDEX('NY Curve'!$A$4:$L$256,MATCH('Monthly Table'!B208,'NY Curve'!$A$4:$A$256,0),MATCH("New York Shoulder Hour Curve Mon-Fri",'NY Curve'!$A$4:$L$4,0)),IF(Tables!$E$30="Michigan",INDEX('Michigan Curve'!$A$4:$K$256,MATCH('Monthly Table'!B208,'Michigan Curve'!$A$4:$A$256,0),MATCH("Michigan Shoulder Hour Curve Mon-Fri",'Michigan Curve'!$A$4:$K$4,0))))</f>
        <v>24.047698649153528</v>
      </c>
      <c r="AR208" s="708">
        <f t="shared" si="168"/>
        <v>30.374295229163987</v>
      </c>
      <c r="AS208" s="927">
        <f t="shared" si="157"/>
        <v>1</v>
      </c>
      <c r="AU208" s="926">
        <f>IF(Tables!$E$30="New York",INDEX('NY Curve'!$A$4:$L$256,MATCH('Monthly Table'!$B208,'NY Curve'!$A$4:$A$256,0),MATCH("New York Saturday Super Peak",'NY Curve'!$A$4:$L$4,0)),IF(Tables!$E$30="Michigan",INDEX('Michigan Curve'!$A$4:$K$256,MATCH('Monthly Table'!$B208,'Michigan Curve'!$A$4:$A$256,0),MATCH("Michigan Saturday Super Peak",'Michigan Curve'!$A$4:$K$4,0))))</f>
        <v>41.266263263897137</v>
      </c>
      <c r="AV208" s="925">
        <f t="shared" si="158"/>
        <v>52.122811486833747</v>
      </c>
      <c r="AW208" s="927">
        <f>IF(Tables!$B$21=15,0,IF(AV208&gt;($CP208+$BF$4),1,0))</f>
        <v>0</v>
      </c>
      <c r="AX208" s="926">
        <f>IF(Tables!$E$30="New York",INDEX('NY Curve'!$A$4:$L$256,MATCH('Monthly Table'!$B208,'NY Curve'!$A$4:$A$256,0),MATCH("New York Saturday Shoulder Peak",'NY Curve'!$A$4:$L$4,0)),IF(Tables!$E$30="Michigan",INDEX('Michigan Curve'!$A$4:$K$256,MATCH('Monthly Table'!$B208,'Michigan Curve'!$A$4:$A$256,0),MATCH("Michigan Saturday Shoulder Peak",'Michigan Curve'!$A$4:$K$4,0))))</f>
        <v>10.733736736102863</v>
      </c>
      <c r="AY208" s="934">
        <f t="shared" si="169"/>
        <v>13.557625338339291</v>
      </c>
      <c r="AZ208" s="927">
        <f>IF(Tables!$B$21=15,0,IF(AY208&gt;($CP208+$BF$4),1,0))</f>
        <v>0</v>
      </c>
      <c r="BB208" s="926">
        <f>IF(Tables!$E$30="New York",INDEX('NY Curve'!$A$4:$M$256,MATCH('Monthly Table'!$B208,'NY Curve'!$A$4:$A$256,0),MATCH("NY Sunday Super Peak",'NY Curve'!$A$4:$M$4,0)),IF(Tables!$E$30="Michigan",INDEX('Michigan Curve'!$A$4:$L$256,MATCH('Monthly Table'!$B208,'Michigan Curve'!$A$4:$A$256,0),MATCH("Michigan Sunday Super Peak",'Michigan Curve'!$A$4:$L$4,0))))</f>
        <v>38.091935320520435</v>
      </c>
      <c r="BC208" s="925">
        <f t="shared" si="170"/>
        <v>48.113364449384996</v>
      </c>
      <c r="BD208" s="927">
        <f t="shared" si="159"/>
        <v>1</v>
      </c>
      <c r="BF208" s="598">
        <f t="shared" si="152"/>
        <v>42887</v>
      </c>
      <c r="BG208" s="583">
        <f t="shared" si="171"/>
        <v>0</v>
      </c>
      <c r="BH208" s="764">
        <f>IF(Tables!$B$36="Combined Cycle",(BF208-BF207)*24*Assumptions!$B$21,0)</f>
        <v>0</v>
      </c>
      <c r="BI208" s="315">
        <f t="shared" si="172"/>
        <v>0</v>
      </c>
      <c r="BJ208" s="987">
        <f>IF('Monthly Table'!D208&lt;=Tables!$B$21,IF($BJ$10=$BG$10,BG208,IF($BJ$10=$BH$10,BH208,IF($BJ$10=$BI$10,BI208,0))),0)</f>
        <v>0</v>
      </c>
      <c r="BK208" s="43"/>
      <c r="BL208" s="987">
        <f t="shared" si="173"/>
        <v>0</v>
      </c>
      <c r="BM208" s="987">
        <f t="shared" si="174"/>
        <v>32</v>
      </c>
      <c r="BO208" s="987">
        <f t="shared" si="160"/>
        <v>0</v>
      </c>
      <c r="BP208" s="987">
        <f t="shared" si="175"/>
        <v>0</v>
      </c>
      <c r="BR208" s="993">
        <f>IF(BJ208&gt;0,INDEX(OperationalDetail,MATCH("Capacity Degradation",ODColumn,0),MATCH('Monthly Table'!C208,ODRow,0)),0)</f>
        <v>0</v>
      </c>
      <c r="BS208" s="994">
        <f>BJ208*(1-BR208)*Tables!$C$36</f>
        <v>0</v>
      </c>
      <c r="BT208" s="601">
        <f t="shared" si="161"/>
        <v>0</v>
      </c>
      <c r="BU208" s="601">
        <f t="shared" si="162"/>
        <v>0</v>
      </c>
      <c r="BV208" s="462"/>
      <c r="BW208" s="785">
        <f>$BO208*(1-$BR208)*Tables!$C$36</f>
        <v>0</v>
      </c>
      <c r="BX208" s="602">
        <f t="shared" si="176"/>
        <v>0</v>
      </c>
      <c r="BY208" s="601">
        <f t="shared" si="177"/>
        <v>0</v>
      </c>
      <c r="BZ208" s="462"/>
      <c r="CA208" s="785">
        <f>$BL208*(1-$BR208)*Tables!$C$36</f>
        <v>0</v>
      </c>
      <c r="CB208" s="602">
        <f t="shared" si="178"/>
        <v>0</v>
      </c>
      <c r="CC208" s="601">
        <f t="shared" si="179"/>
        <v>0</v>
      </c>
      <c r="CD208" s="785">
        <f>$BP208*(1-$BR208)*Tables!$C$36</f>
        <v>0</v>
      </c>
      <c r="CE208" s="602">
        <f t="shared" si="180"/>
        <v>0</v>
      </c>
      <c r="CF208" s="601">
        <f t="shared" si="181"/>
        <v>0</v>
      </c>
      <c r="CH208" s="785">
        <f>$BM208*(1-$BR208)*Tables!$C$36</f>
        <v>10368</v>
      </c>
      <c r="CI208" s="602">
        <f t="shared" si="182"/>
        <v>394.93718540315587</v>
      </c>
      <c r="CJ208" s="601">
        <f t="shared" si="183"/>
        <v>498.83936261122369</v>
      </c>
      <c r="CK208" s="304"/>
      <c r="CL208" s="304">
        <f t="shared" si="184"/>
        <v>2016</v>
      </c>
      <c r="CM208" s="1018">
        <f>INDEX(OperationalDetail,MATCH("Degraded Heat Rate",ODColumn,0),MATCH('Monthly Table'!CL208,ODRow,0))/1000</f>
        <v>11.96</v>
      </c>
      <c r="CN208" s="737">
        <f t="shared" si="163"/>
        <v>6.441553204831564</v>
      </c>
      <c r="CO208" s="1019">
        <f>IF(A208="January",(CO207*(1+Assumptions!$E$32)),CO207)</f>
        <v>9.2465697148509598</v>
      </c>
      <c r="CP208" s="741">
        <f t="shared" si="153"/>
        <v>15.688122919682524</v>
      </c>
      <c r="CQ208" s="304"/>
      <c r="CR208" s="575" t="str">
        <f t="shared" si="185"/>
        <v/>
      </c>
      <c r="CS208" s="575" t="str">
        <f t="shared" si="186"/>
        <v/>
      </c>
      <c r="CT208" s="575" t="str">
        <f t="shared" si="187"/>
        <v/>
      </c>
      <c r="CU208" s="575" t="str">
        <f t="shared" si="188"/>
        <v/>
      </c>
      <c r="CV208" s="575">
        <f t="shared" si="189"/>
        <v>2017</v>
      </c>
      <c r="CW208" s="576">
        <f t="shared" si="154"/>
        <v>2017</v>
      </c>
      <c r="CX208" s="787">
        <f>INDEX('NY Curve'!$A$4:$G$256,MATCH('Monthly Table'!B208,'NY Curve'!$A$4:$A$256,0),MATCH("New York 5 X 16",'NY Curve'!$A$4:$G$4,0))</f>
        <v>58.25</v>
      </c>
      <c r="CY208" s="632">
        <f t="shared" si="155"/>
        <v>1.26308532356102</v>
      </c>
      <c r="CZ208" s="633">
        <f t="shared" si="156"/>
        <v>73.57472009742942</v>
      </c>
      <c r="DB208" s="857"/>
      <c r="DC208" s="857"/>
    </row>
    <row r="209" spans="1:107" ht="18.75" customHeight="1">
      <c r="A209" s="17" t="s">
        <v>443</v>
      </c>
      <c r="B209" s="508">
        <v>42917</v>
      </c>
      <c r="C209" s="43">
        <f t="shared" si="145"/>
        <v>2017</v>
      </c>
      <c r="D209" s="719">
        <f t="shared" si="144"/>
        <v>17</v>
      </c>
      <c r="E209" s="972">
        <v>20</v>
      </c>
      <c r="F209" s="971">
        <v>5</v>
      </c>
      <c r="G209" s="971">
        <v>5</v>
      </c>
      <c r="H209" s="971">
        <v>1</v>
      </c>
      <c r="I209" s="976">
        <f t="shared" si="164"/>
        <v>31</v>
      </c>
      <c r="J209" s="621"/>
      <c r="K209" s="572">
        <f>INDEX(FX!$A$3:$C$362,MATCH(B209,FX!$A$3:$A$362,0),MATCH("Monthly Curve",FX!$A$2:$C$2,0))</f>
        <v>1.2625205074586201</v>
      </c>
      <c r="L209" s="572"/>
      <c r="M209" s="724"/>
      <c r="N209" s="746"/>
      <c r="O209" s="877">
        <v>0.1</v>
      </c>
      <c r="P209" s="797">
        <f t="shared" si="147"/>
        <v>0.1</v>
      </c>
      <c r="Q209" s="732">
        <f t="shared" si="148"/>
        <v>0.1</v>
      </c>
      <c r="R209" s="723">
        <f>IF(A209="January",(R208+R208*Assumptions!$E$32),R208)</f>
        <v>0.41228287273014913</v>
      </c>
      <c r="S209" s="730">
        <f t="shared" si="149"/>
        <v>0.53853492347601117</v>
      </c>
      <c r="T209" s="572"/>
      <c r="U209" s="507"/>
      <c r="V209" s="583"/>
      <c r="W209" s="583"/>
      <c r="X209" s="587"/>
      <c r="Y209" s="588">
        <f>Tables!$D$36</f>
        <v>312</v>
      </c>
      <c r="Z209" s="570">
        <f t="shared" si="150"/>
        <v>0</v>
      </c>
      <c r="AA209" s="592">
        <f t="shared" si="151"/>
        <v>0</v>
      </c>
      <c r="AB209" s="589">
        <f t="shared" si="146"/>
        <v>0</v>
      </c>
      <c r="AC209" s="462"/>
      <c r="AD209" s="1027">
        <f>IF(Tables!$E$30="Michigan",INDEX('Michigan Curve'!$A$4:$S$256,MATCH('Monthly Table'!B209,'Michigan Curve'!$A$4:$A$256,0),MATCH("Michigan Selected Option Value US$/month",'Michigan Curve'!$A$4:$S$4,0)),INDEX('NY Curve'!$A$4:$T$256,MATCH('Monthly Table'!B209,'NY Curve'!$A$4:$A$256,0),MATCH("New York Selected Option Value US$/month",'NY Curve'!$A$4:$T$4,0)))</f>
        <v>0</v>
      </c>
      <c r="AE209" s="601">
        <f t="shared" si="165"/>
        <v>0</v>
      </c>
      <c r="AF209" s="462"/>
      <c r="AG209" s="915"/>
      <c r="AH209" s="17"/>
      <c r="AI209" s="799">
        <f>Assumptions!$B$50</f>
        <v>65</v>
      </c>
      <c r="AJ209" s="743"/>
      <c r="AK209" s="924">
        <f>IF(Tables!$E$30="Custom",'Monthly Table'!AI209,IF(Tables!$E$30="New York",INDEX('NY Curve'!$A$4:$G$256,MATCH('Monthly Table'!B209,'NY Curve'!$A$4:$A$256,0),MATCH("Super Peak Curve",'NY Curve'!$A$4:$G$4,0)),IF(Tables!$E$30="New York Flat",INDEX('NY Curve'!$A$4:$G$256,MATCH('Monthly Table'!B209,'NY Curve'!$A$4:$A$256,0),MATCH("Flat NY West",'NY Curve'!$A$4:$G$4,0)),INDEX('Michigan Curve'!$A$4:$F$256,MATCH('Monthly Table'!B209,'Michigan Curve'!$A$4:$A$256,0),MATCH("Michigan Super Peak Curve US$/MWhr",'Michigan Curve'!$A$4:$F$4,0)))))</f>
        <v>183.17386097166715</v>
      </c>
      <c r="AL209" s="965">
        <f>IF(D209&lt;=Tables!$B$21,IF($AL$10=$AI$10,AI209,IF($AL$10=$AJ$10,AJ209,IF($AL$10=$AK$10,AK209,0))),0)</f>
        <v>0</v>
      </c>
      <c r="AM209" s="708">
        <f t="shared" si="166"/>
        <v>0</v>
      </c>
      <c r="AN209" s="916">
        <f t="shared" si="167"/>
        <v>0</v>
      </c>
      <c r="AO209" s="905"/>
      <c r="AP209" s="925"/>
      <c r="AQ209" s="926">
        <f>IF(Tables!$E$30="New York",INDEX('NY Curve'!$A$4:$L$256,MATCH('Monthly Table'!B209,'NY Curve'!$A$4:$A$256,0),MATCH("New York Shoulder Hour Curve Mon-Fri",'NY Curve'!$A$4:$L$4,0)),IF(Tables!$E$30="Michigan",INDEX('Michigan Curve'!$A$4:$K$256,MATCH('Monthly Table'!B209,'Michigan Curve'!$A$4:$A$256,0),MATCH("Michigan Shoulder Hour Curve Mon-Fri",'Michigan Curve'!$A$4:$K$4,0))))</f>
        <v>30.82613902833285</v>
      </c>
      <c r="AR209" s="708">
        <f t="shared" si="168"/>
        <v>38.918632689040763</v>
      </c>
      <c r="AS209" s="927">
        <f t="shared" si="157"/>
        <v>1</v>
      </c>
      <c r="AU209" s="926">
        <f>IF(Tables!$E$30="New York",INDEX('NY Curve'!$A$4:$L$256,MATCH('Monthly Table'!$B209,'NY Curve'!$A$4:$A$256,0),MATCH("New York Saturday Super Peak",'NY Curve'!$A$4:$L$4,0)),IF(Tables!$E$30="Michigan",INDEX('Michigan Curve'!$A$4:$K$256,MATCH('Monthly Table'!$B209,'Michigan Curve'!$A$4:$A$256,0),MATCH("Michigan Saturday Super Peak",'Michigan Curve'!$A$4:$K$4,0))))</f>
        <v>59.916683495405145</v>
      </c>
      <c r="AV209" s="925">
        <f t="shared" si="158"/>
        <v>75.646041651856436</v>
      </c>
      <c r="AW209" s="927">
        <f>IF(Tables!$B$21=15,0,IF(AV209&gt;($CP209+$BF$4),1,0))</f>
        <v>0</v>
      </c>
      <c r="AX209" s="926">
        <f>IF(Tables!$E$30="New York",INDEX('NY Curve'!$A$4:$L$256,MATCH('Monthly Table'!$B209,'NY Curve'!$A$4:$A$256,0),MATCH("New York Saturday Shoulder Peak",'NY Curve'!$A$4:$L$4,0)),IF(Tables!$E$30="Michigan",INDEX('Michigan Curve'!$A$4:$K$256,MATCH('Monthly Table'!$B209,'Michigan Curve'!$A$4:$A$256,0),MATCH("Michigan Saturday Shoulder Peak",'Michigan Curve'!$A$4:$K$4,0))))</f>
        <v>10.083316504594858</v>
      </c>
      <c r="AY209" s="934">
        <f t="shared" si="169"/>
        <v>12.73039387024698</v>
      </c>
      <c r="AZ209" s="927">
        <f>IF(Tables!$B$21=15,0,IF(AY209&gt;($CP209+$BF$4),1,0))</f>
        <v>0</v>
      </c>
      <c r="BB209" s="926">
        <f>IF(Tables!$E$30="New York",INDEX('NY Curve'!$A$4:$M$256,MATCH('Monthly Table'!$B209,'NY Curve'!$A$4:$A$256,0),MATCH("NY Sunday Super Peak",'NY Curve'!$A$4:$M$4,0)),IF(Tables!$E$30="Michigan",INDEX('Michigan Curve'!$A$4:$L$256,MATCH('Monthly Table'!$B209,'Michigan Curve'!$A$4:$A$256,0),MATCH("Michigan Sunday Super Peak",'Michigan Curve'!$A$4:$L$4,0))))</f>
        <v>53.069059259301575</v>
      </c>
      <c r="BC209" s="925">
        <f t="shared" si="170"/>
        <v>67.000775626405002</v>
      </c>
      <c r="BD209" s="927">
        <f t="shared" si="159"/>
        <v>1</v>
      </c>
      <c r="BF209" s="598">
        <f t="shared" si="152"/>
        <v>42917</v>
      </c>
      <c r="BG209" s="583">
        <f t="shared" si="171"/>
        <v>0</v>
      </c>
      <c r="BH209" s="764">
        <f>IF(Tables!$B$36="Combined Cycle",(BF209-BF208)*24*Assumptions!$B$21,0)</f>
        <v>0</v>
      </c>
      <c r="BI209" s="315">
        <f t="shared" si="172"/>
        <v>0</v>
      </c>
      <c r="BJ209" s="987">
        <f>IF('Monthly Table'!D209&lt;=Tables!$B$21,IF($BJ$10=$BG$10,BG209,IF($BJ$10=$BH$10,BH209,IF($BJ$10=$BI$10,BI209,0))),0)</f>
        <v>0</v>
      </c>
      <c r="BK209" s="43"/>
      <c r="BL209" s="987">
        <f t="shared" si="173"/>
        <v>0</v>
      </c>
      <c r="BM209" s="987">
        <f t="shared" si="174"/>
        <v>48</v>
      </c>
      <c r="BO209" s="987">
        <f t="shared" si="160"/>
        <v>0</v>
      </c>
      <c r="BP209" s="987">
        <f t="shared" si="175"/>
        <v>0</v>
      </c>
      <c r="BR209" s="993">
        <f>IF(BJ209&gt;0,INDEX(OperationalDetail,MATCH("Capacity Degradation",ODColumn,0),MATCH('Monthly Table'!C209,ODRow,0)),0)</f>
        <v>0</v>
      </c>
      <c r="BS209" s="994">
        <f>BJ209*(1-BR209)*Tables!$C$36</f>
        <v>0</v>
      </c>
      <c r="BT209" s="601">
        <f t="shared" si="161"/>
        <v>0</v>
      </c>
      <c r="BU209" s="601">
        <f t="shared" si="162"/>
        <v>0</v>
      </c>
      <c r="BV209" s="462"/>
      <c r="BW209" s="785">
        <f>$BO209*(1-$BR209)*Tables!$C$36</f>
        <v>0</v>
      </c>
      <c r="BX209" s="602">
        <f t="shared" si="176"/>
        <v>0</v>
      </c>
      <c r="BY209" s="601">
        <f t="shared" si="177"/>
        <v>0</v>
      </c>
      <c r="BZ209" s="462"/>
      <c r="CA209" s="785">
        <f>$BL209*(1-$BR209)*Tables!$C$36</f>
        <v>0</v>
      </c>
      <c r="CB209" s="602">
        <f t="shared" si="178"/>
        <v>0</v>
      </c>
      <c r="CC209" s="601">
        <f t="shared" si="179"/>
        <v>0</v>
      </c>
      <c r="CD209" s="785">
        <f>$BP209*(1-$BR209)*Tables!$C$36</f>
        <v>0</v>
      </c>
      <c r="CE209" s="602">
        <f t="shared" si="180"/>
        <v>0</v>
      </c>
      <c r="CF209" s="601">
        <f t="shared" si="181"/>
        <v>0</v>
      </c>
      <c r="CH209" s="785">
        <f>$BM209*(1-$BR209)*Tables!$C$36</f>
        <v>15552</v>
      </c>
      <c r="CI209" s="602">
        <f t="shared" si="182"/>
        <v>825.33000960065806</v>
      </c>
      <c r="CJ209" s="601">
        <f t="shared" si="183"/>
        <v>1041.9960625418505</v>
      </c>
      <c r="CK209" s="304"/>
      <c r="CL209" s="304">
        <f t="shared" si="184"/>
        <v>2016</v>
      </c>
      <c r="CM209" s="1018">
        <f>INDEX(OperationalDetail,MATCH("Degraded Heat Rate",ODColumn,0),MATCH('Monthly Table'!CL209,ODRow,0))/1000</f>
        <v>11.96</v>
      </c>
      <c r="CN209" s="737">
        <f t="shared" si="163"/>
        <v>6.4408776847730937</v>
      </c>
      <c r="CO209" s="1019">
        <f>IF(A209="January",(CO208*(1+Assumptions!$E$32)),CO208)</f>
        <v>9.2465697148509598</v>
      </c>
      <c r="CP209" s="741">
        <f t="shared" si="153"/>
        <v>15.687447399624054</v>
      </c>
      <c r="CQ209" s="304"/>
      <c r="CR209" s="575" t="str">
        <f t="shared" si="185"/>
        <v/>
      </c>
      <c r="CS209" s="575" t="str">
        <f t="shared" si="186"/>
        <v/>
      </c>
      <c r="CT209" s="575" t="str">
        <f t="shared" si="187"/>
        <v/>
      </c>
      <c r="CU209" s="575" t="str">
        <f t="shared" si="188"/>
        <v/>
      </c>
      <c r="CV209" s="575">
        <f t="shared" si="189"/>
        <v>2017</v>
      </c>
      <c r="CW209" s="576">
        <f t="shared" si="154"/>
        <v>2017</v>
      </c>
      <c r="CX209" s="787">
        <f>INDEX('NY Curve'!$A$4:$G$256,MATCH('Monthly Table'!B209,'NY Curve'!$A$4:$A$256,0),MATCH("New York 5 X 16",'NY Curve'!$A$4:$G$4,0))</f>
        <v>92</v>
      </c>
      <c r="CY209" s="632">
        <f t="shared" si="155"/>
        <v>1.2625205074586201</v>
      </c>
      <c r="CZ209" s="633">
        <f t="shared" si="156"/>
        <v>116.15188668619305</v>
      </c>
      <c r="DB209" s="857"/>
      <c r="DC209" s="857"/>
    </row>
    <row r="210" spans="1:107" ht="18.75" customHeight="1">
      <c r="A210" s="17" t="s">
        <v>444</v>
      </c>
      <c r="B210" s="508">
        <v>42948</v>
      </c>
      <c r="C210" s="43">
        <f t="shared" si="145"/>
        <v>2017</v>
      </c>
      <c r="D210" s="719">
        <f t="shared" ref="D210:D244" si="190">IF(A210="January",D209+1,D209)</f>
        <v>17</v>
      </c>
      <c r="E210" s="972">
        <v>23</v>
      </c>
      <c r="F210" s="971">
        <v>4</v>
      </c>
      <c r="G210" s="971">
        <v>4</v>
      </c>
      <c r="H210" s="971">
        <v>0</v>
      </c>
      <c r="I210" s="976">
        <f t="shared" si="164"/>
        <v>31</v>
      </c>
      <c r="J210" s="621"/>
      <c r="K210" s="572">
        <f>INDEX(FX!$A$3:$C$362,MATCH(B210,FX!$A$3:$A$362,0),MATCH("Monthly Curve",FX!$A$2:$C$2,0))</f>
        <v>1.26193993124099</v>
      </c>
      <c r="L210" s="572"/>
      <c r="M210" s="724"/>
      <c r="N210" s="746"/>
      <c r="O210" s="877">
        <v>0.1</v>
      </c>
      <c r="P210" s="797">
        <f t="shared" si="147"/>
        <v>0.1</v>
      </c>
      <c r="Q210" s="732">
        <f t="shared" si="148"/>
        <v>0.1</v>
      </c>
      <c r="R210" s="723">
        <f>IF(A210="January",(R209+R209*Assumptions!$E$32),R209)</f>
        <v>0.41228287273014913</v>
      </c>
      <c r="S210" s="730">
        <f t="shared" si="149"/>
        <v>0.53847686585424814</v>
      </c>
      <c r="T210" s="572"/>
      <c r="U210" s="507"/>
      <c r="V210" s="583"/>
      <c r="W210" s="583"/>
      <c r="X210" s="587"/>
      <c r="Y210" s="588">
        <f>Tables!$D$36</f>
        <v>312</v>
      </c>
      <c r="Z210" s="570">
        <f t="shared" si="150"/>
        <v>0</v>
      </c>
      <c r="AA210" s="592">
        <f t="shared" si="151"/>
        <v>0</v>
      </c>
      <c r="AB210" s="589">
        <f t="shared" si="146"/>
        <v>0</v>
      </c>
      <c r="AC210" s="462"/>
      <c r="AD210" s="1027">
        <f>IF(Tables!$E$30="Michigan",INDEX('Michigan Curve'!$A$4:$S$256,MATCH('Monthly Table'!B210,'Michigan Curve'!$A$4:$A$256,0),MATCH("Michigan Selected Option Value US$/month",'Michigan Curve'!$A$4:$S$4,0)),INDEX('NY Curve'!$A$4:$T$256,MATCH('Monthly Table'!B210,'NY Curve'!$A$4:$A$256,0),MATCH("New York Selected Option Value US$/month",'NY Curve'!$A$4:$T$4,0)))</f>
        <v>0</v>
      </c>
      <c r="AE210" s="601">
        <f t="shared" si="165"/>
        <v>0</v>
      </c>
      <c r="AF210" s="462"/>
      <c r="AG210" s="915"/>
      <c r="AH210" s="17"/>
      <c r="AI210" s="799">
        <f>Assumptions!$B$50</f>
        <v>65</v>
      </c>
      <c r="AJ210" s="743"/>
      <c r="AK210" s="924">
        <f>IF(Tables!$E$30="Custom",'Monthly Table'!AI210,IF(Tables!$E$30="New York",INDEX('NY Curve'!$A$4:$G$256,MATCH('Monthly Table'!B210,'NY Curve'!$A$4:$A$256,0),MATCH("Super Peak Curve",'NY Curve'!$A$4:$G$4,0)),IF(Tables!$E$30="New York Flat",INDEX('NY Curve'!$A$4:$G$256,MATCH('Monthly Table'!B210,'NY Curve'!$A$4:$A$256,0),MATCH("Flat NY West",'NY Curve'!$A$4:$G$4,0)),INDEX('Michigan Curve'!$A$4:$F$256,MATCH('Monthly Table'!B210,'Michigan Curve'!$A$4:$A$256,0),MATCH("Michigan Super Peak Curve US$/MWhr",'Michigan Curve'!$A$4:$F$4,0)))))</f>
        <v>183.17386097166715</v>
      </c>
      <c r="AL210" s="965">
        <f>IF(D210&lt;=Tables!$B$21,IF($AL$10=$AI$10,AI210,IF($AL$10=$AJ$10,AJ210,IF($AL$10=$AK$10,AK210,0))),0)</f>
        <v>0</v>
      </c>
      <c r="AM210" s="708">
        <f t="shared" si="166"/>
        <v>0</v>
      </c>
      <c r="AN210" s="916">
        <f t="shared" si="167"/>
        <v>0</v>
      </c>
      <c r="AO210" s="905"/>
      <c r="AP210" s="925"/>
      <c r="AQ210" s="926">
        <f>IF(Tables!$E$30="New York",INDEX('NY Curve'!$A$4:$L$256,MATCH('Monthly Table'!B210,'NY Curve'!$A$4:$A$256,0),MATCH("New York Shoulder Hour Curve Mon-Fri",'NY Curve'!$A$4:$L$4,0)),IF(Tables!$E$30="Michigan",INDEX('Michigan Curve'!$A$4:$K$256,MATCH('Monthly Table'!B210,'Michigan Curve'!$A$4:$A$256,0),MATCH("Michigan Shoulder Hour Curve Mon-Fri",'Michigan Curve'!$A$4:$K$4,0))))</f>
        <v>30.82613902833285</v>
      </c>
      <c r="AR210" s="708">
        <f t="shared" si="168"/>
        <v>38.900735765839556</v>
      </c>
      <c r="AS210" s="927">
        <f t="shared" si="157"/>
        <v>1</v>
      </c>
      <c r="AU210" s="926">
        <f>IF(Tables!$E$30="New York",INDEX('NY Curve'!$A$4:$L$256,MATCH('Monthly Table'!$B210,'NY Curve'!$A$4:$A$256,0),MATCH("New York Saturday Super Peak",'NY Curve'!$A$4:$L$4,0)),IF(Tables!$E$30="Michigan",INDEX('Michigan Curve'!$A$4:$K$256,MATCH('Monthly Table'!$B210,'Michigan Curve'!$A$4:$A$256,0),MATCH("Michigan Saturday Super Peak",'Michigan Curve'!$A$4:$K$4,0))))</f>
        <v>59.916690025805387</v>
      </c>
      <c r="AV210" s="925">
        <f t="shared" si="158"/>
        <v>75.611263691352562</v>
      </c>
      <c r="AW210" s="927">
        <f>IF(Tables!$B$21=15,0,IF(AV210&gt;($CP210+$BF$4),1,0))</f>
        <v>0</v>
      </c>
      <c r="AX210" s="926">
        <f>IF(Tables!$E$30="New York",INDEX('NY Curve'!$A$4:$L$256,MATCH('Monthly Table'!$B210,'NY Curve'!$A$4:$A$256,0),MATCH("New York Saturday Shoulder Peak",'NY Curve'!$A$4:$L$4,0)),IF(Tables!$E$30="Michigan",INDEX('Michigan Curve'!$A$4:$K$256,MATCH('Monthly Table'!$B210,'Michigan Curve'!$A$4:$A$256,0),MATCH("Michigan Saturday Shoulder Peak",'Michigan Curve'!$A$4:$K$4,0))))</f>
        <v>10.083317603589141</v>
      </c>
      <c r="AY210" s="934">
        <f t="shared" si="169"/>
        <v>12.724541123354344</v>
      </c>
      <c r="AZ210" s="927">
        <f>IF(Tables!$B$21=15,0,IF(AY210&gt;($CP210+$BF$4),1,0))</f>
        <v>0</v>
      </c>
      <c r="BB210" s="926">
        <f>IF(Tables!$E$30="New York",INDEX('NY Curve'!$A$4:$M$256,MATCH('Monthly Table'!$B210,'NY Curve'!$A$4:$A$256,0),MATCH("NY Sunday Super Peak",'NY Curve'!$A$4:$M$4,0)),IF(Tables!$E$30="Michigan",INDEX('Michigan Curve'!$A$4:$L$256,MATCH('Monthly Table'!$B210,'Michigan Curve'!$A$4:$A$256,0),MATCH("Michigan Sunday Super Peak",'Michigan Curve'!$A$4:$L$4,0))))</f>
        <v>53.069062524501696</v>
      </c>
      <c r="BC210" s="925">
        <f t="shared" si="170"/>
        <v>66.969969113193471</v>
      </c>
      <c r="BD210" s="927">
        <f t="shared" si="159"/>
        <v>1</v>
      </c>
      <c r="BF210" s="598">
        <f t="shared" si="152"/>
        <v>42948</v>
      </c>
      <c r="BG210" s="583">
        <f t="shared" si="171"/>
        <v>0</v>
      </c>
      <c r="BH210" s="764">
        <f>IF(Tables!$B$36="Combined Cycle",(BF210-BF209)*24*Assumptions!$B$21,0)</f>
        <v>0</v>
      </c>
      <c r="BI210" s="315">
        <f t="shared" si="172"/>
        <v>0</v>
      </c>
      <c r="BJ210" s="987">
        <f>IF('Monthly Table'!D210&lt;=Tables!$B$21,IF($BJ$10=$BG$10,BG210,IF($BJ$10=$BH$10,BH210,IF($BJ$10=$BI$10,BI210,0))),0)</f>
        <v>0</v>
      </c>
      <c r="BK210" s="43"/>
      <c r="BL210" s="987">
        <f t="shared" si="173"/>
        <v>0</v>
      </c>
      <c r="BM210" s="987">
        <f t="shared" si="174"/>
        <v>32</v>
      </c>
      <c r="BO210" s="987">
        <f t="shared" si="160"/>
        <v>0</v>
      </c>
      <c r="BP210" s="987">
        <f t="shared" si="175"/>
        <v>0</v>
      </c>
      <c r="BR210" s="993">
        <f>IF(BJ210&gt;0,INDEX(OperationalDetail,MATCH("Capacity Degradation",ODColumn,0),MATCH('Monthly Table'!C210,ODRow,0)),0)</f>
        <v>0</v>
      </c>
      <c r="BS210" s="994">
        <f>BJ210*(1-BR210)*Tables!$C$36</f>
        <v>0</v>
      </c>
      <c r="BT210" s="601">
        <f t="shared" si="161"/>
        <v>0</v>
      </c>
      <c r="BU210" s="601">
        <f t="shared" si="162"/>
        <v>0</v>
      </c>
      <c r="BV210" s="462"/>
      <c r="BW210" s="785">
        <f>$BO210*(1-$BR210)*Tables!$C$36</f>
        <v>0</v>
      </c>
      <c r="BX210" s="602">
        <f t="shared" si="176"/>
        <v>0</v>
      </c>
      <c r="BY210" s="601">
        <f t="shared" si="177"/>
        <v>0</v>
      </c>
      <c r="BZ210" s="462"/>
      <c r="CA210" s="785">
        <f>$BL210*(1-$BR210)*Tables!$C$36</f>
        <v>0</v>
      </c>
      <c r="CB210" s="602">
        <f t="shared" si="178"/>
        <v>0</v>
      </c>
      <c r="CC210" s="601">
        <f t="shared" si="179"/>
        <v>0</v>
      </c>
      <c r="CD210" s="785">
        <f>$BP210*(1-$BR210)*Tables!$C$36</f>
        <v>0</v>
      </c>
      <c r="CE210" s="602">
        <f t="shared" si="180"/>
        <v>0</v>
      </c>
      <c r="CF210" s="601">
        <f t="shared" si="181"/>
        <v>0</v>
      </c>
      <c r="CH210" s="785">
        <f>$BM210*(1-$BR210)*Tables!$C$36</f>
        <v>10368</v>
      </c>
      <c r="CI210" s="602">
        <f t="shared" si="182"/>
        <v>550.22004025403362</v>
      </c>
      <c r="CJ210" s="601">
        <f t="shared" si="183"/>
        <v>694.34463976558993</v>
      </c>
      <c r="CK210" s="304"/>
      <c r="CL210" s="304">
        <f t="shared" si="184"/>
        <v>2016</v>
      </c>
      <c r="CM210" s="1018">
        <f>INDEX(OperationalDetail,MATCH("Degraded Heat Rate",ODColumn,0),MATCH('Monthly Table'!CL210,ODRow,0))/1000</f>
        <v>11.96</v>
      </c>
      <c r="CN210" s="737">
        <f t="shared" si="163"/>
        <v>6.4401833156168085</v>
      </c>
      <c r="CO210" s="1019">
        <f>IF(A210="January",(CO209*(1+Assumptions!$E$32)),CO209)</f>
        <v>9.2465697148509598</v>
      </c>
      <c r="CP210" s="741">
        <f t="shared" si="153"/>
        <v>15.686753030467768</v>
      </c>
      <c r="CQ210" s="304"/>
      <c r="CR210" s="575" t="str">
        <f t="shared" si="185"/>
        <v/>
      </c>
      <c r="CS210" s="575" t="str">
        <f t="shared" si="186"/>
        <v/>
      </c>
      <c r="CT210" s="575" t="str">
        <f t="shared" si="187"/>
        <v/>
      </c>
      <c r="CU210" s="575" t="str">
        <f t="shared" si="188"/>
        <v/>
      </c>
      <c r="CV210" s="575">
        <f t="shared" si="189"/>
        <v>2017</v>
      </c>
      <c r="CW210" s="576">
        <f t="shared" si="154"/>
        <v>2017</v>
      </c>
      <c r="CX210" s="787">
        <f>INDEX('NY Curve'!$A$4:$G$256,MATCH('Monthly Table'!B210,'NY Curve'!$A$4:$A$256,0),MATCH("New York 5 X 16",'NY Curve'!$A$4:$G$4,0))</f>
        <v>84.5</v>
      </c>
      <c r="CY210" s="632">
        <f t="shared" si="155"/>
        <v>1.26193993124099</v>
      </c>
      <c r="CZ210" s="633">
        <f t="shared" si="156"/>
        <v>106.63392418986366</v>
      </c>
      <c r="DB210" s="857"/>
      <c r="DC210" s="857"/>
    </row>
    <row r="211" spans="1:107" ht="18.75" customHeight="1">
      <c r="A211" s="17" t="s">
        <v>445</v>
      </c>
      <c r="B211" s="508">
        <v>42979</v>
      </c>
      <c r="C211" s="43">
        <f t="shared" si="145"/>
        <v>2017</v>
      </c>
      <c r="D211" s="719">
        <f t="shared" si="190"/>
        <v>17</v>
      </c>
      <c r="E211" s="972">
        <v>20</v>
      </c>
      <c r="F211" s="971">
        <v>5</v>
      </c>
      <c r="G211" s="971">
        <v>4</v>
      </c>
      <c r="H211" s="971">
        <v>1</v>
      </c>
      <c r="I211" s="976">
        <f t="shared" si="164"/>
        <v>30</v>
      </c>
      <c r="J211" s="621"/>
      <c r="K211" s="572">
        <f>INDEX(FX!$A$3:$C$362,MATCH(B211,FX!$A$3:$A$362,0),MATCH("Monthly Curve",FX!$A$2:$C$2,0))</f>
        <v>1.26136246835609</v>
      </c>
      <c r="L211" s="572"/>
      <c r="M211" s="724"/>
      <c r="N211" s="746"/>
      <c r="O211" s="877">
        <v>0.1</v>
      </c>
      <c r="P211" s="797">
        <f t="shared" si="147"/>
        <v>0.1</v>
      </c>
      <c r="Q211" s="732">
        <f t="shared" si="148"/>
        <v>0.1</v>
      </c>
      <c r="R211" s="723">
        <f>IF(A211="January",(R210+R210*Assumptions!$E$32),R210)</f>
        <v>0.41228287273014913</v>
      </c>
      <c r="S211" s="730">
        <f t="shared" si="149"/>
        <v>0.53841911956575816</v>
      </c>
      <c r="T211" s="572"/>
      <c r="U211" s="507"/>
      <c r="V211" s="583"/>
      <c r="W211" s="583"/>
      <c r="X211" s="587"/>
      <c r="Y211" s="588">
        <f>Tables!$D$36</f>
        <v>312</v>
      </c>
      <c r="Z211" s="570">
        <f t="shared" si="150"/>
        <v>0</v>
      </c>
      <c r="AA211" s="592">
        <f t="shared" si="151"/>
        <v>0</v>
      </c>
      <c r="AB211" s="589">
        <f t="shared" si="146"/>
        <v>0</v>
      </c>
      <c r="AC211" s="462"/>
      <c r="AD211" s="1027">
        <f>IF(Tables!$E$30="Michigan",INDEX('Michigan Curve'!$A$4:$S$256,MATCH('Monthly Table'!B211,'Michigan Curve'!$A$4:$A$256,0),MATCH("Michigan Selected Option Value US$/month",'Michigan Curve'!$A$4:$S$4,0)),INDEX('NY Curve'!$A$4:$T$256,MATCH('Monthly Table'!B211,'NY Curve'!$A$4:$A$256,0),MATCH("New York Selected Option Value US$/month",'NY Curve'!$A$4:$T$4,0)))</f>
        <v>0</v>
      </c>
      <c r="AE211" s="601">
        <f t="shared" si="165"/>
        <v>0</v>
      </c>
      <c r="AF211" s="462"/>
      <c r="AG211" s="915"/>
      <c r="AH211" s="17"/>
      <c r="AI211" s="799">
        <f>Assumptions!$B$50</f>
        <v>65</v>
      </c>
      <c r="AJ211" s="743"/>
      <c r="AK211" s="924">
        <f>IF(Tables!$E$30="Custom",'Monthly Table'!AI211,IF(Tables!$E$30="New York",INDEX('NY Curve'!$A$4:$G$256,MATCH('Monthly Table'!B211,'NY Curve'!$A$4:$A$256,0),MATCH("Super Peak Curve",'NY Curve'!$A$4:$G$4,0)),IF(Tables!$E$30="New York Flat",INDEX('NY Curve'!$A$4:$G$256,MATCH('Monthly Table'!B211,'NY Curve'!$A$4:$A$256,0),MATCH("Flat NY West",'NY Curve'!$A$4:$G$4,0)),INDEX('Michigan Curve'!$A$4:$F$256,MATCH('Monthly Table'!B211,'Michigan Curve'!$A$4:$A$256,0),MATCH("Michigan Super Peak Curve US$/MWhr",'Michigan Curve'!$A$4:$F$4,0)))))</f>
        <v>51.68531222641468</v>
      </c>
      <c r="AL211" s="965">
        <f>IF(D211&lt;=Tables!$B$21,IF($AL$10=$AI$10,AI211,IF($AL$10=$AJ$10,AJ211,IF($AL$10=$AK$10,AK211,0))),0)</f>
        <v>0</v>
      </c>
      <c r="AM211" s="708">
        <f t="shared" si="166"/>
        <v>0</v>
      </c>
      <c r="AN211" s="916">
        <f t="shared" si="167"/>
        <v>0</v>
      </c>
      <c r="AO211" s="905"/>
      <c r="AP211" s="925"/>
      <c r="AQ211" s="926">
        <f>IF(Tables!$E$30="New York",INDEX('NY Curve'!$A$4:$L$256,MATCH('Monthly Table'!B211,'NY Curve'!$A$4:$A$256,0),MATCH("New York Shoulder Hour Curve Mon-Fri",'NY Curve'!$A$4:$L$4,0)),IF(Tables!$E$30="Michigan",INDEX('Michigan Curve'!$A$4:$K$256,MATCH('Monthly Table'!B211,'Michigan Curve'!$A$4:$A$256,0),MATCH("Michigan Shoulder Hour Curve Mon-Fri",'Michigan Curve'!$A$4:$K$4,0))))</f>
        <v>24.81468777358532</v>
      </c>
      <c r="AR211" s="708">
        <f t="shared" si="168"/>
        <v>31.300315821575268</v>
      </c>
      <c r="AS211" s="927">
        <f t="shared" si="157"/>
        <v>1</v>
      </c>
      <c r="AU211" s="926">
        <f>IF(Tables!$E$30="New York",INDEX('NY Curve'!$A$4:$L$256,MATCH('Monthly Table'!$B211,'NY Curve'!$A$4:$A$256,0),MATCH("New York Saturday Super Peak",'NY Curve'!$A$4:$L$4,0)),IF(Tables!$E$30="Michigan",INDEX('Michigan Curve'!$A$4:$K$256,MATCH('Monthly Table'!$B211,'Michigan Curve'!$A$4:$A$256,0),MATCH("Michigan Saturday Super Peak",'Michigan Curve'!$A$4:$K$4,0))))</f>
        <v>33.781249821186066</v>
      </c>
      <c r="AV211" s="925">
        <f t="shared" si="158"/>
        <v>42.610400658604981</v>
      </c>
      <c r="AW211" s="927">
        <f>IF(Tables!$B$21=15,0,IF(AV211&gt;($CP211+$BF$4),1,0))</f>
        <v>0</v>
      </c>
      <c r="AX211" s="926">
        <f>IF(Tables!$E$30="New York",INDEX('NY Curve'!$A$4:$L$256,MATCH('Monthly Table'!$B211,'NY Curve'!$A$4:$A$256,0),MATCH("New York Saturday Shoulder Peak",'NY Curve'!$A$4:$L$4,0)),IF(Tables!$E$30="Michigan",INDEX('Michigan Curve'!$A$4:$K$256,MATCH('Monthly Table'!$B211,'Michigan Curve'!$A$4:$A$256,0),MATCH("Michigan Saturday Shoulder Peak",'Michigan Curve'!$A$4:$K$4,0))))</f>
        <v>16.218750178813934</v>
      </c>
      <c r="AY211" s="934">
        <f t="shared" si="169"/>
        <v>20.45772275919952</v>
      </c>
      <c r="AZ211" s="927">
        <f>IF(Tables!$B$21=15,0,IF(AY211&gt;($CP211+$BF$4),1,0))</f>
        <v>0</v>
      </c>
      <c r="BB211" s="926">
        <f>IF(Tables!$E$30="New York",INDEX('NY Curve'!$A$4:$M$256,MATCH('Monthly Table'!$B211,'NY Curve'!$A$4:$A$256,0),MATCH("NY Sunday Super Peak",'NY Curve'!$A$4:$M$4,0)),IF(Tables!$E$30="Michigan",INDEX('Michigan Curve'!$A$4:$L$256,MATCH('Monthly Table'!$B211,'Michigan Curve'!$A$4:$A$256,0),MATCH("Michigan Sunday Super Peak",'Michigan Curve'!$A$4:$L$4,0))))</f>
        <v>32.429999828338623</v>
      </c>
      <c r="BC211" s="925">
        <f t="shared" si="170"/>
        <v>40.905984632260783</v>
      </c>
      <c r="BD211" s="927">
        <f t="shared" si="159"/>
        <v>1</v>
      </c>
      <c r="BF211" s="598">
        <f t="shared" si="152"/>
        <v>42979</v>
      </c>
      <c r="BG211" s="583">
        <f t="shared" si="171"/>
        <v>0</v>
      </c>
      <c r="BH211" s="764">
        <f>IF(Tables!$B$36="Combined Cycle",(BF211-BF210)*24*Assumptions!$B$21,0)</f>
        <v>0</v>
      </c>
      <c r="BI211" s="315">
        <f t="shared" si="172"/>
        <v>0</v>
      </c>
      <c r="BJ211" s="987">
        <f>IF('Monthly Table'!D211&lt;=Tables!$B$21,IF($BJ$10=$BG$10,BG211,IF($BJ$10=$BH$10,BH211,IF($BJ$10=$BI$10,BI211,0))),0)</f>
        <v>0</v>
      </c>
      <c r="BK211" s="43"/>
      <c r="BL211" s="987">
        <f t="shared" si="173"/>
        <v>0</v>
      </c>
      <c r="BM211" s="987">
        <f t="shared" si="174"/>
        <v>40</v>
      </c>
      <c r="BO211" s="987">
        <f t="shared" si="160"/>
        <v>0</v>
      </c>
      <c r="BP211" s="987">
        <f t="shared" si="175"/>
        <v>0</v>
      </c>
      <c r="BR211" s="993">
        <f>IF(BJ211&gt;0,INDEX(OperationalDetail,MATCH("Capacity Degradation",ODColumn,0),MATCH('Monthly Table'!C211,ODRow,0)),0)</f>
        <v>0</v>
      </c>
      <c r="BS211" s="994">
        <f>BJ211*(1-BR211)*Tables!$C$36</f>
        <v>0</v>
      </c>
      <c r="BT211" s="601">
        <f t="shared" si="161"/>
        <v>0</v>
      </c>
      <c r="BU211" s="601">
        <f t="shared" si="162"/>
        <v>0</v>
      </c>
      <c r="BV211" s="462"/>
      <c r="BW211" s="785">
        <f>$BO211*(1-$BR211)*Tables!$C$36</f>
        <v>0</v>
      </c>
      <c r="BX211" s="602">
        <f t="shared" si="176"/>
        <v>0</v>
      </c>
      <c r="BY211" s="601">
        <f t="shared" si="177"/>
        <v>0</v>
      </c>
      <c r="BZ211" s="462"/>
      <c r="CA211" s="785">
        <f>$BL211*(1-$BR211)*Tables!$C$36</f>
        <v>0</v>
      </c>
      <c r="CB211" s="602">
        <f t="shared" si="178"/>
        <v>0</v>
      </c>
      <c r="CC211" s="601">
        <f t="shared" si="179"/>
        <v>0</v>
      </c>
      <c r="CD211" s="785">
        <f>$BP211*(1-$BR211)*Tables!$C$36</f>
        <v>0</v>
      </c>
      <c r="CE211" s="602">
        <f t="shared" si="180"/>
        <v>0</v>
      </c>
      <c r="CF211" s="601">
        <f t="shared" si="181"/>
        <v>0</v>
      </c>
      <c r="CH211" s="785">
        <f>$BM211*(1-$BR211)*Tables!$C$36</f>
        <v>12960</v>
      </c>
      <c r="CI211" s="602">
        <f t="shared" si="182"/>
        <v>420.29279777526858</v>
      </c>
      <c r="CJ211" s="601">
        <f t="shared" si="183"/>
        <v>530.14156083409978</v>
      </c>
      <c r="CK211" s="304"/>
      <c r="CL211" s="304">
        <f t="shared" si="184"/>
        <v>2016</v>
      </c>
      <c r="CM211" s="1018">
        <f>INDEX(OperationalDetail,MATCH("Degraded Heat Rate",ODColumn,0),MATCH('Monthly Table'!CL211,ODRow,0))/1000</f>
        <v>11.96</v>
      </c>
      <c r="CN211" s="737">
        <f t="shared" si="163"/>
        <v>6.4394926700064685</v>
      </c>
      <c r="CO211" s="1019">
        <f>IF(A211="January",(CO210*(1+Assumptions!$E$32)),CO210)</f>
        <v>9.2465697148509598</v>
      </c>
      <c r="CP211" s="741">
        <f t="shared" si="153"/>
        <v>15.686062384857429</v>
      </c>
      <c r="CQ211" s="304"/>
      <c r="CR211" s="575" t="str">
        <f t="shared" si="185"/>
        <v/>
      </c>
      <c r="CS211" s="575" t="str">
        <f t="shared" si="186"/>
        <v/>
      </c>
      <c r="CT211" s="575" t="str">
        <f t="shared" si="187"/>
        <v/>
      </c>
      <c r="CU211" s="575" t="str">
        <f t="shared" si="188"/>
        <v/>
      </c>
      <c r="CV211" s="575">
        <f t="shared" si="189"/>
        <v>2017</v>
      </c>
      <c r="CW211" s="576">
        <f t="shared" si="154"/>
        <v>2017</v>
      </c>
      <c r="CX211" s="787">
        <f>INDEX('NY Curve'!$A$4:$G$256,MATCH('Monthly Table'!B211,'NY Curve'!$A$4:$A$256,0),MATCH("New York 5 X 16",'NY Curve'!$A$4:$G$4,0))</f>
        <v>32.549999999999997</v>
      </c>
      <c r="CY211" s="632">
        <f t="shared" si="155"/>
        <v>1.26136246835609</v>
      </c>
      <c r="CZ211" s="633">
        <f t="shared" si="156"/>
        <v>41.057348344990729</v>
      </c>
      <c r="DB211" s="857"/>
      <c r="DC211" s="857"/>
    </row>
    <row r="212" spans="1:107" ht="18.75" customHeight="1">
      <c r="A212" s="17" t="s">
        <v>446</v>
      </c>
      <c r="B212" s="508">
        <v>43009</v>
      </c>
      <c r="C212" s="43">
        <f t="shared" si="145"/>
        <v>2017</v>
      </c>
      <c r="D212" s="719">
        <f t="shared" si="190"/>
        <v>17</v>
      </c>
      <c r="E212" s="972">
        <v>22</v>
      </c>
      <c r="F212" s="971">
        <v>4</v>
      </c>
      <c r="G212" s="971">
        <v>5</v>
      </c>
      <c r="H212" s="971">
        <v>0</v>
      </c>
      <c r="I212" s="976">
        <f t="shared" si="164"/>
        <v>31</v>
      </c>
      <c r="J212" s="621"/>
      <c r="K212" s="572">
        <f>INDEX(FX!$A$3:$C$362,MATCH(B212,FX!$A$3:$A$362,0),MATCH("Monthly Curve",FX!$A$2:$C$2,0))</f>
        <v>1.2608065937925099</v>
      </c>
      <c r="L212" s="572"/>
      <c r="M212" s="724"/>
      <c r="N212" s="746"/>
      <c r="O212" s="877">
        <v>0.1</v>
      </c>
      <c r="P212" s="797">
        <f t="shared" si="147"/>
        <v>0.1</v>
      </c>
      <c r="Q212" s="732">
        <f t="shared" si="148"/>
        <v>0.1</v>
      </c>
      <c r="R212" s="723">
        <f>IF(A212="January",(R211+R211*Assumptions!$E$32),R211)</f>
        <v>0.41228287273014913</v>
      </c>
      <c r="S212" s="730">
        <f t="shared" si="149"/>
        <v>0.53836353210940013</v>
      </c>
      <c r="T212" s="572"/>
      <c r="U212" s="507"/>
      <c r="V212" s="583"/>
      <c r="W212" s="583"/>
      <c r="X212" s="587"/>
      <c r="Y212" s="588">
        <f>Tables!$D$36</f>
        <v>312</v>
      </c>
      <c r="Z212" s="570">
        <f t="shared" si="150"/>
        <v>0</v>
      </c>
      <c r="AA212" s="592">
        <f t="shared" si="151"/>
        <v>0</v>
      </c>
      <c r="AB212" s="589">
        <f t="shared" si="146"/>
        <v>0</v>
      </c>
      <c r="AC212" s="462"/>
      <c r="AD212" s="1027">
        <f>IF(Tables!$E$30="Michigan",INDEX('Michigan Curve'!$A$4:$S$256,MATCH('Monthly Table'!B212,'Michigan Curve'!$A$4:$A$256,0),MATCH("Michigan Selected Option Value US$/month",'Michigan Curve'!$A$4:$S$4,0)),INDEX('NY Curve'!$A$4:$T$256,MATCH('Monthly Table'!B212,'NY Curve'!$A$4:$A$256,0),MATCH("New York Selected Option Value US$/month",'NY Curve'!$A$4:$T$4,0)))</f>
        <v>0</v>
      </c>
      <c r="AE212" s="601">
        <f t="shared" si="165"/>
        <v>0</v>
      </c>
      <c r="AF212" s="462"/>
      <c r="AG212" s="915"/>
      <c r="AH212" s="17"/>
      <c r="AI212" s="799">
        <f>Assumptions!$B$50</f>
        <v>65</v>
      </c>
      <c r="AJ212" s="743"/>
      <c r="AK212" s="924">
        <f>IF(Tables!$E$30="Custom",'Monthly Table'!AI212,IF(Tables!$E$30="New York",INDEX('NY Curve'!$A$4:$G$256,MATCH('Monthly Table'!B212,'NY Curve'!$A$4:$A$256,0),MATCH("Super Peak Curve",'NY Curve'!$A$4:$G$4,0)),IF(Tables!$E$30="New York Flat",INDEX('NY Curve'!$A$4:$G$256,MATCH('Monthly Table'!B212,'NY Curve'!$A$4:$A$256,0),MATCH("Flat NY West",'NY Curve'!$A$4:$G$4,0)),INDEX('Michigan Curve'!$A$4:$F$256,MATCH('Monthly Table'!B212,'Michigan Curve'!$A$4:$A$256,0),MATCH("Michigan Super Peak Curve US$/MWhr",'Michigan Curve'!$A$4:$F$4,0)))))</f>
        <v>31.349994659423828</v>
      </c>
      <c r="AL212" s="965">
        <f>IF(D212&lt;=Tables!$B$21,IF($AL$10=$AI$10,AI212,IF($AL$10=$AJ$10,AJ212,IF($AL$10=$AK$10,AK212,0))),0)</f>
        <v>0</v>
      </c>
      <c r="AM212" s="708">
        <f t="shared" si="166"/>
        <v>0</v>
      </c>
      <c r="AN212" s="916">
        <f t="shared" si="167"/>
        <v>0</v>
      </c>
      <c r="AO212" s="905"/>
      <c r="AP212" s="925"/>
      <c r="AQ212" s="926">
        <f>IF(Tables!$E$30="New York",INDEX('NY Curve'!$A$4:$L$256,MATCH('Monthly Table'!B212,'NY Curve'!$A$4:$A$256,0),MATCH("New York Shoulder Hour Curve Mon-Fri",'NY Curve'!$A$4:$L$4,0)),IF(Tables!$E$30="Michigan",INDEX('Michigan Curve'!$A$4:$K$256,MATCH('Monthly Table'!B212,'Michigan Curve'!$A$4:$A$256,0),MATCH("Michigan Shoulder Hour Curve Mon-Fri",'Michigan Curve'!$A$4:$K$4,0))))</f>
        <v>31.349994659423828</v>
      </c>
      <c r="AR212" s="708">
        <f t="shared" si="168"/>
        <v>39.526279981961537</v>
      </c>
      <c r="AS212" s="927">
        <f t="shared" si="157"/>
        <v>1</v>
      </c>
      <c r="AU212" s="926">
        <f>IF(Tables!$E$30="New York",INDEX('NY Curve'!$A$4:$L$256,MATCH('Monthly Table'!$B212,'NY Curve'!$A$4:$A$256,0),MATCH("New York Saturday Super Peak",'NY Curve'!$A$4:$L$4,0)),IF(Tables!$E$30="Michigan",INDEX('Michigan Curve'!$A$4:$K$256,MATCH('Monthly Table'!$B212,'Michigan Curve'!$A$4:$A$256,0),MATCH("Michigan Saturday Super Peak",'Michigan Curve'!$A$4:$K$4,0))))</f>
        <v>19.996000289916992</v>
      </c>
      <c r="AV212" s="925">
        <f t="shared" si="158"/>
        <v>25.211089015004283</v>
      </c>
      <c r="AW212" s="927">
        <f>IF(Tables!$B$21=15,0,IF(AV212&gt;($CP212+$BF$4),1,0))</f>
        <v>0</v>
      </c>
      <c r="AX212" s="926">
        <f>IF(Tables!$E$30="New York",INDEX('NY Curve'!$A$4:$L$256,MATCH('Monthly Table'!$B212,'NY Curve'!$A$4:$A$256,0),MATCH("New York Saturday Shoulder Peak",'NY Curve'!$A$4:$L$4,0)),IF(Tables!$E$30="Michigan",INDEX('Michigan Curve'!$A$4:$K$256,MATCH('Monthly Table'!$B212,'Michigan Curve'!$A$4:$A$256,0),MATCH("Michigan Saturday Shoulder Peak",'Michigan Curve'!$A$4:$K$4,0))))</f>
        <v>19.996000289916992</v>
      </c>
      <c r="AY212" s="934">
        <f t="shared" si="169"/>
        <v>25.211089015004283</v>
      </c>
      <c r="AZ212" s="927">
        <f>IF(Tables!$B$21=15,0,IF(AY212&gt;($CP212+$BF$4),1,0))</f>
        <v>0</v>
      </c>
      <c r="BB212" s="926">
        <f>IF(Tables!$E$30="New York",INDEX('NY Curve'!$A$4:$M$256,MATCH('Monthly Table'!$B212,'NY Curve'!$A$4:$A$256,0),MATCH("NY Sunday Super Peak",'NY Curve'!$A$4:$M$4,0)),IF(Tables!$E$30="Michigan",INDEX('Michigan Curve'!$A$4:$L$256,MATCH('Monthly Table'!$B212,'Michigan Curve'!$A$4:$A$256,0),MATCH("Michigan Sunday Super Peak",'Michigan Curve'!$A$4:$L$4,0))))</f>
        <v>18.996500015258789</v>
      </c>
      <c r="BC212" s="925">
        <f t="shared" si="170"/>
        <v>23.950912478217795</v>
      </c>
      <c r="BD212" s="927">
        <f t="shared" si="159"/>
        <v>1</v>
      </c>
      <c r="BF212" s="598">
        <f t="shared" si="152"/>
        <v>43009</v>
      </c>
      <c r="BG212" s="583">
        <f t="shared" si="171"/>
        <v>0</v>
      </c>
      <c r="BH212" s="764">
        <f>IF(Tables!$B$36="Combined Cycle",(BF212-BF211)*24*Assumptions!$B$21,0)</f>
        <v>0</v>
      </c>
      <c r="BI212" s="315">
        <f t="shared" si="172"/>
        <v>0</v>
      </c>
      <c r="BJ212" s="987">
        <f>IF('Monthly Table'!D212&lt;=Tables!$B$21,IF($BJ$10=$BG$10,BG212,IF($BJ$10=$BH$10,BH212,IF($BJ$10=$BI$10,BI212,0))),0)</f>
        <v>0</v>
      </c>
      <c r="BK212" s="43"/>
      <c r="BL212" s="987">
        <f t="shared" si="173"/>
        <v>0</v>
      </c>
      <c r="BM212" s="987">
        <f t="shared" si="174"/>
        <v>40</v>
      </c>
      <c r="BO212" s="987">
        <f t="shared" si="160"/>
        <v>0</v>
      </c>
      <c r="BP212" s="987">
        <f t="shared" si="175"/>
        <v>0</v>
      </c>
      <c r="BR212" s="993">
        <f>IF(BJ212&gt;0,INDEX(OperationalDetail,MATCH("Capacity Degradation",ODColumn,0),MATCH('Monthly Table'!C212,ODRow,0)),0)</f>
        <v>0</v>
      </c>
      <c r="BS212" s="994">
        <f>BJ212*(1-BR212)*Tables!$C$36</f>
        <v>0</v>
      </c>
      <c r="BT212" s="601">
        <f t="shared" si="161"/>
        <v>0</v>
      </c>
      <c r="BU212" s="601">
        <f t="shared" si="162"/>
        <v>0</v>
      </c>
      <c r="BV212" s="462"/>
      <c r="BW212" s="785">
        <f>$BO212*(1-$BR212)*Tables!$C$36</f>
        <v>0</v>
      </c>
      <c r="BX212" s="602">
        <f t="shared" si="176"/>
        <v>0</v>
      </c>
      <c r="BY212" s="601">
        <f t="shared" si="177"/>
        <v>0</v>
      </c>
      <c r="BZ212" s="462"/>
      <c r="CA212" s="785">
        <f>$BL212*(1-$BR212)*Tables!$C$36</f>
        <v>0</v>
      </c>
      <c r="CB212" s="602">
        <f t="shared" si="178"/>
        <v>0</v>
      </c>
      <c r="CC212" s="601">
        <f t="shared" si="179"/>
        <v>0</v>
      </c>
      <c r="CD212" s="785">
        <f>$BP212*(1-$BR212)*Tables!$C$36</f>
        <v>0</v>
      </c>
      <c r="CE212" s="602">
        <f t="shared" si="180"/>
        <v>0</v>
      </c>
      <c r="CF212" s="601">
        <f t="shared" si="181"/>
        <v>0</v>
      </c>
      <c r="CH212" s="785">
        <f>$BM212*(1-$BR212)*Tables!$C$36</f>
        <v>12960</v>
      </c>
      <c r="CI212" s="602">
        <f t="shared" si="182"/>
        <v>246.1946401977539</v>
      </c>
      <c r="CJ212" s="601">
        <f t="shared" si="183"/>
        <v>310.40382571770266</v>
      </c>
      <c r="CK212" s="304"/>
      <c r="CL212" s="304">
        <f t="shared" si="184"/>
        <v>2016</v>
      </c>
      <c r="CM212" s="1018">
        <f>INDEX(OperationalDetail,MATCH("Degraded Heat Rate",ODColumn,0),MATCH('Monthly Table'!CL212,ODRow,0))/1000</f>
        <v>11.96</v>
      </c>
      <c r="CN212" s="737">
        <f t="shared" si="163"/>
        <v>6.4388278440284257</v>
      </c>
      <c r="CO212" s="1019">
        <f>IF(A212="January",(CO211*(1+Assumptions!$E$32)),CO211)</f>
        <v>9.2465697148509598</v>
      </c>
      <c r="CP212" s="741">
        <f t="shared" si="153"/>
        <v>15.685397558879385</v>
      </c>
      <c r="CQ212" s="304"/>
      <c r="CR212" s="575" t="str">
        <f t="shared" si="185"/>
        <v/>
      </c>
      <c r="CS212" s="575" t="str">
        <f t="shared" si="186"/>
        <v/>
      </c>
      <c r="CT212" s="575" t="str">
        <f t="shared" si="187"/>
        <v/>
      </c>
      <c r="CU212" s="575" t="str">
        <f t="shared" si="188"/>
        <v/>
      </c>
      <c r="CV212" s="575">
        <f t="shared" si="189"/>
        <v>2017</v>
      </c>
      <c r="CW212" s="576">
        <f t="shared" si="154"/>
        <v>2017</v>
      </c>
      <c r="CX212" s="787">
        <f>INDEX('NY Curve'!$A$4:$G$256,MATCH('Monthly Table'!B212,'NY Curve'!$A$4:$A$256,0),MATCH("New York 5 X 16",'NY Curve'!$A$4:$G$4,0))</f>
        <v>28.3</v>
      </c>
      <c r="CY212" s="632">
        <f t="shared" si="155"/>
        <v>1.2608065937925099</v>
      </c>
      <c r="CZ212" s="633">
        <f t="shared" si="156"/>
        <v>35.680826604328033</v>
      </c>
      <c r="DB212" s="857"/>
      <c r="DC212" s="857"/>
    </row>
    <row r="213" spans="1:107" ht="18.75" customHeight="1">
      <c r="A213" s="17" t="s">
        <v>447</v>
      </c>
      <c r="B213" s="508">
        <v>43040</v>
      </c>
      <c r="C213" s="43">
        <f t="shared" si="145"/>
        <v>2017</v>
      </c>
      <c r="D213" s="719">
        <f t="shared" si="190"/>
        <v>17</v>
      </c>
      <c r="E213" s="972">
        <v>21</v>
      </c>
      <c r="F213" s="971">
        <v>4</v>
      </c>
      <c r="G213" s="971">
        <v>4</v>
      </c>
      <c r="H213" s="971">
        <v>1</v>
      </c>
      <c r="I213" s="976">
        <f t="shared" si="164"/>
        <v>30</v>
      </c>
      <c r="J213" s="621"/>
      <c r="K213" s="572">
        <f>INDEX(FX!$A$3:$C$362,MATCH(B213,FX!$A$3:$A$362,0),MATCH("Monthly Curve",FX!$A$2:$C$2,0))</f>
        <v>1.2602352453196799</v>
      </c>
      <c r="L213" s="572"/>
      <c r="M213" s="724"/>
      <c r="N213" s="746"/>
      <c r="O213" s="877">
        <v>0.1</v>
      </c>
      <c r="P213" s="797">
        <f t="shared" si="147"/>
        <v>0.1</v>
      </c>
      <c r="Q213" s="732">
        <f t="shared" si="148"/>
        <v>0.1</v>
      </c>
      <c r="R213" s="723">
        <f>IF(A213="January",(R212+R212*Assumptions!$E$32),R212)</f>
        <v>0.41228287273014913</v>
      </c>
      <c r="S213" s="730">
        <f t="shared" si="149"/>
        <v>0.53830639726211715</v>
      </c>
      <c r="T213" s="572"/>
      <c r="U213" s="507"/>
      <c r="V213" s="583"/>
      <c r="W213" s="583"/>
      <c r="X213" s="587"/>
      <c r="Y213" s="588">
        <f>Tables!$D$36</f>
        <v>312</v>
      </c>
      <c r="Z213" s="570">
        <f t="shared" si="150"/>
        <v>0</v>
      </c>
      <c r="AA213" s="592">
        <f t="shared" si="151"/>
        <v>0</v>
      </c>
      <c r="AB213" s="589">
        <f t="shared" si="146"/>
        <v>0</v>
      </c>
      <c r="AC213" s="462"/>
      <c r="AD213" s="1027">
        <f>IF(Tables!$E$30="Michigan",INDEX('Michigan Curve'!$A$4:$S$256,MATCH('Monthly Table'!B213,'Michigan Curve'!$A$4:$A$256,0),MATCH("Michigan Selected Option Value US$/month",'Michigan Curve'!$A$4:$S$4,0)),INDEX('NY Curve'!$A$4:$T$256,MATCH('Monthly Table'!B213,'NY Curve'!$A$4:$A$256,0),MATCH("New York Selected Option Value US$/month",'NY Curve'!$A$4:$T$4,0)))</f>
        <v>0</v>
      </c>
      <c r="AE213" s="601">
        <f t="shared" si="165"/>
        <v>0</v>
      </c>
      <c r="AF213" s="462"/>
      <c r="AG213" s="915"/>
      <c r="AH213" s="17"/>
      <c r="AI213" s="799">
        <f>Assumptions!$B$50</f>
        <v>65</v>
      </c>
      <c r="AJ213" s="743"/>
      <c r="AK213" s="924">
        <f>IF(Tables!$E$30="Custom",'Monthly Table'!AI213,IF(Tables!$E$30="New York",INDEX('NY Curve'!$A$4:$G$256,MATCH('Monthly Table'!B213,'NY Curve'!$A$4:$A$256,0),MATCH("Super Peak Curve",'NY Curve'!$A$4:$G$4,0)),IF(Tables!$E$30="New York Flat",INDEX('NY Curve'!$A$4:$G$256,MATCH('Monthly Table'!B213,'NY Curve'!$A$4:$A$256,0),MATCH("Flat NY West",'NY Curve'!$A$4:$G$4,0)),INDEX('Michigan Curve'!$A$4:$F$256,MATCH('Monthly Table'!B213,'Michigan Curve'!$A$4:$A$256,0),MATCH("Michigan Super Peak Curve US$/MWhr",'Michigan Curve'!$A$4:$F$4,0)))))</f>
        <v>33.728395385742189</v>
      </c>
      <c r="AL213" s="965">
        <f>IF(D213&lt;=Tables!$B$21,IF($AL$10=$AI$10,AI213,IF($AL$10=$AJ$10,AJ213,IF($AL$10=$AK$10,AK213,0))),0)</f>
        <v>0</v>
      </c>
      <c r="AM213" s="708">
        <f t="shared" si="166"/>
        <v>0</v>
      </c>
      <c r="AN213" s="916">
        <f t="shared" si="167"/>
        <v>0</v>
      </c>
      <c r="AO213" s="905"/>
      <c r="AP213" s="925"/>
      <c r="AQ213" s="926">
        <f>IF(Tables!$E$30="New York",INDEX('NY Curve'!$A$4:$L$256,MATCH('Monthly Table'!B213,'NY Curve'!$A$4:$A$256,0),MATCH("New York Shoulder Hour Curve Mon-Fri",'NY Curve'!$A$4:$L$4,0)),IF(Tables!$E$30="Michigan",INDEX('Michigan Curve'!$A$4:$K$256,MATCH('Monthly Table'!B213,'Michigan Curve'!$A$4:$A$256,0),MATCH("Michigan Shoulder Hour Curve Mon-Fri",'Michigan Curve'!$A$4:$K$4,0))))</f>
        <v>28.731596069335936</v>
      </c>
      <c r="AR213" s="708">
        <f t="shared" si="168"/>
        <v>36.208570020865523</v>
      </c>
      <c r="AS213" s="927">
        <f t="shared" si="157"/>
        <v>1</v>
      </c>
      <c r="AU213" s="926">
        <f>IF(Tables!$E$30="New York",INDEX('NY Curve'!$A$4:$L$256,MATCH('Monthly Table'!$B213,'NY Curve'!$A$4:$A$256,0),MATCH("New York Saturday Super Peak",'NY Curve'!$A$4:$L$4,0)),IF(Tables!$E$30="Michigan",INDEX('Michigan Curve'!$A$4:$K$256,MATCH('Monthly Table'!$B213,'Michigan Curve'!$A$4:$A$256,0),MATCH("Michigan Saturday Super Peak",'Michigan Curve'!$A$4:$K$4,0))))</f>
        <v>21.6</v>
      </c>
      <c r="AV213" s="925">
        <f t="shared" si="158"/>
        <v>27.221081298905087</v>
      </c>
      <c r="AW213" s="927">
        <f>IF(Tables!$B$21=15,0,IF(AV213&gt;($CP213+$BF$4),1,0))</f>
        <v>0</v>
      </c>
      <c r="AX213" s="926">
        <f>IF(Tables!$E$30="New York",INDEX('NY Curve'!$A$4:$L$256,MATCH('Monthly Table'!$B213,'NY Curve'!$A$4:$A$256,0),MATCH("New York Saturday Shoulder Peak",'NY Curve'!$A$4:$L$4,0)),IF(Tables!$E$30="Michigan",INDEX('Michigan Curve'!$A$4:$K$256,MATCH('Monthly Table'!$B213,'Michigan Curve'!$A$4:$A$256,0),MATCH("Michigan Saturday Shoulder Peak",'Michigan Curve'!$A$4:$K$4,0))))</f>
        <v>18.399999999999999</v>
      </c>
      <c r="AY213" s="934">
        <f t="shared" si="169"/>
        <v>23.188328513882109</v>
      </c>
      <c r="AZ213" s="927">
        <f>IF(Tables!$B$21=15,0,IF(AY213&gt;($CP213+$BF$4),1,0))</f>
        <v>0</v>
      </c>
      <c r="BB213" s="926">
        <f>IF(Tables!$E$30="New York",INDEX('NY Curve'!$A$4:$M$256,MATCH('Monthly Table'!$B213,'NY Curve'!$A$4:$A$256,0),MATCH("NY Sunday Super Peak",'NY Curve'!$A$4:$M$4,0)),IF(Tables!$E$30="Michigan",INDEX('Michigan Curve'!$A$4:$L$256,MATCH('Monthly Table'!$B213,'Michigan Curve'!$A$4:$A$256,0),MATCH("Michigan Sunday Super Peak",'Michigan Curve'!$A$4:$L$4,0))))</f>
        <v>20.520000000000003</v>
      </c>
      <c r="BC213" s="925">
        <f t="shared" si="170"/>
        <v>25.860027233959837</v>
      </c>
      <c r="BD213" s="927">
        <f t="shared" si="159"/>
        <v>1</v>
      </c>
      <c r="BF213" s="598">
        <f t="shared" si="152"/>
        <v>43040</v>
      </c>
      <c r="BG213" s="583">
        <f t="shared" si="171"/>
        <v>0</v>
      </c>
      <c r="BH213" s="764">
        <f>IF(Tables!$B$36="Combined Cycle",(BF213-BF212)*24*Assumptions!$B$21,0)</f>
        <v>0</v>
      </c>
      <c r="BI213" s="315">
        <f t="shared" si="172"/>
        <v>0</v>
      </c>
      <c r="BJ213" s="987">
        <f>IF('Monthly Table'!D213&lt;=Tables!$B$21,IF($BJ$10=$BG$10,BG213,IF($BJ$10=$BH$10,BH213,IF($BJ$10=$BI$10,BI213,0))),0)</f>
        <v>0</v>
      </c>
      <c r="BK213" s="43"/>
      <c r="BL213" s="987">
        <f t="shared" si="173"/>
        <v>0</v>
      </c>
      <c r="BM213" s="987">
        <f t="shared" si="174"/>
        <v>40</v>
      </c>
      <c r="BO213" s="987">
        <f t="shared" si="160"/>
        <v>0</v>
      </c>
      <c r="BP213" s="987">
        <f t="shared" si="175"/>
        <v>0</v>
      </c>
      <c r="BR213" s="993">
        <f>IF(BJ213&gt;0,INDEX(OperationalDetail,MATCH("Capacity Degradation",ODColumn,0),MATCH('Monthly Table'!C213,ODRow,0)),0)</f>
        <v>0</v>
      </c>
      <c r="BS213" s="994">
        <f>BJ213*(1-BR213)*Tables!$C$36</f>
        <v>0</v>
      </c>
      <c r="BT213" s="601">
        <f t="shared" si="161"/>
        <v>0</v>
      </c>
      <c r="BU213" s="601">
        <f t="shared" si="162"/>
        <v>0</v>
      </c>
      <c r="BV213" s="462"/>
      <c r="BW213" s="785">
        <f>$BO213*(1-$BR213)*Tables!$C$36</f>
        <v>0</v>
      </c>
      <c r="BX213" s="602">
        <f t="shared" si="176"/>
        <v>0</v>
      </c>
      <c r="BY213" s="601">
        <f t="shared" si="177"/>
        <v>0</v>
      </c>
      <c r="BZ213" s="462"/>
      <c r="CA213" s="785">
        <f>$BL213*(1-$BR213)*Tables!$C$36</f>
        <v>0</v>
      </c>
      <c r="CB213" s="602">
        <f t="shared" si="178"/>
        <v>0</v>
      </c>
      <c r="CC213" s="601">
        <f t="shared" si="179"/>
        <v>0</v>
      </c>
      <c r="CD213" s="785">
        <f>$BP213*(1-$BR213)*Tables!$C$36</f>
        <v>0</v>
      </c>
      <c r="CE213" s="602">
        <f t="shared" si="180"/>
        <v>0</v>
      </c>
      <c r="CF213" s="601">
        <f t="shared" si="181"/>
        <v>0</v>
      </c>
      <c r="CH213" s="785">
        <f>$BM213*(1-$BR213)*Tables!$C$36</f>
        <v>12960</v>
      </c>
      <c r="CI213" s="602">
        <f t="shared" si="182"/>
        <v>265.93920000000003</v>
      </c>
      <c r="CJ213" s="601">
        <f t="shared" si="183"/>
        <v>335.14595295211944</v>
      </c>
      <c r="CK213" s="304"/>
      <c r="CL213" s="304">
        <f t="shared" si="184"/>
        <v>2016</v>
      </c>
      <c r="CM213" s="1018">
        <f>INDEX(OperationalDetail,MATCH("Degraded Heat Rate",ODColumn,0),MATCH('Monthly Table'!CL213,ODRow,0))/1000</f>
        <v>11.96</v>
      </c>
      <c r="CN213" s="737">
        <f t="shared" si="163"/>
        <v>6.4381445112549214</v>
      </c>
      <c r="CO213" s="1019">
        <f>IF(A213="January",(CO212*(1+Assumptions!$E$32)),CO212)</f>
        <v>9.2465697148509598</v>
      </c>
      <c r="CP213" s="741">
        <f t="shared" si="153"/>
        <v>15.684714226105882</v>
      </c>
      <c r="CQ213" s="304"/>
      <c r="CR213" s="575" t="str">
        <f t="shared" si="185"/>
        <v/>
      </c>
      <c r="CS213" s="575" t="str">
        <f t="shared" si="186"/>
        <v/>
      </c>
      <c r="CT213" s="575" t="str">
        <f t="shared" si="187"/>
        <v/>
      </c>
      <c r="CU213" s="575" t="str">
        <f t="shared" si="188"/>
        <v/>
      </c>
      <c r="CV213" s="575">
        <f t="shared" si="189"/>
        <v>2017</v>
      </c>
      <c r="CW213" s="576">
        <f t="shared" si="154"/>
        <v>2017</v>
      </c>
      <c r="CX213" s="787">
        <f>INDEX('NY Curve'!$A$4:$G$256,MATCH('Monthly Table'!B213,'NY Curve'!$A$4:$A$256,0),MATCH("New York 5 X 16",'NY Curve'!$A$4:$G$4,0))</f>
        <v>28.8</v>
      </c>
      <c r="CY213" s="632">
        <f t="shared" si="155"/>
        <v>1.2602352453196799</v>
      </c>
      <c r="CZ213" s="633">
        <f t="shared" si="156"/>
        <v>36.294775065206785</v>
      </c>
      <c r="DB213" s="857"/>
      <c r="DC213" s="857"/>
    </row>
    <row r="214" spans="1:107" s="222" customFormat="1" ht="18.75" customHeight="1">
      <c r="A214" s="222" t="s">
        <v>448</v>
      </c>
      <c r="B214" s="564">
        <v>43070</v>
      </c>
      <c r="C214" s="565">
        <f t="shared" si="145"/>
        <v>2017</v>
      </c>
      <c r="D214" s="819">
        <f t="shared" si="190"/>
        <v>17</v>
      </c>
      <c r="E214" s="972">
        <v>20</v>
      </c>
      <c r="F214" s="971">
        <v>5</v>
      </c>
      <c r="G214" s="971">
        <v>5</v>
      </c>
      <c r="H214" s="971">
        <v>1</v>
      </c>
      <c r="I214" s="976">
        <f t="shared" si="164"/>
        <v>31</v>
      </c>
      <c r="J214" s="969"/>
      <c r="K214" s="820">
        <f>INDEX(FX!$A$3:$C$362,MATCH(B214,FX!$A$3:$A$362,0),MATCH("Monthly Curve",FX!$A$2:$C$2,0))</f>
        <v>1.25968528039199</v>
      </c>
      <c r="L214" s="820"/>
      <c r="M214" s="821"/>
      <c r="N214" s="822"/>
      <c r="O214" s="878">
        <v>0.1</v>
      </c>
      <c r="P214" s="824">
        <f t="shared" si="147"/>
        <v>0.1</v>
      </c>
      <c r="Q214" s="825">
        <f t="shared" si="148"/>
        <v>0.1</v>
      </c>
      <c r="R214" s="837">
        <f>IF(A214="January",(R213+R213*Assumptions!$E$32),R213)</f>
        <v>0.41228287273014913</v>
      </c>
      <c r="S214" s="827">
        <f t="shared" si="149"/>
        <v>0.53825140076934819</v>
      </c>
      <c r="T214" s="820"/>
      <c r="U214" s="828"/>
      <c r="V214" s="830"/>
      <c r="W214" s="830"/>
      <c r="X214" s="823"/>
      <c r="Y214" s="839">
        <f>Tables!$D$36</f>
        <v>312</v>
      </c>
      <c r="Z214" s="678">
        <f t="shared" si="150"/>
        <v>0</v>
      </c>
      <c r="AA214" s="679">
        <f t="shared" si="151"/>
        <v>0</v>
      </c>
      <c r="AB214" s="680">
        <f t="shared" si="146"/>
        <v>0</v>
      </c>
      <c r="AC214" s="828"/>
      <c r="AD214" s="1027">
        <f>IF(Tables!$E$30="Michigan",INDEX('Michigan Curve'!$A$4:$S$256,MATCH('Monthly Table'!B214,'Michigan Curve'!$A$4:$A$256,0),MATCH("Michigan Selected Option Value US$/month",'Michigan Curve'!$A$4:$S$4,0)),INDEX('NY Curve'!$A$4:$T$256,MATCH('Monthly Table'!B214,'NY Curve'!$A$4:$A$256,0),MATCH("New York Selected Option Value US$/month",'NY Curve'!$A$4:$T$4,0)))</f>
        <v>0</v>
      </c>
      <c r="AE214" s="601">
        <f t="shared" si="165"/>
        <v>0</v>
      </c>
      <c r="AF214" s="828"/>
      <c r="AG214" s="917"/>
      <c r="AI214" s="799">
        <f>Assumptions!$B$50</f>
        <v>65</v>
      </c>
      <c r="AJ214" s="762"/>
      <c r="AK214" s="924">
        <f>IF(Tables!$E$30="Custom",'Monthly Table'!AI214,IF(Tables!$E$30="New York",INDEX('NY Curve'!$A$4:$G$256,MATCH('Monthly Table'!B214,'NY Curve'!$A$4:$A$256,0),MATCH("Super Peak Curve",'NY Curve'!$A$4:$G$4,0)),IF(Tables!$E$30="New York Flat",INDEX('NY Curve'!$A$4:$G$256,MATCH('Monthly Table'!B214,'NY Curve'!$A$4:$A$256,0),MATCH("Flat NY West",'NY Curve'!$A$4:$G$4,0)),INDEX('Michigan Curve'!$A$4:$F$256,MATCH('Monthly Table'!B214,'Michigan Curve'!$A$4:$A$256,0),MATCH("Michigan Super Peak Curve US$/MWhr",'Michigan Curve'!$A$4:$F$4,0)))))</f>
        <v>32.333994941711424</v>
      </c>
      <c r="AL214" s="966">
        <f>IF(D214&lt;=Tables!$B$21,IF($AL$10=$AI$10,AI214,IF($AL$10=$AJ$10,AJ214,IF($AL$10=$AK$10,AK214,0))),0)</f>
        <v>0</v>
      </c>
      <c r="AM214" s="708">
        <f t="shared" si="166"/>
        <v>0</v>
      </c>
      <c r="AN214" s="918">
        <f t="shared" si="167"/>
        <v>0</v>
      </c>
      <c r="AO214" s="906"/>
      <c r="AP214" s="925"/>
      <c r="AQ214" s="926">
        <f>IF(Tables!$E$30="New York",INDEX('NY Curve'!$A$4:$L$256,MATCH('Monthly Table'!B214,'NY Curve'!$A$4:$A$256,0),MATCH("New York Shoulder Hour Curve Mon-Fri",'NY Curve'!$A$4:$L$4,0)),IF(Tables!$E$30="Michigan",INDEX('Michigan Curve'!$A$4:$K$256,MATCH('Monthly Table'!B214,'Michigan Curve'!$A$4:$A$256,0),MATCH("Michigan Shoulder Hour Curve Mon-Fri",'Michigan Curve'!$A$4:$K$4,0))))</f>
        <v>31.065995140075682</v>
      </c>
      <c r="AR214" s="708">
        <f t="shared" si="168"/>
        <v>39.133376798682434</v>
      </c>
      <c r="AS214" s="927">
        <f t="shared" si="157"/>
        <v>1</v>
      </c>
      <c r="AT214" s="565"/>
      <c r="AU214" s="926">
        <f>IF(Tables!$E$30="New York",INDEX('NY Curve'!$A$4:$L$256,MATCH('Monthly Table'!$B214,'NY Curve'!$A$4:$A$256,0),MATCH("New York Saturday Super Peak",'NY Curve'!$A$4:$L$4,0)),IF(Tables!$E$30="Michigan",INDEX('Michigan Curve'!$A$4:$K$256,MATCH('Monthly Table'!$B214,'Michigan Curve'!$A$4:$A$256,0),MATCH("Michigan Saturday Super Peak",'Michigan Curve'!$A$4:$K$4,0))))</f>
        <v>20.399999999999999</v>
      </c>
      <c r="AV214" s="925">
        <f t="shared" si="158"/>
        <v>25.697579719996593</v>
      </c>
      <c r="AW214" s="927">
        <f>IF(Tables!$B$21=15,0,IF(AV214&gt;($CP214+$BF$4),1,0))</f>
        <v>0</v>
      </c>
      <c r="AX214" s="926">
        <f>IF(Tables!$E$30="New York",INDEX('NY Curve'!$A$4:$L$256,MATCH('Monthly Table'!$B214,'NY Curve'!$A$4:$A$256,0),MATCH("New York Saturday Shoulder Peak",'NY Curve'!$A$4:$L$4,0)),IF(Tables!$E$30="Michigan",INDEX('Michigan Curve'!$A$4:$K$256,MATCH('Monthly Table'!$B214,'Michigan Curve'!$A$4:$A$256,0),MATCH("Michigan Saturday Shoulder Peak",'Michigan Curve'!$A$4:$K$4,0))))</f>
        <v>19.600000000000001</v>
      </c>
      <c r="AY214" s="934">
        <f t="shared" si="169"/>
        <v>24.689831495683006</v>
      </c>
      <c r="AZ214" s="927">
        <f>IF(Tables!$B$21=15,0,IF(AY214&gt;($CP214+$BF$4),1,0))</f>
        <v>0</v>
      </c>
      <c r="BA214" s="565"/>
      <c r="BB214" s="926">
        <f>IF(Tables!$E$30="New York",INDEX('NY Curve'!$A$4:$M$256,MATCH('Monthly Table'!$B214,'NY Curve'!$A$4:$A$256,0),MATCH("NY Sunday Super Peak",'NY Curve'!$A$4:$M$4,0)),IF(Tables!$E$30="Michigan",INDEX('Michigan Curve'!$A$4:$L$256,MATCH('Monthly Table'!$B214,'Michigan Curve'!$A$4:$A$256,0),MATCH("Michigan Sunday Super Peak",'Michigan Curve'!$A$4:$L$4,0))))</f>
        <v>19.38</v>
      </c>
      <c r="BC214" s="925">
        <f t="shared" si="170"/>
        <v>24.412700733996765</v>
      </c>
      <c r="BD214" s="927">
        <f t="shared" si="159"/>
        <v>1</v>
      </c>
      <c r="BE214" s="565"/>
      <c r="BF214" s="829">
        <f t="shared" si="152"/>
        <v>43070</v>
      </c>
      <c r="BG214" s="583">
        <f t="shared" si="171"/>
        <v>0</v>
      </c>
      <c r="BH214" s="840">
        <f>IF(Tables!$B$36="Combined Cycle",(BF214-BF213)*24*Assumptions!$B$21,0)</f>
        <v>0</v>
      </c>
      <c r="BI214" s="315">
        <f t="shared" si="172"/>
        <v>0</v>
      </c>
      <c r="BJ214" s="988">
        <f>IF('Monthly Table'!D214&lt;=Tables!$B$21,IF($BJ$10=$BG$10,BG214,IF($BJ$10=$BH$10,BH214,IF($BJ$10=$BI$10,BI214,0))),0)</f>
        <v>0</v>
      </c>
      <c r="BK214" s="43"/>
      <c r="BL214" s="987">
        <f t="shared" si="173"/>
        <v>0</v>
      </c>
      <c r="BM214" s="987">
        <f t="shared" si="174"/>
        <v>48</v>
      </c>
      <c r="BN214" s="43"/>
      <c r="BO214" s="987">
        <f t="shared" si="160"/>
        <v>0</v>
      </c>
      <c r="BP214" s="987">
        <f t="shared" si="175"/>
        <v>0</v>
      </c>
      <c r="BQ214" s="43"/>
      <c r="BR214" s="995">
        <f>IF(BJ214&gt;0,INDEX(OperationalDetail,MATCH("Capacity Degradation",ODColumn,0),MATCH('Monthly Table'!C214,ODRow,0)),0)</f>
        <v>0</v>
      </c>
      <c r="BS214" s="994">
        <f>BJ214*(1-BR214)*Tables!$C$36</f>
        <v>0</v>
      </c>
      <c r="BT214" s="834">
        <f t="shared" si="161"/>
        <v>0</v>
      </c>
      <c r="BU214" s="834">
        <f t="shared" si="162"/>
        <v>0</v>
      </c>
      <c r="BV214" s="462"/>
      <c r="BW214" s="785">
        <f>$BO214*(1-$BR214)*Tables!$C$36</f>
        <v>0</v>
      </c>
      <c r="BX214" s="602">
        <f t="shared" si="176"/>
        <v>0</v>
      </c>
      <c r="BY214" s="601">
        <f t="shared" si="177"/>
        <v>0</v>
      </c>
      <c r="BZ214" s="828"/>
      <c r="CA214" s="785">
        <f>$BL214*(1-$BR214)*Tables!$C$36</f>
        <v>0</v>
      </c>
      <c r="CB214" s="602">
        <f t="shared" si="178"/>
        <v>0</v>
      </c>
      <c r="CC214" s="601">
        <f t="shared" si="179"/>
        <v>0</v>
      </c>
      <c r="CD214" s="785">
        <f>$BP214*(1-$BR214)*Tables!$C$36</f>
        <v>0</v>
      </c>
      <c r="CE214" s="602">
        <f t="shared" si="180"/>
        <v>0</v>
      </c>
      <c r="CF214" s="601">
        <f t="shared" si="181"/>
        <v>0</v>
      </c>
      <c r="CH214" s="785">
        <f>$BM214*(1-$BR214)*Tables!$C$36</f>
        <v>15552</v>
      </c>
      <c r="CI214" s="602">
        <f t="shared" si="182"/>
        <v>301.39776000000001</v>
      </c>
      <c r="CJ214" s="601">
        <f t="shared" si="183"/>
        <v>379.66632181511773</v>
      </c>
      <c r="CK214" s="304"/>
      <c r="CL214" s="304">
        <f t="shared" si="184"/>
        <v>2016</v>
      </c>
      <c r="CM214" s="1018">
        <f>INDEX(OperationalDetail,MATCH("Degraded Heat Rate",ODColumn,0),MATCH('Monthly Table'!CL214,ODRow,0))/1000</f>
        <v>11.96</v>
      </c>
      <c r="CN214" s="835">
        <f t="shared" si="163"/>
        <v>6.4374867532014051</v>
      </c>
      <c r="CO214" s="1020">
        <f>IF(A214="January",(CO213*(1+Assumptions!$E$32)),CO213)</f>
        <v>9.2465697148509598</v>
      </c>
      <c r="CP214" s="836">
        <f t="shared" si="153"/>
        <v>15.684056468052365</v>
      </c>
      <c r="CQ214" s="304"/>
      <c r="CR214" s="841" t="str">
        <f t="shared" si="185"/>
        <v/>
      </c>
      <c r="CS214" s="575" t="str">
        <f t="shared" si="186"/>
        <v/>
      </c>
      <c r="CT214" s="575" t="str">
        <f t="shared" si="187"/>
        <v/>
      </c>
      <c r="CU214" s="575" t="str">
        <f t="shared" si="188"/>
        <v/>
      </c>
      <c r="CV214" s="575">
        <f t="shared" si="189"/>
        <v>2017</v>
      </c>
      <c r="CW214" s="842">
        <f t="shared" si="154"/>
        <v>2017</v>
      </c>
      <c r="CX214" s="843">
        <f>INDEX('NY Curve'!$A$4:$G$256,MATCH('Monthly Table'!B214,'NY Curve'!$A$4:$A$256,0),MATCH("New York 5 X 16",'NY Curve'!$A$4:$G$4,0))</f>
        <v>29.3</v>
      </c>
      <c r="CY214" s="844">
        <f t="shared" si="155"/>
        <v>1.25968528039199</v>
      </c>
      <c r="CZ214" s="845">
        <f t="shared" si="156"/>
        <v>36.908778715485312</v>
      </c>
      <c r="DB214" s="857"/>
      <c r="DC214" s="857"/>
    </row>
    <row r="215" spans="1:107" ht="18.75" customHeight="1">
      <c r="A215" s="17" t="s">
        <v>437</v>
      </c>
      <c r="B215" s="508">
        <v>43101</v>
      </c>
      <c r="C215" s="43">
        <f t="shared" si="145"/>
        <v>2018</v>
      </c>
      <c r="D215" s="719">
        <f t="shared" si="190"/>
        <v>18</v>
      </c>
      <c r="E215" s="972">
        <v>22</v>
      </c>
      <c r="F215" s="971">
        <v>4</v>
      </c>
      <c r="G215" s="971">
        <v>4</v>
      </c>
      <c r="H215" s="971">
        <v>1</v>
      </c>
      <c r="I215" s="976">
        <f t="shared" si="164"/>
        <v>31</v>
      </c>
      <c r="J215" s="621"/>
      <c r="K215" s="572">
        <f>INDEX(FX!$A$3:$C$362,MATCH(B215,FX!$A$3:$A$362,0),MATCH("Monthly Curve",FX!$A$2:$C$2,0))</f>
        <v>1.2591200307983701</v>
      </c>
      <c r="L215" s="572"/>
      <c r="M215" s="724"/>
      <c r="N215" s="746"/>
      <c r="O215" s="877">
        <v>0.1</v>
      </c>
      <c r="P215" s="797">
        <f t="shared" si="147"/>
        <v>0.1</v>
      </c>
      <c r="Q215" s="732">
        <f t="shared" si="148"/>
        <v>0.1</v>
      </c>
      <c r="R215" s="723">
        <f>IF(A215="January",(R214+R214*Assumptions!$E$32),R214)</f>
        <v>0.42052853018475211</v>
      </c>
      <c r="S215" s="730">
        <f t="shared" si="149"/>
        <v>0.54644053326458919</v>
      </c>
      <c r="T215" s="572"/>
      <c r="U215" s="507"/>
      <c r="V215" s="583"/>
      <c r="W215" s="583"/>
      <c r="X215" s="587"/>
      <c r="Y215" s="588">
        <f>Tables!$D$36</f>
        <v>312</v>
      </c>
      <c r="Z215" s="570">
        <f t="shared" si="150"/>
        <v>0</v>
      </c>
      <c r="AA215" s="592">
        <f t="shared" si="151"/>
        <v>0</v>
      </c>
      <c r="AB215" s="589">
        <f t="shared" si="146"/>
        <v>0</v>
      </c>
      <c r="AC215" s="462"/>
      <c r="AD215" s="1027">
        <f>IF(Tables!$E$30="Michigan",INDEX('Michigan Curve'!$A$4:$S$256,MATCH('Monthly Table'!B215,'Michigan Curve'!$A$4:$A$256,0),MATCH("Michigan Selected Option Value US$/month",'Michigan Curve'!$A$4:$S$4,0)),INDEX('NY Curve'!$A$4:$T$256,MATCH('Monthly Table'!B215,'NY Curve'!$A$4:$A$256,0),MATCH("New York Selected Option Value US$/month",'NY Curve'!$A$4:$T$4,0)))</f>
        <v>0</v>
      </c>
      <c r="AE215" s="601">
        <f t="shared" si="165"/>
        <v>0</v>
      </c>
      <c r="AF215" s="462"/>
      <c r="AG215" s="915"/>
      <c r="AH215" s="17"/>
      <c r="AI215" s="799">
        <f>Assumptions!$B$50</f>
        <v>65</v>
      </c>
      <c r="AJ215" s="743"/>
      <c r="AK215" s="924">
        <f>IF(Tables!$E$30="Custom",'Monthly Table'!AI215,IF(Tables!$E$30="New York",INDEX('NY Curve'!$A$4:$G$256,MATCH('Monthly Table'!B215,'NY Curve'!$A$4:$A$256,0),MATCH("Super Peak Curve",'NY Curve'!$A$4:$G$4,0)),IF(Tables!$E$30="New York Flat",INDEX('NY Curve'!$A$4:$G$256,MATCH('Monthly Table'!B215,'NY Curve'!$A$4:$A$256,0),MATCH("Flat NY West",'NY Curve'!$A$4:$G$4,0)),INDEX('Michigan Curve'!$A$4:$F$256,MATCH('Monthly Table'!B215,'Michigan Curve'!$A$4:$A$256,0),MATCH("Michigan Super Peak Curve US$/MWhr",'Michigan Curve'!$A$4:$F$4,0)))))</f>
        <v>37.944000389099124</v>
      </c>
      <c r="AL215" s="965">
        <f>IF(D215&lt;=Tables!$B$21,IF($AL$10=$AI$10,AI215,IF($AL$10=$AJ$10,AJ215,IF($AL$10=$AK$10,AK215,0))),0)</f>
        <v>0</v>
      </c>
      <c r="AM215" s="708">
        <f t="shared" si="166"/>
        <v>0</v>
      </c>
      <c r="AN215" s="916">
        <f t="shared" si="167"/>
        <v>0</v>
      </c>
      <c r="AO215" s="905"/>
      <c r="AP215" s="925"/>
      <c r="AQ215" s="926">
        <f>IF(Tables!$E$30="New York",INDEX('NY Curve'!$A$4:$L$256,MATCH('Monthly Table'!B215,'NY Curve'!$A$4:$A$256,0),MATCH("New York Shoulder Hour Curve Mon-Fri",'NY Curve'!$A$4:$L$4,0)),IF(Tables!$E$30="Michigan",INDEX('Michigan Curve'!$A$4:$K$256,MATCH('Monthly Table'!B215,'Michigan Curve'!$A$4:$A$256,0),MATCH("Michigan Shoulder Hour Curve Mon-Fri",'Michigan Curve'!$A$4:$K$4,0))))</f>
        <v>36.456000373840332</v>
      </c>
      <c r="AR215" s="708">
        <f t="shared" si="168"/>
        <v>45.902480313495232</v>
      </c>
      <c r="AS215" s="927">
        <f t="shared" si="157"/>
        <v>1</v>
      </c>
      <c r="AU215" s="926">
        <f>IF(Tables!$E$30="New York",INDEX('NY Curve'!$A$4:$L$256,MATCH('Monthly Table'!$B215,'NY Curve'!$A$4:$A$256,0),MATCH("New York Saturday Super Peak",'NY Curve'!$A$4:$L$4,0)),IF(Tables!$E$30="Michigan",INDEX('Michigan Curve'!$A$4:$K$256,MATCH('Monthly Table'!$B215,'Michigan Curve'!$A$4:$A$256,0),MATCH("Michigan Saturday Super Peak",'Michigan Curve'!$A$4:$K$4,0))))</f>
        <v>22.44</v>
      </c>
      <c r="AV215" s="925">
        <f t="shared" si="158"/>
        <v>28.254653491115427</v>
      </c>
      <c r="AW215" s="927">
        <f>IF(Tables!$B$21=15,0,IF(AV215&gt;($CP215+$BF$4),1,0))</f>
        <v>0</v>
      </c>
      <c r="AX215" s="926">
        <f>IF(Tables!$E$30="New York",INDEX('NY Curve'!$A$4:$L$256,MATCH('Monthly Table'!$B215,'NY Curve'!$A$4:$A$256,0),MATCH("New York Saturday Shoulder Peak",'NY Curve'!$A$4:$L$4,0)),IF(Tables!$E$30="Michigan",INDEX('Michigan Curve'!$A$4:$K$256,MATCH('Monthly Table'!$B215,'Michigan Curve'!$A$4:$A$256,0),MATCH("Michigan Saturday Shoulder Peak",'Michigan Curve'!$A$4:$K$4,0))))</f>
        <v>21.56</v>
      </c>
      <c r="AY215" s="934">
        <f t="shared" si="169"/>
        <v>27.146627864012856</v>
      </c>
      <c r="AZ215" s="927">
        <f>IF(Tables!$B$21=15,0,IF(AY215&gt;($CP215+$BF$4),1,0))</f>
        <v>0</v>
      </c>
      <c r="BB215" s="926">
        <f>IF(Tables!$E$30="New York",INDEX('NY Curve'!$A$4:$M$256,MATCH('Monthly Table'!$B215,'NY Curve'!$A$4:$A$256,0),MATCH("NY Sunday Super Peak",'NY Curve'!$A$4:$M$4,0)),IF(Tables!$E$30="Michigan",INDEX('Michigan Curve'!$A$4:$L$256,MATCH('Monthly Table'!$B215,'Michigan Curve'!$A$4:$A$256,0),MATCH("Michigan Sunday Super Peak",'Michigan Curve'!$A$4:$L$4,0))))</f>
        <v>21.42</v>
      </c>
      <c r="BC215" s="925">
        <f t="shared" si="170"/>
        <v>26.970351059701091</v>
      </c>
      <c r="BD215" s="927">
        <f t="shared" si="159"/>
        <v>1</v>
      </c>
      <c r="BF215" s="598">
        <f t="shared" si="152"/>
        <v>43101</v>
      </c>
      <c r="BG215" s="583">
        <f t="shared" si="171"/>
        <v>0</v>
      </c>
      <c r="BH215" s="764">
        <f>IF(Tables!$B$36="Combined Cycle",(BF215-BF214)*24*Assumptions!$B$21,0)</f>
        <v>0</v>
      </c>
      <c r="BI215" s="315">
        <f t="shared" si="172"/>
        <v>0</v>
      </c>
      <c r="BJ215" s="987">
        <f>IF('Monthly Table'!D215&lt;=Tables!$B$21,IF($BJ$10=$BG$10,BG215,IF($BJ$10=$BH$10,BH215,IF($BJ$10=$BI$10,BI215,0))),0)</f>
        <v>0</v>
      </c>
      <c r="BK215" s="43"/>
      <c r="BL215" s="987">
        <f t="shared" si="173"/>
        <v>0</v>
      </c>
      <c r="BM215" s="987">
        <f t="shared" si="174"/>
        <v>40</v>
      </c>
      <c r="BO215" s="987">
        <f t="shared" si="160"/>
        <v>0</v>
      </c>
      <c r="BP215" s="987">
        <f t="shared" si="175"/>
        <v>0</v>
      </c>
      <c r="BR215" s="993">
        <f>IF(BJ215&gt;0,INDEX(OperationalDetail,MATCH("Capacity Degradation",ODColumn,0),MATCH('Monthly Table'!C215,ODRow,0)),0)</f>
        <v>0</v>
      </c>
      <c r="BS215" s="994">
        <f>BJ215*(1-BR215)*Tables!$C$36</f>
        <v>0</v>
      </c>
      <c r="BT215" s="601">
        <f t="shared" si="161"/>
        <v>0</v>
      </c>
      <c r="BU215" s="601">
        <f t="shared" si="162"/>
        <v>0</v>
      </c>
      <c r="BV215" s="462"/>
      <c r="BW215" s="785">
        <f>$BO215*(1-$BR215)*Tables!$C$36</f>
        <v>0</v>
      </c>
      <c r="BX215" s="602">
        <f t="shared" si="176"/>
        <v>0</v>
      </c>
      <c r="BY215" s="601">
        <f t="shared" si="177"/>
        <v>0</v>
      </c>
      <c r="BZ215" s="462"/>
      <c r="CA215" s="785">
        <f>$BL215*(1-$BR215)*Tables!$C$36</f>
        <v>0</v>
      </c>
      <c r="CB215" s="602">
        <f t="shared" si="178"/>
        <v>0</v>
      </c>
      <c r="CC215" s="601">
        <f t="shared" si="179"/>
        <v>0</v>
      </c>
      <c r="CD215" s="785">
        <f>$BP215*(1-$BR215)*Tables!$C$36</f>
        <v>0</v>
      </c>
      <c r="CE215" s="602">
        <f t="shared" si="180"/>
        <v>0</v>
      </c>
      <c r="CF215" s="601">
        <f t="shared" si="181"/>
        <v>0</v>
      </c>
      <c r="CH215" s="785">
        <f>$BM215*(1-$BR215)*Tables!$C$36</f>
        <v>12960</v>
      </c>
      <c r="CI215" s="602">
        <f t="shared" si="182"/>
        <v>277.60320000000002</v>
      </c>
      <c r="CJ215" s="601">
        <f t="shared" si="183"/>
        <v>349.53574973372611</v>
      </c>
      <c r="CK215" s="304"/>
      <c r="CL215" s="304">
        <f t="shared" si="184"/>
        <v>2017</v>
      </c>
      <c r="CM215" s="1018">
        <f>INDEX(OperationalDetail,MATCH("Degraded Heat Rate",ODColumn,0),MATCH('Monthly Table'!CL215,ODRow,0))/1000</f>
        <v>11.96</v>
      </c>
      <c r="CN215" s="737">
        <f t="shared" si="163"/>
        <v>6.5354287778444871</v>
      </c>
      <c r="CO215" s="1019">
        <f>IF(A215="January",(CO214*(1+Assumptions!$E$32)),CO214)</f>
        <v>9.4315011091479786</v>
      </c>
      <c r="CP215" s="741">
        <f t="shared" si="153"/>
        <v>15.966929886992466</v>
      </c>
      <c r="CQ215" s="304"/>
      <c r="CR215" s="575" t="str">
        <f t="shared" si="185"/>
        <v/>
      </c>
      <c r="CS215" s="575" t="str">
        <f t="shared" si="186"/>
        <v/>
      </c>
      <c r="CT215" s="575" t="str">
        <f t="shared" si="187"/>
        <v/>
      </c>
      <c r="CU215" s="575" t="str">
        <f t="shared" si="188"/>
        <v/>
      </c>
      <c r="CV215" s="575">
        <f t="shared" si="189"/>
        <v>2018</v>
      </c>
      <c r="CW215" s="576">
        <f t="shared" si="154"/>
        <v>2018</v>
      </c>
      <c r="CX215" s="787">
        <f>INDEX('NY Curve'!$A$4:$G$256,MATCH('Monthly Table'!B215,'NY Curve'!$A$4:$A$256,0),MATCH("New York 5 X 16",'NY Curve'!$A$4:$G$4,0))</f>
        <v>34.85</v>
      </c>
      <c r="CY215" s="632">
        <f t="shared" si="155"/>
        <v>1.2591200307983701</v>
      </c>
      <c r="CZ215" s="633">
        <f t="shared" si="156"/>
        <v>43.8803330733232</v>
      </c>
      <c r="DB215" s="857"/>
      <c r="DC215" s="857"/>
    </row>
    <row r="216" spans="1:107" ht="18.75" customHeight="1">
      <c r="A216" s="17" t="s">
        <v>438</v>
      </c>
      <c r="B216" s="508">
        <v>43132</v>
      </c>
      <c r="C216" s="43">
        <f t="shared" si="145"/>
        <v>2018</v>
      </c>
      <c r="D216" s="719">
        <f t="shared" si="190"/>
        <v>18</v>
      </c>
      <c r="E216" s="972">
        <v>20</v>
      </c>
      <c r="F216" s="971">
        <v>4</v>
      </c>
      <c r="G216" s="971">
        <v>4</v>
      </c>
      <c r="H216" s="971">
        <v>0</v>
      </c>
      <c r="I216" s="976">
        <f t="shared" si="164"/>
        <v>28</v>
      </c>
      <c r="J216" s="621"/>
      <c r="K216" s="572">
        <f>INDEX(FX!$A$3:$C$362,MATCH(B216,FX!$A$3:$A$362,0),MATCH("Monthly Curve",FX!$A$2:$C$2,0))</f>
        <v>1.25855787473825</v>
      </c>
      <c r="L216" s="572"/>
      <c r="M216" s="724"/>
      <c r="N216" s="746"/>
      <c r="O216" s="877">
        <v>0.1</v>
      </c>
      <c r="P216" s="797">
        <f t="shared" si="147"/>
        <v>0.1</v>
      </c>
      <c r="Q216" s="732">
        <f t="shared" si="148"/>
        <v>0.1</v>
      </c>
      <c r="R216" s="723">
        <f>IF(A216="January",(R215+R215*Assumptions!$E$32),R215)</f>
        <v>0.42052853018475211</v>
      </c>
      <c r="S216" s="730">
        <f t="shared" si="149"/>
        <v>0.54638431765857709</v>
      </c>
      <c r="T216" s="572"/>
      <c r="U216" s="507"/>
      <c r="V216" s="583"/>
      <c r="W216" s="583"/>
      <c r="X216" s="587"/>
      <c r="Y216" s="588">
        <f>Tables!$D$36</f>
        <v>312</v>
      </c>
      <c r="Z216" s="570">
        <f t="shared" si="150"/>
        <v>0</v>
      </c>
      <c r="AA216" s="592">
        <f t="shared" si="151"/>
        <v>0</v>
      </c>
      <c r="AB216" s="589">
        <f t="shared" si="146"/>
        <v>0</v>
      </c>
      <c r="AC216" s="462"/>
      <c r="AD216" s="1027">
        <f>IF(Tables!$E$30="Michigan",INDEX('Michigan Curve'!$A$4:$S$256,MATCH('Monthly Table'!B216,'Michigan Curve'!$A$4:$A$256,0),MATCH("Michigan Selected Option Value US$/month",'Michigan Curve'!$A$4:$S$4,0)),INDEX('NY Curve'!$A$4:$T$256,MATCH('Monthly Table'!B216,'NY Curve'!$A$4:$A$256,0),MATCH("New York Selected Option Value US$/month",'NY Curve'!$A$4:$T$4,0)))</f>
        <v>0</v>
      </c>
      <c r="AE216" s="601">
        <f t="shared" si="165"/>
        <v>0</v>
      </c>
      <c r="AF216" s="462"/>
      <c r="AG216" s="915"/>
      <c r="AH216" s="17"/>
      <c r="AI216" s="799">
        <f>Assumptions!$B$50</f>
        <v>65</v>
      </c>
      <c r="AJ216" s="743"/>
      <c r="AK216" s="924">
        <f>IF(Tables!$E$30="Custom",'Monthly Table'!AI216,IF(Tables!$E$30="New York",INDEX('NY Curve'!$A$4:$G$256,MATCH('Monthly Table'!B216,'NY Curve'!$A$4:$A$256,0),MATCH("Super Peak Curve",'NY Curve'!$A$4:$G$4,0)),IF(Tables!$E$30="New York Flat",INDEX('NY Curve'!$A$4:$G$256,MATCH('Monthly Table'!B216,'NY Curve'!$A$4:$A$256,0),MATCH("Flat NY West",'NY Curve'!$A$4:$G$4,0)),INDEX('Michigan Curve'!$A$4:$F$256,MATCH('Monthly Table'!B216,'Michigan Curve'!$A$4:$A$256,0),MATCH("Michigan Super Peak Curve US$/MWhr",'Michigan Curve'!$A$4:$F$4,0)))))</f>
        <v>37.943998443603519</v>
      </c>
      <c r="AL216" s="965">
        <f>IF(D216&lt;=Tables!$B$21,IF($AL$10=$AI$10,AI216,IF($AL$10=$AJ$10,AJ216,IF($AL$10=$AK$10,AK216,0))),0)</f>
        <v>0</v>
      </c>
      <c r="AM216" s="708">
        <f t="shared" si="166"/>
        <v>0</v>
      </c>
      <c r="AN216" s="916">
        <f t="shared" si="167"/>
        <v>0</v>
      </c>
      <c r="AO216" s="905"/>
      <c r="AP216" s="925"/>
      <c r="AQ216" s="926">
        <f>IF(Tables!$E$30="New York",INDEX('NY Curve'!$A$4:$L$256,MATCH('Monthly Table'!B216,'NY Curve'!$A$4:$A$256,0),MATCH("New York Shoulder Hour Curve Mon-Fri",'NY Curve'!$A$4:$L$4,0)),IF(Tables!$E$30="Michigan",INDEX('Michigan Curve'!$A$4:$K$256,MATCH('Monthly Table'!B216,'Michigan Curve'!$A$4:$A$256,0),MATCH("Michigan Shoulder Hour Curve Mon-Fri",'Michigan Curve'!$A$4:$K$4,0))))</f>
        <v>36.455998504638671</v>
      </c>
      <c r="AR216" s="708">
        <f t="shared" si="168"/>
        <v>45.881983999458868</v>
      </c>
      <c r="AS216" s="927">
        <f t="shared" si="157"/>
        <v>1</v>
      </c>
      <c r="AU216" s="926">
        <f>IF(Tables!$E$30="New York",INDEX('NY Curve'!$A$4:$L$256,MATCH('Monthly Table'!$B216,'NY Curve'!$A$4:$A$256,0),MATCH("New York Saturday Super Peak",'NY Curve'!$A$4:$L$4,0)),IF(Tables!$E$30="Michigan",INDEX('Michigan Curve'!$A$4:$K$256,MATCH('Monthly Table'!$B216,'Michigan Curve'!$A$4:$A$256,0),MATCH("Michigan Saturday Super Peak",'Michigan Curve'!$A$4:$K$4,0))))</f>
        <v>22.435920295715331</v>
      </c>
      <c r="AV216" s="925">
        <f t="shared" si="158"/>
        <v>28.236904165172255</v>
      </c>
      <c r="AW216" s="927">
        <f>IF(Tables!$B$21=15,0,IF(AV216&gt;($CP216+$BF$4),1,0))</f>
        <v>0</v>
      </c>
      <c r="AX216" s="926">
        <f>IF(Tables!$E$30="New York",INDEX('NY Curve'!$A$4:$L$256,MATCH('Monthly Table'!$B216,'NY Curve'!$A$4:$A$256,0),MATCH("New York Saturday Shoulder Peak",'NY Curve'!$A$4:$L$4,0)),IF(Tables!$E$30="Michigan",INDEX('Michigan Curve'!$A$4:$K$256,MATCH('Monthly Table'!$B216,'Michigan Curve'!$A$4:$A$256,0),MATCH("Michigan Saturday Shoulder Peak",'Michigan Curve'!$A$4:$K$4,0))))</f>
        <v>21.556080284118654</v>
      </c>
      <c r="AY216" s="934">
        <f t="shared" si="169"/>
        <v>27.129574590067463</v>
      </c>
      <c r="AZ216" s="927">
        <f>IF(Tables!$B$21=15,0,IF(AY216&gt;($CP216+$BF$4),1,0))</f>
        <v>0</v>
      </c>
      <c r="BB216" s="926">
        <f>IF(Tables!$E$30="New York",INDEX('NY Curve'!$A$4:$M$256,MATCH('Monthly Table'!$B216,'NY Curve'!$A$4:$A$256,0),MATCH("NY Sunday Super Peak",'NY Curve'!$A$4:$M$4,0)),IF(Tables!$E$30="Michigan",INDEX('Michigan Curve'!$A$4:$L$256,MATCH('Monthly Table'!$B216,'Michigan Curve'!$A$4:$A$256,0),MATCH("Michigan Sunday Super Peak",'Michigan Curve'!$A$4:$L$4,0))))</f>
        <v>21.416431961059569</v>
      </c>
      <c r="BC216" s="925">
        <f t="shared" si="170"/>
        <v>26.953819093387462</v>
      </c>
      <c r="BD216" s="927">
        <f t="shared" si="159"/>
        <v>1</v>
      </c>
      <c r="BF216" s="598">
        <f t="shared" si="152"/>
        <v>43132</v>
      </c>
      <c r="BG216" s="583">
        <f t="shared" si="171"/>
        <v>0</v>
      </c>
      <c r="BH216" s="764">
        <f>IF(Tables!$B$36="Combined Cycle",(BF216-BF215)*24*Assumptions!$B$21,0)</f>
        <v>0</v>
      </c>
      <c r="BI216" s="315">
        <f t="shared" si="172"/>
        <v>0</v>
      </c>
      <c r="BJ216" s="987">
        <f>IF('Monthly Table'!D216&lt;=Tables!$B$21,IF($BJ$10=$BG$10,BG216,IF($BJ$10=$BH$10,BH216,IF($BJ$10=$BI$10,BI216,0))),0)</f>
        <v>0</v>
      </c>
      <c r="BK216" s="43"/>
      <c r="BL216" s="987">
        <f t="shared" si="173"/>
        <v>0</v>
      </c>
      <c r="BM216" s="987">
        <f t="shared" si="174"/>
        <v>32</v>
      </c>
      <c r="BO216" s="987">
        <f t="shared" si="160"/>
        <v>0</v>
      </c>
      <c r="BP216" s="987">
        <f t="shared" si="175"/>
        <v>0</v>
      </c>
      <c r="BR216" s="993">
        <f>IF(BJ216&gt;0,INDEX(OperationalDetail,MATCH("Capacity Degradation",ODColumn,0),MATCH('Monthly Table'!C216,ODRow,0)),0)</f>
        <v>0</v>
      </c>
      <c r="BS216" s="994">
        <f>BJ216*(1-BR216)*Tables!$C$36</f>
        <v>0</v>
      </c>
      <c r="BT216" s="601">
        <f t="shared" si="161"/>
        <v>0</v>
      </c>
      <c r="BU216" s="601">
        <f t="shared" si="162"/>
        <v>0</v>
      </c>
      <c r="BV216" s="462"/>
      <c r="BW216" s="785">
        <f>$BO216*(1-$BR216)*Tables!$C$36</f>
        <v>0</v>
      </c>
      <c r="BX216" s="602">
        <f t="shared" si="176"/>
        <v>0</v>
      </c>
      <c r="BY216" s="601">
        <f t="shared" si="177"/>
        <v>0</v>
      </c>
      <c r="BZ216" s="462"/>
      <c r="CA216" s="785">
        <f>$BL216*(1-$BR216)*Tables!$C$36</f>
        <v>0</v>
      </c>
      <c r="CB216" s="602">
        <f t="shared" si="178"/>
        <v>0</v>
      </c>
      <c r="CC216" s="601">
        <f t="shared" si="179"/>
        <v>0</v>
      </c>
      <c r="CD216" s="785">
        <f>$BP216*(1-$BR216)*Tables!$C$36</f>
        <v>0</v>
      </c>
      <c r="CE216" s="602">
        <f t="shared" si="180"/>
        <v>0</v>
      </c>
      <c r="CF216" s="601">
        <f t="shared" si="181"/>
        <v>0</v>
      </c>
      <c r="CH216" s="785">
        <f>$BM216*(1-$BR216)*Tables!$C$36</f>
        <v>10368</v>
      </c>
      <c r="CI216" s="602">
        <f t="shared" si="182"/>
        <v>222.04556657226561</v>
      </c>
      <c r="CJ216" s="601">
        <f t="shared" si="183"/>
        <v>279.4571963602412</v>
      </c>
      <c r="CK216" s="304"/>
      <c r="CL216" s="304">
        <f t="shared" si="184"/>
        <v>2017</v>
      </c>
      <c r="CM216" s="1018">
        <f>INDEX(OperationalDetail,MATCH("Degraded Heat Rate",ODColumn,0),MATCH('Monthly Table'!CL216,ODRow,0))/1000</f>
        <v>11.96</v>
      </c>
      <c r="CN216" s="737">
        <f t="shared" si="163"/>
        <v>6.5347564391965829</v>
      </c>
      <c r="CO216" s="1019">
        <f>IF(A216="January",(CO215*(1+Assumptions!$E$32)),CO215)</f>
        <v>9.4315011091479786</v>
      </c>
      <c r="CP216" s="741">
        <f t="shared" si="153"/>
        <v>15.966257548344561</v>
      </c>
      <c r="CQ216" s="304"/>
      <c r="CR216" s="575" t="str">
        <f t="shared" si="185"/>
        <v/>
      </c>
      <c r="CS216" s="575" t="str">
        <f t="shared" si="186"/>
        <v/>
      </c>
      <c r="CT216" s="575" t="str">
        <f t="shared" si="187"/>
        <v/>
      </c>
      <c r="CU216" s="575" t="str">
        <f t="shared" si="188"/>
        <v/>
      </c>
      <c r="CV216" s="575">
        <f t="shared" si="189"/>
        <v>2018</v>
      </c>
      <c r="CW216" s="576">
        <f t="shared" si="154"/>
        <v>2018</v>
      </c>
      <c r="CX216" s="787">
        <f>INDEX('NY Curve'!$A$4:$G$256,MATCH('Monthly Table'!B216,'NY Curve'!$A$4:$A$256,0),MATCH("New York 5 X 16",'NY Curve'!$A$4:$G$4,0))</f>
        <v>34.85</v>
      </c>
      <c r="CY216" s="632">
        <f t="shared" si="155"/>
        <v>1.25855787473825</v>
      </c>
      <c r="CZ216" s="633">
        <f t="shared" si="156"/>
        <v>43.860741934628017</v>
      </c>
      <c r="DB216" s="857"/>
      <c r="DC216" s="857"/>
    </row>
    <row r="217" spans="1:107" ht="18.75" customHeight="1">
      <c r="A217" s="17" t="s">
        <v>439</v>
      </c>
      <c r="B217" s="508">
        <v>43160</v>
      </c>
      <c r="C217" s="43">
        <f t="shared" si="145"/>
        <v>2018</v>
      </c>
      <c r="D217" s="719">
        <f t="shared" si="190"/>
        <v>18</v>
      </c>
      <c r="E217" s="972">
        <v>22</v>
      </c>
      <c r="F217" s="971">
        <v>5</v>
      </c>
      <c r="G217" s="971">
        <v>4</v>
      </c>
      <c r="H217" s="971">
        <v>0</v>
      </c>
      <c r="I217" s="976">
        <f t="shared" si="164"/>
        <v>31</v>
      </c>
      <c r="J217" s="621"/>
      <c r="K217" s="572">
        <f>INDEX(FX!$A$3:$C$362,MATCH(B217,FX!$A$3:$A$362,0),MATCH("Monthly Curve",FX!$A$2:$C$2,0))</f>
        <v>1.25805277655453</v>
      </c>
      <c r="L217" s="572"/>
      <c r="M217" s="724"/>
      <c r="N217" s="746"/>
      <c r="O217" s="877">
        <v>0.1</v>
      </c>
      <c r="P217" s="797">
        <f t="shared" si="147"/>
        <v>0.1</v>
      </c>
      <c r="Q217" s="732">
        <f t="shared" si="148"/>
        <v>0.1</v>
      </c>
      <c r="R217" s="723">
        <f>IF(A217="January",(R216+R216*Assumptions!$E$32),R216)</f>
        <v>0.42052853018475211</v>
      </c>
      <c r="S217" s="730">
        <f t="shared" si="149"/>
        <v>0.54633380784020513</v>
      </c>
      <c r="T217" s="572"/>
      <c r="U217" s="507"/>
      <c r="V217" s="583"/>
      <c r="W217" s="583"/>
      <c r="X217" s="587"/>
      <c r="Y217" s="588">
        <f>Tables!$D$36</f>
        <v>312</v>
      </c>
      <c r="Z217" s="570">
        <f t="shared" si="150"/>
        <v>0</v>
      </c>
      <c r="AA217" s="592">
        <f t="shared" si="151"/>
        <v>0</v>
      </c>
      <c r="AB217" s="589">
        <f t="shared" si="146"/>
        <v>0</v>
      </c>
      <c r="AC217" s="462"/>
      <c r="AD217" s="1027">
        <f>IF(Tables!$E$30="Michigan",INDEX('Michigan Curve'!$A$4:$S$256,MATCH('Monthly Table'!B217,'Michigan Curve'!$A$4:$A$256,0),MATCH("Michigan Selected Option Value US$/month",'Michigan Curve'!$A$4:$S$4,0)),INDEX('NY Curve'!$A$4:$T$256,MATCH('Monthly Table'!B217,'NY Curve'!$A$4:$A$256,0),MATCH("New York Selected Option Value US$/month",'NY Curve'!$A$4:$T$4,0)))</f>
        <v>0</v>
      </c>
      <c r="AE217" s="601">
        <f t="shared" si="165"/>
        <v>0</v>
      </c>
      <c r="AF217" s="462"/>
      <c r="AG217" s="915"/>
      <c r="AH217" s="17"/>
      <c r="AI217" s="799">
        <f>Assumptions!$B$50</f>
        <v>65</v>
      </c>
      <c r="AJ217" s="743"/>
      <c r="AK217" s="924">
        <f>IF(Tables!$E$30="Custom",'Monthly Table'!AI217,IF(Tables!$E$30="New York",INDEX('NY Curve'!$A$4:$G$256,MATCH('Monthly Table'!B217,'NY Curve'!$A$4:$A$256,0),MATCH("Super Peak Curve",'NY Curve'!$A$4:$G$4,0)),IF(Tables!$E$30="New York Flat",INDEX('NY Curve'!$A$4:$G$256,MATCH('Monthly Table'!B217,'NY Curve'!$A$4:$A$256,0),MATCH("Flat NY West",'NY Curve'!$A$4:$G$4,0)),INDEX('Michigan Curve'!$A$4:$F$256,MATCH('Monthly Table'!B217,'Michigan Curve'!$A$4:$A$256,0),MATCH("Michigan Super Peak Curve US$/MWhr",'Michigan Curve'!$A$4:$F$4,0)))))</f>
        <v>32.64</v>
      </c>
      <c r="AL217" s="965">
        <f>IF(D217&lt;=Tables!$B$21,IF($AL$10=$AI$10,AI217,IF($AL$10=$AJ$10,AJ217,IF($AL$10=$AK$10,AK217,0))),0)</f>
        <v>0</v>
      </c>
      <c r="AM217" s="708">
        <f t="shared" si="166"/>
        <v>0</v>
      </c>
      <c r="AN217" s="916">
        <f t="shared" si="167"/>
        <v>0</v>
      </c>
      <c r="AO217" s="905"/>
      <c r="AP217" s="925"/>
      <c r="AQ217" s="926">
        <f>IF(Tables!$E$30="New York",INDEX('NY Curve'!$A$4:$L$256,MATCH('Monthly Table'!B217,'NY Curve'!$A$4:$A$256,0),MATCH("New York Shoulder Hour Curve Mon-Fri",'NY Curve'!$A$4:$L$4,0)),IF(Tables!$E$30="Michigan",INDEX('Michigan Curve'!$A$4:$K$256,MATCH('Monthly Table'!B217,'Michigan Curve'!$A$4:$A$256,0),MATCH("Michigan Shoulder Hour Curve Mon-Fri",'Michigan Curve'!$A$4:$K$4,0))))</f>
        <v>31.36</v>
      </c>
      <c r="AR217" s="708">
        <f t="shared" si="168"/>
        <v>39.452535072750059</v>
      </c>
      <c r="AS217" s="927">
        <f t="shared" si="157"/>
        <v>1</v>
      </c>
      <c r="AU217" s="926">
        <f>IF(Tables!$E$30="New York",INDEX('NY Curve'!$A$4:$L$256,MATCH('Monthly Table'!$B217,'NY Curve'!$A$4:$A$256,0),MATCH("New York Saturday Super Peak",'NY Curve'!$A$4:$L$4,0)),IF(Tables!$E$30="Michigan",INDEX('Michigan Curve'!$A$4:$K$256,MATCH('Monthly Table'!$B217,'Michigan Curve'!$A$4:$A$256,0),MATCH("Michigan Saturday Super Peak",'Michigan Curve'!$A$4:$K$4,0))))</f>
        <v>20.399999999999999</v>
      </c>
      <c r="AV217" s="925">
        <f t="shared" si="158"/>
        <v>25.664276641712409</v>
      </c>
      <c r="AW217" s="927">
        <f>IF(Tables!$B$21=15,0,IF(AV217&gt;($CP217+$BF$4),1,0))</f>
        <v>0</v>
      </c>
      <c r="AX217" s="926">
        <f>IF(Tables!$E$30="New York",INDEX('NY Curve'!$A$4:$L$256,MATCH('Monthly Table'!$B217,'NY Curve'!$A$4:$A$256,0),MATCH("New York Saturday Shoulder Peak",'NY Curve'!$A$4:$L$4,0)),IF(Tables!$E$30="Michigan",INDEX('Michigan Curve'!$A$4:$K$256,MATCH('Monthly Table'!$B217,'Michigan Curve'!$A$4:$A$256,0),MATCH("Michigan Saturday Shoulder Peak",'Michigan Curve'!$A$4:$K$4,0))))</f>
        <v>19.600000000000001</v>
      </c>
      <c r="AY217" s="934">
        <f t="shared" si="169"/>
        <v>24.657834420468788</v>
      </c>
      <c r="AZ217" s="927">
        <f>IF(Tables!$B$21=15,0,IF(AY217&gt;($CP217+$BF$4),1,0))</f>
        <v>0</v>
      </c>
      <c r="BB217" s="926">
        <f>IF(Tables!$E$30="New York",INDEX('NY Curve'!$A$4:$M$256,MATCH('Monthly Table'!$B217,'NY Curve'!$A$4:$A$256,0),MATCH("NY Sunday Super Peak",'NY Curve'!$A$4:$M$4,0)),IF(Tables!$E$30="Michigan",INDEX('Michigan Curve'!$A$4:$L$256,MATCH('Monthly Table'!$B217,'Michigan Curve'!$A$4:$A$256,0),MATCH("Michigan Sunday Super Peak",'Michigan Curve'!$A$4:$L$4,0))))</f>
        <v>19.38</v>
      </c>
      <c r="BC217" s="925">
        <f t="shared" si="170"/>
        <v>24.381062809626791</v>
      </c>
      <c r="BD217" s="927">
        <f t="shared" si="159"/>
        <v>1</v>
      </c>
      <c r="BF217" s="598">
        <f t="shared" si="152"/>
        <v>43160</v>
      </c>
      <c r="BG217" s="583">
        <f t="shared" si="171"/>
        <v>0</v>
      </c>
      <c r="BH217" s="764">
        <f>IF(Tables!$B$36="Combined Cycle",(BF217-BF216)*24*Assumptions!$B$21,0)</f>
        <v>0</v>
      </c>
      <c r="BI217" s="315">
        <f t="shared" si="172"/>
        <v>0</v>
      </c>
      <c r="BJ217" s="987">
        <f>IF('Monthly Table'!D217&lt;=Tables!$B$21,IF($BJ$10=$BG$10,BG217,IF($BJ$10=$BH$10,BH217,IF($BJ$10=$BI$10,BI217,0))),0)</f>
        <v>0</v>
      </c>
      <c r="BK217" s="43"/>
      <c r="BL217" s="987">
        <f t="shared" si="173"/>
        <v>0</v>
      </c>
      <c r="BM217" s="987">
        <f t="shared" si="174"/>
        <v>32</v>
      </c>
      <c r="BO217" s="987">
        <f t="shared" si="160"/>
        <v>0</v>
      </c>
      <c r="BP217" s="987">
        <f t="shared" si="175"/>
        <v>0</v>
      </c>
      <c r="BR217" s="993">
        <f>IF(BJ217&gt;0,INDEX(OperationalDetail,MATCH("Capacity Degradation",ODColumn,0),MATCH('Monthly Table'!C217,ODRow,0)),0)</f>
        <v>0</v>
      </c>
      <c r="BS217" s="994">
        <f>BJ217*(1-BR217)*Tables!$C$36</f>
        <v>0</v>
      </c>
      <c r="BT217" s="601">
        <f t="shared" si="161"/>
        <v>0</v>
      </c>
      <c r="BU217" s="601">
        <f t="shared" si="162"/>
        <v>0</v>
      </c>
      <c r="BV217" s="462"/>
      <c r="BW217" s="785">
        <f>$BO217*(1-$BR217)*Tables!$C$36</f>
        <v>0</v>
      </c>
      <c r="BX217" s="602">
        <f t="shared" si="176"/>
        <v>0</v>
      </c>
      <c r="BY217" s="601">
        <f t="shared" si="177"/>
        <v>0</v>
      </c>
      <c r="BZ217" s="462"/>
      <c r="CA217" s="785">
        <f>$BL217*(1-$BR217)*Tables!$C$36</f>
        <v>0</v>
      </c>
      <c r="CB217" s="602">
        <f t="shared" si="178"/>
        <v>0</v>
      </c>
      <c r="CC217" s="601">
        <f t="shared" si="179"/>
        <v>0</v>
      </c>
      <c r="CD217" s="785">
        <f>$BP217*(1-$BR217)*Tables!$C$36</f>
        <v>0</v>
      </c>
      <c r="CE217" s="602">
        <f t="shared" si="180"/>
        <v>0</v>
      </c>
      <c r="CF217" s="601">
        <f t="shared" si="181"/>
        <v>0</v>
      </c>
      <c r="CH217" s="785">
        <f>$BM217*(1-$BR217)*Tables!$C$36</f>
        <v>10368</v>
      </c>
      <c r="CI217" s="602">
        <f t="shared" si="182"/>
        <v>200.93183999999999</v>
      </c>
      <c r="CJ217" s="601">
        <f t="shared" si="183"/>
        <v>252.78285921021055</v>
      </c>
      <c r="CK217" s="304"/>
      <c r="CL217" s="304">
        <f t="shared" si="184"/>
        <v>2017</v>
      </c>
      <c r="CM217" s="1018">
        <f>INDEX(OperationalDetail,MATCH("Degraded Heat Rate",ODColumn,0),MATCH('Monthly Table'!CL217,ODRow,0))/1000</f>
        <v>11.96</v>
      </c>
      <c r="CN217" s="737">
        <f t="shared" si="163"/>
        <v>6.5341523417688538</v>
      </c>
      <c r="CO217" s="1019">
        <f>IF(A217="January",(CO216*(1+Assumptions!$E$32)),CO216)</f>
        <v>9.4315011091479786</v>
      </c>
      <c r="CP217" s="741">
        <f t="shared" si="153"/>
        <v>15.965653450916832</v>
      </c>
      <c r="CQ217" s="304"/>
      <c r="CR217" s="575" t="str">
        <f t="shared" si="185"/>
        <v/>
      </c>
      <c r="CS217" s="575" t="str">
        <f t="shared" si="186"/>
        <v/>
      </c>
      <c r="CT217" s="575" t="str">
        <f t="shared" si="187"/>
        <v/>
      </c>
      <c r="CU217" s="575" t="str">
        <f t="shared" si="188"/>
        <v/>
      </c>
      <c r="CV217" s="575">
        <f t="shared" si="189"/>
        <v>2018</v>
      </c>
      <c r="CW217" s="576">
        <f t="shared" si="154"/>
        <v>2018</v>
      </c>
      <c r="CX217" s="787">
        <f>INDEX('NY Curve'!$A$4:$G$256,MATCH('Monthly Table'!B217,'NY Curve'!$A$4:$A$256,0),MATCH("New York 5 X 16",'NY Curve'!$A$4:$G$4,0))</f>
        <v>29.85</v>
      </c>
      <c r="CY217" s="632">
        <f t="shared" si="155"/>
        <v>1.25805277655453</v>
      </c>
      <c r="CZ217" s="633">
        <f t="shared" si="156"/>
        <v>37.55287538015272</v>
      </c>
      <c r="DB217" s="857"/>
      <c r="DC217" s="857"/>
    </row>
    <row r="218" spans="1:107" ht="18.75" customHeight="1">
      <c r="A218" s="17" t="s">
        <v>440</v>
      </c>
      <c r="B218" s="508">
        <v>43191</v>
      </c>
      <c r="C218" s="43">
        <f t="shared" si="145"/>
        <v>2018</v>
      </c>
      <c r="D218" s="719">
        <f t="shared" si="190"/>
        <v>18</v>
      </c>
      <c r="E218" s="972">
        <v>21</v>
      </c>
      <c r="F218" s="971">
        <v>4</v>
      </c>
      <c r="G218" s="971">
        <v>5</v>
      </c>
      <c r="H218" s="971">
        <v>0</v>
      </c>
      <c r="I218" s="976">
        <f t="shared" si="164"/>
        <v>30</v>
      </c>
      <c r="J218" s="621"/>
      <c r="K218" s="572">
        <f>INDEX(FX!$A$3:$C$362,MATCH(B218,FX!$A$3:$A$362,0),MATCH("Monthly Curve",FX!$A$2:$C$2,0))</f>
        <v>1.25749649731001</v>
      </c>
      <c r="L218" s="572"/>
      <c r="M218" s="724"/>
      <c r="N218" s="746"/>
      <c r="O218" s="877">
        <v>0.1</v>
      </c>
      <c r="P218" s="797">
        <f t="shared" si="147"/>
        <v>0.1</v>
      </c>
      <c r="Q218" s="732">
        <f t="shared" si="148"/>
        <v>0.1</v>
      </c>
      <c r="R218" s="723">
        <f>IF(A218="January",(R217+R217*Assumptions!$E$32),R217)</f>
        <v>0.42052853018475211</v>
      </c>
      <c r="S218" s="730">
        <f t="shared" si="149"/>
        <v>0.54627817991575311</v>
      </c>
      <c r="T218" s="572"/>
      <c r="U218" s="507"/>
      <c r="V218" s="583"/>
      <c r="W218" s="583"/>
      <c r="X218" s="587"/>
      <c r="Y218" s="588">
        <f>Tables!$D$36</f>
        <v>312</v>
      </c>
      <c r="Z218" s="570">
        <f t="shared" si="150"/>
        <v>0</v>
      </c>
      <c r="AA218" s="592">
        <f t="shared" si="151"/>
        <v>0</v>
      </c>
      <c r="AB218" s="589">
        <f t="shared" si="146"/>
        <v>0</v>
      </c>
      <c r="AC218" s="462"/>
      <c r="AD218" s="1027">
        <f>IF(Tables!$E$30="Michigan",INDEX('Michigan Curve'!$A$4:$S$256,MATCH('Monthly Table'!B218,'Michigan Curve'!$A$4:$A$256,0),MATCH("Michigan Selected Option Value US$/month",'Michigan Curve'!$A$4:$S$4,0)),INDEX('NY Curve'!$A$4:$T$256,MATCH('Monthly Table'!B218,'NY Curve'!$A$4:$A$256,0),MATCH("New York Selected Option Value US$/month",'NY Curve'!$A$4:$T$4,0)))</f>
        <v>0</v>
      </c>
      <c r="AE218" s="601">
        <f t="shared" si="165"/>
        <v>0</v>
      </c>
      <c r="AF218" s="462"/>
      <c r="AG218" s="915"/>
      <c r="AH218" s="17"/>
      <c r="AI218" s="799">
        <f>Assumptions!$B$50</f>
        <v>65</v>
      </c>
      <c r="AJ218" s="743"/>
      <c r="AK218" s="924">
        <f>IF(Tables!$E$30="Custom",'Monthly Table'!AI218,IF(Tables!$E$30="New York",INDEX('NY Curve'!$A$4:$G$256,MATCH('Monthly Table'!B218,'NY Curve'!$A$4:$A$256,0),MATCH("Super Peak Curve",'NY Curve'!$A$4:$G$4,0)),IF(Tables!$E$30="New York Flat",INDEX('NY Curve'!$A$4:$G$256,MATCH('Monthly Table'!B218,'NY Curve'!$A$4:$A$256,0),MATCH("Flat NY West",'NY Curve'!$A$4:$G$4,0)),INDEX('Michigan Curve'!$A$4:$F$256,MATCH('Monthly Table'!B218,'Michigan Curve'!$A$4:$A$256,0),MATCH("Michigan Super Peak Curve US$/MWhr",'Michigan Curve'!$A$4:$F$4,0)))))</f>
        <v>32.25</v>
      </c>
      <c r="AL218" s="965">
        <f>IF(D218&lt;=Tables!$B$21,IF($AL$10=$AI$10,AI218,IF($AL$10=$AJ$10,AJ218,IF($AL$10=$AK$10,AK218,0))),0)</f>
        <v>0</v>
      </c>
      <c r="AM218" s="708">
        <f t="shared" si="166"/>
        <v>0</v>
      </c>
      <c r="AN218" s="916">
        <f t="shared" si="167"/>
        <v>0</v>
      </c>
      <c r="AO218" s="905"/>
      <c r="AP218" s="925"/>
      <c r="AQ218" s="926">
        <f>IF(Tables!$E$30="New York",INDEX('NY Curve'!$A$4:$L$256,MATCH('Monthly Table'!B218,'NY Curve'!$A$4:$A$256,0),MATCH("New York Shoulder Hour Curve Mon-Fri",'NY Curve'!$A$4:$L$4,0)),IF(Tables!$E$30="Michigan",INDEX('Michigan Curve'!$A$4:$K$256,MATCH('Monthly Table'!B218,'Michigan Curve'!$A$4:$A$256,0),MATCH("Michigan Shoulder Hour Curve Mon-Fri",'Michigan Curve'!$A$4:$K$4,0))))</f>
        <v>32.25</v>
      </c>
      <c r="AR218" s="708">
        <f t="shared" si="168"/>
        <v>40.55426203824782</v>
      </c>
      <c r="AS218" s="927">
        <f t="shared" si="157"/>
        <v>1</v>
      </c>
      <c r="AU218" s="926">
        <f>IF(Tables!$E$30="New York",INDEX('NY Curve'!$A$4:$L$256,MATCH('Monthly Table'!$B218,'NY Curve'!$A$4:$A$256,0),MATCH("New York Saturday Super Peak",'NY Curve'!$A$4:$L$4,0)),IF(Tables!$E$30="Michigan",INDEX('Michigan Curve'!$A$4:$K$256,MATCH('Monthly Table'!$B218,'Michigan Curve'!$A$4:$A$256,0),MATCH("Michigan Saturday Super Peak",'Michigan Curve'!$A$4:$K$4,0))))</f>
        <v>20</v>
      </c>
      <c r="AV218" s="925">
        <f t="shared" si="158"/>
        <v>25.149929946200199</v>
      </c>
      <c r="AW218" s="927">
        <f>IF(Tables!$B$21=15,0,IF(AV218&gt;($CP218+$BF$4),1,0))</f>
        <v>0</v>
      </c>
      <c r="AX218" s="926">
        <f>IF(Tables!$E$30="New York",INDEX('NY Curve'!$A$4:$L$256,MATCH('Monthly Table'!$B218,'NY Curve'!$A$4:$A$256,0),MATCH("New York Saturday Shoulder Peak",'NY Curve'!$A$4:$L$4,0)),IF(Tables!$E$30="Michigan",INDEX('Michigan Curve'!$A$4:$K$256,MATCH('Monthly Table'!$B218,'Michigan Curve'!$A$4:$A$256,0),MATCH("Michigan Saturday Shoulder Peak",'Michigan Curve'!$A$4:$K$4,0))))</f>
        <v>20</v>
      </c>
      <c r="AY218" s="934">
        <f t="shared" si="169"/>
        <v>25.149929946200199</v>
      </c>
      <c r="AZ218" s="927">
        <f>IF(Tables!$B$21=15,0,IF(AY218&gt;($CP218+$BF$4),1,0))</f>
        <v>0</v>
      </c>
      <c r="BB218" s="926">
        <f>IF(Tables!$E$30="New York",INDEX('NY Curve'!$A$4:$M$256,MATCH('Monthly Table'!$B218,'NY Curve'!$A$4:$A$256,0),MATCH("NY Sunday Super Peak",'NY Curve'!$A$4:$M$4,0)),IF(Tables!$E$30="Michigan",INDEX('Michigan Curve'!$A$4:$L$256,MATCH('Monthly Table'!$B218,'Michigan Curve'!$A$4:$A$256,0),MATCH("Michigan Sunday Super Peak",'Michigan Curve'!$A$4:$L$4,0))))</f>
        <v>18.995000839233398</v>
      </c>
      <c r="BC218" s="925">
        <f t="shared" si="170"/>
        <v>23.886147021736701</v>
      </c>
      <c r="BD218" s="927">
        <f t="shared" si="159"/>
        <v>1</v>
      </c>
      <c r="BF218" s="598">
        <f t="shared" si="152"/>
        <v>43191</v>
      </c>
      <c r="BG218" s="583">
        <f t="shared" si="171"/>
        <v>0</v>
      </c>
      <c r="BH218" s="764">
        <f>IF(Tables!$B$36="Combined Cycle",(BF218-BF217)*24*Assumptions!$B$21,0)</f>
        <v>0</v>
      </c>
      <c r="BI218" s="315">
        <f t="shared" si="172"/>
        <v>0</v>
      </c>
      <c r="BJ218" s="987">
        <f>IF('Monthly Table'!D218&lt;=Tables!$B$21,IF($BJ$10=$BG$10,BG218,IF($BJ$10=$BH$10,BH218,IF($BJ$10=$BI$10,BI218,0))),0)</f>
        <v>0</v>
      </c>
      <c r="BK218" s="43"/>
      <c r="BL218" s="987">
        <f t="shared" si="173"/>
        <v>0</v>
      </c>
      <c r="BM218" s="987">
        <f t="shared" si="174"/>
        <v>40</v>
      </c>
      <c r="BO218" s="987">
        <f t="shared" si="160"/>
        <v>0</v>
      </c>
      <c r="BP218" s="987">
        <f t="shared" si="175"/>
        <v>0</v>
      </c>
      <c r="BR218" s="993">
        <f>IF(BJ218&gt;0,INDEX(OperationalDetail,MATCH("Capacity Degradation",ODColumn,0),MATCH('Monthly Table'!C218,ODRow,0)),0)</f>
        <v>0</v>
      </c>
      <c r="BS218" s="994">
        <f>BJ218*(1-BR218)*Tables!$C$36</f>
        <v>0</v>
      </c>
      <c r="BT218" s="601">
        <f t="shared" si="161"/>
        <v>0</v>
      </c>
      <c r="BU218" s="601">
        <f t="shared" si="162"/>
        <v>0</v>
      </c>
      <c r="BV218" s="462"/>
      <c r="BW218" s="785">
        <f>$BO218*(1-$BR218)*Tables!$C$36</f>
        <v>0</v>
      </c>
      <c r="BX218" s="602">
        <f t="shared" si="176"/>
        <v>0</v>
      </c>
      <c r="BY218" s="601">
        <f t="shared" si="177"/>
        <v>0</v>
      </c>
      <c r="BZ218" s="462"/>
      <c r="CA218" s="785">
        <f>$BL218*(1-$BR218)*Tables!$C$36</f>
        <v>0</v>
      </c>
      <c r="CB218" s="602">
        <f t="shared" si="178"/>
        <v>0</v>
      </c>
      <c r="CC218" s="601">
        <f t="shared" si="179"/>
        <v>0</v>
      </c>
      <c r="CD218" s="785">
        <f>$BP218*(1-$BR218)*Tables!$C$36</f>
        <v>0</v>
      </c>
      <c r="CE218" s="602">
        <f t="shared" si="180"/>
        <v>0</v>
      </c>
      <c r="CF218" s="601">
        <f t="shared" si="181"/>
        <v>0</v>
      </c>
      <c r="CH218" s="785">
        <f>$BM218*(1-$BR218)*Tables!$C$36</f>
        <v>12960</v>
      </c>
      <c r="CI218" s="602">
        <f t="shared" si="182"/>
        <v>246.17521087646483</v>
      </c>
      <c r="CJ218" s="601">
        <f t="shared" si="183"/>
        <v>309.56446540170759</v>
      </c>
      <c r="CK218" s="304"/>
      <c r="CL218" s="304">
        <f t="shared" si="184"/>
        <v>2017</v>
      </c>
      <c r="CM218" s="1018">
        <f>INDEX(OperationalDetail,MATCH("Degraded Heat Rate",ODColumn,0),MATCH('Monthly Table'!CL218,ODRow,0))/1000</f>
        <v>11.96</v>
      </c>
      <c r="CN218" s="737">
        <f t="shared" si="163"/>
        <v>6.5334870317924079</v>
      </c>
      <c r="CO218" s="1019">
        <f>IF(A218="January",(CO217*(1+Assumptions!$E$32)),CO217)</f>
        <v>9.4315011091479786</v>
      </c>
      <c r="CP218" s="741">
        <f t="shared" si="153"/>
        <v>15.964988140940386</v>
      </c>
      <c r="CQ218" s="304"/>
      <c r="CR218" s="575" t="str">
        <f t="shared" si="185"/>
        <v/>
      </c>
      <c r="CS218" s="575" t="str">
        <f t="shared" si="186"/>
        <v/>
      </c>
      <c r="CT218" s="575" t="str">
        <f t="shared" si="187"/>
        <v/>
      </c>
      <c r="CU218" s="575" t="str">
        <f t="shared" si="188"/>
        <v/>
      </c>
      <c r="CV218" s="575">
        <f t="shared" si="189"/>
        <v>2018</v>
      </c>
      <c r="CW218" s="576">
        <f t="shared" si="154"/>
        <v>2018</v>
      </c>
      <c r="CX218" s="787">
        <f>INDEX('NY Curve'!$A$4:$G$256,MATCH('Monthly Table'!B218,'NY Curve'!$A$4:$A$256,0),MATCH("New York 5 X 16",'NY Curve'!$A$4:$G$4,0))</f>
        <v>28.6</v>
      </c>
      <c r="CY218" s="632">
        <f t="shared" si="155"/>
        <v>1.25749649731001</v>
      </c>
      <c r="CZ218" s="633">
        <f t="shared" si="156"/>
        <v>35.964399823066287</v>
      </c>
      <c r="DB218" s="857"/>
      <c r="DC218" s="857"/>
    </row>
    <row r="219" spans="1:107" ht="18.75" customHeight="1">
      <c r="A219" s="17" t="s">
        <v>441</v>
      </c>
      <c r="B219" s="508">
        <v>43221</v>
      </c>
      <c r="C219" s="43">
        <f t="shared" si="145"/>
        <v>2018</v>
      </c>
      <c r="D219" s="719">
        <f t="shared" si="190"/>
        <v>18</v>
      </c>
      <c r="E219" s="972">
        <v>22</v>
      </c>
      <c r="F219" s="971">
        <v>4</v>
      </c>
      <c r="G219" s="971">
        <v>4</v>
      </c>
      <c r="H219" s="971">
        <v>1</v>
      </c>
      <c r="I219" s="976">
        <f t="shared" si="164"/>
        <v>31</v>
      </c>
      <c r="J219" s="621"/>
      <c r="K219" s="572">
        <f>INDEX(FX!$A$3:$C$362,MATCH(B219,FX!$A$3:$A$362,0),MATCH("Monthly Curve",FX!$A$2:$C$2,0))</f>
        <v>1.25696109721058</v>
      </c>
      <c r="L219" s="572"/>
      <c r="M219" s="724"/>
      <c r="N219" s="746"/>
      <c r="O219" s="877">
        <v>0.1</v>
      </c>
      <c r="P219" s="797">
        <f t="shared" si="147"/>
        <v>0.1</v>
      </c>
      <c r="Q219" s="732">
        <f t="shared" si="148"/>
        <v>0.1</v>
      </c>
      <c r="R219" s="723">
        <f>IF(A219="January",(R218+R218*Assumptions!$E$32),R218)</f>
        <v>0.42052853018475211</v>
      </c>
      <c r="S219" s="730">
        <f t="shared" si="149"/>
        <v>0.54622463990581016</v>
      </c>
      <c r="T219" s="572"/>
      <c r="U219" s="507"/>
      <c r="V219" s="583"/>
      <c r="W219" s="583"/>
      <c r="X219" s="587"/>
      <c r="Y219" s="588">
        <f>Tables!$D$36</f>
        <v>312</v>
      </c>
      <c r="Z219" s="570">
        <f t="shared" si="150"/>
        <v>0</v>
      </c>
      <c r="AA219" s="592">
        <f t="shared" si="151"/>
        <v>0</v>
      </c>
      <c r="AB219" s="589">
        <f t="shared" si="146"/>
        <v>0</v>
      </c>
      <c r="AC219" s="462"/>
      <c r="AD219" s="1027">
        <f>IF(Tables!$E$30="Michigan",INDEX('Michigan Curve'!$A$4:$S$256,MATCH('Monthly Table'!B219,'Michigan Curve'!$A$4:$A$256,0),MATCH("Michigan Selected Option Value US$/month",'Michigan Curve'!$A$4:$S$4,0)),INDEX('NY Curve'!$A$4:$T$256,MATCH('Monthly Table'!B219,'NY Curve'!$A$4:$A$256,0),MATCH("New York Selected Option Value US$/month",'NY Curve'!$A$4:$T$4,0)))</f>
        <v>0</v>
      </c>
      <c r="AE219" s="601">
        <f t="shared" si="165"/>
        <v>0</v>
      </c>
      <c r="AF219" s="462"/>
      <c r="AG219" s="915"/>
      <c r="AH219" s="17"/>
      <c r="AI219" s="799">
        <f>Assumptions!$B$50</f>
        <v>65</v>
      </c>
      <c r="AJ219" s="743"/>
      <c r="AK219" s="924">
        <f>IF(Tables!$E$30="Custom",'Monthly Table'!AI219,IF(Tables!$E$30="New York",INDEX('NY Curve'!$A$4:$G$256,MATCH('Monthly Table'!B219,'NY Curve'!$A$4:$A$256,0),MATCH("Super Peak Curve",'NY Curve'!$A$4:$G$4,0)),IF(Tables!$E$30="New York Flat",INDEX('NY Curve'!$A$4:$G$256,MATCH('Monthly Table'!B219,'NY Curve'!$A$4:$A$256,0),MATCH("Flat NY West",'NY Curve'!$A$4:$G$4,0)),INDEX('Michigan Curve'!$A$4:$F$256,MATCH('Monthly Table'!B219,'Michigan Curve'!$A$4:$A$256,0),MATCH("Michigan Super Peak Curve US$/MWhr",'Michigan Curve'!$A$4:$F$4,0)))))</f>
        <v>38.745000064373016</v>
      </c>
      <c r="AL219" s="965">
        <f>IF(D219&lt;=Tables!$B$21,IF($AL$10=$AI$10,AI219,IF($AL$10=$AJ$10,AJ219,IF($AL$10=$AK$10,AK219,0))),0)</f>
        <v>0</v>
      </c>
      <c r="AM219" s="708">
        <f t="shared" si="166"/>
        <v>0</v>
      </c>
      <c r="AN219" s="916">
        <f t="shared" si="167"/>
        <v>0</v>
      </c>
      <c r="AO219" s="905"/>
      <c r="AP219" s="925"/>
      <c r="AQ219" s="926">
        <f>IF(Tables!$E$30="New York",INDEX('NY Curve'!$A$4:$L$256,MATCH('Monthly Table'!B219,'NY Curve'!$A$4:$A$256,0),MATCH("New York Shoulder Hour Curve Mon-Fri",'NY Curve'!$A$4:$L$4,0)),IF(Tables!$E$30="Michigan",INDEX('Michigan Curve'!$A$4:$K$256,MATCH('Monthly Table'!B219,'Michigan Curve'!$A$4:$A$256,0),MATCH("Michigan Shoulder Hour Curve Mon-Fri",'Michigan Curve'!$A$4:$K$4,0))))</f>
        <v>33.254999935626984</v>
      </c>
      <c r="AR219" s="708">
        <f t="shared" si="168"/>
        <v>41.800241206823465</v>
      </c>
      <c r="AS219" s="927">
        <f t="shared" si="157"/>
        <v>1</v>
      </c>
      <c r="AU219" s="926">
        <f>IF(Tables!$E$30="New York",INDEX('NY Curve'!$A$4:$L$256,MATCH('Monthly Table'!$B219,'NY Curve'!$A$4:$A$256,0),MATCH("New York Saturday Super Peak",'NY Curve'!$A$4:$L$4,0)),IF(Tables!$E$30="Michigan",INDEX('Michigan Curve'!$A$4:$K$256,MATCH('Monthly Table'!$B219,'Michigan Curve'!$A$4:$A$256,0),MATCH("Michigan Saturday Super Peak",'Michigan Curve'!$A$4:$K$4,0))))</f>
        <v>22.601250037550926</v>
      </c>
      <c r="AV219" s="925">
        <f t="shared" si="158"/>
        <v>28.408892045530674</v>
      </c>
      <c r="AW219" s="927">
        <f>IF(Tables!$B$21=15,0,IF(AV219&gt;($CP219+$BF$4),1,0))</f>
        <v>0</v>
      </c>
      <c r="AX219" s="926">
        <f>IF(Tables!$E$30="New York",INDEX('NY Curve'!$A$4:$L$256,MATCH('Monthly Table'!$B219,'NY Curve'!$A$4:$A$256,0),MATCH("New York Saturday Shoulder Peak",'NY Curve'!$A$4:$L$4,0)),IF(Tables!$E$30="Michigan",INDEX('Michigan Curve'!$A$4:$K$256,MATCH('Monthly Table'!$B219,'Michigan Curve'!$A$4:$A$256,0),MATCH("Michigan Saturday Shoulder Peak",'Michigan Curve'!$A$4:$K$4,0))))</f>
        <v>19.398749962449074</v>
      </c>
      <c r="AY219" s="934">
        <f t="shared" si="169"/>
        <v>24.383474037313686</v>
      </c>
      <c r="AZ219" s="927">
        <f>IF(Tables!$B$21=15,0,IF(AY219&gt;($CP219+$BF$4),1,0))</f>
        <v>0</v>
      </c>
      <c r="BB219" s="926">
        <f>IF(Tables!$E$30="New York",INDEX('NY Curve'!$A$4:$M$256,MATCH('Monthly Table'!$B219,'NY Curve'!$A$4:$A$256,0),MATCH("NY Sunday Super Peak",'NY Curve'!$A$4:$M$4,0)),IF(Tables!$E$30="Michigan",INDEX('Michigan Curve'!$A$4:$L$256,MATCH('Monthly Table'!$B219,'Michigan Curve'!$A$4:$A$256,0),MATCH("Michigan Sunday Super Peak",'Michigan Curve'!$A$4:$L$4,0))))</f>
        <v>21.530380382546781</v>
      </c>
      <c r="BC219" s="925">
        <f t="shared" si="170"/>
        <v>27.062850549007148</v>
      </c>
      <c r="BD219" s="927">
        <f t="shared" si="159"/>
        <v>1</v>
      </c>
      <c r="BF219" s="598">
        <f t="shared" si="152"/>
        <v>43221</v>
      </c>
      <c r="BG219" s="583">
        <f t="shared" si="171"/>
        <v>0</v>
      </c>
      <c r="BH219" s="764">
        <f>IF(Tables!$B$36="Combined Cycle",(BF219-BF218)*24*Assumptions!$B$21,0)</f>
        <v>0</v>
      </c>
      <c r="BI219" s="315">
        <f t="shared" si="172"/>
        <v>0</v>
      </c>
      <c r="BJ219" s="987">
        <f>IF('Monthly Table'!D219&lt;=Tables!$B$21,IF($BJ$10=$BG$10,BG219,IF($BJ$10=$BH$10,BH219,IF($BJ$10=$BI$10,BI219,0))),0)</f>
        <v>0</v>
      </c>
      <c r="BK219" s="43"/>
      <c r="BL219" s="987">
        <f t="shared" si="173"/>
        <v>0</v>
      </c>
      <c r="BM219" s="987">
        <f t="shared" si="174"/>
        <v>40</v>
      </c>
      <c r="BO219" s="987">
        <f t="shared" si="160"/>
        <v>0</v>
      </c>
      <c r="BP219" s="987">
        <f t="shared" si="175"/>
        <v>0</v>
      </c>
      <c r="BR219" s="993">
        <f>IF(BJ219&gt;0,INDEX(OperationalDetail,MATCH("Capacity Degradation",ODColumn,0),MATCH('Monthly Table'!C219,ODRow,0)),0)</f>
        <v>0</v>
      </c>
      <c r="BS219" s="994">
        <f>BJ219*(1-BR219)*Tables!$C$36</f>
        <v>0</v>
      </c>
      <c r="BT219" s="601">
        <f t="shared" si="161"/>
        <v>0</v>
      </c>
      <c r="BU219" s="601">
        <f t="shared" si="162"/>
        <v>0</v>
      </c>
      <c r="BV219" s="462"/>
      <c r="BW219" s="785">
        <f>$BO219*(1-$BR219)*Tables!$C$36</f>
        <v>0</v>
      </c>
      <c r="BX219" s="602">
        <f t="shared" si="176"/>
        <v>0</v>
      </c>
      <c r="BY219" s="601">
        <f t="shared" si="177"/>
        <v>0</v>
      </c>
      <c r="BZ219" s="462"/>
      <c r="CA219" s="785">
        <f>$BL219*(1-$BR219)*Tables!$C$36</f>
        <v>0</v>
      </c>
      <c r="CB219" s="602">
        <f t="shared" si="178"/>
        <v>0</v>
      </c>
      <c r="CC219" s="601">
        <f t="shared" si="179"/>
        <v>0</v>
      </c>
      <c r="CD219" s="785">
        <f>$BP219*(1-$BR219)*Tables!$C$36</f>
        <v>0</v>
      </c>
      <c r="CE219" s="602">
        <f t="shared" si="180"/>
        <v>0</v>
      </c>
      <c r="CF219" s="601">
        <f t="shared" si="181"/>
        <v>0</v>
      </c>
      <c r="CH219" s="785">
        <f>$BM219*(1-$BR219)*Tables!$C$36</f>
        <v>12960</v>
      </c>
      <c r="CI219" s="602">
        <f t="shared" si="182"/>
        <v>279.03372975780627</v>
      </c>
      <c r="CJ219" s="601">
        <f t="shared" si="183"/>
        <v>350.73454311513262</v>
      </c>
      <c r="CK219" s="304"/>
      <c r="CL219" s="304">
        <f t="shared" si="184"/>
        <v>2017</v>
      </c>
      <c r="CM219" s="1018">
        <f>INDEX(OperationalDetail,MATCH("Degraded Heat Rate",ODColumn,0),MATCH('Monthly Table'!CL219,ODRow,0))/1000</f>
        <v>11.96</v>
      </c>
      <c r="CN219" s="737">
        <f t="shared" si="163"/>
        <v>6.5328466932734903</v>
      </c>
      <c r="CO219" s="1019">
        <f>IF(A219="January",(CO218*(1+Assumptions!$E$32)),CO218)</f>
        <v>9.4315011091479786</v>
      </c>
      <c r="CP219" s="741">
        <f t="shared" si="153"/>
        <v>15.964347802421468</v>
      </c>
      <c r="CQ219" s="304"/>
      <c r="CR219" s="575" t="str">
        <f t="shared" si="185"/>
        <v/>
      </c>
      <c r="CS219" s="575" t="str">
        <f t="shared" si="186"/>
        <v/>
      </c>
      <c r="CT219" s="575" t="str">
        <f t="shared" si="187"/>
        <v/>
      </c>
      <c r="CU219" s="575" t="str">
        <f t="shared" si="188"/>
        <v/>
      </c>
      <c r="CV219" s="575">
        <f t="shared" si="189"/>
        <v>2018</v>
      </c>
      <c r="CW219" s="576">
        <f t="shared" si="154"/>
        <v>2018</v>
      </c>
      <c r="CX219" s="787">
        <f>INDEX('NY Curve'!$A$4:$G$256,MATCH('Monthly Table'!B219,'NY Curve'!$A$4:$A$256,0),MATCH("New York 5 X 16",'NY Curve'!$A$4:$G$4,0))</f>
        <v>34.65</v>
      </c>
      <c r="CY219" s="632">
        <f t="shared" si="155"/>
        <v>1.25696109721058</v>
      </c>
      <c r="CZ219" s="633">
        <f t="shared" si="156"/>
        <v>43.553702018346598</v>
      </c>
      <c r="DB219" s="857"/>
      <c r="DC219" s="857"/>
    </row>
    <row r="220" spans="1:107" ht="18.75" customHeight="1">
      <c r="A220" s="17" t="s">
        <v>442</v>
      </c>
      <c r="B220" s="508">
        <v>43252</v>
      </c>
      <c r="C220" s="43">
        <f t="shared" si="145"/>
        <v>2018</v>
      </c>
      <c r="D220" s="719">
        <f t="shared" si="190"/>
        <v>18</v>
      </c>
      <c r="E220" s="972">
        <v>21</v>
      </c>
      <c r="F220" s="971">
        <v>5</v>
      </c>
      <c r="G220" s="971">
        <v>4</v>
      </c>
      <c r="H220" s="971">
        <v>0</v>
      </c>
      <c r="I220" s="976">
        <f t="shared" si="164"/>
        <v>30</v>
      </c>
      <c r="J220" s="621"/>
      <c r="K220" s="572">
        <f>INDEX(FX!$A$3:$C$362,MATCH(B220,FX!$A$3:$A$362,0),MATCH("Monthly Curve",FX!$A$2:$C$2,0))</f>
        <v>1.2564108791414199</v>
      </c>
      <c r="L220" s="572"/>
      <c r="M220" s="724"/>
      <c r="N220" s="746"/>
      <c r="O220" s="877">
        <v>0.1</v>
      </c>
      <c r="P220" s="797">
        <f t="shared" si="147"/>
        <v>0.1</v>
      </c>
      <c r="Q220" s="732">
        <f t="shared" si="148"/>
        <v>0.1</v>
      </c>
      <c r="R220" s="723">
        <f>IF(A220="January",(R219+R219*Assumptions!$E$32),R219)</f>
        <v>0.42052853018475211</v>
      </c>
      <c r="S220" s="730">
        <f t="shared" si="149"/>
        <v>0.54616961809889408</v>
      </c>
      <c r="T220" s="572"/>
      <c r="U220" s="507"/>
      <c r="V220" s="583"/>
      <c r="W220" s="583"/>
      <c r="X220" s="587"/>
      <c r="Y220" s="588">
        <f>Tables!$D$36</f>
        <v>312</v>
      </c>
      <c r="Z220" s="570">
        <f t="shared" si="150"/>
        <v>0</v>
      </c>
      <c r="AA220" s="592">
        <f t="shared" si="151"/>
        <v>0</v>
      </c>
      <c r="AB220" s="589">
        <f t="shared" si="146"/>
        <v>0</v>
      </c>
      <c r="AC220" s="462"/>
      <c r="AD220" s="1027">
        <f>IF(Tables!$E$30="Michigan",INDEX('Michigan Curve'!$A$4:$S$256,MATCH('Monthly Table'!B220,'Michigan Curve'!$A$4:$A$256,0),MATCH("Michigan Selected Option Value US$/month",'Michigan Curve'!$A$4:$S$4,0)),INDEX('NY Curve'!$A$4:$T$256,MATCH('Monthly Table'!B220,'NY Curve'!$A$4:$A$256,0),MATCH("New York Selected Option Value US$/month",'NY Curve'!$A$4:$T$4,0)))</f>
        <v>0</v>
      </c>
      <c r="AE220" s="601">
        <f t="shared" si="165"/>
        <v>0</v>
      </c>
      <c r="AF220" s="462"/>
      <c r="AG220" s="915"/>
      <c r="AH220" s="17"/>
      <c r="AI220" s="799">
        <f>Assumptions!$B$50</f>
        <v>65</v>
      </c>
      <c r="AJ220" s="743"/>
      <c r="AK220" s="924">
        <f>IF(Tables!$E$30="Custom",'Monthly Table'!AI220,IF(Tables!$E$30="New York",INDEX('NY Curve'!$A$4:$G$256,MATCH('Monthly Table'!B220,'NY Curve'!$A$4:$A$256,0),MATCH("Super Peak Curve",'NY Curve'!$A$4:$G$4,0)),IF(Tables!$E$30="New York Flat",INDEX('NY Curve'!$A$4:$G$256,MATCH('Monthly Table'!B220,'NY Curve'!$A$4:$A$256,0),MATCH("Flat NY West",'NY Curve'!$A$4:$G$4,0)),INDEX('Michigan Curve'!$A$4:$F$256,MATCH('Monthly Table'!B220,'Michigan Curve'!$A$4:$A$256,0),MATCH("Michigan Super Peak Curve US$/MWhr",'Michigan Curve'!$A$4:$F$4,0)))))</f>
        <v>94.26542618110372</v>
      </c>
      <c r="AL220" s="965">
        <f>IF(D220&lt;=Tables!$B$21,IF($AL$10=$AI$10,AI220,IF($AL$10=$AJ$10,AJ220,IF($AL$10=$AK$10,AK220,0))),0)</f>
        <v>0</v>
      </c>
      <c r="AM220" s="708">
        <f t="shared" si="166"/>
        <v>0</v>
      </c>
      <c r="AN220" s="916">
        <f t="shared" si="167"/>
        <v>0</v>
      </c>
      <c r="AO220" s="905"/>
      <c r="AP220" s="925"/>
      <c r="AQ220" s="926">
        <f>IF(Tables!$E$30="New York",INDEX('NY Curve'!$A$4:$L$256,MATCH('Monthly Table'!B220,'NY Curve'!$A$4:$A$256,0),MATCH("New York Shoulder Hour Curve Mon-Fri",'NY Curve'!$A$4:$L$4,0)),IF(Tables!$E$30="Michigan",INDEX('Michigan Curve'!$A$4:$K$256,MATCH('Monthly Table'!B220,'Michigan Curve'!$A$4:$A$256,0),MATCH("Michigan Shoulder Hour Curve Mon-Fri",'Michigan Curve'!$A$4:$K$4,0))))</f>
        <v>24.234573818896287</v>
      </c>
      <c r="AR220" s="708">
        <f t="shared" si="168"/>
        <v>30.448582197417121</v>
      </c>
      <c r="AS220" s="927">
        <f t="shared" si="157"/>
        <v>1</v>
      </c>
      <c r="AU220" s="926">
        <f>IF(Tables!$E$30="New York",INDEX('NY Curve'!$A$4:$L$256,MATCH('Monthly Table'!$B220,'NY Curve'!$A$4:$A$256,0),MATCH("New York Saturday Super Peak",'NY Curve'!$A$4:$L$4,0)),IF(Tables!$E$30="Michigan",INDEX('Michigan Curve'!$A$4:$K$256,MATCH('Monthly Table'!$B220,'Michigan Curve'!$A$4:$A$256,0),MATCH("Michigan Saturday Super Peak",'Michigan Curve'!$A$4:$K$4,0))))</f>
        <v>41.36541908369108</v>
      </c>
      <c r="AV220" s="925">
        <f t="shared" si="158"/>
        <v>51.971962556993581</v>
      </c>
      <c r="AW220" s="927">
        <f>IF(Tables!$B$21=15,0,IF(AV220&gt;($CP220+$BF$4),1,0))</f>
        <v>0</v>
      </c>
      <c r="AX220" s="926">
        <f>IF(Tables!$E$30="New York",INDEX('NY Curve'!$A$4:$L$256,MATCH('Monthly Table'!$B220,'NY Curve'!$A$4:$A$256,0),MATCH("New York Saturday Shoulder Peak",'NY Curve'!$A$4:$L$4,0)),IF(Tables!$E$30="Michigan",INDEX('Michigan Curve'!$A$4:$K$256,MATCH('Monthly Table'!$B220,'Michigan Curve'!$A$4:$A$256,0),MATCH("Michigan Saturday Shoulder Peak",'Michigan Curve'!$A$4:$K$4,0))))</f>
        <v>10.63458091630892</v>
      </c>
      <c r="AY220" s="934">
        <f t="shared" si="169"/>
        <v>13.361403158360257</v>
      </c>
      <c r="AZ220" s="927">
        <f>IF(Tables!$B$21=15,0,IF(AY220&gt;($CP220+$BF$4),1,0))</f>
        <v>0</v>
      </c>
      <c r="BB220" s="926">
        <f>IF(Tables!$E$30="New York",INDEX('NY Curve'!$A$4:$M$256,MATCH('Monthly Table'!$B220,'NY Curve'!$A$4:$A$256,0),MATCH("NY Sunday Super Peak",'NY Curve'!$A$4:$M$4,0)),IF(Tables!$E$30="Michigan",INDEX('Michigan Curve'!$A$4:$L$256,MATCH('Monthly Table'!$B220,'Michigan Curve'!$A$4:$A$256,0),MATCH("Michigan Sunday Super Peak",'Michigan Curve'!$A$4:$L$4,0))))</f>
        <v>38.183463769561001</v>
      </c>
      <c r="BC220" s="925">
        <f t="shared" si="170"/>
        <v>47.974119283378691</v>
      </c>
      <c r="BD220" s="927">
        <f t="shared" si="159"/>
        <v>1</v>
      </c>
      <c r="BF220" s="598">
        <f t="shared" si="152"/>
        <v>43252</v>
      </c>
      <c r="BG220" s="583">
        <f t="shared" si="171"/>
        <v>0</v>
      </c>
      <c r="BH220" s="764">
        <f>IF(Tables!$B$36="Combined Cycle",(BF220-BF219)*24*Assumptions!$B$21,0)</f>
        <v>0</v>
      </c>
      <c r="BI220" s="315">
        <f t="shared" si="172"/>
        <v>0</v>
      </c>
      <c r="BJ220" s="987">
        <f>IF('Monthly Table'!D220&lt;=Tables!$B$21,IF($BJ$10=$BG$10,BG220,IF($BJ$10=$BH$10,BH220,IF($BJ$10=$BI$10,BI220,0))),0)</f>
        <v>0</v>
      </c>
      <c r="BK220" s="43"/>
      <c r="BL220" s="987">
        <f t="shared" si="173"/>
        <v>0</v>
      </c>
      <c r="BM220" s="987">
        <f t="shared" si="174"/>
        <v>32</v>
      </c>
      <c r="BO220" s="987">
        <f t="shared" si="160"/>
        <v>0</v>
      </c>
      <c r="BP220" s="987">
        <f t="shared" si="175"/>
        <v>0</v>
      </c>
      <c r="BR220" s="993">
        <f>IF(BJ220&gt;0,INDEX(OperationalDetail,MATCH("Capacity Degradation",ODColumn,0),MATCH('Monthly Table'!C220,ODRow,0)),0)</f>
        <v>0</v>
      </c>
      <c r="BS220" s="994">
        <f>BJ220*(1-BR220)*Tables!$C$36</f>
        <v>0</v>
      </c>
      <c r="BT220" s="601">
        <f t="shared" si="161"/>
        <v>0</v>
      </c>
      <c r="BU220" s="601">
        <f t="shared" si="162"/>
        <v>0</v>
      </c>
      <c r="BV220" s="462"/>
      <c r="BW220" s="785">
        <f>$BO220*(1-$BR220)*Tables!$C$36</f>
        <v>0</v>
      </c>
      <c r="BX220" s="602">
        <f t="shared" si="176"/>
        <v>0</v>
      </c>
      <c r="BY220" s="601">
        <f t="shared" si="177"/>
        <v>0</v>
      </c>
      <c r="BZ220" s="462"/>
      <c r="CA220" s="785">
        <f>$BL220*(1-$BR220)*Tables!$C$36</f>
        <v>0</v>
      </c>
      <c r="CB220" s="602">
        <f t="shared" si="178"/>
        <v>0</v>
      </c>
      <c r="CC220" s="601">
        <f t="shared" si="179"/>
        <v>0</v>
      </c>
      <c r="CD220" s="785">
        <f>$BP220*(1-$BR220)*Tables!$C$36</f>
        <v>0</v>
      </c>
      <c r="CE220" s="602">
        <f t="shared" si="180"/>
        <v>0</v>
      </c>
      <c r="CF220" s="601">
        <f t="shared" si="181"/>
        <v>0</v>
      </c>
      <c r="CH220" s="785">
        <f>$BM220*(1-$BR220)*Tables!$C$36</f>
        <v>10368</v>
      </c>
      <c r="CI220" s="602">
        <f t="shared" si="182"/>
        <v>395.88615236280845</v>
      </c>
      <c r="CJ220" s="601">
        <f t="shared" si="183"/>
        <v>497.39566873007027</v>
      </c>
      <c r="CK220" s="304"/>
      <c r="CL220" s="304">
        <f t="shared" si="184"/>
        <v>2017</v>
      </c>
      <c r="CM220" s="1018">
        <f>INDEX(OperationalDetail,MATCH("Degraded Heat Rate",ODColumn,0),MATCH('Monthly Table'!CL220,ODRow,0))/1000</f>
        <v>11.96</v>
      </c>
      <c r="CN220" s="737">
        <f t="shared" si="163"/>
        <v>6.5321886324627734</v>
      </c>
      <c r="CO220" s="1019">
        <f>IF(A220="January",(CO219*(1+Assumptions!$E$32)),CO219)</f>
        <v>9.4315011091479786</v>
      </c>
      <c r="CP220" s="741">
        <f t="shared" si="153"/>
        <v>15.963689741610752</v>
      </c>
      <c r="CQ220" s="304"/>
      <c r="CR220" s="575" t="str">
        <f t="shared" si="185"/>
        <v/>
      </c>
      <c r="CS220" s="575" t="str">
        <f t="shared" si="186"/>
        <v/>
      </c>
      <c r="CT220" s="575" t="str">
        <f t="shared" si="187"/>
        <v/>
      </c>
      <c r="CU220" s="575" t="str">
        <f t="shared" si="188"/>
        <v/>
      </c>
      <c r="CV220" s="575">
        <f t="shared" si="189"/>
        <v>2018</v>
      </c>
      <c r="CW220" s="576">
        <f t="shared" si="154"/>
        <v>2018</v>
      </c>
      <c r="CX220" s="787">
        <f>INDEX('NY Curve'!$A$4:$G$256,MATCH('Monthly Table'!B220,'NY Curve'!$A$4:$A$256,0),MATCH("New York 5 X 16",'NY Curve'!$A$4:$G$4,0))</f>
        <v>59.25</v>
      </c>
      <c r="CY220" s="632">
        <f t="shared" si="155"/>
        <v>1.2564108791414199</v>
      </c>
      <c r="CZ220" s="633">
        <f t="shared" si="156"/>
        <v>74.442344589129135</v>
      </c>
      <c r="DB220" s="857"/>
      <c r="DC220" s="857"/>
    </row>
    <row r="221" spans="1:107" ht="18.75" customHeight="1">
      <c r="A221" s="17" t="s">
        <v>443</v>
      </c>
      <c r="B221" s="508">
        <v>43282</v>
      </c>
      <c r="C221" s="43">
        <f t="shared" si="145"/>
        <v>2018</v>
      </c>
      <c r="D221" s="719">
        <f t="shared" si="190"/>
        <v>18</v>
      </c>
      <c r="E221" s="972">
        <v>21</v>
      </c>
      <c r="F221" s="971">
        <v>4</v>
      </c>
      <c r="G221" s="971">
        <v>5</v>
      </c>
      <c r="H221" s="971">
        <v>1</v>
      </c>
      <c r="I221" s="976">
        <f t="shared" si="164"/>
        <v>31</v>
      </c>
      <c r="J221" s="621"/>
      <c r="K221" s="572">
        <f>INDEX(FX!$A$3:$C$362,MATCH(B221,FX!$A$3:$A$362,0),MATCH("Monthly Curve",FX!$A$2:$C$2,0))</f>
        <v>1.25588133744969</v>
      </c>
      <c r="L221" s="572"/>
      <c r="M221" s="724"/>
      <c r="N221" s="746"/>
      <c r="O221" s="877">
        <v>0.1</v>
      </c>
      <c r="P221" s="797">
        <f t="shared" si="147"/>
        <v>0.1</v>
      </c>
      <c r="Q221" s="732">
        <f t="shared" si="148"/>
        <v>0.1</v>
      </c>
      <c r="R221" s="723">
        <f>IF(A221="January",(R220+R220*Assumptions!$E$32),R220)</f>
        <v>0.42052853018475211</v>
      </c>
      <c r="S221" s="730">
        <f t="shared" si="149"/>
        <v>0.54611666392972114</v>
      </c>
      <c r="T221" s="572"/>
      <c r="U221" s="507"/>
      <c r="V221" s="583"/>
      <c r="W221" s="583"/>
      <c r="X221" s="587"/>
      <c r="Y221" s="588">
        <f>Tables!$D$36</f>
        <v>312</v>
      </c>
      <c r="Z221" s="570">
        <f t="shared" si="150"/>
        <v>0</v>
      </c>
      <c r="AA221" s="592">
        <f t="shared" si="151"/>
        <v>0</v>
      </c>
      <c r="AB221" s="589">
        <f t="shared" si="146"/>
        <v>0</v>
      </c>
      <c r="AC221" s="462"/>
      <c r="AD221" s="1027">
        <f>IF(Tables!$E$30="Michigan",INDEX('Michigan Curve'!$A$4:$S$256,MATCH('Monthly Table'!B221,'Michigan Curve'!$A$4:$A$256,0),MATCH("Michigan Selected Option Value US$/month",'Michigan Curve'!$A$4:$S$4,0)),INDEX('NY Curve'!$A$4:$T$256,MATCH('Monthly Table'!B221,'NY Curve'!$A$4:$A$256,0),MATCH("New York Selected Option Value US$/month",'NY Curve'!$A$4:$T$4,0)))</f>
        <v>0</v>
      </c>
      <c r="AE221" s="601">
        <f t="shared" si="165"/>
        <v>0</v>
      </c>
      <c r="AF221" s="462"/>
      <c r="AG221" s="915"/>
      <c r="AH221" s="17"/>
      <c r="AI221" s="799">
        <f>Assumptions!$B$50</f>
        <v>65</v>
      </c>
      <c r="AJ221" s="743"/>
      <c r="AK221" s="924">
        <f>IF(Tables!$E$30="Custom",'Monthly Table'!AI221,IF(Tables!$E$30="New York",INDEX('NY Curve'!$A$4:$G$256,MATCH('Monthly Table'!B221,'NY Curve'!$A$4:$A$256,0),MATCH("Super Peak Curve",'NY Curve'!$A$4:$G$4,0)),IF(Tables!$E$30="New York Flat",INDEX('NY Curve'!$A$4:$G$256,MATCH('Monthly Table'!B221,'NY Curve'!$A$4:$A$256,0),MATCH("Flat NY West",'NY Curve'!$A$4:$G$4,0)),INDEX('Michigan Curve'!$A$4:$F$256,MATCH('Monthly Table'!B221,'Michigan Curve'!$A$4:$A$256,0),MATCH("Michigan Super Peak Curve US$/MWhr",'Michigan Curve'!$A$4:$F$4,0)))))</f>
        <v>188.87066301597619</v>
      </c>
      <c r="AL221" s="965">
        <f>IF(D221&lt;=Tables!$B$21,IF($AL$10=$AI$10,AI221,IF($AL$10=$AJ$10,AJ221,IF($AL$10=$AK$10,AK221,0))),0)</f>
        <v>0</v>
      </c>
      <c r="AM221" s="708">
        <f t="shared" si="166"/>
        <v>0</v>
      </c>
      <c r="AN221" s="916">
        <f t="shared" si="167"/>
        <v>0</v>
      </c>
      <c r="AO221" s="905"/>
      <c r="AP221" s="925"/>
      <c r="AQ221" s="926">
        <f>IF(Tables!$E$30="New York",INDEX('NY Curve'!$A$4:$L$256,MATCH('Monthly Table'!B221,'NY Curve'!$A$4:$A$256,0),MATCH("New York Shoulder Hour Curve Mon-Fri",'NY Curve'!$A$4:$L$4,0)),IF(Tables!$E$30="Michigan",INDEX('Michigan Curve'!$A$4:$K$256,MATCH('Monthly Table'!B221,'Michigan Curve'!$A$4:$A$256,0),MATCH("Michigan Shoulder Hour Curve Mon-Fri",'Michigan Curve'!$A$4:$K$4,0))))</f>
        <v>31.129336984023798</v>
      </c>
      <c r="AR221" s="708">
        <f t="shared" si="168"/>
        <v>39.094753365417908</v>
      </c>
      <c r="AS221" s="927">
        <f t="shared" si="157"/>
        <v>1</v>
      </c>
      <c r="AU221" s="926">
        <f>IF(Tables!$E$30="New York",INDEX('NY Curve'!$A$4:$L$256,MATCH('Monthly Table'!$B221,'NY Curve'!$A$4:$A$256,0),MATCH("New York Saturday Super Peak",'NY Curve'!$A$4:$L$4,0)),IF(Tables!$E$30="Michigan",INDEX('Michigan Curve'!$A$4:$K$256,MATCH('Monthly Table'!$B221,'Michigan Curve'!$A$4:$A$256,0),MATCH("Michigan Saturday Super Peak",'Michigan Curve'!$A$4:$K$4,0))))</f>
        <v>60.095210959628794</v>
      </c>
      <c r="AV221" s="925">
        <f t="shared" si="158"/>
        <v>75.472453914299876</v>
      </c>
      <c r="AW221" s="927">
        <f>IF(Tables!$B$21=15,0,IF(AV221&gt;($CP221+$BF$4),1,0))</f>
        <v>0</v>
      </c>
      <c r="AX221" s="926">
        <f>IF(Tables!$E$30="New York",INDEX('NY Curve'!$A$4:$L$256,MATCH('Monthly Table'!$B221,'NY Curve'!$A$4:$A$256,0),MATCH("New York Saturday Shoulder Peak",'NY Curve'!$A$4:$L$4,0)),IF(Tables!$E$30="Michigan",INDEX('Michigan Curve'!$A$4:$K$256,MATCH('Monthly Table'!$B221,'Michigan Curve'!$A$4:$A$256,0),MATCH("Michigan Saturday Shoulder Peak",'Michigan Curve'!$A$4:$K$4,0))))</f>
        <v>9.9047890403712078</v>
      </c>
      <c r="AY221" s="934">
        <f t="shared" si="169"/>
        <v>12.439239707178423</v>
      </c>
      <c r="AZ221" s="927">
        <f>IF(Tables!$B$21=15,0,IF(AY221&gt;($CP221+$BF$4),1,0))</f>
        <v>0</v>
      </c>
      <c r="BB221" s="926">
        <f>IF(Tables!$E$30="New York",INDEX('NY Curve'!$A$4:$M$256,MATCH('Monthly Table'!$B221,'NY Curve'!$A$4:$A$256,0),MATCH("NY Sunday Super Peak",'NY Curve'!$A$4:$M$4,0)),IF(Tables!$E$30="Michigan",INDEX('Michigan Curve'!$A$4:$L$256,MATCH('Monthly Table'!$B221,'Michigan Curve'!$A$4:$A$256,0),MATCH("Michigan Sunday Super Peak",'Michigan Curve'!$A$4:$L$4,0))))</f>
        <v>53.22718357502783</v>
      </c>
      <c r="BC221" s="925">
        <f t="shared" si="170"/>
        <v>66.847026496886116</v>
      </c>
      <c r="BD221" s="927">
        <f t="shared" si="159"/>
        <v>1</v>
      </c>
      <c r="BF221" s="598">
        <f t="shared" si="152"/>
        <v>43282</v>
      </c>
      <c r="BG221" s="583">
        <f t="shared" si="171"/>
        <v>0</v>
      </c>
      <c r="BH221" s="764">
        <f>IF(Tables!$B$36="Combined Cycle",(BF221-BF220)*24*Assumptions!$B$21,0)</f>
        <v>0</v>
      </c>
      <c r="BI221" s="315">
        <f t="shared" si="172"/>
        <v>0</v>
      </c>
      <c r="BJ221" s="987">
        <f>IF('Monthly Table'!D221&lt;=Tables!$B$21,IF($BJ$10=$BG$10,BG221,IF($BJ$10=$BH$10,BH221,IF($BJ$10=$BI$10,BI221,0))),0)</f>
        <v>0</v>
      </c>
      <c r="BK221" s="43"/>
      <c r="BL221" s="987">
        <f t="shared" si="173"/>
        <v>0</v>
      </c>
      <c r="BM221" s="987">
        <f t="shared" si="174"/>
        <v>48</v>
      </c>
      <c r="BO221" s="987">
        <f t="shared" si="160"/>
        <v>0</v>
      </c>
      <c r="BP221" s="987">
        <f t="shared" si="175"/>
        <v>0</v>
      </c>
      <c r="BR221" s="993">
        <f>IF(BJ221&gt;0,INDEX(OperationalDetail,MATCH("Capacity Degradation",ODColumn,0),MATCH('Monthly Table'!C221,ODRow,0)),0)</f>
        <v>0</v>
      </c>
      <c r="BS221" s="994">
        <f>BJ221*(1-BR221)*Tables!$C$36</f>
        <v>0</v>
      </c>
      <c r="BT221" s="601">
        <f t="shared" si="161"/>
        <v>0</v>
      </c>
      <c r="BU221" s="601">
        <f t="shared" si="162"/>
        <v>0</v>
      </c>
      <c r="BV221" s="462"/>
      <c r="BW221" s="785">
        <f>$BO221*(1-$BR221)*Tables!$C$36</f>
        <v>0</v>
      </c>
      <c r="BX221" s="602">
        <f t="shared" si="176"/>
        <v>0</v>
      </c>
      <c r="BY221" s="601">
        <f t="shared" si="177"/>
        <v>0</v>
      </c>
      <c r="BZ221" s="462"/>
      <c r="CA221" s="785">
        <f>$BL221*(1-$BR221)*Tables!$C$36</f>
        <v>0</v>
      </c>
      <c r="CB221" s="602">
        <f t="shared" si="178"/>
        <v>0</v>
      </c>
      <c r="CC221" s="601">
        <f t="shared" si="179"/>
        <v>0</v>
      </c>
      <c r="CD221" s="785">
        <f>$BP221*(1-$BR221)*Tables!$C$36</f>
        <v>0</v>
      </c>
      <c r="CE221" s="602">
        <f t="shared" si="180"/>
        <v>0</v>
      </c>
      <c r="CF221" s="601">
        <f t="shared" si="181"/>
        <v>0</v>
      </c>
      <c r="CH221" s="785">
        <f>$BM221*(1-$BR221)*Tables!$C$36</f>
        <v>15552</v>
      </c>
      <c r="CI221" s="602">
        <f t="shared" si="182"/>
        <v>827.7891589588329</v>
      </c>
      <c r="CJ221" s="601">
        <f t="shared" si="183"/>
        <v>1039.6049560795732</v>
      </c>
      <c r="CK221" s="304"/>
      <c r="CL221" s="304">
        <f t="shared" si="184"/>
        <v>2017</v>
      </c>
      <c r="CM221" s="1018">
        <f>INDEX(OperationalDetail,MATCH("Degraded Heat Rate",ODColumn,0),MATCH('Monthly Table'!CL221,ODRow,0))/1000</f>
        <v>11.96</v>
      </c>
      <c r="CN221" s="737">
        <f t="shared" si="163"/>
        <v>6.5315553005994653</v>
      </c>
      <c r="CO221" s="1019">
        <f>IF(A221="January",(CO220*(1+Assumptions!$E$32)),CO220)</f>
        <v>9.4315011091479786</v>
      </c>
      <c r="CP221" s="741">
        <f t="shared" si="153"/>
        <v>15.963056409747445</v>
      </c>
      <c r="CQ221" s="304"/>
      <c r="CR221" s="575" t="str">
        <f t="shared" si="185"/>
        <v/>
      </c>
      <c r="CS221" s="575" t="str">
        <f t="shared" si="186"/>
        <v/>
      </c>
      <c r="CT221" s="575" t="str">
        <f t="shared" si="187"/>
        <v/>
      </c>
      <c r="CU221" s="575" t="str">
        <f t="shared" si="188"/>
        <v/>
      </c>
      <c r="CV221" s="575">
        <f t="shared" si="189"/>
        <v>2018</v>
      </c>
      <c r="CW221" s="576">
        <f t="shared" si="154"/>
        <v>2018</v>
      </c>
      <c r="CX221" s="787">
        <f>INDEX('NY Curve'!$A$4:$G$256,MATCH('Monthly Table'!B221,'NY Curve'!$A$4:$A$256,0),MATCH("New York 5 X 16",'NY Curve'!$A$4:$G$4,0))</f>
        <v>94</v>
      </c>
      <c r="CY221" s="632">
        <f t="shared" si="155"/>
        <v>1.25588133744969</v>
      </c>
      <c r="CZ221" s="633">
        <f t="shared" si="156"/>
        <v>118.05284572027085</v>
      </c>
      <c r="DB221" s="857"/>
      <c r="DC221" s="857"/>
    </row>
    <row r="222" spans="1:107" ht="18.75" customHeight="1">
      <c r="A222" s="17" t="s">
        <v>444</v>
      </c>
      <c r="B222" s="508">
        <v>43313</v>
      </c>
      <c r="C222" s="43">
        <f t="shared" si="145"/>
        <v>2018</v>
      </c>
      <c r="D222" s="719">
        <f t="shared" si="190"/>
        <v>18</v>
      </c>
      <c r="E222" s="972">
        <v>23</v>
      </c>
      <c r="F222" s="971">
        <v>4</v>
      </c>
      <c r="G222" s="971">
        <v>4</v>
      </c>
      <c r="H222" s="971">
        <v>0</v>
      </c>
      <c r="I222" s="976">
        <f t="shared" si="164"/>
        <v>31</v>
      </c>
      <c r="J222" s="621"/>
      <c r="K222" s="572">
        <f>INDEX(FX!$A$3:$C$362,MATCH(B222,FX!$A$3:$A$362,0),MATCH("Monthly Curve",FX!$A$2:$C$2,0))</f>
        <v>1.25533716562424</v>
      </c>
      <c r="L222" s="572"/>
      <c r="M222" s="724"/>
      <c r="N222" s="746"/>
      <c r="O222" s="877">
        <v>0.1</v>
      </c>
      <c r="P222" s="797">
        <f t="shared" si="147"/>
        <v>0.1</v>
      </c>
      <c r="Q222" s="732">
        <f t="shared" si="148"/>
        <v>0.1</v>
      </c>
      <c r="R222" s="723">
        <f>IF(A222="January",(R221+R221*Assumptions!$E$32),R221)</f>
        <v>0.42052853018475211</v>
      </c>
      <c r="S222" s="730">
        <f t="shared" si="149"/>
        <v>0.54606224674717607</v>
      </c>
      <c r="T222" s="572"/>
      <c r="U222" s="507"/>
      <c r="V222" s="583"/>
      <c r="W222" s="583"/>
      <c r="X222" s="587"/>
      <c r="Y222" s="588">
        <f>Tables!$D$36</f>
        <v>312</v>
      </c>
      <c r="Z222" s="570">
        <f t="shared" si="150"/>
        <v>0</v>
      </c>
      <c r="AA222" s="592">
        <f t="shared" si="151"/>
        <v>0</v>
      </c>
      <c r="AB222" s="589">
        <f t="shared" si="146"/>
        <v>0</v>
      </c>
      <c r="AC222" s="462"/>
      <c r="AD222" s="1027">
        <f>IF(Tables!$E$30="Michigan",INDEX('Michigan Curve'!$A$4:$S$256,MATCH('Monthly Table'!B222,'Michigan Curve'!$A$4:$A$256,0),MATCH("Michigan Selected Option Value US$/month",'Michigan Curve'!$A$4:$S$4,0)),INDEX('NY Curve'!$A$4:$T$256,MATCH('Monthly Table'!B222,'NY Curve'!$A$4:$A$256,0),MATCH("New York Selected Option Value US$/month",'NY Curve'!$A$4:$T$4,0)))</f>
        <v>0</v>
      </c>
      <c r="AE222" s="601">
        <f t="shared" si="165"/>
        <v>0</v>
      </c>
      <c r="AF222" s="462"/>
      <c r="AG222" s="915"/>
      <c r="AH222" s="17"/>
      <c r="AI222" s="799">
        <f>Assumptions!$B$50</f>
        <v>65</v>
      </c>
      <c r="AJ222" s="743"/>
      <c r="AK222" s="924">
        <f>IF(Tables!$E$30="Custom",'Monthly Table'!AI222,IF(Tables!$E$30="New York",INDEX('NY Curve'!$A$4:$G$256,MATCH('Monthly Table'!B222,'NY Curve'!$A$4:$A$256,0),MATCH("Super Peak Curve",'NY Curve'!$A$4:$G$4,0)),IF(Tables!$E$30="New York Flat",INDEX('NY Curve'!$A$4:$G$256,MATCH('Monthly Table'!B222,'NY Curve'!$A$4:$A$256,0),MATCH("Flat NY West",'NY Curve'!$A$4:$G$4,0)),INDEX('Michigan Curve'!$A$4:$F$256,MATCH('Monthly Table'!B222,'Michigan Curve'!$A$4:$A$256,0),MATCH("Michigan Super Peak Curve US$/MWhr",'Michigan Curve'!$A$4:$F$4,0)))))</f>
        <v>188.87066301597619</v>
      </c>
      <c r="AL222" s="965">
        <f>IF(D222&lt;=Tables!$B$21,IF($AL$10=$AI$10,AI222,IF($AL$10=$AJ$10,AJ222,IF($AL$10=$AK$10,AK222,0))),0)</f>
        <v>0</v>
      </c>
      <c r="AM222" s="708">
        <f t="shared" si="166"/>
        <v>0</v>
      </c>
      <c r="AN222" s="916">
        <f t="shared" si="167"/>
        <v>0</v>
      </c>
      <c r="AO222" s="905"/>
      <c r="AP222" s="925"/>
      <c r="AQ222" s="926">
        <f>IF(Tables!$E$30="New York",INDEX('NY Curve'!$A$4:$L$256,MATCH('Monthly Table'!B222,'NY Curve'!$A$4:$A$256,0),MATCH("New York Shoulder Hour Curve Mon-Fri",'NY Curve'!$A$4:$L$4,0)),IF(Tables!$E$30="Michigan",INDEX('Michigan Curve'!$A$4:$K$256,MATCH('Monthly Table'!B222,'Michigan Curve'!$A$4:$A$256,0),MATCH("Michigan Shoulder Hour Curve Mon-Fri",'Michigan Curve'!$A$4:$K$4,0))))</f>
        <v>31.129336984023798</v>
      </c>
      <c r="AR222" s="708">
        <f t="shared" si="168"/>
        <v>39.077813657286264</v>
      </c>
      <c r="AS222" s="927">
        <f t="shared" si="157"/>
        <v>1</v>
      </c>
      <c r="AU222" s="926">
        <f>IF(Tables!$E$30="New York",INDEX('NY Curve'!$A$4:$L$256,MATCH('Monthly Table'!$B222,'NY Curve'!$A$4:$A$256,0),MATCH("New York Saturday Super Peak",'NY Curve'!$A$4:$L$4,0)),IF(Tables!$E$30="Michigan",INDEX('Michigan Curve'!$A$4:$K$256,MATCH('Monthly Table'!$B222,'Michigan Curve'!$A$4:$A$256,0),MATCH("Michigan Saturday Super Peak",'Michigan Curve'!$A$4:$K$4,0))))</f>
        <v>60.095217509486993</v>
      </c>
      <c r="AV222" s="925">
        <f t="shared" si="158"/>
        <v>75.439760015931597</v>
      </c>
      <c r="AW222" s="927">
        <f>IF(Tables!$B$21=15,0,IF(AV222&gt;($CP222+$BF$4),1,0))</f>
        <v>0</v>
      </c>
      <c r="AX222" s="926">
        <f>IF(Tables!$E$30="New York",INDEX('NY Curve'!$A$4:$L$256,MATCH('Monthly Table'!$B222,'NY Curve'!$A$4:$A$256,0),MATCH("New York Saturday Shoulder Peak",'NY Curve'!$A$4:$L$4,0)),IF(Tables!$E$30="Michigan",INDEX('Michigan Curve'!$A$4:$K$256,MATCH('Monthly Table'!$B222,'Michigan Curve'!$A$4:$A$256,0),MATCH("Michigan Saturday Shoulder Peak",'Michigan Curve'!$A$4:$K$4,0))))</f>
        <v>9.9047901199075419</v>
      </c>
      <c r="AY222" s="934">
        <f t="shared" si="169"/>
        <v>12.43385115522771</v>
      </c>
      <c r="AZ222" s="927">
        <f>IF(Tables!$B$21=15,0,IF(AY222&gt;($CP222+$BF$4),1,0))</f>
        <v>0</v>
      </c>
      <c r="BB222" s="926">
        <f>IF(Tables!$E$30="New York",INDEX('NY Curve'!$A$4:$M$256,MATCH('Monthly Table'!$B222,'NY Curve'!$A$4:$A$256,0),MATCH("NY Sunday Super Peak",'NY Curve'!$A$4:$M$4,0)),IF(Tables!$E$30="Michigan",INDEX('Michigan Curve'!$A$4:$L$256,MATCH('Monthly Table'!$B222,'Michigan Curve'!$A$4:$A$256,0),MATCH("Michigan Sunday Super Peak",'Michigan Curve'!$A$4:$L$4,0))))</f>
        <v>53.227186849956929</v>
      </c>
      <c r="BC222" s="925">
        <f t="shared" si="170"/>
        <v>66.818065874376757</v>
      </c>
      <c r="BD222" s="927">
        <f t="shared" si="159"/>
        <v>1</v>
      </c>
      <c r="BF222" s="598">
        <f t="shared" si="152"/>
        <v>43313</v>
      </c>
      <c r="BG222" s="583">
        <f t="shared" si="171"/>
        <v>0</v>
      </c>
      <c r="BH222" s="764">
        <f>IF(Tables!$B$36="Combined Cycle",(BF222-BF221)*24*Assumptions!$B$21,0)</f>
        <v>0</v>
      </c>
      <c r="BI222" s="315">
        <f t="shared" si="172"/>
        <v>0</v>
      </c>
      <c r="BJ222" s="987">
        <f>IF('Monthly Table'!D222&lt;=Tables!$B$21,IF($BJ$10=$BG$10,BG222,IF($BJ$10=$BH$10,BH222,IF($BJ$10=$BI$10,BI222,0))),0)</f>
        <v>0</v>
      </c>
      <c r="BK222" s="43"/>
      <c r="BL222" s="987">
        <f t="shared" si="173"/>
        <v>0</v>
      </c>
      <c r="BM222" s="987">
        <f t="shared" si="174"/>
        <v>32</v>
      </c>
      <c r="BO222" s="987">
        <f t="shared" si="160"/>
        <v>0</v>
      </c>
      <c r="BP222" s="987">
        <f t="shared" si="175"/>
        <v>0</v>
      </c>
      <c r="BR222" s="993">
        <f>IF(BJ222&gt;0,INDEX(OperationalDetail,MATCH("Capacity Degradation",ODColumn,0),MATCH('Monthly Table'!C222,ODRow,0)),0)</f>
        <v>0</v>
      </c>
      <c r="BS222" s="994">
        <f>BJ222*(1-BR222)*Tables!$C$36</f>
        <v>0</v>
      </c>
      <c r="BT222" s="601">
        <f t="shared" si="161"/>
        <v>0</v>
      </c>
      <c r="BU222" s="601">
        <f t="shared" si="162"/>
        <v>0</v>
      </c>
      <c r="BV222" s="462"/>
      <c r="BW222" s="785">
        <f>$BO222*(1-$BR222)*Tables!$C$36</f>
        <v>0</v>
      </c>
      <c r="BX222" s="602">
        <f t="shared" si="176"/>
        <v>0</v>
      </c>
      <c r="BY222" s="601">
        <f t="shared" si="177"/>
        <v>0</v>
      </c>
      <c r="BZ222" s="462"/>
      <c r="CA222" s="785">
        <f>$BL222*(1-$BR222)*Tables!$C$36</f>
        <v>0</v>
      </c>
      <c r="CB222" s="602">
        <f t="shared" si="178"/>
        <v>0</v>
      </c>
      <c r="CC222" s="601">
        <f t="shared" si="179"/>
        <v>0</v>
      </c>
      <c r="CD222" s="785">
        <f>$BP222*(1-$BR222)*Tables!$C$36</f>
        <v>0</v>
      </c>
      <c r="CE222" s="602">
        <f t="shared" si="180"/>
        <v>0</v>
      </c>
      <c r="CF222" s="601">
        <f t="shared" si="181"/>
        <v>0</v>
      </c>
      <c r="CH222" s="785">
        <f>$BM222*(1-$BR222)*Tables!$C$36</f>
        <v>10368</v>
      </c>
      <c r="CI222" s="602">
        <f t="shared" si="182"/>
        <v>551.85947326035341</v>
      </c>
      <c r="CJ222" s="601">
        <f t="shared" si="183"/>
        <v>692.76970698553816</v>
      </c>
      <c r="CK222" s="304"/>
      <c r="CL222" s="304">
        <f t="shared" si="184"/>
        <v>2017</v>
      </c>
      <c r="CM222" s="1018">
        <f>INDEX(OperationalDetail,MATCH("Degraded Heat Rate",ODColumn,0),MATCH('Monthly Table'!CL222,ODRow,0))/1000</f>
        <v>11.96</v>
      </c>
      <c r="CN222" s="737">
        <f t="shared" si="163"/>
        <v>6.5309044710962265</v>
      </c>
      <c r="CO222" s="1019">
        <f>IF(A222="January",(CO221*(1+Assumptions!$E$32)),CO221)</f>
        <v>9.4315011091479786</v>
      </c>
      <c r="CP222" s="741">
        <f t="shared" si="153"/>
        <v>15.962405580244205</v>
      </c>
      <c r="CQ222" s="304"/>
      <c r="CR222" s="575" t="str">
        <f t="shared" si="185"/>
        <v/>
      </c>
      <c r="CS222" s="575" t="str">
        <f t="shared" si="186"/>
        <v/>
      </c>
      <c r="CT222" s="575" t="str">
        <f t="shared" si="187"/>
        <v/>
      </c>
      <c r="CU222" s="575" t="str">
        <f t="shared" si="188"/>
        <v/>
      </c>
      <c r="CV222" s="575">
        <f t="shared" si="189"/>
        <v>2018</v>
      </c>
      <c r="CW222" s="576">
        <f t="shared" si="154"/>
        <v>2018</v>
      </c>
      <c r="CX222" s="787">
        <f>INDEX('NY Curve'!$A$4:$G$256,MATCH('Monthly Table'!B222,'NY Curve'!$A$4:$A$256,0),MATCH("New York 5 X 16",'NY Curve'!$A$4:$G$4,0))</f>
        <v>86.5</v>
      </c>
      <c r="CY222" s="632">
        <f t="shared" si="155"/>
        <v>1.25533716562424</v>
      </c>
      <c r="CZ222" s="633">
        <f t="shared" si="156"/>
        <v>108.58666482649676</v>
      </c>
      <c r="DB222" s="857"/>
      <c r="DC222" s="857"/>
    </row>
    <row r="223" spans="1:107" ht="18.75" customHeight="1">
      <c r="A223" s="17" t="s">
        <v>445</v>
      </c>
      <c r="B223" s="508">
        <v>43344</v>
      </c>
      <c r="C223" s="43">
        <f t="shared" si="145"/>
        <v>2018</v>
      </c>
      <c r="D223" s="719">
        <f t="shared" si="190"/>
        <v>18</v>
      </c>
      <c r="E223" s="972">
        <v>19</v>
      </c>
      <c r="F223" s="971">
        <v>5</v>
      </c>
      <c r="G223" s="971">
        <v>5</v>
      </c>
      <c r="H223" s="971">
        <v>1</v>
      </c>
      <c r="I223" s="976">
        <f t="shared" si="164"/>
        <v>30</v>
      </c>
      <c r="J223" s="621"/>
      <c r="K223" s="572">
        <f>INDEX(FX!$A$3:$C$362,MATCH(B223,FX!$A$3:$A$362,0),MATCH("Monthly Curve",FX!$A$2:$C$2,0))</f>
        <v>1.25479606081271</v>
      </c>
      <c r="L223" s="572"/>
      <c r="M223" s="724"/>
      <c r="N223" s="746"/>
      <c r="O223" s="877">
        <v>0.1</v>
      </c>
      <c r="P223" s="797">
        <f t="shared" si="147"/>
        <v>0.1</v>
      </c>
      <c r="Q223" s="732">
        <f t="shared" si="148"/>
        <v>0.1</v>
      </c>
      <c r="R223" s="723">
        <f>IF(A223="January",(R222+R222*Assumptions!$E$32),R222)</f>
        <v>0.42052853018475211</v>
      </c>
      <c r="S223" s="730">
        <f t="shared" si="149"/>
        <v>0.54600813626602318</v>
      </c>
      <c r="T223" s="572"/>
      <c r="U223" s="507"/>
      <c r="V223" s="583"/>
      <c r="W223" s="583"/>
      <c r="X223" s="587"/>
      <c r="Y223" s="588">
        <f>Tables!$D$36</f>
        <v>312</v>
      </c>
      <c r="Z223" s="570">
        <f t="shared" si="150"/>
        <v>0</v>
      </c>
      <c r="AA223" s="592">
        <f t="shared" si="151"/>
        <v>0</v>
      </c>
      <c r="AB223" s="589">
        <f t="shared" si="146"/>
        <v>0</v>
      </c>
      <c r="AC223" s="462"/>
      <c r="AD223" s="1027">
        <f>IF(Tables!$E$30="Michigan",INDEX('Michigan Curve'!$A$4:$S$256,MATCH('Monthly Table'!B223,'Michigan Curve'!$A$4:$A$256,0),MATCH("Michigan Selected Option Value US$/month",'Michigan Curve'!$A$4:$S$4,0)),INDEX('NY Curve'!$A$4:$T$256,MATCH('Monthly Table'!B223,'NY Curve'!$A$4:$A$256,0),MATCH("New York Selected Option Value US$/month",'NY Curve'!$A$4:$T$4,0)))</f>
        <v>0</v>
      </c>
      <c r="AE223" s="601">
        <f t="shared" si="165"/>
        <v>0</v>
      </c>
      <c r="AF223" s="462"/>
      <c r="AG223" s="915"/>
      <c r="AH223" s="17"/>
      <c r="AI223" s="799">
        <f>Assumptions!$B$50</f>
        <v>65</v>
      </c>
      <c r="AJ223" s="743"/>
      <c r="AK223" s="924">
        <f>IF(Tables!$E$30="Custom",'Monthly Table'!AI223,IF(Tables!$E$30="New York",INDEX('NY Curve'!$A$4:$G$256,MATCH('Monthly Table'!B223,'NY Curve'!$A$4:$A$256,0),MATCH("Super Peak Curve",'NY Curve'!$A$4:$G$4,0)),IF(Tables!$E$30="New York Flat",INDEX('NY Curve'!$A$4:$G$256,MATCH('Monthly Table'!B223,'NY Curve'!$A$4:$A$256,0),MATCH("Flat NY West",'NY Curve'!$A$4:$G$4,0)),INDEX('Michigan Curve'!$A$4:$F$256,MATCH('Monthly Table'!B223,'Michigan Curve'!$A$4:$A$256,0),MATCH("Michigan Super Peak Curve US$/MWhr",'Michigan Curve'!$A$4:$F$4,0)))))</f>
        <v>52.360937222838402</v>
      </c>
      <c r="AL223" s="965">
        <f>IF(D223&lt;=Tables!$B$21,IF($AL$10=$AI$10,AI223,IF($AL$10=$AJ$10,AJ223,IF($AL$10=$AK$10,AK223,0))),0)</f>
        <v>0</v>
      </c>
      <c r="AM223" s="708">
        <f t="shared" si="166"/>
        <v>0</v>
      </c>
      <c r="AN223" s="916">
        <f t="shared" si="167"/>
        <v>0</v>
      </c>
      <c r="AO223" s="905"/>
      <c r="AP223" s="925"/>
      <c r="AQ223" s="926">
        <f>IF(Tables!$E$30="New York",INDEX('NY Curve'!$A$4:$L$256,MATCH('Monthly Table'!B223,'NY Curve'!$A$4:$A$256,0),MATCH("New York Shoulder Hour Curve Mon-Fri",'NY Curve'!$A$4:$L$4,0)),IF(Tables!$E$30="Michigan",INDEX('Michigan Curve'!$A$4:$K$256,MATCH('Monthly Table'!B223,'Michigan Curve'!$A$4:$A$256,0),MATCH("Michigan Shoulder Hour Curve Mon-Fri",'Michigan Curve'!$A$4:$K$4,0))))</f>
        <v>25.139062777161598</v>
      </c>
      <c r="AR223" s="708">
        <f t="shared" si="168"/>
        <v>31.544396945305799</v>
      </c>
      <c r="AS223" s="927">
        <f t="shared" si="157"/>
        <v>1</v>
      </c>
      <c r="AU223" s="926">
        <f>IF(Tables!$E$30="New York",INDEX('NY Curve'!$A$4:$L$256,MATCH('Monthly Table'!$B223,'NY Curve'!$A$4:$A$256,0),MATCH("New York Saturday Super Peak",'NY Curve'!$A$4:$L$4,0)),IF(Tables!$E$30="Michigan",INDEX('Michigan Curve'!$A$4:$K$256,MATCH('Monthly Table'!$B223,'Michigan Curve'!$A$4:$A$256,0),MATCH("Michigan Saturday Super Peak",'Michigan Curve'!$A$4:$K$4,0))))</f>
        <v>33.781249821186066</v>
      </c>
      <c r="AV223" s="925">
        <f t="shared" si="158"/>
        <v>42.38857920495434</v>
      </c>
      <c r="AW223" s="927">
        <f>IF(Tables!$B$21=15,0,IF(AV223&gt;($CP223+$BF$4),1,0))</f>
        <v>0</v>
      </c>
      <c r="AX223" s="926">
        <f>IF(Tables!$E$30="New York",INDEX('NY Curve'!$A$4:$L$256,MATCH('Monthly Table'!$B223,'NY Curve'!$A$4:$A$256,0),MATCH("New York Saturday Shoulder Peak",'NY Curve'!$A$4:$L$4,0)),IF(Tables!$E$30="Michigan",INDEX('Michigan Curve'!$A$4:$K$256,MATCH('Monthly Table'!$B223,'Michigan Curve'!$A$4:$A$256,0),MATCH("Michigan Saturday Shoulder Peak",'Michigan Curve'!$A$4:$K$4,0))))</f>
        <v>16.218750178813934</v>
      </c>
      <c r="AY223" s="934">
        <f t="shared" si="169"/>
        <v>20.351223835681161</v>
      </c>
      <c r="AZ223" s="927">
        <f>IF(Tables!$B$21=15,0,IF(AY223&gt;($CP223+$BF$4),1,0))</f>
        <v>0</v>
      </c>
      <c r="BB223" s="926">
        <f>IF(Tables!$E$30="New York",INDEX('NY Curve'!$A$4:$M$256,MATCH('Monthly Table'!$B223,'NY Curve'!$A$4:$A$256,0),MATCH("NY Sunday Super Peak",'NY Curve'!$A$4:$M$4,0)),IF(Tables!$E$30="Michigan",INDEX('Michigan Curve'!$A$4:$L$256,MATCH('Monthly Table'!$B223,'Michigan Curve'!$A$4:$A$256,0),MATCH("Michigan Sunday Super Peak",'Michigan Curve'!$A$4:$L$4,0))))</f>
        <v>32.429999828338623</v>
      </c>
      <c r="BC223" s="925">
        <f t="shared" si="170"/>
        <v>40.693036036756169</v>
      </c>
      <c r="BD223" s="927">
        <f t="shared" si="159"/>
        <v>1</v>
      </c>
      <c r="BF223" s="598">
        <f t="shared" si="152"/>
        <v>43344</v>
      </c>
      <c r="BG223" s="583">
        <f t="shared" si="171"/>
        <v>0</v>
      </c>
      <c r="BH223" s="764">
        <f>IF(Tables!$B$36="Combined Cycle",(BF223-BF222)*24*Assumptions!$B$21,0)</f>
        <v>0</v>
      </c>
      <c r="BI223" s="315">
        <f t="shared" si="172"/>
        <v>0</v>
      </c>
      <c r="BJ223" s="987">
        <f>IF('Monthly Table'!D223&lt;=Tables!$B$21,IF($BJ$10=$BG$10,BG223,IF($BJ$10=$BH$10,BH223,IF($BJ$10=$BI$10,BI223,0))),0)</f>
        <v>0</v>
      </c>
      <c r="BK223" s="43"/>
      <c r="BL223" s="987">
        <f t="shared" si="173"/>
        <v>0</v>
      </c>
      <c r="BM223" s="987">
        <f t="shared" si="174"/>
        <v>48</v>
      </c>
      <c r="BO223" s="987">
        <f t="shared" si="160"/>
        <v>0</v>
      </c>
      <c r="BP223" s="987">
        <f t="shared" si="175"/>
        <v>0</v>
      </c>
      <c r="BR223" s="993">
        <f>IF(BJ223&gt;0,INDEX(OperationalDetail,MATCH("Capacity Degradation",ODColumn,0),MATCH('Monthly Table'!C223,ODRow,0)),0)</f>
        <v>0</v>
      </c>
      <c r="BS223" s="994">
        <f>BJ223*(1-BR223)*Tables!$C$36</f>
        <v>0</v>
      </c>
      <c r="BT223" s="601">
        <f t="shared" si="161"/>
        <v>0</v>
      </c>
      <c r="BU223" s="601">
        <f t="shared" si="162"/>
        <v>0</v>
      </c>
      <c r="BV223" s="462"/>
      <c r="BW223" s="785">
        <f>$BO223*(1-$BR223)*Tables!$C$36</f>
        <v>0</v>
      </c>
      <c r="BX223" s="602">
        <f t="shared" si="176"/>
        <v>0</v>
      </c>
      <c r="BY223" s="601">
        <f t="shared" si="177"/>
        <v>0</v>
      </c>
      <c r="BZ223" s="462"/>
      <c r="CA223" s="785">
        <f>$BL223*(1-$BR223)*Tables!$C$36</f>
        <v>0</v>
      </c>
      <c r="CB223" s="602">
        <f t="shared" si="178"/>
        <v>0</v>
      </c>
      <c r="CC223" s="601">
        <f t="shared" si="179"/>
        <v>0</v>
      </c>
      <c r="CD223" s="785">
        <f>$BP223*(1-$BR223)*Tables!$C$36</f>
        <v>0</v>
      </c>
      <c r="CE223" s="602">
        <f t="shared" si="180"/>
        <v>0</v>
      </c>
      <c r="CF223" s="601">
        <f t="shared" si="181"/>
        <v>0</v>
      </c>
      <c r="CH223" s="785">
        <f>$BM223*(1-$BR223)*Tables!$C$36</f>
        <v>15552</v>
      </c>
      <c r="CI223" s="602">
        <f t="shared" si="182"/>
        <v>504.35135733032229</v>
      </c>
      <c r="CJ223" s="601">
        <f t="shared" si="183"/>
        <v>632.85809644363189</v>
      </c>
      <c r="CK223" s="304"/>
      <c r="CL223" s="304">
        <f t="shared" si="184"/>
        <v>2017</v>
      </c>
      <c r="CM223" s="1018">
        <f>INDEX(OperationalDetail,MATCH("Degraded Heat Rate",ODColumn,0),MATCH('Monthly Table'!CL223,ODRow,0))/1000</f>
        <v>11.96</v>
      </c>
      <c r="CN223" s="737">
        <f t="shared" si="163"/>
        <v>6.5302573097416374</v>
      </c>
      <c r="CO223" s="1019">
        <f>IF(A223="January",(CO222*(1+Assumptions!$E$32)),CO222)</f>
        <v>9.4315011091479786</v>
      </c>
      <c r="CP223" s="741">
        <f t="shared" si="153"/>
        <v>15.961758418889616</v>
      </c>
      <c r="CQ223" s="304"/>
      <c r="CR223" s="575" t="str">
        <f t="shared" si="185"/>
        <v/>
      </c>
      <c r="CS223" s="575" t="str">
        <f t="shared" si="186"/>
        <v/>
      </c>
      <c r="CT223" s="575" t="str">
        <f t="shared" si="187"/>
        <v/>
      </c>
      <c r="CU223" s="575" t="str">
        <f t="shared" si="188"/>
        <v/>
      </c>
      <c r="CV223" s="575">
        <f t="shared" si="189"/>
        <v>2018</v>
      </c>
      <c r="CW223" s="576">
        <f t="shared" si="154"/>
        <v>2018</v>
      </c>
      <c r="CX223" s="787">
        <f>INDEX('NY Curve'!$A$4:$G$256,MATCH('Monthly Table'!B223,'NY Curve'!$A$4:$A$256,0),MATCH("New York 5 X 16",'NY Curve'!$A$4:$G$4,0))</f>
        <v>32.85</v>
      </c>
      <c r="CY223" s="632">
        <f t="shared" si="155"/>
        <v>1.25479606081271</v>
      </c>
      <c r="CZ223" s="633">
        <f t="shared" si="156"/>
        <v>41.220050597697522</v>
      </c>
      <c r="DB223" s="857"/>
      <c r="DC223" s="857"/>
    </row>
    <row r="224" spans="1:107" ht="18.75" customHeight="1">
      <c r="A224" s="17" t="s">
        <v>446</v>
      </c>
      <c r="B224" s="508">
        <v>43374</v>
      </c>
      <c r="C224" s="43">
        <f t="shared" si="145"/>
        <v>2018</v>
      </c>
      <c r="D224" s="719">
        <f t="shared" si="190"/>
        <v>18</v>
      </c>
      <c r="E224" s="972">
        <v>23</v>
      </c>
      <c r="F224" s="971">
        <v>4</v>
      </c>
      <c r="G224" s="971">
        <v>4</v>
      </c>
      <c r="H224" s="971">
        <v>0</v>
      </c>
      <c r="I224" s="976">
        <f t="shared" si="164"/>
        <v>31</v>
      </c>
      <c r="J224" s="621"/>
      <c r="K224" s="572">
        <f>INDEX(FX!$A$3:$C$362,MATCH(B224,FX!$A$3:$A$362,0),MATCH("Monthly Curve",FX!$A$2:$C$2,0))</f>
        <v>1.2542753276313401</v>
      </c>
      <c r="L224" s="572"/>
      <c r="M224" s="724"/>
      <c r="N224" s="746"/>
      <c r="O224" s="877">
        <v>0.1</v>
      </c>
      <c r="P224" s="797">
        <f t="shared" si="147"/>
        <v>0.1</v>
      </c>
      <c r="Q224" s="732">
        <f t="shared" si="148"/>
        <v>0.1</v>
      </c>
      <c r="R224" s="723">
        <f>IF(A224="January",(R223+R223*Assumptions!$E$32),R223)</f>
        <v>0.42052853018475211</v>
      </c>
      <c r="S224" s="730">
        <f t="shared" si="149"/>
        <v>0.54595606294788612</v>
      </c>
      <c r="T224" s="572"/>
      <c r="U224" s="507"/>
      <c r="V224" s="583"/>
      <c r="W224" s="583"/>
      <c r="X224" s="587"/>
      <c r="Y224" s="588">
        <f>Tables!$D$36</f>
        <v>312</v>
      </c>
      <c r="Z224" s="570">
        <f t="shared" si="150"/>
        <v>0</v>
      </c>
      <c r="AA224" s="592">
        <f t="shared" si="151"/>
        <v>0</v>
      </c>
      <c r="AB224" s="589">
        <f t="shared" si="146"/>
        <v>0</v>
      </c>
      <c r="AC224" s="462"/>
      <c r="AD224" s="1027">
        <f>IF(Tables!$E$30="Michigan",INDEX('Michigan Curve'!$A$4:$S$256,MATCH('Monthly Table'!B224,'Michigan Curve'!$A$4:$A$256,0),MATCH("Michigan Selected Option Value US$/month",'Michigan Curve'!$A$4:$S$4,0)),INDEX('NY Curve'!$A$4:$T$256,MATCH('Monthly Table'!B224,'NY Curve'!$A$4:$A$256,0),MATCH("New York Selected Option Value US$/month",'NY Curve'!$A$4:$T$4,0)))</f>
        <v>0</v>
      </c>
      <c r="AE224" s="601">
        <f t="shared" si="165"/>
        <v>0</v>
      </c>
      <c r="AF224" s="462"/>
      <c r="AG224" s="915"/>
      <c r="AH224" s="17"/>
      <c r="AI224" s="799">
        <f>Assumptions!$B$50</f>
        <v>65</v>
      </c>
      <c r="AJ224" s="743"/>
      <c r="AK224" s="924">
        <f>IF(Tables!$E$30="Custom",'Monthly Table'!AI224,IF(Tables!$E$30="New York",INDEX('NY Curve'!$A$4:$G$256,MATCH('Monthly Table'!B224,'NY Curve'!$A$4:$A$256,0),MATCH("Super Peak Curve",'NY Curve'!$A$4:$G$4,0)),IF(Tables!$E$30="New York Flat",INDEX('NY Curve'!$A$4:$G$256,MATCH('Monthly Table'!B224,'NY Curve'!$A$4:$A$256,0),MATCH("Flat NY West",'NY Curve'!$A$4:$G$4,0)),INDEX('Michigan Curve'!$A$4:$F$256,MATCH('Monthly Table'!B224,'Michigan Curve'!$A$4:$A$256,0),MATCH("Michigan Super Peak Curve US$/MWhr",'Michigan Curve'!$A$4:$F$4,0)))))</f>
        <v>0</v>
      </c>
      <c r="AL224" s="965">
        <f>IF(D224&lt;=Tables!$B$21,IF($AL$10=$AI$10,AI224,IF($AL$10=$AJ$10,AJ224,IF($AL$10=$AK$10,AK224,0))),0)</f>
        <v>0</v>
      </c>
      <c r="AM224" s="708">
        <f t="shared" si="166"/>
        <v>0</v>
      </c>
      <c r="AN224" s="916">
        <f t="shared" si="167"/>
        <v>0</v>
      </c>
      <c r="AO224" s="905"/>
      <c r="AP224" s="925"/>
      <c r="AQ224" s="926">
        <f>IF(Tables!$E$30="New York",INDEX('NY Curve'!$A$4:$L$256,MATCH('Monthly Table'!B224,'NY Curve'!$A$4:$A$256,0),MATCH("New York Shoulder Hour Curve Mon-Fri",'NY Curve'!$A$4:$L$4,0)),IF(Tables!$E$30="Michigan",INDEX('Michigan Curve'!$A$4:$K$256,MATCH('Monthly Table'!B224,'Michigan Curve'!$A$4:$A$256,0),MATCH("Michigan Shoulder Hour Curve Mon-Fri",'Michigan Curve'!$A$4:$K$4,0))))</f>
        <v>0</v>
      </c>
      <c r="AR224" s="708">
        <f t="shared" si="168"/>
        <v>0</v>
      </c>
      <c r="AS224" s="927">
        <f t="shared" si="157"/>
        <v>0</v>
      </c>
      <c r="AU224" s="926">
        <f>IF(Tables!$E$30="New York",INDEX('NY Curve'!$A$4:$L$256,MATCH('Monthly Table'!$B224,'NY Curve'!$A$4:$A$256,0),MATCH("New York Saturday Super Peak",'NY Curve'!$A$4:$L$4,0)),IF(Tables!$E$30="Michigan",INDEX('Michigan Curve'!$A$4:$K$256,MATCH('Monthly Table'!$B224,'Michigan Curve'!$A$4:$A$256,0),MATCH("Michigan Saturday Super Peak",'Michigan Curve'!$A$4:$K$4,0))))</f>
        <v>0</v>
      </c>
      <c r="AV224" s="925">
        <f t="shared" si="158"/>
        <v>0</v>
      </c>
      <c r="AW224" s="927">
        <f>IF(Tables!$B$21=15,0,IF(AV224&gt;($CP224+$BF$4),1,0))</f>
        <v>0</v>
      </c>
      <c r="AX224" s="926">
        <f>IF(Tables!$E$30="New York",INDEX('NY Curve'!$A$4:$L$256,MATCH('Monthly Table'!$B224,'NY Curve'!$A$4:$A$256,0),MATCH("New York Saturday Shoulder Peak",'NY Curve'!$A$4:$L$4,0)),IF(Tables!$E$30="Michigan",INDEX('Michigan Curve'!$A$4:$K$256,MATCH('Monthly Table'!$B224,'Michigan Curve'!$A$4:$A$256,0),MATCH("Michigan Saturday Shoulder Peak",'Michigan Curve'!$A$4:$K$4,0))))</f>
        <v>0</v>
      </c>
      <c r="AY224" s="934">
        <f t="shared" si="169"/>
        <v>0</v>
      </c>
      <c r="AZ224" s="927">
        <f>IF(Tables!$B$21=15,0,IF(AY224&gt;($CP224+$BF$4),1,0))</f>
        <v>0</v>
      </c>
      <c r="BB224" s="926">
        <f>IF(Tables!$E$30="New York",INDEX('NY Curve'!$A$4:$M$256,MATCH('Monthly Table'!$B224,'NY Curve'!$A$4:$A$256,0),MATCH("NY Sunday Super Peak",'NY Curve'!$A$4:$M$4,0)),IF(Tables!$E$30="Michigan",INDEX('Michigan Curve'!$A$4:$L$256,MATCH('Monthly Table'!$B224,'Michigan Curve'!$A$4:$A$256,0),MATCH("Michigan Sunday Super Peak",'Michigan Curve'!$A$4:$L$4,0))))</f>
        <v>0</v>
      </c>
      <c r="BC224" s="925">
        <f t="shared" si="170"/>
        <v>0</v>
      </c>
      <c r="BD224" s="927">
        <f t="shared" si="159"/>
        <v>0</v>
      </c>
      <c r="BF224" s="598">
        <f t="shared" si="152"/>
        <v>43374</v>
      </c>
      <c r="BG224" s="583">
        <f t="shared" si="171"/>
        <v>0</v>
      </c>
      <c r="BH224" s="764">
        <f>IF(Tables!$B$36="Combined Cycle",(BF224-BF223)*24*Assumptions!$B$21,0)</f>
        <v>0</v>
      </c>
      <c r="BI224" s="315">
        <f t="shared" si="172"/>
        <v>0</v>
      </c>
      <c r="BJ224" s="987">
        <f>IF('Monthly Table'!D224&lt;=Tables!$B$21,IF($BJ$10=$BG$10,BG224,IF($BJ$10=$BH$10,BH224,IF($BJ$10=$BI$10,BI224,0))),0)</f>
        <v>0</v>
      </c>
      <c r="BK224" s="43"/>
      <c r="BL224" s="987">
        <f t="shared" si="173"/>
        <v>0</v>
      </c>
      <c r="BM224" s="987">
        <f t="shared" si="174"/>
        <v>0</v>
      </c>
      <c r="BO224" s="987">
        <f t="shared" si="160"/>
        <v>0</v>
      </c>
      <c r="BP224" s="987">
        <f t="shared" si="175"/>
        <v>0</v>
      </c>
      <c r="BR224" s="993">
        <f>IF(BJ224&gt;0,INDEX(OperationalDetail,MATCH("Capacity Degradation",ODColumn,0),MATCH('Monthly Table'!C224,ODRow,0)),0)</f>
        <v>0</v>
      </c>
      <c r="BS224" s="994">
        <f>BJ224*(1-BR224)*Tables!$C$36</f>
        <v>0</v>
      </c>
      <c r="BT224" s="601">
        <f t="shared" si="161"/>
        <v>0</v>
      </c>
      <c r="BU224" s="601">
        <f t="shared" si="162"/>
        <v>0</v>
      </c>
      <c r="BV224" s="462"/>
      <c r="BW224" s="785">
        <f>$BO224*(1-$BR224)*Tables!$C$36</f>
        <v>0</v>
      </c>
      <c r="BX224" s="602">
        <f t="shared" si="176"/>
        <v>0</v>
      </c>
      <c r="BY224" s="601">
        <f t="shared" si="177"/>
        <v>0</v>
      </c>
      <c r="BZ224" s="462"/>
      <c r="CA224" s="785">
        <f>$BL224*(1-$BR224)*Tables!$C$36</f>
        <v>0</v>
      </c>
      <c r="CB224" s="602">
        <f t="shared" si="178"/>
        <v>0</v>
      </c>
      <c r="CC224" s="601">
        <f t="shared" si="179"/>
        <v>0</v>
      </c>
      <c r="CD224" s="785">
        <f>$BP224*(1-$BR224)*Tables!$C$36</f>
        <v>0</v>
      </c>
      <c r="CE224" s="602">
        <f t="shared" si="180"/>
        <v>0</v>
      </c>
      <c r="CF224" s="601">
        <f t="shared" si="181"/>
        <v>0</v>
      </c>
      <c r="CH224" s="785">
        <f>$BM224*(1-$BR224)*Tables!$C$36</f>
        <v>0</v>
      </c>
      <c r="CI224" s="602">
        <f t="shared" si="182"/>
        <v>0</v>
      </c>
      <c r="CJ224" s="601">
        <f t="shared" si="183"/>
        <v>0</v>
      </c>
      <c r="CK224" s="304"/>
      <c r="CL224" s="304">
        <f t="shared" si="184"/>
        <v>2017</v>
      </c>
      <c r="CM224" s="1018">
        <f>INDEX(OperationalDetail,MATCH("Degraded Heat Rate",ODColumn,0),MATCH('Monthly Table'!CL224,ODRow,0))/1000</f>
        <v>11.96</v>
      </c>
      <c r="CN224" s="737">
        <f t="shared" si="163"/>
        <v>6.5296345128567186</v>
      </c>
      <c r="CO224" s="1019">
        <f>IF(A224="January",(CO223*(1+Assumptions!$E$32)),CO223)</f>
        <v>9.4315011091479786</v>
      </c>
      <c r="CP224" s="741">
        <f t="shared" si="153"/>
        <v>15.961135622004697</v>
      </c>
      <c r="CQ224" s="304"/>
      <c r="CR224" s="575" t="str">
        <f t="shared" si="185"/>
        <v/>
      </c>
      <c r="CS224" s="575" t="str">
        <f t="shared" si="186"/>
        <v/>
      </c>
      <c r="CT224" s="575" t="str">
        <f t="shared" si="187"/>
        <v/>
      </c>
      <c r="CU224" s="575" t="str">
        <f t="shared" si="188"/>
        <v/>
      </c>
      <c r="CV224" s="575" t="str">
        <f t="shared" si="189"/>
        <v/>
      </c>
      <c r="CW224" s="576">
        <f t="shared" si="154"/>
        <v>2018</v>
      </c>
      <c r="CX224" s="787">
        <f>INDEX('NY Curve'!$A$4:$G$256,MATCH('Monthly Table'!B224,'NY Curve'!$A$4:$A$256,0),MATCH("New York 5 X 16",'NY Curve'!$A$4:$G$4,0))</f>
        <v>0</v>
      </c>
      <c r="CY224" s="632">
        <f t="shared" si="155"/>
        <v>1.2542753276313401</v>
      </c>
      <c r="CZ224" s="633">
        <f t="shared" si="156"/>
        <v>0</v>
      </c>
      <c r="DB224" s="857"/>
      <c r="DC224" s="857"/>
    </row>
    <row r="225" spans="1:107" ht="18.75" customHeight="1">
      <c r="A225" s="17" t="s">
        <v>447</v>
      </c>
      <c r="B225" s="508">
        <v>43405</v>
      </c>
      <c r="C225" s="43">
        <f t="shared" si="145"/>
        <v>2018</v>
      </c>
      <c r="D225" s="719">
        <f t="shared" si="190"/>
        <v>18</v>
      </c>
      <c r="E225" s="972">
        <v>21</v>
      </c>
      <c r="F225" s="971">
        <v>4</v>
      </c>
      <c r="G225" s="971">
        <v>4</v>
      </c>
      <c r="H225" s="971">
        <v>1</v>
      </c>
      <c r="I225" s="976">
        <f t="shared" si="164"/>
        <v>30</v>
      </c>
      <c r="J225" s="621"/>
      <c r="K225" s="572">
        <f>INDEX(FX!$A$3:$C$362,MATCH(B225,FX!$A$3:$A$362,0),MATCH("Monthly Curve",FX!$A$2:$C$2,0))</f>
        <v>1.2537402468677601</v>
      </c>
      <c r="L225" s="572"/>
      <c r="M225" s="724"/>
      <c r="N225" s="746"/>
      <c r="O225" s="877">
        <v>0.1</v>
      </c>
      <c r="P225" s="797">
        <f t="shared" si="147"/>
        <v>0.1</v>
      </c>
      <c r="Q225" s="732">
        <f t="shared" si="148"/>
        <v>0.1</v>
      </c>
      <c r="R225" s="723">
        <f>IF(A225="January",(R224+R224*Assumptions!$E$32),R224)</f>
        <v>0.42052853018475211</v>
      </c>
      <c r="S225" s="730">
        <f t="shared" si="149"/>
        <v>0.54590255487152817</v>
      </c>
      <c r="T225" s="572"/>
      <c r="U225" s="507"/>
      <c r="V225" s="583"/>
      <c r="W225" s="583"/>
      <c r="X225" s="587"/>
      <c r="Y225" s="588">
        <f>Tables!$D$36</f>
        <v>312</v>
      </c>
      <c r="Z225" s="570">
        <f t="shared" si="150"/>
        <v>0</v>
      </c>
      <c r="AA225" s="592">
        <f t="shared" si="151"/>
        <v>0</v>
      </c>
      <c r="AB225" s="589">
        <f t="shared" si="146"/>
        <v>0</v>
      </c>
      <c r="AC225" s="462"/>
      <c r="AD225" s="1027">
        <f>IF(Tables!$E$30="Michigan",INDEX('Michigan Curve'!$A$4:$S$256,MATCH('Monthly Table'!B225,'Michigan Curve'!$A$4:$A$256,0),MATCH("Michigan Selected Option Value US$/month",'Michigan Curve'!$A$4:$S$4,0)),INDEX('NY Curve'!$A$4:$T$256,MATCH('Monthly Table'!B225,'NY Curve'!$A$4:$A$256,0),MATCH("New York Selected Option Value US$/month",'NY Curve'!$A$4:$T$4,0)))</f>
        <v>0</v>
      </c>
      <c r="AE225" s="601">
        <f t="shared" si="165"/>
        <v>0</v>
      </c>
      <c r="AF225" s="462"/>
      <c r="AG225" s="915"/>
      <c r="AH225" s="17"/>
      <c r="AI225" s="799">
        <f>Assumptions!$B$50</f>
        <v>65</v>
      </c>
      <c r="AJ225" s="743"/>
      <c r="AK225" s="924">
        <f>IF(Tables!$E$30="Custom",'Monthly Table'!AI225,IF(Tables!$E$30="New York",INDEX('NY Curve'!$A$4:$G$256,MATCH('Monthly Table'!B225,'NY Curve'!$A$4:$A$256,0),MATCH("Super Peak Curve",'NY Curve'!$A$4:$G$4,0)),IF(Tables!$E$30="New York Flat",INDEX('NY Curve'!$A$4:$G$256,MATCH('Monthly Table'!B225,'NY Curve'!$A$4:$A$256,0),MATCH("Flat NY West",'NY Curve'!$A$4:$G$4,0)),INDEX('Michigan Curve'!$A$4:$F$256,MATCH('Monthly Table'!B225,'Michigan Curve'!$A$4:$A$256,0),MATCH("Michigan Super Peak Curve US$/MWhr",'Michigan Curve'!$A$4:$F$4,0)))))</f>
        <v>0</v>
      </c>
      <c r="AL225" s="965">
        <f>IF(D225&lt;=Tables!$B$21,IF($AL$10=$AI$10,AI225,IF($AL$10=$AJ$10,AJ225,IF($AL$10=$AK$10,AK225,0))),0)</f>
        <v>0</v>
      </c>
      <c r="AM225" s="708">
        <f t="shared" si="166"/>
        <v>0</v>
      </c>
      <c r="AN225" s="916">
        <f t="shared" si="167"/>
        <v>0</v>
      </c>
      <c r="AO225" s="905"/>
      <c r="AP225" s="925"/>
      <c r="AQ225" s="926">
        <f>IF(Tables!$E$30="New York",INDEX('NY Curve'!$A$4:$L$256,MATCH('Monthly Table'!B225,'NY Curve'!$A$4:$A$256,0),MATCH("New York Shoulder Hour Curve Mon-Fri",'NY Curve'!$A$4:$L$4,0)),IF(Tables!$E$30="Michigan",INDEX('Michigan Curve'!$A$4:$K$256,MATCH('Monthly Table'!B225,'Michigan Curve'!$A$4:$A$256,0),MATCH("Michigan Shoulder Hour Curve Mon-Fri",'Michigan Curve'!$A$4:$K$4,0))))</f>
        <v>0</v>
      </c>
      <c r="AR225" s="708">
        <f t="shared" si="168"/>
        <v>0</v>
      </c>
      <c r="AS225" s="927">
        <f t="shared" si="157"/>
        <v>0</v>
      </c>
      <c r="AU225" s="926">
        <f>IF(Tables!$E$30="New York",INDEX('NY Curve'!$A$4:$L$256,MATCH('Monthly Table'!$B225,'NY Curve'!$A$4:$A$256,0),MATCH("New York Saturday Super Peak",'NY Curve'!$A$4:$L$4,0)),IF(Tables!$E$30="Michigan",INDEX('Michigan Curve'!$A$4:$K$256,MATCH('Monthly Table'!$B225,'Michigan Curve'!$A$4:$A$256,0),MATCH("Michigan Saturday Super Peak",'Michigan Curve'!$A$4:$K$4,0))))</f>
        <v>0</v>
      </c>
      <c r="AV225" s="925">
        <f t="shared" si="158"/>
        <v>0</v>
      </c>
      <c r="AW225" s="927">
        <f>IF(Tables!$B$21=15,0,IF(AV225&gt;($CP225+$BF$4),1,0))</f>
        <v>0</v>
      </c>
      <c r="AX225" s="926">
        <f>IF(Tables!$E$30="New York",INDEX('NY Curve'!$A$4:$L$256,MATCH('Monthly Table'!$B225,'NY Curve'!$A$4:$A$256,0),MATCH("New York Saturday Shoulder Peak",'NY Curve'!$A$4:$L$4,0)),IF(Tables!$E$30="Michigan",INDEX('Michigan Curve'!$A$4:$K$256,MATCH('Monthly Table'!$B225,'Michigan Curve'!$A$4:$A$256,0),MATCH("Michigan Saturday Shoulder Peak",'Michigan Curve'!$A$4:$K$4,0))))</f>
        <v>0</v>
      </c>
      <c r="AY225" s="934">
        <f t="shared" si="169"/>
        <v>0</v>
      </c>
      <c r="AZ225" s="927">
        <f>IF(Tables!$B$21=15,0,IF(AY225&gt;($CP225+$BF$4),1,0))</f>
        <v>0</v>
      </c>
      <c r="BB225" s="926">
        <f>IF(Tables!$E$30="New York",INDEX('NY Curve'!$A$4:$M$256,MATCH('Monthly Table'!$B225,'NY Curve'!$A$4:$A$256,0),MATCH("NY Sunday Super Peak",'NY Curve'!$A$4:$M$4,0)),IF(Tables!$E$30="Michigan",INDEX('Michigan Curve'!$A$4:$L$256,MATCH('Monthly Table'!$B225,'Michigan Curve'!$A$4:$A$256,0),MATCH("Michigan Sunday Super Peak",'Michigan Curve'!$A$4:$L$4,0))))</f>
        <v>0</v>
      </c>
      <c r="BC225" s="925">
        <f t="shared" si="170"/>
        <v>0</v>
      </c>
      <c r="BD225" s="927">
        <f t="shared" si="159"/>
        <v>0</v>
      </c>
      <c r="BF225" s="598">
        <f t="shared" si="152"/>
        <v>43405</v>
      </c>
      <c r="BG225" s="583">
        <f t="shared" si="171"/>
        <v>0</v>
      </c>
      <c r="BH225" s="764">
        <f>IF(Tables!$B$36="Combined Cycle",(BF225-BF224)*24*Assumptions!$B$21,0)</f>
        <v>0</v>
      </c>
      <c r="BI225" s="315">
        <f t="shared" si="172"/>
        <v>0</v>
      </c>
      <c r="BJ225" s="987">
        <f>IF('Monthly Table'!D225&lt;=Tables!$B$21,IF($BJ$10=$BG$10,BG225,IF($BJ$10=$BH$10,BH225,IF($BJ$10=$BI$10,BI225,0))),0)</f>
        <v>0</v>
      </c>
      <c r="BK225" s="43"/>
      <c r="BL225" s="987">
        <f t="shared" si="173"/>
        <v>0</v>
      </c>
      <c r="BM225" s="987">
        <f t="shared" si="174"/>
        <v>0</v>
      </c>
      <c r="BO225" s="987">
        <f t="shared" si="160"/>
        <v>0</v>
      </c>
      <c r="BP225" s="987">
        <f t="shared" si="175"/>
        <v>0</v>
      </c>
      <c r="BR225" s="993">
        <f>IF(BJ225&gt;0,INDEX(OperationalDetail,MATCH("Capacity Degradation",ODColumn,0),MATCH('Monthly Table'!C225,ODRow,0)),0)</f>
        <v>0</v>
      </c>
      <c r="BS225" s="994">
        <f>BJ225*(1-BR225)*Tables!$C$36</f>
        <v>0</v>
      </c>
      <c r="BT225" s="601">
        <f t="shared" si="161"/>
        <v>0</v>
      </c>
      <c r="BU225" s="601">
        <f t="shared" si="162"/>
        <v>0</v>
      </c>
      <c r="BV225" s="462"/>
      <c r="BW225" s="785">
        <f>$BO225*(1-$BR225)*Tables!$C$36</f>
        <v>0</v>
      </c>
      <c r="BX225" s="602">
        <f t="shared" si="176"/>
        <v>0</v>
      </c>
      <c r="BY225" s="601">
        <f t="shared" si="177"/>
        <v>0</v>
      </c>
      <c r="BZ225" s="462"/>
      <c r="CA225" s="785">
        <f>$BL225*(1-$BR225)*Tables!$C$36</f>
        <v>0</v>
      </c>
      <c r="CB225" s="602">
        <f t="shared" si="178"/>
        <v>0</v>
      </c>
      <c r="CC225" s="601">
        <f t="shared" si="179"/>
        <v>0</v>
      </c>
      <c r="CD225" s="785">
        <f>$BP225*(1-$BR225)*Tables!$C$36</f>
        <v>0</v>
      </c>
      <c r="CE225" s="602">
        <f t="shared" si="180"/>
        <v>0</v>
      </c>
      <c r="CF225" s="601">
        <f t="shared" si="181"/>
        <v>0</v>
      </c>
      <c r="CH225" s="785">
        <f>$BM225*(1-$BR225)*Tables!$C$36</f>
        <v>0</v>
      </c>
      <c r="CI225" s="602">
        <f t="shared" si="182"/>
        <v>0</v>
      </c>
      <c r="CJ225" s="601">
        <f t="shared" si="183"/>
        <v>0</v>
      </c>
      <c r="CK225" s="304"/>
      <c r="CL225" s="304">
        <f t="shared" si="184"/>
        <v>2017</v>
      </c>
      <c r="CM225" s="1018">
        <f>INDEX(OperationalDetail,MATCH("Degraded Heat Rate",ODColumn,0),MATCH('Monthly Table'!CL225,ODRow,0))/1000</f>
        <v>11.96</v>
      </c>
      <c r="CN225" s="737">
        <f t="shared" si="163"/>
        <v>6.528994556263477</v>
      </c>
      <c r="CO225" s="1019">
        <f>IF(A225="January",(CO224*(1+Assumptions!$E$32)),CO224)</f>
        <v>9.4315011091479786</v>
      </c>
      <c r="CP225" s="741">
        <f t="shared" si="153"/>
        <v>15.960495665411456</v>
      </c>
      <c r="CQ225" s="304"/>
      <c r="CR225" s="575" t="str">
        <f t="shared" si="185"/>
        <v/>
      </c>
      <c r="CS225" s="575" t="str">
        <f t="shared" si="186"/>
        <v/>
      </c>
      <c r="CT225" s="575" t="str">
        <f t="shared" si="187"/>
        <v/>
      </c>
      <c r="CU225" s="575" t="str">
        <f t="shared" si="188"/>
        <v/>
      </c>
      <c r="CV225" s="575" t="str">
        <f t="shared" si="189"/>
        <v/>
      </c>
      <c r="CW225" s="576">
        <f t="shared" si="154"/>
        <v>2018</v>
      </c>
      <c r="CX225" s="787">
        <f>INDEX('NY Curve'!$A$4:$G$256,MATCH('Monthly Table'!B225,'NY Curve'!$A$4:$A$256,0),MATCH("New York 5 X 16",'NY Curve'!$A$4:$G$4,0))</f>
        <v>0</v>
      </c>
      <c r="CY225" s="632">
        <f t="shared" si="155"/>
        <v>1.2537402468677601</v>
      </c>
      <c r="CZ225" s="633">
        <f t="shared" si="156"/>
        <v>0</v>
      </c>
      <c r="DB225" s="857"/>
      <c r="DC225" s="857"/>
    </row>
    <row r="226" spans="1:107" s="222" customFormat="1" ht="18.75" customHeight="1">
      <c r="A226" s="222" t="s">
        <v>448</v>
      </c>
      <c r="B226" s="564">
        <v>43435</v>
      </c>
      <c r="C226" s="565">
        <f t="shared" si="145"/>
        <v>2018</v>
      </c>
      <c r="D226" s="819">
        <f t="shared" si="190"/>
        <v>18</v>
      </c>
      <c r="E226" s="972">
        <v>20</v>
      </c>
      <c r="F226" s="971">
        <v>5</v>
      </c>
      <c r="G226" s="971">
        <v>5</v>
      </c>
      <c r="H226" s="971">
        <v>1</v>
      </c>
      <c r="I226" s="976">
        <f t="shared" si="164"/>
        <v>31</v>
      </c>
      <c r="J226" s="969"/>
      <c r="K226" s="820">
        <f>INDEX(FX!$A$3:$C$362,MATCH(B226,FX!$A$3:$A$362,0),MATCH("Monthly Curve",FX!$A$2:$C$2,0))</f>
        <v>1.2532253363720001</v>
      </c>
      <c r="L226" s="820"/>
      <c r="M226" s="821"/>
      <c r="N226" s="822"/>
      <c r="O226" s="878">
        <v>0.1</v>
      </c>
      <c r="P226" s="824">
        <f t="shared" si="147"/>
        <v>0.1</v>
      </c>
      <c r="Q226" s="825">
        <f t="shared" si="148"/>
        <v>0.1</v>
      </c>
      <c r="R226" s="837">
        <f>IF(A226="January",(R225+R225*Assumptions!$E$32),R225)</f>
        <v>0.42052853018475211</v>
      </c>
      <c r="S226" s="827">
        <f t="shared" si="149"/>
        <v>0.54585106382195214</v>
      </c>
      <c r="T226" s="820"/>
      <c r="U226" s="828"/>
      <c r="V226" s="830"/>
      <c r="W226" s="830"/>
      <c r="X226" s="823"/>
      <c r="Y226" s="839">
        <f>Tables!$D$36</f>
        <v>312</v>
      </c>
      <c r="Z226" s="678">
        <f t="shared" si="150"/>
        <v>0</v>
      </c>
      <c r="AA226" s="679">
        <f t="shared" si="151"/>
        <v>0</v>
      </c>
      <c r="AB226" s="680">
        <f t="shared" si="146"/>
        <v>0</v>
      </c>
      <c r="AC226" s="828"/>
      <c r="AD226" s="1027">
        <f>IF(Tables!$E$30="Michigan",INDEX('Michigan Curve'!$A$4:$S$256,MATCH('Monthly Table'!B226,'Michigan Curve'!$A$4:$A$256,0),MATCH("Michigan Selected Option Value US$/month",'Michigan Curve'!$A$4:$S$4,0)),INDEX('NY Curve'!$A$4:$T$256,MATCH('Monthly Table'!B226,'NY Curve'!$A$4:$A$256,0),MATCH("New York Selected Option Value US$/month",'NY Curve'!$A$4:$T$4,0)))</f>
        <v>0</v>
      </c>
      <c r="AE226" s="601">
        <f t="shared" si="165"/>
        <v>0</v>
      </c>
      <c r="AF226" s="828"/>
      <c r="AG226" s="917"/>
      <c r="AI226" s="799">
        <f>Assumptions!$B$50</f>
        <v>65</v>
      </c>
      <c r="AJ226" s="762"/>
      <c r="AK226" s="924">
        <f>IF(Tables!$E$30="Custom",'Monthly Table'!AI226,IF(Tables!$E$30="New York",INDEX('NY Curve'!$A$4:$G$256,MATCH('Monthly Table'!B226,'NY Curve'!$A$4:$A$256,0),MATCH("Super Peak Curve",'NY Curve'!$A$4:$G$4,0)),IF(Tables!$E$30="New York Flat",INDEX('NY Curve'!$A$4:$G$256,MATCH('Monthly Table'!B226,'NY Curve'!$A$4:$A$256,0),MATCH("Flat NY West",'NY Curve'!$A$4:$G$4,0)),INDEX('Michigan Curve'!$A$4:$F$256,MATCH('Monthly Table'!B226,'Michigan Curve'!$A$4:$A$256,0),MATCH("Michigan Super Peak Curve US$/MWhr",'Michigan Curve'!$A$4:$F$4,0)))))</f>
        <v>0</v>
      </c>
      <c r="AL226" s="966">
        <f>IF(D226&lt;=Tables!$B$21,IF($AL$10=$AI$10,AI226,IF($AL$10=$AJ$10,AJ226,IF($AL$10=$AK$10,AK226,0))),0)</f>
        <v>0</v>
      </c>
      <c r="AM226" s="708">
        <f t="shared" si="166"/>
        <v>0</v>
      </c>
      <c r="AN226" s="918">
        <f t="shared" si="167"/>
        <v>0</v>
      </c>
      <c r="AO226" s="906"/>
      <c r="AP226" s="925"/>
      <c r="AQ226" s="926">
        <f>IF(Tables!$E$30="New York",INDEX('NY Curve'!$A$4:$L$256,MATCH('Monthly Table'!B226,'NY Curve'!$A$4:$A$256,0),MATCH("New York Shoulder Hour Curve Mon-Fri",'NY Curve'!$A$4:$L$4,0)),IF(Tables!$E$30="Michigan",INDEX('Michigan Curve'!$A$4:$K$256,MATCH('Monthly Table'!B226,'Michigan Curve'!$A$4:$A$256,0),MATCH("Michigan Shoulder Hour Curve Mon-Fri",'Michigan Curve'!$A$4:$K$4,0))))</f>
        <v>0</v>
      </c>
      <c r="AR226" s="708">
        <f t="shared" si="168"/>
        <v>0</v>
      </c>
      <c r="AS226" s="927">
        <f t="shared" si="157"/>
        <v>0</v>
      </c>
      <c r="AT226" s="565"/>
      <c r="AU226" s="926">
        <f>IF(Tables!$E$30="New York",INDEX('NY Curve'!$A$4:$L$256,MATCH('Monthly Table'!$B226,'NY Curve'!$A$4:$A$256,0),MATCH("New York Saturday Super Peak",'NY Curve'!$A$4:$L$4,0)),IF(Tables!$E$30="Michigan",INDEX('Michigan Curve'!$A$4:$K$256,MATCH('Monthly Table'!$B226,'Michigan Curve'!$A$4:$A$256,0),MATCH("Michigan Saturday Super Peak",'Michigan Curve'!$A$4:$K$4,0))))</f>
        <v>0</v>
      </c>
      <c r="AV226" s="925">
        <f t="shared" si="158"/>
        <v>0</v>
      </c>
      <c r="AW226" s="927">
        <f>IF(Tables!$B$21=15,0,IF(AV226&gt;($CP226+$BF$4),1,0))</f>
        <v>0</v>
      </c>
      <c r="AX226" s="926">
        <f>IF(Tables!$E$30="New York",INDEX('NY Curve'!$A$4:$L$256,MATCH('Monthly Table'!$B226,'NY Curve'!$A$4:$A$256,0),MATCH("New York Saturday Shoulder Peak",'NY Curve'!$A$4:$L$4,0)),IF(Tables!$E$30="Michigan",INDEX('Michigan Curve'!$A$4:$K$256,MATCH('Monthly Table'!$B226,'Michigan Curve'!$A$4:$A$256,0),MATCH("Michigan Saturday Shoulder Peak",'Michigan Curve'!$A$4:$K$4,0))))</f>
        <v>0</v>
      </c>
      <c r="AY226" s="934">
        <f t="shared" si="169"/>
        <v>0</v>
      </c>
      <c r="AZ226" s="927">
        <f>IF(Tables!$B$21=15,0,IF(AY226&gt;($CP226+$BF$4),1,0))</f>
        <v>0</v>
      </c>
      <c r="BA226" s="565"/>
      <c r="BB226" s="926">
        <f>IF(Tables!$E$30="New York",INDEX('NY Curve'!$A$4:$M$256,MATCH('Monthly Table'!$B226,'NY Curve'!$A$4:$A$256,0),MATCH("NY Sunday Super Peak",'NY Curve'!$A$4:$M$4,0)),IF(Tables!$E$30="Michigan",INDEX('Michigan Curve'!$A$4:$L$256,MATCH('Monthly Table'!$B226,'Michigan Curve'!$A$4:$A$256,0),MATCH("Michigan Sunday Super Peak",'Michigan Curve'!$A$4:$L$4,0))))</f>
        <v>0</v>
      </c>
      <c r="BC226" s="925">
        <f t="shared" si="170"/>
        <v>0</v>
      </c>
      <c r="BD226" s="927">
        <f t="shared" si="159"/>
        <v>0</v>
      </c>
      <c r="BE226" s="565"/>
      <c r="BF226" s="829">
        <f t="shared" si="152"/>
        <v>43435</v>
      </c>
      <c r="BG226" s="583">
        <f t="shared" si="171"/>
        <v>0</v>
      </c>
      <c r="BH226" s="840">
        <f>IF(Tables!$B$36="Combined Cycle",(BF226-BF225)*24*Assumptions!$B$21,0)</f>
        <v>0</v>
      </c>
      <c r="BI226" s="315">
        <f t="shared" si="172"/>
        <v>0</v>
      </c>
      <c r="BJ226" s="988">
        <f>IF('Monthly Table'!D226&lt;=Tables!$B$21,IF($BJ$10=$BG$10,BG226,IF($BJ$10=$BH$10,BH226,IF($BJ$10=$BI$10,BI226,0))),0)</f>
        <v>0</v>
      </c>
      <c r="BK226" s="43"/>
      <c r="BL226" s="987">
        <f t="shared" si="173"/>
        <v>0</v>
      </c>
      <c r="BM226" s="987">
        <f t="shared" si="174"/>
        <v>0</v>
      </c>
      <c r="BN226" s="43"/>
      <c r="BO226" s="987">
        <f t="shared" si="160"/>
        <v>0</v>
      </c>
      <c r="BP226" s="987">
        <f t="shared" si="175"/>
        <v>0</v>
      </c>
      <c r="BQ226" s="43"/>
      <c r="BR226" s="995">
        <f>IF(BJ226&gt;0,INDEX(OperationalDetail,MATCH("Capacity Degradation",ODColumn,0),MATCH('Monthly Table'!C226,ODRow,0)),0)</f>
        <v>0</v>
      </c>
      <c r="BS226" s="994">
        <f>BJ226*(1-BR226)*Tables!$C$36</f>
        <v>0</v>
      </c>
      <c r="BT226" s="834">
        <f t="shared" si="161"/>
        <v>0</v>
      </c>
      <c r="BU226" s="834">
        <f t="shared" si="162"/>
        <v>0</v>
      </c>
      <c r="BV226" s="462"/>
      <c r="BW226" s="785">
        <f>$BO226*(1-$BR226)*Tables!$C$36</f>
        <v>0</v>
      </c>
      <c r="BX226" s="602">
        <f t="shared" si="176"/>
        <v>0</v>
      </c>
      <c r="BY226" s="601">
        <f t="shared" si="177"/>
        <v>0</v>
      </c>
      <c r="BZ226" s="828"/>
      <c r="CA226" s="785">
        <f>$BL226*(1-$BR226)*Tables!$C$36</f>
        <v>0</v>
      </c>
      <c r="CB226" s="602">
        <f t="shared" si="178"/>
        <v>0</v>
      </c>
      <c r="CC226" s="601">
        <f t="shared" si="179"/>
        <v>0</v>
      </c>
      <c r="CD226" s="785">
        <f>$BP226*(1-$BR226)*Tables!$C$36</f>
        <v>0</v>
      </c>
      <c r="CE226" s="602">
        <f t="shared" si="180"/>
        <v>0</v>
      </c>
      <c r="CF226" s="601">
        <f t="shared" si="181"/>
        <v>0</v>
      </c>
      <c r="CH226" s="785">
        <f>$BM226*(1-$BR226)*Tables!$C$36</f>
        <v>0</v>
      </c>
      <c r="CI226" s="602">
        <f t="shared" si="182"/>
        <v>0</v>
      </c>
      <c r="CJ226" s="601">
        <f t="shared" si="183"/>
        <v>0</v>
      </c>
      <c r="CK226" s="304"/>
      <c r="CL226" s="304">
        <f t="shared" si="184"/>
        <v>2017</v>
      </c>
      <c r="CM226" s="1018">
        <f>INDEX(OperationalDetail,MATCH("Degraded Heat Rate",ODColumn,0),MATCH('Monthly Table'!CL226,ODRow,0))/1000</f>
        <v>11.96</v>
      </c>
      <c r="CN226" s="835">
        <f t="shared" si="163"/>
        <v>6.5283787233105484</v>
      </c>
      <c r="CO226" s="1020">
        <f>IF(A226="January",(CO225*(1+Assumptions!$E$32)),CO225)</f>
        <v>9.4315011091479786</v>
      </c>
      <c r="CP226" s="836">
        <f t="shared" si="153"/>
        <v>15.959879832458526</v>
      </c>
      <c r="CQ226" s="304"/>
      <c r="CR226" s="841" t="str">
        <f t="shared" si="185"/>
        <v/>
      </c>
      <c r="CS226" s="575" t="str">
        <f t="shared" si="186"/>
        <v/>
      </c>
      <c r="CT226" s="575" t="str">
        <f t="shared" si="187"/>
        <v/>
      </c>
      <c r="CU226" s="575" t="str">
        <f t="shared" si="188"/>
        <v/>
      </c>
      <c r="CV226" s="575" t="str">
        <f t="shared" si="189"/>
        <v/>
      </c>
      <c r="CW226" s="842">
        <f t="shared" si="154"/>
        <v>2018</v>
      </c>
      <c r="CX226" s="843">
        <f>INDEX('NY Curve'!$A$4:$G$256,MATCH('Monthly Table'!B226,'NY Curve'!$A$4:$A$256,0),MATCH("New York 5 X 16",'NY Curve'!$A$4:$G$4,0))</f>
        <v>0</v>
      </c>
      <c r="CY226" s="844">
        <f t="shared" si="155"/>
        <v>1.2532253363720001</v>
      </c>
      <c r="CZ226" s="845">
        <f t="shared" si="156"/>
        <v>0</v>
      </c>
      <c r="DB226" s="857"/>
      <c r="DC226" s="857"/>
    </row>
    <row r="227" spans="1:107" ht="18.75" customHeight="1">
      <c r="A227" s="17" t="s">
        <v>437</v>
      </c>
      <c r="B227" s="508">
        <v>43466</v>
      </c>
      <c r="C227" s="43">
        <f t="shared" si="145"/>
        <v>2019</v>
      </c>
      <c r="D227" s="719">
        <f t="shared" si="190"/>
        <v>19</v>
      </c>
      <c r="E227" s="972">
        <v>22</v>
      </c>
      <c r="F227" s="971">
        <v>4</v>
      </c>
      <c r="G227" s="971">
        <v>4</v>
      </c>
      <c r="H227" s="971">
        <v>1</v>
      </c>
      <c r="I227" s="976">
        <f t="shared" si="164"/>
        <v>31</v>
      </c>
      <c r="J227" s="621"/>
      <c r="K227" s="572">
        <f>INDEX(FX!$A$3:$C$362,MATCH(B227,FX!$A$3:$A$362,0),MATCH("Monthly Curve",FX!$A$2:$C$2,0))</f>
        <v>1.2526962651535301</v>
      </c>
      <c r="L227" s="572"/>
      <c r="M227" s="724"/>
      <c r="N227" s="746"/>
      <c r="O227" s="877">
        <v>0.1</v>
      </c>
      <c r="P227" s="797">
        <f t="shared" si="147"/>
        <v>0.1</v>
      </c>
      <c r="Q227" s="732">
        <f t="shared" si="148"/>
        <v>0.1</v>
      </c>
      <c r="R227" s="723">
        <f>IF(A227="January",(R226+R226*Assumptions!$E$32),R226)</f>
        <v>0.42893910078844716</v>
      </c>
      <c r="S227" s="730">
        <f t="shared" si="149"/>
        <v>0.55420872730380011</v>
      </c>
      <c r="T227" s="572"/>
      <c r="U227" s="507"/>
      <c r="V227" s="583"/>
      <c r="W227" s="583"/>
      <c r="X227" s="587"/>
      <c r="Y227" s="588">
        <f>Tables!$D$36</f>
        <v>312</v>
      </c>
      <c r="Z227" s="570">
        <f t="shared" si="150"/>
        <v>0</v>
      </c>
      <c r="AA227" s="592">
        <f t="shared" si="151"/>
        <v>0</v>
      </c>
      <c r="AB227" s="589">
        <f t="shared" si="146"/>
        <v>0</v>
      </c>
      <c r="AC227" s="462"/>
      <c r="AD227" s="1027">
        <f>IF(Tables!$E$30="Michigan",INDEX('Michigan Curve'!$A$4:$S$256,MATCH('Monthly Table'!B227,'Michigan Curve'!$A$4:$A$256,0),MATCH("Michigan Selected Option Value US$/month",'Michigan Curve'!$A$4:$S$4,0)),INDEX('NY Curve'!$A$4:$T$256,MATCH('Monthly Table'!B227,'NY Curve'!$A$4:$A$256,0),MATCH("New York Selected Option Value US$/month",'NY Curve'!$A$4:$T$4,0)))</f>
        <v>0</v>
      </c>
      <c r="AE227" s="601">
        <f t="shared" si="165"/>
        <v>0</v>
      </c>
      <c r="AF227" s="462"/>
      <c r="AG227" s="915"/>
      <c r="AH227" s="17"/>
      <c r="AI227" s="799">
        <f>Assumptions!$B$50</f>
        <v>65</v>
      </c>
      <c r="AJ227" s="743"/>
      <c r="AK227" s="924">
        <f>IF(Tables!$E$30="Custom",'Monthly Table'!AI227,IF(Tables!$E$30="New York",INDEX('NY Curve'!$A$4:$G$256,MATCH('Monthly Table'!B227,'NY Curve'!$A$4:$A$256,0),MATCH("Super Peak Curve",'NY Curve'!$A$4:$G$4,0)),IF(Tables!$E$30="New York Flat",INDEX('NY Curve'!$A$4:$G$256,MATCH('Monthly Table'!B227,'NY Curve'!$A$4:$A$256,0),MATCH("Flat NY West",'NY Curve'!$A$4:$G$4,0)),INDEX('Michigan Curve'!$A$4:$F$256,MATCH('Monthly Table'!B227,'Michigan Curve'!$A$4:$A$256,0),MATCH("Michigan Super Peak Curve US$/MWhr",'Michigan Curve'!$A$4:$F$4,0)))))</f>
        <v>0</v>
      </c>
      <c r="AL227" s="965">
        <f>IF(D227&lt;=Tables!$B$21,IF($AL$10=$AI$10,AI227,IF($AL$10=$AJ$10,AJ227,IF($AL$10=$AK$10,AK227,0))),0)</f>
        <v>0</v>
      </c>
      <c r="AM227" s="708">
        <f t="shared" si="166"/>
        <v>0</v>
      </c>
      <c r="AN227" s="916">
        <f t="shared" si="167"/>
        <v>0</v>
      </c>
      <c r="AO227" s="905"/>
      <c r="AP227" s="925"/>
      <c r="AQ227" s="926">
        <f>IF(Tables!$E$30="New York",INDEX('NY Curve'!$A$4:$L$256,MATCH('Monthly Table'!B227,'NY Curve'!$A$4:$A$256,0),MATCH("New York Shoulder Hour Curve Mon-Fri",'NY Curve'!$A$4:$L$4,0)),IF(Tables!$E$30="Michigan",INDEX('Michigan Curve'!$A$4:$K$256,MATCH('Monthly Table'!B227,'Michigan Curve'!$A$4:$A$256,0),MATCH("Michigan Shoulder Hour Curve Mon-Fri",'Michigan Curve'!$A$4:$K$4,0))))</f>
        <v>0</v>
      </c>
      <c r="AR227" s="708">
        <f t="shared" si="168"/>
        <v>0</v>
      </c>
      <c r="AS227" s="927">
        <f t="shared" si="157"/>
        <v>0</v>
      </c>
      <c r="AU227" s="926">
        <f>IF(Tables!$E$30="New York",INDEX('NY Curve'!$A$4:$L$256,MATCH('Monthly Table'!$B227,'NY Curve'!$A$4:$A$256,0),MATCH("New York Saturday Super Peak",'NY Curve'!$A$4:$L$4,0)),IF(Tables!$E$30="Michigan",INDEX('Michigan Curve'!$A$4:$K$256,MATCH('Monthly Table'!$B227,'Michigan Curve'!$A$4:$A$256,0),MATCH("Michigan Saturday Super Peak",'Michigan Curve'!$A$4:$K$4,0))))</f>
        <v>0</v>
      </c>
      <c r="AV227" s="925">
        <f t="shared" si="158"/>
        <v>0</v>
      </c>
      <c r="AW227" s="927">
        <f>IF(Tables!$B$21=15,0,IF(AV227&gt;($CP227+$BF$4),1,0))</f>
        <v>0</v>
      </c>
      <c r="AX227" s="926">
        <f>IF(Tables!$E$30="New York",INDEX('NY Curve'!$A$4:$L$256,MATCH('Monthly Table'!$B227,'NY Curve'!$A$4:$A$256,0),MATCH("New York Saturday Shoulder Peak",'NY Curve'!$A$4:$L$4,0)),IF(Tables!$E$30="Michigan",INDEX('Michigan Curve'!$A$4:$K$256,MATCH('Monthly Table'!$B227,'Michigan Curve'!$A$4:$A$256,0),MATCH("Michigan Saturday Shoulder Peak",'Michigan Curve'!$A$4:$K$4,0))))</f>
        <v>0</v>
      </c>
      <c r="AY227" s="934">
        <f t="shared" si="169"/>
        <v>0</v>
      </c>
      <c r="AZ227" s="927">
        <f>IF(Tables!$B$21=15,0,IF(AY227&gt;($CP227+$BF$4),1,0))</f>
        <v>0</v>
      </c>
      <c r="BB227" s="926">
        <f>IF(Tables!$E$30="New York",INDEX('NY Curve'!$A$4:$M$256,MATCH('Monthly Table'!$B227,'NY Curve'!$A$4:$A$256,0),MATCH("NY Sunday Super Peak",'NY Curve'!$A$4:$M$4,0)),IF(Tables!$E$30="Michigan",INDEX('Michigan Curve'!$A$4:$L$256,MATCH('Monthly Table'!$B227,'Michigan Curve'!$A$4:$A$256,0),MATCH("Michigan Sunday Super Peak",'Michigan Curve'!$A$4:$L$4,0))))</f>
        <v>0</v>
      </c>
      <c r="BC227" s="925">
        <f t="shared" si="170"/>
        <v>0</v>
      </c>
      <c r="BD227" s="927">
        <f t="shared" si="159"/>
        <v>0</v>
      </c>
      <c r="BF227" s="598">
        <f t="shared" si="152"/>
        <v>43466</v>
      </c>
      <c r="BG227" s="583">
        <f t="shared" si="171"/>
        <v>0</v>
      </c>
      <c r="BH227" s="764">
        <f>IF(Tables!$B$36="Combined Cycle",(BF227-BF226)*24*Assumptions!$B$21,0)</f>
        <v>0</v>
      </c>
      <c r="BI227" s="315">
        <f t="shared" si="172"/>
        <v>0</v>
      </c>
      <c r="BJ227" s="987">
        <f>IF('Monthly Table'!D227&lt;=Tables!$B$21,IF($BJ$10=$BG$10,BG227,IF($BJ$10=$BH$10,BH227,IF($BJ$10=$BI$10,BI227,0))),0)</f>
        <v>0</v>
      </c>
      <c r="BK227" s="43"/>
      <c r="BL227" s="987">
        <f t="shared" si="173"/>
        <v>0</v>
      </c>
      <c r="BM227" s="987">
        <f t="shared" si="174"/>
        <v>0</v>
      </c>
      <c r="BO227" s="987">
        <f t="shared" si="160"/>
        <v>0</v>
      </c>
      <c r="BP227" s="987">
        <f t="shared" si="175"/>
        <v>0</v>
      </c>
      <c r="BR227" s="993">
        <f>IF(BJ227&gt;0,INDEX(OperationalDetail,MATCH("Capacity Degradation",ODColumn,0),MATCH('Monthly Table'!C227,ODRow,0)),0)</f>
        <v>0</v>
      </c>
      <c r="BS227" s="994">
        <f>BJ227*(1-BR227)*Tables!$C$36</f>
        <v>0</v>
      </c>
      <c r="BT227" s="601">
        <f t="shared" si="161"/>
        <v>0</v>
      </c>
      <c r="BU227" s="601">
        <f t="shared" si="162"/>
        <v>0</v>
      </c>
      <c r="BV227" s="462"/>
      <c r="BW227" s="785">
        <f>$BO227*(1-$BR227)*Tables!$C$36</f>
        <v>0</v>
      </c>
      <c r="BX227" s="602">
        <f t="shared" si="176"/>
        <v>0</v>
      </c>
      <c r="BY227" s="601">
        <f t="shared" si="177"/>
        <v>0</v>
      </c>
      <c r="BZ227" s="462"/>
      <c r="CA227" s="785">
        <f>$BL227*(1-$BR227)*Tables!$C$36</f>
        <v>0</v>
      </c>
      <c r="CB227" s="602">
        <f t="shared" si="178"/>
        <v>0</v>
      </c>
      <c r="CC227" s="601">
        <f t="shared" si="179"/>
        <v>0</v>
      </c>
      <c r="CD227" s="785">
        <f>$BP227*(1-$BR227)*Tables!$C$36</f>
        <v>0</v>
      </c>
      <c r="CE227" s="602">
        <f t="shared" si="180"/>
        <v>0</v>
      </c>
      <c r="CF227" s="601">
        <f t="shared" si="181"/>
        <v>0</v>
      </c>
      <c r="CH227" s="785">
        <f>$BM227*(1-$BR227)*Tables!$C$36</f>
        <v>0</v>
      </c>
      <c r="CI227" s="602">
        <f t="shared" si="182"/>
        <v>0</v>
      </c>
      <c r="CJ227" s="601">
        <f t="shared" si="183"/>
        <v>0</v>
      </c>
      <c r="CK227" s="304"/>
      <c r="CL227" s="304">
        <f t="shared" si="184"/>
        <v>2018</v>
      </c>
      <c r="CM227" s="1018">
        <f>INDEX(OperationalDetail,MATCH("Degraded Heat Rate",ODColumn,0),MATCH('Monthly Table'!CL227,ODRow,0))/1000</f>
        <v>11.96</v>
      </c>
      <c r="CN227" s="737">
        <f t="shared" si="163"/>
        <v>6.6283363785534499</v>
      </c>
      <c r="CO227" s="1019">
        <f>IF(A227="January",(CO226*(1+Assumptions!$E$32)),CO226)</f>
        <v>9.6201311313309379</v>
      </c>
      <c r="CP227" s="741">
        <f t="shared" si="153"/>
        <v>16.248467509884389</v>
      </c>
      <c r="CQ227" s="304"/>
      <c r="CR227" s="575" t="str">
        <f t="shared" si="185"/>
        <v/>
      </c>
      <c r="CS227" s="575" t="str">
        <f t="shared" si="186"/>
        <v/>
      </c>
      <c r="CT227" s="575" t="str">
        <f t="shared" si="187"/>
        <v/>
      </c>
      <c r="CU227" s="575" t="str">
        <f t="shared" si="188"/>
        <v/>
      </c>
      <c r="CV227" s="575" t="str">
        <f t="shared" si="189"/>
        <v/>
      </c>
      <c r="CW227" s="576">
        <f t="shared" si="154"/>
        <v>2019</v>
      </c>
      <c r="CX227" s="787">
        <f>INDEX('NY Curve'!$A$4:$G$256,MATCH('Monthly Table'!B227,'NY Curve'!$A$4:$A$256,0),MATCH("New York 5 X 16",'NY Curve'!$A$4:$G$4,0))</f>
        <v>0</v>
      </c>
      <c r="CY227" s="632">
        <f t="shared" si="155"/>
        <v>1.2526962651535301</v>
      </c>
      <c r="CZ227" s="633">
        <f t="shared" si="156"/>
        <v>0</v>
      </c>
      <c r="DB227" s="857"/>
      <c r="DC227" s="857"/>
    </row>
    <row r="228" spans="1:107" ht="18.75" customHeight="1">
      <c r="A228" s="17" t="s">
        <v>438</v>
      </c>
      <c r="B228" s="508">
        <v>43497</v>
      </c>
      <c r="C228" s="43">
        <f t="shared" si="145"/>
        <v>2019</v>
      </c>
      <c r="D228" s="719">
        <f t="shared" si="190"/>
        <v>19</v>
      </c>
      <c r="E228" s="972">
        <v>20</v>
      </c>
      <c r="F228" s="971">
        <v>4</v>
      </c>
      <c r="G228" s="971">
        <v>4</v>
      </c>
      <c r="H228" s="971">
        <v>0</v>
      </c>
      <c r="I228" s="976">
        <f t="shared" si="164"/>
        <v>28</v>
      </c>
      <c r="J228" s="621"/>
      <c r="K228" s="572">
        <f>INDEX(FX!$A$3:$C$362,MATCH(B228,FX!$A$3:$A$362,0),MATCH("Monthly Curve",FX!$A$2:$C$2,0))</f>
        <v>1.25217024246266</v>
      </c>
      <c r="L228" s="572"/>
      <c r="M228" s="724"/>
      <c r="N228" s="746"/>
      <c r="O228" s="877">
        <v>0.1</v>
      </c>
      <c r="P228" s="797">
        <f t="shared" si="147"/>
        <v>0.1</v>
      </c>
      <c r="Q228" s="732">
        <f t="shared" si="148"/>
        <v>0.1</v>
      </c>
      <c r="R228" s="723">
        <f>IF(A228="January",(R227+R227*Assumptions!$E$32),R227)</f>
        <v>0.42893910078844716</v>
      </c>
      <c r="S228" s="730">
        <f t="shared" si="149"/>
        <v>0.55415612503471312</v>
      </c>
      <c r="T228" s="572"/>
      <c r="U228" s="507"/>
      <c r="V228" s="583"/>
      <c r="W228" s="583"/>
      <c r="X228" s="587"/>
      <c r="Y228" s="588">
        <f>Tables!$D$36</f>
        <v>312</v>
      </c>
      <c r="Z228" s="570">
        <f t="shared" si="150"/>
        <v>0</v>
      </c>
      <c r="AA228" s="592">
        <f t="shared" si="151"/>
        <v>0</v>
      </c>
      <c r="AB228" s="589">
        <f t="shared" si="146"/>
        <v>0</v>
      </c>
      <c r="AC228" s="462"/>
      <c r="AD228" s="1027">
        <f>IF(Tables!$E$30="Michigan",INDEX('Michigan Curve'!$A$4:$S$256,MATCH('Monthly Table'!B228,'Michigan Curve'!$A$4:$A$256,0),MATCH("Michigan Selected Option Value US$/month",'Michigan Curve'!$A$4:$S$4,0)),INDEX('NY Curve'!$A$4:$T$256,MATCH('Monthly Table'!B228,'NY Curve'!$A$4:$A$256,0),MATCH("New York Selected Option Value US$/month",'NY Curve'!$A$4:$T$4,0)))</f>
        <v>0</v>
      </c>
      <c r="AE228" s="601">
        <f t="shared" si="165"/>
        <v>0</v>
      </c>
      <c r="AF228" s="462"/>
      <c r="AG228" s="915"/>
      <c r="AH228" s="17"/>
      <c r="AI228" s="799">
        <f>Assumptions!$B$50</f>
        <v>65</v>
      </c>
      <c r="AJ228" s="743"/>
      <c r="AK228" s="924">
        <f>IF(Tables!$E$30="Custom",'Monthly Table'!AI228,IF(Tables!$E$30="New York",INDEX('NY Curve'!$A$4:$G$256,MATCH('Monthly Table'!B228,'NY Curve'!$A$4:$A$256,0),MATCH("Super Peak Curve",'NY Curve'!$A$4:$G$4,0)),IF(Tables!$E$30="New York Flat",INDEX('NY Curve'!$A$4:$G$256,MATCH('Monthly Table'!B228,'NY Curve'!$A$4:$A$256,0),MATCH("Flat NY West",'NY Curve'!$A$4:$G$4,0)),INDEX('Michigan Curve'!$A$4:$F$256,MATCH('Monthly Table'!B228,'Michigan Curve'!$A$4:$A$256,0),MATCH("Michigan Super Peak Curve US$/MWhr",'Michigan Curve'!$A$4:$F$4,0)))))</f>
        <v>0</v>
      </c>
      <c r="AL228" s="965">
        <f>IF(D228&lt;=Tables!$B$21,IF($AL$10=$AI$10,AI228,IF($AL$10=$AJ$10,AJ228,IF($AL$10=$AK$10,AK228,0))),0)</f>
        <v>0</v>
      </c>
      <c r="AM228" s="708">
        <f t="shared" si="166"/>
        <v>0</v>
      </c>
      <c r="AN228" s="916">
        <f t="shared" si="167"/>
        <v>0</v>
      </c>
      <c r="AO228" s="905"/>
      <c r="AP228" s="925"/>
      <c r="AQ228" s="926">
        <f>IF(Tables!$E$30="New York",INDEX('NY Curve'!$A$4:$L$256,MATCH('Monthly Table'!B228,'NY Curve'!$A$4:$A$256,0),MATCH("New York Shoulder Hour Curve Mon-Fri",'NY Curve'!$A$4:$L$4,0)),IF(Tables!$E$30="Michigan",INDEX('Michigan Curve'!$A$4:$K$256,MATCH('Monthly Table'!B228,'Michigan Curve'!$A$4:$A$256,0),MATCH("Michigan Shoulder Hour Curve Mon-Fri",'Michigan Curve'!$A$4:$K$4,0))))</f>
        <v>0</v>
      </c>
      <c r="AR228" s="708">
        <f t="shared" si="168"/>
        <v>0</v>
      </c>
      <c r="AS228" s="927">
        <f t="shared" si="157"/>
        <v>0</v>
      </c>
      <c r="AU228" s="926">
        <f>IF(Tables!$E$30="New York",INDEX('NY Curve'!$A$4:$L$256,MATCH('Monthly Table'!$B228,'NY Curve'!$A$4:$A$256,0),MATCH("New York Saturday Super Peak",'NY Curve'!$A$4:$L$4,0)),IF(Tables!$E$30="Michigan",INDEX('Michigan Curve'!$A$4:$K$256,MATCH('Monthly Table'!$B228,'Michigan Curve'!$A$4:$A$256,0),MATCH("Michigan Saturday Super Peak",'Michigan Curve'!$A$4:$K$4,0))))</f>
        <v>0</v>
      </c>
      <c r="AV228" s="925">
        <f t="shared" si="158"/>
        <v>0</v>
      </c>
      <c r="AW228" s="927">
        <f>IF(Tables!$B$21=15,0,IF(AV228&gt;($CP228+$BF$4),1,0))</f>
        <v>0</v>
      </c>
      <c r="AX228" s="926">
        <f>IF(Tables!$E$30="New York",INDEX('NY Curve'!$A$4:$L$256,MATCH('Monthly Table'!$B228,'NY Curve'!$A$4:$A$256,0),MATCH("New York Saturday Shoulder Peak",'NY Curve'!$A$4:$L$4,0)),IF(Tables!$E$30="Michigan",INDEX('Michigan Curve'!$A$4:$K$256,MATCH('Monthly Table'!$B228,'Michigan Curve'!$A$4:$A$256,0),MATCH("Michigan Saturday Shoulder Peak",'Michigan Curve'!$A$4:$K$4,0))))</f>
        <v>0</v>
      </c>
      <c r="AY228" s="934">
        <f t="shared" si="169"/>
        <v>0</v>
      </c>
      <c r="AZ228" s="927">
        <f>IF(Tables!$B$21=15,0,IF(AY228&gt;($CP228+$BF$4),1,0))</f>
        <v>0</v>
      </c>
      <c r="BB228" s="926">
        <f>IF(Tables!$E$30="New York",INDEX('NY Curve'!$A$4:$M$256,MATCH('Monthly Table'!$B228,'NY Curve'!$A$4:$A$256,0),MATCH("NY Sunday Super Peak",'NY Curve'!$A$4:$M$4,0)),IF(Tables!$E$30="Michigan",INDEX('Michigan Curve'!$A$4:$L$256,MATCH('Monthly Table'!$B228,'Michigan Curve'!$A$4:$A$256,0),MATCH("Michigan Sunday Super Peak",'Michigan Curve'!$A$4:$L$4,0))))</f>
        <v>0</v>
      </c>
      <c r="BC228" s="925">
        <f t="shared" si="170"/>
        <v>0</v>
      </c>
      <c r="BD228" s="927">
        <f t="shared" si="159"/>
        <v>0</v>
      </c>
      <c r="BF228" s="598">
        <f t="shared" si="152"/>
        <v>43497</v>
      </c>
      <c r="BG228" s="583">
        <f t="shared" si="171"/>
        <v>0</v>
      </c>
      <c r="BH228" s="764">
        <f>IF(Tables!$B$36="Combined Cycle",(BF228-BF227)*24*Assumptions!$B$21,0)</f>
        <v>0</v>
      </c>
      <c r="BI228" s="315">
        <f t="shared" si="172"/>
        <v>0</v>
      </c>
      <c r="BJ228" s="987">
        <f>IF('Monthly Table'!D228&lt;=Tables!$B$21,IF($BJ$10=$BG$10,BG228,IF($BJ$10=$BH$10,BH228,IF($BJ$10=$BI$10,BI228,0))),0)</f>
        <v>0</v>
      </c>
      <c r="BK228" s="43"/>
      <c r="BL228" s="987">
        <f t="shared" si="173"/>
        <v>0</v>
      </c>
      <c r="BM228" s="987">
        <f t="shared" si="174"/>
        <v>0</v>
      </c>
      <c r="BO228" s="987">
        <f t="shared" si="160"/>
        <v>0</v>
      </c>
      <c r="BP228" s="987">
        <f t="shared" si="175"/>
        <v>0</v>
      </c>
      <c r="BR228" s="993">
        <f>IF(BJ228&gt;0,INDEX(OperationalDetail,MATCH("Capacity Degradation",ODColumn,0),MATCH('Monthly Table'!C228,ODRow,0)),0)</f>
        <v>0</v>
      </c>
      <c r="BS228" s="994">
        <f>BJ228*(1-BR228)*Tables!$C$36</f>
        <v>0</v>
      </c>
      <c r="BT228" s="601">
        <f t="shared" si="161"/>
        <v>0</v>
      </c>
      <c r="BU228" s="601">
        <f t="shared" si="162"/>
        <v>0</v>
      </c>
      <c r="BV228" s="462"/>
      <c r="BW228" s="785">
        <f>$BO228*(1-$BR228)*Tables!$C$36</f>
        <v>0</v>
      </c>
      <c r="BX228" s="602">
        <f t="shared" si="176"/>
        <v>0</v>
      </c>
      <c r="BY228" s="601">
        <f t="shared" si="177"/>
        <v>0</v>
      </c>
      <c r="BZ228" s="462"/>
      <c r="CA228" s="785">
        <f>$BL228*(1-$BR228)*Tables!$C$36</f>
        <v>0</v>
      </c>
      <c r="CB228" s="602">
        <f t="shared" si="178"/>
        <v>0</v>
      </c>
      <c r="CC228" s="601">
        <f t="shared" si="179"/>
        <v>0</v>
      </c>
      <c r="CD228" s="785">
        <f>$BP228*(1-$BR228)*Tables!$C$36</f>
        <v>0</v>
      </c>
      <c r="CE228" s="602">
        <f t="shared" si="180"/>
        <v>0</v>
      </c>
      <c r="CF228" s="601">
        <f t="shared" si="181"/>
        <v>0</v>
      </c>
      <c r="CH228" s="785">
        <f>$BM228*(1-$BR228)*Tables!$C$36</f>
        <v>0</v>
      </c>
      <c r="CI228" s="602">
        <f t="shared" si="182"/>
        <v>0</v>
      </c>
      <c r="CJ228" s="601">
        <f t="shared" si="183"/>
        <v>0</v>
      </c>
      <c r="CK228" s="304"/>
      <c r="CL228" s="304">
        <f t="shared" si="184"/>
        <v>2018</v>
      </c>
      <c r="CM228" s="1018">
        <f>INDEX(OperationalDetail,MATCH("Degraded Heat Rate",ODColumn,0),MATCH('Monthly Table'!CL228,ODRow,0))/1000</f>
        <v>11.96</v>
      </c>
      <c r="CN228" s="737">
        <f t="shared" si="163"/>
        <v>6.627707255415169</v>
      </c>
      <c r="CO228" s="1019">
        <f>IF(A228="January",(CO227*(1+Assumptions!$E$32)),CO227)</f>
        <v>9.6201311313309379</v>
      </c>
      <c r="CP228" s="741">
        <f t="shared" si="153"/>
        <v>16.247838386746107</v>
      </c>
      <c r="CQ228" s="304"/>
      <c r="CR228" s="575" t="str">
        <f t="shared" si="185"/>
        <v/>
      </c>
      <c r="CS228" s="575" t="str">
        <f t="shared" si="186"/>
        <v/>
      </c>
      <c r="CT228" s="575" t="str">
        <f t="shared" si="187"/>
        <v/>
      </c>
      <c r="CU228" s="575" t="str">
        <f t="shared" si="188"/>
        <v/>
      </c>
      <c r="CV228" s="575" t="str">
        <f t="shared" si="189"/>
        <v/>
      </c>
      <c r="CW228" s="576">
        <f t="shared" si="154"/>
        <v>2019</v>
      </c>
      <c r="CX228" s="787">
        <f>INDEX('NY Curve'!$A$4:$G$256,MATCH('Monthly Table'!B228,'NY Curve'!$A$4:$A$256,0),MATCH("New York 5 X 16",'NY Curve'!$A$4:$G$4,0))</f>
        <v>0</v>
      </c>
      <c r="CY228" s="632">
        <f t="shared" si="155"/>
        <v>1.25217024246266</v>
      </c>
      <c r="CZ228" s="633">
        <f t="shared" si="156"/>
        <v>0</v>
      </c>
      <c r="DB228" s="857"/>
      <c r="DC228" s="857"/>
    </row>
    <row r="229" spans="1:107" ht="18.75" customHeight="1">
      <c r="A229" s="17" t="s">
        <v>439</v>
      </c>
      <c r="B229" s="508">
        <v>43525</v>
      </c>
      <c r="C229" s="43">
        <f t="shared" si="145"/>
        <v>2019</v>
      </c>
      <c r="D229" s="719">
        <f t="shared" si="190"/>
        <v>19</v>
      </c>
      <c r="E229" s="972">
        <v>21</v>
      </c>
      <c r="F229" s="971">
        <v>5</v>
      </c>
      <c r="G229" s="971">
        <v>5</v>
      </c>
      <c r="H229" s="971">
        <v>0</v>
      </c>
      <c r="I229" s="976">
        <f t="shared" si="164"/>
        <v>31</v>
      </c>
      <c r="J229" s="621"/>
      <c r="K229" s="572">
        <f>INDEX(FX!$A$3:$C$362,MATCH(B229,FX!$A$3:$A$362,0),MATCH("Monthly Curve",FX!$A$2:$C$2,0))</f>
        <v>1.2516977424069999</v>
      </c>
      <c r="L229" s="572"/>
      <c r="M229" s="724"/>
      <c r="N229" s="746"/>
      <c r="O229" s="877">
        <v>0.1</v>
      </c>
      <c r="P229" s="797">
        <f t="shared" si="147"/>
        <v>0.1</v>
      </c>
      <c r="Q229" s="732">
        <f t="shared" si="148"/>
        <v>0.1</v>
      </c>
      <c r="R229" s="723">
        <f>IF(A229="January",(R228+R228*Assumptions!$E$32),R228)</f>
        <v>0.42893910078844716</v>
      </c>
      <c r="S229" s="730">
        <f t="shared" si="149"/>
        <v>0.55410887502914719</v>
      </c>
      <c r="T229" s="572"/>
      <c r="U229" s="507"/>
      <c r="V229" s="583"/>
      <c r="W229" s="583"/>
      <c r="X229" s="587"/>
      <c r="Y229" s="588">
        <f>Tables!$D$36</f>
        <v>312</v>
      </c>
      <c r="Z229" s="570">
        <f t="shared" si="150"/>
        <v>0</v>
      </c>
      <c r="AA229" s="592">
        <f t="shared" si="151"/>
        <v>0</v>
      </c>
      <c r="AB229" s="589">
        <f t="shared" si="146"/>
        <v>0</v>
      </c>
      <c r="AC229" s="462"/>
      <c r="AD229" s="1027">
        <f>IF(Tables!$E$30="Michigan",INDEX('Michigan Curve'!$A$4:$S$256,MATCH('Monthly Table'!B229,'Michigan Curve'!$A$4:$A$256,0),MATCH("Michigan Selected Option Value US$/month",'Michigan Curve'!$A$4:$S$4,0)),INDEX('NY Curve'!$A$4:$T$256,MATCH('Monthly Table'!B229,'NY Curve'!$A$4:$A$256,0),MATCH("New York Selected Option Value US$/month",'NY Curve'!$A$4:$T$4,0)))</f>
        <v>0</v>
      </c>
      <c r="AE229" s="601">
        <f t="shared" si="165"/>
        <v>0</v>
      </c>
      <c r="AF229" s="462"/>
      <c r="AG229" s="915"/>
      <c r="AH229" s="17"/>
      <c r="AI229" s="799">
        <f>Assumptions!$B$50</f>
        <v>65</v>
      </c>
      <c r="AJ229" s="743"/>
      <c r="AK229" s="924">
        <f>IF(Tables!$E$30="Custom",'Monthly Table'!AI229,IF(Tables!$E$30="New York",INDEX('NY Curve'!$A$4:$G$256,MATCH('Monthly Table'!B229,'NY Curve'!$A$4:$A$256,0),MATCH("Super Peak Curve",'NY Curve'!$A$4:$G$4,0)),IF(Tables!$E$30="New York Flat",INDEX('NY Curve'!$A$4:$G$256,MATCH('Monthly Table'!B229,'NY Curve'!$A$4:$A$256,0),MATCH("Flat NY West",'NY Curve'!$A$4:$G$4,0)),INDEX('Michigan Curve'!$A$4:$F$256,MATCH('Monthly Table'!B229,'Michigan Curve'!$A$4:$A$256,0),MATCH("Michigan Super Peak Curve US$/MWhr",'Michigan Curve'!$A$4:$F$4,0)))))</f>
        <v>0</v>
      </c>
      <c r="AL229" s="965">
        <f>IF(D229&lt;=Tables!$B$21,IF($AL$10=$AI$10,AI229,IF($AL$10=$AJ$10,AJ229,IF($AL$10=$AK$10,AK229,0))),0)</f>
        <v>0</v>
      </c>
      <c r="AM229" s="708">
        <f t="shared" si="166"/>
        <v>0</v>
      </c>
      <c r="AN229" s="916">
        <f t="shared" si="167"/>
        <v>0</v>
      </c>
      <c r="AO229" s="905"/>
      <c r="AP229" s="925"/>
      <c r="AQ229" s="926">
        <f>IF(Tables!$E$30="New York",INDEX('NY Curve'!$A$4:$L$256,MATCH('Monthly Table'!B229,'NY Curve'!$A$4:$A$256,0),MATCH("New York Shoulder Hour Curve Mon-Fri",'NY Curve'!$A$4:$L$4,0)),IF(Tables!$E$30="Michigan",INDEX('Michigan Curve'!$A$4:$K$256,MATCH('Monthly Table'!B229,'Michigan Curve'!$A$4:$A$256,0),MATCH("Michigan Shoulder Hour Curve Mon-Fri",'Michigan Curve'!$A$4:$K$4,0))))</f>
        <v>0</v>
      </c>
      <c r="AR229" s="708">
        <f t="shared" si="168"/>
        <v>0</v>
      </c>
      <c r="AS229" s="927">
        <f t="shared" si="157"/>
        <v>0</v>
      </c>
      <c r="AU229" s="926">
        <f>IF(Tables!$E$30="New York",INDEX('NY Curve'!$A$4:$L$256,MATCH('Monthly Table'!$B229,'NY Curve'!$A$4:$A$256,0),MATCH("New York Saturday Super Peak",'NY Curve'!$A$4:$L$4,0)),IF(Tables!$E$30="Michigan",INDEX('Michigan Curve'!$A$4:$K$256,MATCH('Monthly Table'!$B229,'Michigan Curve'!$A$4:$A$256,0),MATCH("Michigan Saturday Super Peak",'Michigan Curve'!$A$4:$K$4,0))))</f>
        <v>0</v>
      </c>
      <c r="AV229" s="925">
        <f t="shared" si="158"/>
        <v>0</v>
      </c>
      <c r="AW229" s="927">
        <f>IF(Tables!$B$21=15,0,IF(AV229&gt;($CP229+$BF$4),1,0))</f>
        <v>0</v>
      </c>
      <c r="AX229" s="926">
        <f>IF(Tables!$E$30="New York",INDEX('NY Curve'!$A$4:$L$256,MATCH('Monthly Table'!$B229,'NY Curve'!$A$4:$A$256,0),MATCH("New York Saturday Shoulder Peak",'NY Curve'!$A$4:$L$4,0)),IF(Tables!$E$30="Michigan",INDEX('Michigan Curve'!$A$4:$K$256,MATCH('Monthly Table'!$B229,'Michigan Curve'!$A$4:$A$256,0),MATCH("Michigan Saturday Shoulder Peak",'Michigan Curve'!$A$4:$K$4,0))))</f>
        <v>0</v>
      </c>
      <c r="AY229" s="934">
        <f t="shared" si="169"/>
        <v>0</v>
      </c>
      <c r="AZ229" s="927">
        <f>IF(Tables!$B$21=15,0,IF(AY229&gt;($CP229+$BF$4),1,0))</f>
        <v>0</v>
      </c>
      <c r="BB229" s="926">
        <f>IF(Tables!$E$30="New York",INDEX('NY Curve'!$A$4:$M$256,MATCH('Monthly Table'!$B229,'NY Curve'!$A$4:$A$256,0),MATCH("NY Sunday Super Peak",'NY Curve'!$A$4:$M$4,0)),IF(Tables!$E$30="Michigan",INDEX('Michigan Curve'!$A$4:$L$256,MATCH('Monthly Table'!$B229,'Michigan Curve'!$A$4:$A$256,0),MATCH("Michigan Sunday Super Peak",'Michigan Curve'!$A$4:$L$4,0))))</f>
        <v>0</v>
      </c>
      <c r="BC229" s="925">
        <f t="shared" si="170"/>
        <v>0</v>
      </c>
      <c r="BD229" s="927">
        <f t="shared" si="159"/>
        <v>0</v>
      </c>
      <c r="BF229" s="598">
        <f t="shared" si="152"/>
        <v>43525</v>
      </c>
      <c r="BG229" s="583">
        <f t="shared" si="171"/>
        <v>0</v>
      </c>
      <c r="BH229" s="764">
        <f>IF(Tables!$B$36="Combined Cycle",(BF229-BF228)*24*Assumptions!$B$21,0)</f>
        <v>0</v>
      </c>
      <c r="BI229" s="315">
        <f t="shared" si="172"/>
        <v>0</v>
      </c>
      <c r="BJ229" s="987">
        <f>IF('Monthly Table'!D229&lt;=Tables!$B$21,IF($BJ$10=$BG$10,BG229,IF($BJ$10=$BH$10,BH229,IF($BJ$10=$BI$10,BI229,0))),0)</f>
        <v>0</v>
      </c>
      <c r="BK229" s="43"/>
      <c r="BL229" s="987">
        <f t="shared" si="173"/>
        <v>0</v>
      </c>
      <c r="BM229" s="987">
        <f t="shared" si="174"/>
        <v>0</v>
      </c>
      <c r="BO229" s="987">
        <f t="shared" si="160"/>
        <v>0</v>
      </c>
      <c r="BP229" s="987">
        <f t="shared" si="175"/>
        <v>0</v>
      </c>
      <c r="BR229" s="993">
        <f>IF(BJ229&gt;0,INDEX(OperationalDetail,MATCH("Capacity Degradation",ODColumn,0),MATCH('Monthly Table'!C229,ODRow,0)),0)</f>
        <v>0</v>
      </c>
      <c r="BS229" s="994">
        <f>BJ229*(1-BR229)*Tables!$C$36</f>
        <v>0</v>
      </c>
      <c r="BT229" s="601">
        <f t="shared" si="161"/>
        <v>0</v>
      </c>
      <c r="BU229" s="601">
        <f t="shared" si="162"/>
        <v>0</v>
      </c>
      <c r="BV229" s="462"/>
      <c r="BW229" s="785">
        <f>$BO229*(1-$BR229)*Tables!$C$36</f>
        <v>0</v>
      </c>
      <c r="BX229" s="602">
        <f t="shared" si="176"/>
        <v>0</v>
      </c>
      <c r="BY229" s="601">
        <f t="shared" si="177"/>
        <v>0</v>
      </c>
      <c r="BZ229" s="462"/>
      <c r="CA229" s="785">
        <f>$BL229*(1-$BR229)*Tables!$C$36</f>
        <v>0</v>
      </c>
      <c r="CB229" s="602">
        <f t="shared" si="178"/>
        <v>0</v>
      </c>
      <c r="CC229" s="601">
        <f t="shared" si="179"/>
        <v>0</v>
      </c>
      <c r="CD229" s="785">
        <f>$BP229*(1-$BR229)*Tables!$C$36</f>
        <v>0</v>
      </c>
      <c r="CE229" s="602">
        <f t="shared" si="180"/>
        <v>0</v>
      </c>
      <c r="CF229" s="601">
        <f t="shared" si="181"/>
        <v>0</v>
      </c>
      <c r="CH229" s="785">
        <f>$BM229*(1-$BR229)*Tables!$C$36</f>
        <v>0</v>
      </c>
      <c r="CI229" s="602">
        <f t="shared" si="182"/>
        <v>0</v>
      </c>
      <c r="CJ229" s="601">
        <f t="shared" si="183"/>
        <v>0</v>
      </c>
      <c r="CK229" s="304"/>
      <c r="CL229" s="304">
        <f t="shared" si="184"/>
        <v>2018</v>
      </c>
      <c r="CM229" s="1018">
        <f>INDEX(OperationalDetail,MATCH("Degraded Heat Rate",ODColumn,0),MATCH('Monthly Table'!CL229,ODRow,0))/1000</f>
        <v>11.96</v>
      </c>
      <c r="CN229" s="737">
        <f t="shared" si="163"/>
        <v>6.6271421453486008</v>
      </c>
      <c r="CO229" s="1019">
        <f>IF(A229="January",(CO228*(1+Assumptions!$E$32)),CO228)</f>
        <v>9.6201311313309379</v>
      </c>
      <c r="CP229" s="741">
        <f t="shared" si="153"/>
        <v>16.24727327667954</v>
      </c>
      <c r="CQ229" s="304"/>
      <c r="CR229" s="575" t="str">
        <f t="shared" si="185"/>
        <v/>
      </c>
      <c r="CS229" s="575" t="str">
        <f t="shared" si="186"/>
        <v/>
      </c>
      <c r="CT229" s="575" t="str">
        <f t="shared" si="187"/>
        <v/>
      </c>
      <c r="CU229" s="575" t="str">
        <f t="shared" si="188"/>
        <v/>
      </c>
      <c r="CV229" s="575" t="str">
        <f t="shared" si="189"/>
        <v/>
      </c>
      <c r="CW229" s="576">
        <f t="shared" si="154"/>
        <v>2019</v>
      </c>
      <c r="CX229" s="787">
        <f>INDEX('NY Curve'!$A$4:$G$256,MATCH('Monthly Table'!B229,'NY Curve'!$A$4:$A$256,0),MATCH("New York 5 X 16",'NY Curve'!$A$4:$G$4,0))</f>
        <v>0</v>
      </c>
      <c r="CY229" s="632">
        <f t="shared" si="155"/>
        <v>1.2516977424069999</v>
      </c>
      <c r="CZ229" s="633">
        <f t="shared" si="156"/>
        <v>0</v>
      </c>
      <c r="DB229" s="857"/>
      <c r="DC229" s="857"/>
    </row>
    <row r="230" spans="1:107" ht="18.75" customHeight="1">
      <c r="A230" s="17" t="s">
        <v>440</v>
      </c>
      <c r="B230" s="508">
        <v>43556</v>
      </c>
      <c r="C230" s="43">
        <f t="shared" si="145"/>
        <v>2019</v>
      </c>
      <c r="D230" s="719">
        <f t="shared" si="190"/>
        <v>19</v>
      </c>
      <c r="E230" s="972">
        <v>22</v>
      </c>
      <c r="F230" s="971">
        <v>4</v>
      </c>
      <c r="G230" s="971">
        <v>4</v>
      </c>
      <c r="H230" s="971">
        <v>0</v>
      </c>
      <c r="I230" s="976">
        <f t="shared" si="164"/>
        <v>30</v>
      </c>
      <c r="J230" s="621"/>
      <c r="K230" s="572">
        <f>INDEX(FX!$A$3:$C$362,MATCH(B230,FX!$A$3:$A$362,0),MATCH("Monthly Curve",FX!$A$2:$C$2,0))</f>
        <v>1.2511775116055699</v>
      </c>
      <c r="L230" s="572"/>
      <c r="M230" s="724"/>
      <c r="N230" s="746"/>
      <c r="O230" s="877">
        <v>0.1</v>
      </c>
      <c r="P230" s="797">
        <f t="shared" si="147"/>
        <v>0.1</v>
      </c>
      <c r="Q230" s="732">
        <f t="shared" si="148"/>
        <v>0.1</v>
      </c>
      <c r="R230" s="723">
        <f>IF(A230="January",(R229+R229*Assumptions!$E$32),R229)</f>
        <v>0.42893910078844716</v>
      </c>
      <c r="S230" s="730">
        <f t="shared" si="149"/>
        <v>0.55405685194900411</v>
      </c>
      <c r="T230" s="572"/>
      <c r="U230" s="507"/>
      <c r="V230" s="583"/>
      <c r="W230" s="583"/>
      <c r="X230" s="587"/>
      <c r="Y230" s="588">
        <f>Tables!$D$36</f>
        <v>312</v>
      </c>
      <c r="Z230" s="570">
        <f t="shared" si="150"/>
        <v>0</v>
      </c>
      <c r="AA230" s="592">
        <f t="shared" si="151"/>
        <v>0</v>
      </c>
      <c r="AB230" s="589">
        <f t="shared" si="146"/>
        <v>0</v>
      </c>
      <c r="AC230" s="462"/>
      <c r="AD230" s="1027">
        <f>IF(Tables!$E$30="Michigan",INDEX('Michigan Curve'!$A$4:$S$256,MATCH('Monthly Table'!B230,'Michigan Curve'!$A$4:$A$256,0),MATCH("Michigan Selected Option Value US$/month",'Michigan Curve'!$A$4:$S$4,0)),INDEX('NY Curve'!$A$4:$T$256,MATCH('Monthly Table'!B230,'NY Curve'!$A$4:$A$256,0),MATCH("New York Selected Option Value US$/month",'NY Curve'!$A$4:$T$4,0)))</f>
        <v>0</v>
      </c>
      <c r="AE230" s="601">
        <f t="shared" si="165"/>
        <v>0</v>
      </c>
      <c r="AF230" s="462"/>
      <c r="AG230" s="915"/>
      <c r="AH230" s="17"/>
      <c r="AI230" s="799">
        <f>Assumptions!$B$50</f>
        <v>65</v>
      </c>
      <c r="AJ230" s="743"/>
      <c r="AK230" s="924">
        <f>IF(Tables!$E$30="Custom",'Monthly Table'!AI230,IF(Tables!$E$30="New York",INDEX('NY Curve'!$A$4:$G$256,MATCH('Monthly Table'!B230,'NY Curve'!$A$4:$A$256,0),MATCH("Super Peak Curve",'NY Curve'!$A$4:$G$4,0)),IF(Tables!$E$30="New York Flat",INDEX('NY Curve'!$A$4:$G$256,MATCH('Monthly Table'!B230,'NY Curve'!$A$4:$A$256,0),MATCH("Flat NY West",'NY Curve'!$A$4:$G$4,0)),INDEX('Michigan Curve'!$A$4:$F$256,MATCH('Monthly Table'!B230,'Michigan Curve'!$A$4:$A$256,0),MATCH("Michigan Super Peak Curve US$/MWhr",'Michigan Curve'!$A$4:$F$4,0)))))</f>
        <v>0</v>
      </c>
      <c r="AL230" s="965">
        <f>IF(D230&lt;=Tables!$B$21,IF($AL$10=$AI$10,AI230,IF($AL$10=$AJ$10,AJ230,IF($AL$10=$AK$10,AK230,0))),0)</f>
        <v>0</v>
      </c>
      <c r="AM230" s="708">
        <f t="shared" si="166"/>
        <v>0</v>
      </c>
      <c r="AN230" s="916">
        <f t="shared" si="167"/>
        <v>0</v>
      </c>
      <c r="AO230" s="905"/>
      <c r="AP230" s="925"/>
      <c r="AQ230" s="926">
        <f>IF(Tables!$E$30="New York",INDEX('NY Curve'!$A$4:$L$256,MATCH('Monthly Table'!B230,'NY Curve'!$A$4:$A$256,0),MATCH("New York Shoulder Hour Curve Mon-Fri",'NY Curve'!$A$4:$L$4,0)),IF(Tables!$E$30="Michigan",INDEX('Michigan Curve'!$A$4:$K$256,MATCH('Monthly Table'!B230,'Michigan Curve'!$A$4:$A$256,0),MATCH("Michigan Shoulder Hour Curve Mon-Fri",'Michigan Curve'!$A$4:$K$4,0))))</f>
        <v>0</v>
      </c>
      <c r="AR230" s="708">
        <f t="shared" si="168"/>
        <v>0</v>
      </c>
      <c r="AS230" s="927">
        <f t="shared" si="157"/>
        <v>0</v>
      </c>
      <c r="AU230" s="926">
        <f>IF(Tables!$E$30="New York",INDEX('NY Curve'!$A$4:$L$256,MATCH('Monthly Table'!$B230,'NY Curve'!$A$4:$A$256,0),MATCH("New York Saturday Super Peak",'NY Curve'!$A$4:$L$4,0)),IF(Tables!$E$30="Michigan",INDEX('Michigan Curve'!$A$4:$K$256,MATCH('Monthly Table'!$B230,'Michigan Curve'!$A$4:$A$256,0),MATCH("Michigan Saturday Super Peak",'Michigan Curve'!$A$4:$K$4,0))))</f>
        <v>0</v>
      </c>
      <c r="AV230" s="925">
        <f t="shared" si="158"/>
        <v>0</v>
      </c>
      <c r="AW230" s="927">
        <f>IF(Tables!$B$21=15,0,IF(AV230&gt;($CP230+$BF$4),1,0))</f>
        <v>0</v>
      </c>
      <c r="AX230" s="926">
        <f>IF(Tables!$E$30="New York",INDEX('NY Curve'!$A$4:$L$256,MATCH('Monthly Table'!$B230,'NY Curve'!$A$4:$A$256,0),MATCH("New York Saturday Shoulder Peak",'NY Curve'!$A$4:$L$4,0)),IF(Tables!$E$30="Michigan",INDEX('Michigan Curve'!$A$4:$K$256,MATCH('Monthly Table'!$B230,'Michigan Curve'!$A$4:$A$256,0),MATCH("Michigan Saturday Shoulder Peak",'Michigan Curve'!$A$4:$K$4,0))))</f>
        <v>0</v>
      </c>
      <c r="AY230" s="934">
        <f t="shared" si="169"/>
        <v>0</v>
      </c>
      <c r="AZ230" s="927">
        <f>IF(Tables!$B$21=15,0,IF(AY230&gt;($CP230+$BF$4),1,0))</f>
        <v>0</v>
      </c>
      <c r="BB230" s="926">
        <f>IF(Tables!$E$30="New York",INDEX('NY Curve'!$A$4:$M$256,MATCH('Monthly Table'!$B230,'NY Curve'!$A$4:$A$256,0),MATCH("NY Sunday Super Peak",'NY Curve'!$A$4:$M$4,0)),IF(Tables!$E$30="Michigan",INDEX('Michigan Curve'!$A$4:$L$256,MATCH('Monthly Table'!$B230,'Michigan Curve'!$A$4:$A$256,0),MATCH("Michigan Sunday Super Peak",'Michigan Curve'!$A$4:$L$4,0))))</f>
        <v>0</v>
      </c>
      <c r="BC230" s="925">
        <f t="shared" si="170"/>
        <v>0</v>
      </c>
      <c r="BD230" s="927">
        <f t="shared" si="159"/>
        <v>0</v>
      </c>
      <c r="BF230" s="598">
        <f t="shared" si="152"/>
        <v>43556</v>
      </c>
      <c r="BG230" s="583">
        <f t="shared" si="171"/>
        <v>0</v>
      </c>
      <c r="BH230" s="764">
        <f>IF(Tables!$B$36="Combined Cycle",(BF230-BF229)*24*Assumptions!$B$21,0)</f>
        <v>0</v>
      </c>
      <c r="BI230" s="315">
        <f t="shared" si="172"/>
        <v>0</v>
      </c>
      <c r="BJ230" s="987">
        <f>IF('Monthly Table'!D230&lt;=Tables!$B$21,IF($BJ$10=$BG$10,BG230,IF($BJ$10=$BH$10,BH230,IF($BJ$10=$BI$10,BI230,0))),0)</f>
        <v>0</v>
      </c>
      <c r="BK230" s="43"/>
      <c r="BL230" s="987">
        <f t="shared" si="173"/>
        <v>0</v>
      </c>
      <c r="BM230" s="987">
        <f t="shared" si="174"/>
        <v>0</v>
      </c>
      <c r="BO230" s="987">
        <f t="shared" si="160"/>
        <v>0</v>
      </c>
      <c r="BP230" s="987">
        <f t="shared" si="175"/>
        <v>0</v>
      </c>
      <c r="BR230" s="993">
        <f>IF(BJ230&gt;0,INDEX(OperationalDetail,MATCH("Capacity Degradation",ODColumn,0),MATCH('Monthly Table'!C230,ODRow,0)),0)</f>
        <v>0</v>
      </c>
      <c r="BS230" s="994">
        <f>BJ230*(1-BR230)*Tables!$C$36</f>
        <v>0</v>
      </c>
      <c r="BT230" s="601">
        <f t="shared" si="161"/>
        <v>0</v>
      </c>
      <c r="BU230" s="601">
        <f t="shared" si="162"/>
        <v>0</v>
      </c>
      <c r="BV230" s="462"/>
      <c r="BW230" s="785">
        <f>$BO230*(1-$BR230)*Tables!$C$36</f>
        <v>0</v>
      </c>
      <c r="BX230" s="602">
        <f t="shared" si="176"/>
        <v>0</v>
      </c>
      <c r="BY230" s="601">
        <f t="shared" si="177"/>
        <v>0</v>
      </c>
      <c r="BZ230" s="462"/>
      <c r="CA230" s="785">
        <f>$BL230*(1-$BR230)*Tables!$C$36</f>
        <v>0</v>
      </c>
      <c r="CB230" s="602">
        <f t="shared" si="178"/>
        <v>0</v>
      </c>
      <c r="CC230" s="601">
        <f t="shared" si="179"/>
        <v>0</v>
      </c>
      <c r="CD230" s="785">
        <f>$BP230*(1-$BR230)*Tables!$C$36</f>
        <v>0</v>
      </c>
      <c r="CE230" s="602">
        <f t="shared" si="180"/>
        <v>0</v>
      </c>
      <c r="CF230" s="601">
        <f t="shared" si="181"/>
        <v>0</v>
      </c>
      <c r="CH230" s="785">
        <f>$BM230*(1-$BR230)*Tables!$C$36</f>
        <v>0</v>
      </c>
      <c r="CI230" s="602">
        <f t="shared" si="182"/>
        <v>0</v>
      </c>
      <c r="CJ230" s="601">
        <f t="shared" si="183"/>
        <v>0</v>
      </c>
      <c r="CL230" s="304">
        <f t="shared" si="184"/>
        <v>2018</v>
      </c>
      <c r="CM230" s="1018">
        <f>INDEX(OperationalDetail,MATCH("Degraded Heat Rate",ODColumn,0),MATCH('Monthly Table'!CL230,ODRow,0))/1000</f>
        <v>11.96</v>
      </c>
      <c r="CN230" s="737">
        <f t="shared" si="163"/>
        <v>6.6265199493100893</v>
      </c>
      <c r="CO230" s="1019">
        <f>IF(A230="January",(CO229*(1+Assumptions!$E$32)),CO229)</f>
        <v>9.6201311313309379</v>
      </c>
      <c r="CP230" s="741">
        <f t="shared" si="153"/>
        <v>16.246651080641026</v>
      </c>
      <c r="CQ230" s="304"/>
      <c r="CR230" s="575" t="str">
        <f t="shared" si="185"/>
        <v/>
      </c>
      <c r="CS230" s="575" t="str">
        <f t="shared" si="186"/>
        <v/>
      </c>
      <c r="CT230" s="575" t="str">
        <f t="shared" si="187"/>
        <v/>
      </c>
      <c r="CU230" s="575" t="str">
        <f t="shared" si="188"/>
        <v/>
      </c>
      <c r="CV230" s="575" t="str">
        <f t="shared" si="189"/>
        <v/>
      </c>
      <c r="CW230" s="576">
        <f t="shared" si="154"/>
        <v>2019</v>
      </c>
      <c r="CX230" s="787">
        <f>INDEX('NY Curve'!$A$4:$G$256,MATCH('Monthly Table'!B230,'NY Curve'!$A$4:$A$256,0),MATCH("New York 5 X 16",'NY Curve'!$A$4:$G$4,0))</f>
        <v>0</v>
      </c>
      <c r="CY230" s="632">
        <f t="shared" si="155"/>
        <v>1.2511775116055699</v>
      </c>
      <c r="CZ230" s="633">
        <f t="shared" si="156"/>
        <v>0</v>
      </c>
      <c r="DB230" s="857"/>
      <c r="DC230" s="857"/>
    </row>
    <row r="231" spans="1:107" ht="18.75" customHeight="1">
      <c r="A231" s="17" t="s">
        <v>441</v>
      </c>
      <c r="B231" s="508">
        <v>43586</v>
      </c>
      <c r="C231" s="43">
        <f t="shared" si="145"/>
        <v>2019</v>
      </c>
      <c r="D231" s="719">
        <f t="shared" si="190"/>
        <v>19</v>
      </c>
      <c r="E231" s="972">
        <v>22</v>
      </c>
      <c r="F231" s="971">
        <v>4</v>
      </c>
      <c r="G231" s="971">
        <v>4</v>
      </c>
      <c r="H231" s="971">
        <v>1</v>
      </c>
      <c r="I231" s="976">
        <f t="shared" si="164"/>
        <v>31</v>
      </c>
      <c r="J231" s="621"/>
      <c r="K231" s="572">
        <f>INDEX(FX!$A$3:$C$362,MATCH(B231,FX!$A$3:$A$362,0),MATCH("Monthly Curve",FX!$A$2:$C$2,0))</f>
        <v>1.2506769549715899</v>
      </c>
      <c r="L231" s="572"/>
      <c r="M231" s="724"/>
      <c r="N231" s="746"/>
      <c r="O231" s="877">
        <v>0.1</v>
      </c>
      <c r="P231" s="797">
        <f t="shared" si="147"/>
        <v>0.1</v>
      </c>
      <c r="Q231" s="732">
        <f t="shared" si="148"/>
        <v>0.1</v>
      </c>
      <c r="R231" s="723">
        <f>IF(A231="January",(R230+R230*Assumptions!$E$32),R230)</f>
        <v>0.42893910078844716</v>
      </c>
      <c r="S231" s="730">
        <f t="shared" si="149"/>
        <v>0.55400679628560612</v>
      </c>
      <c r="T231" s="572"/>
      <c r="U231" s="507"/>
      <c r="V231" s="583"/>
      <c r="W231" s="583"/>
      <c r="X231" s="587"/>
      <c r="Y231" s="588">
        <f>Tables!$D$36</f>
        <v>312</v>
      </c>
      <c r="Z231" s="570">
        <f t="shared" si="150"/>
        <v>0</v>
      </c>
      <c r="AA231" s="592">
        <f t="shared" si="151"/>
        <v>0</v>
      </c>
      <c r="AB231" s="589">
        <f t="shared" si="146"/>
        <v>0</v>
      </c>
      <c r="AC231" s="462"/>
      <c r="AD231" s="1027">
        <f>IF(Tables!$E$30="Michigan",INDEX('Michigan Curve'!$A$4:$S$256,MATCH('Monthly Table'!B231,'Michigan Curve'!$A$4:$A$256,0),MATCH("Michigan Selected Option Value US$/month",'Michigan Curve'!$A$4:$S$4,0)),INDEX('NY Curve'!$A$4:$T$256,MATCH('Monthly Table'!B231,'NY Curve'!$A$4:$A$256,0),MATCH("New York Selected Option Value US$/month",'NY Curve'!$A$4:$T$4,0)))</f>
        <v>0</v>
      </c>
      <c r="AE231" s="601">
        <f t="shared" si="165"/>
        <v>0</v>
      </c>
      <c r="AF231" s="462"/>
      <c r="AG231" s="915"/>
      <c r="AH231" s="17"/>
      <c r="AI231" s="799">
        <f>Assumptions!$B$50</f>
        <v>65</v>
      </c>
      <c r="AJ231" s="743"/>
      <c r="AK231" s="924">
        <f>IF(Tables!$E$30="Custom",'Monthly Table'!AI231,IF(Tables!$E$30="New York",INDEX('NY Curve'!$A$4:$G$256,MATCH('Monthly Table'!B231,'NY Curve'!$A$4:$A$256,0),MATCH("Super Peak Curve",'NY Curve'!$A$4:$G$4,0)),IF(Tables!$E$30="New York Flat",INDEX('NY Curve'!$A$4:$G$256,MATCH('Monthly Table'!B231,'NY Curve'!$A$4:$A$256,0),MATCH("Flat NY West",'NY Curve'!$A$4:$G$4,0)),INDEX('Michigan Curve'!$A$4:$F$256,MATCH('Monthly Table'!B231,'Michigan Curve'!$A$4:$A$256,0),MATCH("Michigan Super Peak Curve US$/MWhr",'Michigan Curve'!$A$4:$F$4,0)))))</f>
        <v>0</v>
      </c>
      <c r="AL231" s="965">
        <f>IF(D231&lt;=Tables!$B$21,IF($AL$10=$AI$10,AI231,IF($AL$10=$AJ$10,AJ231,IF($AL$10=$AK$10,AK231,0))),0)</f>
        <v>0</v>
      </c>
      <c r="AM231" s="708">
        <f t="shared" si="166"/>
        <v>0</v>
      </c>
      <c r="AN231" s="916">
        <f t="shared" si="167"/>
        <v>0</v>
      </c>
      <c r="AO231" s="905"/>
      <c r="AP231" s="925"/>
      <c r="AQ231" s="926">
        <f>IF(Tables!$E$30="New York",INDEX('NY Curve'!$A$4:$L$256,MATCH('Monthly Table'!B231,'NY Curve'!$A$4:$A$256,0),MATCH("New York Shoulder Hour Curve Mon-Fri",'NY Curve'!$A$4:$L$4,0)),IF(Tables!$E$30="Michigan",INDEX('Michigan Curve'!$A$4:$K$256,MATCH('Monthly Table'!B231,'Michigan Curve'!$A$4:$A$256,0),MATCH("Michigan Shoulder Hour Curve Mon-Fri",'Michigan Curve'!$A$4:$K$4,0))))</f>
        <v>0</v>
      </c>
      <c r="AR231" s="708">
        <f t="shared" si="168"/>
        <v>0</v>
      </c>
      <c r="AS231" s="927">
        <f t="shared" si="157"/>
        <v>0</v>
      </c>
      <c r="AU231" s="926">
        <f>IF(Tables!$E$30="New York",INDEX('NY Curve'!$A$4:$L$256,MATCH('Monthly Table'!$B231,'NY Curve'!$A$4:$A$256,0),MATCH("New York Saturday Super Peak",'NY Curve'!$A$4:$L$4,0)),IF(Tables!$E$30="Michigan",INDEX('Michigan Curve'!$A$4:$K$256,MATCH('Monthly Table'!$B231,'Michigan Curve'!$A$4:$A$256,0),MATCH("Michigan Saturday Super Peak",'Michigan Curve'!$A$4:$K$4,0))))</f>
        <v>0</v>
      </c>
      <c r="AV231" s="925">
        <f t="shared" si="158"/>
        <v>0</v>
      </c>
      <c r="AW231" s="927">
        <f>IF(Tables!$B$21=15,0,IF(AV231&gt;($CP231+$BF$4),1,0))</f>
        <v>0</v>
      </c>
      <c r="AX231" s="926">
        <f>IF(Tables!$E$30="New York",INDEX('NY Curve'!$A$4:$L$256,MATCH('Monthly Table'!$B231,'NY Curve'!$A$4:$A$256,0),MATCH("New York Saturday Shoulder Peak",'NY Curve'!$A$4:$L$4,0)),IF(Tables!$E$30="Michigan",INDEX('Michigan Curve'!$A$4:$K$256,MATCH('Monthly Table'!$B231,'Michigan Curve'!$A$4:$A$256,0),MATCH("Michigan Saturday Shoulder Peak",'Michigan Curve'!$A$4:$K$4,0))))</f>
        <v>0</v>
      </c>
      <c r="AY231" s="934">
        <f t="shared" si="169"/>
        <v>0</v>
      </c>
      <c r="AZ231" s="927">
        <f>IF(Tables!$B$21=15,0,IF(AY231&gt;($CP231+$BF$4),1,0))</f>
        <v>0</v>
      </c>
      <c r="BB231" s="926">
        <f>IF(Tables!$E$30="New York",INDEX('NY Curve'!$A$4:$M$256,MATCH('Monthly Table'!$B231,'NY Curve'!$A$4:$A$256,0),MATCH("NY Sunday Super Peak",'NY Curve'!$A$4:$M$4,0)),IF(Tables!$E$30="Michigan",INDEX('Michigan Curve'!$A$4:$L$256,MATCH('Monthly Table'!$B231,'Michigan Curve'!$A$4:$A$256,0),MATCH("Michigan Sunday Super Peak",'Michigan Curve'!$A$4:$L$4,0))))</f>
        <v>0</v>
      </c>
      <c r="BC231" s="925">
        <f t="shared" si="170"/>
        <v>0</v>
      </c>
      <c r="BD231" s="927">
        <f t="shared" si="159"/>
        <v>0</v>
      </c>
      <c r="BF231" s="598">
        <f t="shared" si="152"/>
        <v>43586</v>
      </c>
      <c r="BG231" s="583">
        <f t="shared" si="171"/>
        <v>0</v>
      </c>
      <c r="BH231" s="764">
        <f>IF(Tables!$B$36="Combined Cycle",(BF231-BF230)*24*Assumptions!$B$21,0)</f>
        <v>0</v>
      </c>
      <c r="BI231" s="315">
        <f t="shared" si="172"/>
        <v>0</v>
      </c>
      <c r="BJ231" s="987">
        <f>IF('Monthly Table'!D231&lt;=Tables!$B$21,IF($BJ$10=$BG$10,BG231,IF($BJ$10=$BH$10,BH231,IF($BJ$10=$BI$10,BI231,0))),0)</f>
        <v>0</v>
      </c>
      <c r="BK231" s="43"/>
      <c r="BL231" s="987">
        <f t="shared" si="173"/>
        <v>0</v>
      </c>
      <c r="BM231" s="987">
        <f t="shared" si="174"/>
        <v>0</v>
      </c>
      <c r="BO231" s="987">
        <f t="shared" si="160"/>
        <v>0</v>
      </c>
      <c r="BP231" s="987">
        <f t="shared" si="175"/>
        <v>0</v>
      </c>
      <c r="BR231" s="993">
        <f>IF(BJ231&gt;0,INDEX(OperationalDetail,MATCH("Capacity Degradation",ODColumn,0),MATCH('Monthly Table'!C231,ODRow,0)),0)</f>
        <v>0</v>
      </c>
      <c r="BS231" s="994">
        <f>BJ231*(1-BR231)*Tables!$C$36</f>
        <v>0</v>
      </c>
      <c r="BT231" s="601">
        <f t="shared" si="161"/>
        <v>0</v>
      </c>
      <c r="BU231" s="601">
        <f t="shared" si="162"/>
        <v>0</v>
      </c>
      <c r="BV231" s="462"/>
      <c r="BW231" s="785">
        <f>$BO231*(1-$BR231)*Tables!$C$36</f>
        <v>0</v>
      </c>
      <c r="BX231" s="602">
        <f t="shared" si="176"/>
        <v>0</v>
      </c>
      <c r="BY231" s="601">
        <f t="shared" si="177"/>
        <v>0</v>
      </c>
      <c r="BZ231" s="462"/>
      <c r="CA231" s="785">
        <f>$BL231*(1-$BR231)*Tables!$C$36</f>
        <v>0</v>
      </c>
      <c r="CB231" s="602">
        <f t="shared" si="178"/>
        <v>0</v>
      </c>
      <c r="CC231" s="601">
        <f t="shared" si="179"/>
        <v>0</v>
      </c>
      <c r="CD231" s="785">
        <f>$BP231*(1-$BR231)*Tables!$C$36</f>
        <v>0</v>
      </c>
      <c r="CE231" s="602">
        <f t="shared" si="180"/>
        <v>0</v>
      </c>
      <c r="CF231" s="601">
        <f t="shared" si="181"/>
        <v>0</v>
      </c>
      <c r="CH231" s="785">
        <f>$BM231*(1-$BR231)*Tables!$C$36</f>
        <v>0</v>
      </c>
      <c r="CI231" s="602">
        <f t="shared" si="182"/>
        <v>0</v>
      </c>
      <c r="CJ231" s="601">
        <f t="shared" si="183"/>
        <v>0</v>
      </c>
      <c r="CL231" s="304">
        <f t="shared" si="184"/>
        <v>2018</v>
      </c>
      <c r="CM231" s="1018">
        <f>INDEX(OperationalDetail,MATCH("Degraded Heat Rate",ODColumn,0),MATCH('Monthly Table'!CL231,ODRow,0))/1000</f>
        <v>11.96</v>
      </c>
      <c r="CN231" s="737">
        <f t="shared" si="163"/>
        <v>6.6259212835758499</v>
      </c>
      <c r="CO231" s="1019">
        <f>IF(A231="January",(CO230*(1+Assumptions!$E$32)),CO230)</f>
        <v>9.6201311313309379</v>
      </c>
      <c r="CP231" s="741">
        <f t="shared" si="153"/>
        <v>16.246052414906789</v>
      </c>
      <c r="CQ231" s="304"/>
      <c r="CR231" s="575" t="str">
        <f t="shared" si="185"/>
        <v/>
      </c>
      <c r="CS231" s="575" t="str">
        <f t="shared" si="186"/>
        <v/>
      </c>
      <c r="CT231" s="575" t="str">
        <f t="shared" si="187"/>
        <v/>
      </c>
      <c r="CU231" s="575" t="str">
        <f t="shared" si="188"/>
        <v/>
      </c>
      <c r="CV231" s="575" t="str">
        <f t="shared" si="189"/>
        <v/>
      </c>
      <c r="CW231" s="576">
        <f t="shared" si="154"/>
        <v>2019</v>
      </c>
      <c r="CX231" s="787">
        <f>INDEX('NY Curve'!$A$4:$G$256,MATCH('Monthly Table'!B231,'NY Curve'!$A$4:$A$256,0),MATCH("New York 5 X 16",'NY Curve'!$A$4:$G$4,0))</f>
        <v>0</v>
      </c>
      <c r="CY231" s="632">
        <f t="shared" si="155"/>
        <v>1.2506769549715899</v>
      </c>
      <c r="CZ231" s="633">
        <f t="shared" si="156"/>
        <v>0</v>
      </c>
      <c r="DB231" s="857"/>
      <c r="DC231" s="857"/>
    </row>
    <row r="232" spans="1:107" ht="18.75" customHeight="1">
      <c r="A232" s="17" t="s">
        <v>442</v>
      </c>
      <c r="B232" s="508">
        <v>43617</v>
      </c>
      <c r="C232" s="43">
        <f t="shared" si="145"/>
        <v>2019</v>
      </c>
      <c r="D232" s="719">
        <f t="shared" si="190"/>
        <v>19</v>
      </c>
      <c r="E232" s="972">
        <v>20</v>
      </c>
      <c r="F232" s="971">
        <v>5</v>
      </c>
      <c r="G232" s="971">
        <v>5</v>
      </c>
      <c r="H232" s="971">
        <v>0</v>
      </c>
      <c r="I232" s="976">
        <f t="shared" si="164"/>
        <v>30</v>
      </c>
      <c r="J232" s="621"/>
      <c r="K232" s="572">
        <f>INDEX(FX!$A$3:$C$362,MATCH(B232,FX!$A$3:$A$362,0),MATCH("Monthly Curve",FX!$A$2:$C$2,0))</f>
        <v>1.2501626985438199</v>
      </c>
      <c r="L232" s="572"/>
      <c r="M232" s="724"/>
      <c r="N232" s="746"/>
      <c r="O232" s="877">
        <v>0.1</v>
      </c>
      <c r="P232" s="797">
        <f t="shared" si="147"/>
        <v>0.1</v>
      </c>
      <c r="Q232" s="732">
        <f t="shared" si="148"/>
        <v>0.1</v>
      </c>
      <c r="R232" s="723">
        <f>IF(A232="January",(R231+R231*Assumptions!$E$32),R231)</f>
        <v>0.42893910078844716</v>
      </c>
      <c r="S232" s="730">
        <f t="shared" si="149"/>
        <v>0.55395537064282918</v>
      </c>
      <c r="T232" s="572"/>
      <c r="U232" s="507"/>
      <c r="V232" s="583"/>
      <c r="W232" s="583"/>
      <c r="X232" s="587"/>
      <c r="Y232" s="588">
        <f>Tables!$D$36</f>
        <v>312</v>
      </c>
      <c r="Z232" s="570">
        <f t="shared" si="150"/>
        <v>0</v>
      </c>
      <c r="AA232" s="592">
        <f t="shared" si="151"/>
        <v>0</v>
      </c>
      <c r="AB232" s="589">
        <f t="shared" si="146"/>
        <v>0</v>
      </c>
      <c r="AC232" s="462"/>
      <c r="AD232" s="1027">
        <f>IF(Tables!$E$30="Michigan",INDEX('Michigan Curve'!$A$4:$S$256,MATCH('Monthly Table'!B232,'Michigan Curve'!$A$4:$A$256,0),MATCH("Michigan Selected Option Value US$/month",'Michigan Curve'!$A$4:$S$4,0)),INDEX('NY Curve'!$A$4:$T$256,MATCH('Monthly Table'!B232,'NY Curve'!$A$4:$A$256,0),MATCH("New York Selected Option Value US$/month",'NY Curve'!$A$4:$T$4,0)))</f>
        <v>0</v>
      </c>
      <c r="AE232" s="601">
        <f t="shared" si="165"/>
        <v>0</v>
      </c>
      <c r="AF232" s="462"/>
      <c r="AG232" s="915"/>
      <c r="AH232" s="17"/>
      <c r="AI232" s="799">
        <f>Assumptions!$B$50</f>
        <v>65</v>
      </c>
      <c r="AJ232" s="743"/>
      <c r="AK232" s="924" t="e">
        <f>IF(Tables!$E$30="Custom",'Monthly Table'!AI232,IF(Tables!$E$30="New York",INDEX('NY Curve'!$A$4:$G$256,MATCH('Monthly Table'!B232,'NY Curve'!$A$4:$A$256,0),MATCH("Super Peak Curve",'NY Curve'!$A$4:$G$4,0)),IF(Tables!$E$30="New York Flat",INDEX('NY Curve'!$A$4:$G$256,MATCH('Monthly Table'!B232,'NY Curve'!$A$4:$A$256,0),MATCH("Flat NY West",'NY Curve'!$A$4:$G$4,0)),INDEX('Michigan Curve'!$A$4:$F$256,MATCH('Monthly Table'!B232,'Michigan Curve'!$A$4:$A$256,0),MATCH("Michigan Super Peak Curve US$/MWhr",'Michigan Curve'!$A$4:$F$4,0)))))</f>
        <v>#DIV/0!</v>
      </c>
      <c r="AL232" s="965">
        <f>IF(D232&lt;=Tables!$B$21,IF($AL$10=$AI$10,AI232,IF($AL$10=$AJ$10,AJ232,IF($AL$10=$AK$10,AK232,0))),0)</f>
        <v>0</v>
      </c>
      <c r="AM232" s="708">
        <f t="shared" si="166"/>
        <v>0</v>
      </c>
      <c r="AN232" s="916">
        <f t="shared" si="167"/>
        <v>0</v>
      </c>
      <c r="AO232" s="905"/>
      <c r="AP232" s="925"/>
      <c r="AQ232" s="926" t="e">
        <f>IF(Tables!$E$30="New York",INDEX('NY Curve'!$A$4:$L$256,MATCH('Monthly Table'!B232,'NY Curve'!$A$4:$A$256,0),MATCH("New York Shoulder Hour Curve Mon-Fri",'NY Curve'!$A$4:$L$4,0)),IF(Tables!$E$30="Michigan",INDEX('Michigan Curve'!$A$4:$K$256,MATCH('Monthly Table'!B232,'Michigan Curve'!$A$4:$A$256,0),MATCH("Michigan Shoulder Hour Curve Mon-Fri",'Michigan Curve'!$A$4:$K$4,0))))</f>
        <v>#DIV/0!</v>
      </c>
      <c r="AR232" s="708" t="e">
        <f t="shared" si="168"/>
        <v>#DIV/0!</v>
      </c>
      <c r="AS232" s="927" t="e">
        <f t="shared" si="157"/>
        <v>#DIV/0!</v>
      </c>
      <c r="AU232" s="926" t="e">
        <f>IF(Tables!$E$30="New York",INDEX('NY Curve'!$A$4:$L$256,MATCH('Monthly Table'!$B232,'NY Curve'!$A$4:$A$256,0),MATCH("New York Saturday Super Peak",'NY Curve'!$A$4:$L$4,0)),IF(Tables!$E$30="Michigan",INDEX('Michigan Curve'!$A$4:$K$256,MATCH('Monthly Table'!$B232,'Michigan Curve'!$A$4:$A$256,0),MATCH("Michigan Saturday Super Peak",'Michigan Curve'!$A$4:$K$4,0))))</f>
        <v>#DIV/0!</v>
      </c>
      <c r="AV232" s="925" t="e">
        <f t="shared" si="158"/>
        <v>#DIV/0!</v>
      </c>
      <c r="AW232" s="927">
        <f>IF(Tables!$B$21=15,0,IF(AV232&gt;($CP232+$BF$4),1,0))</f>
        <v>0</v>
      </c>
      <c r="AX232" s="926" t="e">
        <f>IF(Tables!$E$30="New York",INDEX('NY Curve'!$A$4:$L$256,MATCH('Monthly Table'!$B232,'NY Curve'!$A$4:$A$256,0),MATCH("New York Saturday Shoulder Peak",'NY Curve'!$A$4:$L$4,0)),IF(Tables!$E$30="Michigan",INDEX('Michigan Curve'!$A$4:$K$256,MATCH('Monthly Table'!$B232,'Michigan Curve'!$A$4:$A$256,0),MATCH("Michigan Saturday Shoulder Peak",'Michigan Curve'!$A$4:$K$4,0))))</f>
        <v>#DIV/0!</v>
      </c>
      <c r="AY232" s="934" t="e">
        <f t="shared" si="169"/>
        <v>#DIV/0!</v>
      </c>
      <c r="AZ232" s="927">
        <f>IF(Tables!$B$21=15,0,IF(AY232&gt;($CP232+$BF$4),1,0))</f>
        <v>0</v>
      </c>
      <c r="BB232" s="926" t="e">
        <f>IF(Tables!$E$30="New York",INDEX('NY Curve'!$A$4:$M$256,MATCH('Monthly Table'!$B232,'NY Curve'!$A$4:$A$256,0),MATCH("NY Sunday Super Peak",'NY Curve'!$A$4:$M$4,0)),IF(Tables!$E$30="Michigan",INDEX('Michigan Curve'!$A$4:$L$256,MATCH('Monthly Table'!$B232,'Michigan Curve'!$A$4:$A$256,0),MATCH("Michigan Sunday Super Peak",'Michigan Curve'!$A$4:$L$4,0))))</f>
        <v>#DIV/0!</v>
      </c>
      <c r="BC232" s="925" t="e">
        <f t="shared" si="170"/>
        <v>#DIV/0!</v>
      </c>
      <c r="BD232" s="927" t="e">
        <f t="shared" si="159"/>
        <v>#DIV/0!</v>
      </c>
      <c r="BF232" s="598">
        <f t="shared" si="152"/>
        <v>43617</v>
      </c>
      <c r="BG232" s="583">
        <f t="shared" si="171"/>
        <v>0</v>
      </c>
      <c r="BH232" s="764">
        <f>IF(Tables!$B$36="Combined Cycle",(BF232-BF231)*24*Assumptions!$B$21,0)</f>
        <v>0</v>
      </c>
      <c r="BI232" s="315">
        <f t="shared" si="172"/>
        <v>0</v>
      </c>
      <c r="BJ232" s="987">
        <f>IF('Monthly Table'!D232&lt;=Tables!$B$21,IF($BJ$10=$BG$10,BG232,IF($BJ$10=$BH$10,BH232,IF($BJ$10=$BI$10,BI232,0))),0)</f>
        <v>0</v>
      </c>
      <c r="BK232" s="43"/>
      <c r="BL232" s="987">
        <f t="shared" si="173"/>
        <v>0</v>
      </c>
      <c r="BM232" s="987" t="e">
        <f t="shared" si="174"/>
        <v>#DIV/0!</v>
      </c>
      <c r="BO232" s="987" t="e">
        <f t="shared" si="160"/>
        <v>#DIV/0!</v>
      </c>
      <c r="BP232" s="987">
        <f t="shared" si="175"/>
        <v>0</v>
      </c>
      <c r="BR232" s="993">
        <f>IF(BJ232&gt;0,INDEX(OperationalDetail,MATCH("Capacity Degradation",ODColumn,0),MATCH('Monthly Table'!C232,ODRow,0)),0)</f>
        <v>0</v>
      </c>
      <c r="BS232" s="994">
        <f>BJ232*(1-BR232)*Tables!$C$36</f>
        <v>0</v>
      </c>
      <c r="BT232" s="601">
        <f t="shared" si="161"/>
        <v>0</v>
      </c>
      <c r="BU232" s="602">
        <f t="shared" si="162"/>
        <v>0</v>
      </c>
      <c r="BV232" s="999"/>
      <c r="BW232" s="785" t="e">
        <f>$BO232*(1-$BR232)*Tables!$C$36</f>
        <v>#DIV/0!</v>
      </c>
      <c r="BX232" s="602" t="e">
        <f t="shared" si="176"/>
        <v>#DIV/0!</v>
      </c>
      <c r="BY232" s="601" t="e">
        <f t="shared" si="177"/>
        <v>#DIV/0!</v>
      </c>
      <c r="BZ232" s="462"/>
      <c r="CA232" s="785">
        <f>$BL232*(1-$BR232)*Tables!$C$36</f>
        <v>0</v>
      </c>
      <c r="CB232" s="602" t="e">
        <f t="shared" si="178"/>
        <v>#DIV/0!</v>
      </c>
      <c r="CC232" s="601" t="e">
        <f t="shared" si="179"/>
        <v>#DIV/0!</v>
      </c>
      <c r="CD232" s="785">
        <f>$BP232*(1-$BR232)*Tables!$C$36</f>
        <v>0</v>
      </c>
      <c r="CE232" s="602" t="e">
        <f t="shared" si="180"/>
        <v>#DIV/0!</v>
      </c>
      <c r="CF232" s="601" t="e">
        <f t="shared" si="181"/>
        <v>#DIV/0!</v>
      </c>
      <c r="CH232" s="785" t="e">
        <f>$BM232*(1-$BR232)*Tables!$C$36</f>
        <v>#DIV/0!</v>
      </c>
      <c r="CI232" s="602" t="e">
        <f t="shared" si="182"/>
        <v>#DIV/0!</v>
      </c>
      <c r="CJ232" s="601" t="e">
        <f t="shared" si="183"/>
        <v>#DIV/0!</v>
      </c>
      <c r="CL232" s="304">
        <f t="shared" si="184"/>
        <v>2018</v>
      </c>
      <c r="CM232" s="1018">
        <f>INDEX(OperationalDetail,MATCH("Degraded Heat Rate",ODColumn,0),MATCH('Monthly Table'!CL232,ODRow,0))/1000</f>
        <v>11.96</v>
      </c>
      <c r="CN232" s="737">
        <f t="shared" si="163"/>
        <v>6.6253062328882377</v>
      </c>
      <c r="CO232" s="1019">
        <f>IF(A232="January",(CO231*(1+Assumptions!$E$32)),CO231)</f>
        <v>9.6201311313309379</v>
      </c>
      <c r="CP232" s="741">
        <f t="shared" si="153"/>
        <v>16.245437364219175</v>
      </c>
      <c r="CQ232" s="304"/>
      <c r="CR232" s="575" t="str">
        <f t="shared" si="185"/>
        <v/>
      </c>
      <c r="CS232" s="575" t="e">
        <f t="shared" si="186"/>
        <v>#DIV/0!</v>
      </c>
      <c r="CT232" s="575" t="str">
        <f t="shared" si="187"/>
        <v/>
      </c>
      <c r="CU232" s="575" t="str">
        <f t="shared" si="188"/>
        <v/>
      </c>
      <c r="CV232" s="575" t="e">
        <f t="shared" si="189"/>
        <v>#DIV/0!</v>
      </c>
      <c r="CW232" s="576">
        <f t="shared" si="154"/>
        <v>2019</v>
      </c>
      <c r="CX232" s="787">
        <f>INDEX('NY Curve'!$A$4:$G$256,MATCH('Monthly Table'!B232,'NY Curve'!$A$4:$A$256,0),MATCH("New York 5 X 16",'NY Curve'!$A$4:$G$4,0))</f>
        <v>0</v>
      </c>
      <c r="CY232" s="632">
        <f t="shared" si="155"/>
        <v>1.2501626985438199</v>
      </c>
      <c r="CZ232" s="633">
        <f t="shared" si="156"/>
        <v>0</v>
      </c>
      <c r="DB232" s="857"/>
      <c r="DC232" s="857"/>
    </row>
    <row r="233" spans="1:107" ht="18.75" customHeight="1">
      <c r="A233" s="17" t="s">
        <v>443</v>
      </c>
      <c r="B233" s="508">
        <v>43647</v>
      </c>
      <c r="C233" s="43">
        <f t="shared" si="145"/>
        <v>2019</v>
      </c>
      <c r="D233" s="719">
        <f t="shared" si="190"/>
        <v>19</v>
      </c>
      <c r="E233" s="972">
        <v>22</v>
      </c>
      <c r="F233" s="971">
        <v>4</v>
      </c>
      <c r="G233" s="971">
        <v>4</v>
      </c>
      <c r="H233" s="971">
        <v>1</v>
      </c>
      <c r="I233" s="976">
        <f t="shared" si="164"/>
        <v>31</v>
      </c>
      <c r="J233" s="621"/>
      <c r="K233" s="572">
        <f>INDEX(FX!$A$3:$C$362,MATCH(B233,FX!$A$3:$A$362,0),MATCH("Monthly Curve",FX!$A$2:$C$2,0))</f>
        <v>1.24966791680805</v>
      </c>
      <c r="L233" s="572"/>
      <c r="M233" s="724"/>
      <c r="N233" s="746"/>
      <c r="O233" s="877">
        <v>0.1</v>
      </c>
      <c r="P233" s="797">
        <f t="shared" si="147"/>
        <v>0.1</v>
      </c>
      <c r="Q233" s="732">
        <f t="shared" si="148"/>
        <v>0.1</v>
      </c>
      <c r="R233" s="723">
        <f>IF(A233="January",(R232+R232*Assumptions!$E$32),R232)</f>
        <v>0.42893910078844716</v>
      </c>
      <c r="S233" s="730">
        <f t="shared" si="149"/>
        <v>0.55390589246925215</v>
      </c>
      <c r="T233" s="572"/>
      <c r="U233" s="507"/>
      <c r="V233" s="583"/>
      <c r="W233" s="583"/>
      <c r="X233" s="587"/>
      <c r="Y233" s="588">
        <f>Tables!$D$36</f>
        <v>312</v>
      </c>
      <c r="Z233" s="570">
        <f t="shared" si="150"/>
        <v>0</v>
      </c>
      <c r="AA233" s="592">
        <f t="shared" si="151"/>
        <v>0</v>
      </c>
      <c r="AB233" s="589">
        <f t="shared" si="146"/>
        <v>0</v>
      </c>
      <c r="AC233" s="462"/>
      <c r="AD233" s="1027">
        <f>IF(Tables!$E$30="Michigan",INDEX('Michigan Curve'!$A$4:$S$256,MATCH('Monthly Table'!B233,'Michigan Curve'!$A$4:$A$256,0),MATCH("Michigan Selected Option Value US$/month",'Michigan Curve'!$A$4:$S$4,0)),INDEX('NY Curve'!$A$4:$T$256,MATCH('Monthly Table'!B233,'NY Curve'!$A$4:$A$256,0),MATCH("New York Selected Option Value US$/month",'NY Curve'!$A$4:$T$4,0)))</f>
        <v>0</v>
      </c>
      <c r="AE233" s="601">
        <f t="shared" si="165"/>
        <v>0</v>
      </c>
      <c r="AF233" s="462"/>
      <c r="AG233" s="915"/>
      <c r="AH233" s="17"/>
      <c r="AI233" s="799">
        <f>Assumptions!$B$50</f>
        <v>65</v>
      </c>
      <c r="AJ233" s="743"/>
      <c r="AK233" s="924" t="e">
        <f>IF(Tables!$E$30="Custom",'Monthly Table'!AI233,IF(Tables!$E$30="New York",INDEX('NY Curve'!$A$4:$G$256,MATCH('Monthly Table'!B233,'NY Curve'!$A$4:$A$256,0),MATCH("Super Peak Curve",'NY Curve'!$A$4:$G$4,0)),IF(Tables!$E$30="New York Flat",INDEX('NY Curve'!$A$4:$G$256,MATCH('Monthly Table'!B233,'NY Curve'!$A$4:$A$256,0),MATCH("Flat NY West",'NY Curve'!$A$4:$G$4,0)),INDEX('Michigan Curve'!$A$4:$F$256,MATCH('Monthly Table'!B233,'Michigan Curve'!$A$4:$A$256,0),MATCH("Michigan Super Peak Curve US$/MWhr",'Michigan Curve'!$A$4:$F$4,0)))))</f>
        <v>#DIV/0!</v>
      </c>
      <c r="AL233" s="965">
        <f>IF(D233&lt;=Tables!$B$21,IF($AL$10=$AI$10,AI233,IF($AL$10=$AJ$10,AJ233,IF($AL$10=$AK$10,AK233,0))),0)</f>
        <v>0</v>
      </c>
      <c r="AM233" s="708">
        <f t="shared" si="166"/>
        <v>0</v>
      </c>
      <c r="AN233" s="916">
        <f t="shared" si="167"/>
        <v>0</v>
      </c>
      <c r="AO233" s="905"/>
      <c r="AP233" s="925"/>
      <c r="AQ233" s="926" t="e">
        <f>IF(Tables!$E$30="New York",INDEX('NY Curve'!$A$4:$L$256,MATCH('Monthly Table'!B233,'NY Curve'!$A$4:$A$256,0),MATCH("New York Shoulder Hour Curve Mon-Fri",'NY Curve'!$A$4:$L$4,0)),IF(Tables!$E$30="Michigan",INDEX('Michigan Curve'!$A$4:$K$256,MATCH('Monthly Table'!B233,'Michigan Curve'!$A$4:$A$256,0),MATCH("Michigan Shoulder Hour Curve Mon-Fri",'Michigan Curve'!$A$4:$K$4,0))))</f>
        <v>#DIV/0!</v>
      </c>
      <c r="AR233" s="708" t="e">
        <f t="shared" si="168"/>
        <v>#DIV/0!</v>
      </c>
      <c r="AS233" s="927" t="e">
        <f t="shared" si="157"/>
        <v>#DIV/0!</v>
      </c>
      <c r="AU233" s="926" t="e">
        <f>IF(Tables!$E$30="New York",INDEX('NY Curve'!$A$4:$L$256,MATCH('Monthly Table'!$B233,'NY Curve'!$A$4:$A$256,0),MATCH("New York Saturday Super Peak",'NY Curve'!$A$4:$L$4,0)),IF(Tables!$E$30="Michigan",INDEX('Michigan Curve'!$A$4:$K$256,MATCH('Monthly Table'!$B233,'Michigan Curve'!$A$4:$A$256,0),MATCH("Michigan Saturday Super Peak",'Michigan Curve'!$A$4:$K$4,0))))</f>
        <v>#DIV/0!</v>
      </c>
      <c r="AV233" s="925" t="e">
        <f t="shared" si="158"/>
        <v>#DIV/0!</v>
      </c>
      <c r="AW233" s="927">
        <f>IF(Tables!$B$21=15,0,IF(AV233&gt;($CP233+$BF$4),1,0))</f>
        <v>0</v>
      </c>
      <c r="AX233" s="926" t="e">
        <f>IF(Tables!$E$30="New York",INDEX('NY Curve'!$A$4:$L$256,MATCH('Monthly Table'!$B233,'NY Curve'!$A$4:$A$256,0),MATCH("New York Saturday Shoulder Peak",'NY Curve'!$A$4:$L$4,0)),IF(Tables!$E$30="Michigan",INDEX('Michigan Curve'!$A$4:$K$256,MATCH('Monthly Table'!$B233,'Michigan Curve'!$A$4:$A$256,0),MATCH("Michigan Saturday Shoulder Peak",'Michigan Curve'!$A$4:$K$4,0))))</f>
        <v>#DIV/0!</v>
      </c>
      <c r="AY233" s="934" t="e">
        <f t="shared" si="169"/>
        <v>#DIV/0!</v>
      </c>
      <c r="AZ233" s="927">
        <f>IF(Tables!$B$21=15,0,IF(AY233&gt;($CP233+$BF$4),1,0))</f>
        <v>0</v>
      </c>
      <c r="BB233" s="926" t="e">
        <f>IF(Tables!$E$30="New York",INDEX('NY Curve'!$A$4:$M$256,MATCH('Monthly Table'!$B233,'NY Curve'!$A$4:$A$256,0),MATCH("NY Sunday Super Peak",'NY Curve'!$A$4:$M$4,0)),IF(Tables!$E$30="Michigan",INDEX('Michigan Curve'!$A$4:$L$256,MATCH('Monthly Table'!$B233,'Michigan Curve'!$A$4:$A$256,0),MATCH("Michigan Sunday Super Peak",'Michigan Curve'!$A$4:$L$4,0))))</f>
        <v>#DIV/0!</v>
      </c>
      <c r="BC233" s="925" t="e">
        <f t="shared" si="170"/>
        <v>#DIV/0!</v>
      </c>
      <c r="BD233" s="927" t="e">
        <f t="shared" si="159"/>
        <v>#DIV/0!</v>
      </c>
      <c r="BF233" s="598">
        <f t="shared" si="152"/>
        <v>43647</v>
      </c>
      <c r="BG233" s="583">
        <f t="shared" si="171"/>
        <v>0</v>
      </c>
      <c r="BH233" s="764">
        <f>IF(Tables!$B$36="Combined Cycle",(BF233-BF232)*24*Assumptions!$B$21,0)</f>
        <v>0</v>
      </c>
      <c r="BI233" s="315">
        <f t="shared" si="172"/>
        <v>0</v>
      </c>
      <c r="BJ233" s="987">
        <f>IF('Monthly Table'!D233&lt;=Tables!$B$21,IF($BJ$10=$BG$10,BG233,IF($BJ$10=$BH$10,BH233,IF($BJ$10=$BI$10,BI233,0))),0)</f>
        <v>0</v>
      </c>
      <c r="BK233" s="43"/>
      <c r="BL233" s="987">
        <f t="shared" si="173"/>
        <v>0</v>
      </c>
      <c r="BM233" s="987" t="e">
        <f t="shared" si="174"/>
        <v>#DIV/0!</v>
      </c>
      <c r="BO233" s="987" t="e">
        <f t="shared" si="160"/>
        <v>#DIV/0!</v>
      </c>
      <c r="BP233" s="987">
        <f t="shared" si="175"/>
        <v>0</v>
      </c>
      <c r="BR233" s="993">
        <f>IF(BJ233&gt;0,INDEX(OperationalDetail,MATCH("Capacity Degradation",ODColumn,0),MATCH('Monthly Table'!C233,ODRow,0)),0)</f>
        <v>0</v>
      </c>
      <c r="BS233" s="994">
        <f>BJ233*(1-BR233)*Tables!$C$36</f>
        <v>0</v>
      </c>
      <c r="BT233" s="601">
        <f t="shared" si="161"/>
        <v>0</v>
      </c>
      <c r="BU233" s="602">
        <f t="shared" si="162"/>
        <v>0</v>
      </c>
      <c r="BV233" s="999"/>
      <c r="BW233" s="785" t="e">
        <f>$BO233*(1-$BR233)*Tables!$C$36</f>
        <v>#DIV/0!</v>
      </c>
      <c r="BX233" s="602" t="e">
        <f t="shared" si="176"/>
        <v>#DIV/0!</v>
      </c>
      <c r="BY233" s="601" t="e">
        <f t="shared" si="177"/>
        <v>#DIV/0!</v>
      </c>
      <c r="BZ233" s="462"/>
      <c r="CA233" s="785">
        <f>$BL233*(1-$BR233)*Tables!$C$36</f>
        <v>0</v>
      </c>
      <c r="CB233" s="602" t="e">
        <f t="shared" si="178"/>
        <v>#DIV/0!</v>
      </c>
      <c r="CC233" s="601" t="e">
        <f t="shared" si="179"/>
        <v>#DIV/0!</v>
      </c>
      <c r="CD233" s="785">
        <f>$BP233*(1-$BR233)*Tables!$C$36</f>
        <v>0</v>
      </c>
      <c r="CE233" s="602" t="e">
        <f t="shared" si="180"/>
        <v>#DIV/0!</v>
      </c>
      <c r="CF233" s="601" t="e">
        <f t="shared" si="181"/>
        <v>#DIV/0!</v>
      </c>
      <c r="CH233" s="785" t="e">
        <f>$BM233*(1-$BR233)*Tables!$C$36</f>
        <v>#DIV/0!</v>
      </c>
      <c r="CI233" s="602" t="e">
        <f t="shared" si="182"/>
        <v>#DIV/0!</v>
      </c>
      <c r="CJ233" s="601" t="e">
        <f t="shared" si="183"/>
        <v>#DIV/0!</v>
      </c>
      <c r="CL233" s="304">
        <f t="shared" si="184"/>
        <v>2018</v>
      </c>
      <c r="CM233" s="1018">
        <f>INDEX(OperationalDetail,MATCH("Degraded Heat Rate",ODColumn,0),MATCH('Monthly Table'!CL233,ODRow,0))/1000</f>
        <v>11.96</v>
      </c>
      <c r="CN233" s="737">
        <f t="shared" si="163"/>
        <v>6.6247144739322561</v>
      </c>
      <c r="CO233" s="1019">
        <f>IF(A233="January",(CO232*(1+Assumptions!$E$32)),CO232)</f>
        <v>9.6201311313309379</v>
      </c>
      <c r="CP233" s="741">
        <f t="shared" si="153"/>
        <v>16.244845605263194</v>
      </c>
      <c r="CQ233" s="304"/>
      <c r="CR233" s="575" t="str">
        <f t="shared" si="185"/>
        <v/>
      </c>
      <c r="CS233" s="575" t="e">
        <f t="shared" si="186"/>
        <v>#DIV/0!</v>
      </c>
      <c r="CT233" s="575" t="str">
        <f t="shared" si="187"/>
        <v/>
      </c>
      <c r="CU233" s="575" t="str">
        <f t="shared" si="188"/>
        <v/>
      </c>
      <c r="CV233" s="575" t="e">
        <f t="shared" si="189"/>
        <v>#DIV/0!</v>
      </c>
      <c r="CW233" s="576">
        <f t="shared" si="154"/>
        <v>2019</v>
      </c>
      <c r="CX233" s="787">
        <f>INDEX('NY Curve'!$A$4:$G$256,MATCH('Monthly Table'!B233,'NY Curve'!$A$4:$A$256,0),MATCH("New York 5 X 16",'NY Curve'!$A$4:$G$4,0))</f>
        <v>0</v>
      </c>
      <c r="CY233" s="632">
        <f t="shared" si="155"/>
        <v>1.24966791680805</v>
      </c>
      <c r="CZ233" s="633">
        <f t="shared" si="156"/>
        <v>0</v>
      </c>
      <c r="DB233" s="857"/>
      <c r="DC233" s="857"/>
    </row>
    <row r="234" spans="1:107" ht="18.75" customHeight="1">
      <c r="A234" s="17" t="s">
        <v>444</v>
      </c>
      <c r="B234" s="508">
        <v>43678</v>
      </c>
      <c r="C234" s="43">
        <f t="shared" si="145"/>
        <v>2019</v>
      </c>
      <c r="D234" s="719">
        <f t="shared" si="190"/>
        <v>19</v>
      </c>
      <c r="E234" s="972">
        <v>22</v>
      </c>
      <c r="F234" s="971">
        <v>5</v>
      </c>
      <c r="G234" s="971">
        <v>4</v>
      </c>
      <c r="H234" s="971">
        <v>0</v>
      </c>
      <c r="I234" s="976">
        <f t="shared" si="164"/>
        <v>31</v>
      </c>
      <c r="J234" s="621"/>
      <c r="K234" s="572">
        <f>INDEX(FX!$A$3:$C$362,MATCH(B234,FX!$A$3:$A$362,0),MATCH("Monthly Curve",FX!$A$2:$C$2,0))</f>
        <v>1.2491596208384701</v>
      </c>
      <c r="L234" s="572"/>
      <c r="M234" s="724"/>
      <c r="N234" s="746"/>
      <c r="O234" s="877">
        <v>0.1</v>
      </c>
      <c r="P234" s="797">
        <f t="shared" si="147"/>
        <v>0.1</v>
      </c>
      <c r="Q234" s="732">
        <f t="shared" si="148"/>
        <v>0.1</v>
      </c>
      <c r="R234" s="723">
        <f>IF(A234="January",(R233+R233*Assumptions!$E$32),R233)</f>
        <v>0.42893910078844716</v>
      </c>
      <c r="S234" s="730">
        <f t="shared" si="149"/>
        <v>0.55385506287229413</v>
      </c>
      <c r="T234" s="572"/>
      <c r="U234" s="507"/>
      <c r="V234" s="583"/>
      <c r="W234" s="583"/>
      <c r="X234" s="587"/>
      <c r="Y234" s="588">
        <f>Tables!$D$36</f>
        <v>312</v>
      </c>
      <c r="Z234" s="570">
        <f t="shared" si="150"/>
        <v>0</v>
      </c>
      <c r="AA234" s="592">
        <f t="shared" si="151"/>
        <v>0</v>
      </c>
      <c r="AB234" s="589">
        <f t="shared" si="146"/>
        <v>0</v>
      </c>
      <c r="AC234" s="462"/>
      <c r="AD234" s="1027">
        <f>IF(Tables!$E$30="Michigan",INDEX('Michigan Curve'!$A$4:$S$256,MATCH('Monthly Table'!B234,'Michigan Curve'!$A$4:$A$256,0),MATCH("Michigan Selected Option Value US$/month",'Michigan Curve'!$A$4:$S$4,0)),INDEX('NY Curve'!$A$4:$T$256,MATCH('Monthly Table'!B234,'NY Curve'!$A$4:$A$256,0),MATCH("New York Selected Option Value US$/month",'NY Curve'!$A$4:$T$4,0)))</f>
        <v>0</v>
      </c>
      <c r="AE234" s="601">
        <f t="shared" si="165"/>
        <v>0</v>
      </c>
      <c r="AF234" s="462"/>
      <c r="AG234" s="915"/>
      <c r="AH234" s="17"/>
      <c r="AI234" s="799">
        <f>Assumptions!$B$50</f>
        <v>65</v>
      </c>
      <c r="AJ234" s="743"/>
      <c r="AK234" s="924" t="e">
        <f>IF(Tables!$E$30="Custom",'Monthly Table'!AI234,IF(Tables!$E$30="New York",INDEX('NY Curve'!$A$4:$G$256,MATCH('Monthly Table'!B234,'NY Curve'!$A$4:$A$256,0),MATCH("Super Peak Curve",'NY Curve'!$A$4:$G$4,0)),IF(Tables!$E$30="New York Flat",INDEX('NY Curve'!$A$4:$G$256,MATCH('Monthly Table'!B234,'NY Curve'!$A$4:$A$256,0),MATCH("Flat NY West",'NY Curve'!$A$4:$G$4,0)),INDEX('Michigan Curve'!$A$4:$F$256,MATCH('Monthly Table'!B234,'Michigan Curve'!$A$4:$A$256,0),MATCH("Michigan Super Peak Curve US$/MWhr",'Michigan Curve'!$A$4:$F$4,0)))))</f>
        <v>#DIV/0!</v>
      </c>
      <c r="AL234" s="965">
        <f>IF(D234&lt;=Tables!$B$21,IF($AL$10=$AI$10,AI234,IF($AL$10=$AJ$10,AJ234,IF($AL$10=$AK$10,AK234,0))),0)</f>
        <v>0</v>
      </c>
      <c r="AM234" s="708">
        <f t="shared" si="166"/>
        <v>0</v>
      </c>
      <c r="AN234" s="916">
        <f t="shared" si="167"/>
        <v>0</v>
      </c>
      <c r="AO234" s="905"/>
      <c r="AP234" s="925"/>
      <c r="AQ234" s="926" t="e">
        <f>IF(Tables!$E$30="New York",INDEX('NY Curve'!$A$4:$L$256,MATCH('Monthly Table'!B234,'NY Curve'!$A$4:$A$256,0),MATCH("New York Shoulder Hour Curve Mon-Fri",'NY Curve'!$A$4:$L$4,0)),IF(Tables!$E$30="Michigan",INDEX('Michigan Curve'!$A$4:$K$256,MATCH('Monthly Table'!B234,'Michigan Curve'!$A$4:$A$256,0),MATCH("Michigan Shoulder Hour Curve Mon-Fri",'Michigan Curve'!$A$4:$K$4,0))))</f>
        <v>#DIV/0!</v>
      </c>
      <c r="AR234" s="708" t="e">
        <f t="shared" si="168"/>
        <v>#DIV/0!</v>
      </c>
      <c r="AS234" s="927" t="e">
        <f t="shared" si="157"/>
        <v>#DIV/0!</v>
      </c>
      <c r="AU234" s="926" t="e">
        <f>IF(Tables!$E$30="New York",INDEX('NY Curve'!$A$4:$L$256,MATCH('Monthly Table'!$B234,'NY Curve'!$A$4:$A$256,0),MATCH("New York Saturday Super Peak",'NY Curve'!$A$4:$L$4,0)),IF(Tables!$E$30="Michigan",INDEX('Michigan Curve'!$A$4:$K$256,MATCH('Monthly Table'!$B234,'Michigan Curve'!$A$4:$A$256,0),MATCH("Michigan Saturday Super Peak",'Michigan Curve'!$A$4:$K$4,0))))</f>
        <v>#DIV/0!</v>
      </c>
      <c r="AV234" s="925" t="e">
        <f t="shared" si="158"/>
        <v>#DIV/0!</v>
      </c>
      <c r="AW234" s="927">
        <f>IF(Tables!$B$21=15,0,IF(AV234&gt;($CP234+$BF$4),1,0))</f>
        <v>0</v>
      </c>
      <c r="AX234" s="926" t="e">
        <f>IF(Tables!$E$30="New York",INDEX('NY Curve'!$A$4:$L$256,MATCH('Monthly Table'!$B234,'NY Curve'!$A$4:$A$256,0),MATCH("New York Saturday Shoulder Peak",'NY Curve'!$A$4:$L$4,0)),IF(Tables!$E$30="Michigan",INDEX('Michigan Curve'!$A$4:$K$256,MATCH('Monthly Table'!$B234,'Michigan Curve'!$A$4:$A$256,0),MATCH("Michigan Saturday Shoulder Peak",'Michigan Curve'!$A$4:$K$4,0))))</f>
        <v>#DIV/0!</v>
      </c>
      <c r="AY234" s="934" t="e">
        <f t="shared" si="169"/>
        <v>#DIV/0!</v>
      </c>
      <c r="AZ234" s="927">
        <f>IF(Tables!$B$21=15,0,IF(AY234&gt;($CP234+$BF$4),1,0))</f>
        <v>0</v>
      </c>
      <c r="BB234" s="926" t="e">
        <f>IF(Tables!$E$30="New York",INDEX('NY Curve'!$A$4:$M$256,MATCH('Monthly Table'!$B234,'NY Curve'!$A$4:$A$256,0),MATCH("NY Sunday Super Peak",'NY Curve'!$A$4:$M$4,0)),IF(Tables!$E$30="Michigan",INDEX('Michigan Curve'!$A$4:$L$256,MATCH('Monthly Table'!$B234,'Michigan Curve'!$A$4:$A$256,0),MATCH("Michigan Sunday Super Peak",'Michigan Curve'!$A$4:$L$4,0))))</f>
        <v>#DIV/0!</v>
      </c>
      <c r="BC234" s="925" t="e">
        <f t="shared" si="170"/>
        <v>#DIV/0!</v>
      </c>
      <c r="BD234" s="927" t="e">
        <f t="shared" si="159"/>
        <v>#DIV/0!</v>
      </c>
      <c r="BF234" s="598">
        <f t="shared" si="152"/>
        <v>43678</v>
      </c>
      <c r="BG234" s="583">
        <f t="shared" si="171"/>
        <v>0</v>
      </c>
      <c r="BH234" s="764">
        <f>IF(Tables!$B$36="Combined Cycle",(BF234-BF233)*24*Assumptions!$B$21,0)</f>
        <v>0</v>
      </c>
      <c r="BI234" s="315">
        <f t="shared" si="172"/>
        <v>0</v>
      </c>
      <c r="BJ234" s="987">
        <f>IF('Monthly Table'!D234&lt;=Tables!$B$21,IF($BJ$10=$BG$10,BG234,IF($BJ$10=$BH$10,BH234,IF($BJ$10=$BI$10,BI234,0))),0)</f>
        <v>0</v>
      </c>
      <c r="BK234" s="43"/>
      <c r="BL234" s="987">
        <f t="shared" si="173"/>
        <v>0</v>
      </c>
      <c r="BM234" s="987" t="e">
        <f t="shared" si="174"/>
        <v>#DIV/0!</v>
      </c>
      <c r="BO234" s="987" t="e">
        <f t="shared" si="160"/>
        <v>#DIV/0!</v>
      </c>
      <c r="BP234" s="987">
        <f t="shared" si="175"/>
        <v>0</v>
      </c>
      <c r="BR234" s="993">
        <f>IF(BJ234&gt;0,INDEX(OperationalDetail,MATCH("Capacity Degradation",ODColumn,0),MATCH('Monthly Table'!C234,ODRow,0)),0)</f>
        <v>0</v>
      </c>
      <c r="BS234" s="994">
        <f>BJ234*(1-BR234)*Tables!$C$36</f>
        <v>0</v>
      </c>
      <c r="BT234" s="601">
        <f t="shared" si="161"/>
        <v>0</v>
      </c>
      <c r="BU234" s="602">
        <f t="shared" si="162"/>
        <v>0</v>
      </c>
      <c r="BV234" s="999"/>
      <c r="BW234" s="785" t="e">
        <f>$BO234*(1-$BR234)*Tables!$C$36</f>
        <v>#DIV/0!</v>
      </c>
      <c r="BX234" s="602" t="e">
        <f t="shared" si="176"/>
        <v>#DIV/0!</v>
      </c>
      <c r="BY234" s="601" t="e">
        <f t="shared" si="177"/>
        <v>#DIV/0!</v>
      </c>
      <c r="BZ234" s="462"/>
      <c r="CA234" s="785">
        <f>$BL234*(1-$BR234)*Tables!$C$36</f>
        <v>0</v>
      </c>
      <c r="CB234" s="602" t="e">
        <f t="shared" si="178"/>
        <v>#DIV/0!</v>
      </c>
      <c r="CC234" s="601" t="e">
        <f t="shared" si="179"/>
        <v>#DIV/0!</v>
      </c>
      <c r="CD234" s="785">
        <f>$BP234*(1-$BR234)*Tables!$C$36</f>
        <v>0</v>
      </c>
      <c r="CE234" s="602" t="e">
        <f t="shared" si="180"/>
        <v>#DIV/0!</v>
      </c>
      <c r="CF234" s="601" t="e">
        <f t="shared" si="181"/>
        <v>#DIV/0!</v>
      </c>
      <c r="CH234" s="785" t="e">
        <f>$BM234*(1-$BR234)*Tables!$C$36</f>
        <v>#DIV/0!</v>
      </c>
      <c r="CI234" s="602" t="e">
        <f t="shared" si="182"/>
        <v>#DIV/0!</v>
      </c>
      <c r="CJ234" s="601" t="e">
        <f t="shared" si="183"/>
        <v>#DIV/0!</v>
      </c>
      <c r="CL234" s="304">
        <f t="shared" si="184"/>
        <v>2018</v>
      </c>
      <c r="CM234" s="1018">
        <f>INDEX(OperationalDetail,MATCH("Degraded Heat Rate",ODColumn,0),MATCH('Monthly Table'!CL234,ODRow,0))/1000</f>
        <v>11.96</v>
      </c>
      <c r="CN234" s="737">
        <f t="shared" si="163"/>
        <v>6.6241065519526385</v>
      </c>
      <c r="CO234" s="1019">
        <f>IF(A234="January",(CO233*(1+Assumptions!$E$32)),CO233)</f>
        <v>9.6201311313309379</v>
      </c>
      <c r="CP234" s="741">
        <f t="shared" si="153"/>
        <v>16.244237683283576</v>
      </c>
      <c r="CR234" s="575" t="str">
        <f t="shared" si="185"/>
        <v/>
      </c>
      <c r="CS234" s="575" t="e">
        <f t="shared" si="186"/>
        <v>#DIV/0!</v>
      </c>
      <c r="CT234" s="575" t="str">
        <f t="shared" si="187"/>
        <v/>
      </c>
      <c r="CU234" s="575" t="str">
        <f t="shared" si="188"/>
        <v/>
      </c>
      <c r="CV234" s="575" t="e">
        <f t="shared" si="189"/>
        <v>#DIV/0!</v>
      </c>
      <c r="CW234" s="576">
        <f t="shared" si="154"/>
        <v>2019</v>
      </c>
      <c r="CX234" s="787">
        <f>INDEX('NY Curve'!$A$4:$G$256,MATCH('Monthly Table'!B234,'NY Curve'!$A$4:$A$256,0),MATCH("New York 5 X 16",'NY Curve'!$A$4:$G$4,0))</f>
        <v>0</v>
      </c>
      <c r="CY234" s="632">
        <f t="shared" si="155"/>
        <v>1.2491596208384701</v>
      </c>
      <c r="CZ234" s="633">
        <f t="shared" si="156"/>
        <v>0</v>
      </c>
      <c r="DB234" s="857"/>
      <c r="DC234" s="857"/>
    </row>
    <row r="235" spans="1:107" ht="18.75" customHeight="1">
      <c r="A235" s="17" t="s">
        <v>445</v>
      </c>
      <c r="B235" s="508">
        <v>43709</v>
      </c>
      <c r="C235" s="43">
        <f t="shared" si="145"/>
        <v>2019</v>
      </c>
      <c r="D235" s="719">
        <f t="shared" si="190"/>
        <v>19</v>
      </c>
      <c r="E235" s="972">
        <v>20</v>
      </c>
      <c r="F235" s="971">
        <v>4</v>
      </c>
      <c r="G235" s="971">
        <v>5</v>
      </c>
      <c r="H235" s="971">
        <v>1</v>
      </c>
      <c r="I235" s="976">
        <f t="shared" si="164"/>
        <v>30</v>
      </c>
      <c r="J235" s="621"/>
      <c r="K235" s="572">
        <f>INDEX(FX!$A$3:$C$362,MATCH(B235,FX!$A$3:$A$362,0),MATCH("Monthly Curve",FX!$A$2:$C$2,0))</f>
        <v>1.2486543486750801</v>
      </c>
      <c r="L235" s="572"/>
      <c r="M235" s="724"/>
      <c r="N235" s="746"/>
      <c r="O235" s="877">
        <v>0.1</v>
      </c>
      <c r="P235" s="797">
        <f t="shared" si="147"/>
        <v>0.1</v>
      </c>
      <c r="Q235" s="732">
        <f t="shared" si="148"/>
        <v>0.1</v>
      </c>
      <c r="R235" s="723">
        <f>IF(A235="January",(R234+R234*Assumptions!$E$32),R234)</f>
        <v>0.42893910078844716</v>
      </c>
      <c r="S235" s="730">
        <f t="shared" si="149"/>
        <v>0.55380453565595511</v>
      </c>
      <c r="T235" s="572"/>
      <c r="U235" s="507"/>
      <c r="V235" s="583"/>
      <c r="W235" s="583"/>
      <c r="X235" s="587"/>
      <c r="Y235" s="588">
        <f>Tables!$D$36</f>
        <v>312</v>
      </c>
      <c r="Z235" s="570">
        <f t="shared" si="150"/>
        <v>0</v>
      </c>
      <c r="AA235" s="592">
        <f t="shared" si="151"/>
        <v>0</v>
      </c>
      <c r="AB235" s="589">
        <f t="shared" si="146"/>
        <v>0</v>
      </c>
      <c r="AC235" s="462"/>
      <c r="AD235" s="1027">
        <f>IF(Tables!$E$30="Michigan",INDEX('Michigan Curve'!$A$4:$S$256,MATCH('Monthly Table'!B235,'Michigan Curve'!$A$4:$A$256,0),MATCH("Michigan Selected Option Value US$/month",'Michigan Curve'!$A$4:$S$4,0)),INDEX('NY Curve'!$A$4:$T$256,MATCH('Monthly Table'!B235,'NY Curve'!$A$4:$A$256,0),MATCH("New York Selected Option Value US$/month",'NY Curve'!$A$4:$T$4,0)))</f>
        <v>0</v>
      </c>
      <c r="AE235" s="601">
        <f t="shared" si="165"/>
        <v>0</v>
      </c>
      <c r="AF235" s="462"/>
      <c r="AG235" s="915"/>
      <c r="AH235" s="17"/>
      <c r="AI235" s="799">
        <f>Assumptions!$B$50</f>
        <v>65</v>
      </c>
      <c r="AJ235" s="743"/>
      <c r="AK235" s="924">
        <f>IF(Tables!$E$30="Custom",'Monthly Table'!AI235,IF(Tables!$E$30="New York",INDEX('NY Curve'!$A$4:$G$256,MATCH('Monthly Table'!B235,'NY Curve'!$A$4:$A$256,0),MATCH("Super Peak Curve",'NY Curve'!$A$4:$G$4,0)),IF(Tables!$E$30="New York Flat",INDEX('NY Curve'!$A$4:$G$256,MATCH('Monthly Table'!B235,'NY Curve'!$A$4:$A$256,0),MATCH("Flat NY West",'NY Curve'!$A$4:$G$4,0)),INDEX('Michigan Curve'!$A$4:$F$256,MATCH('Monthly Table'!B235,'Michigan Curve'!$A$4:$A$256,0),MATCH("Michigan Super Peak Curve US$/MWhr",'Michigan Curve'!$A$4:$F$4,0)))))</f>
        <v>0</v>
      </c>
      <c r="AL235" s="965">
        <f>IF(D235&lt;=Tables!$B$21,IF($AL$10=$AI$10,AI235,IF($AL$10=$AJ$10,AJ235,IF($AL$10=$AK$10,AK235,0))),0)</f>
        <v>0</v>
      </c>
      <c r="AM235" s="708">
        <f t="shared" si="166"/>
        <v>0</v>
      </c>
      <c r="AN235" s="916">
        <f t="shared" si="167"/>
        <v>0</v>
      </c>
      <c r="AO235" s="905"/>
      <c r="AP235" s="925"/>
      <c r="AQ235" s="926">
        <f>IF(Tables!$E$30="New York",INDEX('NY Curve'!$A$4:$L$256,MATCH('Monthly Table'!B235,'NY Curve'!$A$4:$A$256,0),MATCH("New York Shoulder Hour Curve Mon-Fri",'NY Curve'!$A$4:$L$4,0)),IF(Tables!$E$30="Michigan",INDEX('Michigan Curve'!$A$4:$K$256,MATCH('Monthly Table'!B235,'Michigan Curve'!$A$4:$A$256,0),MATCH("Michigan Shoulder Hour Curve Mon-Fri",'Michigan Curve'!$A$4:$K$4,0))))</f>
        <v>0</v>
      </c>
      <c r="AR235" s="708">
        <f t="shared" si="168"/>
        <v>0</v>
      </c>
      <c r="AS235" s="927">
        <f t="shared" si="157"/>
        <v>0</v>
      </c>
      <c r="AU235" s="926">
        <f>IF(Tables!$E$30="New York",INDEX('NY Curve'!$A$4:$L$256,MATCH('Monthly Table'!$B235,'NY Curve'!$A$4:$A$256,0),MATCH("New York Saturday Super Peak",'NY Curve'!$A$4:$L$4,0)),IF(Tables!$E$30="Michigan",INDEX('Michigan Curve'!$A$4:$K$256,MATCH('Monthly Table'!$B235,'Michigan Curve'!$A$4:$A$256,0),MATCH("Michigan Saturday Super Peak",'Michigan Curve'!$A$4:$K$4,0))))</f>
        <v>0</v>
      </c>
      <c r="AV235" s="925">
        <f t="shared" si="158"/>
        <v>0</v>
      </c>
      <c r="AW235" s="927">
        <f>IF(Tables!$B$21=15,0,IF(AV235&gt;($CP235+$BF$4),1,0))</f>
        <v>0</v>
      </c>
      <c r="AX235" s="926">
        <f>IF(Tables!$E$30="New York",INDEX('NY Curve'!$A$4:$L$256,MATCH('Monthly Table'!$B235,'NY Curve'!$A$4:$A$256,0),MATCH("New York Saturday Shoulder Peak",'NY Curve'!$A$4:$L$4,0)),IF(Tables!$E$30="Michigan",INDEX('Michigan Curve'!$A$4:$K$256,MATCH('Monthly Table'!$B235,'Michigan Curve'!$A$4:$A$256,0),MATCH("Michigan Saturday Shoulder Peak",'Michigan Curve'!$A$4:$K$4,0))))</f>
        <v>0</v>
      </c>
      <c r="AY235" s="934">
        <f t="shared" si="169"/>
        <v>0</v>
      </c>
      <c r="AZ235" s="927">
        <f>IF(Tables!$B$21=15,0,IF(AY235&gt;($CP235+$BF$4),1,0))</f>
        <v>0</v>
      </c>
      <c r="BB235" s="926">
        <f>IF(Tables!$E$30="New York",INDEX('NY Curve'!$A$4:$M$256,MATCH('Monthly Table'!$B235,'NY Curve'!$A$4:$A$256,0),MATCH("NY Sunday Super Peak",'NY Curve'!$A$4:$M$4,0)),IF(Tables!$E$30="Michigan",INDEX('Michigan Curve'!$A$4:$L$256,MATCH('Monthly Table'!$B235,'Michigan Curve'!$A$4:$A$256,0),MATCH("Michigan Sunday Super Peak",'Michigan Curve'!$A$4:$L$4,0))))</f>
        <v>0</v>
      </c>
      <c r="BC235" s="925">
        <f t="shared" si="170"/>
        <v>0</v>
      </c>
      <c r="BD235" s="927">
        <f t="shared" si="159"/>
        <v>0</v>
      </c>
      <c r="BF235" s="598">
        <f t="shared" si="152"/>
        <v>43709</v>
      </c>
      <c r="BG235" s="583">
        <f t="shared" si="171"/>
        <v>0</v>
      </c>
      <c r="BH235" s="764">
        <f>IF(Tables!$B$36="Combined Cycle",(BF235-BF234)*24*Assumptions!$B$21,0)</f>
        <v>0</v>
      </c>
      <c r="BI235" s="315">
        <f t="shared" si="172"/>
        <v>0</v>
      </c>
      <c r="BJ235" s="987">
        <f>IF('Monthly Table'!D235&lt;=Tables!$B$21,IF($BJ$10=$BG$10,BG235,IF($BJ$10=$BH$10,BH235,IF($BJ$10=$BI$10,BI235,0))),0)</f>
        <v>0</v>
      </c>
      <c r="BK235" s="43"/>
      <c r="BL235" s="987">
        <f t="shared" si="173"/>
        <v>0</v>
      </c>
      <c r="BM235" s="987">
        <f t="shared" si="174"/>
        <v>0</v>
      </c>
      <c r="BO235" s="987">
        <f t="shared" si="160"/>
        <v>0</v>
      </c>
      <c r="BP235" s="987">
        <f t="shared" si="175"/>
        <v>0</v>
      </c>
      <c r="BR235" s="993">
        <f>IF(BJ235&gt;0,INDEX(OperationalDetail,MATCH("Capacity Degradation",ODColumn,0),MATCH('Monthly Table'!C235,ODRow,0)),0)</f>
        <v>0</v>
      </c>
      <c r="BS235" s="994">
        <f>BJ235*(1-BR235)*Tables!$C$36</f>
        <v>0</v>
      </c>
      <c r="BT235" s="601">
        <f t="shared" si="161"/>
        <v>0</v>
      </c>
      <c r="BU235" s="602">
        <f t="shared" si="162"/>
        <v>0</v>
      </c>
      <c r="BV235" s="999"/>
      <c r="BW235" s="785">
        <f>$BO235*(1-$BR235)*Tables!$C$36</f>
        <v>0</v>
      </c>
      <c r="BX235" s="602">
        <f t="shared" si="176"/>
        <v>0</v>
      </c>
      <c r="BY235" s="601">
        <f t="shared" si="177"/>
        <v>0</v>
      </c>
      <c r="BZ235" s="462"/>
      <c r="CA235" s="785">
        <f>$BL235*(1-$BR235)*Tables!$C$36</f>
        <v>0</v>
      </c>
      <c r="CB235" s="602">
        <f t="shared" si="178"/>
        <v>0</v>
      </c>
      <c r="CC235" s="601">
        <f t="shared" si="179"/>
        <v>0</v>
      </c>
      <c r="CD235" s="785">
        <f>$BP235*(1-$BR235)*Tables!$C$36</f>
        <v>0</v>
      </c>
      <c r="CE235" s="602">
        <f t="shared" si="180"/>
        <v>0</v>
      </c>
      <c r="CF235" s="601">
        <f t="shared" si="181"/>
        <v>0</v>
      </c>
      <c r="CH235" s="785">
        <f>$BM235*(1-$BR235)*Tables!$C$36</f>
        <v>0</v>
      </c>
      <c r="CI235" s="602">
        <f t="shared" si="182"/>
        <v>0</v>
      </c>
      <c r="CJ235" s="601">
        <f t="shared" si="183"/>
        <v>0</v>
      </c>
      <c r="CL235" s="304">
        <f t="shared" si="184"/>
        <v>2018</v>
      </c>
      <c r="CM235" s="1018">
        <f>INDEX(OperationalDetail,MATCH("Degraded Heat Rate",ODColumn,0),MATCH('Monthly Table'!CL235,ODRow,0))/1000</f>
        <v>11.96</v>
      </c>
      <c r="CN235" s="737">
        <f t="shared" si="163"/>
        <v>6.6235022464452236</v>
      </c>
      <c r="CO235" s="1019">
        <f>IF(A235="January",(CO234*(1+Assumptions!$E$32)),CO234)</f>
        <v>9.6201311313309379</v>
      </c>
      <c r="CP235" s="741">
        <f t="shared" si="153"/>
        <v>16.243633377776163</v>
      </c>
      <c r="CR235" s="575" t="str">
        <f t="shared" si="185"/>
        <v/>
      </c>
      <c r="CS235" s="575" t="str">
        <f t="shared" si="186"/>
        <v/>
      </c>
      <c r="CT235" s="575" t="str">
        <f t="shared" si="187"/>
        <v/>
      </c>
      <c r="CU235" s="575" t="str">
        <f t="shared" si="188"/>
        <v/>
      </c>
      <c r="CV235" s="575" t="str">
        <f t="shared" si="189"/>
        <v/>
      </c>
      <c r="CW235" s="576">
        <f t="shared" si="154"/>
        <v>2019</v>
      </c>
      <c r="CX235" s="787">
        <f>INDEX('NY Curve'!$A$4:$G$256,MATCH('Monthly Table'!B235,'NY Curve'!$A$4:$A$256,0),MATCH("New York 5 X 16",'NY Curve'!$A$4:$G$4,0))</f>
        <v>0</v>
      </c>
      <c r="CY235" s="632">
        <f t="shared" si="155"/>
        <v>1.2486543486750801</v>
      </c>
      <c r="CZ235" s="633">
        <f t="shared" si="156"/>
        <v>0</v>
      </c>
      <c r="DB235" s="857"/>
      <c r="DC235" s="857"/>
    </row>
    <row r="236" spans="1:107" ht="18.75" customHeight="1">
      <c r="A236" s="17" t="s">
        <v>446</v>
      </c>
      <c r="B236" s="508">
        <v>43739</v>
      </c>
      <c r="C236" s="43">
        <f t="shared" si="145"/>
        <v>2019</v>
      </c>
      <c r="D236" s="719">
        <f t="shared" si="190"/>
        <v>19</v>
      </c>
      <c r="E236" s="972">
        <v>23</v>
      </c>
      <c r="F236" s="971">
        <v>4</v>
      </c>
      <c r="G236" s="971">
        <v>4</v>
      </c>
      <c r="H236" s="971">
        <v>0</v>
      </c>
      <c r="I236" s="976">
        <f t="shared" si="164"/>
        <v>31</v>
      </c>
      <c r="J236" s="621"/>
      <c r="K236" s="572">
        <f>INDEX(FX!$A$3:$C$362,MATCH(B236,FX!$A$3:$A$362,0),MATCH("Monthly Curve",FX!$A$2:$C$2,0))</f>
        <v>1.24816825135623</v>
      </c>
      <c r="L236" s="572"/>
      <c r="M236" s="724"/>
      <c r="N236" s="746"/>
      <c r="O236" s="877">
        <v>0.1</v>
      </c>
      <c r="P236" s="797">
        <f t="shared" si="147"/>
        <v>0.1</v>
      </c>
      <c r="Q236" s="732">
        <f t="shared" si="148"/>
        <v>0.1</v>
      </c>
      <c r="R236" s="723">
        <f>IF(A236="January",(R235+R235*Assumptions!$E$32),R235)</f>
        <v>0.42893910078844716</v>
      </c>
      <c r="S236" s="730">
        <f t="shared" si="149"/>
        <v>0.55375592592407019</v>
      </c>
      <c r="T236" s="572"/>
      <c r="U236" s="507"/>
      <c r="V236" s="583"/>
      <c r="W236" s="583"/>
      <c r="X236" s="587"/>
      <c r="Y236" s="588">
        <f>Tables!$D$36</f>
        <v>312</v>
      </c>
      <c r="Z236" s="570">
        <f t="shared" si="150"/>
        <v>0</v>
      </c>
      <c r="AA236" s="592">
        <f t="shared" si="151"/>
        <v>0</v>
      </c>
      <c r="AB236" s="589">
        <f t="shared" si="146"/>
        <v>0</v>
      </c>
      <c r="AC236" s="462"/>
      <c r="AD236" s="1027">
        <f>IF(Tables!$E$30="Michigan",INDEX('Michigan Curve'!$A$4:$S$256,MATCH('Monthly Table'!B236,'Michigan Curve'!$A$4:$A$256,0),MATCH("Michigan Selected Option Value US$/month",'Michigan Curve'!$A$4:$S$4,0)),INDEX('NY Curve'!$A$4:$T$256,MATCH('Monthly Table'!B236,'NY Curve'!$A$4:$A$256,0),MATCH("New York Selected Option Value US$/month",'NY Curve'!$A$4:$T$4,0)))</f>
        <v>0</v>
      </c>
      <c r="AE236" s="601">
        <f t="shared" si="165"/>
        <v>0</v>
      </c>
      <c r="AF236" s="462"/>
      <c r="AG236" s="915"/>
      <c r="AH236" s="17"/>
      <c r="AI236" s="799">
        <f>Assumptions!$B$50</f>
        <v>65</v>
      </c>
      <c r="AJ236" s="743"/>
      <c r="AK236" s="924">
        <f>IF(Tables!$E$30="Custom",'Monthly Table'!AI236,IF(Tables!$E$30="New York",INDEX('NY Curve'!$A$4:$G$256,MATCH('Monthly Table'!B236,'NY Curve'!$A$4:$A$256,0),MATCH("Super Peak Curve",'NY Curve'!$A$4:$G$4,0)),IF(Tables!$E$30="New York Flat",INDEX('NY Curve'!$A$4:$G$256,MATCH('Monthly Table'!B236,'NY Curve'!$A$4:$A$256,0),MATCH("Flat NY West",'NY Curve'!$A$4:$G$4,0)),INDEX('Michigan Curve'!$A$4:$F$256,MATCH('Monthly Table'!B236,'Michigan Curve'!$A$4:$A$256,0),MATCH("Michigan Super Peak Curve US$/MWhr",'Michigan Curve'!$A$4:$F$4,0)))))</f>
        <v>0</v>
      </c>
      <c r="AL236" s="965">
        <f>IF(D236&lt;=Tables!$B$21,IF($AL$10=$AI$10,AI236,IF($AL$10=$AJ$10,AJ236,IF($AL$10=$AK$10,AK236,0))),0)</f>
        <v>0</v>
      </c>
      <c r="AM236" s="708">
        <f t="shared" si="166"/>
        <v>0</v>
      </c>
      <c r="AN236" s="916">
        <f t="shared" si="167"/>
        <v>0</v>
      </c>
      <c r="AO236" s="905"/>
      <c r="AP236" s="925"/>
      <c r="AQ236" s="926">
        <f>IF(Tables!$E$30="New York",INDEX('NY Curve'!$A$4:$L$256,MATCH('Monthly Table'!B236,'NY Curve'!$A$4:$A$256,0),MATCH("New York Shoulder Hour Curve Mon-Fri",'NY Curve'!$A$4:$L$4,0)),IF(Tables!$E$30="Michigan",INDEX('Michigan Curve'!$A$4:$K$256,MATCH('Monthly Table'!B236,'Michigan Curve'!$A$4:$A$256,0),MATCH("Michigan Shoulder Hour Curve Mon-Fri",'Michigan Curve'!$A$4:$K$4,0))))</f>
        <v>0</v>
      </c>
      <c r="AR236" s="708">
        <f t="shared" si="168"/>
        <v>0</v>
      </c>
      <c r="AS236" s="927">
        <f t="shared" si="157"/>
        <v>0</v>
      </c>
      <c r="AU236" s="926">
        <f>IF(Tables!$E$30="New York",INDEX('NY Curve'!$A$4:$L$256,MATCH('Monthly Table'!$B236,'NY Curve'!$A$4:$A$256,0),MATCH("New York Saturday Super Peak",'NY Curve'!$A$4:$L$4,0)),IF(Tables!$E$30="Michigan",INDEX('Michigan Curve'!$A$4:$K$256,MATCH('Monthly Table'!$B236,'Michigan Curve'!$A$4:$A$256,0),MATCH("Michigan Saturday Super Peak",'Michigan Curve'!$A$4:$K$4,0))))</f>
        <v>0</v>
      </c>
      <c r="AV236" s="925">
        <f t="shared" si="158"/>
        <v>0</v>
      </c>
      <c r="AW236" s="927">
        <f>IF(Tables!$B$21=15,0,IF(AV236&gt;($CP236+$BF$4),1,0))</f>
        <v>0</v>
      </c>
      <c r="AX236" s="926">
        <f>IF(Tables!$E$30="New York",INDEX('NY Curve'!$A$4:$L$256,MATCH('Monthly Table'!$B236,'NY Curve'!$A$4:$A$256,0),MATCH("New York Saturday Shoulder Peak",'NY Curve'!$A$4:$L$4,0)),IF(Tables!$E$30="Michigan",INDEX('Michigan Curve'!$A$4:$K$256,MATCH('Monthly Table'!$B236,'Michigan Curve'!$A$4:$A$256,0),MATCH("Michigan Saturday Shoulder Peak",'Michigan Curve'!$A$4:$K$4,0))))</f>
        <v>0</v>
      </c>
      <c r="AY236" s="934">
        <f t="shared" si="169"/>
        <v>0</v>
      </c>
      <c r="AZ236" s="927">
        <f>IF(Tables!$B$21=15,0,IF(AY236&gt;($CP236+$BF$4),1,0))</f>
        <v>0</v>
      </c>
      <c r="BB236" s="926">
        <f>IF(Tables!$E$30="New York",INDEX('NY Curve'!$A$4:$M$256,MATCH('Monthly Table'!$B236,'NY Curve'!$A$4:$A$256,0),MATCH("NY Sunday Super Peak",'NY Curve'!$A$4:$M$4,0)),IF(Tables!$E$30="Michigan",INDEX('Michigan Curve'!$A$4:$L$256,MATCH('Monthly Table'!$B236,'Michigan Curve'!$A$4:$A$256,0),MATCH("Michigan Sunday Super Peak",'Michigan Curve'!$A$4:$L$4,0))))</f>
        <v>0</v>
      </c>
      <c r="BC236" s="925">
        <f t="shared" si="170"/>
        <v>0</v>
      </c>
      <c r="BD236" s="927">
        <f t="shared" si="159"/>
        <v>0</v>
      </c>
      <c r="BF236" s="598">
        <f t="shared" si="152"/>
        <v>43739</v>
      </c>
      <c r="BG236" s="583">
        <f t="shared" si="171"/>
        <v>0</v>
      </c>
      <c r="BH236" s="764">
        <f>IF(Tables!$B$36="Combined Cycle",(BF236-BF235)*24*Assumptions!$B$21,0)</f>
        <v>0</v>
      </c>
      <c r="BI236" s="315">
        <f t="shared" si="172"/>
        <v>0</v>
      </c>
      <c r="BJ236" s="987">
        <f>IF('Monthly Table'!D236&lt;=Tables!$B$21,IF($BJ$10=$BG$10,BG236,IF($BJ$10=$BH$10,BH236,IF($BJ$10=$BI$10,BI236,0))),0)</f>
        <v>0</v>
      </c>
      <c r="BK236" s="43"/>
      <c r="BL236" s="987">
        <f t="shared" si="173"/>
        <v>0</v>
      </c>
      <c r="BM236" s="987">
        <f t="shared" si="174"/>
        <v>0</v>
      </c>
      <c r="BO236" s="987">
        <f t="shared" si="160"/>
        <v>0</v>
      </c>
      <c r="BP236" s="987">
        <f t="shared" si="175"/>
        <v>0</v>
      </c>
      <c r="BR236" s="993">
        <f>IF(BJ236&gt;0,INDEX(OperationalDetail,MATCH("Capacity Degradation",ODColumn,0),MATCH('Monthly Table'!C236,ODRow,0)),0)</f>
        <v>0</v>
      </c>
      <c r="BS236" s="994">
        <f>BJ236*(1-BR236)*Tables!$C$36</f>
        <v>0</v>
      </c>
      <c r="BT236" s="601">
        <f t="shared" si="161"/>
        <v>0</v>
      </c>
      <c r="BU236" s="602">
        <f t="shared" si="162"/>
        <v>0</v>
      </c>
      <c r="BV236" s="999"/>
      <c r="BW236" s="785">
        <f>$BO236*(1-$BR236)*Tables!$C$36</f>
        <v>0</v>
      </c>
      <c r="BX236" s="602">
        <f t="shared" si="176"/>
        <v>0</v>
      </c>
      <c r="BY236" s="601">
        <f t="shared" si="177"/>
        <v>0</v>
      </c>
      <c r="BZ236" s="462"/>
      <c r="CA236" s="785">
        <f>$BL236*(1-$BR236)*Tables!$C$36</f>
        <v>0</v>
      </c>
      <c r="CB236" s="602">
        <f t="shared" si="178"/>
        <v>0</v>
      </c>
      <c r="CC236" s="601">
        <f t="shared" si="179"/>
        <v>0</v>
      </c>
      <c r="CD236" s="785">
        <f>$BP236*(1-$BR236)*Tables!$C$36</f>
        <v>0</v>
      </c>
      <c r="CE236" s="602">
        <f t="shared" si="180"/>
        <v>0</v>
      </c>
      <c r="CF236" s="601">
        <f t="shared" si="181"/>
        <v>0</v>
      </c>
      <c r="CH236" s="785">
        <f>$BM236*(1-$BR236)*Tables!$C$36</f>
        <v>0</v>
      </c>
      <c r="CI236" s="602">
        <f t="shared" si="182"/>
        <v>0</v>
      </c>
      <c r="CJ236" s="601">
        <f t="shared" si="183"/>
        <v>0</v>
      </c>
      <c r="CL236" s="304">
        <f t="shared" si="184"/>
        <v>2018</v>
      </c>
      <c r="CM236" s="1018">
        <f>INDEX(OperationalDetail,MATCH("Degraded Heat Rate",ODColumn,0),MATCH('Monthly Table'!CL236,ODRow,0))/1000</f>
        <v>11.96</v>
      </c>
      <c r="CN236" s="737">
        <f t="shared" si="163"/>
        <v>6.6229208740518803</v>
      </c>
      <c r="CO236" s="1019">
        <f>IF(A236="January",(CO235*(1+Assumptions!$E$32)),CO235)</f>
        <v>9.6201311313309379</v>
      </c>
      <c r="CP236" s="741">
        <f t="shared" si="153"/>
        <v>16.243052005382818</v>
      </c>
      <c r="CR236" s="575" t="str">
        <f t="shared" si="185"/>
        <v/>
      </c>
      <c r="CS236" s="575" t="str">
        <f t="shared" si="186"/>
        <v/>
      </c>
      <c r="CT236" s="575" t="str">
        <f t="shared" si="187"/>
        <v/>
      </c>
      <c r="CU236" s="575" t="str">
        <f t="shared" si="188"/>
        <v/>
      </c>
      <c r="CV236" s="575" t="str">
        <f t="shared" si="189"/>
        <v/>
      </c>
      <c r="CW236" s="576">
        <f t="shared" si="154"/>
        <v>2019</v>
      </c>
      <c r="CX236" s="787">
        <f>INDEX('NY Curve'!$A$4:$G$256,MATCH('Monthly Table'!B236,'NY Curve'!$A$4:$A$256,0),MATCH("New York 5 X 16",'NY Curve'!$A$4:$G$4,0))</f>
        <v>0</v>
      </c>
      <c r="CY236" s="632">
        <f t="shared" si="155"/>
        <v>1.24816825135623</v>
      </c>
      <c r="CZ236" s="633">
        <f t="shared" si="156"/>
        <v>0</v>
      </c>
      <c r="DB236" s="857"/>
      <c r="DC236" s="857"/>
    </row>
    <row r="237" spans="1:107" ht="18.75" customHeight="1">
      <c r="A237" s="17" t="s">
        <v>447</v>
      </c>
      <c r="B237" s="508">
        <v>43770</v>
      </c>
      <c r="C237" s="43">
        <f t="shared" si="145"/>
        <v>2019</v>
      </c>
      <c r="D237" s="719">
        <f t="shared" si="190"/>
        <v>19</v>
      </c>
      <c r="E237" s="972">
        <v>20</v>
      </c>
      <c r="F237" s="971">
        <v>5</v>
      </c>
      <c r="G237" s="971">
        <v>4</v>
      </c>
      <c r="H237" s="971">
        <v>1</v>
      </c>
      <c r="I237" s="976">
        <f t="shared" si="164"/>
        <v>30</v>
      </c>
      <c r="J237" s="621"/>
      <c r="K237" s="572">
        <f>INDEX(FX!$A$3:$C$362,MATCH(B237,FX!$A$3:$A$362,0),MATCH("Monthly Curve",FX!$A$2:$C$2,0))</f>
        <v>1.2476689189805299</v>
      </c>
      <c r="L237" s="572"/>
      <c r="M237" s="724"/>
      <c r="N237" s="746"/>
      <c r="O237" s="877">
        <v>0.1</v>
      </c>
      <c r="P237" s="797">
        <f t="shared" si="147"/>
        <v>0.1</v>
      </c>
      <c r="Q237" s="732">
        <f t="shared" si="148"/>
        <v>0.1</v>
      </c>
      <c r="R237" s="723">
        <f>IF(A237="January",(R236+R236*Assumptions!$E$32),R236)</f>
        <v>0.42893910078844716</v>
      </c>
      <c r="S237" s="730">
        <f t="shared" si="149"/>
        <v>0.55370599268650011</v>
      </c>
      <c r="T237" s="572"/>
      <c r="U237" s="507"/>
      <c r="V237" s="583"/>
      <c r="W237" s="583"/>
      <c r="X237" s="587"/>
      <c r="Y237" s="588">
        <f>Tables!$D$36</f>
        <v>312</v>
      </c>
      <c r="Z237" s="570">
        <f t="shared" si="150"/>
        <v>0</v>
      </c>
      <c r="AA237" s="592">
        <f t="shared" si="151"/>
        <v>0</v>
      </c>
      <c r="AB237" s="589">
        <f t="shared" si="146"/>
        <v>0</v>
      </c>
      <c r="AC237" s="462"/>
      <c r="AD237" s="1027">
        <f>IF(Tables!$E$30="Michigan",INDEX('Michigan Curve'!$A$4:$S$256,MATCH('Monthly Table'!B237,'Michigan Curve'!$A$4:$A$256,0),MATCH("Michigan Selected Option Value US$/month",'Michigan Curve'!$A$4:$S$4,0)),INDEX('NY Curve'!$A$4:$T$256,MATCH('Monthly Table'!B237,'NY Curve'!$A$4:$A$256,0),MATCH("New York Selected Option Value US$/month",'NY Curve'!$A$4:$T$4,0)))</f>
        <v>0</v>
      </c>
      <c r="AE237" s="601">
        <f t="shared" si="165"/>
        <v>0</v>
      </c>
      <c r="AF237" s="462"/>
      <c r="AG237" s="915"/>
      <c r="AH237" s="17"/>
      <c r="AI237" s="799">
        <f>Assumptions!$B$50</f>
        <v>65</v>
      </c>
      <c r="AJ237" s="743"/>
      <c r="AK237" s="924">
        <f>IF(Tables!$E$30="Custom",'Monthly Table'!AI237,IF(Tables!$E$30="New York",INDEX('NY Curve'!$A$4:$G$256,MATCH('Monthly Table'!B237,'NY Curve'!$A$4:$A$256,0),MATCH("Super Peak Curve",'NY Curve'!$A$4:$G$4,0)),IF(Tables!$E$30="New York Flat",INDEX('NY Curve'!$A$4:$G$256,MATCH('Monthly Table'!B237,'NY Curve'!$A$4:$A$256,0),MATCH("Flat NY West",'NY Curve'!$A$4:$G$4,0)),INDEX('Michigan Curve'!$A$4:$F$256,MATCH('Monthly Table'!B237,'Michigan Curve'!$A$4:$A$256,0),MATCH("Michigan Super Peak Curve US$/MWhr",'Michigan Curve'!$A$4:$F$4,0)))))</f>
        <v>0</v>
      </c>
      <c r="AL237" s="965">
        <f>IF(D237&lt;=Tables!$B$21,IF($AL$10=$AI$10,AI237,IF($AL$10=$AJ$10,AJ237,IF($AL$10=$AK$10,AK237,0))),0)</f>
        <v>0</v>
      </c>
      <c r="AM237" s="708">
        <f t="shared" si="166"/>
        <v>0</v>
      </c>
      <c r="AN237" s="916">
        <f t="shared" si="167"/>
        <v>0</v>
      </c>
      <c r="AO237" s="905"/>
      <c r="AP237" s="925"/>
      <c r="AQ237" s="926">
        <f>IF(Tables!$E$30="New York",INDEX('NY Curve'!$A$4:$L$256,MATCH('Monthly Table'!B237,'NY Curve'!$A$4:$A$256,0),MATCH("New York Shoulder Hour Curve Mon-Fri",'NY Curve'!$A$4:$L$4,0)),IF(Tables!$E$30="Michigan",INDEX('Michigan Curve'!$A$4:$K$256,MATCH('Monthly Table'!B237,'Michigan Curve'!$A$4:$A$256,0),MATCH("Michigan Shoulder Hour Curve Mon-Fri",'Michigan Curve'!$A$4:$K$4,0))))</f>
        <v>0</v>
      </c>
      <c r="AR237" s="708">
        <f t="shared" si="168"/>
        <v>0</v>
      </c>
      <c r="AS237" s="927">
        <f t="shared" si="157"/>
        <v>0</v>
      </c>
      <c r="AU237" s="926">
        <f>IF(Tables!$E$30="New York",INDEX('NY Curve'!$A$4:$L$256,MATCH('Monthly Table'!$B237,'NY Curve'!$A$4:$A$256,0),MATCH("New York Saturday Super Peak",'NY Curve'!$A$4:$L$4,0)),IF(Tables!$E$30="Michigan",INDEX('Michigan Curve'!$A$4:$K$256,MATCH('Monthly Table'!$B237,'Michigan Curve'!$A$4:$A$256,0),MATCH("Michigan Saturday Super Peak",'Michigan Curve'!$A$4:$K$4,0))))</f>
        <v>0</v>
      </c>
      <c r="AV237" s="925">
        <f t="shared" si="158"/>
        <v>0</v>
      </c>
      <c r="AW237" s="927">
        <f>IF(Tables!$B$21=15,0,IF(AV237&gt;($CP237+$BF$4),1,0))</f>
        <v>0</v>
      </c>
      <c r="AX237" s="926">
        <f>IF(Tables!$E$30="New York",INDEX('NY Curve'!$A$4:$L$256,MATCH('Monthly Table'!$B237,'NY Curve'!$A$4:$A$256,0),MATCH("New York Saturday Shoulder Peak",'NY Curve'!$A$4:$L$4,0)),IF(Tables!$E$30="Michigan",INDEX('Michigan Curve'!$A$4:$K$256,MATCH('Monthly Table'!$B237,'Michigan Curve'!$A$4:$A$256,0),MATCH("Michigan Saturday Shoulder Peak",'Michigan Curve'!$A$4:$K$4,0))))</f>
        <v>0</v>
      </c>
      <c r="AY237" s="934">
        <f t="shared" si="169"/>
        <v>0</v>
      </c>
      <c r="AZ237" s="927">
        <f>IF(Tables!$B$21=15,0,IF(AY237&gt;($CP237+$BF$4),1,0))</f>
        <v>0</v>
      </c>
      <c r="BB237" s="926">
        <f>IF(Tables!$E$30="New York",INDEX('NY Curve'!$A$4:$M$256,MATCH('Monthly Table'!$B237,'NY Curve'!$A$4:$A$256,0),MATCH("NY Sunday Super Peak",'NY Curve'!$A$4:$M$4,0)),IF(Tables!$E$30="Michigan",INDEX('Michigan Curve'!$A$4:$L$256,MATCH('Monthly Table'!$B237,'Michigan Curve'!$A$4:$A$256,0),MATCH("Michigan Sunday Super Peak",'Michigan Curve'!$A$4:$L$4,0))))</f>
        <v>0</v>
      </c>
      <c r="BC237" s="925">
        <f t="shared" si="170"/>
        <v>0</v>
      </c>
      <c r="BD237" s="927">
        <f t="shared" si="159"/>
        <v>0</v>
      </c>
      <c r="BF237" s="598">
        <f t="shared" si="152"/>
        <v>43770</v>
      </c>
      <c r="BG237" s="583">
        <f t="shared" si="171"/>
        <v>0</v>
      </c>
      <c r="BH237" s="764">
        <f>IF(Tables!$B$36="Combined Cycle",(BF237-BF236)*24*Assumptions!$B$21,0)</f>
        <v>0</v>
      </c>
      <c r="BI237" s="315">
        <f t="shared" si="172"/>
        <v>0</v>
      </c>
      <c r="BJ237" s="987">
        <f>IF('Monthly Table'!D237&lt;=Tables!$B$21,IF($BJ$10=$BG$10,BG237,IF($BJ$10=$BH$10,BH237,IF($BJ$10=$BI$10,BI237,0))),0)</f>
        <v>0</v>
      </c>
      <c r="BK237" s="43"/>
      <c r="BL237" s="987">
        <f t="shared" si="173"/>
        <v>0</v>
      </c>
      <c r="BM237" s="987">
        <f t="shared" si="174"/>
        <v>0</v>
      </c>
      <c r="BO237" s="987">
        <f t="shared" si="160"/>
        <v>0</v>
      </c>
      <c r="BP237" s="987">
        <f t="shared" si="175"/>
        <v>0</v>
      </c>
      <c r="BR237" s="993">
        <f>IF(BJ237&gt;0,INDEX(OperationalDetail,MATCH("Capacity Degradation",ODColumn,0),MATCH('Monthly Table'!C237,ODRow,0)),0)</f>
        <v>0</v>
      </c>
      <c r="BS237" s="994">
        <f>BJ237*(1-BR237)*Tables!$C$36</f>
        <v>0</v>
      </c>
      <c r="BT237" s="601">
        <f t="shared" si="161"/>
        <v>0</v>
      </c>
      <c r="BU237" s="602">
        <f t="shared" si="162"/>
        <v>0</v>
      </c>
      <c r="BV237" s="999"/>
      <c r="BW237" s="785">
        <f>$BO237*(1-$BR237)*Tables!$C$36</f>
        <v>0</v>
      </c>
      <c r="BX237" s="602">
        <f t="shared" si="176"/>
        <v>0</v>
      </c>
      <c r="BY237" s="601">
        <f t="shared" si="177"/>
        <v>0</v>
      </c>
      <c r="BZ237" s="462"/>
      <c r="CA237" s="785">
        <f>$BL237*(1-$BR237)*Tables!$C$36</f>
        <v>0</v>
      </c>
      <c r="CB237" s="602">
        <f t="shared" si="178"/>
        <v>0</v>
      </c>
      <c r="CC237" s="601">
        <f t="shared" si="179"/>
        <v>0</v>
      </c>
      <c r="CD237" s="785">
        <f>$BP237*(1-$BR237)*Tables!$C$36</f>
        <v>0</v>
      </c>
      <c r="CE237" s="602">
        <f t="shared" si="180"/>
        <v>0</v>
      </c>
      <c r="CF237" s="601">
        <f t="shared" si="181"/>
        <v>0</v>
      </c>
      <c r="CH237" s="785">
        <f>$BM237*(1-$BR237)*Tables!$C$36</f>
        <v>0</v>
      </c>
      <c r="CI237" s="602">
        <f t="shared" si="182"/>
        <v>0</v>
      </c>
      <c r="CJ237" s="601">
        <f t="shared" si="183"/>
        <v>0</v>
      </c>
      <c r="CL237" s="304">
        <f t="shared" si="184"/>
        <v>2018</v>
      </c>
      <c r="CM237" s="1018">
        <f>INDEX(OperationalDetail,MATCH("Degraded Heat Rate",ODColumn,0),MATCH('Monthly Table'!CL237,ODRow,0))/1000</f>
        <v>11.96</v>
      </c>
      <c r="CN237" s="737">
        <f t="shared" si="163"/>
        <v>6.6223236725305421</v>
      </c>
      <c r="CO237" s="1019">
        <f>IF(A237="January",(CO236*(1+Assumptions!$E$32)),CO236)</f>
        <v>9.6201311313309379</v>
      </c>
      <c r="CP237" s="741">
        <f t="shared" si="153"/>
        <v>16.242454803861481</v>
      </c>
      <c r="CR237" s="575" t="str">
        <f t="shared" si="185"/>
        <v/>
      </c>
      <c r="CS237" s="575" t="str">
        <f t="shared" si="186"/>
        <v/>
      </c>
      <c r="CT237" s="575" t="str">
        <f t="shared" si="187"/>
        <v/>
      </c>
      <c r="CU237" s="575" t="str">
        <f t="shared" si="188"/>
        <v/>
      </c>
      <c r="CV237" s="575" t="str">
        <f t="shared" si="189"/>
        <v/>
      </c>
      <c r="CW237" s="576">
        <f t="shared" si="154"/>
        <v>2019</v>
      </c>
      <c r="CX237" s="787">
        <f>INDEX('NY Curve'!$A$4:$G$256,MATCH('Monthly Table'!B237,'NY Curve'!$A$4:$A$256,0),MATCH("New York 5 X 16",'NY Curve'!$A$4:$G$4,0))</f>
        <v>0</v>
      </c>
      <c r="CY237" s="632">
        <f t="shared" si="155"/>
        <v>1.2476689189805299</v>
      </c>
      <c r="CZ237" s="633">
        <f t="shared" si="156"/>
        <v>0</v>
      </c>
      <c r="DB237" s="857"/>
      <c r="DC237" s="857"/>
    </row>
    <row r="238" spans="1:107" s="222" customFormat="1" ht="18.75" customHeight="1">
      <c r="A238" s="222" t="s">
        <v>448</v>
      </c>
      <c r="B238" s="564">
        <v>43800</v>
      </c>
      <c r="C238" s="565">
        <f t="shared" si="145"/>
        <v>2019</v>
      </c>
      <c r="D238" s="819">
        <f t="shared" si="190"/>
        <v>19</v>
      </c>
      <c r="E238" s="972">
        <v>21</v>
      </c>
      <c r="F238" s="971">
        <v>4</v>
      </c>
      <c r="G238" s="971">
        <v>5</v>
      </c>
      <c r="H238" s="971">
        <v>1</v>
      </c>
      <c r="I238" s="976">
        <f t="shared" si="164"/>
        <v>31</v>
      </c>
      <c r="J238" s="969"/>
      <c r="K238" s="820">
        <f>INDEX(FX!$A$3:$C$362,MATCH(B238,FX!$A$3:$A$362,0),MATCH("Monthly Curve",FX!$A$2:$C$2,0))</f>
        <v>1.2471885632926101</v>
      </c>
      <c r="L238" s="820"/>
      <c r="M238" s="821"/>
      <c r="N238" s="822"/>
      <c r="O238" s="878">
        <v>0.1</v>
      </c>
      <c r="P238" s="824">
        <f t="shared" si="147"/>
        <v>0.1</v>
      </c>
      <c r="Q238" s="825">
        <f t="shared" si="148"/>
        <v>0.1</v>
      </c>
      <c r="R238" s="837">
        <f>IF(A238="January",(R237+R237*Assumptions!$E$32),R237)</f>
        <v>0.42893910078844716</v>
      </c>
      <c r="S238" s="827">
        <f t="shared" si="149"/>
        <v>0.55365795711770815</v>
      </c>
      <c r="T238" s="820"/>
      <c r="U238" s="828"/>
      <c r="V238" s="830"/>
      <c r="W238" s="830"/>
      <c r="X238" s="830"/>
      <c r="Y238" s="839">
        <f>Tables!$D$36</f>
        <v>312</v>
      </c>
      <c r="Z238" s="678">
        <f t="shared" si="150"/>
        <v>0</v>
      </c>
      <c r="AA238" s="679">
        <f t="shared" si="151"/>
        <v>0</v>
      </c>
      <c r="AB238" s="680">
        <f t="shared" si="146"/>
        <v>0</v>
      </c>
      <c r="AC238" s="828"/>
      <c r="AD238" s="1027">
        <f>IF(Tables!$E$30="Michigan",INDEX('Michigan Curve'!$A$4:$S$256,MATCH('Monthly Table'!B238,'Michigan Curve'!$A$4:$A$256,0),MATCH("Michigan Selected Option Value US$/month",'Michigan Curve'!$A$4:$S$4,0)),INDEX('NY Curve'!$A$4:$T$256,MATCH('Monthly Table'!B238,'NY Curve'!$A$4:$A$256,0),MATCH("New York Selected Option Value US$/month",'NY Curve'!$A$4:$T$4,0)))</f>
        <v>0</v>
      </c>
      <c r="AE238" s="601">
        <f t="shared" si="165"/>
        <v>0</v>
      </c>
      <c r="AF238" s="828"/>
      <c r="AG238" s="917"/>
      <c r="AI238" s="799">
        <f>Assumptions!$B$50</f>
        <v>65</v>
      </c>
      <c r="AJ238" s="762"/>
      <c r="AK238" s="924">
        <f>IF(Tables!$E$30="Custom",'Monthly Table'!AI238,IF(Tables!$E$30="New York",INDEX('NY Curve'!$A$4:$G$256,MATCH('Monthly Table'!B238,'NY Curve'!$A$4:$A$256,0),MATCH("Super Peak Curve",'NY Curve'!$A$4:$G$4,0)),IF(Tables!$E$30="New York Flat",INDEX('NY Curve'!$A$4:$G$256,MATCH('Monthly Table'!B238,'NY Curve'!$A$4:$A$256,0),MATCH("Flat NY West",'NY Curve'!$A$4:$G$4,0)),INDEX('Michigan Curve'!$A$4:$F$256,MATCH('Monthly Table'!B238,'Michigan Curve'!$A$4:$A$256,0),MATCH("Michigan Super Peak Curve US$/MWhr",'Michigan Curve'!$A$4:$F$4,0)))))</f>
        <v>0</v>
      </c>
      <c r="AL238" s="966">
        <f>IF(D238&lt;=Tables!$B$21,IF($AL$10=$AI$10,AI238,IF($AL$10=$AJ$10,AJ238,IF($AL$10=$AK$10,AK238,0))),0)</f>
        <v>0</v>
      </c>
      <c r="AM238" s="708">
        <f t="shared" si="166"/>
        <v>0</v>
      </c>
      <c r="AN238" s="918">
        <f t="shared" si="167"/>
        <v>0</v>
      </c>
      <c r="AO238" s="906"/>
      <c r="AP238" s="925"/>
      <c r="AQ238" s="926">
        <f>IF(Tables!$E$30="New York",INDEX('NY Curve'!$A$4:$L$256,MATCH('Monthly Table'!B238,'NY Curve'!$A$4:$A$256,0),MATCH("New York Shoulder Hour Curve Mon-Fri",'NY Curve'!$A$4:$L$4,0)),IF(Tables!$E$30="Michigan",INDEX('Michigan Curve'!$A$4:$K$256,MATCH('Monthly Table'!B238,'Michigan Curve'!$A$4:$A$256,0),MATCH("Michigan Shoulder Hour Curve Mon-Fri",'Michigan Curve'!$A$4:$K$4,0))))</f>
        <v>0</v>
      </c>
      <c r="AR238" s="708">
        <f t="shared" si="168"/>
        <v>0</v>
      </c>
      <c r="AS238" s="927">
        <f t="shared" si="157"/>
        <v>0</v>
      </c>
      <c r="AT238" s="565"/>
      <c r="AU238" s="926">
        <f>IF(Tables!$E$30="New York",INDEX('NY Curve'!$A$4:$L$256,MATCH('Monthly Table'!$B238,'NY Curve'!$A$4:$A$256,0),MATCH("New York Saturday Super Peak",'NY Curve'!$A$4:$L$4,0)),IF(Tables!$E$30="Michigan",INDEX('Michigan Curve'!$A$4:$K$256,MATCH('Monthly Table'!$B238,'Michigan Curve'!$A$4:$A$256,0),MATCH("Michigan Saturday Super Peak",'Michigan Curve'!$A$4:$K$4,0))))</f>
        <v>0</v>
      </c>
      <c r="AV238" s="925">
        <f t="shared" si="158"/>
        <v>0</v>
      </c>
      <c r="AW238" s="927">
        <f>IF(Tables!$B$21=15,0,IF(AV238&gt;($CP238+$BF$4),1,0))</f>
        <v>0</v>
      </c>
      <c r="AX238" s="926">
        <f>IF(Tables!$E$30="New York",INDEX('NY Curve'!$A$4:$L$256,MATCH('Monthly Table'!$B238,'NY Curve'!$A$4:$A$256,0),MATCH("New York Saturday Shoulder Peak",'NY Curve'!$A$4:$L$4,0)),IF(Tables!$E$30="Michigan",INDEX('Michigan Curve'!$A$4:$K$256,MATCH('Monthly Table'!$B238,'Michigan Curve'!$A$4:$A$256,0),MATCH("Michigan Saturday Shoulder Peak",'Michigan Curve'!$A$4:$K$4,0))))</f>
        <v>0</v>
      </c>
      <c r="AY238" s="934">
        <f t="shared" si="169"/>
        <v>0</v>
      </c>
      <c r="AZ238" s="927">
        <f>IF(Tables!$B$21=15,0,IF(AY238&gt;($CP238+$BF$4),1,0))</f>
        <v>0</v>
      </c>
      <c r="BA238" s="565"/>
      <c r="BB238" s="926">
        <f>IF(Tables!$E$30="New York",INDEX('NY Curve'!$A$4:$M$256,MATCH('Monthly Table'!$B238,'NY Curve'!$A$4:$A$256,0),MATCH("NY Sunday Super Peak",'NY Curve'!$A$4:$M$4,0)),IF(Tables!$E$30="Michigan",INDEX('Michigan Curve'!$A$4:$L$256,MATCH('Monthly Table'!$B238,'Michigan Curve'!$A$4:$A$256,0),MATCH("Michigan Sunday Super Peak",'Michigan Curve'!$A$4:$L$4,0))))</f>
        <v>0</v>
      </c>
      <c r="BC238" s="925">
        <f t="shared" si="170"/>
        <v>0</v>
      </c>
      <c r="BD238" s="927">
        <f t="shared" si="159"/>
        <v>0</v>
      </c>
      <c r="BE238" s="565"/>
      <c r="BF238" s="829">
        <f t="shared" si="152"/>
        <v>43800</v>
      </c>
      <c r="BG238" s="583">
        <f t="shared" si="171"/>
        <v>0</v>
      </c>
      <c r="BH238" s="840">
        <f>IF(Tables!$B$36="Combined Cycle",(BF238-BF237)*24*Assumptions!$B$21,0)</f>
        <v>0</v>
      </c>
      <c r="BI238" s="315">
        <f t="shared" si="172"/>
        <v>0</v>
      </c>
      <c r="BJ238" s="988">
        <f>IF('Monthly Table'!D238&lt;=Tables!$B$21,IF($BJ$10=$BG$10,BG238,IF($BJ$10=$BH$10,BH238,IF($BJ$10=$BI$10,BI238,0))),0)</f>
        <v>0</v>
      </c>
      <c r="BK238" s="43"/>
      <c r="BL238" s="987">
        <f t="shared" si="173"/>
        <v>0</v>
      </c>
      <c r="BM238" s="987">
        <f t="shared" si="174"/>
        <v>0</v>
      </c>
      <c r="BN238" s="43"/>
      <c r="BO238" s="987">
        <f t="shared" si="160"/>
        <v>0</v>
      </c>
      <c r="BP238" s="987">
        <f t="shared" si="175"/>
        <v>0</v>
      </c>
      <c r="BQ238" s="43"/>
      <c r="BR238" s="995">
        <f>IF(BJ238&gt;0,INDEX(OperationalDetail,MATCH("Capacity Degradation",ODColumn,0),MATCH('Monthly Table'!C238,ODRow,0)),0)</f>
        <v>0</v>
      </c>
      <c r="BS238" s="994">
        <f>BJ238*(1-BR238)*Tables!$C$36</f>
        <v>0</v>
      </c>
      <c r="BT238" s="834">
        <f t="shared" si="161"/>
        <v>0</v>
      </c>
      <c r="BU238" s="833">
        <f t="shared" si="162"/>
        <v>0</v>
      </c>
      <c r="BV238" s="999"/>
      <c r="BW238" s="785">
        <f>$BO238*(1-$BR238)*Tables!$C$36</f>
        <v>0</v>
      </c>
      <c r="BX238" s="602">
        <f t="shared" si="176"/>
        <v>0</v>
      </c>
      <c r="BY238" s="601">
        <f t="shared" si="177"/>
        <v>0</v>
      </c>
      <c r="BZ238" s="828"/>
      <c r="CA238" s="785">
        <f>$BL238*(1-$BR238)*Tables!$C$36</f>
        <v>0</v>
      </c>
      <c r="CB238" s="602">
        <f t="shared" si="178"/>
        <v>0</v>
      </c>
      <c r="CC238" s="601">
        <f t="shared" si="179"/>
        <v>0</v>
      </c>
      <c r="CD238" s="785">
        <f>$BP238*(1-$BR238)*Tables!$C$36</f>
        <v>0</v>
      </c>
      <c r="CE238" s="602">
        <f t="shared" si="180"/>
        <v>0</v>
      </c>
      <c r="CF238" s="601">
        <f t="shared" si="181"/>
        <v>0</v>
      </c>
      <c r="CH238" s="785">
        <f>$BM238*(1-$BR238)*Tables!$C$36</f>
        <v>0</v>
      </c>
      <c r="CI238" s="602">
        <f t="shared" si="182"/>
        <v>0</v>
      </c>
      <c r="CJ238" s="601">
        <f t="shared" si="183"/>
        <v>0</v>
      </c>
      <c r="CL238" s="304">
        <f t="shared" si="184"/>
        <v>2018</v>
      </c>
      <c r="CM238" s="1018">
        <f>INDEX(OperationalDetail,MATCH("Degraded Heat Rate",ODColumn,0),MATCH('Monthly Table'!CL238,ODRow,0))/1000</f>
        <v>11.96</v>
      </c>
      <c r="CN238" s="835">
        <f t="shared" si="163"/>
        <v>6.6217491671277902</v>
      </c>
      <c r="CO238" s="1020">
        <f>IF(A238="January",(CO237*(1+Assumptions!$E$32)),CO237)</f>
        <v>9.6201311313309379</v>
      </c>
      <c r="CP238" s="836">
        <f t="shared" si="153"/>
        <v>16.241880298458728</v>
      </c>
      <c r="CR238" s="841" t="str">
        <f t="shared" si="185"/>
        <v/>
      </c>
      <c r="CS238" s="575" t="str">
        <f t="shared" si="186"/>
        <v/>
      </c>
      <c r="CT238" s="575" t="str">
        <f t="shared" si="187"/>
        <v/>
      </c>
      <c r="CU238" s="575" t="str">
        <f t="shared" si="188"/>
        <v/>
      </c>
      <c r="CV238" s="575" t="str">
        <f t="shared" si="189"/>
        <v/>
      </c>
      <c r="CW238" s="842">
        <f t="shared" si="154"/>
        <v>2019</v>
      </c>
      <c r="CX238" s="843">
        <f>INDEX('NY Curve'!$A$4:$G$256,MATCH('Monthly Table'!B238,'NY Curve'!$A$4:$A$256,0),MATCH("New York 5 X 16",'NY Curve'!$A$4:$G$4,0))</f>
        <v>0</v>
      </c>
      <c r="CY238" s="844">
        <f t="shared" si="155"/>
        <v>1.2471885632926101</v>
      </c>
      <c r="CZ238" s="845">
        <f t="shared" si="156"/>
        <v>0</v>
      </c>
      <c r="DB238" s="857"/>
      <c r="DC238" s="857"/>
    </row>
    <row r="239" spans="1:107" ht="18.75" customHeight="1">
      <c r="A239" s="17" t="s">
        <v>437</v>
      </c>
      <c r="B239" s="508">
        <v>43831</v>
      </c>
      <c r="C239" s="43">
        <f t="shared" ref="C239:C244" si="191">YEAR(B239)</f>
        <v>2020</v>
      </c>
      <c r="D239" s="719">
        <f t="shared" si="190"/>
        <v>20</v>
      </c>
      <c r="E239" s="972">
        <v>22</v>
      </c>
      <c r="F239" s="971">
        <v>4</v>
      </c>
      <c r="G239" s="971">
        <v>4</v>
      </c>
      <c r="H239" s="971">
        <v>1</v>
      </c>
      <c r="I239" s="976">
        <f t="shared" si="164"/>
        <v>31</v>
      </c>
      <c r="J239" s="621"/>
      <c r="K239" s="572">
        <f>INDEX(FX!$A$3:$C$362,MATCH(B239,FX!$A$3:$A$362,0),MATCH("Monthly Curve",FX!$A$2:$C$2,0))</f>
        <v>1.24669515720832</v>
      </c>
      <c r="L239" s="572"/>
      <c r="M239" s="724"/>
      <c r="N239" s="746"/>
      <c r="O239" s="877">
        <v>0.1</v>
      </c>
      <c r="P239" s="797">
        <f t="shared" si="147"/>
        <v>0.1</v>
      </c>
      <c r="Q239" s="732">
        <f t="shared" si="148"/>
        <v>0.1</v>
      </c>
      <c r="R239" s="723">
        <f>IF(A239="January",(R238+R238*Assumptions!$E$32),R238)</f>
        <v>0.43751788280421611</v>
      </c>
      <c r="S239" s="730">
        <f t="shared" si="149"/>
        <v>0.56218739852504807</v>
      </c>
      <c r="T239" s="572"/>
      <c r="U239" s="507"/>
      <c r="V239" s="583"/>
      <c r="W239" s="583"/>
      <c r="X239" s="583"/>
      <c r="Y239" s="588">
        <f>Tables!$D$36</f>
        <v>312</v>
      </c>
      <c r="Z239" s="570">
        <f t="shared" ref="Z239:Z244" si="192">IF($Z$10=$V$10,V239,IF($Z$10=$W$10,W239,IF($Z$10=$X$10,X239,0)))</f>
        <v>0</v>
      </c>
      <c r="AA239" s="592">
        <f t="shared" ref="AA239:AA244" si="193">Y239*Z239</f>
        <v>0</v>
      </c>
      <c r="AB239" s="589">
        <f t="shared" si="146"/>
        <v>0</v>
      </c>
      <c r="AC239" s="462"/>
      <c r="AD239" s="1027">
        <f>IF(Tables!$E$30="Michigan",INDEX('Michigan Curve'!$A$4:$S$256,MATCH('Monthly Table'!B239,'Michigan Curve'!$A$4:$A$256,0),MATCH("Michigan Selected Option Value US$/month",'Michigan Curve'!$A$4:$S$4,0)),INDEX('NY Curve'!$A$4:$T$256,MATCH('Monthly Table'!B239,'NY Curve'!$A$4:$A$256,0),MATCH("New York Selected Option Value US$/month",'NY Curve'!$A$4:$T$4,0)))</f>
        <v>0</v>
      </c>
      <c r="AE239" s="601">
        <f t="shared" si="165"/>
        <v>0</v>
      </c>
      <c r="AF239" s="462"/>
      <c r="AG239" s="915"/>
      <c r="AH239" s="17"/>
      <c r="AI239" s="799">
        <f>Assumptions!$B$50</f>
        <v>65</v>
      </c>
      <c r="AJ239" s="743"/>
      <c r="AK239" s="924">
        <f>IF(Tables!$E$30="Custom",'Monthly Table'!AI239,IF(Tables!$E$30="New York",INDEX('NY Curve'!$A$4:$G$256,MATCH('Monthly Table'!B239,'NY Curve'!$A$4:$A$256,0),MATCH("Super Peak Curve",'NY Curve'!$A$4:$G$4,0)),IF(Tables!$E$30="New York Flat",INDEX('NY Curve'!$A$4:$G$256,MATCH('Monthly Table'!B239,'NY Curve'!$A$4:$A$256,0),MATCH("Flat NY West",'NY Curve'!$A$4:$G$4,0)),INDEX('Michigan Curve'!$A$4:$F$256,MATCH('Monthly Table'!B239,'Michigan Curve'!$A$4:$A$256,0),MATCH("Michigan Super Peak Curve US$/MWhr",'Michigan Curve'!$A$4:$F$4,0)))))</f>
        <v>0</v>
      </c>
      <c r="AL239" s="965">
        <f>IF(D239&lt;=Tables!$B$21,IF($AL$10=$AI$10,AI239,IF($AL$10=$AJ$10,AJ239,IF($AL$10=$AK$10,AK239,0))),0)</f>
        <v>0</v>
      </c>
      <c r="AM239" s="708">
        <f t="shared" si="166"/>
        <v>0</v>
      </c>
      <c r="AN239" s="916">
        <f t="shared" si="167"/>
        <v>0</v>
      </c>
      <c r="AO239" s="905"/>
      <c r="AP239" s="925"/>
      <c r="AQ239" s="926">
        <f>IF(Tables!$E$30="New York",INDEX('NY Curve'!$A$4:$L$256,MATCH('Monthly Table'!B239,'NY Curve'!$A$4:$A$256,0),MATCH("New York Shoulder Hour Curve Mon-Fri",'NY Curve'!$A$4:$L$4,0)),IF(Tables!$E$30="Michigan",INDEX('Michigan Curve'!$A$4:$K$256,MATCH('Monthly Table'!B239,'Michigan Curve'!$A$4:$A$256,0),MATCH("Michigan Shoulder Hour Curve Mon-Fri",'Michigan Curve'!$A$4:$K$4,0))))</f>
        <v>0</v>
      </c>
      <c r="AR239" s="708">
        <f t="shared" si="168"/>
        <v>0</v>
      </c>
      <c r="AS239" s="927">
        <f t="shared" si="157"/>
        <v>0</v>
      </c>
      <c r="AU239" s="926">
        <f>IF(Tables!$E$30="New York",INDEX('NY Curve'!$A$4:$L$256,MATCH('Monthly Table'!$B239,'NY Curve'!$A$4:$A$256,0),MATCH("New York Saturday Super Peak",'NY Curve'!$A$4:$L$4,0)),IF(Tables!$E$30="Michigan",INDEX('Michigan Curve'!$A$4:$K$256,MATCH('Monthly Table'!$B239,'Michigan Curve'!$A$4:$A$256,0),MATCH("Michigan Saturday Super Peak",'Michigan Curve'!$A$4:$K$4,0))))</f>
        <v>0</v>
      </c>
      <c r="AV239" s="925">
        <f t="shared" si="158"/>
        <v>0</v>
      </c>
      <c r="AW239" s="927">
        <f>IF(Tables!$B$21=15,0,IF(AV239&gt;($CP239+$BF$4),1,0))</f>
        <v>0</v>
      </c>
      <c r="AX239" s="926">
        <f>IF(Tables!$E$30="New York",INDEX('NY Curve'!$A$4:$L$256,MATCH('Monthly Table'!$B239,'NY Curve'!$A$4:$A$256,0),MATCH("New York Saturday Shoulder Peak",'NY Curve'!$A$4:$L$4,0)),IF(Tables!$E$30="Michigan",INDEX('Michigan Curve'!$A$4:$K$256,MATCH('Monthly Table'!$B239,'Michigan Curve'!$A$4:$A$256,0),MATCH("Michigan Saturday Shoulder Peak",'Michigan Curve'!$A$4:$K$4,0))))</f>
        <v>0</v>
      </c>
      <c r="AY239" s="934">
        <f t="shared" si="169"/>
        <v>0</v>
      </c>
      <c r="AZ239" s="927">
        <f>IF(Tables!$B$21=15,0,IF(AY239&gt;($CP239+$BF$4),1,0))</f>
        <v>0</v>
      </c>
      <c r="BB239" s="926">
        <f>IF(Tables!$E$30="New York",INDEX('NY Curve'!$A$4:$M$256,MATCH('Monthly Table'!$B239,'NY Curve'!$A$4:$A$256,0),MATCH("NY Sunday Super Peak",'NY Curve'!$A$4:$M$4,0)),IF(Tables!$E$30="Michigan",INDEX('Michigan Curve'!$A$4:$L$256,MATCH('Monthly Table'!$B239,'Michigan Curve'!$A$4:$A$256,0),MATCH("Michigan Sunday Super Peak",'Michigan Curve'!$A$4:$L$4,0))))</f>
        <v>0</v>
      </c>
      <c r="BC239" s="925">
        <f t="shared" si="170"/>
        <v>0</v>
      </c>
      <c r="BD239" s="927">
        <f t="shared" si="159"/>
        <v>0</v>
      </c>
      <c r="BF239" s="598">
        <f t="shared" si="152"/>
        <v>43831</v>
      </c>
      <c r="BG239" s="583">
        <f t="shared" si="171"/>
        <v>0</v>
      </c>
      <c r="BH239" s="764">
        <f>IF(Tables!$B$36="Combined Cycle",(BF239-BF238)*24*Assumptions!$B$21,0)</f>
        <v>0</v>
      </c>
      <c r="BI239" s="315">
        <f t="shared" si="172"/>
        <v>0</v>
      </c>
      <c r="BJ239" s="987">
        <f>IF('Monthly Table'!D239&lt;=Tables!$B$21,IF($BJ$10=$BG$10,BG239,IF($BJ$10=$BH$10,BH239,IF($BJ$10=$BI$10,BI239,0))),0)</f>
        <v>0</v>
      </c>
      <c r="BK239" s="43"/>
      <c r="BL239" s="987">
        <f t="shared" si="173"/>
        <v>0</v>
      </c>
      <c r="BM239" s="987">
        <f t="shared" si="174"/>
        <v>0</v>
      </c>
      <c r="BO239" s="987">
        <f t="shared" si="160"/>
        <v>0</v>
      </c>
      <c r="BP239" s="987">
        <f t="shared" si="175"/>
        <v>0</v>
      </c>
      <c r="BR239" s="993">
        <f>IF(BJ239&gt;0,INDEX(OperationalDetail,MATCH("Capacity Degradation",ODColumn,0),MATCH('Monthly Table'!C239,ODRow,0)),0)</f>
        <v>0</v>
      </c>
      <c r="BS239" s="994">
        <f>BJ239*(1-BR239)*Tables!$C$36</f>
        <v>0</v>
      </c>
      <c r="BT239" s="601">
        <f t="shared" si="161"/>
        <v>0</v>
      </c>
      <c r="BU239" s="602">
        <f t="shared" si="162"/>
        <v>0</v>
      </c>
      <c r="BV239" s="999"/>
      <c r="BW239" s="785">
        <f>$BO239*(1-$BR239)*Tables!$C$36</f>
        <v>0</v>
      </c>
      <c r="BX239" s="602">
        <f t="shared" si="176"/>
        <v>0</v>
      </c>
      <c r="BY239" s="601">
        <f t="shared" si="177"/>
        <v>0</v>
      </c>
      <c r="BZ239" s="462"/>
      <c r="CA239" s="785">
        <f>$BL239*(1-$BR239)*Tables!$C$36</f>
        <v>0</v>
      </c>
      <c r="CB239" s="602">
        <f t="shared" si="178"/>
        <v>0</v>
      </c>
      <c r="CC239" s="601">
        <f t="shared" si="179"/>
        <v>0</v>
      </c>
      <c r="CD239" s="785">
        <f>$BP239*(1-$BR239)*Tables!$C$36</f>
        <v>0</v>
      </c>
      <c r="CE239" s="602">
        <f t="shared" si="180"/>
        <v>0</v>
      </c>
      <c r="CF239" s="601">
        <f t="shared" si="181"/>
        <v>0</v>
      </c>
      <c r="CH239" s="785">
        <f>$BM239*(1-$BR239)*Tables!$C$36</f>
        <v>0</v>
      </c>
      <c r="CI239" s="602">
        <f t="shared" si="182"/>
        <v>0</v>
      </c>
      <c r="CJ239" s="601">
        <f t="shared" si="183"/>
        <v>0</v>
      </c>
      <c r="CL239" s="304">
        <f t="shared" si="184"/>
        <v>2019</v>
      </c>
      <c r="CM239" s="1018">
        <f>INDEX(OperationalDetail,MATCH("Degraded Heat Rate",ODColumn,0),MATCH('Monthly Table'!CL239,ODRow,0))/1000</f>
        <v>11.96</v>
      </c>
      <c r="CN239" s="737">
        <f t="shared" si="163"/>
        <v>6.7237612863595757</v>
      </c>
      <c r="CO239" s="1019">
        <f>IF(A239="January",(CO238*(1+Assumptions!$E$32)),CO238)</f>
        <v>9.8125337539575561</v>
      </c>
      <c r="CP239" s="741">
        <f t="shared" si="153"/>
        <v>16.536295040317132</v>
      </c>
      <c r="CR239" s="575" t="str">
        <f t="shared" si="185"/>
        <v/>
      </c>
      <c r="CS239" s="575" t="str">
        <f t="shared" si="186"/>
        <v/>
      </c>
      <c r="CT239" s="575" t="str">
        <f t="shared" si="187"/>
        <v/>
      </c>
      <c r="CU239" s="575" t="str">
        <f t="shared" si="188"/>
        <v/>
      </c>
      <c r="CV239" s="575" t="str">
        <f t="shared" si="189"/>
        <v/>
      </c>
      <c r="CW239" s="576">
        <f t="shared" si="154"/>
        <v>2020</v>
      </c>
      <c r="CX239" s="787">
        <f>INDEX('NY Curve'!$A$4:$G$256,MATCH('Monthly Table'!B239,'NY Curve'!$A$4:$A$256,0),MATCH("New York 5 X 16",'NY Curve'!$A$4:$G$4,0))</f>
        <v>0</v>
      </c>
      <c r="CY239" s="632">
        <f t="shared" si="155"/>
        <v>1.24669515720832</v>
      </c>
      <c r="CZ239" s="633">
        <f t="shared" si="156"/>
        <v>0</v>
      </c>
      <c r="DB239" s="857"/>
      <c r="DC239" s="857"/>
    </row>
    <row r="240" spans="1:107" ht="18.75" customHeight="1">
      <c r="A240" s="17" t="s">
        <v>438</v>
      </c>
      <c r="B240" s="508">
        <v>43862</v>
      </c>
      <c r="C240" s="43">
        <f t="shared" si="191"/>
        <v>2020</v>
      </c>
      <c r="D240" s="719">
        <f t="shared" si="190"/>
        <v>20</v>
      </c>
      <c r="E240" s="972">
        <v>20</v>
      </c>
      <c r="F240" s="971">
        <v>5</v>
      </c>
      <c r="G240" s="971">
        <v>4</v>
      </c>
      <c r="H240" s="971">
        <v>0</v>
      </c>
      <c r="I240" s="976">
        <f t="shared" si="164"/>
        <v>29</v>
      </c>
      <c r="J240" s="621"/>
      <c r="K240" s="572">
        <f>INDEX(FX!$A$3:$C$362,MATCH(B240,FX!$A$3:$A$362,0),MATCH("Monthly Curve",FX!$A$2:$C$2,0))</f>
        <v>1.24620475772691</v>
      </c>
      <c r="L240" s="572"/>
      <c r="M240" s="724"/>
      <c r="N240" s="746"/>
      <c r="O240" s="877">
        <v>0.1</v>
      </c>
      <c r="P240" s="797">
        <f t="shared" si="147"/>
        <v>0.1</v>
      </c>
      <c r="Q240" s="732">
        <f t="shared" si="148"/>
        <v>0.1</v>
      </c>
      <c r="R240" s="723">
        <f>IF(A240="January",(R239+R239*Assumptions!$E$32),R239)</f>
        <v>0.43751788280421611</v>
      </c>
      <c r="S240" s="730">
        <f t="shared" si="149"/>
        <v>0.56213835857690708</v>
      </c>
      <c r="T240" s="572"/>
      <c r="U240" s="507"/>
      <c r="V240" s="583"/>
      <c r="W240" s="583"/>
      <c r="X240" s="583"/>
      <c r="Y240" s="588">
        <f>Tables!$D$36</f>
        <v>312</v>
      </c>
      <c r="Z240" s="570">
        <f t="shared" si="192"/>
        <v>0</v>
      </c>
      <c r="AA240" s="592">
        <f t="shared" si="193"/>
        <v>0</v>
      </c>
      <c r="AB240" s="589">
        <f t="shared" si="146"/>
        <v>0</v>
      </c>
      <c r="AC240" s="462"/>
      <c r="AD240" s="1027">
        <f>IF(Tables!$E$30="Michigan",INDEX('Michigan Curve'!$A$4:$S$256,MATCH('Monthly Table'!B240,'Michigan Curve'!$A$4:$A$256,0),MATCH("Michigan Selected Option Value US$/month",'Michigan Curve'!$A$4:$S$4,0)),INDEX('NY Curve'!$A$4:$T$256,MATCH('Monthly Table'!B240,'NY Curve'!$A$4:$A$256,0),MATCH("New York Selected Option Value US$/month",'NY Curve'!$A$4:$T$4,0)))</f>
        <v>0</v>
      </c>
      <c r="AE240" s="601">
        <f t="shared" si="165"/>
        <v>0</v>
      </c>
      <c r="AF240" s="462"/>
      <c r="AG240" s="915"/>
      <c r="AH240" s="17"/>
      <c r="AI240" s="799">
        <f>Assumptions!$B$50</f>
        <v>65</v>
      </c>
      <c r="AJ240" s="743"/>
      <c r="AK240" s="924">
        <f>IF(Tables!$E$30="Custom",'Monthly Table'!AI240,IF(Tables!$E$30="New York",INDEX('NY Curve'!$A$4:$G$256,MATCH('Monthly Table'!B240,'NY Curve'!$A$4:$A$256,0),MATCH("Super Peak Curve",'NY Curve'!$A$4:$G$4,0)),IF(Tables!$E$30="New York Flat",INDEX('NY Curve'!$A$4:$G$256,MATCH('Monthly Table'!B240,'NY Curve'!$A$4:$A$256,0),MATCH("Flat NY West",'NY Curve'!$A$4:$G$4,0)),INDEX('Michigan Curve'!$A$4:$F$256,MATCH('Monthly Table'!B240,'Michigan Curve'!$A$4:$A$256,0),MATCH("Michigan Super Peak Curve US$/MWhr",'Michigan Curve'!$A$4:$F$4,0)))))</f>
        <v>0</v>
      </c>
      <c r="AL240" s="965">
        <f>IF(D240&lt;=Tables!$B$21,IF($AL$10=$AI$10,AI240,IF($AL$10=$AJ$10,AJ240,IF($AL$10=$AK$10,AK240,0))),0)</f>
        <v>0</v>
      </c>
      <c r="AM240" s="708">
        <f t="shared" si="166"/>
        <v>0</v>
      </c>
      <c r="AN240" s="916">
        <f t="shared" si="167"/>
        <v>0</v>
      </c>
      <c r="AO240" s="905"/>
      <c r="AP240" s="925"/>
      <c r="AQ240" s="926">
        <f>IF(Tables!$E$30="New York",INDEX('NY Curve'!$A$4:$L$256,MATCH('Monthly Table'!B240,'NY Curve'!$A$4:$A$256,0),MATCH("New York Shoulder Hour Curve Mon-Fri",'NY Curve'!$A$4:$L$4,0)),IF(Tables!$E$30="Michigan",INDEX('Michigan Curve'!$A$4:$K$256,MATCH('Monthly Table'!B240,'Michigan Curve'!$A$4:$A$256,0),MATCH("Michigan Shoulder Hour Curve Mon-Fri",'Michigan Curve'!$A$4:$K$4,0))))</f>
        <v>0</v>
      </c>
      <c r="AR240" s="708">
        <f t="shared" si="168"/>
        <v>0</v>
      </c>
      <c r="AS240" s="927">
        <f t="shared" si="157"/>
        <v>0</v>
      </c>
      <c r="AU240" s="926">
        <f>IF(Tables!$E$30="New York",INDEX('NY Curve'!$A$4:$L$256,MATCH('Monthly Table'!$B240,'NY Curve'!$A$4:$A$256,0),MATCH("New York Saturday Super Peak",'NY Curve'!$A$4:$L$4,0)),IF(Tables!$E$30="Michigan",INDEX('Michigan Curve'!$A$4:$K$256,MATCH('Monthly Table'!$B240,'Michigan Curve'!$A$4:$A$256,0),MATCH("Michigan Saturday Super Peak",'Michigan Curve'!$A$4:$K$4,0))))</f>
        <v>0</v>
      </c>
      <c r="AV240" s="925">
        <f t="shared" si="158"/>
        <v>0</v>
      </c>
      <c r="AW240" s="927">
        <f>IF(Tables!$B$21=15,0,IF(AV240&gt;($CP240+$BF$4),1,0))</f>
        <v>0</v>
      </c>
      <c r="AX240" s="926">
        <f>IF(Tables!$E$30="New York",INDEX('NY Curve'!$A$4:$L$256,MATCH('Monthly Table'!$B240,'NY Curve'!$A$4:$A$256,0),MATCH("New York Saturday Shoulder Peak",'NY Curve'!$A$4:$L$4,0)),IF(Tables!$E$30="Michigan",INDEX('Michigan Curve'!$A$4:$K$256,MATCH('Monthly Table'!$B240,'Michigan Curve'!$A$4:$A$256,0),MATCH("Michigan Saturday Shoulder Peak",'Michigan Curve'!$A$4:$K$4,0))))</f>
        <v>0</v>
      </c>
      <c r="AY240" s="934">
        <f t="shared" si="169"/>
        <v>0</v>
      </c>
      <c r="AZ240" s="927">
        <f>IF(Tables!$B$21=15,0,IF(AY240&gt;($CP240+$BF$4),1,0))</f>
        <v>0</v>
      </c>
      <c r="BB240" s="926">
        <f>IF(Tables!$E$30="New York",INDEX('NY Curve'!$A$4:$M$256,MATCH('Monthly Table'!$B240,'NY Curve'!$A$4:$A$256,0),MATCH("NY Sunday Super Peak",'NY Curve'!$A$4:$M$4,0)),IF(Tables!$E$30="Michigan",INDEX('Michigan Curve'!$A$4:$L$256,MATCH('Monthly Table'!$B240,'Michigan Curve'!$A$4:$A$256,0),MATCH("Michigan Sunday Super Peak",'Michigan Curve'!$A$4:$L$4,0))))</f>
        <v>0</v>
      </c>
      <c r="BC240" s="925">
        <f t="shared" si="170"/>
        <v>0</v>
      </c>
      <c r="BD240" s="927">
        <f t="shared" si="159"/>
        <v>0</v>
      </c>
      <c r="BF240" s="598">
        <f t="shared" si="152"/>
        <v>43862</v>
      </c>
      <c r="BG240" s="583">
        <f t="shared" si="171"/>
        <v>0</v>
      </c>
      <c r="BH240" s="764">
        <f>IF(Tables!$B$36="Combined Cycle",(BF240-BF239)*24*Assumptions!$B$21,0)</f>
        <v>0</v>
      </c>
      <c r="BI240" s="315">
        <f t="shared" si="172"/>
        <v>0</v>
      </c>
      <c r="BJ240" s="987">
        <f>IF('Monthly Table'!D240&lt;=Tables!$B$21,IF($BJ$10=$BG$10,BG240,IF($BJ$10=$BH$10,BH240,IF($BJ$10=$BI$10,BI240,0))),0)</f>
        <v>0</v>
      </c>
      <c r="BK240" s="43"/>
      <c r="BL240" s="987">
        <f t="shared" si="173"/>
        <v>0</v>
      </c>
      <c r="BM240" s="987">
        <f t="shared" si="174"/>
        <v>0</v>
      </c>
      <c r="BO240" s="987">
        <f t="shared" si="160"/>
        <v>0</v>
      </c>
      <c r="BP240" s="987">
        <f t="shared" si="175"/>
        <v>0</v>
      </c>
      <c r="BR240" s="993">
        <f>IF(BJ240&gt;0,INDEX(OperationalDetail,MATCH("Capacity Degradation",ODColumn,0),MATCH('Monthly Table'!C240,ODRow,0)),0)</f>
        <v>0</v>
      </c>
      <c r="BS240" s="994">
        <f>BJ240*(1-BR240)*Tables!$C$36</f>
        <v>0</v>
      </c>
      <c r="BT240" s="601">
        <f t="shared" si="161"/>
        <v>0</v>
      </c>
      <c r="BU240" s="602">
        <f t="shared" si="162"/>
        <v>0</v>
      </c>
      <c r="BV240" s="999"/>
      <c r="BW240" s="785">
        <f>$BO240*(1-$BR240)*Tables!$C$36</f>
        <v>0</v>
      </c>
      <c r="BX240" s="602">
        <f t="shared" si="176"/>
        <v>0</v>
      </c>
      <c r="BY240" s="601">
        <f t="shared" si="177"/>
        <v>0</v>
      </c>
      <c r="BZ240" s="462"/>
      <c r="CA240" s="785">
        <f>$BL240*(1-$BR240)*Tables!$C$36</f>
        <v>0</v>
      </c>
      <c r="CB240" s="602">
        <f t="shared" si="178"/>
        <v>0</v>
      </c>
      <c r="CC240" s="601">
        <f t="shared" si="179"/>
        <v>0</v>
      </c>
      <c r="CD240" s="785">
        <f>$BP240*(1-$BR240)*Tables!$C$36</f>
        <v>0</v>
      </c>
      <c r="CE240" s="602">
        <f t="shared" si="180"/>
        <v>0</v>
      </c>
      <c r="CF240" s="601">
        <f t="shared" si="181"/>
        <v>0</v>
      </c>
      <c r="CH240" s="785">
        <f>$BM240*(1-$BR240)*Tables!$C$36</f>
        <v>0</v>
      </c>
      <c r="CI240" s="602">
        <f t="shared" si="182"/>
        <v>0</v>
      </c>
      <c r="CJ240" s="601">
        <f t="shared" si="183"/>
        <v>0</v>
      </c>
      <c r="CL240" s="304">
        <f t="shared" si="184"/>
        <v>2019</v>
      </c>
      <c r="CM240" s="1018">
        <f>INDEX(OperationalDetail,MATCH("Degraded Heat Rate",ODColumn,0),MATCH('Monthly Table'!CL240,ODRow,0))/1000</f>
        <v>11.96</v>
      </c>
      <c r="CN240" s="737">
        <f t="shared" si="163"/>
        <v>6.7231747685798089</v>
      </c>
      <c r="CO240" s="1019">
        <f>IF(A240="January",(CO239*(1+Assumptions!$E$32)),CO239)</f>
        <v>9.8125337539575561</v>
      </c>
      <c r="CP240" s="741">
        <f t="shared" si="153"/>
        <v>16.535708522537366</v>
      </c>
      <c r="CR240" s="575" t="str">
        <f t="shared" si="185"/>
        <v/>
      </c>
      <c r="CS240" s="575" t="str">
        <f t="shared" si="186"/>
        <v/>
      </c>
      <c r="CT240" s="575" t="str">
        <f t="shared" si="187"/>
        <v/>
      </c>
      <c r="CU240" s="575" t="str">
        <f t="shared" si="188"/>
        <v/>
      </c>
      <c r="CV240" s="575" t="str">
        <f t="shared" si="189"/>
        <v/>
      </c>
      <c r="CW240" s="576">
        <f t="shared" si="154"/>
        <v>2020</v>
      </c>
      <c r="CX240" s="787">
        <f>INDEX('NY Curve'!$A$4:$G$256,MATCH('Monthly Table'!B240,'NY Curve'!$A$4:$A$256,0),MATCH("New York 5 X 16",'NY Curve'!$A$4:$G$4,0))</f>
        <v>0</v>
      </c>
      <c r="CY240" s="632">
        <f t="shared" si="155"/>
        <v>1.24620475772691</v>
      </c>
      <c r="CZ240" s="633">
        <f t="shared" si="156"/>
        <v>0</v>
      </c>
      <c r="DB240" s="857"/>
      <c r="DC240" s="857"/>
    </row>
    <row r="241" spans="1:107" ht="18.75" customHeight="1">
      <c r="A241" s="17" t="s">
        <v>439</v>
      </c>
      <c r="B241" s="508">
        <v>43891</v>
      </c>
      <c r="C241" s="43">
        <f t="shared" si="191"/>
        <v>2020</v>
      </c>
      <c r="D241" s="719">
        <f t="shared" si="190"/>
        <v>20</v>
      </c>
      <c r="E241" s="972">
        <v>22</v>
      </c>
      <c r="F241" s="971">
        <v>4</v>
      </c>
      <c r="G241" s="971">
        <v>5</v>
      </c>
      <c r="H241" s="971">
        <v>0</v>
      </c>
      <c r="I241" s="976">
        <f t="shared" si="164"/>
        <v>31</v>
      </c>
      <c r="J241" s="621"/>
      <c r="K241" s="572">
        <f>INDEX(FX!$A$3:$C$362,MATCH(B241,FX!$A$3:$A$362,0),MATCH("Monthly Curve",FX!$A$2:$C$2,0))</f>
        <v>1.2457487157895399</v>
      </c>
      <c r="L241" s="572"/>
      <c r="M241" s="724"/>
      <c r="N241" s="746"/>
      <c r="O241" s="877">
        <v>0.1</v>
      </c>
      <c r="P241" s="797">
        <f t="shared" si="147"/>
        <v>0.1</v>
      </c>
      <c r="Q241" s="732">
        <f t="shared" si="148"/>
        <v>0.1</v>
      </c>
      <c r="R241" s="723">
        <f>IF(A241="January",(R240+R240*Assumptions!$E$32),R240)</f>
        <v>0.43751788280421611</v>
      </c>
      <c r="S241" s="730">
        <f t="shared" si="149"/>
        <v>0.56209275438317008</v>
      </c>
      <c r="T241" s="572"/>
      <c r="U241" s="507"/>
      <c r="V241" s="583"/>
      <c r="W241" s="583"/>
      <c r="X241" s="583"/>
      <c r="Y241" s="588">
        <f>Tables!$D$36</f>
        <v>312</v>
      </c>
      <c r="Z241" s="570">
        <f t="shared" si="192"/>
        <v>0</v>
      </c>
      <c r="AA241" s="592">
        <f t="shared" si="193"/>
        <v>0</v>
      </c>
      <c r="AB241" s="589">
        <f t="shared" si="146"/>
        <v>0</v>
      </c>
      <c r="AC241" s="462"/>
      <c r="AD241" s="1027">
        <f>IF(Tables!$E$30="Michigan",INDEX('Michigan Curve'!$A$4:$S$256,MATCH('Monthly Table'!B241,'Michigan Curve'!$A$4:$A$256,0),MATCH("Michigan Selected Option Value US$/month",'Michigan Curve'!$A$4:$S$4,0)),INDEX('NY Curve'!$A$4:$T$256,MATCH('Monthly Table'!B241,'NY Curve'!$A$4:$A$256,0),MATCH("New York Selected Option Value US$/month",'NY Curve'!$A$4:$T$4,0)))</f>
        <v>0</v>
      </c>
      <c r="AE241" s="601">
        <f t="shared" si="165"/>
        <v>0</v>
      </c>
      <c r="AF241" s="462"/>
      <c r="AG241" s="915"/>
      <c r="AH241" s="17"/>
      <c r="AI241" s="799">
        <f>Assumptions!$B$50</f>
        <v>65</v>
      </c>
      <c r="AJ241" s="743"/>
      <c r="AK241" s="924">
        <f>IF(Tables!$E$30="Custom",'Monthly Table'!AI241,IF(Tables!$E$30="New York",INDEX('NY Curve'!$A$4:$G$256,MATCH('Monthly Table'!B241,'NY Curve'!$A$4:$A$256,0),MATCH("Super Peak Curve",'NY Curve'!$A$4:$G$4,0)),IF(Tables!$E$30="New York Flat",INDEX('NY Curve'!$A$4:$G$256,MATCH('Monthly Table'!B241,'NY Curve'!$A$4:$A$256,0),MATCH("Flat NY West",'NY Curve'!$A$4:$G$4,0)),INDEX('Michigan Curve'!$A$4:$F$256,MATCH('Monthly Table'!B241,'Michigan Curve'!$A$4:$A$256,0),MATCH("Michigan Super Peak Curve US$/MWhr",'Michigan Curve'!$A$4:$F$4,0)))))</f>
        <v>0</v>
      </c>
      <c r="AL241" s="965">
        <f>IF(D241&lt;=Tables!$B$21,IF($AL$10=$AI$10,AI241,IF($AL$10=$AJ$10,AJ241,IF($AL$10=$AK$10,AK241,0))),0)</f>
        <v>0</v>
      </c>
      <c r="AM241" s="708">
        <f t="shared" si="166"/>
        <v>0</v>
      </c>
      <c r="AN241" s="916">
        <f t="shared" si="167"/>
        <v>0</v>
      </c>
      <c r="AO241" s="905"/>
      <c r="AP241" s="925"/>
      <c r="AQ241" s="926">
        <f>IF(Tables!$E$30="New York",INDEX('NY Curve'!$A$4:$L$256,MATCH('Monthly Table'!B241,'NY Curve'!$A$4:$A$256,0),MATCH("New York Shoulder Hour Curve Mon-Fri",'NY Curve'!$A$4:$L$4,0)),IF(Tables!$E$30="Michigan",INDEX('Michigan Curve'!$A$4:$K$256,MATCH('Monthly Table'!B241,'Michigan Curve'!$A$4:$A$256,0),MATCH("Michigan Shoulder Hour Curve Mon-Fri",'Michigan Curve'!$A$4:$K$4,0))))</f>
        <v>0</v>
      </c>
      <c r="AR241" s="708">
        <f t="shared" si="168"/>
        <v>0</v>
      </c>
      <c r="AS241" s="927">
        <f t="shared" si="157"/>
        <v>0</v>
      </c>
      <c r="AU241" s="926">
        <f>IF(Tables!$E$30="New York",INDEX('NY Curve'!$A$4:$L$256,MATCH('Monthly Table'!$B241,'NY Curve'!$A$4:$A$256,0),MATCH("New York Saturday Super Peak",'NY Curve'!$A$4:$L$4,0)),IF(Tables!$E$30="Michigan",INDEX('Michigan Curve'!$A$4:$K$256,MATCH('Monthly Table'!$B241,'Michigan Curve'!$A$4:$A$256,0),MATCH("Michigan Saturday Super Peak",'Michigan Curve'!$A$4:$K$4,0))))</f>
        <v>0</v>
      </c>
      <c r="AV241" s="925">
        <f t="shared" si="158"/>
        <v>0</v>
      </c>
      <c r="AW241" s="927">
        <f>IF(Tables!$B$21=15,0,IF(AV241&gt;($CP241+$BF$4),1,0))</f>
        <v>0</v>
      </c>
      <c r="AX241" s="926">
        <f>IF(Tables!$E$30="New York",INDEX('NY Curve'!$A$4:$L$256,MATCH('Monthly Table'!$B241,'NY Curve'!$A$4:$A$256,0),MATCH("New York Saturday Shoulder Peak",'NY Curve'!$A$4:$L$4,0)),IF(Tables!$E$30="Michigan",INDEX('Michigan Curve'!$A$4:$K$256,MATCH('Monthly Table'!$B241,'Michigan Curve'!$A$4:$A$256,0),MATCH("Michigan Saturday Shoulder Peak",'Michigan Curve'!$A$4:$K$4,0))))</f>
        <v>0</v>
      </c>
      <c r="AY241" s="934">
        <f t="shared" si="169"/>
        <v>0</v>
      </c>
      <c r="AZ241" s="927">
        <f>IF(Tables!$B$21=15,0,IF(AY241&gt;($CP241+$BF$4),1,0))</f>
        <v>0</v>
      </c>
      <c r="BB241" s="926">
        <f>IF(Tables!$E$30="New York",INDEX('NY Curve'!$A$4:$M$256,MATCH('Monthly Table'!$B241,'NY Curve'!$A$4:$A$256,0),MATCH("NY Sunday Super Peak",'NY Curve'!$A$4:$M$4,0)),IF(Tables!$E$30="Michigan",INDEX('Michigan Curve'!$A$4:$L$256,MATCH('Monthly Table'!$B241,'Michigan Curve'!$A$4:$A$256,0),MATCH("Michigan Sunday Super Peak",'Michigan Curve'!$A$4:$L$4,0))))</f>
        <v>0</v>
      </c>
      <c r="BC241" s="925">
        <f t="shared" si="170"/>
        <v>0</v>
      </c>
      <c r="BD241" s="927">
        <f t="shared" si="159"/>
        <v>0</v>
      </c>
      <c r="BF241" s="598">
        <f t="shared" si="152"/>
        <v>43891</v>
      </c>
      <c r="BG241" s="583">
        <f t="shared" si="171"/>
        <v>0</v>
      </c>
      <c r="BH241" s="764">
        <f>IF(Tables!$B$36="Combined Cycle",(BF241-BF240)*24*Assumptions!$B$21,0)</f>
        <v>0</v>
      </c>
      <c r="BI241" s="315">
        <f t="shared" si="172"/>
        <v>0</v>
      </c>
      <c r="BJ241" s="987">
        <f>IF('Monthly Table'!D241&lt;=Tables!$B$21,IF($BJ$10=$BG$10,BG241,IF($BJ$10=$BH$10,BH241,IF($BJ$10=$BI$10,BI241,0))),0)</f>
        <v>0</v>
      </c>
      <c r="BK241" s="43"/>
      <c r="BL241" s="987">
        <f t="shared" si="173"/>
        <v>0</v>
      </c>
      <c r="BM241" s="987">
        <f t="shared" si="174"/>
        <v>0</v>
      </c>
      <c r="BO241" s="987">
        <f t="shared" si="160"/>
        <v>0</v>
      </c>
      <c r="BP241" s="987">
        <f t="shared" si="175"/>
        <v>0</v>
      </c>
      <c r="BR241" s="993">
        <f>IF(BJ241&gt;0,INDEX(OperationalDetail,MATCH("Capacity Degradation",ODColumn,0),MATCH('Monthly Table'!C241,ODRow,0)),0)</f>
        <v>0</v>
      </c>
      <c r="BS241" s="994">
        <f>BJ241*(1-BR241)*Tables!$C$36</f>
        <v>0</v>
      </c>
      <c r="BT241" s="601">
        <f t="shared" si="161"/>
        <v>0</v>
      </c>
      <c r="BU241" s="602">
        <f t="shared" si="162"/>
        <v>0</v>
      </c>
      <c r="BV241" s="999"/>
      <c r="BW241" s="785">
        <f>$BO241*(1-$BR241)*Tables!$C$36</f>
        <v>0</v>
      </c>
      <c r="BX241" s="602">
        <f t="shared" si="176"/>
        <v>0</v>
      </c>
      <c r="BY241" s="601">
        <f t="shared" si="177"/>
        <v>0</v>
      </c>
      <c r="BZ241" s="462"/>
      <c r="CA241" s="785">
        <f>$BL241*(1-$BR241)*Tables!$C$36</f>
        <v>0</v>
      </c>
      <c r="CB241" s="602">
        <f t="shared" si="178"/>
        <v>0</v>
      </c>
      <c r="CC241" s="601">
        <f t="shared" si="179"/>
        <v>0</v>
      </c>
      <c r="CD241" s="785">
        <f>$BP241*(1-$BR241)*Tables!$C$36</f>
        <v>0</v>
      </c>
      <c r="CE241" s="602">
        <f t="shared" si="180"/>
        <v>0</v>
      </c>
      <c r="CF241" s="601">
        <f t="shared" si="181"/>
        <v>0</v>
      </c>
      <c r="CH241" s="785">
        <f>$BM241*(1-$BR241)*Tables!$C$36</f>
        <v>0</v>
      </c>
      <c r="CI241" s="602">
        <f t="shared" si="182"/>
        <v>0</v>
      </c>
      <c r="CJ241" s="601">
        <f t="shared" si="183"/>
        <v>0</v>
      </c>
      <c r="CL241" s="304">
        <f t="shared" si="184"/>
        <v>2019</v>
      </c>
      <c r="CM241" s="1018">
        <f>INDEX(OperationalDetail,MATCH("Degraded Heat Rate",ODColumn,0),MATCH('Monthly Table'!CL241,ODRow,0))/1000</f>
        <v>11.96</v>
      </c>
      <c r="CN241" s="737">
        <f t="shared" si="163"/>
        <v>6.7226293424227146</v>
      </c>
      <c r="CO241" s="1019">
        <f>IF(A241="January",(CO240*(1+Assumptions!$E$32)),CO240)</f>
        <v>9.8125337539575561</v>
      </c>
      <c r="CP241" s="741">
        <f t="shared" si="153"/>
        <v>16.53516309638027</v>
      </c>
      <c r="CR241" s="575" t="str">
        <f t="shared" si="185"/>
        <v/>
      </c>
      <c r="CS241" s="575" t="str">
        <f t="shared" si="186"/>
        <v/>
      </c>
      <c r="CT241" s="575" t="str">
        <f t="shared" si="187"/>
        <v/>
      </c>
      <c r="CU241" s="575" t="str">
        <f t="shared" si="188"/>
        <v/>
      </c>
      <c r="CV241" s="575" t="str">
        <f t="shared" si="189"/>
        <v/>
      </c>
      <c r="CW241" s="576">
        <f t="shared" si="154"/>
        <v>2020</v>
      </c>
      <c r="CX241" s="787">
        <f>INDEX('NY Curve'!$A$4:$G$256,MATCH('Monthly Table'!B241,'NY Curve'!$A$4:$A$256,0),MATCH("New York 5 X 16",'NY Curve'!$A$4:$G$4,0))</f>
        <v>0</v>
      </c>
      <c r="CY241" s="632">
        <f t="shared" si="155"/>
        <v>1.2457487157895399</v>
      </c>
      <c r="CZ241" s="633">
        <f t="shared" si="156"/>
        <v>0</v>
      </c>
      <c r="DB241" s="857"/>
      <c r="DC241" s="857"/>
    </row>
    <row r="242" spans="1:107" ht="18.75" customHeight="1">
      <c r="A242" s="17" t="s">
        <v>440</v>
      </c>
      <c r="B242" s="508">
        <v>43922</v>
      </c>
      <c r="C242" s="43">
        <f t="shared" si="191"/>
        <v>2020</v>
      </c>
      <c r="D242" s="719">
        <f t="shared" si="190"/>
        <v>20</v>
      </c>
      <c r="E242" s="972">
        <v>22</v>
      </c>
      <c r="F242" s="971">
        <v>4</v>
      </c>
      <c r="G242" s="971">
        <v>4</v>
      </c>
      <c r="H242" s="971">
        <v>0</v>
      </c>
      <c r="I242" s="976">
        <f t="shared" si="164"/>
        <v>30</v>
      </c>
      <c r="J242" s="621"/>
      <c r="K242" s="572">
        <f>INDEX(FX!$A$3:$C$362,MATCH(B242,FX!$A$3:$A$362,0),MATCH("Monthly Curve",FX!$A$2:$C$2,0))</f>
        <v>1.24526412584045</v>
      </c>
      <c r="L242" s="572"/>
      <c r="M242" s="724"/>
      <c r="N242" s="746"/>
      <c r="O242" s="877">
        <v>0.1</v>
      </c>
      <c r="P242" s="797">
        <f t="shared" si="147"/>
        <v>0.1</v>
      </c>
      <c r="Q242" s="732">
        <f t="shared" si="148"/>
        <v>0.1</v>
      </c>
      <c r="R242" s="723">
        <f>IF(A242="January",(R241+R241*Assumptions!$E$32),R241)</f>
        <v>0.43751788280421611</v>
      </c>
      <c r="S242" s="730">
        <f t="shared" si="149"/>
        <v>0.56204429538826117</v>
      </c>
      <c r="T242" s="572"/>
      <c r="U242" s="507"/>
      <c r="V242" s="583"/>
      <c r="W242" s="583"/>
      <c r="X242" s="583"/>
      <c r="Y242" s="588">
        <f>Tables!$D$36</f>
        <v>312</v>
      </c>
      <c r="Z242" s="570">
        <f t="shared" si="192"/>
        <v>0</v>
      </c>
      <c r="AA242" s="592">
        <f t="shared" si="193"/>
        <v>0</v>
      </c>
      <c r="AB242" s="589">
        <f t="shared" si="146"/>
        <v>0</v>
      </c>
      <c r="AC242" s="462"/>
      <c r="AD242" s="1027">
        <f>IF(Tables!$E$30="Michigan",INDEX('Michigan Curve'!$A$4:$S$256,MATCH('Monthly Table'!B242,'Michigan Curve'!$A$4:$A$256,0),MATCH("Michigan Selected Option Value US$/month",'Michigan Curve'!$A$4:$S$4,0)),INDEX('NY Curve'!$A$4:$T$256,MATCH('Monthly Table'!B242,'NY Curve'!$A$4:$A$256,0),MATCH("New York Selected Option Value US$/month",'NY Curve'!$A$4:$T$4,0)))</f>
        <v>0</v>
      </c>
      <c r="AE242" s="601">
        <f t="shared" si="165"/>
        <v>0</v>
      </c>
      <c r="AF242" s="462"/>
      <c r="AG242" s="915"/>
      <c r="AH242" s="17"/>
      <c r="AI242" s="799">
        <f>Assumptions!$B$50</f>
        <v>65</v>
      </c>
      <c r="AJ242" s="743"/>
      <c r="AK242" s="924">
        <f>IF(Tables!$E$30="Custom",'Monthly Table'!AI242,IF(Tables!$E$30="New York",INDEX('NY Curve'!$A$4:$G$256,MATCH('Monthly Table'!B242,'NY Curve'!$A$4:$A$256,0),MATCH("Super Peak Curve",'NY Curve'!$A$4:$G$4,0)),IF(Tables!$E$30="New York Flat",INDEX('NY Curve'!$A$4:$G$256,MATCH('Monthly Table'!B242,'NY Curve'!$A$4:$A$256,0),MATCH("Flat NY West",'NY Curve'!$A$4:$G$4,0)),INDEX('Michigan Curve'!$A$4:$F$256,MATCH('Monthly Table'!B242,'Michigan Curve'!$A$4:$A$256,0),MATCH("Michigan Super Peak Curve US$/MWhr",'Michigan Curve'!$A$4:$F$4,0)))))</f>
        <v>0</v>
      </c>
      <c r="AL242" s="965">
        <f>IF(D242&lt;=Tables!$B$21,IF($AL$10=$AI$10,AI242,IF($AL$10=$AJ$10,AJ242,IF($AL$10=$AK$10,AK242,0))),0)</f>
        <v>0</v>
      </c>
      <c r="AM242" s="708">
        <f t="shared" si="166"/>
        <v>0</v>
      </c>
      <c r="AN242" s="916">
        <f t="shared" si="167"/>
        <v>0</v>
      </c>
      <c r="AO242" s="905"/>
      <c r="AP242" s="925"/>
      <c r="AQ242" s="926">
        <f>IF(Tables!$E$30="New York",INDEX('NY Curve'!$A$4:$L$256,MATCH('Monthly Table'!B242,'NY Curve'!$A$4:$A$256,0),MATCH("New York Shoulder Hour Curve Mon-Fri",'NY Curve'!$A$4:$L$4,0)),IF(Tables!$E$30="Michigan",INDEX('Michigan Curve'!$A$4:$K$256,MATCH('Monthly Table'!B242,'Michigan Curve'!$A$4:$A$256,0),MATCH("Michigan Shoulder Hour Curve Mon-Fri",'Michigan Curve'!$A$4:$K$4,0))))</f>
        <v>0</v>
      </c>
      <c r="AR242" s="708">
        <f t="shared" si="168"/>
        <v>0</v>
      </c>
      <c r="AS242" s="927">
        <f t="shared" si="157"/>
        <v>0</v>
      </c>
      <c r="AU242" s="926">
        <f>IF(Tables!$E$30="New York",INDEX('NY Curve'!$A$4:$L$256,MATCH('Monthly Table'!$B242,'NY Curve'!$A$4:$A$256,0),MATCH("New York Saturday Super Peak",'NY Curve'!$A$4:$L$4,0)),IF(Tables!$E$30="Michigan",INDEX('Michigan Curve'!$A$4:$K$256,MATCH('Monthly Table'!$B242,'Michigan Curve'!$A$4:$A$256,0),MATCH("Michigan Saturday Super Peak",'Michigan Curve'!$A$4:$K$4,0))))</f>
        <v>0</v>
      </c>
      <c r="AV242" s="925">
        <f t="shared" si="158"/>
        <v>0</v>
      </c>
      <c r="AW242" s="927">
        <f>IF(Tables!$B$21=15,0,IF(AV242&gt;($CP242+$BF$4),1,0))</f>
        <v>0</v>
      </c>
      <c r="AX242" s="926">
        <f>IF(Tables!$E$30="New York",INDEX('NY Curve'!$A$4:$L$256,MATCH('Monthly Table'!$B242,'NY Curve'!$A$4:$A$256,0),MATCH("New York Saturday Shoulder Peak",'NY Curve'!$A$4:$L$4,0)),IF(Tables!$E$30="Michigan",INDEX('Michigan Curve'!$A$4:$K$256,MATCH('Monthly Table'!$B242,'Michigan Curve'!$A$4:$A$256,0),MATCH("Michigan Saturday Shoulder Peak",'Michigan Curve'!$A$4:$K$4,0))))</f>
        <v>0</v>
      </c>
      <c r="AY242" s="934">
        <f t="shared" si="169"/>
        <v>0</v>
      </c>
      <c r="AZ242" s="927">
        <f>IF(Tables!$B$21=15,0,IF(AY242&gt;($CP242+$BF$4),1,0))</f>
        <v>0</v>
      </c>
      <c r="BB242" s="926">
        <f>IF(Tables!$E$30="New York",INDEX('NY Curve'!$A$4:$M$256,MATCH('Monthly Table'!$B242,'NY Curve'!$A$4:$A$256,0),MATCH("NY Sunday Super Peak",'NY Curve'!$A$4:$M$4,0)),IF(Tables!$E$30="Michigan",INDEX('Michigan Curve'!$A$4:$L$256,MATCH('Monthly Table'!$B242,'Michigan Curve'!$A$4:$A$256,0),MATCH("Michigan Sunday Super Peak",'Michigan Curve'!$A$4:$L$4,0))))</f>
        <v>0</v>
      </c>
      <c r="BC242" s="925">
        <f t="shared" si="170"/>
        <v>0</v>
      </c>
      <c r="BD242" s="927">
        <f t="shared" si="159"/>
        <v>0</v>
      </c>
      <c r="BF242" s="598">
        <f t="shared" si="152"/>
        <v>43922</v>
      </c>
      <c r="BG242" s="583">
        <f t="shared" si="171"/>
        <v>0</v>
      </c>
      <c r="BH242" s="764">
        <f>IF(Tables!$B$36="Combined Cycle",(BF242-BF241)*24*Assumptions!$B$21,0)</f>
        <v>0</v>
      </c>
      <c r="BI242" s="315">
        <f t="shared" si="172"/>
        <v>0</v>
      </c>
      <c r="BJ242" s="987">
        <f>IF('Monthly Table'!D242&lt;=Tables!$B$21,IF($BJ$10=$BG$10,BG242,IF($BJ$10=$BH$10,BH242,IF($BJ$10=$BI$10,BI242,0))),0)</f>
        <v>0</v>
      </c>
      <c r="BK242" s="43"/>
      <c r="BL242" s="987">
        <f t="shared" si="173"/>
        <v>0</v>
      </c>
      <c r="BM242" s="987">
        <f t="shared" si="174"/>
        <v>0</v>
      </c>
      <c r="BO242" s="987">
        <f t="shared" si="160"/>
        <v>0</v>
      </c>
      <c r="BP242" s="987">
        <f t="shared" si="175"/>
        <v>0</v>
      </c>
      <c r="BR242" s="993">
        <f>IF(BJ242&gt;0,INDEX(OperationalDetail,MATCH("Capacity Degradation",ODColumn,0),MATCH('Monthly Table'!C242,ODRow,0)),0)</f>
        <v>0</v>
      </c>
      <c r="BS242" s="994">
        <f>BJ242*(1-BR242)*Tables!$C$36</f>
        <v>0</v>
      </c>
      <c r="BT242" s="601">
        <f t="shared" si="161"/>
        <v>0</v>
      </c>
      <c r="BU242" s="602">
        <f t="shared" si="162"/>
        <v>0</v>
      </c>
      <c r="BV242" s="999"/>
      <c r="BW242" s="785">
        <f>$BO242*(1-$BR242)*Tables!$C$36</f>
        <v>0</v>
      </c>
      <c r="BX242" s="602">
        <f t="shared" si="176"/>
        <v>0</v>
      </c>
      <c r="BY242" s="601">
        <f t="shared" si="177"/>
        <v>0</v>
      </c>
      <c r="BZ242" s="462"/>
      <c r="CA242" s="785">
        <f>$BL242*(1-$BR242)*Tables!$C$36</f>
        <v>0</v>
      </c>
      <c r="CB242" s="602">
        <f t="shared" si="178"/>
        <v>0</v>
      </c>
      <c r="CC242" s="601">
        <f t="shared" si="179"/>
        <v>0</v>
      </c>
      <c r="CD242" s="785">
        <f>$BP242*(1-$BR242)*Tables!$C$36</f>
        <v>0</v>
      </c>
      <c r="CE242" s="602">
        <f t="shared" si="180"/>
        <v>0</v>
      </c>
      <c r="CF242" s="601">
        <f t="shared" si="181"/>
        <v>0</v>
      </c>
      <c r="CH242" s="785">
        <f>$BM242*(1-$BR242)*Tables!$C$36</f>
        <v>0</v>
      </c>
      <c r="CI242" s="602">
        <f t="shared" si="182"/>
        <v>0</v>
      </c>
      <c r="CJ242" s="601">
        <f t="shared" si="183"/>
        <v>0</v>
      </c>
      <c r="CL242" s="304">
        <f t="shared" si="184"/>
        <v>2019</v>
      </c>
      <c r="CM242" s="1018">
        <f>INDEX(OperationalDetail,MATCH("Degraded Heat Rate",ODColumn,0),MATCH('Monthly Table'!CL242,ODRow,0))/1000</f>
        <v>11.96</v>
      </c>
      <c r="CN242" s="737">
        <f t="shared" si="163"/>
        <v>6.7220497728436044</v>
      </c>
      <c r="CO242" s="1019">
        <f>IF(A242="January",(CO241*(1+Assumptions!$E$32)),CO241)</f>
        <v>9.8125337539575561</v>
      </c>
      <c r="CP242" s="741">
        <f t="shared" si="153"/>
        <v>16.534583526801161</v>
      </c>
      <c r="CR242" s="575" t="str">
        <f t="shared" si="185"/>
        <v/>
      </c>
      <c r="CS242" s="575" t="str">
        <f t="shared" si="186"/>
        <v/>
      </c>
      <c r="CT242" s="575" t="str">
        <f t="shared" si="187"/>
        <v/>
      </c>
      <c r="CU242" s="575" t="str">
        <f t="shared" si="188"/>
        <v/>
      </c>
      <c r="CV242" s="575" t="str">
        <f t="shared" si="189"/>
        <v/>
      </c>
      <c r="CW242" s="576">
        <f t="shared" si="154"/>
        <v>2020</v>
      </c>
      <c r="CX242" s="787">
        <f>INDEX('NY Curve'!$A$4:$G$256,MATCH('Monthly Table'!B242,'NY Curve'!$A$4:$A$256,0),MATCH("New York 5 X 16",'NY Curve'!$A$4:$G$4,0))</f>
        <v>0</v>
      </c>
      <c r="CY242" s="632">
        <f t="shared" si="155"/>
        <v>1.24526412584045</v>
      </c>
      <c r="CZ242" s="633">
        <f t="shared" si="156"/>
        <v>0</v>
      </c>
      <c r="DB242" s="857"/>
      <c r="DC242" s="857"/>
    </row>
    <row r="243" spans="1:107" ht="18.75" customHeight="1">
      <c r="A243" s="17" t="s">
        <v>441</v>
      </c>
      <c r="B243" s="508">
        <v>43952</v>
      </c>
      <c r="C243" s="43">
        <f t="shared" si="191"/>
        <v>2020</v>
      </c>
      <c r="D243" s="719">
        <f t="shared" si="190"/>
        <v>20</v>
      </c>
      <c r="E243" s="972">
        <v>20</v>
      </c>
      <c r="F243" s="971">
        <v>5</v>
      </c>
      <c r="G243" s="971">
        <v>5</v>
      </c>
      <c r="H243" s="971">
        <v>1</v>
      </c>
      <c r="I243" s="976">
        <f t="shared" si="164"/>
        <v>31</v>
      </c>
      <c r="J243" s="621"/>
      <c r="K243" s="572">
        <f>INDEX(FX!$A$3:$C$362,MATCH(B243,FX!$A$3:$A$362,0),MATCH("Monthly Curve",FX!$A$2:$C$2,0))</f>
        <v>1.24429126853314</v>
      </c>
      <c r="L243" s="572"/>
      <c r="M243" s="724"/>
      <c r="N243" s="746"/>
      <c r="O243" s="877">
        <v>0.1</v>
      </c>
      <c r="P243" s="797">
        <f t="shared" si="147"/>
        <v>0.1</v>
      </c>
      <c r="Q243" s="732">
        <f t="shared" si="148"/>
        <v>0.1</v>
      </c>
      <c r="R243" s="723">
        <f>IF(A243="January",(R242+R242*Assumptions!$E$32),R242)</f>
        <v>0.43751788280421611</v>
      </c>
      <c r="S243" s="730">
        <f t="shared" si="149"/>
        <v>0.56194700965753008</v>
      </c>
      <c r="T243" s="572"/>
      <c r="U243"/>
      <c r="V243" s="583"/>
      <c r="W243" s="583"/>
      <c r="X243" s="583"/>
      <c r="Y243" s="588">
        <f>Tables!$D$36</f>
        <v>312</v>
      </c>
      <c r="Z243" s="570">
        <f t="shared" si="192"/>
        <v>0</v>
      </c>
      <c r="AA243" s="592">
        <f t="shared" si="193"/>
        <v>0</v>
      </c>
      <c r="AB243" s="589">
        <f t="shared" si="146"/>
        <v>0</v>
      </c>
      <c r="AC243" s="462"/>
      <c r="AD243" s="1027">
        <f>IF(Tables!$E$30="Michigan",INDEX('Michigan Curve'!$A$4:$S$256,MATCH('Monthly Table'!B243,'Michigan Curve'!$A$4:$A$256,0),MATCH("Michigan Selected Option Value US$/month",'Michigan Curve'!$A$4:$S$4,0)),INDEX('NY Curve'!$A$4:$T$256,MATCH('Monthly Table'!B243,'NY Curve'!$A$4:$A$256,0),MATCH("New York Selected Option Value US$/month",'NY Curve'!$A$4:$T$4,0)))</f>
        <v>0</v>
      </c>
      <c r="AE243" s="601">
        <f t="shared" si="165"/>
        <v>0</v>
      </c>
      <c r="AF243" s="462"/>
      <c r="AG243" s="915"/>
      <c r="AH243" s="17"/>
      <c r="AI243" s="799">
        <f>Assumptions!$B$50</f>
        <v>65</v>
      </c>
      <c r="AJ243" s="743"/>
      <c r="AK243" s="924">
        <f>IF(Tables!$E$30="Custom",'Monthly Table'!AI243,IF(Tables!$E$30="New York",INDEX('NY Curve'!$A$4:$G$256,MATCH('Monthly Table'!B243,'NY Curve'!$A$4:$A$256,0),MATCH("Super Peak Curve",'NY Curve'!$A$4:$G$4,0)),IF(Tables!$E$30="New York Flat",INDEX('NY Curve'!$A$4:$G$256,MATCH('Monthly Table'!B243,'NY Curve'!$A$4:$A$256,0),MATCH("Flat NY West",'NY Curve'!$A$4:$G$4,0)),INDEX('Michigan Curve'!$A$4:$F$256,MATCH('Monthly Table'!B243,'Michigan Curve'!$A$4:$A$256,0),MATCH("Michigan Super Peak Curve US$/MWhr",'Michigan Curve'!$A$4:$F$4,0)))))</f>
        <v>0</v>
      </c>
      <c r="AL243" s="965">
        <f>IF(D243&lt;=Tables!$B$21,IF($AL$10=$AI$10,AI243,IF($AL$10=$AJ$10,AJ243,IF($AL$10=$AK$10,AK243,0))),0)</f>
        <v>0</v>
      </c>
      <c r="AM243" s="708">
        <f t="shared" si="166"/>
        <v>0</v>
      </c>
      <c r="AN243" s="916">
        <f t="shared" si="167"/>
        <v>0</v>
      </c>
      <c r="AO243" s="905"/>
      <c r="AP243" s="925"/>
      <c r="AQ243" s="926">
        <f>IF(Tables!$E$30="New York",INDEX('NY Curve'!$A$4:$L$256,MATCH('Monthly Table'!B243,'NY Curve'!$A$4:$A$256,0),MATCH("New York Shoulder Hour Curve Mon-Fri",'NY Curve'!$A$4:$L$4,0)),IF(Tables!$E$30="Michigan",INDEX('Michigan Curve'!$A$4:$K$256,MATCH('Monthly Table'!B243,'Michigan Curve'!$A$4:$A$256,0),MATCH("Michigan Shoulder Hour Curve Mon-Fri",'Michigan Curve'!$A$4:$K$4,0))))</f>
        <v>0</v>
      </c>
      <c r="AR243" s="708">
        <f t="shared" si="168"/>
        <v>0</v>
      </c>
      <c r="AS243" s="927">
        <f t="shared" si="157"/>
        <v>0</v>
      </c>
      <c r="AU243" s="926">
        <f>IF(Tables!$E$30="New York",INDEX('NY Curve'!$A$4:$L$256,MATCH('Monthly Table'!$B243,'NY Curve'!$A$4:$A$256,0),MATCH("New York Saturday Super Peak",'NY Curve'!$A$4:$L$4,0)),IF(Tables!$E$30="Michigan",INDEX('Michigan Curve'!$A$4:$K$256,MATCH('Monthly Table'!$B243,'Michigan Curve'!$A$4:$A$256,0),MATCH("Michigan Saturday Super Peak",'Michigan Curve'!$A$4:$K$4,0))))</f>
        <v>0</v>
      </c>
      <c r="AV243" s="925">
        <f t="shared" si="158"/>
        <v>0</v>
      </c>
      <c r="AW243" s="927">
        <f>IF(Tables!$B$21=15,0,IF(AV243&gt;($CP243+$BF$4),1,0))</f>
        <v>0</v>
      </c>
      <c r="AX243" s="926">
        <f>IF(Tables!$E$30="New York",INDEX('NY Curve'!$A$4:$L$256,MATCH('Monthly Table'!$B243,'NY Curve'!$A$4:$A$256,0),MATCH("New York Saturday Shoulder Peak",'NY Curve'!$A$4:$L$4,0)),IF(Tables!$E$30="Michigan",INDEX('Michigan Curve'!$A$4:$K$256,MATCH('Monthly Table'!$B243,'Michigan Curve'!$A$4:$A$256,0),MATCH("Michigan Saturday Shoulder Peak",'Michigan Curve'!$A$4:$K$4,0))))</f>
        <v>0</v>
      </c>
      <c r="AY243" s="934">
        <f t="shared" si="169"/>
        <v>0</v>
      </c>
      <c r="AZ243" s="927">
        <f>IF(Tables!$B$21=15,0,IF(AY243&gt;($CP243+$BF$4),1,0))</f>
        <v>0</v>
      </c>
      <c r="BB243" s="926">
        <f>IF(Tables!$E$30="New York",INDEX('NY Curve'!$A$4:$M$256,MATCH('Monthly Table'!$B243,'NY Curve'!$A$4:$A$256,0),MATCH("NY Sunday Super Peak",'NY Curve'!$A$4:$M$4,0)),IF(Tables!$E$30="Michigan",INDEX('Michigan Curve'!$A$4:$L$256,MATCH('Monthly Table'!$B243,'Michigan Curve'!$A$4:$A$256,0),MATCH("Michigan Sunday Super Peak",'Michigan Curve'!$A$4:$L$4,0))))</f>
        <v>0</v>
      </c>
      <c r="BC243" s="925">
        <f t="shared" si="170"/>
        <v>0</v>
      </c>
      <c r="BD243" s="927">
        <f t="shared" si="159"/>
        <v>0</v>
      </c>
      <c r="BF243" s="598">
        <f t="shared" si="152"/>
        <v>43952</v>
      </c>
      <c r="BG243" s="583">
        <f t="shared" si="171"/>
        <v>0</v>
      </c>
      <c r="BH243" s="764">
        <f>IF(Tables!$B$36="Combined Cycle",(BF243-BF242)*24*Assumptions!$B$21,0)</f>
        <v>0</v>
      </c>
      <c r="BI243" s="315">
        <f t="shared" si="172"/>
        <v>0</v>
      </c>
      <c r="BJ243" s="987">
        <f>IF('Monthly Table'!D243&lt;=Tables!$B$21,IF($BJ$10=$BG$10,BG243,IF($BJ$10=$BH$10,BH243,IF($BJ$10=$BI$10,BI243,0))),0)</f>
        <v>0</v>
      </c>
      <c r="BK243" s="43"/>
      <c r="BL243" s="987">
        <f t="shared" si="173"/>
        <v>0</v>
      </c>
      <c r="BM243" s="987">
        <f t="shared" si="174"/>
        <v>0</v>
      </c>
      <c r="BO243" s="987">
        <f t="shared" si="160"/>
        <v>0</v>
      </c>
      <c r="BP243" s="987">
        <f t="shared" si="175"/>
        <v>0</v>
      </c>
      <c r="BR243" s="993">
        <f>IF(BJ243&gt;0,INDEX(OperationalDetail,MATCH("Capacity Degradation",ODColumn,0),MATCH('Monthly Table'!C243,ODRow,0)),0)</f>
        <v>0</v>
      </c>
      <c r="BS243" s="994">
        <f>BJ243*(1-BR243)*Tables!$C$36</f>
        <v>0</v>
      </c>
      <c r="BT243" s="601">
        <f t="shared" si="161"/>
        <v>0</v>
      </c>
      <c r="BU243" s="602">
        <f t="shared" si="162"/>
        <v>0</v>
      </c>
      <c r="BV243" s="999"/>
      <c r="BW243" s="785">
        <f>$BO243*(1-$BR243)*Tables!$C$36</f>
        <v>0</v>
      </c>
      <c r="BX243" s="602">
        <f t="shared" si="176"/>
        <v>0</v>
      </c>
      <c r="BY243" s="601">
        <f t="shared" si="177"/>
        <v>0</v>
      </c>
      <c r="BZ243" s="462"/>
      <c r="CA243" s="785">
        <f>$BL243*(1-$BR243)*Tables!$C$36</f>
        <v>0</v>
      </c>
      <c r="CB243" s="602">
        <f t="shared" si="178"/>
        <v>0</v>
      </c>
      <c r="CC243" s="601">
        <f t="shared" si="179"/>
        <v>0</v>
      </c>
      <c r="CD243" s="785">
        <f>$BP243*(1-$BR243)*Tables!$C$36</f>
        <v>0</v>
      </c>
      <c r="CE243" s="602">
        <f t="shared" si="180"/>
        <v>0</v>
      </c>
      <c r="CF243" s="601">
        <f t="shared" si="181"/>
        <v>0</v>
      </c>
      <c r="CH243" s="785">
        <f>$BM243*(1-$BR243)*Tables!$C$36</f>
        <v>0</v>
      </c>
      <c r="CI243" s="602">
        <f t="shared" si="182"/>
        <v>0</v>
      </c>
      <c r="CJ243" s="601">
        <f t="shared" si="183"/>
        <v>0</v>
      </c>
      <c r="CL243" s="304">
        <f t="shared" si="184"/>
        <v>2019</v>
      </c>
      <c r="CM243" s="1018">
        <f>INDEX(OperationalDetail,MATCH("Degraded Heat Rate",ODColumn,0),MATCH('Monthly Table'!CL243,ODRow,0))/1000</f>
        <v>11.96</v>
      </c>
      <c r="CN243" s="737">
        <f t="shared" si="163"/>
        <v>6.7208862355040599</v>
      </c>
      <c r="CO243" s="1019">
        <f>IF(A243="January",(CO242*(1+Assumptions!$E$32)),CO242)</f>
        <v>9.8125337539575561</v>
      </c>
      <c r="CP243" s="741">
        <f t="shared" si="153"/>
        <v>16.533419989461617</v>
      </c>
      <c r="CR243" s="575" t="str">
        <f t="shared" si="185"/>
        <v/>
      </c>
      <c r="CS243" s="575" t="str">
        <f t="shared" si="186"/>
        <v/>
      </c>
      <c r="CT243" s="575" t="str">
        <f t="shared" si="187"/>
        <v/>
      </c>
      <c r="CU243" s="575" t="str">
        <f t="shared" si="188"/>
        <v/>
      </c>
      <c r="CV243" s="575" t="str">
        <f t="shared" si="189"/>
        <v/>
      </c>
      <c r="CW243" s="576">
        <f t="shared" si="154"/>
        <v>2020</v>
      </c>
      <c r="CX243" s="787">
        <f>INDEX('NY Curve'!$A$4:$G$256,MATCH('Monthly Table'!B243,'NY Curve'!$A$4:$A$256,0),MATCH("New York 5 X 16",'NY Curve'!$A$4:$G$4,0))</f>
        <v>0</v>
      </c>
      <c r="CY243" s="632">
        <f t="shared" si="155"/>
        <v>1.24429126853314</v>
      </c>
      <c r="CZ243" s="633">
        <f t="shared" si="156"/>
        <v>0</v>
      </c>
      <c r="DB243" s="857"/>
      <c r="DC243" s="857"/>
    </row>
    <row r="244" spans="1:107" ht="18.75" customHeight="1" thickBot="1">
      <c r="A244" s="17" t="s">
        <v>442</v>
      </c>
      <c r="B244" s="508">
        <v>43983</v>
      </c>
      <c r="C244" s="43">
        <f t="shared" si="191"/>
        <v>2020</v>
      </c>
      <c r="D244" s="719">
        <f t="shared" si="190"/>
        <v>20</v>
      </c>
      <c r="E244" s="973">
        <v>22</v>
      </c>
      <c r="F244" s="974">
        <v>4</v>
      </c>
      <c r="G244" s="974">
        <v>4</v>
      </c>
      <c r="H244" s="974">
        <v>0</v>
      </c>
      <c r="I244" s="976">
        <f t="shared" si="164"/>
        <v>30</v>
      </c>
      <c r="J244" s="621"/>
      <c r="K244" s="572">
        <f>INDEX(FX!$A$3:$C$362,MATCH(B244,FX!$A$3:$A$362,0),MATCH("Monthly Curve",FX!$A$2:$C$2,0))</f>
        <v>1.24318012821095</v>
      </c>
      <c r="L244" s="572"/>
      <c r="M244" s="725"/>
      <c r="N244" s="747"/>
      <c r="O244" s="848">
        <v>0.1</v>
      </c>
      <c r="P244" s="798">
        <f t="shared" si="147"/>
        <v>0.1</v>
      </c>
      <c r="Q244" s="733">
        <f t="shared" si="148"/>
        <v>0.1</v>
      </c>
      <c r="R244" s="726">
        <f>IF(A244="January",(R243+R243*Assumptions!$E$32),R243)</f>
        <v>0.43751788280421611</v>
      </c>
      <c r="S244" s="731">
        <f t="shared" si="149"/>
        <v>0.56183589562531111</v>
      </c>
      <c r="T244" s="572"/>
      <c r="U244"/>
      <c r="V244" s="586"/>
      <c r="W244" s="586"/>
      <c r="X244" s="586"/>
      <c r="Y244" s="849">
        <f>Tables!$D$36</f>
        <v>312</v>
      </c>
      <c r="Z244" s="590">
        <f t="shared" si="192"/>
        <v>0</v>
      </c>
      <c r="AA244" s="593">
        <f t="shared" si="193"/>
        <v>0</v>
      </c>
      <c r="AB244" s="591">
        <f t="shared" si="146"/>
        <v>0</v>
      </c>
      <c r="AC244" s="462"/>
      <c r="AD244" s="1027">
        <f>IF(Tables!$E$30="Michigan",INDEX('Michigan Curve'!$A$4:$S$256,MATCH('Monthly Table'!B244,'Michigan Curve'!$A$4:$A$256,0),MATCH("Michigan Selected Option Value US$/month",'Michigan Curve'!$A$4:$S$4,0)),INDEX('NY Curve'!$A$4:$T$256,MATCH('Monthly Table'!B244,'NY Curve'!$A$4:$A$256,0),MATCH("New York Selected Option Value US$/month",'NY Curve'!$A$4:$T$4,0)))</f>
        <v>0</v>
      </c>
      <c r="AE244" s="601">
        <f t="shared" si="165"/>
        <v>0</v>
      </c>
      <c r="AF244" s="462"/>
      <c r="AG244" s="919"/>
      <c r="AH244" s="920"/>
      <c r="AI244" s="799">
        <f>Assumptions!$B$50</f>
        <v>65</v>
      </c>
      <c r="AJ244" s="921"/>
      <c r="AK244" s="924" t="e">
        <f>IF(Tables!$E$30="Custom",'Monthly Table'!AI244,IF(Tables!$E$30="New York",INDEX('NY Curve'!$A$4:$G$256,MATCH('Monthly Table'!B244,'NY Curve'!$A$4:$A$256,0),MATCH("Super Peak Curve",'NY Curve'!$A$4:$G$4,0)),IF(Tables!$E$30="New York Flat",INDEX('NY Curve'!$A$4:$G$256,MATCH('Monthly Table'!B244,'NY Curve'!$A$4:$A$256,0),MATCH("Flat NY West",'NY Curve'!$A$4:$G$4,0)),INDEX('Michigan Curve'!$A$4:$F$256,MATCH('Monthly Table'!B244,'Michigan Curve'!$A$4:$A$256,0),MATCH("Michigan Super Peak Curve US$/MWhr",'Michigan Curve'!$A$4:$F$4,0)))))</f>
        <v>#DIV/0!</v>
      </c>
      <c r="AL244" s="967">
        <f>IF(D244&lt;=Tables!$B$21,IF($AL$10=$AI$10,AI244,IF($AL$10=$AJ$10,AJ244,IF($AL$10=$AK$10,AK244,0))),0)</f>
        <v>0</v>
      </c>
      <c r="AM244" s="922">
        <f t="shared" si="166"/>
        <v>0</v>
      </c>
      <c r="AN244" s="923">
        <f t="shared" si="167"/>
        <v>0</v>
      </c>
      <c r="AO244" s="907"/>
      <c r="AP244" s="925"/>
      <c r="AQ244" s="926" t="e">
        <f>IF(Tables!$E$30="New York",INDEX('NY Curve'!$A$4:$L$256,MATCH('Monthly Table'!B244,'NY Curve'!$A$4:$A$256,0),MATCH("New York Shoulder Hour Curve Mon-Fri",'NY Curve'!$A$4:$L$4,0)),IF(Tables!$E$30="Michigan",INDEX('Michigan Curve'!$A$4:$K$256,MATCH('Monthly Table'!B244,'Michigan Curve'!$A$4:$A$256,0),MATCH("Michigan Shoulder Hour Curve Mon-Fri",'Michigan Curve'!$A$4:$K$4,0))))</f>
        <v>#DIV/0!</v>
      </c>
      <c r="AR244" s="922" t="e">
        <f t="shared" si="168"/>
        <v>#DIV/0!</v>
      </c>
      <c r="AS244" s="927" t="e">
        <f t="shared" si="157"/>
        <v>#DIV/0!</v>
      </c>
      <c r="AT244" s="850"/>
      <c r="AU244" s="926" t="e">
        <f>IF(Tables!$E$30="New York",INDEX('NY Curve'!$A$4:$L$256,MATCH('Monthly Table'!$B244,'NY Curve'!$A$4:$A$256,0),MATCH("New York Saturday Super Peak",'NY Curve'!$A$4:$L$4,0)),IF(Tables!$E$30="Michigan",INDEX('Michigan Curve'!$A$4:$K$256,MATCH('Monthly Table'!$B244,'Michigan Curve'!$A$4:$A$256,0),MATCH("Michigan Saturday Super Peak",'Michigan Curve'!$A$4:$K$4,0))))</f>
        <v>#DIV/0!</v>
      </c>
      <c r="AV244" s="935" t="e">
        <f t="shared" si="158"/>
        <v>#DIV/0!</v>
      </c>
      <c r="AW244" s="927">
        <f>IF(Tables!$B$21=15,0,IF(AV244&gt;($CP244+$BF$4),1,0))</f>
        <v>0</v>
      </c>
      <c r="AX244" s="926" t="e">
        <f>IF(Tables!$E$30="New York",INDEX('NY Curve'!$A$4:$L$256,MATCH('Monthly Table'!$B244,'NY Curve'!$A$4:$A$256,0),MATCH("New York Saturday Shoulder Peak",'NY Curve'!$A$4:$L$4,0)),IF(Tables!$E$30="Michigan",INDEX('Michigan Curve'!$A$4:$K$256,MATCH('Monthly Table'!$B244,'Michigan Curve'!$A$4:$A$256,0),MATCH("Michigan Saturday Shoulder Peak",'Michigan Curve'!$A$4:$K$4,0))))</f>
        <v>#DIV/0!</v>
      </c>
      <c r="AY244" s="936" t="e">
        <f t="shared" si="169"/>
        <v>#DIV/0!</v>
      </c>
      <c r="AZ244" s="927">
        <f>IF(Tables!$B$21=15,0,IF(AY244&gt;($CP244+$BF$4),1,0))</f>
        <v>0</v>
      </c>
      <c r="BA244" s="850"/>
      <c r="BB244" s="926" t="e">
        <f>IF(Tables!$E$30="New York",INDEX('NY Curve'!$A$4:$M$256,MATCH('Monthly Table'!$B244,'NY Curve'!$A$4:$A$256,0),MATCH("NY Sunday Super Peak",'NY Curve'!$A$4:$M$4,0)),IF(Tables!$E$30="Michigan",INDEX('Michigan Curve'!$A$4:$L$256,MATCH('Monthly Table'!$B244,'Michigan Curve'!$A$4:$A$256,0),MATCH("Michigan Sunday Super Peak",'Michigan Curve'!$A$4:$L$4,0))))</f>
        <v>#DIV/0!</v>
      </c>
      <c r="BC244" s="925" t="e">
        <f t="shared" si="170"/>
        <v>#DIV/0!</v>
      </c>
      <c r="BD244" s="928" t="e">
        <f t="shared" si="159"/>
        <v>#DIV/0!</v>
      </c>
      <c r="BE244" s="850"/>
      <c r="BF244" s="600">
        <f t="shared" si="152"/>
        <v>43983</v>
      </c>
      <c r="BG244" s="586">
        <f t="shared" si="171"/>
        <v>0</v>
      </c>
      <c r="BH244" s="852">
        <f>IF(Tables!$B$36="Combined Cycle",(BF244-BF243)*24*Assumptions!$B$21,0)</f>
        <v>0</v>
      </c>
      <c r="BI244" s="851">
        <f t="shared" si="172"/>
        <v>0</v>
      </c>
      <c r="BJ244" s="989">
        <f>IF('Monthly Table'!D244&lt;=Tables!$B$21,IF($BJ$10=$BG$10,BG244,IF($BJ$10=$BH$10,BH244,IF($BJ$10=$BI$10,BI244,0))),0)</f>
        <v>0</v>
      </c>
      <c r="BK244" s="43"/>
      <c r="BL244" s="987">
        <f t="shared" si="173"/>
        <v>0</v>
      </c>
      <c r="BM244" s="987" t="e">
        <f t="shared" si="174"/>
        <v>#DIV/0!</v>
      </c>
      <c r="BO244" s="989" t="e">
        <f t="shared" si="160"/>
        <v>#DIV/0!</v>
      </c>
      <c r="BP244" s="989">
        <f t="shared" si="175"/>
        <v>0</v>
      </c>
      <c r="BR244" s="995">
        <f>IF(BJ244&gt;0,INDEX(OperationalDetail,MATCH("Capacity Degradation",ODColumn,0),MATCH('Monthly Table'!C244,ODRow,0)),0)</f>
        <v>0</v>
      </c>
      <c r="BS244" s="994">
        <f>BJ244*(1-BR244)*Tables!$C$36</f>
        <v>0</v>
      </c>
      <c r="BT244" s="991">
        <f t="shared" si="161"/>
        <v>0</v>
      </c>
      <c r="BU244" s="603">
        <f t="shared" si="162"/>
        <v>0</v>
      </c>
      <c r="BV244" s="999"/>
      <c r="BW244" s="785" t="e">
        <f>$BO244*(1-$BR244)*Tables!$C$36</f>
        <v>#DIV/0!</v>
      </c>
      <c r="BX244" s="603" t="e">
        <f t="shared" si="176"/>
        <v>#DIV/0!</v>
      </c>
      <c r="BY244" s="991" t="e">
        <f t="shared" si="177"/>
        <v>#DIV/0!</v>
      </c>
      <c r="BZ244" s="1001"/>
      <c r="CA244" s="853">
        <f>$BL244*(1-$BR244)*Tables!$C$36</f>
        <v>0</v>
      </c>
      <c r="CB244" s="603" t="e">
        <f t="shared" si="178"/>
        <v>#DIV/0!</v>
      </c>
      <c r="CC244" s="991" t="e">
        <f t="shared" si="179"/>
        <v>#DIV/0!</v>
      </c>
      <c r="CD244" s="853">
        <f>$BP244*(1-$BR244)*Tables!$C$36</f>
        <v>0</v>
      </c>
      <c r="CE244" s="603" t="e">
        <f t="shared" si="180"/>
        <v>#DIV/0!</v>
      </c>
      <c r="CF244" s="991" t="e">
        <f t="shared" si="181"/>
        <v>#DIV/0!</v>
      </c>
      <c r="CG244" s="511"/>
      <c r="CH244" s="853" t="e">
        <f>$BM244*(1-$BR244)*Tables!$C$36</f>
        <v>#DIV/0!</v>
      </c>
      <c r="CI244" s="603" t="e">
        <f t="shared" si="182"/>
        <v>#DIV/0!</v>
      </c>
      <c r="CJ244" s="991" t="e">
        <f t="shared" si="183"/>
        <v>#DIV/0!</v>
      </c>
      <c r="CK244" s="511"/>
      <c r="CL244" s="304">
        <f t="shared" si="184"/>
        <v>2019</v>
      </c>
      <c r="CM244" s="1022">
        <f>INDEX(OperationalDetail,MATCH("Degraded Heat Rate",ODColumn,0),MATCH('Monthly Table'!CL244,ODRow,0))/1000</f>
        <v>11.96</v>
      </c>
      <c r="CN244" s="738">
        <f t="shared" si="163"/>
        <v>6.7195573116787211</v>
      </c>
      <c r="CO244" s="1023">
        <f>IF(A244="January",(CO243*(1+Assumptions!$E$32)),CO243)</f>
        <v>9.8125337539575561</v>
      </c>
      <c r="CP244" s="742">
        <f t="shared" si="153"/>
        <v>16.532091065636276</v>
      </c>
      <c r="CQ244" s="511"/>
      <c r="CR244" s="854" t="str">
        <f t="shared" si="185"/>
        <v/>
      </c>
      <c r="CS244" s="575" t="e">
        <f t="shared" si="186"/>
        <v>#DIV/0!</v>
      </c>
      <c r="CT244" s="575" t="str">
        <f t="shared" si="187"/>
        <v/>
      </c>
      <c r="CU244" s="575" t="str">
        <f t="shared" si="188"/>
        <v/>
      </c>
      <c r="CV244" s="575" t="e">
        <f t="shared" si="189"/>
        <v>#DIV/0!</v>
      </c>
      <c r="CW244" s="544">
        <f t="shared" si="154"/>
        <v>2020</v>
      </c>
      <c r="CX244" s="855">
        <f>INDEX('NY Curve'!$A$4:$G$256,MATCH('Monthly Table'!B244,'NY Curve'!$A$4:$A$256,0),MATCH("New York 5 X 16",'NY Curve'!$A$4:$G$4,0))</f>
        <v>0</v>
      </c>
      <c r="CY244" s="638">
        <f t="shared" si="155"/>
        <v>1.24318012821095</v>
      </c>
      <c r="CZ244" s="639">
        <f t="shared" si="156"/>
        <v>0</v>
      </c>
      <c r="DB244" s="857"/>
      <c r="DC244" s="857"/>
    </row>
    <row r="245" spans="1:107" ht="18.75" customHeight="1">
      <c r="D245" s="621"/>
      <c r="E245" s="970"/>
      <c r="F245" s="970"/>
      <c r="G245" s="970"/>
      <c r="H245" s="970"/>
      <c r="I245" s="970"/>
      <c r="J245" s="621"/>
      <c r="M245" s="856">
        <v>4.0925000000000002</v>
      </c>
      <c r="N245" s="856">
        <v>0.14499999999999999</v>
      </c>
      <c r="AI245" s="462"/>
      <c r="AJ245" s="846"/>
      <c r="BF245" s="847"/>
      <c r="BG245" s="43"/>
      <c r="BM245" s="1025"/>
      <c r="BO245" s="43"/>
      <c r="CO245" s="736"/>
      <c r="CP245" s="736"/>
    </row>
    <row r="246" spans="1:107" ht="18.75" customHeight="1">
      <c r="D246" s="621"/>
      <c r="E246" s="970"/>
      <c r="F246" s="970"/>
      <c r="G246" s="970"/>
      <c r="H246" s="970"/>
      <c r="I246" s="970"/>
      <c r="J246" s="621"/>
      <c r="M246" s="856">
        <v>4.0994999999999999</v>
      </c>
      <c r="N246" s="856">
        <v>0.14499999999999999</v>
      </c>
      <c r="AI246" s="462"/>
      <c r="AJ246" s="846"/>
      <c r="BG246" s="43"/>
      <c r="BM246" s="1025"/>
      <c r="BO246" s="43"/>
      <c r="CO246" s="736"/>
      <c r="CP246" s="736"/>
    </row>
    <row r="247" spans="1:107" ht="18.75" customHeight="1">
      <c r="D247" s="621"/>
      <c r="E247" s="970"/>
      <c r="F247" s="970"/>
      <c r="G247" s="970"/>
      <c r="H247" s="970"/>
      <c r="I247" s="970"/>
      <c r="J247" s="621"/>
      <c r="M247" s="856">
        <v>4.1065000000000005</v>
      </c>
      <c r="N247" s="856">
        <v>0.14499999999999999</v>
      </c>
      <c r="AI247" s="462"/>
      <c r="AJ247" s="846"/>
      <c r="BG247" s="43"/>
      <c r="BM247" s="1025"/>
      <c r="BO247" s="43"/>
      <c r="CO247" s="736"/>
      <c r="CP247" s="736"/>
    </row>
    <row r="248" spans="1:107" ht="18.75" customHeight="1">
      <c r="D248" s="621"/>
      <c r="E248" s="970"/>
      <c r="F248" s="970"/>
      <c r="G248" s="970"/>
      <c r="H248" s="970"/>
      <c r="I248" s="970"/>
      <c r="J248" s="621"/>
      <c r="M248" s="856">
        <v>4.1335000000000006</v>
      </c>
      <c r="N248" s="856">
        <v>0.14499999999999999</v>
      </c>
      <c r="AI248" s="462"/>
      <c r="AJ248" s="846"/>
      <c r="BM248" s="1025"/>
      <c r="BO248" s="43"/>
      <c r="CO248" s="736"/>
      <c r="CP248" s="736"/>
    </row>
    <row r="249" spans="1:107" ht="18.75" customHeight="1">
      <c r="D249" s="621"/>
      <c r="E249" s="970"/>
      <c r="F249" s="970"/>
      <c r="G249" s="970"/>
      <c r="H249" s="970"/>
      <c r="I249" s="970"/>
      <c r="J249" s="621"/>
      <c r="M249" s="856">
        <v>4.2694999999999999</v>
      </c>
      <c r="N249" s="856">
        <v>0.23</v>
      </c>
      <c r="AI249" s="462"/>
      <c r="AJ249" s="846"/>
      <c r="BM249" s="1025"/>
      <c r="BO249" s="43"/>
      <c r="CO249" s="736"/>
      <c r="CP249" s="736"/>
    </row>
    <row r="250" spans="1:107" ht="18.75" customHeight="1">
      <c r="D250" s="621"/>
      <c r="E250" s="970"/>
      <c r="F250" s="970"/>
      <c r="G250" s="970"/>
      <c r="H250" s="970"/>
      <c r="I250" s="970"/>
      <c r="J250" s="621"/>
      <c r="M250" s="856">
        <v>4.3955000000000002</v>
      </c>
      <c r="N250" s="856">
        <v>0.27</v>
      </c>
      <c r="AI250" s="462"/>
      <c r="AJ250" s="846"/>
      <c r="BM250" s="1025"/>
      <c r="BO250" s="43"/>
      <c r="CO250" s="736"/>
      <c r="CP250" s="736"/>
    </row>
    <row r="251" spans="1:107" ht="18.75" customHeight="1">
      <c r="D251" s="621"/>
      <c r="E251" s="970"/>
      <c r="F251" s="970"/>
      <c r="G251" s="970"/>
      <c r="H251" s="970"/>
      <c r="I251" s="970"/>
      <c r="J251" s="621"/>
      <c r="M251" s="856">
        <v>4.5260000000000007</v>
      </c>
      <c r="N251" s="856">
        <v>1.52</v>
      </c>
      <c r="AI251" s="462"/>
      <c r="AJ251" s="846"/>
      <c r="BM251" s="1025"/>
      <c r="BO251" s="43"/>
      <c r="CO251" s="736"/>
      <c r="CP251" s="736"/>
    </row>
    <row r="252" spans="1:107" ht="18.75" customHeight="1">
      <c r="D252" s="621"/>
      <c r="E252" s="970"/>
      <c r="F252" s="970"/>
      <c r="G252" s="970"/>
      <c r="H252" s="970"/>
      <c r="I252" s="970"/>
      <c r="J252" s="621"/>
      <c r="M252" s="856">
        <v>4.4130000000000003</v>
      </c>
      <c r="N252" s="856">
        <v>1.4</v>
      </c>
      <c r="AI252" s="462"/>
      <c r="AJ252" s="846"/>
      <c r="BM252" s="1025"/>
      <c r="BO252" s="43"/>
      <c r="CO252" s="736"/>
      <c r="CP252" s="736"/>
    </row>
    <row r="253" spans="1:107" ht="18.75" customHeight="1">
      <c r="D253" s="621"/>
      <c r="E253" s="970"/>
      <c r="F253" s="970"/>
      <c r="G253" s="970"/>
      <c r="H253" s="970"/>
      <c r="I253" s="970"/>
      <c r="J253" s="621"/>
      <c r="M253" s="856">
        <v>4.298</v>
      </c>
      <c r="N253" s="856">
        <v>0.88</v>
      </c>
      <c r="AI253" s="462"/>
      <c r="AJ253" s="846"/>
      <c r="BM253" s="1025"/>
      <c r="BO253" s="43"/>
      <c r="CO253" s="736"/>
      <c r="CP253" s="736"/>
    </row>
    <row r="254" spans="1:107" ht="18.75" customHeight="1">
      <c r="D254" s="621"/>
      <c r="E254" s="970"/>
      <c r="F254" s="970"/>
      <c r="G254" s="970"/>
      <c r="H254" s="970"/>
      <c r="I254" s="970"/>
      <c r="J254" s="621"/>
      <c r="M254" s="856">
        <v>4.2305000000000001</v>
      </c>
      <c r="N254" s="856">
        <v>0.37</v>
      </c>
      <c r="AI254" s="462"/>
      <c r="AJ254" s="846"/>
      <c r="BM254" s="1025"/>
      <c r="BO254" s="43"/>
      <c r="CO254" s="736"/>
      <c r="CP254" s="736"/>
    </row>
    <row r="255" spans="1:107" ht="18.75" customHeight="1">
      <c r="D255" s="621"/>
      <c r="E255" s="970"/>
      <c r="F255" s="970"/>
      <c r="G255" s="970"/>
      <c r="H255" s="970"/>
      <c r="I255" s="970"/>
      <c r="J255" s="621"/>
      <c r="M255" s="856">
        <v>4.2045000000000003</v>
      </c>
      <c r="N255" s="856">
        <v>0.2525</v>
      </c>
      <c r="AI255" s="462"/>
      <c r="AJ255" s="846"/>
      <c r="BM255" s="1025"/>
      <c r="BO255" s="43"/>
      <c r="CO255" s="736"/>
      <c r="CP255" s="736"/>
    </row>
    <row r="256" spans="1:107" ht="18.75" customHeight="1">
      <c r="D256" s="621"/>
      <c r="E256" s="970"/>
      <c r="F256" s="970"/>
      <c r="G256" s="970"/>
      <c r="H256" s="970"/>
      <c r="I256" s="970"/>
      <c r="J256" s="621"/>
      <c r="M256" s="856">
        <v>4.2135000000000007</v>
      </c>
      <c r="N256" s="856">
        <v>0.2525</v>
      </c>
      <c r="AI256" s="462"/>
      <c r="AJ256" s="846"/>
      <c r="BM256" s="1025"/>
      <c r="BO256" s="43"/>
      <c r="CO256" s="736"/>
      <c r="CP256" s="736"/>
    </row>
    <row r="257" spans="4:67" ht="18.75" customHeight="1">
      <c r="D257" s="621"/>
      <c r="E257" s="970"/>
      <c r="F257" s="970"/>
      <c r="G257" s="970"/>
      <c r="H257" s="970"/>
      <c r="I257" s="970"/>
      <c r="J257" s="621"/>
      <c r="M257" s="856">
        <v>4.2225000000000001</v>
      </c>
      <c r="N257" s="856">
        <v>0.25750000000000001</v>
      </c>
      <c r="AI257" s="462"/>
      <c r="AJ257" s="846"/>
      <c r="BM257" s="1025"/>
      <c r="BO257" s="43"/>
    </row>
    <row r="258" spans="4:67" ht="18.75" customHeight="1">
      <c r="D258" s="621"/>
      <c r="E258" s="970"/>
      <c r="F258" s="970"/>
      <c r="G258" s="970"/>
      <c r="H258" s="970"/>
      <c r="I258" s="970"/>
      <c r="J258" s="621"/>
      <c r="M258" s="856">
        <v>4.2294999999999998</v>
      </c>
      <c r="N258" s="856">
        <v>0.25750000000000001</v>
      </c>
      <c r="AI258" s="462"/>
      <c r="AJ258" s="846"/>
      <c r="BM258" s="1025"/>
      <c r="BO258" s="43"/>
    </row>
    <row r="259" spans="4:67" ht="18.75" customHeight="1">
      <c r="D259" s="621"/>
      <c r="E259" s="970"/>
      <c r="F259" s="970"/>
      <c r="G259" s="970"/>
      <c r="H259" s="970"/>
      <c r="I259" s="970"/>
      <c r="J259" s="621"/>
      <c r="M259" s="856">
        <v>4.2365000000000004</v>
      </c>
      <c r="N259" s="856">
        <v>0.2525</v>
      </c>
      <c r="AI259" s="462"/>
      <c r="AJ259" s="846"/>
      <c r="BM259" s="1025"/>
      <c r="BO259" s="43"/>
    </row>
    <row r="260" spans="4:67" ht="18.75" customHeight="1">
      <c r="D260" s="621"/>
      <c r="E260" s="970"/>
      <c r="F260" s="970"/>
      <c r="G260" s="970"/>
      <c r="H260" s="970"/>
      <c r="I260" s="970"/>
      <c r="J260" s="621"/>
      <c r="M260" s="856">
        <v>4.2635000000000005</v>
      </c>
      <c r="N260" s="856">
        <v>0.255</v>
      </c>
      <c r="AI260" s="462"/>
      <c r="AJ260" s="846"/>
      <c r="BM260" s="1025"/>
      <c r="BO260" s="43"/>
    </row>
    <row r="261" spans="4:67" ht="18.75" customHeight="1">
      <c r="D261" s="621"/>
      <c r="E261" s="970"/>
      <c r="F261" s="970"/>
      <c r="G261" s="970"/>
      <c r="H261" s="970"/>
      <c r="I261" s="970"/>
      <c r="J261" s="621"/>
      <c r="M261" s="856">
        <v>4.3994999999999997</v>
      </c>
      <c r="N261" s="856">
        <v>0.72499999999999998</v>
      </c>
      <c r="AI261" s="462"/>
      <c r="AJ261" s="846"/>
      <c r="BM261" s="1025"/>
      <c r="BO261" s="43"/>
    </row>
    <row r="262" spans="4:67" ht="18.75" customHeight="1">
      <c r="D262" s="621"/>
      <c r="E262" s="970"/>
      <c r="F262" s="970"/>
      <c r="G262" s="970"/>
      <c r="H262" s="970"/>
      <c r="I262" s="970"/>
      <c r="J262" s="621"/>
      <c r="M262" s="856">
        <v>4.5255000000000001</v>
      </c>
      <c r="N262" s="856">
        <v>1.0449999999999999</v>
      </c>
      <c r="AI262" s="462"/>
      <c r="AJ262" s="846"/>
      <c r="BM262" s="1025"/>
      <c r="BO262" s="43"/>
    </row>
    <row r="263" spans="4:67" ht="18.75" customHeight="1">
      <c r="D263" s="621"/>
      <c r="E263" s="970"/>
      <c r="F263" s="970"/>
      <c r="G263" s="970"/>
      <c r="H263" s="970"/>
      <c r="I263" s="970"/>
      <c r="J263" s="621"/>
      <c r="M263" s="856">
        <v>4.6610000000000005</v>
      </c>
      <c r="N263" s="856">
        <v>1.52</v>
      </c>
      <c r="AI263" s="462"/>
      <c r="BM263" s="1025"/>
      <c r="BO263" s="43"/>
    </row>
    <row r="264" spans="4:67" ht="18.75" customHeight="1">
      <c r="D264" s="621"/>
      <c r="E264" s="970"/>
      <c r="F264" s="970"/>
      <c r="G264" s="970"/>
      <c r="H264" s="970"/>
      <c r="I264" s="970"/>
      <c r="J264" s="621"/>
      <c r="M264" s="856">
        <v>4.548</v>
      </c>
      <c r="N264" s="856">
        <v>1.4</v>
      </c>
      <c r="AI264" s="462"/>
      <c r="BM264" s="1025"/>
      <c r="BO264" s="43"/>
    </row>
    <row r="265" spans="4:67" ht="18.75" customHeight="1">
      <c r="D265" s="621"/>
      <c r="E265" s="970"/>
      <c r="F265" s="970"/>
      <c r="G265" s="970"/>
      <c r="H265" s="970"/>
      <c r="I265" s="970"/>
      <c r="J265" s="621"/>
      <c r="M265" s="856">
        <v>4.4329999999999998</v>
      </c>
      <c r="N265" s="856">
        <v>0.88</v>
      </c>
      <c r="AI265" s="462"/>
      <c r="BM265" s="1025"/>
      <c r="BO265" s="43"/>
    </row>
    <row r="266" spans="4:67" ht="18.75" customHeight="1">
      <c r="D266" s="621"/>
      <c r="E266" s="970"/>
      <c r="F266" s="970"/>
      <c r="G266" s="970"/>
      <c r="H266" s="970"/>
      <c r="I266" s="970"/>
      <c r="J266" s="621"/>
      <c r="M266" s="856">
        <v>4.3654999999999999</v>
      </c>
      <c r="N266" s="856">
        <v>0.37</v>
      </c>
      <c r="AI266" s="462"/>
      <c r="BM266" s="1025"/>
      <c r="BO266" s="43"/>
    </row>
    <row r="267" spans="4:67" ht="18.75" customHeight="1">
      <c r="D267" s="621"/>
      <c r="E267" s="970"/>
      <c r="F267" s="970"/>
      <c r="G267" s="970"/>
      <c r="H267" s="970"/>
      <c r="I267" s="970"/>
      <c r="J267" s="621"/>
      <c r="M267" s="856">
        <v>4.3395000000000001</v>
      </c>
      <c r="N267" s="856">
        <v>0.2525</v>
      </c>
      <c r="AI267" s="462"/>
      <c r="BM267" s="1025"/>
      <c r="BO267" s="43"/>
    </row>
    <row r="268" spans="4:67" ht="18.75" customHeight="1">
      <c r="D268" s="621"/>
      <c r="E268" s="970"/>
      <c r="F268" s="970"/>
      <c r="G268" s="970"/>
      <c r="H268" s="970"/>
      <c r="I268" s="970"/>
      <c r="J268" s="621"/>
      <c r="M268" s="856">
        <v>4.3485000000000005</v>
      </c>
      <c r="N268" s="856">
        <v>0.2525</v>
      </c>
      <c r="AI268" s="462"/>
      <c r="BM268" s="1025"/>
      <c r="BO268" s="43"/>
    </row>
    <row r="269" spans="4:67" ht="18.75" customHeight="1">
      <c r="D269" s="621"/>
      <c r="E269" s="970"/>
      <c r="F269" s="970"/>
      <c r="G269" s="970"/>
      <c r="H269" s="970"/>
      <c r="I269" s="970"/>
      <c r="J269" s="621"/>
      <c r="M269" s="856">
        <v>4.3574999999999999</v>
      </c>
      <c r="N269" s="856">
        <v>0.25750000000000001</v>
      </c>
      <c r="AI269" s="462"/>
      <c r="BM269" s="1025"/>
      <c r="BO269" s="43"/>
    </row>
    <row r="270" spans="4:67" ht="18.75" customHeight="1">
      <c r="D270" s="621"/>
      <c r="E270" s="970"/>
      <c r="F270" s="970"/>
      <c r="G270" s="970"/>
      <c r="H270" s="970"/>
      <c r="I270" s="970"/>
      <c r="J270" s="621"/>
      <c r="M270" s="856">
        <v>4.3644999999999996</v>
      </c>
      <c r="N270" s="856">
        <v>0.25750000000000001</v>
      </c>
      <c r="AI270" s="462"/>
      <c r="BM270" s="1025"/>
      <c r="BO270" s="43"/>
    </row>
    <row r="271" spans="4:67" ht="18.75" customHeight="1">
      <c r="D271" s="621"/>
      <c r="E271" s="970"/>
      <c r="F271" s="970"/>
      <c r="G271" s="970"/>
      <c r="H271" s="970"/>
      <c r="I271" s="970"/>
      <c r="J271" s="621"/>
      <c r="M271" s="856">
        <v>4.3715000000000002</v>
      </c>
      <c r="N271" s="856">
        <v>0.2525</v>
      </c>
      <c r="AI271" s="462"/>
      <c r="BM271" s="1025"/>
      <c r="BO271" s="43"/>
    </row>
    <row r="272" spans="4:67" ht="18.75" customHeight="1">
      <c r="D272" s="621"/>
      <c r="E272" s="970"/>
      <c r="F272" s="970"/>
      <c r="G272" s="970"/>
      <c r="H272" s="970"/>
      <c r="I272" s="970"/>
      <c r="J272" s="621"/>
      <c r="M272" s="856">
        <v>4.3985000000000003</v>
      </c>
      <c r="N272" s="856">
        <v>0.255</v>
      </c>
      <c r="AI272" s="462"/>
      <c r="BM272" s="1025"/>
      <c r="BO272" s="43"/>
    </row>
    <row r="273" spans="4:67" ht="18.75" customHeight="1">
      <c r="D273" s="621"/>
      <c r="E273" s="970"/>
      <c r="F273" s="970"/>
      <c r="G273" s="970"/>
      <c r="H273" s="970"/>
      <c r="I273" s="970"/>
      <c r="J273" s="621"/>
      <c r="M273" s="856">
        <v>4.5345000000000004</v>
      </c>
      <c r="N273" s="856">
        <v>0.72499999999999998</v>
      </c>
      <c r="AI273" s="462"/>
      <c r="BM273" s="1025"/>
      <c r="BO273" s="43"/>
    </row>
    <row r="274" spans="4:67" ht="18.75" customHeight="1">
      <c r="D274" s="621"/>
      <c r="E274" s="970"/>
      <c r="F274" s="970"/>
      <c r="G274" s="970"/>
      <c r="H274" s="970"/>
      <c r="I274" s="970"/>
      <c r="J274" s="621"/>
      <c r="M274" s="856">
        <v>4.6604999999999999</v>
      </c>
      <c r="N274" s="856">
        <v>1.0449999999999999</v>
      </c>
      <c r="AI274" s="462"/>
      <c r="BM274" s="1025"/>
      <c r="BO274" s="43"/>
    </row>
    <row r="275" spans="4:67" ht="18.75" customHeight="1">
      <c r="D275" s="621"/>
      <c r="E275" s="970"/>
      <c r="F275" s="970"/>
      <c r="G275" s="970"/>
      <c r="H275" s="970"/>
      <c r="I275" s="970"/>
      <c r="J275" s="621"/>
      <c r="M275" s="856">
        <v>4.8010000000000002</v>
      </c>
      <c r="N275" s="856">
        <v>1.52</v>
      </c>
      <c r="AI275" s="462"/>
      <c r="BM275" s="1025"/>
      <c r="BO275" s="43"/>
    </row>
    <row r="276" spans="4:67" ht="18.75" customHeight="1">
      <c r="D276" s="621"/>
      <c r="E276" s="970"/>
      <c r="F276" s="970"/>
      <c r="G276" s="970"/>
      <c r="H276" s="970"/>
      <c r="I276" s="970"/>
      <c r="J276" s="621"/>
      <c r="M276" s="856">
        <v>4.6880000000000006</v>
      </c>
      <c r="N276" s="856">
        <v>1.4</v>
      </c>
      <c r="AI276" s="462"/>
      <c r="BM276" s="1025"/>
      <c r="BO276" s="43"/>
    </row>
    <row r="277" spans="4:67" ht="18.75" customHeight="1">
      <c r="D277" s="621"/>
      <c r="E277" s="970"/>
      <c r="F277" s="970"/>
      <c r="G277" s="970"/>
      <c r="H277" s="970"/>
      <c r="I277" s="970"/>
      <c r="J277" s="621"/>
      <c r="M277" s="856">
        <v>4.5730000000000004</v>
      </c>
      <c r="N277" s="856">
        <v>0.88</v>
      </c>
      <c r="AI277" s="462"/>
      <c r="BM277" s="1025"/>
      <c r="BO277" s="43"/>
    </row>
    <row r="278" spans="4:67" ht="18.75" customHeight="1">
      <c r="D278" s="621"/>
      <c r="E278" s="970"/>
      <c r="F278" s="970"/>
      <c r="G278" s="970"/>
      <c r="H278" s="970"/>
      <c r="I278" s="970"/>
      <c r="J278" s="621"/>
      <c r="M278" s="856">
        <v>4.5055000000000005</v>
      </c>
      <c r="N278" s="856">
        <v>0.37</v>
      </c>
      <c r="AI278" s="462"/>
      <c r="BM278" s="1025"/>
      <c r="BO278" s="43"/>
    </row>
    <row r="279" spans="4:67" ht="18.75" customHeight="1">
      <c r="D279" s="621"/>
      <c r="E279" s="970"/>
      <c r="F279" s="970"/>
      <c r="G279" s="970"/>
      <c r="H279" s="970"/>
      <c r="I279" s="970"/>
      <c r="J279" s="621"/>
      <c r="M279" s="856">
        <v>4.4794999999999998</v>
      </c>
      <c r="N279" s="856">
        <v>0.2525</v>
      </c>
      <c r="AI279" s="462"/>
      <c r="BM279" s="1025"/>
      <c r="BO279" s="43"/>
    </row>
    <row r="280" spans="4:67" ht="18.75" customHeight="1">
      <c r="D280" s="621"/>
      <c r="E280" s="970"/>
      <c r="F280" s="970"/>
      <c r="G280" s="970"/>
      <c r="H280" s="970"/>
      <c r="I280" s="970"/>
      <c r="J280" s="621"/>
      <c r="M280" s="856">
        <v>4.4885000000000002</v>
      </c>
      <c r="N280" s="856">
        <v>0.2525</v>
      </c>
      <c r="AI280" s="462"/>
      <c r="BM280" s="1025"/>
      <c r="BO280" s="43"/>
    </row>
    <row r="281" spans="4:67" ht="18.75" customHeight="1">
      <c r="D281" s="621"/>
      <c r="E281" s="970"/>
      <c r="F281" s="970"/>
      <c r="G281" s="970"/>
      <c r="H281" s="970"/>
      <c r="I281" s="970"/>
      <c r="J281" s="621"/>
      <c r="M281" s="856">
        <v>4.4974999999999996</v>
      </c>
      <c r="N281" s="856">
        <v>0.25750000000000001</v>
      </c>
      <c r="AI281" s="462"/>
      <c r="BM281" s="1025"/>
      <c r="BO281" s="43"/>
    </row>
    <row r="282" spans="4:67" ht="18.75" customHeight="1">
      <c r="D282" s="621"/>
      <c r="E282" s="970"/>
      <c r="F282" s="970"/>
      <c r="G282" s="970"/>
      <c r="H282" s="970"/>
      <c r="I282" s="970"/>
      <c r="J282" s="621"/>
      <c r="M282" s="856">
        <v>4.5045000000000002</v>
      </c>
      <c r="N282" s="856">
        <v>0.25750000000000001</v>
      </c>
      <c r="AI282" s="462"/>
      <c r="BM282" s="1025"/>
      <c r="BO282" s="43"/>
    </row>
    <row r="283" spans="4:67" ht="18.75" customHeight="1">
      <c r="D283" s="621"/>
      <c r="E283" s="970"/>
      <c r="F283" s="970"/>
      <c r="G283" s="970"/>
      <c r="H283" s="970"/>
      <c r="I283" s="970"/>
      <c r="J283" s="621"/>
      <c r="M283" s="856">
        <v>4.5115000000000007</v>
      </c>
      <c r="N283" s="856">
        <v>0.2525</v>
      </c>
      <c r="AI283" s="462"/>
      <c r="BM283" s="1025"/>
      <c r="BO283" s="43"/>
    </row>
    <row r="284" spans="4:67" ht="18.75" customHeight="1">
      <c r="D284" s="621"/>
      <c r="E284" s="970"/>
      <c r="F284" s="970"/>
      <c r="G284" s="970"/>
      <c r="H284" s="970"/>
      <c r="I284" s="970"/>
      <c r="J284" s="621"/>
      <c r="M284" s="856">
        <v>4.5385</v>
      </c>
      <c r="N284" s="856">
        <v>0.255</v>
      </c>
      <c r="AI284" s="462"/>
      <c r="BM284" s="1025"/>
      <c r="BO284" s="43"/>
    </row>
    <row r="285" spans="4:67" ht="18.75" customHeight="1">
      <c r="D285" s="621"/>
      <c r="E285" s="970"/>
      <c r="F285" s="970"/>
      <c r="G285" s="970"/>
      <c r="H285" s="970"/>
      <c r="I285" s="970"/>
      <c r="J285" s="621"/>
      <c r="M285" s="856">
        <v>4.6745000000000001</v>
      </c>
      <c r="N285" s="856">
        <v>0.72499999999999998</v>
      </c>
      <c r="AI285" s="462"/>
      <c r="BM285" s="1025"/>
      <c r="BO285" s="43"/>
    </row>
    <row r="286" spans="4:67" ht="18.75" customHeight="1">
      <c r="D286" s="621"/>
      <c r="E286" s="970"/>
      <c r="F286" s="970"/>
      <c r="G286" s="970"/>
      <c r="H286" s="970"/>
      <c r="I286" s="970"/>
      <c r="J286" s="621"/>
      <c r="M286" s="856">
        <v>4.8005000000000004</v>
      </c>
      <c r="N286" s="856">
        <v>1.0449999999999999</v>
      </c>
      <c r="AI286" s="462"/>
      <c r="BM286" s="1025"/>
      <c r="BO286" s="43"/>
    </row>
    <row r="287" spans="4:67" ht="18.75" customHeight="1">
      <c r="D287" s="621"/>
      <c r="E287" s="970"/>
      <c r="F287" s="970"/>
      <c r="G287" s="970"/>
      <c r="H287" s="970"/>
      <c r="I287" s="970"/>
      <c r="J287" s="621"/>
      <c r="M287" s="856">
        <v>4.9460000000000006</v>
      </c>
      <c r="N287" s="856">
        <v>1.52</v>
      </c>
      <c r="AI287" s="462"/>
      <c r="BM287" s="1025"/>
      <c r="BO287" s="43"/>
    </row>
    <row r="288" spans="4:67" ht="18.75" customHeight="1">
      <c r="D288" s="621"/>
      <c r="E288" s="970"/>
      <c r="F288" s="970"/>
      <c r="G288" s="970"/>
      <c r="H288" s="970"/>
      <c r="I288" s="970"/>
      <c r="J288" s="621"/>
      <c r="M288" s="856">
        <v>4.8330000000000002</v>
      </c>
      <c r="N288" s="856">
        <v>1.4</v>
      </c>
      <c r="AI288" s="462"/>
      <c r="BM288" s="1025"/>
      <c r="BO288" s="43"/>
    </row>
    <row r="289" spans="4:67" ht="18.75" customHeight="1">
      <c r="D289" s="621"/>
      <c r="E289" s="970"/>
      <c r="F289" s="970"/>
      <c r="G289" s="970"/>
      <c r="H289" s="970"/>
      <c r="I289" s="970"/>
      <c r="J289" s="621"/>
      <c r="M289" s="856">
        <v>4.718</v>
      </c>
      <c r="N289" s="856">
        <v>0.88</v>
      </c>
      <c r="AI289" s="462"/>
      <c r="BM289" s="1025"/>
      <c r="BO289" s="43"/>
    </row>
    <row r="290" spans="4:67" ht="18.75" customHeight="1">
      <c r="D290" s="621"/>
      <c r="E290" s="970"/>
      <c r="F290" s="970"/>
      <c r="G290" s="970"/>
      <c r="H290" s="970"/>
      <c r="I290" s="970"/>
      <c r="J290" s="621"/>
      <c r="M290" s="856">
        <v>4.6505000000000001</v>
      </c>
      <c r="N290" s="856">
        <v>0.37</v>
      </c>
      <c r="AI290" s="462"/>
      <c r="BM290" s="1025"/>
      <c r="BO290" s="43"/>
    </row>
    <row r="291" spans="4:67" ht="18.75" customHeight="1">
      <c r="D291" s="621"/>
      <c r="E291" s="970"/>
      <c r="F291" s="970"/>
      <c r="G291" s="970"/>
      <c r="H291" s="970"/>
      <c r="I291" s="970"/>
      <c r="J291" s="621"/>
      <c r="M291" s="856">
        <v>4.6245000000000003</v>
      </c>
      <c r="N291" s="856">
        <v>0.2525</v>
      </c>
      <c r="AI291" s="462"/>
      <c r="BM291" s="1025"/>
      <c r="BO291" s="43"/>
    </row>
    <row r="292" spans="4:67" ht="18.75" customHeight="1">
      <c r="D292" s="621"/>
      <c r="E292" s="970"/>
      <c r="F292" s="970"/>
      <c r="G292" s="970"/>
      <c r="H292" s="970"/>
      <c r="I292" s="970"/>
      <c r="J292" s="621"/>
      <c r="M292" s="856">
        <v>4.5594999999999999</v>
      </c>
      <c r="N292" s="856">
        <v>0.2525</v>
      </c>
      <c r="AI292" s="462"/>
      <c r="BM292" s="1025"/>
      <c r="BO292" s="43"/>
    </row>
    <row r="293" spans="4:67" ht="18.75" customHeight="1">
      <c r="D293" s="621"/>
      <c r="E293" s="970"/>
      <c r="F293" s="970"/>
      <c r="G293" s="970"/>
      <c r="H293" s="970"/>
      <c r="I293" s="970"/>
      <c r="J293" s="621"/>
      <c r="M293" s="856">
        <v>4.5970000000000004</v>
      </c>
      <c r="N293" s="856">
        <v>0.25750000000000001</v>
      </c>
      <c r="AI293" s="462"/>
      <c r="BM293" s="1025"/>
      <c r="BO293" s="43"/>
    </row>
    <row r="294" spans="4:67" ht="18.75" customHeight="1">
      <c r="D294" s="621"/>
      <c r="E294" s="970"/>
      <c r="F294" s="970"/>
      <c r="G294" s="970"/>
      <c r="H294" s="970"/>
      <c r="I294" s="970"/>
      <c r="J294" s="621"/>
      <c r="M294" s="856">
        <v>5.4210000000000003</v>
      </c>
      <c r="N294" s="856">
        <v>0.25750000000000001</v>
      </c>
      <c r="AI294" s="462"/>
      <c r="BM294" s="1025"/>
      <c r="BO294" s="43"/>
    </row>
    <row r="295" spans="4:67" ht="18.75" customHeight="1">
      <c r="D295" s="621"/>
      <c r="E295" s="970"/>
      <c r="F295" s="970"/>
      <c r="G295" s="970"/>
      <c r="H295" s="970"/>
      <c r="I295" s="970"/>
      <c r="J295" s="621"/>
      <c r="M295" s="856">
        <v>5.4210000000000003</v>
      </c>
      <c r="N295" s="856">
        <v>0.2525</v>
      </c>
      <c r="AI295" s="462"/>
      <c r="BM295" s="1025"/>
      <c r="BO295" s="43"/>
    </row>
    <row r="296" spans="4:67" ht="18.75" customHeight="1">
      <c r="D296" s="621"/>
      <c r="E296" s="970"/>
      <c r="F296" s="970"/>
      <c r="G296" s="970"/>
      <c r="H296" s="970"/>
      <c r="I296" s="970"/>
      <c r="J296" s="621"/>
      <c r="N296" s="856">
        <v>0.255</v>
      </c>
      <c r="AI296" s="462"/>
      <c r="BM296" s="1025"/>
      <c r="BO296" s="43"/>
    </row>
    <row r="297" spans="4:67" ht="18.75" customHeight="1">
      <c r="D297" s="621"/>
      <c r="E297" s="970"/>
      <c r="F297" s="970"/>
      <c r="G297" s="970"/>
      <c r="H297" s="970"/>
      <c r="I297" s="970"/>
      <c r="J297" s="621"/>
      <c r="N297" s="856">
        <v>0.72499999999999998</v>
      </c>
      <c r="AI297" s="462"/>
      <c r="BM297" s="1025"/>
      <c r="BO297" s="43"/>
    </row>
    <row r="298" spans="4:67" ht="18.75" customHeight="1">
      <c r="D298" s="621"/>
      <c r="E298" s="970"/>
      <c r="F298" s="970"/>
      <c r="G298" s="970"/>
      <c r="H298" s="970"/>
      <c r="I298" s="970"/>
      <c r="J298" s="621"/>
      <c r="N298" s="856">
        <v>1.0449999999999999</v>
      </c>
      <c r="AI298" s="462"/>
      <c r="BM298" s="1025"/>
      <c r="BO298" s="43"/>
    </row>
    <row r="299" spans="4:67" ht="18.75" customHeight="1">
      <c r="D299" s="621"/>
      <c r="E299" s="970"/>
      <c r="F299" s="970"/>
      <c r="G299" s="970"/>
      <c r="H299" s="970"/>
      <c r="I299" s="970"/>
      <c r="J299" s="621"/>
      <c r="N299" s="856">
        <v>1.52</v>
      </c>
      <c r="AI299" s="462"/>
      <c r="BM299" s="1025"/>
      <c r="BO299" s="43"/>
    </row>
    <row r="300" spans="4:67" ht="18.75" customHeight="1">
      <c r="D300" s="621"/>
      <c r="E300" s="970"/>
      <c r="F300" s="970"/>
      <c r="G300" s="970"/>
      <c r="H300" s="970"/>
      <c r="I300" s="970"/>
      <c r="J300" s="621"/>
      <c r="N300" s="856">
        <v>1.4</v>
      </c>
      <c r="AI300" s="462"/>
      <c r="BM300" s="1025"/>
      <c r="BO300" s="43"/>
    </row>
    <row r="301" spans="4:67" ht="18.75" customHeight="1">
      <c r="D301" s="621"/>
      <c r="E301" s="970"/>
      <c r="F301" s="970"/>
      <c r="G301" s="970"/>
      <c r="H301" s="970"/>
      <c r="I301" s="970"/>
      <c r="J301" s="621"/>
      <c r="N301" s="856">
        <v>0.88</v>
      </c>
      <c r="AI301" s="462"/>
      <c r="BM301" s="1025"/>
      <c r="BO301" s="43"/>
    </row>
    <row r="302" spans="4:67" ht="18.75" customHeight="1">
      <c r="D302" s="621"/>
      <c r="E302" s="970"/>
      <c r="F302" s="970"/>
      <c r="G302" s="970"/>
      <c r="H302" s="970"/>
      <c r="I302" s="970"/>
      <c r="J302" s="621"/>
      <c r="N302" s="856">
        <v>0.37</v>
      </c>
      <c r="AI302" s="462"/>
      <c r="BM302" s="1025"/>
      <c r="BO302" s="43"/>
    </row>
    <row r="303" spans="4:67" ht="18.75" customHeight="1">
      <c r="D303" s="621"/>
      <c r="E303" s="970"/>
      <c r="F303" s="970"/>
      <c r="G303" s="970"/>
      <c r="H303" s="970"/>
      <c r="I303" s="970"/>
      <c r="J303" s="621"/>
      <c r="N303" s="856">
        <v>0.2525</v>
      </c>
      <c r="AI303" s="462"/>
      <c r="BM303" s="1025"/>
      <c r="BO303" s="43"/>
    </row>
    <row r="304" spans="4:67" ht="18.75" customHeight="1">
      <c r="D304" s="621"/>
      <c r="E304" s="970"/>
      <c r="F304" s="970"/>
      <c r="G304" s="970"/>
      <c r="H304" s="970"/>
      <c r="I304" s="970"/>
      <c r="J304" s="621"/>
      <c r="N304" s="856">
        <v>0.2525</v>
      </c>
      <c r="AI304" s="462"/>
      <c r="BM304" s="1025"/>
      <c r="BO304" s="43"/>
    </row>
    <row r="305" spans="4:67" ht="18.75" customHeight="1">
      <c r="D305" s="621"/>
      <c r="E305" s="970"/>
      <c r="F305" s="970"/>
      <c r="G305" s="970"/>
      <c r="H305" s="970"/>
      <c r="I305" s="970"/>
      <c r="J305" s="621"/>
      <c r="N305" s="856">
        <v>0.25750000000000001</v>
      </c>
      <c r="AI305" s="462"/>
      <c r="BM305" s="1025"/>
      <c r="BO305" s="43"/>
    </row>
    <row r="306" spans="4:67" ht="18.75" customHeight="1">
      <c r="D306" s="621"/>
      <c r="E306" s="970"/>
      <c r="F306" s="970"/>
      <c r="G306" s="970"/>
      <c r="H306" s="970"/>
      <c r="I306" s="970"/>
      <c r="J306" s="621"/>
      <c r="N306" s="856">
        <v>0.25750000000000001</v>
      </c>
      <c r="BM306" s="1025"/>
      <c r="BO306" s="43"/>
    </row>
    <row r="307" spans="4:67" ht="18.75" customHeight="1">
      <c r="D307" s="621"/>
      <c r="E307" s="970"/>
      <c r="F307" s="970"/>
      <c r="G307" s="970"/>
      <c r="H307" s="970"/>
      <c r="I307" s="970"/>
      <c r="J307" s="621"/>
      <c r="N307" s="856">
        <v>0.2525</v>
      </c>
      <c r="BM307" s="1025"/>
      <c r="BO307" s="43"/>
    </row>
    <row r="308" spans="4:67" ht="18.75" customHeight="1">
      <c r="D308" s="621"/>
      <c r="E308" s="970"/>
      <c r="F308" s="970"/>
      <c r="G308" s="970"/>
      <c r="H308" s="970"/>
      <c r="I308" s="970"/>
      <c r="J308" s="621"/>
      <c r="N308" s="856">
        <v>0.255</v>
      </c>
      <c r="BM308" s="1025"/>
      <c r="BO308" s="43"/>
    </row>
    <row r="309" spans="4:67" ht="18.75" customHeight="1">
      <c r="D309" s="621"/>
      <c r="E309" s="970"/>
      <c r="F309" s="970"/>
      <c r="G309" s="970"/>
      <c r="H309" s="970"/>
      <c r="I309" s="970"/>
      <c r="J309" s="621"/>
      <c r="N309" s="856">
        <v>0.72499999999999998</v>
      </c>
      <c r="BM309" s="1025"/>
      <c r="BO309" s="43"/>
    </row>
    <row r="310" spans="4:67" ht="18.75" customHeight="1">
      <c r="D310" s="621"/>
      <c r="E310" s="970"/>
      <c r="F310" s="970"/>
      <c r="G310" s="970"/>
      <c r="H310" s="970"/>
      <c r="I310" s="970"/>
      <c r="J310" s="621"/>
      <c r="N310" s="856">
        <v>1.0449999999999999</v>
      </c>
      <c r="BM310" s="1025"/>
      <c r="BO310" s="43"/>
    </row>
    <row r="311" spans="4:67" ht="18.75" customHeight="1">
      <c r="D311" s="621"/>
      <c r="E311" s="970"/>
      <c r="F311" s="970"/>
      <c r="G311" s="970"/>
      <c r="H311" s="970"/>
      <c r="I311" s="970"/>
      <c r="J311" s="621"/>
      <c r="N311" s="856">
        <v>1.52</v>
      </c>
      <c r="BM311" s="1025"/>
      <c r="BO311" s="43"/>
    </row>
    <row r="312" spans="4:67" ht="18.75" customHeight="1">
      <c r="D312" s="621"/>
      <c r="E312" s="970"/>
      <c r="F312" s="970"/>
      <c r="G312" s="970"/>
      <c r="H312" s="970"/>
      <c r="I312" s="970"/>
      <c r="J312" s="621"/>
      <c r="N312" s="856">
        <v>1.4</v>
      </c>
      <c r="BM312" s="1025"/>
      <c r="BO312" s="43"/>
    </row>
    <row r="313" spans="4:67" ht="18.75" customHeight="1">
      <c r="D313" s="621"/>
      <c r="E313" s="970"/>
      <c r="F313" s="970"/>
      <c r="G313" s="970"/>
      <c r="H313" s="970"/>
      <c r="I313" s="970"/>
      <c r="J313" s="621"/>
      <c r="N313" s="856">
        <v>0.88</v>
      </c>
      <c r="BM313" s="1025"/>
      <c r="BO313" s="43"/>
    </row>
    <row r="314" spans="4:67" ht="18.75" customHeight="1">
      <c r="D314" s="621"/>
      <c r="E314" s="970"/>
      <c r="F314" s="970"/>
      <c r="G314" s="970"/>
      <c r="H314" s="970"/>
      <c r="I314" s="970"/>
      <c r="J314" s="621"/>
      <c r="N314" s="856">
        <v>0.37</v>
      </c>
      <c r="BM314" s="1025"/>
      <c r="BO314" s="43"/>
    </row>
    <row r="315" spans="4:67" ht="18.75" customHeight="1">
      <c r="D315" s="621"/>
      <c r="E315" s="970"/>
      <c r="F315" s="970"/>
      <c r="G315" s="970"/>
      <c r="H315" s="970"/>
      <c r="I315" s="970"/>
      <c r="J315" s="621"/>
      <c r="N315" s="856">
        <v>0.2525</v>
      </c>
      <c r="BM315" s="1025"/>
      <c r="BO315" s="43"/>
    </row>
    <row r="316" spans="4:67" ht="18.75" customHeight="1">
      <c r="D316" s="621"/>
      <c r="E316" s="970"/>
      <c r="F316" s="970"/>
      <c r="G316" s="970"/>
      <c r="H316" s="970"/>
      <c r="I316" s="970"/>
      <c r="J316" s="621"/>
      <c r="N316" s="856">
        <v>0.2525</v>
      </c>
      <c r="BM316" s="1025"/>
      <c r="BO316" s="43"/>
    </row>
    <row r="317" spans="4:67" ht="18.75" customHeight="1">
      <c r="D317" s="621"/>
      <c r="E317" s="970"/>
      <c r="F317" s="970"/>
      <c r="G317" s="970"/>
      <c r="H317" s="970"/>
      <c r="I317" s="970"/>
      <c r="J317" s="621"/>
      <c r="N317" s="856">
        <v>0.25750000000000001</v>
      </c>
      <c r="BM317" s="1025"/>
      <c r="BO317" s="43"/>
    </row>
    <row r="318" spans="4:67" ht="18.75" customHeight="1">
      <c r="D318" s="621"/>
      <c r="E318" s="970"/>
      <c r="F318" s="970"/>
      <c r="G318" s="970"/>
      <c r="H318" s="970"/>
      <c r="I318" s="970"/>
      <c r="J318" s="621"/>
      <c r="N318" s="856">
        <v>0.25750000000000001</v>
      </c>
      <c r="BM318" s="1025"/>
      <c r="BO318" s="43"/>
    </row>
    <row r="319" spans="4:67" ht="18.75" customHeight="1">
      <c r="D319" s="621"/>
      <c r="E319" s="970"/>
      <c r="F319" s="970"/>
      <c r="G319" s="970"/>
      <c r="H319" s="970"/>
      <c r="I319" s="970"/>
      <c r="J319" s="621"/>
      <c r="N319" s="856">
        <v>0.2525</v>
      </c>
      <c r="BM319" s="1025"/>
      <c r="BO319" s="43"/>
    </row>
    <row r="320" spans="4:67" ht="18.75" customHeight="1">
      <c r="D320" s="621"/>
      <c r="E320" s="970"/>
      <c r="F320" s="970"/>
      <c r="G320" s="970"/>
      <c r="H320" s="970"/>
      <c r="I320" s="970"/>
      <c r="J320" s="621"/>
      <c r="N320" s="856">
        <v>0.255</v>
      </c>
      <c r="BM320" s="1025"/>
      <c r="BO320" s="43"/>
    </row>
    <row r="321" spans="4:67" ht="18.75" customHeight="1">
      <c r="D321" s="621"/>
      <c r="E321" s="970"/>
      <c r="F321" s="970"/>
      <c r="G321" s="970"/>
      <c r="H321" s="970"/>
      <c r="I321" s="970"/>
      <c r="J321" s="621"/>
      <c r="N321" s="856">
        <v>0.72499999999999998</v>
      </c>
      <c r="BM321" s="1025"/>
      <c r="BO321" s="43"/>
    </row>
    <row r="322" spans="4:67" ht="18.75" customHeight="1">
      <c r="D322" s="621"/>
      <c r="E322" s="970"/>
      <c r="F322" s="970"/>
      <c r="G322" s="970"/>
      <c r="H322" s="970"/>
      <c r="I322" s="970"/>
      <c r="J322" s="621"/>
      <c r="N322" s="856">
        <v>1.0449999999999999</v>
      </c>
      <c r="BM322" s="1025"/>
      <c r="BO322" s="43"/>
    </row>
    <row r="323" spans="4:67" ht="18.75" customHeight="1">
      <c r="D323" s="621"/>
      <c r="E323" s="970"/>
      <c r="F323" s="970"/>
      <c r="G323" s="970"/>
      <c r="H323" s="970"/>
      <c r="I323" s="970"/>
      <c r="J323" s="621"/>
      <c r="N323" s="856">
        <v>1.52</v>
      </c>
      <c r="BM323" s="1025"/>
      <c r="BO323" s="43"/>
    </row>
    <row r="324" spans="4:67" ht="18.75" customHeight="1">
      <c r="D324" s="621"/>
      <c r="E324" s="970"/>
      <c r="F324" s="970"/>
      <c r="G324" s="970"/>
      <c r="H324" s="970"/>
      <c r="I324" s="970"/>
      <c r="J324" s="621"/>
      <c r="N324" s="856">
        <v>1.4</v>
      </c>
      <c r="BM324" s="1025"/>
      <c r="BO324" s="43"/>
    </row>
    <row r="325" spans="4:67" ht="18.75" customHeight="1">
      <c r="D325" s="621"/>
      <c r="E325" s="970"/>
      <c r="F325" s="970"/>
      <c r="G325" s="970"/>
      <c r="H325" s="970"/>
      <c r="I325" s="970"/>
      <c r="J325" s="621"/>
      <c r="N325" s="856">
        <v>0.88</v>
      </c>
      <c r="BM325" s="1025"/>
      <c r="BO325" s="43"/>
    </row>
    <row r="326" spans="4:67" ht="18.75" customHeight="1">
      <c r="D326" s="621"/>
      <c r="E326" s="970"/>
      <c r="F326" s="970"/>
      <c r="G326" s="970"/>
      <c r="H326" s="970"/>
      <c r="I326" s="970"/>
      <c r="J326" s="621"/>
      <c r="N326" s="856">
        <v>0.37</v>
      </c>
      <c r="BM326" s="1025"/>
      <c r="BO326" s="43"/>
    </row>
    <row r="327" spans="4:67" ht="18.75" customHeight="1">
      <c r="D327" s="621"/>
      <c r="E327" s="970"/>
      <c r="F327" s="970"/>
      <c r="G327" s="970"/>
      <c r="H327" s="970"/>
      <c r="I327" s="970"/>
      <c r="J327" s="621"/>
      <c r="N327" s="856">
        <v>0.2525</v>
      </c>
      <c r="BM327" s="1025"/>
      <c r="BO327" s="43"/>
    </row>
    <row r="328" spans="4:67" ht="18.75" customHeight="1">
      <c r="D328" s="621"/>
      <c r="E328" s="970"/>
      <c r="F328" s="970"/>
      <c r="G328" s="970"/>
      <c r="H328" s="970"/>
      <c r="I328" s="970"/>
      <c r="J328" s="621"/>
      <c r="N328" s="856">
        <v>0.2525</v>
      </c>
      <c r="BM328" s="1025"/>
      <c r="BO328" s="43"/>
    </row>
    <row r="329" spans="4:67" ht="18.75" customHeight="1">
      <c r="D329" s="621"/>
      <c r="E329" s="970"/>
      <c r="F329" s="970"/>
      <c r="G329" s="970"/>
      <c r="H329" s="970"/>
      <c r="I329" s="970"/>
      <c r="J329" s="621"/>
      <c r="N329" s="856">
        <v>0.25750000000000001</v>
      </c>
      <c r="BM329" s="1025"/>
      <c r="BO329" s="43"/>
    </row>
    <row r="330" spans="4:67" ht="18.75" customHeight="1">
      <c r="D330" s="621"/>
      <c r="E330" s="970"/>
      <c r="F330" s="970"/>
      <c r="G330" s="970"/>
      <c r="H330" s="970"/>
      <c r="I330" s="970"/>
      <c r="J330" s="621"/>
      <c r="N330" s="856">
        <v>0.25750000000000001</v>
      </c>
      <c r="BM330" s="1025"/>
      <c r="BO330" s="43"/>
    </row>
    <row r="331" spans="4:67" ht="18.75" customHeight="1">
      <c r="D331" s="621"/>
      <c r="E331" s="970"/>
      <c r="F331" s="970"/>
      <c r="G331" s="970"/>
      <c r="H331" s="970"/>
      <c r="I331" s="970"/>
      <c r="J331" s="621"/>
      <c r="N331" s="856">
        <v>0.2525</v>
      </c>
      <c r="BM331" s="1025"/>
      <c r="BO331" s="43"/>
    </row>
    <row r="332" spans="4:67" ht="18.75" customHeight="1">
      <c r="D332" s="621"/>
      <c r="E332" s="970"/>
      <c r="F332" s="970"/>
      <c r="G332" s="970"/>
      <c r="H332" s="970"/>
      <c r="I332" s="970"/>
      <c r="J332" s="621"/>
      <c r="N332" s="856">
        <v>0.255</v>
      </c>
      <c r="BM332" s="1025"/>
      <c r="BO332" s="43"/>
    </row>
    <row r="333" spans="4:67" ht="18.75" customHeight="1">
      <c r="D333" s="621"/>
      <c r="E333" s="970"/>
      <c r="F333" s="970"/>
      <c r="G333" s="970"/>
      <c r="H333" s="970"/>
      <c r="I333" s="970"/>
      <c r="J333" s="621"/>
      <c r="N333" s="856">
        <v>0.72499999999999998</v>
      </c>
      <c r="BM333" s="1025"/>
      <c r="BO333" s="43"/>
    </row>
    <row r="334" spans="4:67" ht="18.75" customHeight="1">
      <c r="D334" s="621"/>
      <c r="E334" s="970"/>
      <c r="F334" s="970"/>
      <c r="G334" s="970"/>
      <c r="H334" s="970"/>
      <c r="I334" s="970"/>
      <c r="J334" s="621"/>
      <c r="N334" s="856">
        <v>1.0449999999999999</v>
      </c>
      <c r="BM334" s="1025"/>
      <c r="BO334" s="43"/>
    </row>
    <row r="335" spans="4:67" ht="18.75" customHeight="1">
      <c r="D335" s="621"/>
      <c r="E335" s="970"/>
      <c r="F335" s="970"/>
      <c r="G335" s="970"/>
      <c r="H335" s="970"/>
      <c r="I335" s="970"/>
      <c r="J335" s="621"/>
      <c r="N335" s="856">
        <v>1.52</v>
      </c>
      <c r="BM335" s="1025"/>
      <c r="BO335" s="43"/>
    </row>
    <row r="336" spans="4:67" ht="18.75" customHeight="1">
      <c r="D336" s="621"/>
      <c r="E336" s="970"/>
      <c r="F336" s="970"/>
      <c r="G336" s="970"/>
      <c r="H336" s="970"/>
      <c r="I336" s="970"/>
      <c r="J336" s="621"/>
      <c r="N336" s="856">
        <v>1.4</v>
      </c>
      <c r="BM336" s="1025"/>
      <c r="BO336" s="43"/>
    </row>
    <row r="337" spans="4:67" ht="18.75" customHeight="1">
      <c r="D337" s="621"/>
      <c r="E337" s="970"/>
      <c r="F337" s="970"/>
      <c r="G337" s="970"/>
      <c r="H337" s="970"/>
      <c r="I337" s="970"/>
      <c r="J337" s="621"/>
      <c r="N337" s="856">
        <v>0.88</v>
      </c>
      <c r="BM337" s="1025"/>
      <c r="BO337" s="43"/>
    </row>
    <row r="338" spans="4:67" ht="18.75" customHeight="1">
      <c r="D338" s="621"/>
      <c r="E338" s="970"/>
      <c r="F338" s="970"/>
      <c r="G338" s="970"/>
      <c r="H338" s="970"/>
      <c r="I338" s="970"/>
      <c r="J338" s="621"/>
      <c r="N338" s="856">
        <v>0.37</v>
      </c>
      <c r="BM338" s="1025"/>
      <c r="BO338" s="43"/>
    </row>
    <row r="339" spans="4:67" ht="18.75" customHeight="1">
      <c r="D339" s="621"/>
      <c r="E339" s="970"/>
      <c r="F339" s="970"/>
      <c r="G339" s="970"/>
      <c r="H339" s="970"/>
      <c r="I339" s="970"/>
      <c r="J339" s="621"/>
      <c r="N339" s="856">
        <v>0.2525</v>
      </c>
      <c r="BM339" s="1025"/>
      <c r="BO339" s="43"/>
    </row>
    <row r="340" spans="4:67" ht="18.75" customHeight="1">
      <c r="D340" s="621"/>
      <c r="E340" s="970"/>
      <c r="F340" s="970"/>
      <c r="G340" s="970"/>
      <c r="H340" s="970"/>
      <c r="I340" s="970"/>
      <c r="J340" s="621"/>
      <c r="N340" s="856">
        <v>0.2525</v>
      </c>
      <c r="BM340" s="1025"/>
      <c r="BO340" s="43"/>
    </row>
    <row r="341" spans="4:67" ht="18.75" customHeight="1">
      <c r="D341" s="621"/>
      <c r="E341" s="970"/>
      <c r="F341" s="970"/>
      <c r="G341" s="970"/>
      <c r="H341" s="970"/>
      <c r="I341" s="970"/>
      <c r="J341" s="621"/>
      <c r="N341" s="856">
        <v>0.25750000000000001</v>
      </c>
      <c r="BM341" s="1025"/>
      <c r="BO341" s="43"/>
    </row>
    <row r="342" spans="4:67" ht="18.75" customHeight="1">
      <c r="D342" s="621"/>
      <c r="E342" s="970"/>
      <c r="F342" s="970"/>
      <c r="G342" s="970"/>
      <c r="H342" s="970"/>
      <c r="I342" s="970"/>
      <c r="J342" s="621"/>
      <c r="N342" s="856">
        <v>0.25750000000000001</v>
      </c>
      <c r="BM342" s="1025"/>
      <c r="BO342" s="43"/>
    </row>
    <row r="343" spans="4:67" ht="18.75" customHeight="1">
      <c r="D343" s="621"/>
      <c r="E343" s="970"/>
      <c r="F343" s="970"/>
      <c r="G343" s="970"/>
      <c r="H343" s="970"/>
      <c r="I343" s="970"/>
      <c r="J343" s="621"/>
      <c r="N343" s="856">
        <v>0.2525</v>
      </c>
      <c r="BM343" s="1025"/>
      <c r="BO343" s="43"/>
    </row>
    <row r="344" spans="4:67" ht="18.75" customHeight="1">
      <c r="D344" s="621"/>
      <c r="E344" s="970"/>
      <c r="F344" s="970"/>
      <c r="G344" s="970"/>
      <c r="H344" s="970"/>
      <c r="I344" s="970"/>
      <c r="J344" s="621"/>
      <c r="N344" s="856">
        <v>0.255</v>
      </c>
      <c r="BM344" s="1025"/>
      <c r="BO344" s="43"/>
    </row>
    <row r="345" spans="4:67" ht="18.75" customHeight="1">
      <c r="D345" s="621"/>
      <c r="E345" s="970"/>
      <c r="F345" s="970"/>
      <c r="G345" s="970"/>
      <c r="H345" s="970"/>
      <c r="I345" s="970"/>
      <c r="J345" s="621"/>
      <c r="N345" s="856">
        <v>0.72499999999999998</v>
      </c>
      <c r="BM345" s="1025"/>
      <c r="BO345" s="43"/>
    </row>
    <row r="346" spans="4:67" ht="18.75" customHeight="1">
      <c r="D346" s="621"/>
      <c r="E346" s="970"/>
      <c r="F346" s="970"/>
      <c r="G346" s="970"/>
      <c r="H346" s="970"/>
      <c r="I346" s="970"/>
      <c r="J346" s="621"/>
      <c r="N346" s="856">
        <v>1.0449999999999999</v>
      </c>
      <c r="BM346" s="1025"/>
      <c r="BO346" s="43"/>
    </row>
    <row r="347" spans="4:67" ht="18.75" customHeight="1">
      <c r="D347" s="621"/>
      <c r="E347" s="970"/>
      <c r="F347" s="970"/>
      <c r="G347" s="970"/>
      <c r="H347" s="970"/>
      <c r="I347" s="970"/>
      <c r="J347" s="621"/>
      <c r="N347" s="856">
        <v>1.52</v>
      </c>
      <c r="BM347" s="1025"/>
      <c r="BO347" s="43"/>
    </row>
    <row r="348" spans="4:67" ht="18.75" customHeight="1">
      <c r="D348" s="621"/>
      <c r="E348" s="970"/>
      <c r="F348" s="970"/>
      <c r="G348" s="970"/>
      <c r="H348" s="970"/>
      <c r="I348" s="970"/>
      <c r="J348" s="621"/>
      <c r="N348" s="856">
        <v>1.4</v>
      </c>
      <c r="BM348" s="1025"/>
      <c r="BO348" s="43"/>
    </row>
    <row r="349" spans="4:67" ht="18.75" customHeight="1">
      <c r="D349" s="621"/>
      <c r="E349" s="970"/>
      <c r="F349" s="970"/>
      <c r="G349" s="970"/>
      <c r="H349" s="970"/>
      <c r="I349" s="970"/>
      <c r="J349" s="621"/>
      <c r="N349" s="856">
        <v>0.88</v>
      </c>
      <c r="BM349" s="1025"/>
      <c r="BO349" s="43"/>
    </row>
    <row r="350" spans="4:67" ht="18.75" customHeight="1">
      <c r="D350" s="621"/>
      <c r="E350" s="970"/>
      <c r="F350" s="970"/>
      <c r="G350" s="970"/>
      <c r="H350" s="970"/>
      <c r="I350" s="970"/>
      <c r="J350" s="621"/>
      <c r="N350" s="856">
        <v>0.37</v>
      </c>
      <c r="BM350" s="1025"/>
      <c r="BO350" s="43"/>
    </row>
    <row r="351" spans="4:67" ht="18.75" customHeight="1">
      <c r="D351" s="621"/>
      <c r="E351" s="970"/>
      <c r="F351" s="970"/>
      <c r="G351" s="970"/>
      <c r="H351" s="970"/>
      <c r="I351" s="970"/>
      <c r="J351" s="621"/>
      <c r="N351" s="856">
        <v>0.2525</v>
      </c>
      <c r="BM351" s="1025"/>
      <c r="BO351" s="43"/>
    </row>
    <row r="352" spans="4:67" ht="18.75" customHeight="1">
      <c r="D352" s="621"/>
      <c r="E352" s="970"/>
      <c r="F352" s="970"/>
      <c r="G352" s="970"/>
      <c r="H352" s="970"/>
      <c r="I352" s="970"/>
      <c r="J352" s="621"/>
      <c r="N352" s="856">
        <v>0.2525</v>
      </c>
      <c r="BM352" s="1025"/>
      <c r="BO352" s="43"/>
    </row>
    <row r="353" spans="4:67" ht="18.75" customHeight="1">
      <c r="D353" s="621"/>
      <c r="E353" s="970"/>
      <c r="F353" s="970"/>
      <c r="G353" s="970"/>
      <c r="H353" s="970"/>
      <c r="I353" s="970"/>
      <c r="J353" s="621"/>
      <c r="N353" s="856">
        <v>0.25750000000000001</v>
      </c>
      <c r="BM353" s="1025"/>
      <c r="BO353" s="43"/>
    </row>
    <row r="354" spans="4:67" ht="18.75" customHeight="1">
      <c r="D354" s="621"/>
      <c r="E354" s="970"/>
      <c r="F354" s="970"/>
      <c r="G354" s="970"/>
      <c r="H354" s="970"/>
      <c r="I354" s="970"/>
      <c r="J354" s="621"/>
      <c r="N354" s="856">
        <v>0.25750000000000001</v>
      </c>
      <c r="BM354" s="1025"/>
      <c r="BO354" s="43"/>
    </row>
    <row r="355" spans="4:67" ht="18.75" customHeight="1">
      <c r="D355" s="621"/>
      <c r="E355" s="970"/>
      <c r="F355" s="970"/>
      <c r="G355" s="970"/>
      <c r="H355" s="970"/>
      <c r="I355" s="970"/>
      <c r="J355" s="621"/>
      <c r="N355" s="856">
        <v>0.2525</v>
      </c>
      <c r="BM355" s="1025"/>
      <c r="BO355" s="43"/>
    </row>
    <row r="356" spans="4:67" ht="18.75" customHeight="1">
      <c r="D356" s="621"/>
      <c r="E356" s="970"/>
      <c r="F356" s="970"/>
      <c r="G356" s="970"/>
      <c r="H356" s="970"/>
      <c r="I356" s="970"/>
      <c r="J356" s="621"/>
      <c r="N356" s="856">
        <v>0.255</v>
      </c>
      <c r="BM356" s="1025"/>
      <c r="BO356" s="43"/>
    </row>
    <row r="357" spans="4:67" ht="18.75" customHeight="1">
      <c r="D357" s="621"/>
      <c r="E357" s="970"/>
      <c r="F357" s="970"/>
      <c r="G357" s="970"/>
      <c r="H357" s="970"/>
      <c r="I357" s="970"/>
      <c r="J357" s="621"/>
      <c r="N357" s="856">
        <v>0.72499999999999998</v>
      </c>
      <c r="BM357" s="1025"/>
      <c r="BO357" s="43"/>
    </row>
    <row r="358" spans="4:67" ht="18.75" customHeight="1">
      <c r="D358" s="621"/>
      <c r="E358" s="970"/>
      <c r="F358" s="970"/>
      <c r="G358" s="970"/>
      <c r="H358" s="970"/>
      <c r="I358" s="970"/>
      <c r="J358" s="621"/>
      <c r="N358" s="856">
        <v>1.0449999999999999</v>
      </c>
      <c r="BM358" s="1025"/>
      <c r="BO358" s="43"/>
    </row>
    <row r="359" spans="4:67" ht="18.75" customHeight="1">
      <c r="D359" s="621"/>
      <c r="E359" s="970"/>
      <c r="F359" s="970"/>
      <c r="G359" s="970"/>
      <c r="H359" s="970"/>
      <c r="I359" s="970"/>
      <c r="J359" s="621"/>
      <c r="BM359" s="1025"/>
      <c r="BO359" s="43"/>
    </row>
    <row r="360" spans="4:67" ht="18.75" customHeight="1">
      <c r="D360" s="621"/>
      <c r="E360" s="970"/>
      <c r="F360" s="970"/>
      <c r="G360" s="970"/>
      <c r="H360" s="970"/>
      <c r="I360" s="970"/>
      <c r="J360" s="621"/>
      <c r="BM360" s="1025"/>
      <c r="BO360" s="43"/>
    </row>
    <row r="361" spans="4:67" ht="18.75" customHeight="1">
      <c r="D361" s="621"/>
      <c r="E361" s="970"/>
      <c r="F361" s="970"/>
      <c r="G361" s="970"/>
      <c r="H361" s="970"/>
      <c r="I361" s="970"/>
      <c r="J361" s="621"/>
      <c r="BM361" s="1025"/>
      <c r="BO361" s="43"/>
    </row>
    <row r="362" spans="4:67" ht="18.75" customHeight="1">
      <c r="D362" s="621"/>
      <c r="E362" s="970"/>
      <c r="F362" s="970"/>
      <c r="G362" s="970"/>
      <c r="H362" s="970"/>
      <c r="I362" s="970"/>
      <c r="J362" s="621"/>
      <c r="BM362" s="1025"/>
      <c r="BO362" s="43"/>
    </row>
    <row r="363" spans="4:67" ht="18.75" customHeight="1">
      <c r="D363" s="621"/>
      <c r="E363" s="970"/>
      <c r="F363" s="970"/>
      <c r="G363" s="970"/>
      <c r="H363" s="970"/>
      <c r="I363" s="970"/>
      <c r="J363" s="621"/>
      <c r="BM363" s="1025"/>
      <c r="BO363" s="43"/>
    </row>
    <row r="364" spans="4:67" ht="18.75" customHeight="1">
      <c r="D364" s="621"/>
      <c r="E364" s="970"/>
      <c r="F364" s="970"/>
      <c r="G364" s="970"/>
      <c r="H364" s="970"/>
      <c r="I364" s="970"/>
      <c r="J364" s="621"/>
      <c r="BM364" s="1025"/>
      <c r="BO364" s="43"/>
    </row>
    <row r="365" spans="4:67" ht="18.75" customHeight="1">
      <c r="D365" s="621"/>
      <c r="E365" s="970"/>
      <c r="F365" s="970"/>
      <c r="G365" s="970"/>
      <c r="H365" s="970"/>
      <c r="I365" s="970"/>
      <c r="J365" s="621"/>
      <c r="BM365" s="1025"/>
      <c r="BO365" s="43"/>
    </row>
    <row r="366" spans="4:67" ht="18.75" customHeight="1">
      <c r="D366" s="621"/>
      <c r="E366" s="970"/>
      <c r="F366" s="970"/>
      <c r="G366" s="970"/>
      <c r="H366" s="970"/>
      <c r="I366" s="970"/>
      <c r="J366" s="621"/>
      <c r="BM366" s="1025"/>
      <c r="BO366" s="43"/>
    </row>
    <row r="367" spans="4:67" ht="18.75" customHeight="1">
      <c r="D367" s="621"/>
      <c r="E367" s="970"/>
      <c r="F367" s="970"/>
      <c r="G367" s="970"/>
      <c r="H367" s="970"/>
      <c r="I367" s="970"/>
      <c r="J367" s="621"/>
      <c r="BM367" s="1025"/>
      <c r="BO367" s="43"/>
    </row>
    <row r="368" spans="4:67" ht="18.75" customHeight="1">
      <c r="D368" s="621"/>
      <c r="E368" s="970"/>
      <c r="F368" s="970"/>
      <c r="G368" s="970"/>
      <c r="H368" s="970"/>
      <c r="I368" s="970"/>
      <c r="J368" s="621"/>
      <c r="BM368" s="1025"/>
      <c r="BO368" s="43"/>
    </row>
    <row r="369" spans="4:67" ht="18.75" customHeight="1">
      <c r="D369" s="621"/>
      <c r="E369" s="970"/>
      <c r="F369" s="970"/>
      <c r="G369" s="970"/>
      <c r="H369" s="970"/>
      <c r="I369" s="970"/>
      <c r="J369" s="621"/>
      <c r="BM369" s="1025"/>
      <c r="BO369" s="43"/>
    </row>
    <row r="370" spans="4:67" ht="18.75" customHeight="1">
      <c r="D370" s="621"/>
      <c r="E370" s="970"/>
      <c r="F370" s="970"/>
      <c r="G370" s="970"/>
      <c r="H370" s="970"/>
      <c r="I370" s="970"/>
      <c r="J370" s="621"/>
      <c r="BM370" s="1025"/>
      <c r="BO370" s="43"/>
    </row>
    <row r="371" spans="4:67" ht="18.75" customHeight="1">
      <c r="D371" s="621"/>
      <c r="E371" s="970"/>
      <c r="F371" s="970"/>
      <c r="G371" s="970"/>
      <c r="H371" s="970"/>
      <c r="I371" s="970"/>
      <c r="J371" s="621"/>
      <c r="BM371" s="1025"/>
      <c r="BO371" s="43"/>
    </row>
    <row r="372" spans="4:67" ht="18.75" customHeight="1">
      <c r="D372" s="621"/>
      <c r="E372" s="970"/>
      <c r="F372" s="970"/>
      <c r="G372" s="970"/>
      <c r="H372" s="970"/>
      <c r="I372" s="970"/>
      <c r="J372" s="621"/>
      <c r="BM372" s="1025"/>
      <c r="BO372" s="43"/>
    </row>
    <row r="373" spans="4:67" ht="18.75" customHeight="1">
      <c r="D373" s="621"/>
      <c r="E373" s="970"/>
      <c r="F373" s="970"/>
      <c r="G373" s="970"/>
      <c r="H373" s="970"/>
      <c r="I373" s="970"/>
      <c r="J373" s="621"/>
      <c r="BM373" s="1025"/>
      <c r="BO373" s="43"/>
    </row>
    <row r="374" spans="4:67" ht="18.75" customHeight="1">
      <c r="D374" s="621"/>
      <c r="E374" s="970"/>
      <c r="F374" s="970"/>
      <c r="G374" s="970"/>
      <c r="H374" s="970"/>
      <c r="I374" s="970"/>
      <c r="J374" s="621"/>
      <c r="BM374" s="1025"/>
      <c r="BO374" s="43"/>
    </row>
    <row r="375" spans="4:67" ht="18.75" customHeight="1">
      <c r="D375" s="621"/>
      <c r="E375" s="970"/>
      <c r="F375" s="970"/>
      <c r="G375" s="970"/>
      <c r="H375" s="970"/>
      <c r="I375" s="970"/>
      <c r="J375" s="621"/>
      <c r="BM375" s="1025"/>
      <c r="BO375" s="43"/>
    </row>
    <row r="376" spans="4:67" ht="18.75" customHeight="1">
      <c r="D376" s="621"/>
      <c r="E376" s="970"/>
      <c r="F376" s="970"/>
      <c r="G376" s="970"/>
      <c r="H376" s="970"/>
      <c r="I376" s="970"/>
      <c r="J376" s="621"/>
      <c r="BM376" s="1025"/>
      <c r="BO376" s="43"/>
    </row>
    <row r="377" spans="4:67" ht="18.75" customHeight="1">
      <c r="D377" s="621"/>
      <c r="E377" s="970"/>
      <c r="F377" s="970"/>
      <c r="G377" s="970"/>
      <c r="H377" s="970"/>
      <c r="I377" s="970"/>
      <c r="J377" s="621"/>
      <c r="BM377" s="1025"/>
      <c r="BO377" s="43"/>
    </row>
    <row r="378" spans="4:67" ht="18.75" customHeight="1">
      <c r="D378" s="621"/>
      <c r="E378" s="970"/>
      <c r="F378" s="970"/>
      <c r="G378" s="970"/>
      <c r="H378" s="970"/>
      <c r="I378" s="970"/>
      <c r="J378" s="621"/>
      <c r="BM378" s="1025"/>
      <c r="BO378" s="43"/>
    </row>
    <row r="379" spans="4:67" ht="18.75" customHeight="1">
      <c r="D379" s="621"/>
      <c r="E379" s="970"/>
      <c r="F379" s="970"/>
      <c r="G379" s="970"/>
      <c r="H379" s="970"/>
      <c r="I379" s="970"/>
      <c r="J379" s="621"/>
      <c r="BM379" s="1025"/>
      <c r="BO379" s="43"/>
    </row>
    <row r="380" spans="4:67" ht="18.75" customHeight="1">
      <c r="D380" s="621"/>
      <c r="E380" s="970"/>
      <c r="F380" s="970"/>
      <c r="G380" s="970"/>
      <c r="H380" s="970"/>
      <c r="I380" s="970"/>
      <c r="J380" s="621"/>
      <c r="BM380" s="1025"/>
      <c r="BO380" s="43"/>
    </row>
    <row r="381" spans="4:67" ht="18.75" customHeight="1">
      <c r="D381" s="621"/>
      <c r="E381" s="970"/>
      <c r="F381" s="970"/>
      <c r="G381" s="970"/>
      <c r="H381" s="970"/>
      <c r="I381" s="970"/>
      <c r="J381" s="621"/>
      <c r="BM381" s="1025"/>
      <c r="BO381" s="43"/>
    </row>
    <row r="382" spans="4:67" ht="18.75" customHeight="1">
      <c r="D382" s="621"/>
      <c r="E382" s="970"/>
      <c r="F382" s="970"/>
      <c r="G382" s="970"/>
      <c r="H382" s="970"/>
      <c r="I382" s="970"/>
      <c r="J382" s="621"/>
      <c r="BM382" s="1025"/>
      <c r="BO382" s="43"/>
    </row>
    <row r="383" spans="4:67" ht="18.75" customHeight="1">
      <c r="D383" s="621"/>
      <c r="E383" s="970"/>
      <c r="F383" s="970"/>
      <c r="G383" s="970"/>
      <c r="H383" s="970"/>
      <c r="I383" s="970"/>
      <c r="J383" s="621"/>
      <c r="BM383" s="1025"/>
      <c r="BO383" s="43"/>
    </row>
    <row r="384" spans="4:67" ht="18.75" customHeight="1">
      <c r="D384" s="621"/>
      <c r="E384" s="970"/>
      <c r="F384" s="970"/>
      <c r="G384" s="970"/>
      <c r="H384" s="970"/>
      <c r="I384" s="970"/>
      <c r="J384" s="621"/>
      <c r="BM384" s="1025"/>
      <c r="BO384" s="43"/>
    </row>
    <row r="385" spans="4:67" ht="18.75" customHeight="1">
      <c r="D385" s="621"/>
      <c r="E385" s="970"/>
      <c r="F385" s="970"/>
      <c r="G385" s="970"/>
      <c r="H385" s="970"/>
      <c r="I385" s="970"/>
      <c r="J385" s="621"/>
      <c r="BM385" s="1025"/>
      <c r="BO385" s="43"/>
    </row>
    <row r="386" spans="4:67" ht="18.75" customHeight="1">
      <c r="D386" s="621"/>
      <c r="E386" s="970"/>
      <c r="F386" s="970"/>
      <c r="G386" s="970"/>
      <c r="H386" s="970"/>
      <c r="I386" s="970"/>
      <c r="J386" s="621"/>
      <c r="BM386" s="1025"/>
      <c r="BO386" s="43"/>
    </row>
    <row r="387" spans="4:67" ht="18.75" customHeight="1">
      <c r="D387" s="621"/>
      <c r="E387" s="970"/>
      <c r="F387" s="970"/>
      <c r="G387" s="970"/>
      <c r="H387" s="970"/>
      <c r="I387" s="970"/>
      <c r="J387" s="621"/>
      <c r="BM387" s="1025"/>
      <c r="BO387" s="43"/>
    </row>
    <row r="388" spans="4:67" ht="18.75" customHeight="1">
      <c r="D388" s="621"/>
      <c r="E388" s="970"/>
      <c r="F388" s="970"/>
      <c r="G388" s="970"/>
      <c r="H388" s="970"/>
      <c r="I388" s="970"/>
      <c r="J388" s="621"/>
      <c r="BM388" s="1025"/>
      <c r="BO388" s="43"/>
    </row>
    <row r="389" spans="4:67" ht="18.75" customHeight="1">
      <c r="D389" s="621"/>
      <c r="E389" s="970"/>
      <c r="F389" s="970"/>
      <c r="G389" s="970"/>
      <c r="H389" s="970"/>
      <c r="I389" s="970"/>
      <c r="J389" s="621"/>
      <c r="BM389" s="1025"/>
      <c r="BO389" s="43"/>
    </row>
    <row r="390" spans="4:67" ht="18.75" customHeight="1">
      <c r="D390" s="621"/>
      <c r="E390" s="970"/>
      <c r="F390" s="970"/>
      <c r="G390" s="970"/>
      <c r="H390" s="970"/>
      <c r="I390" s="970"/>
      <c r="J390" s="621"/>
      <c r="BM390" s="1025"/>
      <c r="BO390" s="43"/>
    </row>
    <row r="391" spans="4:67" ht="18.75" customHeight="1">
      <c r="D391" s="621"/>
      <c r="E391" s="970"/>
      <c r="F391" s="970"/>
      <c r="G391" s="970"/>
      <c r="H391" s="970"/>
      <c r="I391" s="970"/>
      <c r="J391" s="621"/>
      <c r="BM391" s="1025"/>
      <c r="BO391" s="43"/>
    </row>
    <row r="392" spans="4:67" ht="18.75" customHeight="1">
      <c r="D392" s="621"/>
      <c r="E392" s="970"/>
      <c r="F392" s="970"/>
      <c r="G392" s="970"/>
      <c r="H392" s="970"/>
      <c r="I392" s="970"/>
      <c r="J392" s="621"/>
      <c r="BM392" s="1025"/>
      <c r="BO392" s="43"/>
    </row>
    <row r="393" spans="4:67" ht="18.75" customHeight="1">
      <c r="D393" s="621"/>
      <c r="E393" s="970"/>
      <c r="F393" s="970"/>
      <c r="G393" s="970"/>
      <c r="H393" s="970"/>
      <c r="I393" s="970"/>
      <c r="J393" s="621"/>
      <c r="BM393" s="1025"/>
      <c r="BO393" s="43"/>
    </row>
    <row r="394" spans="4:67" ht="18.75" customHeight="1">
      <c r="D394" s="621"/>
      <c r="E394" s="970"/>
      <c r="F394" s="970"/>
      <c r="G394" s="970"/>
      <c r="H394" s="970"/>
      <c r="I394" s="970"/>
      <c r="J394" s="621"/>
      <c r="BM394" s="1025"/>
      <c r="BO394" s="43"/>
    </row>
    <row r="395" spans="4:67" ht="18.75" customHeight="1">
      <c r="D395" s="621"/>
      <c r="E395" s="970"/>
      <c r="F395" s="970"/>
      <c r="G395" s="970"/>
      <c r="H395" s="970"/>
      <c r="I395" s="970"/>
      <c r="J395" s="621"/>
      <c r="BM395" s="1025"/>
      <c r="BO395" s="43"/>
    </row>
    <row r="396" spans="4:67" ht="18.75" customHeight="1">
      <c r="D396" s="621"/>
      <c r="E396" s="970"/>
      <c r="F396" s="970"/>
      <c r="G396" s="970"/>
      <c r="H396" s="970"/>
      <c r="I396" s="970"/>
      <c r="J396" s="621"/>
      <c r="BM396" s="1025"/>
      <c r="BO396" s="43"/>
    </row>
    <row r="397" spans="4:67" ht="18.75" customHeight="1">
      <c r="D397" s="621"/>
      <c r="E397" s="970"/>
      <c r="F397" s="970"/>
      <c r="G397" s="970"/>
      <c r="H397" s="970"/>
      <c r="I397" s="970"/>
      <c r="J397" s="621"/>
      <c r="BM397" s="1025"/>
      <c r="BO397" s="43"/>
    </row>
    <row r="398" spans="4:67" ht="18.75" customHeight="1">
      <c r="D398" s="621"/>
      <c r="E398" s="970"/>
      <c r="F398" s="970"/>
      <c r="G398" s="970"/>
      <c r="H398" s="970"/>
      <c r="I398" s="970"/>
      <c r="J398" s="621"/>
      <c r="BM398" s="1025"/>
      <c r="BO398" s="43"/>
    </row>
    <row r="399" spans="4:67" ht="18.75" customHeight="1">
      <c r="D399" s="621"/>
      <c r="E399" s="970"/>
      <c r="F399" s="970"/>
      <c r="G399" s="970"/>
      <c r="H399" s="970"/>
      <c r="I399" s="970"/>
      <c r="J399" s="621"/>
      <c r="BM399" s="1025"/>
      <c r="BO399" s="43"/>
    </row>
    <row r="400" spans="4:67" ht="18.75" customHeight="1">
      <c r="D400" s="621"/>
      <c r="E400" s="970"/>
      <c r="F400" s="970"/>
      <c r="G400" s="970"/>
      <c r="H400" s="970"/>
      <c r="I400" s="970"/>
      <c r="J400" s="621"/>
      <c r="BM400" s="1025"/>
      <c r="BO400" s="43"/>
    </row>
    <row r="401" spans="4:67" ht="18.75" customHeight="1">
      <c r="D401" s="621"/>
      <c r="E401" s="970"/>
      <c r="F401" s="970"/>
      <c r="G401" s="970"/>
      <c r="H401" s="970"/>
      <c r="I401" s="970"/>
      <c r="J401" s="621"/>
      <c r="BM401" s="1025"/>
      <c r="BO401" s="43"/>
    </row>
    <row r="402" spans="4:67" ht="18.75" customHeight="1">
      <c r="D402" s="621"/>
      <c r="E402" s="970"/>
      <c r="F402" s="970"/>
      <c r="G402" s="970"/>
      <c r="H402" s="970"/>
      <c r="I402" s="970"/>
      <c r="J402" s="621"/>
      <c r="BM402" s="1025"/>
      <c r="BO402" s="43"/>
    </row>
    <row r="403" spans="4:67" ht="18.75" customHeight="1">
      <c r="D403" s="621"/>
      <c r="E403" s="970"/>
      <c r="F403" s="970"/>
      <c r="G403" s="970"/>
      <c r="H403" s="970"/>
      <c r="I403" s="970"/>
      <c r="J403" s="621"/>
      <c r="BM403" s="1025"/>
      <c r="BO403" s="43"/>
    </row>
    <row r="404" spans="4:67" ht="18.75" customHeight="1">
      <c r="D404" s="621"/>
      <c r="E404" s="970"/>
      <c r="F404" s="970"/>
      <c r="G404" s="970"/>
      <c r="H404" s="970"/>
      <c r="I404" s="970"/>
      <c r="J404" s="621"/>
      <c r="BM404" s="1025"/>
      <c r="BO404" s="43"/>
    </row>
    <row r="405" spans="4:67" ht="18.75" customHeight="1">
      <c r="D405" s="621"/>
      <c r="E405" s="970"/>
      <c r="F405" s="970"/>
      <c r="G405" s="970"/>
      <c r="H405" s="970"/>
      <c r="I405" s="970"/>
      <c r="J405" s="621"/>
      <c r="BM405" s="1025"/>
      <c r="BO405" s="43"/>
    </row>
    <row r="406" spans="4:67" ht="18.75" customHeight="1">
      <c r="D406" s="621"/>
      <c r="E406" s="970"/>
      <c r="F406" s="970"/>
      <c r="G406" s="970"/>
      <c r="H406" s="970"/>
      <c r="I406" s="970"/>
      <c r="J406" s="621"/>
      <c r="BM406" s="1025"/>
      <c r="BO406" s="43"/>
    </row>
    <row r="407" spans="4:67" ht="18.75" customHeight="1">
      <c r="D407" s="621"/>
      <c r="E407" s="970"/>
      <c r="F407" s="970"/>
      <c r="G407" s="970"/>
      <c r="H407" s="970"/>
      <c r="I407" s="970"/>
      <c r="J407" s="621"/>
      <c r="BM407" s="1025"/>
      <c r="BO407" s="43"/>
    </row>
    <row r="408" spans="4:67" ht="18.75" customHeight="1">
      <c r="D408" s="621"/>
      <c r="E408" s="970"/>
      <c r="F408" s="970"/>
      <c r="G408" s="970"/>
      <c r="H408" s="970"/>
      <c r="I408" s="970"/>
      <c r="J408" s="621"/>
      <c r="BM408" s="1025"/>
      <c r="BO408" s="43"/>
    </row>
    <row r="409" spans="4:67" ht="18.75" customHeight="1">
      <c r="D409" s="621"/>
      <c r="E409" s="970"/>
      <c r="F409" s="970"/>
      <c r="G409" s="970"/>
      <c r="H409" s="970"/>
      <c r="I409" s="970"/>
      <c r="J409" s="621"/>
      <c r="BM409" s="1025"/>
      <c r="BO409" s="43"/>
    </row>
    <row r="410" spans="4:67" ht="18.75" customHeight="1">
      <c r="D410" s="621"/>
      <c r="E410" s="970"/>
      <c r="F410" s="970"/>
      <c r="G410" s="970"/>
      <c r="H410" s="970"/>
      <c r="I410" s="970"/>
      <c r="J410" s="621"/>
      <c r="BM410" s="1025"/>
      <c r="BO410" s="43"/>
    </row>
    <row r="411" spans="4:67" ht="18.75" customHeight="1">
      <c r="D411" s="621"/>
      <c r="E411" s="970"/>
      <c r="F411" s="970"/>
      <c r="G411" s="970"/>
      <c r="H411" s="970"/>
      <c r="I411" s="970"/>
      <c r="J411" s="621"/>
      <c r="BM411" s="1025"/>
      <c r="BO411" s="43"/>
    </row>
    <row r="412" spans="4:67" ht="18.75" customHeight="1">
      <c r="D412" s="621"/>
      <c r="E412" s="970"/>
      <c r="F412" s="970"/>
      <c r="G412" s="970"/>
      <c r="H412" s="970"/>
      <c r="I412" s="970"/>
      <c r="J412" s="621"/>
      <c r="BM412" s="1025"/>
      <c r="BO412" s="43"/>
    </row>
    <row r="413" spans="4:67" ht="18.75" customHeight="1">
      <c r="D413" s="621"/>
      <c r="E413" s="970"/>
      <c r="F413" s="970"/>
      <c r="G413" s="970"/>
      <c r="H413" s="970"/>
      <c r="I413" s="970"/>
      <c r="J413" s="621"/>
      <c r="BM413" s="1025"/>
      <c r="BO413" s="43"/>
    </row>
    <row r="414" spans="4:67" ht="18.75" customHeight="1">
      <c r="D414" s="621"/>
      <c r="E414" s="970"/>
      <c r="F414" s="970"/>
      <c r="G414" s="970"/>
      <c r="H414" s="970"/>
      <c r="I414" s="970"/>
      <c r="J414" s="621"/>
      <c r="BM414" s="1025"/>
      <c r="BO414" s="43"/>
    </row>
    <row r="415" spans="4:67" ht="18.75" customHeight="1">
      <c r="D415" s="621"/>
      <c r="E415" s="970"/>
      <c r="F415" s="970"/>
      <c r="G415" s="970"/>
      <c r="H415" s="970"/>
      <c r="I415" s="970"/>
      <c r="J415" s="621"/>
      <c r="BM415" s="1025"/>
      <c r="BO415" s="43"/>
    </row>
    <row r="416" spans="4:67" ht="18.75" customHeight="1">
      <c r="D416" s="621"/>
      <c r="E416" s="970"/>
      <c r="F416" s="970"/>
      <c r="G416" s="970"/>
      <c r="H416" s="970"/>
      <c r="I416" s="970"/>
      <c r="J416" s="621"/>
      <c r="BM416" s="1025"/>
      <c r="BO416" s="43"/>
    </row>
    <row r="417" spans="4:67" ht="18.75" customHeight="1">
      <c r="D417" s="621"/>
      <c r="E417" s="970"/>
      <c r="F417" s="970"/>
      <c r="G417" s="970"/>
      <c r="H417" s="970"/>
      <c r="I417" s="970"/>
      <c r="J417" s="621"/>
      <c r="BM417" s="1025"/>
      <c r="BO417" s="43"/>
    </row>
    <row r="418" spans="4:67" ht="18.75" customHeight="1">
      <c r="D418" s="621"/>
      <c r="E418" s="970"/>
      <c r="F418" s="970"/>
      <c r="G418" s="970"/>
      <c r="H418" s="970"/>
      <c r="I418" s="970"/>
      <c r="J418" s="621"/>
      <c r="BM418" s="1025"/>
      <c r="BO418" s="43"/>
    </row>
    <row r="419" spans="4:67" ht="18.75" customHeight="1">
      <c r="D419" s="621"/>
      <c r="E419" s="970"/>
      <c r="F419" s="970"/>
      <c r="G419" s="970"/>
      <c r="H419" s="970"/>
      <c r="I419" s="970"/>
      <c r="J419" s="621"/>
      <c r="BM419" s="1025"/>
      <c r="BO419" s="43"/>
    </row>
    <row r="420" spans="4:67" ht="18.75" customHeight="1">
      <c r="D420" s="621"/>
      <c r="E420" s="970"/>
      <c r="F420" s="970"/>
      <c r="G420" s="970"/>
      <c r="H420" s="970"/>
      <c r="I420" s="970"/>
      <c r="J420" s="621"/>
      <c r="BM420" s="1025"/>
      <c r="BO420" s="43"/>
    </row>
    <row r="421" spans="4:67" ht="18.75" customHeight="1">
      <c r="D421" s="621"/>
      <c r="E421" s="970"/>
      <c r="F421" s="970"/>
      <c r="G421" s="970"/>
      <c r="H421" s="970"/>
      <c r="I421" s="970"/>
      <c r="J421" s="621"/>
      <c r="BM421" s="1025"/>
      <c r="BO421" s="43"/>
    </row>
    <row r="422" spans="4:67" ht="18.75" customHeight="1">
      <c r="D422" s="621"/>
      <c r="E422" s="970"/>
      <c r="F422" s="970"/>
      <c r="G422" s="970"/>
      <c r="H422" s="970"/>
      <c r="I422" s="970"/>
      <c r="J422" s="621"/>
      <c r="BM422" s="1025"/>
      <c r="BO422" s="43"/>
    </row>
    <row r="423" spans="4:67" ht="18.75" customHeight="1">
      <c r="D423" s="621"/>
      <c r="E423" s="970"/>
      <c r="F423" s="970"/>
      <c r="G423" s="970"/>
      <c r="H423" s="970"/>
      <c r="I423" s="970"/>
      <c r="J423" s="621"/>
      <c r="BM423" s="1025"/>
      <c r="BO423" s="43"/>
    </row>
    <row r="424" spans="4:67" ht="18.75" customHeight="1">
      <c r="D424" s="621"/>
      <c r="E424" s="970"/>
      <c r="F424" s="970"/>
      <c r="G424" s="970"/>
      <c r="H424" s="970"/>
      <c r="I424" s="970"/>
      <c r="J424" s="621"/>
      <c r="BM424" s="1025"/>
      <c r="BO424" s="43"/>
    </row>
    <row r="425" spans="4:67" ht="18.75" customHeight="1">
      <c r="D425" s="621"/>
      <c r="E425" s="970"/>
      <c r="F425" s="970"/>
      <c r="G425" s="970"/>
      <c r="H425" s="970"/>
      <c r="I425" s="970"/>
      <c r="J425" s="621"/>
      <c r="BM425" s="1025"/>
      <c r="BO425" s="43"/>
    </row>
    <row r="426" spans="4:67" ht="18.75" customHeight="1">
      <c r="D426" s="621"/>
      <c r="E426" s="970"/>
      <c r="F426" s="970"/>
      <c r="G426" s="970"/>
      <c r="H426" s="970"/>
      <c r="I426" s="970"/>
      <c r="J426" s="621"/>
      <c r="BM426" s="1025"/>
      <c r="BO426" s="43"/>
    </row>
    <row r="427" spans="4:67" ht="18.75" customHeight="1">
      <c r="D427" s="621"/>
      <c r="E427" s="970"/>
      <c r="F427" s="970"/>
      <c r="G427" s="970"/>
      <c r="H427" s="970"/>
      <c r="I427" s="970"/>
      <c r="J427" s="621"/>
      <c r="BM427" s="1025"/>
      <c r="BO427" s="43"/>
    </row>
    <row r="428" spans="4:67" ht="18.75" customHeight="1">
      <c r="D428" s="621"/>
      <c r="E428" s="970"/>
      <c r="F428" s="970"/>
      <c r="G428" s="970"/>
      <c r="H428" s="970"/>
      <c r="I428" s="970"/>
      <c r="J428" s="621"/>
      <c r="BM428" s="1025"/>
      <c r="BO428" s="43"/>
    </row>
    <row r="429" spans="4:67" ht="18.75" customHeight="1">
      <c r="D429" s="621"/>
      <c r="E429" s="970"/>
      <c r="F429" s="970"/>
      <c r="G429" s="970"/>
      <c r="H429" s="970"/>
      <c r="I429" s="970"/>
      <c r="J429" s="621"/>
      <c r="BM429" s="1025"/>
      <c r="BO429" s="43"/>
    </row>
    <row r="430" spans="4:67" ht="18.75" customHeight="1">
      <c r="D430" s="621"/>
      <c r="E430" s="970"/>
      <c r="F430" s="970"/>
      <c r="G430" s="970"/>
      <c r="H430" s="970"/>
      <c r="I430" s="970"/>
      <c r="J430" s="621"/>
      <c r="BM430" s="1025"/>
      <c r="BO430" s="43"/>
    </row>
    <row r="431" spans="4:67" ht="18.75" customHeight="1">
      <c r="D431" s="621"/>
      <c r="E431" s="970"/>
      <c r="F431" s="970"/>
      <c r="G431" s="970"/>
      <c r="H431" s="970"/>
      <c r="I431" s="970"/>
      <c r="J431" s="621"/>
      <c r="BM431" s="1025"/>
      <c r="BO431" s="43"/>
    </row>
    <row r="432" spans="4:67" ht="18.75" customHeight="1">
      <c r="D432" s="621"/>
      <c r="E432" s="970"/>
      <c r="F432" s="970"/>
      <c r="G432" s="970"/>
      <c r="H432" s="970"/>
      <c r="I432" s="970"/>
      <c r="J432" s="621"/>
      <c r="BM432" s="1025"/>
      <c r="BO432" s="43"/>
    </row>
    <row r="433" spans="4:67" ht="18.75" customHeight="1">
      <c r="D433" s="621"/>
      <c r="E433" s="970"/>
      <c r="F433" s="970"/>
      <c r="G433" s="970"/>
      <c r="H433" s="970"/>
      <c r="I433" s="970"/>
      <c r="J433" s="621"/>
      <c r="BM433" s="1025"/>
      <c r="BO433" s="43"/>
    </row>
    <row r="434" spans="4:67" ht="18.75" customHeight="1">
      <c r="D434" s="621"/>
      <c r="E434" s="970"/>
      <c r="F434" s="970"/>
      <c r="G434" s="970"/>
      <c r="H434" s="970"/>
      <c r="I434" s="970"/>
      <c r="J434" s="621"/>
      <c r="BM434" s="1025"/>
      <c r="BO434" s="43"/>
    </row>
    <row r="435" spans="4:67" ht="18.75" customHeight="1">
      <c r="D435" s="621"/>
      <c r="E435" s="970"/>
      <c r="F435" s="970"/>
      <c r="G435" s="970"/>
      <c r="H435" s="970"/>
      <c r="I435" s="970"/>
      <c r="J435" s="621"/>
      <c r="BM435" s="1025"/>
      <c r="BO435" s="43"/>
    </row>
    <row r="436" spans="4:67" ht="18.75" customHeight="1">
      <c r="D436" s="621"/>
      <c r="E436" s="970"/>
      <c r="F436" s="970"/>
      <c r="G436" s="970"/>
      <c r="H436" s="970"/>
      <c r="I436" s="970"/>
      <c r="J436" s="621"/>
      <c r="BM436" s="1025"/>
      <c r="BO436" s="43"/>
    </row>
    <row r="437" spans="4:67" ht="18.75" customHeight="1">
      <c r="D437" s="621"/>
      <c r="E437" s="970"/>
      <c r="F437" s="970"/>
      <c r="G437" s="970"/>
      <c r="H437" s="970"/>
      <c r="I437" s="970"/>
      <c r="J437" s="621"/>
      <c r="BM437" s="1025"/>
      <c r="BO437" s="43"/>
    </row>
    <row r="438" spans="4:67" ht="18.75" customHeight="1">
      <c r="D438" s="621"/>
      <c r="E438" s="970"/>
      <c r="F438" s="970"/>
      <c r="G438" s="970"/>
      <c r="H438" s="970"/>
      <c r="I438" s="970"/>
      <c r="J438" s="621"/>
      <c r="BM438" s="1025"/>
      <c r="BO438" s="43"/>
    </row>
    <row r="439" spans="4:67" ht="18.75" customHeight="1">
      <c r="D439" s="621"/>
      <c r="E439" s="970"/>
      <c r="F439" s="970"/>
      <c r="G439" s="970"/>
      <c r="H439" s="970"/>
      <c r="I439" s="970"/>
      <c r="J439" s="621"/>
      <c r="BM439" s="1025"/>
      <c r="BO439" s="43"/>
    </row>
    <row r="440" spans="4:67" ht="18.75" customHeight="1">
      <c r="D440" s="621"/>
      <c r="E440" s="970"/>
      <c r="F440" s="970"/>
      <c r="G440" s="970"/>
      <c r="H440" s="970"/>
      <c r="I440" s="970"/>
      <c r="J440" s="621"/>
      <c r="BM440" s="1025"/>
      <c r="BO440" s="43"/>
    </row>
    <row r="441" spans="4:67" ht="18.75" customHeight="1">
      <c r="D441" s="621"/>
      <c r="E441" s="970"/>
      <c r="F441" s="970"/>
      <c r="G441" s="970"/>
      <c r="H441" s="970"/>
      <c r="I441" s="970"/>
      <c r="J441" s="621"/>
      <c r="BM441" s="1025"/>
      <c r="BO441" s="43"/>
    </row>
    <row r="442" spans="4:67" ht="18.75" customHeight="1">
      <c r="D442" s="621"/>
      <c r="E442" s="970"/>
      <c r="F442" s="970"/>
      <c r="G442" s="970"/>
      <c r="H442" s="970"/>
      <c r="I442" s="970"/>
      <c r="J442" s="621"/>
      <c r="BM442" s="1025"/>
      <c r="BO442" s="43"/>
    </row>
    <row r="443" spans="4:67" ht="18.75" customHeight="1">
      <c r="D443" s="621"/>
      <c r="E443" s="621"/>
      <c r="F443" s="621"/>
      <c r="G443" s="621"/>
      <c r="H443" s="621"/>
      <c r="I443" s="621"/>
      <c r="J443" s="621"/>
      <c r="BM443" s="1025"/>
      <c r="BO443" s="43"/>
    </row>
    <row r="444" spans="4:67" ht="18.75" customHeight="1">
      <c r="D444" s="621"/>
      <c r="E444" s="621"/>
      <c r="F444" s="621"/>
      <c r="G444" s="621"/>
      <c r="H444" s="621"/>
      <c r="I444" s="621"/>
      <c r="J444" s="621"/>
      <c r="BM444" s="1025"/>
      <c r="BO444" s="43"/>
    </row>
    <row r="445" spans="4:67" ht="18.75" customHeight="1">
      <c r="D445" s="621"/>
      <c r="E445" s="621"/>
      <c r="F445" s="621"/>
      <c r="G445" s="621"/>
      <c r="H445" s="621"/>
      <c r="I445" s="621"/>
      <c r="J445" s="621"/>
      <c r="BM445" s="1025"/>
      <c r="BO445" s="43"/>
    </row>
    <row r="446" spans="4:67" ht="18.75" customHeight="1">
      <c r="D446" s="621"/>
      <c r="E446" s="621"/>
      <c r="F446" s="621"/>
      <c r="G446" s="621"/>
      <c r="H446" s="621"/>
      <c r="I446" s="621"/>
      <c r="J446" s="621"/>
      <c r="BM446" s="1025"/>
      <c r="BO446" s="43"/>
    </row>
    <row r="447" spans="4:67" ht="18.75" customHeight="1">
      <c r="D447" s="621"/>
      <c r="E447" s="621"/>
      <c r="F447" s="621"/>
      <c r="G447" s="621"/>
      <c r="H447" s="621"/>
      <c r="I447" s="621"/>
      <c r="J447" s="621"/>
      <c r="BM447" s="1025"/>
      <c r="BO447" s="43"/>
    </row>
    <row r="448" spans="4:67" ht="18.75" customHeight="1">
      <c r="D448" s="621"/>
      <c r="E448" s="621"/>
      <c r="F448" s="621"/>
      <c r="G448" s="621"/>
      <c r="H448" s="621"/>
      <c r="I448" s="621"/>
      <c r="J448" s="621"/>
      <c r="BM448" s="1025"/>
      <c r="BO448" s="43"/>
    </row>
    <row r="449" spans="4:67" ht="18.75" customHeight="1">
      <c r="D449" s="621"/>
      <c r="E449" s="621"/>
      <c r="F449" s="621"/>
      <c r="G449" s="621"/>
      <c r="H449" s="621"/>
      <c r="I449" s="621"/>
      <c r="J449" s="621"/>
      <c r="BM449" s="1025"/>
      <c r="BO449" s="43"/>
    </row>
    <row r="450" spans="4:67" ht="18.75" customHeight="1">
      <c r="D450" s="621"/>
      <c r="E450" s="621"/>
      <c r="F450" s="621"/>
      <c r="G450" s="621"/>
      <c r="H450" s="621"/>
      <c r="I450" s="621"/>
      <c r="J450" s="621"/>
      <c r="BM450" s="1025"/>
      <c r="BO450" s="43"/>
    </row>
    <row r="451" spans="4:67" ht="18.75" customHeight="1">
      <c r="D451" s="621"/>
      <c r="E451" s="621"/>
      <c r="F451" s="621"/>
      <c r="G451" s="621"/>
      <c r="H451" s="621"/>
      <c r="I451" s="621"/>
      <c r="J451" s="621"/>
      <c r="BM451" s="1025"/>
      <c r="BO451" s="43"/>
    </row>
    <row r="452" spans="4:67" ht="18.75" customHeight="1">
      <c r="D452" s="621"/>
      <c r="E452" s="621"/>
      <c r="F452" s="621"/>
      <c r="G452" s="621"/>
      <c r="H452" s="621"/>
      <c r="I452" s="621"/>
      <c r="J452" s="621"/>
      <c r="BM452" s="1025"/>
      <c r="BO452" s="43"/>
    </row>
    <row r="453" spans="4:67" ht="18.75" customHeight="1">
      <c r="D453" s="621"/>
      <c r="E453" s="621"/>
      <c r="F453" s="621"/>
      <c r="G453" s="621"/>
      <c r="H453" s="621"/>
      <c r="I453" s="621"/>
      <c r="J453" s="621"/>
      <c r="BM453" s="1025"/>
      <c r="BO453" s="43"/>
    </row>
    <row r="454" spans="4:67" ht="18.75" customHeight="1">
      <c r="D454" s="621"/>
      <c r="E454" s="621"/>
      <c r="F454" s="621"/>
      <c r="G454" s="621"/>
      <c r="H454" s="621"/>
      <c r="I454" s="621"/>
      <c r="J454" s="621"/>
      <c r="BM454" s="1025"/>
      <c r="BO454" s="43"/>
    </row>
    <row r="455" spans="4:67" ht="18.75" customHeight="1">
      <c r="D455" s="621"/>
      <c r="E455" s="621"/>
      <c r="F455" s="621"/>
      <c r="G455" s="621"/>
      <c r="H455" s="621"/>
      <c r="I455" s="621"/>
      <c r="J455" s="621"/>
      <c r="BM455" s="1025"/>
      <c r="BO455" s="43"/>
    </row>
    <row r="456" spans="4:67" ht="18.75" customHeight="1">
      <c r="D456" s="621"/>
      <c r="E456" s="621"/>
      <c r="F456" s="621"/>
      <c r="G456" s="621"/>
      <c r="H456" s="621"/>
      <c r="I456" s="621"/>
      <c r="J456" s="621"/>
      <c r="BM456" s="1025"/>
      <c r="BO456" s="43"/>
    </row>
    <row r="457" spans="4:67" ht="18.75" customHeight="1">
      <c r="D457" s="621"/>
      <c r="E457" s="621"/>
      <c r="F457" s="621"/>
      <c r="G457" s="621"/>
      <c r="H457" s="621"/>
      <c r="I457" s="621"/>
      <c r="J457" s="621"/>
      <c r="BM457" s="1025"/>
      <c r="BO457" s="43"/>
    </row>
    <row r="458" spans="4:67" ht="18.75" customHeight="1">
      <c r="D458" s="621"/>
      <c r="E458" s="621"/>
      <c r="F458" s="621"/>
      <c r="G458" s="621"/>
      <c r="H458" s="621"/>
      <c r="I458" s="621"/>
      <c r="J458" s="621"/>
      <c r="BM458" s="1025"/>
      <c r="BO458" s="43"/>
    </row>
    <row r="459" spans="4:67" ht="18.75" customHeight="1">
      <c r="D459" s="621"/>
      <c r="E459" s="621"/>
      <c r="F459" s="621"/>
      <c r="G459" s="621"/>
      <c r="H459" s="621"/>
      <c r="I459" s="621"/>
      <c r="J459" s="621"/>
      <c r="BM459" s="1025"/>
      <c r="BO459" s="43"/>
    </row>
    <row r="460" spans="4:67" ht="18.75" customHeight="1">
      <c r="D460" s="621"/>
      <c r="E460" s="621"/>
      <c r="F460" s="621"/>
      <c r="G460" s="621"/>
      <c r="H460" s="621"/>
      <c r="I460" s="621"/>
      <c r="J460" s="621"/>
      <c r="BM460" s="1025"/>
      <c r="BO460" s="43"/>
    </row>
    <row r="461" spans="4:67" ht="18.75" customHeight="1">
      <c r="D461" s="621"/>
      <c r="E461" s="621"/>
      <c r="F461" s="621"/>
      <c r="G461" s="621"/>
      <c r="H461" s="621"/>
      <c r="I461" s="621"/>
      <c r="J461" s="621"/>
      <c r="BM461" s="1025"/>
      <c r="BO461" s="43"/>
    </row>
    <row r="462" spans="4:67" ht="18.75" customHeight="1">
      <c r="D462" s="621"/>
      <c r="E462" s="621"/>
      <c r="F462" s="621"/>
      <c r="G462" s="621"/>
      <c r="H462" s="621"/>
      <c r="I462" s="621"/>
      <c r="J462" s="621"/>
      <c r="BM462" s="1025"/>
      <c r="BO462" s="43"/>
    </row>
    <row r="463" spans="4:67" ht="18.75" customHeight="1">
      <c r="D463" s="621"/>
      <c r="E463" s="621"/>
      <c r="F463" s="621"/>
      <c r="G463" s="621"/>
      <c r="H463" s="621"/>
      <c r="I463" s="621"/>
      <c r="J463" s="621"/>
      <c r="BM463" s="1025"/>
      <c r="BO463" s="43"/>
    </row>
    <row r="464" spans="4:67" ht="18.75" customHeight="1">
      <c r="D464" s="621"/>
      <c r="E464" s="621"/>
      <c r="F464" s="621"/>
      <c r="G464" s="621"/>
      <c r="H464" s="621"/>
      <c r="I464" s="621"/>
      <c r="J464" s="621"/>
      <c r="BM464" s="1025"/>
      <c r="BO464" s="43"/>
    </row>
    <row r="465" spans="4:67" ht="18.75" customHeight="1">
      <c r="D465" s="621"/>
      <c r="E465" s="621"/>
      <c r="F465" s="621"/>
      <c r="G465" s="621"/>
      <c r="H465" s="621"/>
      <c r="I465" s="621"/>
      <c r="J465" s="621"/>
      <c r="BM465" s="1025"/>
      <c r="BO465" s="43"/>
    </row>
    <row r="466" spans="4:67" ht="18.75" customHeight="1">
      <c r="D466" s="621"/>
      <c r="E466" s="621"/>
      <c r="F466" s="621"/>
      <c r="G466" s="621"/>
      <c r="H466" s="621"/>
      <c r="I466" s="621"/>
      <c r="J466" s="621"/>
      <c r="BM466" s="1025"/>
      <c r="BO466" s="43"/>
    </row>
    <row r="467" spans="4:67" ht="18.75" customHeight="1">
      <c r="D467" s="621"/>
      <c r="E467" s="621"/>
      <c r="F467" s="621"/>
      <c r="G467" s="621"/>
      <c r="H467" s="621"/>
      <c r="I467" s="621"/>
      <c r="J467" s="621"/>
      <c r="BM467" s="1025"/>
      <c r="BO467" s="43"/>
    </row>
    <row r="468" spans="4:67" ht="18.75" customHeight="1">
      <c r="D468" s="621"/>
      <c r="E468" s="621"/>
      <c r="F468" s="621"/>
      <c r="G468" s="621"/>
      <c r="H468" s="621"/>
      <c r="I468" s="621"/>
      <c r="J468" s="621"/>
      <c r="BM468" s="1025"/>
      <c r="BO468" s="43"/>
    </row>
    <row r="469" spans="4:67" ht="18.75" customHeight="1">
      <c r="D469" s="621"/>
      <c r="E469" s="621"/>
      <c r="F469" s="621"/>
      <c r="G469" s="621"/>
      <c r="H469" s="621"/>
      <c r="I469" s="621"/>
      <c r="J469" s="621"/>
      <c r="BM469" s="1025"/>
      <c r="BO469" s="43"/>
    </row>
    <row r="470" spans="4:67" ht="18.75" customHeight="1">
      <c r="D470" s="621"/>
      <c r="E470" s="621"/>
      <c r="F470" s="621"/>
      <c r="G470" s="621"/>
      <c r="H470" s="621"/>
      <c r="I470" s="621"/>
      <c r="J470" s="621"/>
      <c r="BM470" s="1025"/>
      <c r="BO470" s="43"/>
    </row>
    <row r="471" spans="4:67" ht="18.75" customHeight="1">
      <c r="D471" s="621"/>
      <c r="E471" s="621"/>
      <c r="F471" s="621"/>
      <c r="G471" s="621"/>
      <c r="H471" s="621"/>
      <c r="I471" s="621"/>
      <c r="J471" s="621"/>
      <c r="BM471" s="1025"/>
      <c r="BO471" s="43"/>
    </row>
    <row r="472" spans="4:67" ht="18.75" customHeight="1">
      <c r="D472" s="621"/>
      <c r="E472" s="621"/>
      <c r="F472" s="621"/>
      <c r="G472" s="621"/>
      <c r="H472" s="621"/>
      <c r="I472" s="621"/>
      <c r="J472" s="621"/>
      <c r="BM472" s="1025"/>
      <c r="BO472" s="43"/>
    </row>
    <row r="473" spans="4:67" ht="18.75" customHeight="1">
      <c r="D473" s="621"/>
      <c r="E473" s="621"/>
      <c r="F473" s="621"/>
      <c r="G473" s="621"/>
      <c r="H473" s="621"/>
      <c r="I473" s="621"/>
      <c r="J473" s="621"/>
      <c r="BM473" s="1025"/>
      <c r="BO473" s="43"/>
    </row>
    <row r="474" spans="4:67" ht="18.75" customHeight="1">
      <c r="D474" s="621"/>
      <c r="E474" s="621"/>
      <c r="F474" s="621"/>
      <c r="G474" s="621"/>
      <c r="H474" s="621"/>
      <c r="I474" s="621"/>
      <c r="J474" s="621"/>
      <c r="BM474" s="1025"/>
      <c r="BO474" s="43"/>
    </row>
    <row r="475" spans="4:67" ht="18.75" customHeight="1">
      <c r="D475" s="621"/>
      <c r="E475" s="621"/>
      <c r="F475" s="621"/>
      <c r="G475" s="621"/>
      <c r="H475" s="621"/>
      <c r="I475" s="621"/>
      <c r="J475" s="621"/>
      <c r="BM475" s="1025"/>
      <c r="BO475" s="43"/>
    </row>
    <row r="476" spans="4:67" ht="18.75" customHeight="1">
      <c r="D476" s="621"/>
      <c r="E476" s="621"/>
      <c r="F476" s="621"/>
      <c r="G476" s="621"/>
      <c r="H476" s="621"/>
      <c r="I476" s="621"/>
      <c r="J476" s="621"/>
      <c r="BM476" s="1025"/>
      <c r="BO476" s="43"/>
    </row>
    <row r="477" spans="4:67" ht="18.75" customHeight="1">
      <c r="D477" s="621"/>
      <c r="E477" s="621"/>
      <c r="F477" s="621"/>
      <c r="G477" s="621"/>
      <c r="H477" s="621"/>
      <c r="I477" s="621"/>
      <c r="J477" s="621"/>
      <c r="BM477" s="1025"/>
      <c r="BO477" s="43"/>
    </row>
    <row r="478" spans="4:67" ht="18.75" customHeight="1">
      <c r="D478" s="621"/>
      <c r="E478" s="621"/>
      <c r="F478" s="621"/>
      <c r="G478" s="621"/>
      <c r="H478" s="621"/>
      <c r="I478" s="621"/>
      <c r="J478" s="621"/>
      <c r="BM478" s="1025"/>
      <c r="BO478" s="43"/>
    </row>
    <row r="479" spans="4:67" ht="18.75" customHeight="1">
      <c r="D479" s="621"/>
      <c r="E479" s="621"/>
      <c r="F479" s="621"/>
      <c r="G479" s="621"/>
      <c r="H479" s="621"/>
      <c r="I479" s="621"/>
      <c r="J479" s="621"/>
      <c r="BM479" s="1025"/>
      <c r="BO479" s="43"/>
    </row>
    <row r="480" spans="4:67" ht="18.75" customHeight="1">
      <c r="D480" s="621"/>
      <c r="E480" s="621"/>
      <c r="F480" s="621"/>
      <c r="G480" s="621"/>
      <c r="H480" s="621"/>
      <c r="I480" s="621"/>
      <c r="J480" s="621"/>
      <c r="BM480" s="1025"/>
      <c r="BO480" s="43"/>
    </row>
    <row r="481" spans="4:67" ht="18.75" customHeight="1">
      <c r="D481" s="621"/>
      <c r="E481" s="621"/>
      <c r="F481" s="621"/>
      <c r="G481" s="621"/>
      <c r="H481" s="621"/>
      <c r="I481" s="621"/>
      <c r="J481" s="621"/>
      <c r="BM481" s="1025"/>
      <c r="BO481" s="43"/>
    </row>
    <row r="482" spans="4:67" ht="18.75" customHeight="1">
      <c r="D482" s="621"/>
      <c r="E482" s="621"/>
      <c r="F482" s="621"/>
      <c r="G482" s="621"/>
      <c r="H482" s="621"/>
      <c r="I482" s="621"/>
      <c r="J482" s="621"/>
      <c r="BM482" s="1025"/>
      <c r="BO482" s="43"/>
    </row>
    <row r="483" spans="4:67" ht="18.75" customHeight="1">
      <c r="D483" s="621"/>
      <c r="E483" s="621"/>
      <c r="F483" s="621"/>
      <c r="G483" s="621"/>
      <c r="H483" s="621"/>
      <c r="I483" s="621"/>
      <c r="J483" s="621"/>
      <c r="BM483" s="1025"/>
      <c r="BO483" s="43"/>
    </row>
    <row r="484" spans="4:67" ht="18.75" customHeight="1">
      <c r="D484" s="621"/>
      <c r="E484" s="621"/>
      <c r="F484" s="621"/>
      <c r="G484" s="621"/>
      <c r="H484" s="621"/>
      <c r="I484" s="621"/>
      <c r="J484" s="621"/>
      <c r="BM484" s="1025"/>
      <c r="BO484" s="43"/>
    </row>
    <row r="485" spans="4:67" ht="18.75" customHeight="1">
      <c r="D485" s="621"/>
      <c r="E485" s="621"/>
      <c r="F485" s="621"/>
      <c r="G485" s="621"/>
      <c r="H485" s="621"/>
      <c r="I485" s="621"/>
      <c r="J485" s="621"/>
      <c r="BM485" s="1025"/>
      <c r="BO485" s="43"/>
    </row>
    <row r="486" spans="4:67" ht="18.75" customHeight="1">
      <c r="D486" s="621"/>
      <c r="E486" s="621"/>
      <c r="F486" s="621"/>
      <c r="G486" s="621"/>
      <c r="H486" s="621"/>
      <c r="I486" s="621"/>
      <c r="J486" s="621"/>
      <c r="BM486" s="1025"/>
      <c r="BO486" s="43"/>
    </row>
    <row r="487" spans="4:67" ht="18.75" customHeight="1">
      <c r="D487" s="621"/>
      <c r="E487" s="621"/>
      <c r="F487" s="621"/>
      <c r="G487" s="621"/>
      <c r="H487" s="621"/>
      <c r="I487" s="621"/>
      <c r="J487" s="621"/>
      <c r="BM487" s="1025"/>
      <c r="BO487" s="43"/>
    </row>
    <row r="488" spans="4:67" ht="18.75" customHeight="1">
      <c r="D488" s="621"/>
      <c r="E488" s="621"/>
      <c r="F488" s="621"/>
      <c r="G488" s="621"/>
      <c r="H488" s="621"/>
      <c r="I488" s="621"/>
      <c r="J488" s="621"/>
      <c r="BM488" s="1025"/>
      <c r="BO488" s="43"/>
    </row>
    <row r="489" spans="4:67" ht="18.75" customHeight="1">
      <c r="D489" s="621"/>
      <c r="E489" s="621"/>
      <c r="F489" s="621"/>
      <c r="G489" s="621"/>
      <c r="H489" s="621"/>
      <c r="I489" s="621"/>
      <c r="J489" s="621"/>
      <c r="BM489" s="1025"/>
      <c r="BO489" s="43"/>
    </row>
    <row r="490" spans="4:67" ht="18.75" customHeight="1">
      <c r="D490" s="621"/>
      <c r="E490" s="621"/>
      <c r="F490" s="621"/>
      <c r="G490" s="621"/>
      <c r="H490" s="621"/>
      <c r="I490" s="621"/>
      <c r="J490" s="621"/>
      <c r="BM490" s="1025"/>
      <c r="BO490" s="43"/>
    </row>
    <row r="491" spans="4:67" ht="18.75" customHeight="1">
      <c r="D491" s="621"/>
      <c r="E491" s="621"/>
      <c r="F491" s="621"/>
      <c r="G491" s="621"/>
      <c r="H491" s="621"/>
      <c r="I491" s="621"/>
      <c r="J491" s="621"/>
      <c r="BM491" s="1025"/>
      <c r="BO491" s="43"/>
    </row>
    <row r="492" spans="4:67" ht="18.75" customHeight="1">
      <c r="D492" s="621"/>
      <c r="E492" s="621"/>
      <c r="F492" s="621"/>
      <c r="G492" s="621"/>
      <c r="H492" s="621"/>
      <c r="I492" s="621"/>
      <c r="J492" s="621"/>
      <c r="BM492" s="1025"/>
      <c r="BO492" s="43"/>
    </row>
    <row r="493" spans="4:67" ht="18.75" customHeight="1">
      <c r="D493" s="621"/>
      <c r="E493" s="621"/>
      <c r="F493" s="621"/>
      <c r="G493" s="621"/>
      <c r="H493" s="621"/>
      <c r="I493" s="621"/>
      <c r="J493" s="621"/>
      <c r="BM493" s="1025"/>
      <c r="BO493" s="43"/>
    </row>
    <row r="494" spans="4:67" ht="18.75" customHeight="1">
      <c r="D494" s="621"/>
      <c r="E494" s="621"/>
      <c r="F494" s="621"/>
      <c r="G494" s="621"/>
      <c r="H494" s="621"/>
      <c r="I494" s="621"/>
      <c r="J494" s="621"/>
      <c r="BM494" s="1025"/>
      <c r="BO494" s="43"/>
    </row>
    <row r="495" spans="4:67" ht="18.75" customHeight="1">
      <c r="D495" s="621"/>
      <c r="E495" s="621"/>
      <c r="F495" s="621"/>
      <c r="G495" s="621"/>
      <c r="H495" s="621"/>
      <c r="I495" s="621"/>
      <c r="J495" s="621"/>
      <c r="BM495" s="1025"/>
      <c r="BO495" s="43"/>
    </row>
    <row r="496" spans="4:67" ht="18.75" customHeight="1">
      <c r="D496" s="621"/>
      <c r="E496" s="621"/>
      <c r="F496" s="621"/>
      <c r="G496" s="621"/>
      <c r="H496" s="621"/>
      <c r="I496" s="621"/>
      <c r="J496" s="621"/>
      <c r="BM496" s="1025"/>
      <c r="BO496" s="43"/>
    </row>
    <row r="497" spans="4:67" ht="18.75" customHeight="1">
      <c r="D497" s="621"/>
      <c r="E497" s="621"/>
      <c r="F497" s="621"/>
      <c r="G497" s="621"/>
      <c r="H497" s="621"/>
      <c r="I497" s="621"/>
      <c r="J497" s="621"/>
      <c r="BM497" s="1025"/>
      <c r="BO497" s="43"/>
    </row>
    <row r="498" spans="4:67" ht="18.75" customHeight="1">
      <c r="D498" s="621"/>
      <c r="E498" s="621"/>
      <c r="F498" s="621"/>
      <c r="G498" s="621"/>
      <c r="H498" s="621"/>
      <c r="I498" s="621"/>
      <c r="J498" s="621"/>
      <c r="BM498" s="1025"/>
      <c r="BO498" s="43"/>
    </row>
    <row r="499" spans="4:67" ht="18.75" customHeight="1">
      <c r="D499" s="621"/>
      <c r="E499" s="621"/>
      <c r="F499" s="621"/>
      <c r="G499" s="621"/>
      <c r="H499" s="621"/>
      <c r="I499" s="621"/>
      <c r="J499" s="621"/>
      <c r="BM499" s="1025"/>
      <c r="BO499" s="43"/>
    </row>
    <row r="500" spans="4:67" ht="18.75" customHeight="1">
      <c r="D500" s="621"/>
      <c r="E500" s="621"/>
      <c r="F500" s="621"/>
      <c r="G500" s="621"/>
      <c r="H500" s="621"/>
      <c r="I500" s="621"/>
      <c r="J500" s="621"/>
      <c r="BM500" s="1025"/>
      <c r="BO500" s="43"/>
    </row>
    <row r="501" spans="4:67" ht="18.75" customHeight="1">
      <c r="D501" s="621"/>
      <c r="E501" s="621"/>
      <c r="F501" s="621"/>
      <c r="G501" s="621"/>
      <c r="H501" s="621"/>
      <c r="I501" s="621"/>
      <c r="J501" s="621"/>
      <c r="BM501" s="1025"/>
      <c r="BO501" s="43"/>
    </row>
    <row r="502" spans="4:67" ht="18.75" customHeight="1">
      <c r="D502" s="621"/>
      <c r="E502" s="621"/>
      <c r="F502" s="621"/>
      <c r="G502" s="621"/>
      <c r="H502" s="621"/>
      <c r="I502" s="621"/>
      <c r="J502" s="621"/>
      <c r="BM502" s="1025"/>
      <c r="BO502" s="43"/>
    </row>
    <row r="503" spans="4:67" ht="18.75" customHeight="1">
      <c r="D503" s="621"/>
      <c r="E503" s="621"/>
      <c r="F503" s="621"/>
      <c r="G503" s="621"/>
      <c r="H503" s="621"/>
      <c r="I503" s="621"/>
      <c r="J503" s="621"/>
      <c r="BM503" s="1025"/>
      <c r="BO503" s="43"/>
    </row>
    <row r="504" spans="4:67" ht="18.75" customHeight="1">
      <c r="D504" s="621"/>
      <c r="E504" s="621"/>
      <c r="F504" s="621"/>
      <c r="G504" s="621"/>
      <c r="H504" s="621"/>
      <c r="I504" s="621"/>
      <c r="J504" s="621"/>
      <c r="BM504" s="1025"/>
      <c r="BO504" s="43"/>
    </row>
    <row r="505" spans="4:67" ht="18.75" customHeight="1">
      <c r="D505" s="621"/>
      <c r="E505" s="621"/>
      <c r="F505" s="621"/>
      <c r="G505" s="621"/>
      <c r="H505" s="621"/>
      <c r="I505" s="621"/>
      <c r="J505" s="621"/>
      <c r="BM505" s="1025"/>
      <c r="BO505" s="43"/>
    </row>
    <row r="506" spans="4:67" ht="18.75" customHeight="1">
      <c r="D506" s="621"/>
      <c r="E506" s="621"/>
      <c r="F506" s="621"/>
      <c r="G506" s="621"/>
      <c r="H506" s="621"/>
      <c r="I506" s="621"/>
      <c r="J506" s="621"/>
      <c r="BM506" s="1025"/>
      <c r="BO506" s="43"/>
    </row>
    <row r="507" spans="4:67" ht="18.75" customHeight="1">
      <c r="D507" s="621"/>
      <c r="E507" s="621"/>
      <c r="F507" s="621"/>
      <c r="G507" s="621"/>
      <c r="H507" s="621"/>
      <c r="I507" s="621"/>
      <c r="J507" s="621"/>
      <c r="BM507" s="1025"/>
      <c r="BO507" s="43"/>
    </row>
    <row r="508" spans="4:67" ht="18.75" customHeight="1">
      <c r="D508" s="621"/>
      <c r="E508" s="621"/>
      <c r="F508" s="621"/>
      <c r="G508" s="621"/>
      <c r="H508" s="621"/>
      <c r="I508" s="621"/>
      <c r="J508" s="621"/>
      <c r="BM508" s="1025"/>
      <c r="BO508" s="43"/>
    </row>
    <row r="509" spans="4:67" ht="18.75" customHeight="1">
      <c r="D509" s="621"/>
      <c r="E509" s="621"/>
      <c r="F509" s="621"/>
      <c r="G509" s="621"/>
      <c r="H509" s="621"/>
      <c r="I509" s="621"/>
      <c r="J509" s="621"/>
      <c r="BM509" s="1025"/>
      <c r="BO509" s="43"/>
    </row>
    <row r="510" spans="4:67" ht="18.75" customHeight="1">
      <c r="D510" s="621"/>
      <c r="E510" s="621"/>
      <c r="F510" s="621"/>
      <c r="G510" s="621"/>
      <c r="H510" s="621"/>
      <c r="I510" s="621"/>
      <c r="J510" s="621"/>
      <c r="BM510" s="1025"/>
      <c r="BO510" s="43"/>
    </row>
    <row r="511" spans="4:67" ht="18.75" customHeight="1">
      <c r="D511" s="621"/>
      <c r="E511" s="621"/>
      <c r="F511" s="621"/>
      <c r="G511" s="621"/>
      <c r="H511" s="621"/>
      <c r="I511" s="621"/>
      <c r="J511" s="621"/>
      <c r="BM511" s="1025"/>
      <c r="BO511" s="43"/>
    </row>
    <row r="512" spans="4:67" ht="18.75" customHeight="1">
      <c r="D512" s="621"/>
      <c r="E512" s="621"/>
      <c r="F512" s="621"/>
      <c r="G512" s="621"/>
      <c r="H512" s="621"/>
      <c r="I512" s="621"/>
      <c r="J512" s="621"/>
      <c r="BM512" s="1025"/>
      <c r="BO512" s="43"/>
    </row>
    <row r="513" spans="4:67" ht="18.75" customHeight="1">
      <c r="D513" s="621"/>
      <c r="E513" s="621"/>
      <c r="F513" s="621"/>
      <c r="G513" s="621"/>
      <c r="H513" s="621"/>
      <c r="I513" s="621"/>
      <c r="J513" s="621"/>
      <c r="BM513" s="1025"/>
      <c r="BO513" s="43"/>
    </row>
    <row r="514" spans="4:67" ht="18.75" customHeight="1">
      <c r="D514" s="621"/>
      <c r="E514" s="621"/>
      <c r="F514" s="621"/>
      <c r="G514" s="621"/>
      <c r="H514" s="621"/>
      <c r="I514" s="621"/>
      <c r="J514" s="621"/>
      <c r="BM514" s="1025"/>
      <c r="BO514" s="43"/>
    </row>
    <row r="515" spans="4:67" ht="18.75" customHeight="1">
      <c r="D515" s="621"/>
      <c r="E515" s="621"/>
      <c r="F515" s="621"/>
      <c r="G515" s="621"/>
      <c r="H515" s="621"/>
      <c r="I515" s="621"/>
      <c r="J515" s="621"/>
      <c r="BM515" s="1025"/>
      <c r="BO515" s="43"/>
    </row>
    <row r="516" spans="4:67" ht="18.75" customHeight="1">
      <c r="D516" s="621"/>
      <c r="E516" s="621"/>
      <c r="F516" s="621"/>
      <c r="G516" s="621"/>
      <c r="H516" s="621"/>
      <c r="I516" s="621"/>
      <c r="J516" s="621"/>
      <c r="BM516" s="1025"/>
      <c r="BO516" s="43"/>
    </row>
    <row r="517" spans="4:67" ht="18.75" customHeight="1">
      <c r="D517" s="621"/>
      <c r="E517" s="621"/>
      <c r="F517" s="621"/>
      <c r="G517" s="621"/>
      <c r="H517" s="621"/>
      <c r="I517" s="621"/>
      <c r="J517" s="621"/>
      <c r="BM517" s="1025"/>
      <c r="BO517" s="43"/>
    </row>
    <row r="518" spans="4:67" ht="18.75" customHeight="1">
      <c r="D518" s="621"/>
      <c r="E518" s="621"/>
      <c r="F518" s="621"/>
      <c r="G518" s="621"/>
      <c r="H518" s="621"/>
      <c r="I518" s="621"/>
      <c r="J518" s="621"/>
      <c r="BM518" s="1025"/>
      <c r="BO518" s="43"/>
    </row>
    <row r="519" spans="4:67" ht="18.75" customHeight="1">
      <c r="D519" s="621"/>
      <c r="E519" s="621"/>
      <c r="F519" s="621"/>
      <c r="G519" s="621"/>
      <c r="H519" s="621"/>
      <c r="I519" s="621"/>
      <c r="J519" s="621"/>
      <c r="BM519" s="1025"/>
      <c r="BO519" s="43"/>
    </row>
    <row r="520" spans="4:67" ht="18.75" customHeight="1">
      <c r="D520" s="621"/>
      <c r="E520" s="621"/>
      <c r="F520" s="621"/>
      <c r="G520" s="621"/>
      <c r="H520" s="621"/>
      <c r="I520" s="621"/>
      <c r="J520" s="621"/>
      <c r="BM520" s="1025"/>
      <c r="BO520" s="43"/>
    </row>
    <row r="521" spans="4:67" ht="18.75" customHeight="1">
      <c r="D521" s="621"/>
      <c r="E521" s="621"/>
      <c r="F521" s="621"/>
      <c r="G521" s="621"/>
      <c r="H521" s="621"/>
      <c r="I521" s="621"/>
      <c r="J521" s="621"/>
      <c r="BM521" s="1025"/>
      <c r="BO521" s="43"/>
    </row>
    <row r="522" spans="4:67" ht="18.75" customHeight="1">
      <c r="D522" s="621"/>
      <c r="E522" s="621"/>
      <c r="F522" s="621"/>
      <c r="G522" s="621"/>
      <c r="H522" s="621"/>
      <c r="I522" s="621"/>
      <c r="J522" s="621"/>
      <c r="BM522" s="1025"/>
      <c r="BO522" s="43"/>
    </row>
    <row r="523" spans="4:67" ht="18.75" customHeight="1">
      <c r="D523" s="621"/>
      <c r="E523" s="621"/>
      <c r="F523" s="621"/>
      <c r="G523" s="621"/>
      <c r="H523" s="621"/>
      <c r="I523" s="621"/>
      <c r="J523" s="621"/>
      <c r="BM523" s="1025"/>
      <c r="BO523" s="43"/>
    </row>
    <row r="524" spans="4:67" ht="18.75" customHeight="1">
      <c r="D524" s="621"/>
      <c r="E524" s="621"/>
      <c r="F524" s="621"/>
      <c r="G524" s="621"/>
      <c r="H524" s="621"/>
      <c r="I524" s="621"/>
      <c r="J524" s="621"/>
      <c r="BM524" s="1025"/>
      <c r="BO524" s="43"/>
    </row>
    <row r="525" spans="4:67" ht="18.75" customHeight="1">
      <c r="D525" s="621"/>
      <c r="E525" s="621"/>
      <c r="F525" s="621"/>
      <c r="G525" s="621"/>
      <c r="H525" s="621"/>
      <c r="I525" s="621"/>
      <c r="J525" s="621"/>
      <c r="BM525" s="1025"/>
      <c r="BO525" s="43"/>
    </row>
    <row r="526" spans="4:67" ht="18.75" customHeight="1">
      <c r="D526" s="621"/>
      <c r="E526" s="621"/>
      <c r="F526" s="621"/>
      <c r="G526" s="621"/>
      <c r="H526" s="621"/>
      <c r="I526" s="621"/>
      <c r="J526" s="621"/>
      <c r="BM526" s="1025"/>
      <c r="BO526" s="43"/>
    </row>
    <row r="527" spans="4:67" ht="18.75" customHeight="1">
      <c r="D527" s="621"/>
      <c r="E527" s="621"/>
      <c r="F527" s="621"/>
      <c r="G527" s="621"/>
      <c r="H527" s="621"/>
      <c r="I527" s="621"/>
      <c r="J527" s="621"/>
      <c r="BM527" s="1025"/>
      <c r="BO527" s="43"/>
    </row>
    <row r="528" spans="4:67" ht="18.75" customHeight="1">
      <c r="D528" s="621"/>
      <c r="E528" s="621"/>
      <c r="F528" s="621"/>
      <c r="G528" s="621"/>
      <c r="H528" s="621"/>
      <c r="I528" s="621"/>
      <c r="J528" s="621"/>
      <c r="BM528" s="1025"/>
      <c r="BO528" s="43"/>
    </row>
    <row r="529" spans="4:67" ht="18.75" customHeight="1">
      <c r="D529" s="621"/>
      <c r="E529" s="621"/>
      <c r="F529" s="621"/>
      <c r="G529" s="621"/>
      <c r="H529" s="621"/>
      <c r="I529" s="621"/>
      <c r="J529" s="621"/>
      <c r="BM529" s="1025"/>
      <c r="BO529" s="43"/>
    </row>
    <row r="530" spans="4:67" ht="18.75" customHeight="1">
      <c r="D530" s="621"/>
      <c r="E530" s="621"/>
      <c r="F530" s="621"/>
      <c r="G530" s="621"/>
      <c r="H530" s="621"/>
      <c r="I530" s="621"/>
      <c r="J530" s="621"/>
      <c r="BM530" s="1025"/>
      <c r="BO530" s="43"/>
    </row>
    <row r="531" spans="4:67" ht="18.75" customHeight="1">
      <c r="D531" s="621"/>
      <c r="E531" s="621"/>
      <c r="F531" s="621"/>
      <c r="G531" s="621"/>
      <c r="H531" s="621"/>
      <c r="I531" s="621"/>
      <c r="J531" s="621"/>
      <c r="BM531" s="1025"/>
      <c r="BO531" s="43"/>
    </row>
    <row r="532" spans="4:67" ht="18.75" customHeight="1">
      <c r="D532" s="621"/>
      <c r="E532" s="621"/>
      <c r="F532" s="621"/>
      <c r="G532" s="621"/>
      <c r="H532" s="621"/>
      <c r="I532" s="621"/>
      <c r="J532" s="621"/>
      <c r="BM532" s="1025"/>
      <c r="BO532" s="43"/>
    </row>
    <row r="533" spans="4:67" ht="18.75" customHeight="1">
      <c r="D533" s="621"/>
      <c r="E533" s="621"/>
      <c r="F533" s="621"/>
      <c r="G533" s="621"/>
      <c r="H533" s="621"/>
      <c r="I533" s="621"/>
      <c r="J533" s="621"/>
      <c r="BM533" s="1025"/>
      <c r="BO533" s="43"/>
    </row>
    <row r="534" spans="4:67" ht="18.75" customHeight="1">
      <c r="D534" s="621"/>
      <c r="E534" s="621"/>
      <c r="F534" s="621"/>
      <c r="G534" s="621"/>
      <c r="H534" s="621"/>
      <c r="I534" s="621"/>
      <c r="J534" s="621"/>
      <c r="BM534" s="1025"/>
      <c r="BO534" s="43"/>
    </row>
    <row r="535" spans="4:67" ht="18.75" customHeight="1">
      <c r="D535" s="621"/>
      <c r="E535" s="621"/>
      <c r="F535" s="621"/>
      <c r="G535" s="621"/>
      <c r="H535" s="621"/>
      <c r="I535" s="621"/>
      <c r="J535" s="621"/>
      <c r="BM535" s="1025"/>
      <c r="BO535" s="43"/>
    </row>
    <row r="536" spans="4:67" ht="18.75" customHeight="1">
      <c r="D536" s="621"/>
      <c r="E536" s="621"/>
      <c r="F536" s="621"/>
      <c r="G536" s="621"/>
      <c r="H536" s="621"/>
      <c r="I536" s="621"/>
      <c r="J536" s="621"/>
      <c r="BM536" s="1025"/>
      <c r="BO536" s="43"/>
    </row>
    <row r="537" spans="4:67" ht="18.75" customHeight="1">
      <c r="D537" s="621"/>
      <c r="E537" s="621"/>
      <c r="F537" s="621"/>
      <c r="G537" s="621"/>
      <c r="H537" s="621"/>
      <c r="I537" s="621"/>
      <c r="J537" s="621"/>
      <c r="BM537" s="1025"/>
      <c r="BO537" s="43"/>
    </row>
    <row r="538" spans="4:67" ht="18.75" customHeight="1">
      <c r="D538" s="621"/>
      <c r="E538" s="621"/>
      <c r="F538" s="621"/>
      <c r="G538" s="621"/>
      <c r="H538" s="621"/>
      <c r="I538" s="621"/>
      <c r="J538" s="621"/>
      <c r="BM538" s="1025"/>
      <c r="BO538" s="43"/>
    </row>
    <row r="539" spans="4:67" ht="18.75" customHeight="1">
      <c r="D539" s="621"/>
      <c r="E539" s="621"/>
      <c r="F539" s="621"/>
      <c r="G539" s="621"/>
      <c r="H539" s="621"/>
      <c r="I539" s="621"/>
      <c r="J539" s="621"/>
      <c r="BM539" s="1025"/>
      <c r="BO539" s="43"/>
    </row>
    <row r="540" spans="4:67" ht="18.75" customHeight="1">
      <c r="D540" s="621"/>
      <c r="E540" s="621"/>
      <c r="F540" s="621"/>
      <c r="G540" s="621"/>
      <c r="H540" s="621"/>
      <c r="I540" s="621"/>
      <c r="J540" s="621"/>
      <c r="BM540" s="1025"/>
      <c r="BO540" s="43"/>
    </row>
    <row r="541" spans="4:67" ht="18.75" customHeight="1">
      <c r="D541" s="621"/>
      <c r="E541" s="621"/>
      <c r="F541" s="621"/>
      <c r="G541" s="621"/>
      <c r="H541" s="621"/>
      <c r="I541" s="621"/>
      <c r="J541" s="621"/>
      <c r="BM541" s="1025"/>
      <c r="BO541" s="43"/>
    </row>
    <row r="542" spans="4:67" ht="18.75" customHeight="1">
      <c r="D542" s="621"/>
      <c r="E542" s="621"/>
      <c r="F542" s="621"/>
      <c r="G542" s="621"/>
      <c r="H542" s="621"/>
      <c r="I542" s="621"/>
      <c r="J542" s="621"/>
      <c r="BM542" s="1025"/>
      <c r="BO542" s="43"/>
    </row>
    <row r="543" spans="4:67" ht="18.75" customHeight="1">
      <c r="D543" s="621"/>
      <c r="E543" s="621"/>
      <c r="F543" s="621"/>
      <c r="G543" s="621"/>
      <c r="H543" s="621"/>
      <c r="I543" s="621"/>
      <c r="J543" s="621"/>
      <c r="BM543" s="1025"/>
      <c r="BO543" s="43"/>
    </row>
    <row r="544" spans="4:67" ht="18.75" customHeight="1">
      <c r="D544" s="621"/>
      <c r="E544" s="621"/>
      <c r="F544" s="621"/>
      <c r="G544" s="621"/>
      <c r="H544" s="621"/>
      <c r="I544" s="621"/>
      <c r="J544" s="621"/>
      <c r="BM544" s="1025"/>
      <c r="BO544" s="43"/>
    </row>
    <row r="545" spans="4:67" ht="18.75" customHeight="1">
      <c r="D545" s="621"/>
      <c r="E545" s="621"/>
      <c r="F545" s="621"/>
      <c r="G545" s="621"/>
      <c r="H545" s="621"/>
      <c r="I545" s="621"/>
      <c r="J545" s="621"/>
      <c r="BM545" s="1025"/>
      <c r="BO545" s="43"/>
    </row>
    <row r="546" spans="4:67" ht="18.75" customHeight="1">
      <c r="D546" s="621"/>
      <c r="E546" s="621"/>
      <c r="F546" s="621"/>
      <c r="G546" s="621"/>
      <c r="H546" s="621"/>
      <c r="I546" s="621"/>
      <c r="J546" s="621"/>
      <c r="BM546" s="1025"/>
      <c r="BO546" s="43"/>
    </row>
    <row r="547" spans="4:67" ht="18.75" customHeight="1">
      <c r="D547" s="621"/>
      <c r="E547" s="621"/>
      <c r="F547" s="621"/>
      <c r="G547" s="621"/>
      <c r="H547" s="621"/>
      <c r="I547" s="621"/>
      <c r="J547" s="621"/>
      <c r="BM547" s="1025"/>
      <c r="BO547" s="43"/>
    </row>
    <row r="548" spans="4:67" ht="18.75" customHeight="1">
      <c r="D548" s="621"/>
      <c r="E548" s="621"/>
      <c r="F548" s="621"/>
      <c r="G548" s="621"/>
      <c r="H548" s="621"/>
      <c r="I548" s="621"/>
      <c r="J548" s="621"/>
      <c r="BM548" s="1025"/>
      <c r="BO548" s="43"/>
    </row>
    <row r="549" spans="4:67" ht="18.75" customHeight="1">
      <c r="D549" s="621"/>
      <c r="E549" s="621"/>
      <c r="F549" s="621"/>
      <c r="G549" s="621"/>
      <c r="H549" s="621"/>
      <c r="I549" s="621"/>
      <c r="J549" s="621"/>
      <c r="BM549" s="1025"/>
      <c r="BO549" s="43"/>
    </row>
    <row r="550" spans="4:67" ht="18.75" customHeight="1">
      <c r="D550" s="621"/>
      <c r="E550" s="621"/>
      <c r="F550" s="621"/>
      <c r="G550" s="621"/>
      <c r="H550" s="621"/>
      <c r="I550" s="621"/>
      <c r="J550" s="621"/>
      <c r="BM550" s="1025"/>
      <c r="BO550" s="43"/>
    </row>
    <row r="551" spans="4:67" ht="18.75" customHeight="1">
      <c r="D551" s="621"/>
      <c r="E551" s="621"/>
      <c r="F551" s="621"/>
      <c r="G551" s="621"/>
      <c r="H551" s="621"/>
      <c r="I551" s="621"/>
      <c r="J551" s="621"/>
      <c r="BM551" s="1025"/>
      <c r="BO551" s="43"/>
    </row>
    <row r="552" spans="4:67" ht="18.75" customHeight="1">
      <c r="D552" s="621"/>
      <c r="E552" s="621"/>
      <c r="F552" s="621"/>
      <c r="G552" s="621"/>
      <c r="H552" s="621"/>
      <c r="I552" s="621"/>
      <c r="J552" s="621"/>
      <c r="BM552" s="1025"/>
      <c r="BO552" s="43"/>
    </row>
    <row r="553" spans="4:67" ht="18.75" customHeight="1">
      <c r="D553" s="621"/>
      <c r="E553" s="621"/>
      <c r="F553" s="621"/>
      <c r="G553" s="621"/>
      <c r="H553" s="621"/>
      <c r="I553" s="621"/>
      <c r="J553" s="621"/>
      <c r="BM553" s="1025"/>
      <c r="BO553" s="43"/>
    </row>
    <row r="554" spans="4:67" ht="18.75" customHeight="1">
      <c r="D554" s="621"/>
      <c r="E554" s="621"/>
      <c r="F554" s="621"/>
      <c r="G554" s="621"/>
      <c r="H554" s="621"/>
      <c r="I554" s="621"/>
      <c r="J554" s="621"/>
      <c r="BM554" s="1025"/>
      <c r="BO554" s="43"/>
    </row>
    <row r="555" spans="4:67" ht="18.75" customHeight="1">
      <c r="D555" s="621"/>
      <c r="E555" s="621"/>
      <c r="F555" s="621"/>
      <c r="G555" s="621"/>
      <c r="H555" s="621"/>
      <c r="I555" s="621"/>
      <c r="J555" s="621"/>
      <c r="BM555" s="1025"/>
      <c r="BO555" s="43"/>
    </row>
    <row r="556" spans="4:67" ht="18.75" customHeight="1">
      <c r="D556" s="621"/>
      <c r="E556" s="621"/>
      <c r="F556" s="621"/>
      <c r="G556" s="621"/>
      <c r="H556" s="621"/>
      <c r="I556" s="621"/>
      <c r="J556" s="621"/>
      <c r="BM556" s="1025"/>
      <c r="BO556" s="43"/>
    </row>
    <row r="557" spans="4:67" ht="18.75" customHeight="1">
      <c r="D557" s="621"/>
      <c r="E557" s="621"/>
      <c r="F557" s="621"/>
      <c r="G557" s="621"/>
      <c r="H557" s="621"/>
      <c r="I557" s="621"/>
      <c r="J557" s="621"/>
      <c r="BM557" s="1025"/>
      <c r="BO557" s="43"/>
    </row>
    <row r="558" spans="4:67" ht="18.75" customHeight="1">
      <c r="D558" s="621"/>
      <c r="E558" s="621"/>
      <c r="F558" s="621"/>
      <c r="G558" s="621"/>
      <c r="H558" s="621"/>
      <c r="I558" s="621"/>
      <c r="J558" s="621"/>
      <c r="BM558" s="1025"/>
      <c r="BO558" s="43"/>
    </row>
    <row r="559" spans="4:67" ht="18.75" customHeight="1">
      <c r="D559" s="621"/>
      <c r="E559" s="621"/>
      <c r="F559" s="621"/>
      <c r="G559" s="621"/>
      <c r="H559" s="621"/>
      <c r="I559" s="621"/>
      <c r="J559" s="621"/>
      <c r="BM559" s="1025"/>
      <c r="BO559" s="43"/>
    </row>
    <row r="560" spans="4:67" ht="18.75" customHeight="1">
      <c r="D560" s="621"/>
      <c r="E560" s="621"/>
      <c r="F560" s="621"/>
      <c r="G560" s="621"/>
      <c r="H560" s="621"/>
      <c r="I560" s="621"/>
      <c r="J560" s="621"/>
      <c r="BM560" s="1025"/>
      <c r="BO560" s="43"/>
    </row>
    <row r="561" spans="4:67" ht="18.75" customHeight="1">
      <c r="D561" s="621"/>
      <c r="E561" s="621"/>
      <c r="F561" s="621"/>
      <c r="G561" s="621"/>
      <c r="H561" s="621"/>
      <c r="I561" s="621"/>
      <c r="J561" s="621"/>
      <c r="BM561" s="1025"/>
      <c r="BO561" s="43"/>
    </row>
    <row r="562" spans="4:67" ht="18.75" customHeight="1">
      <c r="D562" s="621"/>
      <c r="E562" s="621"/>
      <c r="F562" s="621"/>
      <c r="G562" s="621"/>
      <c r="H562" s="621"/>
      <c r="I562" s="621"/>
      <c r="J562" s="621"/>
      <c r="BM562" s="1025"/>
      <c r="BO562" s="43"/>
    </row>
    <row r="563" spans="4:67" ht="18.75" customHeight="1">
      <c r="D563" s="621"/>
      <c r="E563" s="621"/>
      <c r="F563" s="621"/>
      <c r="G563" s="621"/>
      <c r="H563" s="621"/>
      <c r="I563" s="621"/>
      <c r="J563" s="621"/>
      <c r="BM563" s="1025"/>
      <c r="BO563" s="43"/>
    </row>
    <row r="564" spans="4:67" ht="18.75" customHeight="1">
      <c r="D564" s="621"/>
      <c r="E564" s="621"/>
      <c r="F564" s="621"/>
      <c r="G564" s="621"/>
      <c r="H564" s="621"/>
      <c r="I564" s="621"/>
      <c r="J564" s="621"/>
      <c r="BM564" s="1025"/>
      <c r="BO564" s="43"/>
    </row>
    <row r="565" spans="4:67" ht="18.75" customHeight="1">
      <c r="D565" s="621"/>
      <c r="E565" s="621"/>
      <c r="F565" s="621"/>
      <c r="G565" s="621"/>
      <c r="H565" s="621"/>
      <c r="I565" s="621"/>
      <c r="J565" s="621"/>
      <c r="BM565" s="1025"/>
      <c r="BO565" s="43"/>
    </row>
    <row r="566" spans="4:67" ht="18.75" customHeight="1">
      <c r="D566" s="621"/>
      <c r="E566" s="621"/>
      <c r="F566" s="621"/>
      <c r="G566" s="621"/>
      <c r="H566" s="621"/>
      <c r="I566" s="621"/>
      <c r="J566" s="621"/>
      <c r="BM566" s="1025"/>
      <c r="BO566" s="43"/>
    </row>
    <row r="567" spans="4:67" ht="18.75" customHeight="1">
      <c r="D567" s="621"/>
      <c r="E567" s="621"/>
      <c r="F567" s="621"/>
      <c r="G567" s="621"/>
      <c r="H567" s="621"/>
      <c r="I567" s="621"/>
      <c r="J567" s="621"/>
      <c r="BM567" s="1025"/>
      <c r="BO567" s="43"/>
    </row>
    <row r="568" spans="4:67" ht="18.75" customHeight="1">
      <c r="D568" s="621"/>
      <c r="E568" s="621"/>
      <c r="F568" s="621"/>
      <c r="G568" s="621"/>
      <c r="H568" s="621"/>
      <c r="I568" s="621"/>
      <c r="J568" s="621"/>
      <c r="BM568" s="1025"/>
      <c r="BO568" s="43"/>
    </row>
    <row r="569" spans="4:67" ht="18.75" customHeight="1">
      <c r="D569" s="621"/>
      <c r="E569" s="621"/>
      <c r="F569" s="621"/>
      <c r="G569" s="621"/>
      <c r="H569" s="621"/>
      <c r="I569" s="621"/>
      <c r="J569" s="621"/>
      <c r="BM569" s="1025"/>
      <c r="BO569" s="43"/>
    </row>
    <row r="570" spans="4:67" ht="18.75" customHeight="1">
      <c r="D570" s="621"/>
      <c r="E570" s="621"/>
      <c r="F570" s="621"/>
      <c r="G570" s="621"/>
      <c r="H570" s="621"/>
      <c r="I570" s="621"/>
      <c r="J570" s="621"/>
      <c r="BM570" s="1025"/>
      <c r="BO570" s="43"/>
    </row>
    <row r="571" spans="4:67" ht="18.75" customHeight="1">
      <c r="D571" s="621"/>
      <c r="E571" s="621"/>
      <c r="F571" s="621"/>
      <c r="G571" s="621"/>
      <c r="H571" s="621"/>
      <c r="I571" s="621"/>
      <c r="J571" s="621"/>
      <c r="BM571" s="1025"/>
      <c r="BO571" s="43"/>
    </row>
    <row r="572" spans="4:67" ht="18.75" customHeight="1">
      <c r="D572" s="621"/>
      <c r="E572" s="621"/>
      <c r="F572" s="621"/>
      <c r="G572" s="621"/>
      <c r="H572" s="621"/>
      <c r="I572" s="621"/>
      <c r="J572" s="621"/>
      <c r="BM572" s="1025"/>
      <c r="BO572" s="43"/>
    </row>
    <row r="573" spans="4:67" ht="18.75" customHeight="1">
      <c r="D573" s="621"/>
      <c r="E573" s="621"/>
      <c r="F573" s="621"/>
      <c r="G573" s="621"/>
      <c r="H573" s="621"/>
      <c r="I573" s="621"/>
      <c r="J573" s="621"/>
      <c r="BM573" s="1025"/>
      <c r="BO573" s="43"/>
    </row>
    <row r="574" spans="4:67" ht="18.75" customHeight="1">
      <c r="D574" s="621"/>
      <c r="E574" s="621"/>
      <c r="F574" s="621"/>
      <c r="G574" s="621"/>
      <c r="H574" s="621"/>
      <c r="I574" s="621"/>
      <c r="J574" s="621"/>
      <c r="BM574" s="1025"/>
      <c r="BO574" s="43"/>
    </row>
    <row r="575" spans="4:67" ht="18.75" customHeight="1">
      <c r="D575" s="621"/>
      <c r="E575" s="621"/>
      <c r="F575" s="621"/>
      <c r="G575" s="621"/>
      <c r="H575" s="621"/>
      <c r="I575" s="621"/>
      <c r="J575" s="621"/>
      <c r="BM575" s="1025"/>
      <c r="BO575" s="43"/>
    </row>
    <row r="576" spans="4:67" ht="18.75" customHeight="1">
      <c r="D576" s="621"/>
      <c r="E576" s="621"/>
      <c r="F576" s="621"/>
      <c r="G576" s="621"/>
      <c r="H576" s="621"/>
      <c r="I576" s="621"/>
      <c r="J576" s="621"/>
      <c r="BM576" s="1025"/>
      <c r="BO576" s="43"/>
    </row>
    <row r="577" spans="4:67" ht="18.75" customHeight="1">
      <c r="D577" s="621"/>
      <c r="E577" s="621"/>
      <c r="F577" s="621"/>
      <c r="G577" s="621"/>
      <c r="H577" s="621"/>
      <c r="I577" s="621"/>
      <c r="J577" s="621"/>
      <c r="BM577" s="1025"/>
      <c r="BO577" s="43"/>
    </row>
    <row r="578" spans="4:67" ht="18.75" customHeight="1">
      <c r="D578" s="621"/>
      <c r="E578" s="621"/>
      <c r="F578" s="621"/>
      <c r="G578" s="621"/>
      <c r="H578" s="621"/>
      <c r="I578" s="621"/>
      <c r="J578" s="621"/>
      <c r="BM578" s="1025"/>
      <c r="BO578" s="43"/>
    </row>
    <row r="579" spans="4:67" ht="18.75" customHeight="1">
      <c r="D579" s="621"/>
      <c r="E579" s="621"/>
      <c r="F579" s="621"/>
      <c r="G579" s="621"/>
      <c r="H579" s="621"/>
      <c r="I579" s="621"/>
      <c r="J579" s="621"/>
      <c r="BM579" s="1025"/>
      <c r="BO579" s="43"/>
    </row>
    <row r="580" spans="4:67" ht="18.75" customHeight="1">
      <c r="D580" s="621"/>
      <c r="E580" s="621"/>
      <c r="F580" s="621"/>
      <c r="G580" s="621"/>
      <c r="H580" s="621"/>
      <c r="I580" s="621"/>
      <c r="J580" s="621"/>
      <c r="BM580" s="1025"/>
      <c r="BO580" s="43"/>
    </row>
    <row r="581" spans="4:67" ht="18.75" customHeight="1">
      <c r="D581" s="621"/>
      <c r="E581" s="621"/>
      <c r="F581" s="621"/>
      <c r="G581" s="621"/>
      <c r="H581" s="621"/>
      <c r="I581" s="621"/>
      <c r="J581" s="621"/>
      <c r="BM581" s="1025"/>
      <c r="BO581" s="43"/>
    </row>
    <row r="582" spans="4:67" ht="18.75" customHeight="1">
      <c r="D582" s="621"/>
      <c r="E582" s="621"/>
      <c r="F582" s="621"/>
      <c r="G582" s="621"/>
      <c r="H582" s="621"/>
      <c r="I582" s="621"/>
      <c r="J582" s="621"/>
      <c r="BM582" s="1025"/>
      <c r="BO582" s="43"/>
    </row>
    <row r="583" spans="4:67" ht="18.75" customHeight="1">
      <c r="D583" s="621"/>
      <c r="E583" s="621"/>
      <c r="F583" s="621"/>
      <c r="G583" s="621"/>
      <c r="H583" s="621"/>
      <c r="I583" s="621"/>
      <c r="J583" s="621"/>
      <c r="BM583" s="1025"/>
      <c r="BO583" s="43"/>
    </row>
    <row r="584" spans="4:67" ht="18.75" customHeight="1">
      <c r="D584" s="621"/>
      <c r="E584" s="621"/>
      <c r="F584" s="621"/>
      <c r="G584" s="621"/>
      <c r="H584" s="621"/>
      <c r="I584" s="621"/>
      <c r="J584" s="621"/>
      <c r="BM584" s="1025"/>
      <c r="BO584" s="43"/>
    </row>
    <row r="585" spans="4:67" ht="18.75" customHeight="1">
      <c r="D585" s="621"/>
      <c r="E585" s="621"/>
      <c r="F585" s="621"/>
      <c r="G585" s="621"/>
      <c r="H585" s="621"/>
      <c r="I585" s="621"/>
      <c r="J585" s="621"/>
      <c r="BM585" s="1025"/>
      <c r="BO585" s="43"/>
    </row>
    <row r="586" spans="4:67" ht="18.75" customHeight="1">
      <c r="D586" s="621"/>
      <c r="E586" s="621"/>
      <c r="F586" s="621"/>
      <c r="G586" s="621"/>
      <c r="H586" s="621"/>
      <c r="I586" s="621"/>
      <c r="J586" s="621"/>
      <c r="BM586" s="1025"/>
      <c r="BO586" s="43"/>
    </row>
    <row r="587" spans="4:67" ht="18.75" customHeight="1">
      <c r="D587" s="621"/>
      <c r="E587" s="621"/>
      <c r="F587" s="621"/>
      <c r="G587" s="621"/>
      <c r="H587" s="621"/>
      <c r="I587" s="621"/>
      <c r="J587" s="621"/>
      <c r="BM587" s="1025"/>
      <c r="BO587" s="43"/>
    </row>
    <row r="588" spans="4:67" ht="18.75" customHeight="1">
      <c r="D588" s="621"/>
      <c r="E588" s="621"/>
      <c r="F588" s="621"/>
      <c r="G588" s="621"/>
      <c r="H588" s="621"/>
      <c r="I588" s="621"/>
      <c r="J588" s="621"/>
      <c r="BM588" s="1025"/>
      <c r="BO588" s="43"/>
    </row>
    <row r="589" spans="4:67" ht="18.75" customHeight="1">
      <c r="D589" s="621"/>
      <c r="E589" s="621"/>
      <c r="F589" s="621"/>
      <c r="G589" s="621"/>
      <c r="H589" s="621"/>
      <c r="I589" s="621"/>
      <c r="J589" s="621"/>
      <c r="BM589" s="1025"/>
      <c r="BO589" s="43"/>
    </row>
    <row r="590" spans="4:67" ht="18.75" customHeight="1">
      <c r="D590" s="621"/>
      <c r="E590" s="621"/>
      <c r="F590" s="621"/>
      <c r="G590" s="621"/>
      <c r="H590" s="621"/>
      <c r="I590" s="621"/>
      <c r="J590" s="621"/>
      <c r="BM590" s="1025"/>
      <c r="BO590" s="43"/>
    </row>
    <row r="591" spans="4:67" ht="18.75" customHeight="1">
      <c r="D591" s="621"/>
      <c r="E591" s="621"/>
      <c r="F591" s="621"/>
      <c r="G591" s="621"/>
      <c r="H591" s="621"/>
      <c r="I591" s="621"/>
      <c r="J591" s="621"/>
      <c r="BM591" s="1025"/>
      <c r="BO591" s="43"/>
    </row>
    <row r="592" spans="4:67" ht="18.75" customHeight="1">
      <c r="D592" s="621"/>
      <c r="E592" s="621"/>
      <c r="F592" s="621"/>
      <c r="G592" s="621"/>
      <c r="H592" s="621"/>
      <c r="I592" s="621"/>
      <c r="J592" s="621"/>
      <c r="BM592" s="1025"/>
      <c r="BO592" s="43"/>
    </row>
    <row r="593" spans="4:67" ht="18.75" customHeight="1">
      <c r="D593" s="621"/>
      <c r="E593" s="621"/>
      <c r="F593" s="621"/>
      <c r="G593" s="621"/>
      <c r="H593" s="621"/>
      <c r="I593" s="621"/>
      <c r="J593" s="621"/>
      <c r="BM593" s="1025"/>
      <c r="BO593" s="43"/>
    </row>
    <row r="594" spans="4:67" ht="18.75" customHeight="1">
      <c r="D594" s="621"/>
      <c r="E594" s="621"/>
      <c r="F594" s="621"/>
      <c r="G594" s="621"/>
      <c r="H594" s="621"/>
      <c r="I594" s="621"/>
      <c r="J594" s="621"/>
      <c r="BM594" s="1025"/>
      <c r="BO594" s="43"/>
    </row>
    <row r="595" spans="4:67" ht="18.75" customHeight="1">
      <c r="D595" s="621"/>
      <c r="E595" s="621"/>
      <c r="F595" s="621"/>
      <c r="G595" s="621"/>
      <c r="H595" s="621"/>
      <c r="I595" s="621"/>
      <c r="J595" s="621"/>
      <c r="BM595" s="1025"/>
      <c r="BO595" s="43"/>
    </row>
    <row r="596" spans="4:67" ht="18.75" customHeight="1">
      <c r="D596" s="621"/>
      <c r="E596" s="621"/>
      <c r="F596" s="621"/>
      <c r="G596" s="621"/>
      <c r="H596" s="621"/>
      <c r="I596" s="621"/>
      <c r="J596" s="621"/>
      <c r="BM596" s="1025"/>
      <c r="BO596" s="43"/>
    </row>
    <row r="597" spans="4:67" ht="18.75" customHeight="1">
      <c r="D597" s="621"/>
      <c r="E597" s="621"/>
      <c r="F597" s="621"/>
      <c r="G597" s="621"/>
      <c r="H597" s="621"/>
      <c r="I597" s="621"/>
      <c r="J597" s="621"/>
      <c r="BM597" s="1025"/>
      <c r="BO597" s="43"/>
    </row>
    <row r="598" spans="4:67" ht="18.75" customHeight="1">
      <c r="D598" s="621"/>
      <c r="E598" s="621"/>
      <c r="F598" s="621"/>
      <c r="G598" s="621"/>
      <c r="H598" s="621"/>
      <c r="I598" s="621"/>
      <c r="J598" s="621"/>
      <c r="BM598" s="1025"/>
      <c r="BO598" s="43"/>
    </row>
    <row r="599" spans="4:67" ht="18.75" customHeight="1">
      <c r="D599" s="621"/>
      <c r="E599" s="621"/>
      <c r="F599" s="621"/>
      <c r="G599" s="621"/>
      <c r="H599" s="621"/>
      <c r="I599" s="621"/>
      <c r="J599" s="621"/>
      <c r="BM599" s="1025"/>
      <c r="BO599" s="43"/>
    </row>
    <row r="600" spans="4:67" ht="18.75" customHeight="1">
      <c r="D600" s="621"/>
      <c r="E600" s="621"/>
      <c r="F600" s="621"/>
      <c r="G600" s="621"/>
      <c r="H600" s="621"/>
      <c r="I600" s="621"/>
      <c r="J600" s="621"/>
      <c r="BM600" s="1025"/>
      <c r="BO600" s="43"/>
    </row>
    <row r="601" spans="4:67" ht="18.75" customHeight="1">
      <c r="D601" s="621"/>
      <c r="E601" s="621"/>
      <c r="F601" s="621"/>
      <c r="G601" s="621"/>
      <c r="H601" s="621"/>
      <c r="I601" s="621"/>
      <c r="J601" s="621"/>
      <c r="BM601" s="1025"/>
      <c r="BO601" s="43"/>
    </row>
    <row r="602" spans="4:67" ht="18.75" customHeight="1">
      <c r="D602" s="621"/>
      <c r="E602" s="621"/>
      <c r="F602" s="621"/>
      <c r="G602" s="621"/>
      <c r="H602" s="621"/>
      <c r="I602" s="621"/>
      <c r="J602" s="621"/>
      <c r="BM602" s="1025"/>
      <c r="BO602" s="43"/>
    </row>
    <row r="603" spans="4:67" ht="18.75" customHeight="1">
      <c r="D603" s="621"/>
      <c r="E603" s="621"/>
      <c r="F603" s="621"/>
      <c r="G603" s="621"/>
      <c r="H603" s="621"/>
      <c r="I603" s="621"/>
      <c r="J603" s="621"/>
      <c r="BM603" s="1025"/>
      <c r="BO603" s="43"/>
    </row>
    <row r="604" spans="4:67" ht="18.75" customHeight="1">
      <c r="D604" s="621"/>
      <c r="E604" s="621"/>
      <c r="F604" s="621"/>
      <c r="G604" s="621"/>
      <c r="H604" s="621"/>
      <c r="I604" s="621"/>
      <c r="J604" s="621"/>
      <c r="BM604" s="1025"/>
      <c r="BO604" s="43"/>
    </row>
    <row r="605" spans="4:67" ht="18.75" customHeight="1">
      <c r="D605" s="621"/>
      <c r="E605" s="621"/>
      <c r="F605" s="621"/>
      <c r="G605" s="621"/>
      <c r="H605" s="621"/>
      <c r="I605" s="621"/>
      <c r="J605" s="621"/>
      <c r="BM605" s="1025"/>
      <c r="BO605" s="43"/>
    </row>
    <row r="606" spans="4:67" ht="18.75" customHeight="1">
      <c r="D606" s="621"/>
      <c r="E606" s="621"/>
      <c r="F606" s="621"/>
      <c r="G606" s="621"/>
      <c r="H606" s="621"/>
      <c r="I606" s="621"/>
      <c r="J606" s="621"/>
      <c r="BM606" s="1025"/>
      <c r="BO606" s="43"/>
    </row>
    <row r="607" spans="4:67" ht="18.75" customHeight="1">
      <c r="D607" s="621"/>
      <c r="E607" s="621"/>
      <c r="F607" s="621"/>
      <c r="G607" s="621"/>
      <c r="H607" s="621"/>
      <c r="I607" s="621"/>
      <c r="J607" s="621"/>
      <c r="BM607" s="1025"/>
      <c r="BO607" s="43"/>
    </row>
    <row r="608" spans="4:67" ht="18.75" customHeight="1">
      <c r="D608" s="621"/>
      <c r="E608" s="621"/>
      <c r="F608" s="621"/>
      <c r="G608" s="621"/>
      <c r="H608" s="621"/>
      <c r="I608" s="621"/>
      <c r="J608" s="621"/>
      <c r="BM608" s="1025"/>
      <c r="BO608" s="43"/>
    </row>
    <row r="609" spans="4:67" ht="18.75" customHeight="1">
      <c r="D609" s="621"/>
      <c r="E609" s="621"/>
      <c r="F609" s="621"/>
      <c r="G609" s="621"/>
      <c r="H609" s="621"/>
      <c r="I609" s="621"/>
      <c r="J609" s="621"/>
      <c r="BM609" s="1025"/>
      <c r="BO609" s="43"/>
    </row>
    <row r="610" spans="4:67" ht="18.75" customHeight="1">
      <c r="D610" s="621"/>
      <c r="E610" s="621"/>
      <c r="F610" s="621"/>
      <c r="G610" s="621"/>
      <c r="H610" s="621"/>
      <c r="I610" s="621"/>
      <c r="J610" s="621"/>
      <c r="BM610" s="1025"/>
      <c r="BO610" s="43"/>
    </row>
    <row r="611" spans="4:67" ht="18.75" customHeight="1">
      <c r="D611" s="621"/>
      <c r="E611" s="621"/>
      <c r="F611" s="621"/>
      <c r="G611" s="621"/>
      <c r="H611" s="621"/>
      <c r="I611" s="621"/>
      <c r="J611" s="621"/>
      <c r="BM611" s="1025"/>
      <c r="BO611" s="43"/>
    </row>
    <row r="612" spans="4:67" ht="18.75" customHeight="1">
      <c r="D612" s="621"/>
      <c r="E612" s="621"/>
      <c r="F612" s="621"/>
      <c r="G612" s="621"/>
      <c r="H612" s="621"/>
      <c r="I612" s="621"/>
      <c r="J612" s="621"/>
      <c r="BM612" s="1025"/>
      <c r="BO612" s="43"/>
    </row>
    <row r="613" spans="4:67" ht="18.75" customHeight="1">
      <c r="D613" s="621"/>
      <c r="E613" s="621"/>
      <c r="F613" s="621"/>
      <c r="G613" s="621"/>
      <c r="H613" s="621"/>
      <c r="I613" s="621"/>
      <c r="J613" s="621"/>
      <c r="BM613" s="1025"/>
      <c r="BO613" s="43"/>
    </row>
    <row r="614" spans="4:67" ht="18.75" customHeight="1">
      <c r="D614" s="621"/>
      <c r="E614" s="621"/>
      <c r="F614" s="621"/>
      <c r="G614" s="621"/>
      <c r="H614" s="621"/>
      <c r="I614" s="621"/>
      <c r="J614" s="621"/>
      <c r="BM614" s="1025"/>
      <c r="BO614" s="43"/>
    </row>
    <row r="615" spans="4:67" ht="18.75" customHeight="1">
      <c r="D615" s="621"/>
      <c r="E615" s="621"/>
      <c r="F615" s="621"/>
      <c r="G615" s="621"/>
      <c r="H615" s="621"/>
      <c r="I615" s="621"/>
      <c r="J615" s="621"/>
      <c r="BM615" s="1025"/>
      <c r="BO615" s="43"/>
    </row>
    <row r="616" spans="4:67" ht="18.75" customHeight="1">
      <c r="D616" s="621"/>
      <c r="E616" s="621"/>
      <c r="F616" s="621"/>
      <c r="G616" s="621"/>
      <c r="H616" s="621"/>
      <c r="I616" s="621"/>
      <c r="J616" s="621"/>
      <c r="BM616" s="1025"/>
      <c r="BO616" s="43"/>
    </row>
    <row r="617" spans="4:67" ht="18.75" customHeight="1">
      <c r="D617" s="621"/>
      <c r="E617" s="621"/>
      <c r="F617" s="621"/>
      <c r="G617" s="621"/>
      <c r="H617" s="621"/>
      <c r="I617" s="621"/>
      <c r="J617" s="621"/>
      <c r="BM617" s="1025"/>
      <c r="BO617" s="43"/>
    </row>
    <row r="618" spans="4:67" ht="18.75" customHeight="1">
      <c r="D618" s="621"/>
      <c r="E618" s="621"/>
      <c r="F618" s="621"/>
      <c r="G618" s="621"/>
      <c r="H618" s="621"/>
      <c r="I618" s="621"/>
      <c r="J618" s="621"/>
      <c r="BM618" s="1025"/>
      <c r="BO618" s="43"/>
    </row>
    <row r="619" spans="4:67" ht="18.75" customHeight="1">
      <c r="D619" s="621"/>
      <c r="E619" s="621"/>
      <c r="F619" s="621"/>
      <c r="G619" s="621"/>
      <c r="H619" s="621"/>
      <c r="I619" s="621"/>
      <c r="J619" s="621"/>
      <c r="BM619" s="1025"/>
      <c r="BO619" s="43"/>
    </row>
    <row r="620" spans="4:67" ht="18.75" customHeight="1">
      <c r="D620" s="621"/>
      <c r="E620" s="621"/>
      <c r="F620" s="621"/>
      <c r="G620" s="621"/>
      <c r="H620" s="621"/>
      <c r="I620" s="621"/>
      <c r="J620" s="621"/>
      <c r="BM620" s="1025"/>
      <c r="BO620" s="43"/>
    </row>
    <row r="621" spans="4:67" ht="18.75" customHeight="1">
      <c r="D621" s="621"/>
      <c r="E621" s="621"/>
      <c r="F621" s="621"/>
      <c r="G621" s="621"/>
      <c r="H621" s="621"/>
      <c r="I621" s="621"/>
      <c r="J621" s="621"/>
      <c r="BM621" s="1025"/>
      <c r="BO621" s="43"/>
    </row>
    <row r="622" spans="4:67" ht="18.75" customHeight="1">
      <c r="D622" s="621"/>
      <c r="E622" s="621"/>
      <c r="F622" s="621"/>
      <c r="G622" s="621"/>
      <c r="H622" s="621"/>
      <c r="I622" s="621"/>
      <c r="J622" s="621"/>
      <c r="BM622" s="1025"/>
      <c r="BO622" s="43"/>
    </row>
    <row r="623" spans="4:67" ht="18.75" customHeight="1">
      <c r="D623" s="621"/>
      <c r="E623" s="621"/>
      <c r="F623" s="621"/>
      <c r="G623" s="621"/>
      <c r="H623" s="621"/>
      <c r="I623" s="621"/>
      <c r="J623" s="621"/>
      <c r="BM623" s="1025"/>
      <c r="BO623" s="43"/>
    </row>
    <row r="624" spans="4:67" ht="18.75" customHeight="1">
      <c r="D624" s="621"/>
      <c r="E624" s="621"/>
      <c r="F624" s="621"/>
      <c r="G624" s="621"/>
      <c r="H624" s="621"/>
      <c r="I624" s="621"/>
      <c r="J624" s="621"/>
      <c r="BM624" s="1025"/>
      <c r="BO624" s="43"/>
    </row>
    <row r="625" spans="4:67" ht="18.75" customHeight="1">
      <c r="D625" s="621"/>
      <c r="E625" s="621"/>
      <c r="F625" s="621"/>
      <c r="G625" s="621"/>
      <c r="H625" s="621"/>
      <c r="I625" s="621"/>
      <c r="J625" s="621"/>
      <c r="BM625" s="1025"/>
      <c r="BO625" s="43"/>
    </row>
    <row r="626" spans="4:67" ht="18.75" customHeight="1">
      <c r="D626" s="621"/>
      <c r="E626" s="621"/>
      <c r="F626" s="621"/>
      <c r="G626" s="621"/>
      <c r="H626" s="621"/>
      <c r="I626" s="621"/>
      <c r="J626" s="621"/>
      <c r="BM626" s="1025"/>
      <c r="BO626" s="43"/>
    </row>
    <row r="627" spans="4:67" ht="18.75" customHeight="1">
      <c r="D627" s="621"/>
      <c r="E627" s="621"/>
      <c r="F627" s="621"/>
      <c r="G627" s="621"/>
      <c r="H627" s="621"/>
      <c r="I627" s="621"/>
      <c r="J627" s="621"/>
      <c r="BM627" s="1025"/>
      <c r="BO627" s="43"/>
    </row>
    <row r="628" spans="4:67" ht="18.75" customHeight="1">
      <c r="D628" s="621"/>
      <c r="E628" s="621"/>
      <c r="F628" s="621"/>
      <c r="G628" s="621"/>
      <c r="H628" s="621"/>
      <c r="I628" s="621"/>
      <c r="J628" s="621"/>
      <c r="BM628" s="1025"/>
      <c r="BO628" s="43"/>
    </row>
    <row r="629" spans="4:67" ht="18.75" customHeight="1">
      <c r="D629" s="621"/>
      <c r="E629" s="621"/>
      <c r="F629" s="621"/>
      <c r="G629" s="621"/>
      <c r="H629" s="621"/>
      <c r="I629" s="621"/>
      <c r="J629" s="621"/>
      <c r="BM629" s="1025"/>
      <c r="BO629" s="43"/>
    </row>
    <row r="630" spans="4:67" ht="18.75" customHeight="1">
      <c r="D630" s="621"/>
      <c r="E630" s="621"/>
      <c r="F630" s="621"/>
      <c r="G630" s="621"/>
      <c r="H630" s="621"/>
      <c r="I630" s="621"/>
      <c r="J630" s="621"/>
      <c r="BM630" s="1025"/>
      <c r="BO630" s="43"/>
    </row>
    <row r="631" spans="4:67" ht="18.75" customHeight="1">
      <c r="D631" s="621"/>
      <c r="E631" s="621"/>
      <c r="F631" s="621"/>
      <c r="G631" s="621"/>
      <c r="H631" s="621"/>
      <c r="I631" s="621"/>
      <c r="J631" s="621"/>
      <c r="BM631" s="1025"/>
      <c r="BO631" s="43"/>
    </row>
    <row r="632" spans="4:67" ht="18.75" customHeight="1">
      <c r="D632" s="621"/>
      <c r="E632" s="621"/>
      <c r="F632" s="621"/>
      <c r="G632" s="621"/>
      <c r="H632" s="621"/>
      <c r="I632" s="621"/>
      <c r="J632" s="621"/>
      <c r="BM632" s="1025"/>
      <c r="BO632" s="43"/>
    </row>
    <row r="633" spans="4:67" ht="18.75" customHeight="1">
      <c r="D633" s="621"/>
      <c r="E633" s="621"/>
      <c r="F633" s="621"/>
      <c r="G633" s="621"/>
      <c r="H633" s="621"/>
      <c r="I633" s="621"/>
      <c r="J633" s="621"/>
      <c r="BM633" s="1025"/>
      <c r="BO633" s="43"/>
    </row>
    <row r="634" spans="4:67" ht="18.75" customHeight="1">
      <c r="D634" s="621"/>
      <c r="E634" s="621"/>
      <c r="F634" s="621"/>
      <c r="G634" s="621"/>
      <c r="H634" s="621"/>
      <c r="I634" s="621"/>
      <c r="J634" s="621"/>
      <c r="BM634" s="1025"/>
      <c r="BO634" s="43"/>
    </row>
    <row r="635" spans="4:67" ht="18.75" customHeight="1">
      <c r="D635" s="621"/>
      <c r="E635" s="621"/>
      <c r="F635" s="621"/>
      <c r="G635" s="621"/>
      <c r="H635" s="621"/>
      <c r="I635" s="621"/>
      <c r="J635" s="621"/>
      <c r="BM635" s="1025"/>
      <c r="BO635" s="43"/>
    </row>
    <row r="636" spans="4:67" ht="18.75" customHeight="1">
      <c r="D636" s="621"/>
      <c r="E636" s="621"/>
      <c r="F636" s="621"/>
      <c r="G636" s="621"/>
      <c r="H636" s="621"/>
      <c r="I636" s="621"/>
      <c r="J636" s="621"/>
      <c r="BM636" s="1025"/>
      <c r="BO636" s="43"/>
    </row>
    <row r="637" spans="4:67" ht="18.75" customHeight="1">
      <c r="D637" s="621"/>
      <c r="E637" s="621"/>
      <c r="F637" s="621"/>
      <c r="G637" s="621"/>
      <c r="H637" s="621"/>
      <c r="I637" s="621"/>
      <c r="J637" s="621"/>
      <c r="BM637" s="1025"/>
      <c r="BO637" s="43"/>
    </row>
    <row r="638" spans="4:67" ht="18.75" customHeight="1">
      <c r="D638" s="621"/>
      <c r="E638" s="621"/>
      <c r="F638" s="621"/>
      <c r="G638" s="621"/>
      <c r="H638" s="621"/>
      <c r="I638" s="621"/>
      <c r="J638" s="621"/>
      <c r="BM638" s="1025"/>
      <c r="BO638" s="43"/>
    </row>
    <row r="639" spans="4:67" ht="18.75" customHeight="1">
      <c r="D639" s="621"/>
      <c r="E639" s="621"/>
      <c r="F639" s="621"/>
      <c r="G639" s="621"/>
      <c r="H639" s="621"/>
      <c r="I639" s="621"/>
      <c r="J639" s="621"/>
      <c r="BM639" s="1025"/>
      <c r="BO639" s="43"/>
    </row>
    <row r="640" spans="4:67" ht="18.75" customHeight="1">
      <c r="D640" s="621"/>
      <c r="E640" s="621"/>
      <c r="F640" s="621"/>
      <c r="G640" s="621"/>
      <c r="H640" s="621"/>
      <c r="I640" s="621"/>
      <c r="J640" s="621"/>
      <c r="BM640" s="1025"/>
      <c r="BO640" s="43"/>
    </row>
    <row r="641" spans="4:67" ht="18.75" customHeight="1">
      <c r="D641" s="621"/>
      <c r="E641" s="621"/>
      <c r="F641" s="621"/>
      <c r="G641" s="621"/>
      <c r="H641" s="621"/>
      <c r="I641" s="621"/>
      <c r="J641" s="621"/>
      <c r="BM641" s="1025"/>
      <c r="BO641" s="43"/>
    </row>
    <row r="642" spans="4:67" ht="18.75" customHeight="1">
      <c r="D642" s="621"/>
      <c r="E642" s="621"/>
      <c r="F642" s="621"/>
      <c r="G642" s="621"/>
      <c r="H642" s="621"/>
      <c r="I642" s="621"/>
      <c r="J642" s="621"/>
      <c r="BM642" s="1025"/>
      <c r="BO642" s="43"/>
    </row>
    <row r="643" spans="4:67" ht="18.75" customHeight="1">
      <c r="D643" s="621"/>
      <c r="E643" s="621"/>
      <c r="F643" s="621"/>
      <c r="G643" s="621"/>
      <c r="H643" s="621"/>
      <c r="I643" s="621"/>
      <c r="J643" s="621"/>
      <c r="BM643" s="1025"/>
      <c r="BO643" s="43"/>
    </row>
    <row r="644" spans="4:67" ht="18.75" customHeight="1">
      <c r="D644" s="621"/>
      <c r="E644" s="621"/>
      <c r="F644" s="621"/>
      <c r="G644" s="621"/>
      <c r="H644" s="621"/>
      <c r="I644" s="621"/>
      <c r="J644" s="621"/>
      <c r="BM644" s="1025"/>
      <c r="BO644" s="43"/>
    </row>
    <row r="645" spans="4:67" ht="18.75" customHeight="1">
      <c r="D645" s="621"/>
      <c r="E645" s="621"/>
      <c r="F645" s="621"/>
      <c r="G645" s="621"/>
      <c r="H645" s="621"/>
      <c r="I645" s="621"/>
      <c r="J645" s="621"/>
      <c r="BM645" s="1025"/>
      <c r="BO645" s="43"/>
    </row>
    <row r="646" spans="4:67" ht="18.75" customHeight="1">
      <c r="D646" s="621"/>
      <c r="E646" s="621"/>
      <c r="F646" s="621"/>
      <c r="G646" s="621"/>
      <c r="H646" s="621"/>
      <c r="I646" s="621"/>
      <c r="J646" s="621"/>
      <c r="BM646" s="1025"/>
      <c r="BO646" s="43"/>
    </row>
    <row r="647" spans="4:67" ht="18.75" customHeight="1">
      <c r="D647" s="621"/>
      <c r="E647" s="621"/>
      <c r="F647" s="621"/>
      <c r="G647" s="621"/>
      <c r="H647" s="621"/>
      <c r="I647" s="621"/>
      <c r="J647" s="621"/>
      <c r="BM647" s="1025"/>
      <c r="BO647" s="43"/>
    </row>
    <row r="648" spans="4:67" ht="18.75" customHeight="1">
      <c r="D648" s="621"/>
      <c r="E648" s="621"/>
      <c r="F648" s="621"/>
      <c r="G648" s="621"/>
      <c r="H648" s="621"/>
      <c r="I648" s="621"/>
      <c r="J648" s="621"/>
      <c r="BM648" s="1025"/>
      <c r="BO648" s="43"/>
    </row>
    <row r="649" spans="4:67" ht="18.75" customHeight="1">
      <c r="D649" s="621"/>
      <c r="E649" s="621"/>
      <c r="F649" s="621"/>
      <c r="G649" s="621"/>
      <c r="H649" s="621"/>
      <c r="I649" s="621"/>
      <c r="J649" s="621"/>
      <c r="BM649" s="1025"/>
      <c r="BO649" s="43"/>
    </row>
    <row r="650" spans="4:67" ht="18.75" customHeight="1">
      <c r="D650" s="621"/>
      <c r="E650" s="621"/>
      <c r="F650" s="621"/>
      <c r="G650" s="621"/>
      <c r="H650" s="621"/>
      <c r="I650" s="621"/>
      <c r="J650" s="621"/>
      <c r="BM650" s="1025"/>
      <c r="BO650" s="43"/>
    </row>
    <row r="651" spans="4:67" ht="18.75" customHeight="1">
      <c r="D651" s="621"/>
      <c r="E651" s="621"/>
      <c r="F651" s="621"/>
      <c r="G651" s="621"/>
      <c r="H651" s="621"/>
      <c r="I651" s="621"/>
      <c r="J651" s="621"/>
      <c r="BM651" s="1025"/>
      <c r="BO651" s="43"/>
    </row>
    <row r="652" spans="4:67" ht="18.75" customHeight="1">
      <c r="D652" s="621"/>
      <c r="E652" s="621"/>
      <c r="F652" s="621"/>
      <c r="G652" s="621"/>
      <c r="H652" s="621"/>
      <c r="I652" s="621"/>
      <c r="J652" s="621"/>
      <c r="BM652" s="1025"/>
      <c r="BO652" s="43"/>
    </row>
    <row r="653" spans="4:67" ht="18.75" customHeight="1">
      <c r="D653" s="621"/>
      <c r="E653" s="621"/>
      <c r="F653" s="621"/>
      <c r="G653" s="621"/>
      <c r="H653" s="621"/>
      <c r="I653" s="621"/>
      <c r="J653" s="621"/>
      <c r="BM653" s="1025"/>
      <c r="BO653" s="43"/>
    </row>
    <row r="654" spans="4:67" ht="18.75" customHeight="1">
      <c r="D654" s="621"/>
      <c r="E654" s="621"/>
      <c r="F654" s="621"/>
      <c r="G654" s="621"/>
      <c r="H654" s="621"/>
      <c r="I654" s="621"/>
      <c r="J654" s="621"/>
      <c r="BM654" s="1025"/>
      <c r="BO654" s="43"/>
    </row>
    <row r="655" spans="4:67" ht="18.75" customHeight="1">
      <c r="D655" s="621"/>
      <c r="E655" s="621"/>
      <c r="F655" s="621"/>
      <c r="G655" s="621"/>
      <c r="H655" s="621"/>
      <c r="I655" s="621"/>
      <c r="J655" s="621"/>
      <c r="BM655" s="1025"/>
      <c r="BO655" s="43"/>
    </row>
    <row r="656" spans="4:67" ht="18.75" customHeight="1">
      <c r="D656" s="621"/>
      <c r="E656" s="621"/>
      <c r="F656" s="621"/>
      <c r="G656" s="621"/>
      <c r="H656" s="621"/>
      <c r="I656" s="621"/>
      <c r="J656" s="621"/>
      <c r="BM656" s="1025"/>
      <c r="BO656" s="43"/>
    </row>
    <row r="657" spans="4:67" ht="18.75" customHeight="1">
      <c r="D657" s="621"/>
      <c r="E657" s="621"/>
      <c r="F657" s="621"/>
      <c r="G657" s="621"/>
      <c r="H657" s="621"/>
      <c r="I657" s="621"/>
      <c r="J657" s="621"/>
      <c r="BM657" s="1025"/>
      <c r="BO657" s="43"/>
    </row>
    <row r="658" spans="4:67" ht="18.75" customHeight="1">
      <c r="D658" s="621"/>
      <c r="E658" s="621"/>
      <c r="F658" s="621"/>
      <c r="G658" s="621"/>
      <c r="H658" s="621"/>
      <c r="I658" s="621"/>
      <c r="J658" s="621"/>
      <c r="BM658" s="1025"/>
      <c r="BO658" s="43"/>
    </row>
    <row r="659" spans="4:67" ht="18.75" customHeight="1">
      <c r="D659" s="621"/>
      <c r="E659" s="621"/>
      <c r="F659" s="621"/>
      <c r="G659" s="621"/>
      <c r="H659" s="621"/>
      <c r="I659" s="621"/>
      <c r="J659" s="621"/>
      <c r="BM659" s="1025"/>
      <c r="BO659" s="43"/>
    </row>
    <row r="660" spans="4:67" ht="18.75" customHeight="1">
      <c r="D660" s="621"/>
      <c r="E660" s="621"/>
      <c r="F660" s="621"/>
      <c r="G660" s="621"/>
      <c r="H660" s="621"/>
      <c r="I660" s="621"/>
      <c r="J660" s="621"/>
      <c r="BM660" s="1025"/>
      <c r="BO660" s="43"/>
    </row>
    <row r="661" spans="4:67" ht="18.75" customHeight="1">
      <c r="D661" s="621"/>
      <c r="E661" s="621"/>
      <c r="F661" s="621"/>
      <c r="G661" s="621"/>
      <c r="H661" s="621"/>
      <c r="I661" s="621"/>
      <c r="J661" s="621"/>
      <c r="BM661" s="1025"/>
      <c r="BO661" s="43"/>
    </row>
    <row r="662" spans="4:67" ht="18.75" customHeight="1">
      <c r="D662" s="621"/>
      <c r="E662" s="621"/>
      <c r="F662" s="621"/>
      <c r="G662" s="621"/>
      <c r="H662" s="621"/>
      <c r="I662" s="621"/>
      <c r="J662" s="621"/>
      <c r="BM662" s="1025"/>
      <c r="BO662" s="43"/>
    </row>
    <row r="663" spans="4:67" ht="18.75" customHeight="1">
      <c r="D663" s="621"/>
      <c r="E663" s="621"/>
      <c r="F663" s="621"/>
      <c r="G663" s="621"/>
      <c r="H663" s="621"/>
      <c r="I663" s="621"/>
      <c r="J663" s="621"/>
      <c r="BM663" s="1025"/>
      <c r="BO663" s="43"/>
    </row>
    <row r="664" spans="4:67" ht="18.75" customHeight="1">
      <c r="D664" s="621"/>
      <c r="E664" s="621"/>
      <c r="F664" s="621"/>
      <c r="G664" s="621"/>
      <c r="H664" s="621"/>
      <c r="I664" s="621"/>
      <c r="J664" s="621"/>
      <c r="BM664" s="1025"/>
      <c r="BO664" s="43"/>
    </row>
    <row r="665" spans="4:67" ht="18.75" customHeight="1">
      <c r="D665" s="621"/>
      <c r="E665" s="621"/>
      <c r="F665" s="621"/>
      <c r="G665" s="621"/>
      <c r="H665" s="621"/>
      <c r="I665" s="621"/>
      <c r="J665" s="621"/>
      <c r="BM665" s="1025"/>
      <c r="BO665" s="43"/>
    </row>
    <row r="666" spans="4:67" ht="18.75" customHeight="1">
      <c r="D666" s="621"/>
      <c r="E666" s="621"/>
      <c r="F666" s="621"/>
      <c r="G666" s="621"/>
      <c r="H666" s="621"/>
      <c r="I666" s="621"/>
      <c r="J666" s="621"/>
      <c r="BM666" s="1025"/>
      <c r="BO666" s="43"/>
    </row>
    <row r="667" spans="4:67" ht="18.75" customHeight="1">
      <c r="D667" s="621"/>
      <c r="E667" s="621"/>
      <c r="F667" s="621"/>
      <c r="G667" s="621"/>
      <c r="H667" s="621"/>
      <c r="I667" s="621"/>
      <c r="J667" s="621"/>
      <c r="BM667" s="1025"/>
      <c r="BO667" s="43"/>
    </row>
    <row r="668" spans="4:67" ht="18.75" customHeight="1">
      <c r="D668" s="621"/>
      <c r="E668" s="621"/>
      <c r="F668" s="621"/>
      <c r="G668" s="621"/>
      <c r="H668" s="621"/>
      <c r="I668" s="621"/>
      <c r="J668" s="621"/>
      <c r="BM668" s="1025"/>
      <c r="BO668" s="43"/>
    </row>
    <row r="669" spans="4:67" ht="18.75" customHeight="1">
      <c r="D669" s="621"/>
      <c r="E669" s="621"/>
      <c r="F669" s="621"/>
      <c r="G669" s="621"/>
      <c r="H669" s="621"/>
      <c r="I669" s="621"/>
      <c r="J669" s="621"/>
      <c r="BM669" s="1025"/>
      <c r="BO669" s="43"/>
    </row>
    <row r="670" spans="4:67" ht="18.75" customHeight="1">
      <c r="D670" s="621"/>
      <c r="E670" s="621"/>
      <c r="F670" s="621"/>
      <c r="G670" s="621"/>
      <c r="H670" s="621"/>
      <c r="I670" s="621"/>
      <c r="J670" s="621"/>
      <c r="BM670" s="1025"/>
      <c r="BO670" s="43"/>
    </row>
    <row r="671" spans="4:67" ht="18.75" customHeight="1">
      <c r="D671" s="621"/>
      <c r="E671" s="621"/>
      <c r="F671" s="621"/>
      <c r="G671" s="621"/>
      <c r="H671" s="621"/>
      <c r="I671" s="621"/>
      <c r="J671" s="621"/>
      <c r="BM671" s="1025"/>
      <c r="BO671" s="43"/>
    </row>
    <row r="672" spans="4:67" ht="18.75" customHeight="1">
      <c r="D672" s="621"/>
      <c r="E672" s="621"/>
      <c r="F672" s="621"/>
      <c r="G672" s="621"/>
      <c r="H672" s="621"/>
      <c r="I672" s="621"/>
      <c r="J672" s="621"/>
      <c r="BM672" s="1025"/>
      <c r="BO672" s="43"/>
    </row>
    <row r="673" spans="4:67" ht="18.75" customHeight="1">
      <c r="D673" s="621"/>
      <c r="E673" s="621"/>
      <c r="F673" s="621"/>
      <c r="G673" s="621"/>
      <c r="H673" s="621"/>
      <c r="I673" s="621"/>
      <c r="J673" s="621"/>
      <c r="BM673" s="1025"/>
      <c r="BO673" s="43"/>
    </row>
    <row r="674" spans="4:67" ht="18.75" customHeight="1">
      <c r="D674" s="621"/>
      <c r="E674" s="621"/>
      <c r="F674" s="621"/>
      <c r="G674" s="621"/>
      <c r="H674" s="621"/>
      <c r="I674" s="621"/>
      <c r="J674" s="621"/>
      <c r="BM674" s="1025"/>
      <c r="BO674" s="43"/>
    </row>
    <row r="675" spans="4:67" ht="18.75" customHeight="1">
      <c r="D675" s="621"/>
      <c r="E675" s="621"/>
      <c r="F675" s="621"/>
      <c r="G675" s="621"/>
      <c r="H675" s="621"/>
      <c r="I675" s="621"/>
      <c r="J675" s="621"/>
      <c r="BM675" s="1025"/>
      <c r="BO675" s="43"/>
    </row>
    <row r="676" spans="4:67" ht="18.75" customHeight="1">
      <c r="D676" s="621"/>
      <c r="E676" s="621"/>
      <c r="F676" s="621"/>
      <c r="G676" s="621"/>
      <c r="H676" s="621"/>
      <c r="I676" s="621"/>
      <c r="J676" s="621"/>
      <c r="BM676" s="1025"/>
      <c r="BO676" s="43"/>
    </row>
    <row r="677" spans="4:67" ht="18.75" customHeight="1">
      <c r="D677" s="621"/>
      <c r="E677" s="621"/>
      <c r="F677" s="621"/>
      <c r="G677" s="621"/>
      <c r="H677" s="621"/>
      <c r="I677" s="621"/>
      <c r="J677" s="621"/>
      <c r="BM677" s="1025"/>
      <c r="BO677" s="43"/>
    </row>
    <row r="678" spans="4:67" ht="18.75" customHeight="1">
      <c r="D678" s="621"/>
      <c r="E678" s="621"/>
      <c r="F678" s="621"/>
      <c r="G678" s="621"/>
      <c r="H678" s="621"/>
      <c r="I678" s="621"/>
      <c r="J678" s="621"/>
      <c r="BM678" s="1025"/>
      <c r="BO678" s="43"/>
    </row>
    <row r="679" spans="4:67" ht="18.75" customHeight="1">
      <c r="D679" s="621"/>
      <c r="E679" s="621"/>
      <c r="F679" s="621"/>
      <c r="G679" s="621"/>
      <c r="H679" s="621"/>
      <c r="I679" s="621"/>
      <c r="J679" s="621"/>
      <c r="BM679" s="1025"/>
      <c r="BO679" s="43"/>
    </row>
    <row r="680" spans="4:67" ht="18.75" customHeight="1">
      <c r="D680" s="621"/>
      <c r="E680" s="621"/>
      <c r="F680" s="621"/>
      <c r="G680" s="621"/>
      <c r="H680" s="621"/>
      <c r="I680" s="621"/>
      <c r="J680" s="621"/>
      <c r="BM680" s="1025"/>
      <c r="BO680" s="43"/>
    </row>
    <row r="681" spans="4:67" ht="18.75" customHeight="1">
      <c r="D681" s="621"/>
      <c r="E681" s="621"/>
      <c r="F681" s="621"/>
      <c r="G681" s="621"/>
      <c r="H681" s="621"/>
      <c r="I681" s="621"/>
      <c r="J681" s="621"/>
      <c r="BM681" s="1025"/>
      <c r="BO681" s="43"/>
    </row>
    <row r="682" spans="4:67" ht="18.75" customHeight="1">
      <c r="D682" s="621"/>
      <c r="E682" s="621"/>
      <c r="F682" s="621"/>
      <c r="G682" s="621"/>
      <c r="H682" s="621"/>
      <c r="I682" s="621"/>
      <c r="J682" s="621"/>
      <c r="BM682" s="1025"/>
      <c r="BO682" s="43"/>
    </row>
    <row r="683" spans="4:67" ht="18.75" customHeight="1">
      <c r="D683" s="621"/>
      <c r="E683" s="621"/>
      <c r="F683" s="621"/>
      <c r="G683" s="621"/>
      <c r="H683" s="621"/>
      <c r="I683" s="621"/>
      <c r="J683" s="621"/>
      <c r="BM683" s="1025"/>
      <c r="BO683" s="43"/>
    </row>
    <row r="684" spans="4:67" ht="18.75" customHeight="1">
      <c r="D684" s="621"/>
      <c r="E684" s="621"/>
      <c r="F684" s="621"/>
      <c r="G684" s="621"/>
      <c r="H684" s="621"/>
      <c r="I684" s="621"/>
      <c r="J684" s="621"/>
      <c r="BM684" s="1025"/>
      <c r="BO684" s="43"/>
    </row>
    <row r="685" spans="4:67" ht="18.75" customHeight="1">
      <c r="D685" s="621"/>
      <c r="E685" s="621"/>
      <c r="F685" s="621"/>
      <c r="G685" s="621"/>
      <c r="H685" s="621"/>
      <c r="I685" s="621"/>
      <c r="J685" s="621"/>
      <c r="BM685" s="1025"/>
      <c r="BO685" s="43"/>
    </row>
    <row r="686" spans="4:67" ht="18.75" customHeight="1">
      <c r="D686" s="621"/>
      <c r="E686" s="621"/>
      <c r="F686" s="621"/>
      <c r="G686" s="621"/>
      <c r="H686" s="621"/>
      <c r="I686" s="621"/>
      <c r="J686" s="621"/>
      <c r="BM686" s="1025"/>
      <c r="BO686" s="43"/>
    </row>
    <row r="687" spans="4:67" ht="18.75" customHeight="1">
      <c r="D687" s="621"/>
      <c r="E687" s="621"/>
      <c r="F687" s="621"/>
      <c r="G687" s="621"/>
      <c r="H687" s="621"/>
      <c r="I687" s="621"/>
      <c r="J687" s="621"/>
      <c r="BM687" s="1025"/>
      <c r="BO687" s="43"/>
    </row>
    <row r="688" spans="4:67" ht="18.75" customHeight="1">
      <c r="D688" s="621"/>
      <c r="E688" s="621"/>
      <c r="F688" s="621"/>
      <c r="G688" s="621"/>
      <c r="H688" s="621"/>
      <c r="I688" s="621"/>
      <c r="J688" s="621"/>
      <c r="BM688" s="1025"/>
      <c r="BO688" s="43"/>
    </row>
    <row r="689" spans="4:67" ht="18.75" customHeight="1">
      <c r="D689" s="621"/>
      <c r="E689" s="621"/>
      <c r="F689" s="621"/>
      <c r="G689" s="621"/>
      <c r="H689" s="621"/>
      <c r="I689" s="621"/>
      <c r="J689" s="621"/>
      <c r="BM689" s="1025"/>
      <c r="BO689" s="43"/>
    </row>
    <row r="690" spans="4:67" ht="18.75" customHeight="1">
      <c r="D690" s="621"/>
      <c r="E690" s="621"/>
      <c r="F690" s="621"/>
      <c r="G690" s="621"/>
      <c r="H690" s="621"/>
      <c r="I690" s="621"/>
      <c r="J690" s="621"/>
      <c r="BM690" s="1025"/>
      <c r="BO690" s="43"/>
    </row>
    <row r="691" spans="4:67" ht="18.75" customHeight="1">
      <c r="D691" s="621"/>
      <c r="E691" s="621"/>
      <c r="F691" s="621"/>
      <c r="G691" s="621"/>
      <c r="H691" s="621"/>
      <c r="I691" s="621"/>
      <c r="J691" s="621"/>
      <c r="BM691" s="1025"/>
      <c r="BO691" s="43"/>
    </row>
    <row r="692" spans="4:67" ht="18.75" customHeight="1">
      <c r="D692" s="621"/>
      <c r="E692" s="621"/>
      <c r="F692" s="621"/>
      <c r="G692" s="621"/>
      <c r="H692" s="621"/>
      <c r="I692" s="621"/>
      <c r="J692" s="621"/>
      <c r="BM692" s="1025"/>
      <c r="BO692" s="43"/>
    </row>
    <row r="693" spans="4:67" ht="18.75" customHeight="1">
      <c r="D693" s="621"/>
      <c r="E693" s="621"/>
      <c r="F693" s="621"/>
      <c r="G693" s="621"/>
      <c r="H693" s="621"/>
      <c r="I693" s="621"/>
      <c r="J693" s="621"/>
      <c r="BM693" s="1025"/>
      <c r="BO693" s="43"/>
    </row>
    <row r="694" spans="4:67" ht="18.75" customHeight="1">
      <c r="D694" s="621"/>
      <c r="E694" s="621"/>
      <c r="F694" s="621"/>
      <c r="G694" s="621"/>
      <c r="H694" s="621"/>
      <c r="I694" s="621"/>
      <c r="J694" s="621"/>
      <c r="BM694" s="1025"/>
      <c r="BO694" s="43"/>
    </row>
    <row r="695" spans="4:67" ht="18.75" customHeight="1">
      <c r="D695" s="621"/>
      <c r="E695" s="621"/>
      <c r="F695" s="621"/>
      <c r="G695" s="621"/>
      <c r="H695" s="621"/>
      <c r="I695" s="621"/>
      <c r="J695" s="621"/>
      <c r="BM695" s="1025"/>
      <c r="BO695" s="43"/>
    </row>
    <row r="696" spans="4:67" ht="18.75" customHeight="1">
      <c r="D696" s="621"/>
      <c r="E696" s="621"/>
      <c r="F696" s="621"/>
      <c r="G696" s="621"/>
      <c r="H696" s="621"/>
      <c r="I696" s="621"/>
      <c r="J696" s="621"/>
      <c r="BM696" s="1025"/>
      <c r="BO696" s="43"/>
    </row>
    <row r="697" spans="4:67" ht="18.75" customHeight="1">
      <c r="D697" s="621"/>
      <c r="E697" s="621"/>
      <c r="F697" s="621"/>
      <c r="G697" s="621"/>
      <c r="H697" s="621"/>
      <c r="I697" s="621"/>
      <c r="J697" s="621"/>
      <c r="BM697" s="1025"/>
      <c r="BO697" s="43"/>
    </row>
    <row r="698" spans="4:67" ht="18.75" customHeight="1">
      <c r="D698" s="621"/>
      <c r="E698" s="621"/>
      <c r="F698" s="621"/>
      <c r="G698" s="621"/>
      <c r="H698" s="621"/>
      <c r="I698" s="621"/>
      <c r="J698" s="621"/>
      <c r="BM698" s="1025"/>
      <c r="BO698" s="43"/>
    </row>
    <row r="699" spans="4:67" ht="18.75" customHeight="1">
      <c r="D699" s="621"/>
      <c r="E699" s="621"/>
      <c r="F699" s="621"/>
      <c r="G699" s="621"/>
      <c r="H699" s="621"/>
      <c r="I699" s="621"/>
      <c r="J699" s="621"/>
      <c r="BM699" s="1025"/>
      <c r="BO699" s="43"/>
    </row>
    <row r="700" spans="4:67" ht="18.75" customHeight="1">
      <c r="D700" s="621"/>
      <c r="E700" s="621"/>
      <c r="F700" s="621"/>
      <c r="G700" s="621"/>
      <c r="H700" s="621"/>
      <c r="I700" s="621"/>
      <c r="J700" s="621"/>
      <c r="BM700" s="1025"/>
      <c r="BO700" s="43"/>
    </row>
    <row r="701" spans="4:67" ht="18.75" customHeight="1">
      <c r="D701" s="621"/>
      <c r="E701" s="621"/>
      <c r="F701" s="621"/>
      <c r="G701" s="621"/>
      <c r="H701" s="621"/>
      <c r="I701" s="621"/>
      <c r="J701" s="621"/>
      <c r="BM701" s="1025"/>
      <c r="BO701" s="43"/>
    </row>
    <row r="702" spans="4:67" ht="18.75" customHeight="1">
      <c r="D702" s="621"/>
      <c r="E702" s="621"/>
      <c r="F702" s="621"/>
      <c r="G702" s="621"/>
      <c r="H702" s="621"/>
      <c r="I702" s="621"/>
      <c r="J702" s="621"/>
      <c r="BM702" s="1025"/>
      <c r="BO702" s="43"/>
    </row>
    <row r="703" spans="4:67" ht="18.75" customHeight="1">
      <c r="D703" s="621"/>
      <c r="E703" s="621"/>
      <c r="F703" s="621"/>
      <c r="G703" s="621"/>
      <c r="H703" s="621"/>
      <c r="I703" s="621"/>
      <c r="J703" s="621"/>
      <c r="BM703" s="1025"/>
      <c r="BO703" s="43"/>
    </row>
    <row r="704" spans="4:67" ht="18.75" customHeight="1">
      <c r="D704" s="621"/>
      <c r="E704" s="621"/>
      <c r="F704" s="621"/>
      <c r="G704" s="621"/>
      <c r="H704" s="621"/>
      <c r="I704" s="621"/>
      <c r="J704" s="621"/>
      <c r="BM704" s="1025"/>
      <c r="BO704" s="43"/>
    </row>
    <row r="705" spans="4:67" ht="18.75" customHeight="1">
      <c r="D705" s="621"/>
      <c r="E705" s="621"/>
      <c r="F705" s="621"/>
      <c r="G705" s="621"/>
      <c r="H705" s="621"/>
      <c r="I705" s="621"/>
      <c r="J705" s="621"/>
      <c r="BM705" s="1025"/>
      <c r="BO705" s="43"/>
    </row>
    <row r="706" spans="4:67" ht="18.75" customHeight="1">
      <c r="D706" s="621"/>
      <c r="E706" s="621"/>
      <c r="F706" s="621"/>
      <c r="G706" s="621"/>
      <c r="H706" s="621"/>
      <c r="I706" s="621"/>
      <c r="J706" s="621"/>
      <c r="BM706" s="1025"/>
      <c r="BO706" s="43"/>
    </row>
    <row r="707" spans="4:67" ht="18.75" customHeight="1">
      <c r="D707" s="621"/>
      <c r="E707" s="621"/>
      <c r="F707" s="621"/>
      <c r="G707" s="621"/>
      <c r="H707" s="621"/>
      <c r="I707" s="621"/>
      <c r="J707" s="621"/>
      <c r="BM707" s="1025"/>
      <c r="BO707" s="43"/>
    </row>
    <row r="708" spans="4:67" ht="18.75" customHeight="1">
      <c r="D708" s="621"/>
      <c r="E708" s="621"/>
      <c r="F708" s="621"/>
      <c r="G708" s="621"/>
      <c r="H708" s="621"/>
      <c r="I708" s="621"/>
      <c r="J708" s="621"/>
      <c r="BM708" s="1025"/>
      <c r="BO708" s="43"/>
    </row>
    <row r="709" spans="4:67" ht="18.75" customHeight="1">
      <c r="D709" s="621"/>
      <c r="E709" s="621"/>
      <c r="F709" s="621"/>
      <c r="G709" s="621"/>
      <c r="H709" s="621"/>
      <c r="I709" s="621"/>
      <c r="J709" s="621"/>
      <c r="BM709" s="1025"/>
      <c r="BO709" s="43"/>
    </row>
    <row r="710" spans="4:67" ht="18.75" customHeight="1">
      <c r="D710" s="621"/>
      <c r="E710" s="621"/>
      <c r="F710" s="621"/>
      <c r="G710" s="621"/>
      <c r="H710" s="621"/>
      <c r="I710" s="621"/>
      <c r="J710" s="621"/>
      <c r="BM710" s="1025"/>
      <c r="BO710" s="43"/>
    </row>
    <row r="711" spans="4:67" ht="18.75" customHeight="1">
      <c r="D711" s="621"/>
      <c r="E711" s="621"/>
      <c r="F711" s="621"/>
      <c r="G711" s="621"/>
      <c r="H711" s="621"/>
      <c r="I711" s="621"/>
      <c r="J711" s="621"/>
      <c r="BM711" s="1025"/>
      <c r="BO711" s="43"/>
    </row>
    <row r="712" spans="4:67" ht="18.75" customHeight="1">
      <c r="D712" s="621"/>
      <c r="E712" s="621"/>
      <c r="F712" s="621"/>
      <c r="G712" s="621"/>
      <c r="H712" s="621"/>
      <c r="I712" s="621"/>
      <c r="J712" s="621"/>
      <c r="BM712" s="1025"/>
      <c r="BO712" s="43"/>
    </row>
    <row r="713" spans="4:67" ht="18.75" customHeight="1">
      <c r="D713" s="621"/>
      <c r="E713" s="621"/>
      <c r="F713" s="621"/>
      <c r="G713" s="621"/>
      <c r="H713" s="621"/>
      <c r="I713" s="621"/>
      <c r="J713" s="621"/>
      <c r="BM713" s="1025"/>
      <c r="BO713" s="43"/>
    </row>
    <row r="714" spans="4:67" ht="18.75" customHeight="1">
      <c r="D714" s="621"/>
      <c r="E714" s="621"/>
      <c r="F714" s="621"/>
      <c r="G714" s="621"/>
      <c r="H714" s="621"/>
      <c r="I714" s="621"/>
      <c r="J714" s="621"/>
      <c r="BM714" s="1025"/>
      <c r="BO714" s="43"/>
    </row>
    <row r="715" spans="4:67" ht="18.75" customHeight="1">
      <c r="D715" s="621"/>
      <c r="E715" s="621"/>
      <c r="F715" s="621"/>
      <c r="G715" s="621"/>
      <c r="H715" s="621"/>
      <c r="I715" s="621"/>
      <c r="J715" s="621"/>
      <c r="BM715" s="1025"/>
      <c r="BO715" s="43"/>
    </row>
    <row r="716" spans="4:67" ht="18.75" customHeight="1">
      <c r="D716" s="621"/>
      <c r="E716" s="621"/>
      <c r="F716" s="621"/>
      <c r="G716" s="621"/>
      <c r="H716" s="621"/>
      <c r="I716" s="621"/>
      <c r="J716" s="621"/>
      <c r="BM716" s="1025"/>
      <c r="BO716" s="43"/>
    </row>
    <row r="717" spans="4:67" ht="18.75" customHeight="1">
      <c r="D717" s="621"/>
      <c r="E717" s="621"/>
      <c r="F717" s="621"/>
      <c r="G717" s="621"/>
      <c r="H717" s="621"/>
      <c r="I717" s="621"/>
      <c r="J717" s="621"/>
      <c r="BM717" s="1025"/>
      <c r="BO717" s="43"/>
    </row>
    <row r="718" spans="4:67" ht="18.75" customHeight="1">
      <c r="D718" s="621"/>
      <c r="E718" s="621"/>
      <c r="F718" s="621"/>
      <c r="G718" s="621"/>
      <c r="H718" s="621"/>
      <c r="I718" s="621"/>
      <c r="J718" s="621"/>
      <c r="BM718" s="1025"/>
      <c r="BO718" s="43"/>
    </row>
    <row r="719" spans="4:67" ht="18.75" customHeight="1">
      <c r="D719" s="621"/>
      <c r="E719" s="621"/>
      <c r="F719" s="621"/>
      <c r="G719" s="621"/>
      <c r="H719" s="621"/>
      <c r="I719" s="621"/>
      <c r="J719" s="621"/>
      <c r="BM719" s="1025"/>
      <c r="BO719" s="43"/>
    </row>
    <row r="720" spans="4:67" ht="18.75" customHeight="1">
      <c r="D720" s="621"/>
      <c r="E720" s="621"/>
      <c r="F720" s="621"/>
      <c r="G720" s="621"/>
      <c r="H720" s="621"/>
      <c r="I720" s="621"/>
      <c r="J720" s="621"/>
      <c r="BM720" s="1025"/>
      <c r="BO720" s="43"/>
    </row>
    <row r="721" spans="4:67" ht="18.75" customHeight="1">
      <c r="D721" s="621"/>
      <c r="E721" s="621"/>
      <c r="F721" s="621"/>
      <c r="G721" s="621"/>
      <c r="H721" s="621"/>
      <c r="I721" s="621"/>
      <c r="J721" s="621"/>
      <c r="BM721" s="1025"/>
      <c r="BO721" s="43"/>
    </row>
    <row r="722" spans="4:67" ht="18.75" customHeight="1">
      <c r="D722" s="621"/>
      <c r="E722" s="621"/>
      <c r="F722" s="621"/>
      <c r="G722" s="621"/>
      <c r="H722" s="621"/>
      <c r="I722" s="621"/>
      <c r="J722" s="621"/>
      <c r="BM722" s="1025"/>
      <c r="BO722" s="43"/>
    </row>
    <row r="723" spans="4:67" ht="18.75" customHeight="1">
      <c r="D723" s="621"/>
      <c r="E723" s="621"/>
      <c r="F723" s="621"/>
      <c r="G723" s="621"/>
      <c r="H723" s="621"/>
      <c r="I723" s="621"/>
      <c r="J723" s="621"/>
      <c r="BM723" s="1025"/>
      <c r="BO723" s="43"/>
    </row>
    <row r="724" spans="4:67" ht="18.75" customHeight="1">
      <c r="D724" s="621"/>
      <c r="E724" s="621"/>
      <c r="F724" s="621"/>
      <c r="G724" s="621"/>
      <c r="H724" s="621"/>
      <c r="I724" s="621"/>
      <c r="J724" s="621"/>
      <c r="BM724" s="1025"/>
      <c r="BO724" s="43"/>
    </row>
    <row r="725" spans="4:67" ht="18.75" customHeight="1">
      <c r="D725" s="621"/>
      <c r="E725" s="621"/>
      <c r="F725" s="621"/>
      <c r="G725" s="621"/>
      <c r="H725" s="621"/>
      <c r="I725" s="621"/>
      <c r="J725" s="621"/>
      <c r="BM725" s="1025"/>
      <c r="BO725" s="43"/>
    </row>
    <row r="726" spans="4:67" ht="18.75" customHeight="1">
      <c r="D726" s="621"/>
      <c r="E726" s="621"/>
      <c r="F726" s="621"/>
      <c r="G726" s="621"/>
      <c r="H726" s="621"/>
      <c r="I726" s="621"/>
      <c r="J726" s="621"/>
      <c r="BM726" s="1025"/>
      <c r="BO726" s="43"/>
    </row>
    <row r="727" spans="4:67" ht="18.75" customHeight="1">
      <c r="D727" s="621"/>
      <c r="E727" s="621"/>
      <c r="F727" s="621"/>
      <c r="G727" s="621"/>
      <c r="H727" s="621"/>
      <c r="I727" s="621"/>
      <c r="J727" s="621"/>
      <c r="BM727" s="1025"/>
      <c r="BO727" s="43"/>
    </row>
    <row r="728" spans="4:67" ht="18.75" customHeight="1">
      <c r="D728" s="621"/>
      <c r="E728" s="621"/>
      <c r="F728" s="621"/>
      <c r="G728" s="621"/>
      <c r="H728" s="621"/>
      <c r="I728" s="621"/>
      <c r="J728" s="621"/>
      <c r="BM728" s="1025"/>
      <c r="BO728" s="43"/>
    </row>
    <row r="729" spans="4:67" ht="18.75" customHeight="1">
      <c r="D729" s="621"/>
      <c r="E729" s="621"/>
      <c r="F729" s="621"/>
      <c r="G729" s="621"/>
      <c r="H729" s="621"/>
      <c r="I729" s="621"/>
      <c r="J729" s="621"/>
      <c r="BM729" s="1025"/>
      <c r="BO729" s="43"/>
    </row>
    <row r="730" spans="4:67" ht="18.75" customHeight="1">
      <c r="D730" s="621"/>
      <c r="E730" s="621"/>
      <c r="F730" s="621"/>
      <c r="G730" s="621"/>
      <c r="H730" s="621"/>
      <c r="I730" s="621"/>
      <c r="J730" s="621"/>
      <c r="BM730" s="1025"/>
      <c r="BO730" s="43"/>
    </row>
    <row r="731" spans="4:67" ht="18.75" customHeight="1">
      <c r="D731" s="621"/>
      <c r="E731" s="621"/>
      <c r="F731" s="621"/>
      <c r="G731" s="621"/>
      <c r="H731" s="621"/>
      <c r="I731" s="621"/>
      <c r="J731" s="621"/>
      <c r="BM731" s="1025"/>
      <c r="BO731" s="43"/>
    </row>
    <row r="732" spans="4:67" ht="18.75" customHeight="1">
      <c r="D732" s="621"/>
      <c r="E732" s="621"/>
      <c r="F732" s="621"/>
      <c r="G732" s="621"/>
      <c r="H732" s="621"/>
      <c r="I732" s="621"/>
      <c r="J732" s="621"/>
      <c r="BM732" s="1025"/>
      <c r="BO732" s="43"/>
    </row>
    <row r="733" spans="4:67" ht="18.75" customHeight="1">
      <c r="D733" s="621"/>
      <c r="E733" s="621"/>
      <c r="F733" s="621"/>
      <c r="G733" s="621"/>
      <c r="H733" s="621"/>
      <c r="I733" s="621"/>
      <c r="J733" s="621"/>
      <c r="BM733" s="1025"/>
      <c r="BO733" s="43"/>
    </row>
    <row r="734" spans="4:67" ht="18.75" customHeight="1">
      <c r="D734" s="621"/>
      <c r="E734" s="621"/>
      <c r="F734" s="621"/>
      <c r="G734" s="621"/>
      <c r="H734" s="621"/>
      <c r="I734" s="621"/>
      <c r="J734" s="621"/>
      <c r="BM734" s="1025"/>
      <c r="BO734" s="43"/>
    </row>
    <row r="735" spans="4:67" ht="18.75" customHeight="1">
      <c r="D735" s="621"/>
      <c r="E735" s="621"/>
      <c r="F735" s="621"/>
      <c r="G735" s="621"/>
      <c r="H735" s="621"/>
      <c r="I735" s="621"/>
      <c r="J735" s="621"/>
      <c r="BM735" s="1025"/>
      <c r="BO735" s="43"/>
    </row>
    <row r="736" spans="4:67" ht="18.75" customHeight="1">
      <c r="D736" s="621"/>
      <c r="E736" s="621"/>
      <c r="F736" s="621"/>
      <c r="G736" s="621"/>
      <c r="H736" s="621"/>
      <c r="I736" s="621"/>
      <c r="J736" s="621"/>
      <c r="BM736" s="1025"/>
      <c r="BO736" s="43"/>
    </row>
    <row r="737" spans="4:67" ht="18.75" customHeight="1">
      <c r="D737" s="621"/>
      <c r="E737" s="621"/>
      <c r="F737" s="621"/>
      <c r="G737" s="621"/>
      <c r="H737" s="621"/>
      <c r="I737" s="621"/>
      <c r="J737" s="621"/>
      <c r="BM737" s="1025"/>
      <c r="BO737" s="43"/>
    </row>
    <row r="738" spans="4:67" ht="18.75" customHeight="1">
      <c r="D738" s="621"/>
      <c r="E738" s="621"/>
      <c r="F738" s="621"/>
      <c r="G738" s="621"/>
      <c r="H738" s="621"/>
      <c r="I738" s="621"/>
      <c r="J738" s="621"/>
      <c r="BM738" s="1025"/>
      <c r="BO738" s="43"/>
    </row>
    <row r="739" spans="4:67" ht="18.75" customHeight="1">
      <c r="D739" s="621"/>
      <c r="E739" s="621"/>
      <c r="F739" s="621"/>
      <c r="G739" s="621"/>
      <c r="H739" s="621"/>
      <c r="I739" s="621"/>
      <c r="J739" s="621"/>
      <c r="BM739" s="1025"/>
      <c r="BO739" s="43"/>
    </row>
    <row r="740" spans="4:67" ht="18.75" customHeight="1">
      <c r="D740" s="621"/>
      <c r="E740" s="621"/>
      <c r="F740" s="621"/>
      <c r="G740" s="621"/>
      <c r="H740" s="621"/>
      <c r="I740" s="621"/>
      <c r="J740" s="621"/>
      <c r="BM740" s="1025"/>
      <c r="BO740" s="43"/>
    </row>
    <row r="741" spans="4:67" ht="18.75" customHeight="1">
      <c r="D741" s="621"/>
      <c r="E741" s="621"/>
      <c r="F741" s="621"/>
      <c r="G741" s="621"/>
      <c r="H741" s="621"/>
      <c r="I741" s="621"/>
      <c r="J741" s="621"/>
      <c r="BM741" s="1025"/>
      <c r="BO741" s="43"/>
    </row>
    <row r="742" spans="4:67" ht="18.75" customHeight="1">
      <c r="D742" s="621"/>
      <c r="E742" s="621"/>
      <c r="F742" s="621"/>
      <c r="G742" s="621"/>
      <c r="H742" s="621"/>
      <c r="I742" s="621"/>
      <c r="J742" s="621"/>
      <c r="BM742" s="1025"/>
      <c r="BO742" s="43"/>
    </row>
    <row r="743" spans="4:67" ht="18.75" customHeight="1">
      <c r="D743" s="621"/>
      <c r="E743" s="621"/>
      <c r="F743" s="621"/>
      <c r="G743" s="621"/>
      <c r="H743" s="621"/>
      <c r="I743" s="621"/>
      <c r="J743" s="621"/>
      <c r="BM743" s="1025"/>
      <c r="BO743" s="43"/>
    </row>
    <row r="744" spans="4:67" ht="18.75" customHeight="1">
      <c r="D744" s="621"/>
      <c r="E744" s="621"/>
      <c r="F744" s="621"/>
      <c r="G744" s="621"/>
      <c r="H744" s="621"/>
      <c r="I744" s="621"/>
      <c r="J744" s="621"/>
      <c r="BM744" s="1025"/>
      <c r="BO744" s="43"/>
    </row>
    <row r="745" spans="4:67" ht="18.75" customHeight="1">
      <c r="D745" s="621"/>
      <c r="E745" s="621"/>
      <c r="F745" s="621"/>
      <c r="G745" s="621"/>
      <c r="H745" s="621"/>
      <c r="I745" s="621"/>
      <c r="J745" s="621"/>
      <c r="BM745" s="1025"/>
      <c r="BO745" s="43"/>
    </row>
    <row r="746" spans="4:67" ht="18.75" customHeight="1">
      <c r="D746" s="621"/>
      <c r="E746" s="621"/>
      <c r="F746" s="621"/>
      <c r="G746" s="621"/>
      <c r="H746" s="621"/>
      <c r="I746" s="621"/>
      <c r="J746" s="621"/>
      <c r="BM746" s="1025"/>
      <c r="BO746" s="43"/>
    </row>
    <row r="747" spans="4:67" ht="18.75" customHeight="1">
      <c r="D747" s="621"/>
      <c r="E747" s="621"/>
      <c r="F747" s="621"/>
      <c r="G747" s="621"/>
      <c r="H747" s="621"/>
      <c r="I747" s="621"/>
      <c r="J747" s="621"/>
      <c r="BM747" s="1025"/>
      <c r="BO747" s="43"/>
    </row>
    <row r="748" spans="4:67" ht="18.75" customHeight="1">
      <c r="D748" s="621"/>
      <c r="E748" s="621"/>
      <c r="F748" s="621"/>
      <c r="G748" s="621"/>
      <c r="H748" s="621"/>
      <c r="I748" s="621"/>
      <c r="J748" s="621"/>
      <c r="BM748" s="1025"/>
      <c r="BO748" s="43"/>
    </row>
    <row r="749" spans="4:67" ht="18.75" customHeight="1">
      <c r="D749" s="621"/>
      <c r="E749" s="621"/>
      <c r="F749" s="621"/>
      <c r="G749" s="621"/>
      <c r="H749" s="621"/>
      <c r="I749" s="621"/>
      <c r="J749" s="621"/>
      <c r="BM749" s="1025"/>
      <c r="BO749" s="43"/>
    </row>
    <row r="750" spans="4:67" ht="18.75" customHeight="1">
      <c r="D750" s="621"/>
      <c r="E750" s="621"/>
      <c r="F750" s="621"/>
      <c r="G750" s="621"/>
      <c r="H750" s="621"/>
      <c r="I750" s="621"/>
      <c r="J750" s="621"/>
      <c r="BM750" s="1025"/>
      <c r="BO750" s="43"/>
    </row>
    <row r="751" spans="4:67" ht="18.75" customHeight="1">
      <c r="D751" s="621"/>
      <c r="E751" s="621"/>
      <c r="F751" s="621"/>
      <c r="G751" s="621"/>
      <c r="H751" s="621"/>
      <c r="I751" s="621"/>
      <c r="J751" s="621"/>
      <c r="BM751" s="1025"/>
      <c r="BO751" s="43"/>
    </row>
    <row r="752" spans="4:67" ht="18.75" customHeight="1">
      <c r="D752" s="621"/>
      <c r="E752" s="621"/>
      <c r="F752" s="621"/>
      <c r="G752" s="621"/>
      <c r="H752" s="621"/>
      <c r="I752" s="621"/>
      <c r="J752" s="621"/>
      <c r="BM752" s="1025"/>
      <c r="BO752" s="43"/>
    </row>
    <row r="753" spans="4:67" ht="18.75" customHeight="1">
      <c r="D753" s="621"/>
      <c r="E753" s="621"/>
      <c r="F753" s="621"/>
      <c r="G753" s="621"/>
      <c r="H753" s="621"/>
      <c r="I753" s="621"/>
      <c r="J753" s="621"/>
      <c r="BM753" s="1025"/>
      <c r="BO753" s="43"/>
    </row>
    <row r="754" spans="4:67" ht="18.75" customHeight="1">
      <c r="D754" s="621"/>
      <c r="E754" s="621"/>
      <c r="F754" s="621"/>
      <c r="G754" s="621"/>
      <c r="H754" s="621"/>
      <c r="I754" s="621"/>
      <c r="J754" s="621"/>
      <c r="BM754" s="1025"/>
      <c r="BO754" s="43"/>
    </row>
    <row r="755" spans="4:67" ht="18.75" customHeight="1">
      <c r="D755" s="621"/>
      <c r="E755" s="621"/>
      <c r="F755" s="621"/>
      <c r="G755" s="621"/>
      <c r="H755" s="621"/>
      <c r="I755" s="621"/>
      <c r="J755" s="621"/>
      <c r="BM755" s="1025"/>
      <c r="BO755" s="43"/>
    </row>
    <row r="756" spans="4:67" ht="18.75" customHeight="1">
      <c r="D756" s="621"/>
      <c r="E756" s="621"/>
      <c r="F756" s="621"/>
      <c r="G756" s="621"/>
      <c r="H756" s="621"/>
      <c r="I756" s="621"/>
      <c r="J756" s="621"/>
      <c r="BM756" s="1025"/>
      <c r="BO756" s="43"/>
    </row>
    <row r="757" spans="4:67" ht="18.75" customHeight="1">
      <c r="D757" s="621"/>
      <c r="E757" s="621"/>
      <c r="F757" s="621"/>
      <c r="G757" s="621"/>
      <c r="H757" s="621"/>
      <c r="I757" s="621"/>
      <c r="J757" s="621"/>
      <c r="BM757" s="1025"/>
      <c r="BO757" s="43"/>
    </row>
    <row r="758" spans="4:67" ht="18.75" customHeight="1">
      <c r="D758" s="621"/>
      <c r="E758" s="621"/>
      <c r="F758" s="621"/>
      <c r="G758" s="621"/>
      <c r="H758" s="621"/>
      <c r="I758" s="621"/>
      <c r="J758" s="621"/>
      <c r="BM758" s="1025"/>
      <c r="BO758" s="43"/>
    </row>
    <row r="759" spans="4:67" ht="18.75" customHeight="1">
      <c r="D759" s="621"/>
      <c r="E759" s="621"/>
      <c r="F759" s="621"/>
      <c r="G759" s="621"/>
      <c r="H759" s="621"/>
      <c r="I759" s="621"/>
      <c r="J759" s="621"/>
      <c r="BM759" s="1025"/>
      <c r="BO759" s="43"/>
    </row>
    <row r="760" spans="4:67" ht="18.75" customHeight="1">
      <c r="D760" s="621"/>
      <c r="E760" s="621"/>
      <c r="F760" s="621"/>
      <c r="G760" s="621"/>
      <c r="H760" s="621"/>
      <c r="I760" s="621"/>
      <c r="J760" s="621"/>
      <c r="BM760" s="1025"/>
      <c r="BO760" s="43"/>
    </row>
    <row r="761" spans="4:67" ht="18.75" customHeight="1">
      <c r="D761" s="621"/>
      <c r="E761" s="621"/>
      <c r="F761" s="621"/>
      <c r="G761" s="621"/>
      <c r="H761" s="621"/>
      <c r="I761" s="621"/>
      <c r="J761" s="621"/>
      <c r="BM761" s="1025"/>
      <c r="BO761" s="43"/>
    </row>
    <row r="762" spans="4:67" ht="18.75" customHeight="1">
      <c r="D762" s="621"/>
      <c r="E762" s="621"/>
      <c r="F762" s="621"/>
      <c r="G762" s="621"/>
      <c r="H762" s="621"/>
      <c r="I762" s="621"/>
      <c r="J762" s="621"/>
      <c r="BM762" s="1025"/>
      <c r="BO762" s="43"/>
    </row>
    <row r="763" spans="4:67" ht="18.75" customHeight="1">
      <c r="D763" s="621"/>
      <c r="E763" s="621"/>
      <c r="F763" s="621"/>
      <c r="G763" s="621"/>
      <c r="H763" s="621"/>
      <c r="I763" s="621"/>
      <c r="J763" s="621"/>
      <c r="BM763" s="1025"/>
      <c r="BO763" s="43"/>
    </row>
    <row r="764" spans="4:67" ht="18.75" customHeight="1">
      <c r="D764" s="621"/>
      <c r="E764" s="621"/>
      <c r="F764" s="621"/>
      <c r="G764" s="621"/>
      <c r="H764" s="621"/>
      <c r="I764" s="621"/>
      <c r="J764" s="621"/>
      <c r="BM764" s="1025"/>
      <c r="BO764" s="43"/>
    </row>
    <row r="765" spans="4:67" ht="18.75" customHeight="1">
      <c r="D765" s="621"/>
      <c r="E765" s="621"/>
      <c r="F765" s="621"/>
      <c r="G765" s="621"/>
      <c r="H765" s="621"/>
      <c r="I765" s="621"/>
      <c r="J765" s="621"/>
      <c r="BM765" s="1025"/>
      <c r="BO765" s="43"/>
    </row>
    <row r="766" spans="4:67" ht="18.75" customHeight="1">
      <c r="D766" s="621"/>
      <c r="E766" s="621"/>
      <c r="F766" s="621"/>
      <c r="G766" s="621"/>
      <c r="H766" s="621"/>
      <c r="I766" s="621"/>
      <c r="J766" s="621"/>
      <c r="BM766" s="1025"/>
      <c r="BO766" s="43"/>
    </row>
    <row r="767" spans="4:67" ht="18.75" customHeight="1">
      <c r="D767" s="621"/>
      <c r="E767" s="621"/>
      <c r="F767" s="621"/>
      <c r="G767" s="621"/>
      <c r="H767" s="621"/>
      <c r="I767" s="621"/>
      <c r="J767" s="621"/>
      <c r="BM767" s="1025"/>
      <c r="BO767" s="43"/>
    </row>
    <row r="768" spans="4:67" ht="18.75" customHeight="1">
      <c r="D768" s="621"/>
      <c r="E768" s="621"/>
      <c r="F768" s="621"/>
      <c r="G768" s="621"/>
      <c r="H768" s="621"/>
      <c r="I768" s="621"/>
      <c r="J768" s="621"/>
      <c r="BM768" s="1025"/>
      <c r="BO768" s="43"/>
    </row>
    <row r="769" spans="4:67" ht="18.75" customHeight="1">
      <c r="D769" s="621"/>
      <c r="E769" s="621"/>
      <c r="F769" s="621"/>
      <c r="G769" s="621"/>
      <c r="H769" s="621"/>
      <c r="I769" s="621"/>
      <c r="J769" s="621"/>
      <c r="BM769" s="1025"/>
      <c r="BO769" s="43"/>
    </row>
    <row r="770" spans="4:67" ht="18.75" customHeight="1">
      <c r="D770" s="621"/>
      <c r="E770" s="621"/>
      <c r="F770" s="621"/>
      <c r="G770" s="621"/>
      <c r="H770" s="621"/>
      <c r="I770" s="621"/>
      <c r="J770" s="621"/>
      <c r="BM770" s="1025"/>
      <c r="BO770" s="43"/>
    </row>
    <row r="771" spans="4:67" ht="18.75" customHeight="1">
      <c r="D771" s="621"/>
      <c r="E771" s="621"/>
      <c r="F771" s="621"/>
      <c r="G771" s="621"/>
      <c r="H771" s="621"/>
      <c r="I771" s="621"/>
      <c r="J771" s="621"/>
      <c r="BM771" s="1025"/>
      <c r="BO771" s="43"/>
    </row>
    <row r="772" spans="4:67" ht="18.75" customHeight="1">
      <c r="D772" s="621"/>
      <c r="E772" s="621"/>
      <c r="F772" s="621"/>
      <c r="G772" s="621"/>
      <c r="H772" s="621"/>
      <c r="I772" s="621"/>
      <c r="J772" s="621"/>
      <c r="BM772" s="1025"/>
      <c r="BO772" s="43"/>
    </row>
    <row r="773" spans="4:67" ht="18.75" customHeight="1">
      <c r="D773" s="621"/>
      <c r="E773" s="621"/>
      <c r="F773" s="621"/>
      <c r="G773" s="621"/>
      <c r="H773" s="621"/>
      <c r="I773" s="621"/>
      <c r="J773" s="621"/>
      <c r="BM773" s="1025"/>
      <c r="BO773" s="43"/>
    </row>
    <row r="774" spans="4:67" ht="18.75" customHeight="1">
      <c r="D774" s="621"/>
      <c r="E774" s="621"/>
      <c r="F774" s="621"/>
      <c r="G774" s="621"/>
      <c r="H774" s="621"/>
      <c r="I774" s="621"/>
      <c r="J774" s="621"/>
      <c r="BM774" s="1025"/>
      <c r="BO774" s="43"/>
    </row>
    <row r="775" spans="4:67" ht="18.75" customHeight="1">
      <c r="D775" s="621"/>
      <c r="E775" s="621"/>
      <c r="F775" s="621"/>
      <c r="G775" s="621"/>
      <c r="H775" s="621"/>
      <c r="I775" s="621"/>
      <c r="J775" s="621"/>
      <c r="BM775" s="1025"/>
      <c r="BO775" s="43"/>
    </row>
    <row r="776" spans="4:67" ht="18.75" customHeight="1">
      <c r="D776" s="621"/>
      <c r="E776" s="621"/>
      <c r="F776" s="621"/>
      <c r="G776" s="621"/>
      <c r="H776" s="621"/>
      <c r="I776" s="621"/>
      <c r="J776" s="621"/>
      <c r="BM776" s="1025"/>
      <c r="BO776" s="43"/>
    </row>
    <row r="777" spans="4:67" ht="18.75" customHeight="1">
      <c r="D777" s="621"/>
      <c r="E777" s="621"/>
      <c r="F777" s="621"/>
      <c r="G777" s="621"/>
      <c r="H777" s="621"/>
      <c r="I777" s="621"/>
      <c r="J777" s="621"/>
      <c r="BM777" s="1025"/>
      <c r="BO777" s="43"/>
    </row>
    <row r="778" spans="4:67" ht="18.75" customHeight="1">
      <c r="D778" s="621"/>
      <c r="E778" s="621"/>
      <c r="F778" s="621"/>
      <c r="G778" s="621"/>
      <c r="H778" s="621"/>
      <c r="I778" s="621"/>
      <c r="J778" s="621"/>
      <c r="BM778" s="1025"/>
      <c r="BO778" s="43"/>
    </row>
    <row r="779" spans="4:67" ht="18.75" customHeight="1">
      <c r="D779" s="621"/>
      <c r="E779" s="621"/>
      <c r="F779" s="621"/>
      <c r="G779" s="621"/>
      <c r="H779" s="621"/>
      <c r="I779" s="621"/>
      <c r="J779" s="621"/>
      <c r="BM779" s="1025"/>
      <c r="BO779" s="43"/>
    </row>
    <row r="780" spans="4:67" ht="18.75" customHeight="1">
      <c r="D780" s="621"/>
      <c r="E780" s="621"/>
      <c r="F780" s="621"/>
      <c r="G780" s="621"/>
      <c r="H780" s="621"/>
      <c r="I780" s="621"/>
      <c r="J780" s="621"/>
      <c r="BM780" s="1025"/>
      <c r="BO780" s="43"/>
    </row>
    <row r="781" spans="4:67" ht="18.75" customHeight="1">
      <c r="D781" s="621"/>
      <c r="E781" s="621"/>
      <c r="F781" s="621"/>
      <c r="G781" s="621"/>
      <c r="H781" s="621"/>
      <c r="I781" s="621"/>
      <c r="J781" s="621"/>
      <c r="BM781" s="1025"/>
      <c r="BO781" s="43"/>
    </row>
    <row r="782" spans="4:67" ht="18.75" customHeight="1">
      <c r="D782" s="621"/>
      <c r="E782" s="621"/>
      <c r="F782" s="621"/>
      <c r="G782" s="621"/>
      <c r="H782" s="621"/>
      <c r="I782" s="621"/>
      <c r="J782" s="621"/>
      <c r="BM782" s="1025"/>
      <c r="BO782" s="43"/>
    </row>
    <row r="783" spans="4:67" ht="18.75" customHeight="1">
      <c r="D783" s="621"/>
      <c r="E783" s="621"/>
      <c r="F783" s="621"/>
      <c r="G783" s="621"/>
      <c r="H783" s="621"/>
      <c r="I783" s="621"/>
      <c r="J783" s="621"/>
      <c r="BM783" s="1025"/>
      <c r="BO783" s="43"/>
    </row>
    <row r="784" spans="4:67" ht="18.75" customHeight="1">
      <c r="D784" s="621"/>
      <c r="E784" s="621"/>
      <c r="F784" s="621"/>
      <c r="G784" s="621"/>
      <c r="H784" s="621"/>
      <c r="I784" s="621"/>
      <c r="J784" s="621"/>
      <c r="BM784" s="1025"/>
      <c r="BO784" s="43"/>
    </row>
    <row r="785" spans="4:67" ht="18.75" customHeight="1">
      <c r="D785" s="621"/>
      <c r="E785" s="621"/>
      <c r="F785" s="621"/>
      <c r="G785" s="621"/>
      <c r="H785" s="621"/>
      <c r="I785" s="621"/>
      <c r="J785" s="621"/>
      <c r="BM785" s="1025"/>
      <c r="BO785" s="43"/>
    </row>
    <row r="786" spans="4:67" ht="18.75" customHeight="1">
      <c r="D786" s="621"/>
      <c r="E786" s="621"/>
      <c r="F786" s="621"/>
      <c r="G786" s="621"/>
      <c r="H786" s="621"/>
      <c r="I786" s="621"/>
      <c r="J786" s="621"/>
      <c r="BM786" s="1025"/>
      <c r="BO786" s="43"/>
    </row>
    <row r="787" spans="4:67" ht="18.75" customHeight="1">
      <c r="D787" s="621"/>
      <c r="E787" s="621"/>
      <c r="F787" s="621"/>
      <c r="G787" s="621"/>
      <c r="H787" s="621"/>
      <c r="I787" s="621"/>
      <c r="J787" s="621"/>
      <c r="BM787" s="1025"/>
      <c r="BO787" s="43"/>
    </row>
    <row r="788" spans="4:67" ht="18.75" customHeight="1">
      <c r="D788" s="621"/>
      <c r="E788" s="621"/>
      <c r="F788" s="621"/>
      <c r="G788" s="621"/>
      <c r="H788" s="621"/>
      <c r="I788" s="621"/>
      <c r="J788" s="621"/>
      <c r="BM788" s="1025"/>
      <c r="BO788" s="43"/>
    </row>
    <row r="789" spans="4:67" ht="18.75" customHeight="1">
      <c r="D789" s="621"/>
      <c r="E789" s="621"/>
      <c r="F789" s="621"/>
      <c r="G789" s="621"/>
      <c r="H789" s="621"/>
      <c r="I789" s="621"/>
      <c r="J789" s="621"/>
      <c r="BM789" s="1025"/>
      <c r="BO789" s="43"/>
    </row>
    <row r="790" spans="4:67" ht="18.75" customHeight="1">
      <c r="D790" s="621"/>
      <c r="E790" s="621"/>
      <c r="F790" s="621"/>
      <c r="G790" s="621"/>
      <c r="H790" s="621"/>
      <c r="I790" s="621"/>
      <c r="J790" s="621"/>
      <c r="BM790" s="1025"/>
      <c r="BO790" s="43"/>
    </row>
    <row r="791" spans="4:67" ht="18.75" customHeight="1">
      <c r="D791" s="621"/>
      <c r="E791" s="621"/>
      <c r="F791" s="621"/>
      <c r="G791" s="621"/>
      <c r="H791" s="621"/>
      <c r="I791" s="621"/>
      <c r="J791" s="621"/>
      <c r="BM791" s="1025"/>
      <c r="BO791" s="43"/>
    </row>
    <row r="792" spans="4:67" ht="18.75" customHeight="1">
      <c r="D792" s="621"/>
      <c r="E792" s="621"/>
      <c r="F792" s="621"/>
      <c r="G792" s="621"/>
      <c r="H792" s="621"/>
      <c r="I792" s="621"/>
      <c r="J792" s="621"/>
      <c r="BM792" s="1025"/>
      <c r="BO792" s="43"/>
    </row>
    <row r="793" spans="4:67" ht="18.75" customHeight="1">
      <c r="D793" s="621"/>
      <c r="E793" s="621"/>
      <c r="F793" s="621"/>
      <c r="G793" s="621"/>
      <c r="H793" s="621"/>
      <c r="I793" s="621"/>
      <c r="J793" s="621"/>
      <c r="BM793" s="1025"/>
      <c r="BO793" s="43"/>
    </row>
    <row r="794" spans="4:67" ht="18.75" customHeight="1">
      <c r="D794" s="621"/>
      <c r="E794" s="621"/>
      <c r="F794" s="621"/>
      <c r="G794" s="621"/>
      <c r="H794" s="621"/>
      <c r="I794" s="621"/>
      <c r="J794" s="621"/>
      <c r="BM794" s="1025"/>
      <c r="BO794" s="43"/>
    </row>
    <row r="795" spans="4:67" ht="18.75" customHeight="1">
      <c r="D795" s="621"/>
      <c r="E795" s="621"/>
      <c r="F795" s="621"/>
      <c r="G795" s="621"/>
      <c r="H795" s="621"/>
      <c r="I795" s="621"/>
      <c r="J795" s="621"/>
      <c r="BM795" s="1025"/>
      <c r="BO795" s="43"/>
    </row>
    <row r="796" spans="4:67" ht="18.75" customHeight="1">
      <c r="D796" s="621"/>
      <c r="E796" s="621"/>
      <c r="F796" s="621"/>
      <c r="G796" s="621"/>
      <c r="H796" s="621"/>
      <c r="I796" s="621"/>
      <c r="J796" s="621"/>
      <c r="BM796" s="1025"/>
      <c r="BO796" s="43"/>
    </row>
    <row r="797" spans="4:67" ht="18.75" customHeight="1">
      <c r="D797" s="621"/>
      <c r="E797" s="621"/>
      <c r="F797" s="621"/>
      <c r="G797" s="621"/>
      <c r="H797" s="621"/>
      <c r="I797" s="621"/>
      <c r="J797" s="621"/>
      <c r="BM797" s="1025"/>
      <c r="BO797" s="43"/>
    </row>
    <row r="798" spans="4:67" ht="18.75" customHeight="1">
      <c r="D798" s="621"/>
      <c r="E798" s="621"/>
      <c r="F798" s="621"/>
      <c r="G798" s="621"/>
      <c r="H798" s="621"/>
      <c r="I798" s="621"/>
      <c r="J798" s="621"/>
      <c r="BM798" s="1025"/>
      <c r="BO798" s="43"/>
    </row>
    <row r="799" spans="4:67" ht="18.75" customHeight="1">
      <c r="D799" s="621"/>
      <c r="E799" s="621"/>
      <c r="F799" s="621"/>
      <c r="G799" s="621"/>
      <c r="H799" s="621"/>
      <c r="I799" s="621"/>
      <c r="J799" s="621"/>
      <c r="BM799" s="1025"/>
      <c r="BO799" s="43"/>
    </row>
    <row r="800" spans="4:67" ht="18.75" customHeight="1">
      <c r="D800" s="621"/>
      <c r="E800" s="621"/>
      <c r="F800" s="621"/>
      <c r="G800" s="621"/>
      <c r="H800" s="621"/>
      <c r="I800" s="621"/>
      <c r="J800" s="621"/>
      <c r="BM800" s="1025"/>
      <c r="BO800" s="43"/>
    </row>
    <row r="801" spans="4:67" ht="18.75" customHeight="1">
      <c r="D801" s="621"/>
      <c r="E801" s="621"/>
      <c r="F801" s="621"/>
      <c r="G801" s="621"/>
      <c r="H801" s="621"/>
      <c r="I801" s="621"/>
      <c r="J801" s="621"/>
      <c r="BM801" s="1025"/>
      <c r="BO801" s="43"/>
    </row>
    <row r="802" spans="4:67" ht="18.75" customHeight="1">
      <c r="D802" s="621"/>
      <c r="E802" s="621"/>
      <c r="F802" s="621"/>
      <c r="G802" s="621"/>
      <c r="H802" s="621"/>
      <c r="I802" s="621"/>
      <c r="J802" s="621"/>
      <c r="BM802" s="1025"/>
      <c r="BO802" s="43"/>
    </row>
    <row r="803" spans="4:67" ht="18.75" customHeight="1">
      <c r="D803" s="621"/>
      <c r="E803" s="621"/>
      <c r="F803" s="621"/>
      <c r="G803" s="621"/>
      <c r="H803" s="621"/>
      <c r="I803" s="621"/>
      <c r="J803" s="621"/>
      <c r="BM803" s="1025"/>
      <c r="BO803" s="43"/>
    </row>
    <row r="804" spans="4:67" ht="18.75" customHeight="1">
      <c r="D804" s="621"/>
      <c r="E804" s="621"/>
      <c r="F804" s="621"/>
      <c r="G804" s="621"/>
      <c r="H804" s="621"/>
      <c r="I804" s="621"/>
      <c r="J804" s="621"/>
      <c r="BM804" s="1025"/>
      <c r="BO804" s="43"/>
    </row>
    <row r="805" spans="4:67" ht="18.75" customHeight="1">
      <c r="D805" s="621"/>
      <c r="E805" s="621"/>
      <c r="F805" s="621"/>
      <c r="G805" s="621"/>
      <c r="H805" s="621"/>
      <c r="I805" s="621"/>
      <c r="J805" s="621"/>
      <c r="BM805" s="1025"/>
      <c r="BO805" s="43"/>
    </row>
    <row r="806" spans="4:67" ht="18.75" customHeight="1">
      <c r="D806" s="621"/>
      <c r="E806" s="621"/>
      <c r="F806" s="621"/>
      <c r="G806" s="621"/>
      <c r="H806" s="621"/>
      <c r="I806" s="621"/>
      <c r="J806" s="621"/>
      <c r="BM806" s="1025"/>
      <c r="BO806" s="43"/>
    </row>
    <row r="807" spans="4:67" ht="18.75" customHeight="1">
      <c r="D807" s="621"/>
      <c r="E807" s="621"/>
      <c r="F807" s="621"/>
      <c r="G807" s="621"/>
      <c r="H807" s="621"/>
      <c r="I807" s="621"/>
      <c r="J807" s="621"/>
      <c r="BM807" s="1025"/>
      <c r="BO807" s="43"/>
    </row>
    <row r="808" spans="4:67" ht="18.75" customHeight="1">
      <c r="D808" s="621"/>
      <c r="E808" s="621"/>
      <c r="F808" s="621"/>
      <c r="G808" s="621"/>
      <c r="H808" s="621"/>
      <c r="I808" s="621"/>
      <c r="J808" s="621"/>
      <c r="BM808" s="1025"/>
      <c r="BO808" s="43"/>
    </row>
    <row r="809" spans="4:67" ht="18.75" customHeight="1">
      <c r="D809" s="621"/>
      <c r="E809" s="621"/>
      <c r="F809" s="621"/>
      <c r="G809" s="621"/>
      <c r="H809" s="621"/>
      <c r="I809" s="621"/>
      <c r="J809" s="621"/>
      <c r="BM809" s="1025"/>
      <c r="BO809" s="43"/>
    </row>
    <row r="810" spans="4:67" ht="18.75" customHeight="1">
      <c r="D810" s="621"/>
      <c r="E810" s="621"/>
      <c r="F810" s="621"/>
      <c r="G810" s="621"/>
      <c r="H810" s="621"/>
      <c r="I810" s="621"/>
      <c r="J810" s="621"/>
      <c r="BM810" s="1025"/>
      <c r="BO810" s="43"/>
    </row>
    <row r="811" spans="4:67" ht="18.75" customHeight="1">
      <c r="D811" s="621"/>
      <c r="E811" s="621"/>
      <c r="F811" s="621"/>
      <c r="G811" s="621"/>
      <c r="H811" s="621"/>
      <c r="I811" s="621"/>
      <c r="J811" s="621"/>
      <c r="BM811" s="1025"/>
      <c r="BO811" s="43"/>
    </row>
    <row r="812" spans="4:67" ht="18.75" customHeight="1">
      <c r="D812" s="621"/>
      <c r="E812" s="621"/>
      <c r="F812" s="621"/>
      <c r="G812" s="621"/>
      <c r="H812" s="621"/>
      <c r="I812" s="621"/>
      <c r="J812" s="621"/>
      <c r="BM812" s="1025"/>
      <c r="BO812" s="43"/>
    </row>
    <row r="813" spans="4:67" ht="18.75" customHeight="1">
      <c r="D813" s="621"/>
      <c r="E813" s="621"/>
      <c r="F813" s="621"/>
      <c r="G813" s="621"/>
      <c r="H813" s="621"/>
      <c r="I813" s="621"/>
      <c r="J813" s="621"/>
      <c r="BM813" s="1025"/>
      <c r="BO813" s="43"/>
    </row>
    <row r="814" spans="4:67" ht="18.75" customHeight="1">
      <c r="D814" s="621"/>
      <c r="E814" s="621"/>
      <c r="F814" s="621"/>
      <c r="G814" s="621"/>
      <c r="H814" s="621"/>
      <c r="I814" s="621"/>
      <c r="J814" s="621"/>
      <c r="BM814" s="1025"/>
      <c r="BO814" s="43"/>
    </row>
    <row r="815" spans="4:67" ht="18.75" customHeight="1">
      <c r="D815" s="621"/>
      <c r="E815" s="621"/>
      <c r="F815" s="621"/>
      <c r="G815" s="621"/>
      <c r="H815" s="621"/>
      <c r="I815" s="621"/>
      <c r="J815" s="621"/>
      <c r="BM815" s="1025"/>
      <c r="BO815" s="43"/>
    </row>
    <row r="816" spans="4:67" ht="18.75" customHeight="1">
      <c r="D816" s="621"/>
      <c r="E816" s="621"/>
      <c r="F816" s="621"/>
      <c r="G816" s="621"/>
      <c r="H816" s="621"/>
      <c r="I816" s="621"/>
      <c r="J816" s="621"/>
      <c r="BM816" s="1025"/>
      <c r="BO816" s="43"/>
    </row>
    <row r="817" spans="4:67" ht="18.75" customHeight="1">
      <c r="D817" s="621"/>
      <c r="E817" s="621"/>
      <c r="F817" s="621"/>
      <c r="G817" s="621"/>
      <c r="H817" s="621"/>
      <c r="I817" s="621"/>
      <c r="J817" s="621"/>
      <c r="BM817" s="1025"/>
      <c r="BO817" s="43"/>
    </row>
    <row r="818" spans="4:67" ht="18.75" customHeight="1">
      <c r="D818" s="621"/>
      <c r="E818" s="621"/>
      <c r="F818" s="621"/>
      <c r="G818" s="621"/>
      <c r="H818" s="621"/>
      <c r="I818" s="621"/>
      <c r="J818" s="621"/>
      <c r="BM818" s="1025"/>
      <c r="BO818" s="43"/>
    </row>
    <row r="819" spans="4:67" ht="18.75" customHeight="1">
      <c r="D819" s="621"/>
      <c r="E819" s="621"/>
      <c r="F819" s="621"/>
      <c r="G819" s="621"/>
      <c r="H819" s="621"/>
      <c r="I819" s="621"/>
      <c r="J819" s="621"/>
      <c r="BM819" s="1025"/>
      <c r="BO819" s="43"/>
    </row>
    <row r="820" spans="4:67" ht="18.75" customHeight="1">
      <c r="D820" s="621"/>
      <c r="E820" s="621"/>
      <c r="F820" s="621"/>
      <c r="G820" s="621"/>
      <c r="H820" s="621"/>
      <c r="I820" s="621"/>
      <c r="J820" s="621"/>
      <c r="BM820" s="1025"/>
      <c r="BO820" s="43"/>
    </row>
    <row r="821" spans="4:67" ht="18.75" customHeight="1">
      <c r="D821" s="621"/>
      <c r="E821" s="621"/>
      <c r="F821" s="621"/>
      <c r="G821" s="621"/>
      <c r="H821" s="621"/>
      <c r="I821" s="621"/>
      <c r="J821" s="621"/>
      <c r="BM821" s="1025"/>
      <c r="BO821" s="43"/>
    </row>
    <row r="822" spans="4:67" ht="18.75" customHeight="1">
      <c r="D822" s="621"/>
      <c r="E822" s="621"/>
      <c r="F822" s="621"/>
      <c r="G822" s="621"/>
      <c r="H822" s="621"/>
      <c r="I822" s="621"/>
      <c r="J822" s="621"/>
      <c r="BM822" s="1025"/>
      <c r="BO822" s="43"/>
    </row>
    <row r="823" spans="4:67" ht="18.75" customHeight="1">
      <c r="D823" s="621"/>
      <c r="E823" s="621"/>
      <c r="F823" s="621"/>
      <c r="G823" s="621"/>
      <c r="H823" s="621"/>
      <c r="I823" s="621"/>
      <c r="J823" s="621"/>
      <c r="BM823" s="1025"/>
      <c r="BO823" s="43"/>
    </row>
    <row r="824" spans="4:67" ht="18.75" customHeight="1">
      <c r="D824" s="621"/>
      <c r="E824" s="621"/>
      <c r="F824" s="621"/>
      <c r="G824" s="621"/>
      <c r="H824" s="621"/>
      <c r="I824" s="621"/>
      <c r="J824" s="621"/>
      <c r="BM824" s="1025"/>
      <c r="BO824" s="43"/>
    </row>
    <row r="825" spans="4:67" ht="18.75" customHeight="1">
      <c r="D825" s="621"/>
      <c r="E825" s="621"/>
      <c r="F825" s="621"/>
      <c r="G825" s="621"/>
      <c r="H825" s="621"/>
      <c r="I825" s="621"/>
      <c r="J825" s="621"/>
      <c r="BM825" s="1025"/>
      <c r="BO825" s="43"/>
    </row>
    <row r="826" spans="4:67" ht="18.75" customHeight="1">
      <c r="D826" s="621"/>
      <c r="E826" s="621"/>
      <c r="F826" s="621"/>
      <c r="G826" s="621"/>
      <c r="H826" s="621"/>
      <c r="I826" s="621"/>
      <c r="J826" s="621"/>
      <c r="BM826" s="1025"/>
      <c r="BO826" s="43"/>
    </row>
    <row r="827" spans="4:67" ht="18.75" customHeight="1">
      <c r="D827" s="621"/>
      <c r="E827" s="621"/>
      <c r="F827" s="621"/>
      <c r="G827" s="621"/>
      <c r="H827" s="621"/>
      <c r="I827" s="621"/>
      <c r="J827" s="621"/>
      <c r="BM827" s="1025"/>
      <c r="BO827" s="43"/>
    </row>
    <row r="828" spans="4:67" ht="18.75" customHeight="1">
      <c r="D828" s="621"/>
      <c r="E828" s="621"/>
      <c r="F828" s="621"/>
      <c r="G828" s="621"/>
      <c r="H828" s="621"/>
      <c r="I828" s="621"/>
      <c r="J828" s="621"/>
      <c r="BM828" s="1025"/>
      <c r="BO828" s="43"/>
    </row>
    <row r="829" spans="4:67" ht="18.75" customHeight="1">
      <c r="D829" s="621"/>
      <c r="E829" s="621"/>
      <c r="F829" s="621"/>
      <c r="G829" s="621"/>
      <c r="H829" s="621"/>
      <c r="I829" s="621"/>
      <c r="J829" s="621"/>
      <c r="BM829" s="1025"/>
      <c r="BO829" s="43"/>
    </row>
    <row r="830" spans="4:67" ht="18.75" customHeight="1">
      <c r="D830" s="621"/>
      <c r="E830" s="621"/>
      <c r="F830" s="621"/>
      <c r="G830" s="621"/>
      <c r="H830" s="621"/>
      <c r="I830" s="621"/>
      <c r="J830" s="621"/>
      <c r="BM830" s="1025"/>
      <c r="BO830" s="43"/>
    </row>
    <row r="831" spans="4:67" ht="18.75" customHeight="1">
      <c r="D831" s="621"/>
      <c r="E831" s="621"/>
      <c r="F831" s="621"/>
      <c r="G831" s="621"/>
      <c r="H831" s="621"/>
      <c r="I831" s="621"/>
      <c r="J831" s="621"/>
      <c r="BM831" s="1025"/>
      <c r="BO831" s="43"/>
    </row>
    <row r="832" spans="4:67" ht="18.75" customHeight="1">
      <c r="D832" s="621"/>
      <c r="E832" s="621"/>
      <c r="F832" s="621"/>
      <c r="G832" s="621"/>
      <c r="H832" s="621"/>
      <c r="I832" s="621"/>
      <c r="J832" s="621"/>
      <c r="BM832" s="1025"/>
      <c r="BO832" s="43"/>
    </row>
    <row r="833" spans="4:67" ht="18.75" customHeight="1">
      <c r="D833" s="621"/>
      <c r="E833" s="621"/>
      <c r="F833" s="621"/>
      <c r="G833" s="621"/>
      <c r="H833" s="621"/>
      <c r="I833" s="621"/>
      <c r="J833" s="621"/>
      <c r="BM833" s="1025"/>
      <c r="BO833" s="43"/>
    </row>
    <row r="834" spans="4:67" ht="18.75" customHeight="1">
      <c r="D834" s="621"/>
      <c r="E834" s="621"/>
      <c r="F834" s="621"/>
      <c r="G834" s="621"/>
      <c r="H834" s="621"/>
      <c r="I834" s="621"/>
      <c r="J834" s="621"/>
      <c r="BM834" s="1025"/>
      <c r="BO834" s="43"/>
    </row>
    <row r="835" spans="4:67" ht="18.75" customHeight="1">
      <c r="D835" s="621"/>
      <c r="E835" s="621"/>
      <c r="F835" s="621"/>
      <c r="G835" s="621"/>
      <c r="H835" s="621"/>
      <c r="I835" s="621"/>
      <c r="J835" s="621"/>
      <c r="BM835" s="1025"/>
      <c r="BO835" s="43"/>
    </row>
    <row r="836" spans="4:67" ht="18.75" customHeight="1">
      <c r="D836" s="621"/>
      <c r="E836" s="621"/>
      <c r="F836" s="621"/>
      <c r="G836" s="621"/>
      <c r="H836" s="621"/>
      <c r="I836" s="621"/>
      <c r="J836" s="621"/>
      <c r="BM836" s="1025"/>
      <c r="BO836" s="43"/>
    </row>
    <row r="837" spans="4:67" ht="18.75" customHeight="1">
      <c r="D837" s="621"/>
      <c r="E837" s="621"/>
      <c r="F837" s="621"/>
      <c r="G837" s="621"/>
      <c r="H837" s="621"/>
      <c r="I837" s="621"/>
      <c r="J837" s="621"/>
      <c r="BM837" s="1025"/>
      <c r="BO837" s="43"/>
    </row>
    <row r="838" spans="4:67" ht="18.75" customHeight="1">
      <c r="D838" s="621"/>
      <c r="E838" s="621"/>
      <c r="F838" s="621"/>
      <c r="G838" s="621"/>
      <c r="H838" s="621"/>
      <c r="I838" s="621"/>
      <c r="J838" s="621"/>
      <c r="BM838" s="1025"/>
      <c r="BO838" s="43"/>
    </row>
    <row r="839" spans="4:67" ht="18.75" customHeight="1">
      <c r="D839" s="621"/>
      <c r="E839" s="621"/>
      <c r="F839" s="621"/>
      <c r="G839" s="621"/>
      <c r="H839" s="621"/>
      <c r="I839" s="621"/>
      <c r="J839" s="621"/>
      <c r="BM839" s="1025"/>
      <c r="BO839" s="43"/>
    </row>
    <row r="840" spans="4:67" ht="18.75" customHeight="1">
      <c r="D840" s="621"/>
      <c r="E840" s="621"/>
      <c r="F840" s="621"/>
      <c r="G840" s="621"/>
      <c r="H840" s="621"/>
      <c r="I840" s="621"/>
      <c r="J840" s="621"/>
      <c r="BM840" s="1025"/>
      <c r="BO840" s="43"/>
    </row>
    <row r="841" spans="4:67" ht="18.75" customHeight="1">
      <c r="D841" s="621"/>
      <c r="E841" s="621"/>
      <c r="F841" s="621"/>
      <c r="G841" s="621"/>
      <c r="H841" s="621"/>
      <c r="I841" s="621"/>
      <c r="J841" s="621"/>
      <c r="BM841" s="1025"/>
      <c r="BO841" s="43"/>
    </row>
    <row r="842" spans="4:67" ht="18.75" customHeight="1">
      <c r="D842" s="621"/>
      <c r="E842" s="621"/>
      <c r="F842" s="621"/>
      <c r="G842" s="621"/>
      <c r="H842" s="621"/>
      <c r="I842" s="621"/>
      <c r="J842" s="621"/>
      <c r="BM842" s="1025"/>
      <c r="BO842" s="43"/>
    </row>
    <row r="843" spans="4:67" ht="18.75" customHeight="1">
      <c r="D843" s="621"/>
      <c r="E843" s="621"/>
      <c r="F843" s="621"/>
      <c r="G843" s="621"/>
      <c r="H843" s="621"/>
      <c r="I843" s="621"/>
      <c r="J843" s="621"/>
      <c r="BM843" s="1025"/>
      <c r="BO843" s="43"/>
    </row>
    <row r="844" spans="4:67" ht="18.75" customHeight="1">
      <c r="D844" s="621"/>
      <c r="E844" s="621"/>
      <c r="F844" s="621"/>
      <c r="G844" s="621"/>
      <c r="H844" s="621"/>
      <c r="I844" s="621"/>
      <c r="J844" s="621"/>
      <c r="BM844" s="1025"/>
      <c r="BO844" s="43"/>
    </row>
    <row r="845" spans="4:67" ht="18.75" customHeight="1">
      <c r="BM845" s="1025"/>
      <c r="BO845" s="43"/>
    </row>
    <row r="846" spans="4:67" ht="18.75" customHeight="1">
      <c r="BM846" s="1025"/>
      <c r="BO846" s="43"/>
    </row>
    <row r="847" spans="4:67" ht="18.75" customHeight="1">
      <c r="BM847" s="1025"/>
      <c r="BO847" s="43"/>
    </row>
    <row r="848" spans="4:67" ht="18.75" customHeight="1">
      <c r="BM848" s="1025"/>
      <c r="BO848" s="43"/>
    </row>
    <row r="849" spans="65:67" ht="18.75" customHeight="1">
      <c r="BM849" s="1025"/>
      <c r="BO849" s="43"/>
    </row>
    <row r="850" spans="65:67" ht="18.75" customHeight="1">
      <c r="BM850" s="1025"/>
      <c r="BO850" s="43"/>
    </row>
    <row r="851" spans="65:67" ht="18.75" customHeight="1">
      <c r="BM851" s="1025"/>
      <c r="BO851" s="43"/>
    </row>
    <row r="852" spans="65:67" ht="18.75" customHeight="1">
      <c r="BM852" s="1025"/>
      <c r="BO852" s="43"/>
    </row>
    <row r="853" spans="65:67" ht="18.75" customHeight="1">
      <c r="BM853" s="1025"/>
      <c r="BO853" s="43"/>
    </row>
    <row r="854" spans="65:67" ht="18.75" customHeight="1">
      <c r="BM854" s="1025"/>
      <c r="BO854" s="43"/>
    </row>
    <row r="855" spans="65:67" ht="18.75" customHeight="1">
      <c r="BM855" s="1025"/>
      <c r="BO855" s="43"/>
    </row>
    <row r="856" spans="65:67" ht="18.75" customHeight="1">
      <c r="BM856" s="1025"/>
      <c r="BO856" s="43"/>
    </row>
    <row r="857" spans="65:67" ht="18.75" customHeight="1">
      <c r="BM857" s="1025"/>
      <c r="BO857" s="43"/>
    </row>
    <row r="858" spans="65:67" ht="18.75" customHeight="1">
      <c r="BM858" s="1025"/>
      <c r="BO858" s="43"/>
    </row>
    <row r="859" spans="65:67" ht="18.75" customHeight="1">
      <c r="BM859" s="1025"/>
      <c r="BO859" s="43"/>
    </row>
    <row r="860" spans="65:67" ht="18.75" customHeight="1">
      <c r="BM860" s="1025"/>
      <c r="BO860" s="43"/>
    </row>
    <row r="861" spans="65:67" ht="18.75" customHeight="1">
      <c r="BM861" s="1025"/>
      <c r="BO861" s="43"/>
    </row>
    <row r="862" spans="65:67" ht="18.75" customHeight="1">
      <c r="BM862" s="1025"/>
      <c r="BO862" s="43"/>
    </row>
    <row r="863" spans="65:67" ht="18.75" customHeight="1">
      <c r="BM863" s="1025"/>
      <c r="BO863" s="43"/>
    </row>
    <row r="864" spans="65:67" ht="18.75" customHeight="1">
      <c r="BM864" s="1025"/>
      <c r="BO864" s="43"/>
    </row>
    <row r="865" spans="65:67" ht="18.75" customHeight="1">
      <c r="BM865" s="1025"/>
      <c r="BO865" s="43"/>
    </row>
    <row r="866" spans="65:67" ht="18.75" customHeight="1">
      <c r="BM866" s="1025"/>
      <c r="BO866" s="43"/>
    </row>
    <row r="867" spans="65:67" ht="18.75" customHeight="1">
      <c r="BM867" s="1025"/>
      <c r="BO867" s="43"/>
    </row>
    <row r="868" spans="65:67" ht="18.75" customHeight="1">
      <c r="BM868" s="1025"/>
      <c r="BO868" s="43"/>
    </row>
    <row r="869" spans="65:67" ht="18.75" customHeight="1">
      <c r="BM869" s="1025"/>
      <c r="BO869" s="43"/>
    </row>
    <row r="870" spans="65:67" ht="18.75" customHeight="1">
      <c r="BM870" s="1025"/>
      <c r="BO870" s="43"/>
    </row>
    <row r="871" spans="65:67" ht="18.75" customHeight="1">
      <c r="BM871" s="1025"/>
      <c r="BO871" s="43"/>
    </row>
    <row r="872" spans="65:67" ht="18.75" customHeight="1">
      <c r="BM872" s="1025"/>
      <c r="BO872" s="43"/>
    </row>
    <row r="873" spans="65:67" ht="18.75" customHeight="1">
      <c r="BM873" s="1025"/>
      <c r="BO873" s="43"/>
    </row>
    <row r="874" spans="65:67" ht="18.75" customHeight="1">
      <c r="BM874" s="1025"/>
      <c r="BO874" s="43"/>
    </row>
    <row r="875" spans="65:67" ht="18.75" customHeight="1">
      <c r="BM875" s="1025"/>
      <c r="BO875" s="43"/>
    </row>
    <row r="876" spans="65:67" ht="18.75" customHeight="1">
      <c r="BM876" s="1025"/>
      <c r="BO876" s="43"/>
    </row>
    <row r="877" spans="65:67" ht="18.75" customHeight="1">
      <c r="BM877" s="1025"/>
      <c r="BO877" s="43"/>
    </row>
    <row r="878" spans="65:67" ht="18.75" customHeight="1">
      <c r="BM878" s="1025"/>
      <c r="BO878" s="43"/>
    </row>
    <row r="879" spans="65:67" ht="18.75" customHeight="1">
      <c r="BM879" s="1025"/>
      <c r="BO879" s="43"/>
    </row>
    <row r="880" spans="65:67" ht="18.75" customHeight="1">
      <c r="BM880" s="1025"/>
      <c r="BO880" s="43"/>
    </row>
    <row r="881" spans="65:67" ht="18.75" customHeight="1">
      <c r="BM881" s="1025"/>
      <c r="BO881" s="43"/>
    </row>
    <row r="882" spans="65:67" ht="18.75" customHeight="1">
      <c r="BM882" s="1025"/>
      <c r="BO882" s="43"/>
    </row>
    <row r="883" spans="65:67" ht="18.75" customHeight="1">
      <c r="BM883" s="1025"/>
      <c r="BO883" s="43"/>
    </row>
    <row r="884" spans="65:67" ht="18.75" customHeight="1">
      <c r="BM884" s="1025"/>
      <c r="BO884" s="43"/>
    </row>
    <row r="885" spans="65:67" ht="18.75" customHeight="1">
      <c r="BM885" s="1025"/>
      <c r="BO885" s="43"/>
    </row>
    <row r="886" spans="65:67" ht="18.75" customHeight="1">
      <c r="BM886" s="1025"/>
      <c r="BO886" s="43"/>
    </row>
    <row r="887" spans="65:67" ht="18.75" customHeight="1">
      <c r="BM887" s="1025"/>
      <c r="BO887" s="43"/>
    </row>
    <row r="888" spans="65:67" ht="18.75" customHeight="1">
      <c r="BM888" s="1025"/>
      <c r="BO888" s="43"/>
    </row>
    <row r="889" spans="65:67" ht="18.75" customHeight="1">
      <c r="BM889" s="1025"/>
      <c r="BO889" s="43"/>
    </row>
    <row r="890" spans="65:67" ht="18.75" customHeight="1">
      <c r="BM890" s="1025"/>
      <c r="BO890" s="43"/>
    </row>
    <row r="891" spans="65:67" ht="18.75" customHeight="1">
      <c r="BM891" s="1025"/>
      <c r="BO891" s="43"/>
    </row>
    <row r="892" spans="65:67" ht="18.75" customHeight="1">
      <c r="BM892" s="1025"/>
      <c r="BO892" s="43"/>
    </row>
    <row r="893" spans="65:67" ht="18.75" customHeight="1">
      <c r="BM893" s="1025"/>
      <c r="BO893" s="43"/>
    </row>
    <row r="894" spans="65:67" ht="18.75" customHeight="1">
      <c r="BM894" s="1025"/>
      <c r="BO894" s="43"/>
    </row>
    <row r="895" spans="65:67" ht="18.75" customHeight="1">
      <c r="BM895" s="1025"/>
      <c r="BO895" s="43"/>
    </row>
    <row r="896" spans="65:67" ht="18.75" customHeight="1">
      <c r="BM896" s="1025"/>
      <c r="BO896" s="43"/>
    </row>
    <row r="897" spans="65:67" ht="18.75" customHeight="1">
      <c r="BM897" s="1025"/>
      <c r="BO897" s="43"/>
    </row>
    <row r="898" spans="65:67" ht="18.75" customHeight="1">
      <c r="BM898" s="1025"/>
      <c r="BO898" s="43"/>
    </row>
    <row r="899" spans="65:67" ht="18.75" customHeight="1">
      <c r="BM899" s="1025"/>
      <c r="BO899" s="43"/>
    </row>
    <row r="900" spans="65:67" ht="18.75" customHeight="1">
      <c r="BM900" s="1025"/>
      <c r="BO900" s="43"/>
    </row>
    <row r="901" spans="65:67" ht="18.75" customHeight="1">
      <c r="BM901" s="1025"/>
      <c r="BO901" s="43"/>
    </row>
    <row r="902" spans="65:67" ht="18.75" customHeight="1">
      <c r="BM902" s="1025"/>
      <c r="BO902" s="43"/>
    </row>
    <row r="903" spans="65:67" ht="18.75" customHeight="1">
      <c r="BM903" s="1025"/>
      <c r="BO903" s="43"/>
    </row>
    <row r="904" spans="65:67" ht="18.75" customHeight="1">
      <c r="BM904" s="1025"/>
      <c r="BO904" s="43"/>
    </row>
    <row r="905" spans="65:67" ht="18.75" customHeight="1">
      <c r="BM905" s="1025"/>
      <c r="BO905" s="43"/>
    </row>
    <row r="906" spans="65:67" ht="18.75" customHeight="1">
      <c r="BM906" s="1025"/>
      <c r="BO906" s="43"/>
    </row>
    <row r="907" spans="65:67" ht="18.75" customHeight="1">
      <c r="BM907" s="1025"/>
      <c r="BO907" s="43"/>
    </row>
    <row r="908" spans="65:67" ht="18.75" customHeight="1">
      <c r="BM908" s="1025"/>
      <c r="BO908" s="43"/>
    </row>
    <row r="909" spans="65:67" ht="18.75" customHeight="1">
      <c r="BM909" s="1025"/>
      <c r="BO909" s="43"/>
    </row>
    <row r="910" spans="65:67" ht="18.75" customHeight="1">
      <c r="BM910" s="1025"/>
      <c r="BO910" s="43"/>
    </row>
    <row r="911" spans="65:67" ht="18.75" customHeight="1">
      <c r="BM911" s="1025"/>
      <c r="BO911" s="43"/>
    </row>
    <row r="912" spans="65:67" ht="18.75" customHeight="1">
      <c r="BM912" s="1025"/>
      <c r="BO912" s="43"/>
    </row>
    <row r="913" spans="65:67" ht="18.75" customHeight="1">
      <c r="BM913" s="1025"/>
      <c r="BO913" s="43"/>
    </row>
    <row r="914" spans="65:67" ht="18.75" customHeight="1">
      <c r="BM914" s="1025"/>
      <c r="BO914" s="43"/>
    </row>
    <row r="915" spans="65:67" ht="18.75" customHeight="1">
      <c r="BM915" s="1025"/>
      <c r="BO915" s="43"/>
    </row>
    <row r="916" spans="65:67" ht="18.75" customHeight="1">
      <c r="BM916" s="1025"/>
      <c r="BO916" s="43"/>
    </row>
    <row r="917" spans="65:67" ht="18.75" customHeight="1">
      <c r="BM917" s="1025"/>
      <c r="BO917" s="43"/>
    </row>
    <row r="918" spans="65:67" ht="18.75" customHeight="1">
      <c r="BM918" s="1025"/>
      <c r="BO918" s="43"/>
    </row>
    <row r="919" spans="65:67" ht="18.75" customHeight="1">
      <c r="BM919" s="1025"/>
      <c r="BO919" s="43"/>
    </row>
    <row r="920" spans="65:67" ht="18.75" customHeight="1">
      <c r="BM920" s="1025"/>
      <c r="BO920" s="43"/>
    </row>
    <row r="921" spans="65:67" ht="18.75" customHeight="1">
      <c r="BM921" s="1025"/>
      <c r="BO921" s="43"/>
    </row>
    <row r="922" spans="65:67" ht="18.75" customHeight="1">
      <c r="BM922" s="1025"/>
      <c r="BO922" s="43"/>
    </row>
    <row r="923" spans="65:67" ht="18.75" customHeight="1">
      <c r="BM923" s="1025"/>
      <c r="BO923" s="43"/>
    </row>
    <row r="924" spans="65:67" ht="18.75" customHeight="1">
      <c r="BM924" s="1025"/>
      <c r="BO924" s="43"/>
    </row>
    <row r="925" spans="65:67" ht="18.75" customHeight="1">
      <c r="BM925" s="1025"/>
      <c r="BO925" s="43"/>
    </row>
    <row r="926" spans="65:67" ht="18.75" customHeight="1">
      <c r="BM926" s="1025"/>
      <c r="BO926" s="43"/>
    </row>
    <row r="927" spans="65:67" ht="18.75" customHeight="1">
      <c r="BM927" s="1025"/>
      <c r="BO927" s="43"/>
    </row>
    <row r="928" spans="65:67" ht="18.75" customHeight="1">
      <c r="BM928" s="1025"/>
      <c r="BO928" s="43"/>
    </row>
    <row r="929" spans="65:67" ht="18.75" customHeight="1">
      <c r="BM929" s="1025"/>
      <c r="BO929" s="43"/>
    </row>
    <row r="930" spans="65:67" ht="18.75" customHeight="1">
      <c r="BM930" s="1025"/>
      <c r="BO930" s="43"/>
    </row>
    <row r="931" spans="65:67" ht="18.75" customHeight="1">
      <c r="BM931" s="1025"/>
      <c r="BO931" s="43"/>
    </row>
    <row r="932" spans="65:67" ht="18.75" customHeight="1">
      <c r="BM932" s="1025"/>
      <c r="BO932" s="43"/>
    </row>
    <row r="933" spans="65:67" ht="18.75" customHeight="1">
      <c r="BM933" s="1025"/>
      <c r="BO933" s="43"/>
    </row>
    <row r="934" spans="65:67" ht="18.75" customHeight="1">
      <c r="BM934" s="1025"/>
      <c r="BO934" s="43"/>
    </row>
    <row r="935" spans="65:67" ht="18.75" customHeight="1">
      <c r="BM935" s="1025"/>
      <c r="BO935" s="43"/>
    </row>
    <row r="936" spans="65:67" ht="18.75" customHeight="1">
      <c r="BM936" s="1025"/>
      <c r="BO936" s="43"/>
    </row>
    <row r="937" spans="65:67" ht="18.75" customHeight="1">
      <c r="BM937" s="1025"/>
      <c r="BO937" s="43"/>
    </row>
    <row r="938" spans="65:67" ht="18.75" customHeight="1">
      <c r="BM938" s="1025"/>
      <c r="BO938" s="43"/>
    </row>
    <row r="939" spans="65:67" ht="18.75" customHeight="1">
      <c r="BM939" s="1025"/>
      <c r="BO939" s="43"/>
    </row>
    <row r="940" spans="65:67" ht="18.75" customHeight="1">
      <c r="BM940" s="1025"/>
      <c r="BO940" s="43"/>
    </row>
    <row r="941" spans="65:67" ht="18.75" customHeight="1">
      <c r="BM941" s="1025"/>
      <c r="BO941" s="43"/>
    </row>
    <row r="942" spans="65:67" ht="18.75" customHeight="1">
      <c r="BM942" s="1025"/>
      <c r="BO942" s="43"/>
    </row>
    <row r="943" spans="65:67" ht="18.75" customHeight="1">
      <c r="BM943" s="1025"/>
      <c r="BO943" s="43"/>
    </row>
    <row r="944" spans="65:67" ht="18.75" customHeight="1">
      <c r="BM944" s="1025"/>
      <c r="BO944" s="43"/>
    </row>
    <row r="945" spans="65:67" ht="18.75" customHeight="1">
      <c r="BM945" s="1025"/>
      <c r="BO945" s="43"/>
    </row>
    <row r="946" spans="65:67" ht="18.75" customHeight="1">
      <c r="BM946" s="1025"/>
      <c r="BO946" s="43"/>
    </row>
    <row r="947" spans="65:67" ht="18.75" customHeight="1">
      <c r="BM947" s="1025"/>
      <c r="BO947" s="43"/>
    </row>
    <row r="948" spans="65:67" ht="18.75" customHeight="1">
      <c r="BM948" s="1025"/>
      <c r="BO948" s="43"/>
    </row>
    <row r="949" spans="65:67" ht="18.75" customHeight="1">
      <c r="BM949" s="1025"/>
      <c r="BO949" s="43"/>
    </row>
    <row r="950" spans="65:67" ht="18.75" customHeight="1">
      <c r="BM950" s="1025"/>
      <c r="BO950" s="43"/>
    </row>
    <row r="951" spans="65:67" ht="18.75" customHeight="1">
      <c r="BM951" s="1025"/>
      <c r="BO951" s="43"/>
    </row>
    <row r="952" spans="65:67" ht="18.75" customHeight="1">
      <c r="BM952" s="1025"/>
      <c r="BO952" s="43"/>
    </row>
    <row r="953" spans="65:67" ht="18.75" customHeight="1">
      <c r="BM953" s="1025"/>
      <c r="BO953" s="43"/>
    </row>
    <row r="954" spans="65:67" ht="18.75" customHeight="1">
      <c r="BM954" s="1025"/>
      <c r="BO954" s="43"/>
    </row>
    <row r="955" spans="65:67" ht="18.75" customHeight="1">
      <c r="BM955" s="1025"/>
      <c r="BO955" s="43"/>
    </row>
    <row r="956" spans="65:67" ht="18.75" customHeight="1">
      <c r="BM956" s="1025"/>
      <c r="BO956" s="43"/>
    </row>
    <row r="957" spans="65:67" ht="18.75" customHeight="1">
      <c r="BM957" s="1025"/>
      <c r="BO957" s="43"/>
    </row>
    <row r="958" spans="65:67" ht="18.75" customHeight="1">
      <c r="BM958" s="1025"/>
      <c r="BO958" s="43"/>
    </row>
    <row r="959" spans="65:67" ht="18.75" customHeight="1">
      <c r="BM959" s="1025"/>
      <c r="BO959" s="43"/>
    </row>
    <row r="960" spans="65:67" ht="18.75" customHeight="1">
      <c r="BM960" s="1025"/>
      <c r="BO960" s="43"/>
    </row>
    <row r="961" spans="65:67" ht="18.75" customHeight="1">
      <c r="BM961" s="1025"/>
      <c r="BO961" s="43"/>
    </row>
    <row r="962" spans="65:67" ht="18.75" customHeight="1">
      <c r="BM962" s="1025"/>
      <c r="BO962" s="43"/>
    </row>
    <row r="963" spans="65:67" ht="18.75" customHeight="1">
      <c r="BM963" s="1025"/>
      <c r="BO963" s="43"/>
    </row>
    <row r="964" spans="65:67" ht="18.75" customHeight="1">
      <c r="BM964" s="1025"/>
      <c r="BO964" s="43"/>
    </row>
    <row r="965" spans="65:67" ht="18.75" customHeight="1">
      <c r="BM965" s="1025"/>
      <c r="BO965" s="43"/>
    </row>
    <row r="966" spans="65:67" ht="18.75" customHeight="1">
      <c r="BM966" s="1025"/>
      <c r="BO966" s="43"/>
    </row>
    <row r="967" spans="65:67" ht="18.75" customHeight="1">
      <c r="BM967" s="1025"/>
      <c r="BO967" s="43"/>
    </row>
    <row r="968" spans="65:67" ht="18.75" customHeight="1">
      <c r="BM968" s="1025"/>
      <c r="BO968" s="43"/>
    </row>
    <row r="969" spans="65:67" ht="18.75" customHeight="1">
      <c r="BM969" s="1025"/>
      <c r="BO969" s="43"/>
    </row>
    <row r="970" spans="65:67" ht="18.75" customHeight="1">
      <c r="BM970" s="1025"/>
      <c r="BO970" s="43"/>
    </row>
    <row r="971" spans="65:67" ht="18.75" customHeight="1">
      <c r="BM971" s="1025"/>
      <c r="BO971" s="43"/>
    </row>
    <row r="972" spans="65:67" ht="18.75" customHeight="1">
      <c r="BM972" s="1025"/>
      <c r="BO972" s="43"/>
    </row>
    <row r="973" spans="65:67" ht="18.75" customHeight="1">
      <c r="BM973" s="1025"/>
      <c r="BO973" s="43"/>
    </row>
    <row r="974" spans="65:67" ht="18.75" customHeight="1">
      <c r="BM974" s="1025"/>
      <c r="BO974" s="43"/>
    </row>
    <row r="975" spans="65:67" ht="18.75" customHeight="1">
      <c r="BM975" s="1025"/>
      <c r="BO975" s="43"/>
    </row>
    <row r="976" spans="65:67" ht="18.75" customHeight="1">
      <c r="BM976" s="1025"/>
      <c r="BO976" s="43"/>
    </row>
    <row r="977" spans="65:67" ht="18.75" customHeight="1">
      <c r="BM977" s="1025"/>
      <c r="BO977" s="43"/>
    </row>
    <row r="978" spans="65:67" ht="18.75" customHeight="1">
      <c r="BM978" s="1025"/>
      <c r="BO978" s="43"/>
    </row>
    <row r="979" spans="65:67" ht="18.75" customHeight="1">
      <c r="BM979" s="1025"/>
      <c r="BO979" s="43"/>
    </row>
    <row r="980" spans="65:67" ht="18.75" customHeight="1">
      <c r="BM980" s="1025"/>
      <c r="BO980" s="43"/>
    </row>
    <row r="981" spans="65:67" ht="18.75" customHeight="1">
      <c r="BM981" s="1025"/>
      <c r="BO981" s="43"/>
    </row>
    <row r="982" spans="65:67" ht="18.75" customHeight="1">
      <c r="BM982" s="1025"/>
      <c r="BO982" s="43"/>
    </row>
    <row r="983" spans="65:67" ht="18.75" customHeight="1">
      <c r="BM983" s="1025"/>
      <c r="BO983" s="43"/>
    </row>
    <row r="984" spans="65:67" ht="18.75" customHeight="1">
      <c r="BM984" s="1025"/>
      <c r="BO984" s="43"/>
    </row>
    <row r="985" spans="65:67" ht="18.75" customHeight="1">
      <c r="BM985" s="1025"/>
      <c r="BO985" s="43"/>
    </row>
    <row r="986" spans="65:67" ht="18.75" customHeight="1">
      <c r="BM986" s="1025"/>
      <c r="BO986" s="43"/>
    </row>
    <row r="987" spans="65:67" ht="18.75" customHeight="1">
      <c r="BM987" s="1025"/>
      <c r="BO987" s="43"/>
    </row>
    <row r="988" spans="65:67" ht="18.75" customHeight="1">
      <c r="BM988" s="1025"/>
      <c r="BO988" s="43"/>
    </row>
    <row r="989" spans="65:67" ht="18.75" customHeight="1">
      <c r="BM989" s="1025"/>
      <c r="BO989" s="43"/>
    </row>
    <row r="990" spans="65:67" ht="18.75" customHeight="1">
      <c r="BM990" s="1025"/>
      <c r="BO990" s="43"/>
    </row>
    <row r="991" spans="65:67" ht="18.75" customHeight="1">
      <c r="BM991" s="1025"/>
      <c r="BO991" s="43"/>
    </row>
    <row r="992" spans="65:67" ht="18.75" customHeight="1">
      <c r="BM992" s="1025"/>
      <c r="BO992" s="43"/>
    </row>
    <row r="993" spans="65:67" ht="18.75" customHeight="1">
      <c r="BM993" s="1025"/>
      <c r="BO993" s="43"/>
    </row>
    <row r="994" spans="65:67" ht="18.75" customHeight="1">
      <c r="BM994" s="1025"/>
      <c r="BO994" s="43"/>
    </row>
    <row r="995" spans="65:67" ht="18.75" customHeight="1">
      <c r="BM995" s="1025"/>
      <c r="BO995" s="43"/>
    </row>
    <row r="996" spans="65:67" ht="18.75" customHeight="1">
      <c r="BM996" s="1025"/>
      <c r="BO996" s="43"/>
    </row>
    <row r="997" spans="65:67" ht="18.75" customHeight="1">
      <c r="BM997" s="1025"/>
      <c r="BO997" s="43"/>
    </row>
    <row r="998" spans="65:67" ht="18.75" customHeight="1">
      <c r="BM998" s="1025"/>
      <c r="BO998" s="43"/>
    </row>
    <row r="999" spans="65:67" ht="18.75" customHeight="1">
      <c r="BM999" s="1025"/>
      <c r="BO999" s="43"/>
    </row>
    <row r="1000" spans="65:67" ht="18.75" customHeight="1">
      <c r="BM1000" s="1025"/>
      <c r="BO1000" s="43"/>
    </row>
    <row r="1001" spans="65:67" ht="18.75" customHeight="1">
      <c r="BM1001" s="1025"/>
      <c r="BO1001" s="43"/>
    </row>
    <row r="1002" spans="65:67" ht="18.75" customHeight="1">
      <c r="BM1002" s="1025"/>
      <c r="BO1002" s="43"/>
    </row>
    <row r="1003" spans="65:67" ht="18.75" customHeight="1">
      <c r="BM1003" s="1025"/>
      <c r="BO1003" s="43"/>
    </row>
    <row r="1004" spans="65:67" ht="18.75" customHeight="1">
      <c r="BM1004" s="1025"/>
      <c r="BO1004" s="43"/>
    </row>
    <row r="1005" spans="65:67" ht="18.75" customHeight="1">
      <c r="BM1005" s="1025"/>
      <c r="BO1005" s="43"/>
    </row>
    <row r="1006" spans="65:67" ht="18.75" customHeight="1">
      <c r="BM1006" s="1025"/>
      <c r="BO1006" s="43"/>
    </row>
    <row r="1007" spans="65:67" ht="18.75" customHeight="1">
      <c r="BM1007" s="1025"/>
      <c r="BO1007" s="43"/>
    </row>
    <row r="1008" spans="65:67" ht="18.75" customHeight="1">
      <c r="BM1008" s="1025"/>
      <c r="BO1008" s="43"/>
    </row>
    <row r="1009" spans="65:67" ht="18.75" customHeight="1">
      <c r="BM1009" s="1025"/>
      <c r="BO1009" s="43"/>
    </row>
    <row r="1010" spans="65:67" ht="18.75" customHeight="1">
      <c r="BM1010" s="1025"/>
      <c r="BO1010" s="43"/>
    </row>
    <row r="1011" spans="65:67" ht="18.75" customHeight="1">
      <c r="BM1011" s="1025"/>
      <c r="BO1011" s="43"/>
    </row>
    <row r="1012" spans="65:67" ht="18.75" customHeight="1">
      <c r="BM1012" s="1025"/>
      <c r="BO1012" s="43"/>
    </row>
    <row r="1013" spans="65:67" ht="18.75" customHeight="1">
      <c r="BM1013" s="1025"/>
      <c r="BO1013" s="43"/>
    </row>
    <row r="1014" spans="65:67" ht="18.75" customHeight="1">
      <c r="BM1014" s="1025"/>
      <c r="BO1014" s="43"/>
    </row>
    <row r="1015" spans="65:67" ht="18.75" customHeight="1">
      <c r="BM1015" s="1025"/>
      <c r="BO1015" s="43"/>
    </row>
    <row r="1016" spans="65:67" ht="18.75" customHeight="1">
      <c r="BM1016" s="1025"/>
      <c r="BO1016" s="43"/>
    </row>
    <row r="1017" spans="65:67" ht="18.75" customHeight="1">
      <c r="BM1017" s="1025"/>
      <c r="BO1017" s="43"/>
    </row>
    <row r="1018" spans="65:67" ht="18.75" customHeight="1">
      <c r="BM1018" s="1025"/>
      <c r="BO1018" s="43"/>
    </row>
    <row r="1019" spans="65:67" ht="18.75" customHeight="1">
      <c r="BM1019" s="1025"/>
      <c r="BO1019" s="43"/>
    </row>
    <row r="1020" spans="65:67" ht="18.75" customHeight="1">
      <c r="BM1020" s="1025"/>
      <c r="BO1020" s="43"/>
    </row>
    <row r="1021" spans="65:67" ht="18.75" customHeight="1">
      <c r="BM1021" s="1025"/>
      <c r="BO1021" s="43"/>
    </row>
    <row r="1022" spans="65:67" ht="18.75" customHeight="1">
      <c r="BM1022" s="1025"/>
      <c r="BO1022" s="43"/>
    </row>
    <row r="1023" spans="65:67" ht="18.75" customHeight="1">
      <c r="BM1023" s="1025"/>
      <c r="BO1023" s="43"/>
    </row>
    <row r="1024" spans="65:67" ht="18.75" customHeight="1">
      <c r="BM1024" s="1025"/>
      <c r="BO1024" s="43"/>
    </row>
    <row r="1025" spans="65:67" ht="18.75" customHeight="1">
      <c r="BM1025" s="1025"/>
      <c r="BO1025" s="43"/>
    </row>
    <row r="1026" spans="65:67" ht="18.75" customHeight="1">
      <c r="BM1026" s="1025"/>
      <c r="BO1026" s="43"/>
    </row>
    <row r="1027" spans="65:67" ht="18.75" customHeight="1">
      <c r="BM1027" s="1025"/>
      <c r="BO1027" s="43"/>
    </row>
    <row r="1028" spans="65:67" ht="18.75" customHeight="1">
      <c r="BM1028" s="1025"/>
      <c r="BO1028" s="43"/>
    </row>
    <row r="1029" spans="65:67" ht="18.75" customHeight="1">
      <c r="BM1029" s="1025"/>
      <c r="BO1029" s="43"/>
    </row>
    <row r="1030" spans="65:67" ht="18.75" customHeight="1">
      <c r="BM1030" s="1025"/>
      <c r="BO1030" s="43"/>
    </row>
    <row r="1031" spans="65:67" ht="18.75" customHeight="1">
      <c r="BM1031" s="1025"/>
      <c r="BO1031" s="43"/>
    </row>
    <row r="1032" spans="65:67" ht="18.75" customHeight="1">
      <c r="BM1032" s="1025"/>
      <c r="BO1032" s="43"/>
    </row>
    <row r="1033" spans="65:67" ht="18.75" customHeight="1">
      <c r="BM1033" s="1025"/>
      <c r="BO1033" s="43"/>
    </row>
    <row r="1034" spans="65:67" ht="18.75" customHeight="1">
      <c r="BM1034" s="1025"/>
      <c r="BO1034" s="43"/>
    </row>
    <row r="1035" spans="65:67" ht="18.75" customHeight="1">
      <c r="BM1035" s="1025"/>
      <c r="BO1035" s="43"/>
    </row>
    <row r="1036" spans="65:67" ht="18.75" customHeight="1">
      <c r="BM1036" s="1025"/>
      <c r="BO1036" s="43"/>
    </row>
    <row r="1037" spans="65:67" ht="18.75" customHeight="1">
      <c r="BM1037" s="1025"/>
      <c r="BO1037" s="43"/>
    </row>
    <row r="1038" spans="65:67" ht="18.75" customHeight="1">
      <c r="BM1038" s="1025"/>
      <c r="BO1038" s="43"/>
    </row>
    <row r="1039" spans="65:67" ht="18.75" customHeight="1">
      <c r="BM1039" s="1025"/>
      <c r="BO1039" s="43"/>
    </row>
    <row r="1040" spans="65:67" ht="18.75" customHeight="1">
      <c r="BM1040" s="1025"/>
      <c r="BO1040" s="43"/>
    </row>
    <row r="1041" spans="65:67" ht="18.75" customHeight="1">
      <c r="BM1041" s="1025"/>
      <c r="BO1041" s="43"/>
    </row>
    <row r="1042" spans="65:67" ht="18.75" customHeight="1">
      <c r="BM1042" s="1025"/>
      <c r="BO1042" s="43"/>
    </row>
    <row r="1043" spans="65:67" ht="18.75" customHeight="1">
      <c r="BM1043" s="1025"/>
      <c r="BO1043" s="43"/>
    </row>
    <row r="1044" spans="65:67" ht="18.75" customHeight="1">
      <c r="BM1044" s="1025"/>
      <c r="BO1044" s="43"/>
    </row>
    <row r="1045" spans="65:67" ht="18.75" customHeight="1">
      <c r="BM1045" s="1025"/>
      <c r="BO1045" s="43"/>
    </row>
    <row r="1046" spans="65:67" ht="18.75" customHeight="1">
      <c r="BM1046" s="1025"/>
      <c r="BO1046" s="43"/>
    </row>
    <row r="1047" spans="65:67" ht="18.75" customHeight="1">
      <c r="BM1047" s="1025"/>
      <c r="BO1047" s="43"/>
    </row>
    <row r="1048" spans="65:67" ht="18.75" customHeight="1">
      <c r="BM1048" s="1025"/>
      <c r="BO1048" s="43"/>
    </row>
    <row r="1049" spans="65:67" ht="18.75" customHeight="1">
      <c r="BM1049" s="1025"/>
      <c r="BO1049" s="43"/>
    </row>
    <row r="1050" spans="65:67" ht="18.75" customHeight="1">
      <c r="BM1050" s="1025"/>
      <c r="BO1050" s="43"/>
    </row>
    <row r="1051" spans="65:67" ht="18.75" customHeight="1">
      <c r="BM1051" s="1025"/>
      <c r="BO1051" s="43"/>
    </row>
    <row r="1052" spans="65:67" ht="18.75" customHeight="1">
      <c r="BM1052" s="1025"/>
      <c r="BO1052" s="43"/>
    </row>
    <row r="1053" spans="65:67" ht="18.75" customHeight="1">
      <c r="BM1053" s="1025"/>
      <c r="BO1053" s="43"/>
    </row>
    <row r="1054" spans="65:67" ht="18.75" customHeight="1">
      <c r="BM1054" s="1025"/>
      <c r="BO1054" s="43"/>
    </row>
    <row r="1055" spans="65:67" ht="18.75" customHeight="1">
      <c r="BM1055" s="1025"/>
      <c r="BO1055" s="43"/>
    </row>
    <row r="1056" spans="65:67" ht="18.75" customHeight="1">
      <c r="BM1056" s="1025"/>
      <c r="BO1056" s="43"/>
    </row>
    <row r="1057" spans="65:67" ht="18.75" customHeight="1">
      <c r="BM1057" s="1025"/>
      <c r="BO1057" s="43"/>
    </row>
    <row r="1058" spans="65:67" ht="18.75" customHeight="1">
      <c r="BM1058" s="1025"/>
      <c r="BO1058" s="43"/>
    </row>
    <row r="1059" spans="65:67" ht="18.75" customHeight="1">
      <c r="BM1059" s="1025"/>
      <c r="BO1059" s="43"/>
    </row>
    <row r="1060" spans="65:67" ht="18.75" customHeight="1">
      <c r="BM1060" s="1025"/>
      <c r="BO1060" s="43"/>
    </row>
    <row r="1061" spans="65:67" ht="18.75" customHeight="1">
      <c r="BM1061" s="1025"/>
      <c r="BO1061" s="43"/>
    </row>
    <row r="1062" spans="65:67" ht="18.75" customHeight="1">
      <c r="BM1062" s="1025"/>
      <c r="BO1062" s="43"/>
    </row>
    <row r="1063" spans="65:67" ht="18.75" customHeight="1">
      <c r="BM1063" s="1025"/>
      <c r="BO1063" s="43"/>
    </row>
    <row r="1064" spans="65:67" ht="18.75" customHeight="1">
      <c r="BM1064" s="1025"/>
      <c r="BO1064" s="43"/>
    </row>
    <row r="1065" spans="65:67" ht="18.75" customHeight="1">
      <c r="BM1065" s="1025"/>
      <c r="BO1065" s="43"/>
    </row>
    <row r="1066" spans="65:67" ht="18.75" customHeight="1">
      <c r="BM1066" s="1025"/>
      <c r="BO1066" s="43"/>
    </row>
    <row r="1067" spans="65:67" ht="18.75" customHeight="1">
      <c r="BM1067" s="1025"/>
      <c r="BO1067" s="43"/>
    </row>
    <row r="1068" spans="65:67" ht="18.75" customHeight="1">
      <c r="BM1068" s="1025"/>
      <c r="BO1068" s="43"/>
    </row>
    <row r="1069" spans="65:67" ht="18.75" customHeight="1">
      <c r="BM1069" s="1025"/>
      <c r="BO1069" s="43"/>
    </row>
    <row r="1070" spans="65:67" ht="18.75" customHeight="1">
      <c r="BM1070" s="1025"/>
      <c r="BO1070" s="43"/>
    </row>
    <row r="1071" spans="65:67" ht="18.75" customHeight="1">
      <c r="BM1071" s="1025"/>
      <c r="BO1071" s="43"/>
    </row>
    <row r="1072" spans="65:67" ht="18.75" customHeight="1">
      <c r="BM1072" s="1025"/>
      <c r="BO1072" s="43"/>
    </row>
    <row r="1073" spans="65:67" ht="18.75" customHeight="1">
      <c r="BM1073" s="1025"/>
      <c r="BO1073" s="43"/>
    </row>
    <row r="1074" spans="65:67" ht="18.75" customHeight="1">
      <c r="BM1074" s="1025"/>
      <c r="BO1074" s="43"/>
    </row>
    <row r="1075" spans="65:67" ht="18.75" customHeight="1">
      <c r="BM1075" s="1025"/>
      <c r="BO1075" s="43"/>
    </row>
    <row r="1076" spans="65:67" ht="18.75" customHeight="1">
      <c r="BM1076" s="1025"/>
      <c r="BO1076" s="43"/>
    </row>
    <row r="1077" spans="65:67" ht="18.75" customHeight="1">
      <c r="BM1077" s="1025"/>
      <c r="BO1077" s="43"/>
    </row>
    <row r="1078" spans="65:67" ht="18.75" customHeight="1">
      <c r="BM1078" s="1025"/>
      <c r="BO1078" s="43"/>
    </row>
    <row r="1079" spans="65:67" ht="18.75" customHeight="1">
      <c r="BM1079" s="1025"/>
      <c r="BO1079" s="43"/>
    </row>
    <row r="1080" spans="65:67" ht="18.75" customHeight="1">
      <c r="BM1080" s="1025"/>
      <c r="BO1080" s="43"/>
    </row>
    <row r="1081" spans="65:67" ht="18.75" customHeight="1">
      <c r="BM1081" s="1025"/>
      <c r="BO1081" s="43"/>
    </row>
    <row r="1082" spans="65:67" ht="18.75" customHeight="1">
      <c r="BM1082" s="1025"/>
      <c r="BO1082" s="43"/>
    </row>
    <row r="1083" spans="65:67" ht="18.75" customHeight="1">
      <c r="BM1083" s="1025"/>
      <c r="BO1083" s="43"/>
    </row>
    <row r="1084" spans="65:67" ht="18.75" customHeight="1">
      <c r="BM1084" s="1025"/>
      <c r="BO1084" s="43"/>
    </row>
    <row r="1085" spans="65:67" ht="18.75" customHeight="1">
      <c r="BM1085" s="1025"/>
      <c r="BO1085" s="43"/>
    </row>
    <row r="1086" spans="65:67" ht="18.75" customHeight="1">
      <c r="BM1086" s="1025"/>
      <c r="BO1086" s="43"/>
    </row>
    <row r="1087" spans="65:67" ht="18.75" customHeight="1">
      <c r="BM1087" s="1025"/>
      <c r="BO1087" s="43"/>
    </row>
    <row r="1088" spans="65:67" ht="18.75" customHeight="1">
      <c r="BM1088" s="1025"/>
      <c r="BO1088" s="43"/>
    </row>
    <row r="1089" spans="65:67" ht="18.75" customHeight="1">
      <c r="BM1089" s="1025"/>
      <c r="BO1089" s="43"/>
    </row>
    <row r="1090" spans="65:67" ht="18.75" customHeight="1">
      <c r="BM1090" s="1025"/>
      <c r="BO1090" s="43"/>
    </row>
    <row r="1091" spans="65:67" ht="18.75" customHeight="1">
      <c r="BM1091" s="1025"/>
      <c r="BO1091" s="43"/>
    </row>
    <row r="1092" spans="65:67" ht="18.75" customHeight="1">
      <c r="BM1092" s="1025"/>
      <c r="BO1092" s="43"/>
    </row>
    <row r="1093" spans="65:67" ht="18.75" customHeight="1">
      <c r="BM1093" s="1025"/>
      <c r="BO1093" s="43"/>
    </row>
    <row r="1094" spans="65:67" ht="18.75" customHeight="1">
      <c r="BM1094" s="1025"/>
      <c r="BO1094" s="43"/>
    </row>
    <row r="1095" spans="65:67" ht="18.75" customHeight="1">
      <c r="BM1095" s="1025"/>
      <c r="BO1095" s="43"/>
    </row>
    <row r="1096" spans="65:67" ht="18.75" customHeight="1">
      <c r="BM1096" s="1025"/>
      <c r="BO1096" s="43"/>
    </row>
    <row r="1097" spans="65:67" ht="18.75" customHeight="1">
      <c r="BM1097" s="1025"/>
      <c r="BO1097" s="43"/>
    </row>
    <row r="1098" spans="65:67" ht="18.75" customHeight="1">
      <c r="BM1098" s="1025"/>
      <c r="BO1098" s="43"/>
    </row>
    <row r="1099" spans="65:67" ht="18.75" customHeight="1">
      <c r="BM1099" s="1025"/>
      <c r="BO1099" s="43"/>
    </row>
    <row r="1100" spans="65:67" ht="18.75" customHeight="1">
      <c r="BM1100" s="1025"/>
      <c r="BO1100" s="43"/>
    </row>
    <row r="1101" spans="65:67" ht="18.75" customHeight="1">
      <c r="BM1101" s="1025"/>
      <c r="BO1101" s="43"/>
    </row>
    <row r="1102" spans="65:67" ht="18.75" customHeight="1">
      <c r="BM1102" s="1025"/>
      <c r="BO1102" s="43"/>
    </row>
    <row r="1103" spans="65:67" ht="18.75" customHeight="1">
      <c r="BM1103" s="1025"/>
      <c r="BO1103" s="43"/>
    </row>
    <row r="1104" spans="65:67" ht="18.75" customHeight="1">
      <c r="BM1104" s="1025"/>
      <c r="BO1104" s="43"/>
    </row>
    <row r="1105" spans="65:67" ht="18.75" customHeight="1">
      <c r="BM1105" s="1025"/>
      <c r="BO1105" s="43"/>
    </row>
    <row r="1106" spans="65:67" ht="18.75" customHeight="1">
      <c r="BM1106" s="1025"/>
      <c r="BO1106" s="43"/>
    </row>
    <row r="1107" spans="65:67" ht="18.75" customHeight="1">
      <c r="BM1107" s="1025"/>
      <c r="BO1107" s="43"/>
    </row>
    <row r="1108" spans="65:67" ht="18.75" customHeight="1">
      <c r="BM1108" s="1025"/>
      <c r="BO1108" s="43"/>
    </row>
    <row r="1109" spans="65:67" ht="18.75" customHeight="1">
      <c r="BM1109" s="1025"/>
      <c r="BO1109" s="43"/>
    </row>
    <row r="1110" spans="65:67" ht="18.75" customHeight="1">
      <c r="BM1110" s="1025"/>
      <c r="BO1110" s="43"/>
    </row>
    <row r="1111" spans="65:67" ht="18.75" customHeight="1">
      <c r="BM1111" s="1025"/>
      <c r="BO1111" s="43"/>
    </row>
    <row r="1112" spans="65:67" ht="18.75" customHeight="1">
      <c r="BM1112" s="1025"/>
      <c r="BO1112" s="43"/>
    </row>
    <row r="1113" spans="65:67" ht="18.75" customHeight="1">
      <c r="BM1113" s="1025"/>
      <c r="BO1113" s="43"/>
    </row>
    <row r="1114" spans="65:67" ht="18.75" customHeight="1">
      <c r="BM1114" s="1025"/>
      <c r="BO1114" s="43"/>
    </row>
    <row r="1115" spans="65:67" ht="18.75" customHeight="1">
      <c r="BM1115" s="1025"/>
      <c r="BO1115" s="43"/>
    </row>
    <row r="1116" spans="65:67" ht="18.75" customHeight="1">
      <c r="BM1116" s="1025"/>
      <c r="BO1116" s="43"/>
    </row>
    <row r="1117" spans="65:67" ht="18.75" customHeight="1">
      <c r="BM1117" s="1025"/>
      <c r="BO1117" s="43"/>
    </row>
    <row r="1118" spans="65:67" ht="18.75" customHeight="1">
      <c r="BM1118" s="1025"/>
      <c r="BO1118" s="43"/>
    </row>
    <row r="1119" spans="65:67" ht="18.75" customHeight="1">
      <c r="BM1119" s="1025"/>
      <c r="BO1119" s="43"/>
    </row>
    <row r="1120" spans="65:67" ht="18.75" customHeight="1">
      <c r="BM1120" s="1025"/>
      <c r="BO1120" s="43"/>
    </row>
    <row r="1121" spans="65:67" ht="18.75" customHeight="1">
      <c r="BM1121" s="1025"/>
      <c r="BO1121" s="43"/>
    </row>
    <row r="1122" spans="65:67" ht="18.75" customHeight="1">
      <c r="BM1122" s="1025"/>
      <c r="BO1122" s="43"/>
    </row>
    <row r="1123" spans="65:67" ht="18.75" customHeight="1">
      <c r="BM1123" s="1025"/>
      <c r="BO1123" s="43"/>
    </row>
    <row r="1124" spans="65:67" ht="18.75" customHeight="1">
      <c r="BM1124" s="1025"/>
      <c r="BO1124" s="43"/>
    </row>
    <row r="1125" spans="65:67" ht="18.75" customHeight="1">
      <c r="BM1125" s="1025"/>
      <c r="BO1125" s="43"/>
    </row>
    <row r="1126" spans="65:67" ht="18.75" customHeight="1">
      <c r="BM1126" s="1025"/>
      <c r="BO1126" s="43"/>
    </row>
    <row r="1127" spans="65:67" ht="18.75" customHeight="1">
      <c r="BM1127" s="1025"/>
      <c r="BO1127" s="43"/>
    </row>
    <row r="1128" spans="65:67" ht="18.75" customHeight="1">
      <c r="BM1128" s="1025"/>
      <c r="BO1128" s="43"/>
    </row>
    <row r="1129" spans="65:67" ht="18.75" customHeight="1">
      <c r="BM1129" s="1025"/>
      <c r="BO1129" s="43"/>
    </row>
    <row r="1130" spans="65:67" ht="18.75" customHeight="1">
      <c r="BM1130" s="1025"/>
      <c r="BO1130" s="43"/>
    </row>
    <row r="1131" spans="65:67" ht="18.75" customHeight="1">
      <c r="BM1131" s="1025"/>
      <c r="BO1131" s="43"/>
    </row>
    <row r="1132" spans="65:67" ht="18.75" customHeight="1">
      <c r="BM1132" s="1025"/>
      <c r="BO1132" s="43"/>
    </row>
    <row r="1133" spans="65:67" ht="18.75" customHeight="1">
      <c r="BM1133" s="1025"/>
      <c r="BO1133" s="43"/>
    </row>
    <row r="1134" spans="65:67" ht="18.75" customHeight="1">
      <c r="BM1134" s="1025"/>
      <c r="BO1134" s="43"/>
    </row>
    <row r="1135" spans="65:67" ht="18.75" customHeight="1">
      <c r="BM1135" s="1025"/>
      <c r="BO1135" s="43"/>
    </row>
    <row r="1136" spans="65:67" ht="18.75" customHeight="1">
      <c r="BM1136" s="1025"/>
      <c r="BO1136" s="43"/>
    </row>
    <row r="1137" spans="65:67" ht="18.75" customHeight="1">
      <c r="BM1137" s="1025"/>
      <c r="BO1137" s="43"/>
    </row>
    <row r="1138" spans="65:67" ht="18.75" customHeight="1">
      <c r="BM1138" s="1025"/>
      <c r="BO1138" s="43"/>
    </row>
    <row r="1139" spans="65:67" ht="18.75" customHeight="1">
      <c r="BM1139" s="1025"/>
      <c r="BO1139" s="43"/>
    </row>
    <row r="1140" spans="65:67" ht="18.75" customHeight="1">
      <c r="BM1140" s="1025"/>
      <c r="BO1140" s="43"/>
    </row>
    <row r="1141" spans="65:67" ht="18.75" customHeight="1">
      <c r="BM1141" s="1025"/>
      <c r="BO1141" s="43"/>
    </row>
    <row r="1142" spans="65:67" ht="18.75" customHeight="1">
      <c r="BM1142" s="1025"/>
      <c r="BO1142" s="43"/>
    </row>
    <row r="1143" spans="65:67" ht="18.75" customHeight="1">
      <c r="BM1143" s="1025"/>
      <c r="BO1143" s="43"/>
    </row>
    <row r="1144" spans="65:67" ht="18.75" customHeight="1">
      <c r="BM1144" s="1025"/>
      <c r="BO1144" s="43"/>
    </row>
    <row r="1145" spans="65:67" ht="18.75" customHeight="1">
      <c r="BM1145" s="1025"/>
      <c r="BO1145" s="43"/>
    </row>
    <row r="1146" spans="65:67" ht="18.75" customHeight="1">
      <c r="BM1146" s="1025"/>
      <c r="BO1146" s="43"/>
    </row>
    <row r="1147" spans="65:67" ht="18.75" customHeight="1">
      <c r="BM1147" s="1025"/>
      <c r="BO1147" s="43"/>
    </row>
    <row r="1148" spans="65:67" ht="18.75" customHeight="1">
      <c r="BM1148" s="1025"/>
      <c r="BO1148" s="43"/>
    </row>
    <row r="1149" spans="65:67" ht="18.75" customHeight="1">
      <c r="BM1149" s="1025"/>
      <c r="BO1149" s="43"/>
    </row>
    <row r="1150" spans="65:67" ht="18.75" customHeight="1">
      <c r="BM1150" s="1025"/>
      <c r="BO1150" s="43"/>
    </row>
    <row r="1151" spans="65:67" ht="18.75" customHeight="1">
      <c r="BM1151" s="1025"/>
      <c r="BO1151" s="43"/>
    </row>
    <row r="1152" spans="65:67" ht="18.75" customHeight="1">
      <c r="BM1152" s="1025"/>
      <c r="BO1152" s="43"/>
    </row>
    <row r="1153" spans="65:67" ht="18.75" customHeight="1">
      <c r="BM1153" s="1025"/>
      <c r="BO1153" s="43"/>
    </row>
    <row r="1154" spans="65:67" ht="18.75" customHeight="1">
      <c r="BM1154" s="1025"/>
      <c r="BO1154" s="43"/>
    </row>
    <row r="1155" spans="65:67" ht="18.75" customHeight="1">
      <c r="BM1155" s="1025"/>
      <c r="BO1155" s="43"/>
    </row>
    <row r="1156" spans="65:67" ht="18.75" customHeight="1">
      <c r="BM1156" s="1025"/>
      <c r="BO1156" s="43"/>
    </row>
    <row r="1157" spans="65:67" ht="18.75" customHeight="1">
      <c r="BM1157" s="1025"/>
      <c r="BO1157" s="43"/>
    </row>
    <row r="1158" spans="65:67" ht="18.75" customHeight="1">
      <c r="BM1158" s="1025"/>
      <c r="BO1158" s="43"/>
    </row>
    <row r="1159" spans="65:67" ht="18.75" customHeight="1">
      <c r="BM1159" s="1025"/>
      <c r="BO1159" s="43"/>
    </row>
    <row r="1160" spans="65:67" ht="18.75" customHeight="1">
      <c r="BM1160" s="1025"/>
      <c r="BO1160" s="43"/>
    </row>
    <row r="1161" spans="65:67" ht="18.75" customHeight="1">
      <c r="BM1161" s="1025"/>
      <c r="BO1161" s="43"/>
    </row>
    <row r="1162" spans="65:67" ht="18.75" customHeight="1">
      <c r="BM1162" s="1025"/>
      <c r="BO1162" s="43"/>
    </row>
    <row r="1163" spans="65:67" ht="18.75" customHeight="1">
      <c r="BM1163" s="1025"/>
      <c r="BO1163" s="43"/>
    </row>
    <row r="1164" spans="65:67" ht="18.75" customHeight="1">
      <c r="BM1164" s="1025"/>
      <c r="BO1164" s="43"/>
    </row>
    <row r="1165" spans="65:67" ht="18.75" customHeight="1">
      <c r="BM1165" s="1025"/>
      <c r="BO1165" s="43"/>
    </row>
    <row r="1166" spans="65:67" ht="18.75" customHeight="1">
      <c r="BM1166" s="1025"/>
      <c r="BO1166" s="43"/>
    </row>
    <row r="1167" spans="65:67" ht="18.75" customHeight="1">
      <c r="BM1167" s="1025"/>
      <c r="BO1167" s="43"/>
    </row>
    <row r="1168" spans="65:67" ht="18.75" customHeight="1">
      <c r="BM1168" s="1025"/>
      <c r="BO1168" s="43"/>
    </row>
    <row r="1169" spans="65:67" ht="18.75" customHeight="1">
      <c r="BM1169" s="1025"/>
      <c r="BO1169" s="43"/>
    </row>
    <row r="1170" spans="65:67" ht="18.75" customHeight="1">
      <c r="BM1170" s="1025"/>
      <c r="BO1170" s="43"/>
    </row>
    <row r="1171" spans="65:67" ht="18.75" customHeight="1">
      <c r="BM1171" s="1025"/>
      <c r="BO1171" s="43"/>
    </row>
    <row r="1172" spans="65:67" ht="18.75" customHeight="1">
      <c r="BM1172" s="1025"/>
      <c r="BO1172" s="43"/>
    </row>
    <row r="1173" spans="65:67" ht="18.75" customHeight="1">
      <c r="BM1173" s="1025"/>
      <c r="BO1173" s="43"/>
    </row>
    <row r="1174" spans="65:67" ht="18.75" customHeight="1">
      <c r="BM1174" s="1025"/>
      <c r="BO1174" s="43"/>
    </row>
    <row r="1175" spans="65:67" ht="18.75" customHeight="1">
      <c r="BM1175" s="1025"/>
      <c r="BO1175" s="43"/>
    </row>
    <row r="1176" spans="65:67" ht="18.75" customHeight="1">
      <c r="BM1176" s="1025"/>
      <c r="BO1176" s="43"/>
    </row>
    <row r="1177" spans="65:67" ht="18.75" customHeight="1">
      <c r="BM1177" s="1025"/>
      <c r="BO1177" s="43"/>
    </row>
    <row r="1178" spans="65:67" ht="18.75" customHeight="1">
      <c r="BM1178" s="1025"/>
      <c r="BO1178" s="43"/>
    </row>
    <row r="1179" spans="65:67" ht="18.75" customHeight="1">
      <c r="BM1179" s="1025"/>
      <c r="BO1179" s="43"/>
    </row>
    <row r="1180" spans="65:67" ht="18.75" customHeight="1">
      <c r="BM1180" s="1025"/>
      <c r="BO1180" s="43"/>
    </row>
    <row r="1181" spans="65:67" ht="18.75" customHeight="1">
      <c r="BM1181" s="1025"/>
      <c r="BO1181" s="43"/>
    </row>
    <row r="1182" spans="65:67" ht="18.75" customHeight="1">
      <c r="BM1182" s="1025"/>
      <c r="BO1182" s="43"/>
    </row>
    <row r="1183" spans="65:67" ht="18.75" customHeight="1">
      <c r="BM1183" s="1025"/>
      <c r="BO1183" s="43"/>
    </row>
    <row r="1184" spans="65:67" ht="18.75" customHeight="1">
      <c r="BM1184" s="1025"/>
      <c r="BO1184" s="43"/>
    </row>
    <row r="1185" spans="65:67" ht="18.75" customHeight="1">
      <c r="BM1185" s="1025"/>
      <c r="BO1185" s="43"/>
    </row>
    <row r="1186" spans="65:67" ht="18.75" customHeight="1">
      <c r="BM1186" s="1025"/>
      <c r="BO1186" s="43"/>
    </row>
    <row r="1187" spans="65:67" ht="18.75" customHeight="1">
      <c r="BM1187" s="1025"/>
      <c r="BO1187" s="43"/>
    </row>
    <row r="1188" spans="65:67" ht="18.75" customHeight="1">
      <c r="BM1188" s="1025"/>
      <c r="BO1188" s="43"/>
    </row>
    <row r="1189" spans="65:67" ht="18.75" customHeight="1">
      <c r="BM1189" s="1025"/>
      <c r="BO1189" s="43"/>
    </row>
    <row r="1190" spans="65:67" ht="18.75" customHeight="1">
      <c r="BM1190" s="1025"/>
      <c r="BO1190" s="43"/>
    </row>
    <row r="1191" spans="65:67" ht="18.75" customHeight="1">
      <c r="BM1191" s="1025"/>
      <c r="BO1191" s="43"/>
    </row>
    <row r="1192" spans="65:67" ht="18.75" customHeight="1">
      <c r="BM1192" s="1025"/>
      <c r="BO1192" s="43"/>
    </row>
    <row r="1193" spans="65:67" ht="18.75" customHeight="1">
      <c r="BM1193" s="1025"/>
      <c r="BO1193" s="43"/>
    </row>
    <row r="1194" spans="65:67" ht="18.75" customHeight="1">
      <c r="BM1194" s="1025"/>
      <c r="BO1194" s="43"/>
    </row>
    <row r="1195" spans="65:67" ht="18.75" customHeight="1">
      <c r="BM1195" s="1025"/>
      <c r="BO1195" s="43"/>
    </row>
    <row r="1196" spans="65:67" ht="18.75" customHeight="1">
      <c r="BM1196" s="1025"/>
      <c r="BO1196" s="43"/>
    </row>
    <row r="1197" spans="65:67" ht="18.75" customHeight="1">
      <c r="BM1197" s="1025"/>
      <c r="BO1197" s="43"/>
    </row>
    <row r="1198" spans="65:67" ht="18.75" customHeight="1">
      <c r="BM1198" s="1025"/>
      <c r="BO1198" s="43"/>
    </row>
    <row r="1199" spans="65:67" ht="18.75" customHeight="1">
      <c r="BM1199" s="1025"/>
      <c r="BO1199" s="43"/>
    </row>
    <row r="1200" spans="65:67" ht="18.75" customHeight="1">
      <c r="BM1200" s="1025"/>
      <c r="BO1200" s="43"/>
    </row>
    <row r="1201" spans="65:67" ht="18.75" customHeight="1">
      <c r="BM1201" s="1025"/>
      <c r="BO1201" s="43"/>
    </row>
    <row r="1202" spans="65:67" ht="18.75" customHeight="1">
      <c r="BM1202" s="1025"/>
      <c r="BO1202" s="43"/>
    </row>
    <row r="1203" spans="65:67" ht="18.75" customHeight="1">
      <c r="BM1203" s="1025"/>
      <c r="BO1203" s="43"/>
    </row>
    <row r="1204" spans="65:67" ht="18.75" customHeight="1">
      <c r="BM1204" s="1025"/>
      <c r="BO1204" s="43"/>
    </row>
    <row r="1205" spans="65:67" ht="18.75" customHeight="1">
      <c r="BM1205" s="1025"/>
      <c r="BO1205" s="43"/>
    </row>
    <row r="1206" spans="65:67" ht="18.75" customHeight="1">
      <c r="BM1206" s="1025"/>
      <c r="BO1206" s="43"/>
    </row>
    <row r="1207" spans="65:67" ht="18.75" customHeight="1">
      <c r="BM1207" s="1025"/>
      <c r="BO1207" s="43"/>
    </row>
    <row r="1208" spans="65:67" ht="18.75" customHeight="1">
      <c r="BM1208" s="1025"/>
      <c r="BO1208" s="43"/>
    </row>
    <row r="1209" spans="65:67" ht="18.75" customHeight="1">
      <c r="BM1209" s="1025"/>
      <c r="BO1209" s="43"/>
    </row>
    <row r="1210" spans="65:67" ht="18.75" customHeight="1">
      <c r="BM1210" s="1025"/>
      <c r="BO1210" s="43"/>
    </row>
    <row r="1211" spans="65:67" ht="18.75" customHeight="1">
      <c r="BM1211" s="1025"/>
      <c r="BO1211" s="43"/>
    </row>
    <row r="1212" spans="65:67" ht="18.75" customHeight="1">
      <c r="BM1212" s="1025"/>
      <c r="BO1212" s="43"/>
    </row>
    <row r="1213" spans="65:67" ht="18.75" customHeight="1">
      <c r="BM1213" s="1025"/>
      <c r="BO1213" s="43"/>
    </row>
    <row r="1214" spans="65:67" ht="18.75" customHeight="1">
      <c r="BM1214" s="1025"/>
      <c r="BO1214" s="43"/>
    </row>
    <row r="1215" spans="65:67" ht="18.75" customHeight="1">
      <c r="BM1215" s="1025"/>
      <c r="BO1215" s="43"/>
    </row>
    <row r="1216" spans="65:67" ht="18.75" customHeight="1">
      <c r="BM1216" s="1025"/>
      <c r="BO1216" s="43"/>
    </row>
    <row r="1217" spans="65:67" ht="18.75" customHeight="1">
      <c r="BM1217" s="1025"/>
      <c r="BO1217" s="43"/>
    </row>
    <row r="1218" spans="65:67" ht="18.75" customHeight="1">
      <c r="BM1218" s="1025"/>
      <c r="BO1218" s="43"/>
    </row>
    <row r="1219" spans="65:67" ht="18.75" customHeight="1">
      <c r="BM1219" s="1025"/>
      <c r="BO1219" s="43"/>
    </row>
    <row r="1220" spans="65:67" ht="18.75" customHeight="1">
      <c r="BM1220" s="1025"/>
      <c r="BO1220" s="43"/>
    </row>
    <row r="1221" spans="65:67" ht="18.75" customHeight="1">
      <c r="BM1221" s="1025"/>
      <c r="BO1221" s="43"/>
    </row>
    <row r="1222" spans="65:67" ht="18.75" customHeight="1">
      <c r="BM1222" s="1025"/>
      <c r="BO1222" s="43"/>
    </row>
    <row r="1223" spans="65:67" ht="18.75" customHeight="1">
      <c r="BM1223" s="1025"/>
      <c r="BO1223" s="43"/>
    </row>
    <row r="1224" spans="65:67" ht="18.75" customHeight="1">
      <c r="BM1224" s="1025"/>
      <c r="BO1224" s="43"/>
    </row>
    <row r="1225" spans="65:67" ht="18.75" customHeight="1">
      <c r="BM1225" s="1025"/>
      <c r="BO1225" s="43"/>
    </row>
    <row r="1226" spans="65:67" ht="18.75" customHeight="1">
      <c r="BM1226" s="1025"/>
      <c r="BO1226" s="43"/>
    </row>
    <row r="1227" spans="65:67" ht="18.75" customHeight="1">
      <c r="BM1227" s="1025"/>
      <c r="BO1227" s="43"/>
    </row>
    <row r="1228" spans="65:67" ht="18.75" customHeight="1">
      <c r="BM1228" s="1025"/>
      <c r="BO1228" s="43"/>
    </row>
    <row r="1229" spans="65:67" ht="18.75" customHeight="1">
      <c r="BM1229" s="1025"/>
      <c r="BO1229" s="43"/>
    </row>
    <row r="1230" spans="65:67" ht="18.75" customHeight="1">
      <c r="BM1230" s="1025"/>
      <c r="BO1230" s="43"/>
    </row>
    <row r="1231" spans="65:67" ht="18.75" customHeight="1">
      <c r="BM1231" s="1025"/>
      <c r="BO1231" s="43"/>
    </row>
    <row r="1232" spans="65:67" ht="18.75" customHeight="1">
      <c r="BM1232" s="1025"/>
      <c r="BO1232" s="43"/>
    </row>
    <row r="1233" spans="65:67" ht="18.75" customHeight="1">
      <c r="BM1233" s="1025"/>
      <c r="BO1233" s="43"/>
    </row>
    <row r="1234" spans="65:67" ht="18.75" customHeight="1">
      <c r="BM1234" s="1025"/>
      <c r="BO1234" s="43"/>
    </row>
    <row r="1235" spans="65:67" ht="18.75" customHeight="1">
      <c r="BM1235" s="1025"/>
      <c r="BO1235" s="43"/>
    </row>
    <row r="1236" spans="65:67" ht="18.75" customHeight="1">
      <c r="BM1236" s="1025"/>
      <c r="BO1236" s="43"/>
    </row>
    <row r="1237" spans="65:67" ht="18.75" customHeight="1">
      <c r="BM1237" s="1025"/>
      <c r="BO1237" s="43"/>
    </row>
    <row r="1238" spans="65:67" ht="18.75" customHeight="1">
      <c r="BM1238" s="1025"/>
      <c r="BO1238" s="43"/>
    </row>
    <row r="1239" spans="65:67" ht="18.75" customHeight="1">
      <c r="BM1239" s="1025"/>
      <c r="BO1239" s="43"/>
    </row>
    <row r="1240" spans="65:67" ht="18.75" customHeight="1">
      <c r="BM1240" s="1025"/>
      <c r="BO1240" s="43"/>
    </row>
    <row r="1241" spans="65:67" ht="18.75" customHeight="1">
      <c r="BM1241" s="1025"/>
      <c r="BO1241" s="43"/>
    </row>
    <row r="1242" spans="65:67" ht="18.75" customHeight="1">
      <c r="BM1242" s="1025"/>
      <c r="BO1242" s="43"/>
    </row>
    <row r="1243" spans="65:67" ht="18.75" customHeight="1">
      <c r="BM1243" s="1025"/>
      <c r="BO1243" s="43"/>
    </row>
    <row r="1244" spans="65:67" ht="18.75" customHeight="1">
      <c r="BM1244" s="1025"/>
      <c r="BO1244" s="43"/>
    </row>
    <row r="1245" spans="65:67" ht="18.75" customHeight="1">
      <c r="BM1245" s="1025"/>
      <c r="BO1245" s="43"/>
    </row>
    <row r="1246" spans="65:67" ht="18.75" customHeight="1">
      <c r="BM1246" s="1025"/>
      <c r="BO1246" s="43"/>
    </row>
    <row r="1247" spans="65:67" ht="18.75" customHeight="1">
      <c r="BM1247" s="1025"/>
      <c r="BO1247" s="43"/>
    </row>
    <row r="1248" spans="65:67" ht="18.75" customHeight="1">
      <c r="BM1248" s="1025"/>
      <c r="BO1248" s="43"/>
    </row>
    <row r="1249" spans="65:67" ht="18.75" customHeight="1">
      <c r="BM1249" s="1025"/>
      <c r="BO1249" s="43"/>
    </row>
    <row r="1250" spans="65:67" ht="18.75" customHeight="1">
      <c r="BM1250" s="1025"/>
      <c r="BO1250" s="43"/>
    </row>
    <row r="1251" spans="65:67" ht="18.75" customHeight="1">
      <c r="BM1251" s="1025"/>
      <c r="BO1251" s="43"/>
    </row>
    <row r="1252" spans="65:67" ht="18.75" customHeight="1">
      <c r="BM1252" s="1025"/>
      <c r="BO1252" s="43"/>
    </row>
    <row r="1253" spans="65:67" ht="18.75" customHeight="1">
      <c r="BM1253" s="1025"/>
      <c r="BO1253" s="43"/>
    </row>
    <row r="1254" spans="65:67" ht="18.75" customHeight="1">
      <c r="BM1254" s="1025"/>
      <c r="BO1254" s="43"/>
    </row>
    <row r="1255" spans="65:67" ht="18.75" customHeight="1">
      <c r="BM1255" s="1025"/>
      <c r="BO1255" s="43"/>
    </row>
    <row r="1256" spans="65:67" ht="18.75" customHeight="1">
      <c r="BM1256" s="1025"/>
      <c r="BO1256" s="43"/>
    </row>
    <row r="1257" spans="65:67" ht="18.75" customHeight="1">
      <c r="BM1257" s="1025"/>
      <c r="BO1257" s="43"/>
    </row>
    <row r="1258" spans="65:67" ht="18.75" customHeight="1">
      <c r="BM1258" s="1025"/>
      <c r="BO1258" s="43"/>
    </row>
    <row r="1259" spans="65:67" ht="18.75" customHeight="1">
      <c r="BM1259" s="1025"/>
      <c r="BO1259" s="43"/>
    </row>
    <row r="1260" spans="65:67" ht="18.75" customHeight="1">
      <c r="BM1260" s="1025"/>
      <c r="BO1260" s="43"/>
    </row>
    <row r="1261" spans="65:67" ht="18.75" customHeight="1">
      <c r="BM1261" s="1025"/>
      <c r="BO1261" s="43"/>
    </row>
    <row r="1262" spans="65:67" ht="18.75" customHeight="1">
      <c r="BM1262" s="1025"/>
      <c r="BO1262" s="43"/>
    </row>
    <row r="1263" spans="65:67" ht="18.75" customHeight="1">
      <c r="BM1263" s="1025"/>
      <c r="BO1263" s="43"/>
    </row>
    <row r="1264" spans="65:67" ht="18.75" customHeight="1">
      <c r="BM1264" s="1025"/>
      <c r="BO1264" s="43"/>
    </row>
    <row r="1265" spans="65:67" ht="18.75" customHeight="1">
      <c r="BM1265" s="1025"/>
      <c r="BO1265" s="43"/>
    </row>
    <row r="1266" spans="65:67" ht="18.75" customHeight="1">
      <c r="BM1266" s="1025"/>
      <c r="BO1266" s="43"/>
    </row>
    <row r="1267" spans="65:67" ht="18.75" customHeight="1">
      <c r="BM1267" s="1025"/>
      <c r="BO1267" s="43"/>
    </row>
    <row r="1268" spans="65:67" ht="18.75" customHeight="1">
      <c r="BM1268" s="1025"/>
      <c r="BO1268" s="43"/>
    </row>
    <row r="1269" spans="65:67" ht="18.75" customHeight="1">
      <c r="BM1269" s="1025"/>
      <c r="BO1269" s="43"/>
    </row>
    <row r="1270" spans="65:67" ht="18.75" customHeight="1">
      <c r="BM1270" s="1025"/>
      <c r="BO1270" s="43"/>
    </row>
    <row r="1271" spans="65:67" ht="18.75" customHeight="1">
      <c r="BM1271" s="1025"/>
      <c r="BO1271" s="43"/>
    </row>
    <row r="1272" spans="65:67" ht="18.75" customHeight="1">
      <c r="BM1272" s="1025"/>
      <c r="BO1272" s="43"/>
    </row>
    <row r="1273" spans="65:67" ht="18.75" customHeight="1">
      <c r="BM1273" s="1025"/>
      <c r="BO1273" s="43"/>
    </row>
    <row r="1274" spans="65:67" ht="18.75" customHeight="1">
      <c r="BM1274" s="1025"/>
      <c r="BO1274" s="43"/>
    </row>
    <row r="1275" spans="65:67" ht="18.75" customHeight="1">
      <c r="BM1275" s="1025"/>
      <c r="BO1275" s="43"/>
    </row>
    <row r="1276" spans="65:67" ht="18.75" customHeight="1">
      <c r="BM1276" s="1025"/>
      <c r="BO1276" s="43"/>
    </row>
    <row r="1277" spans="65:67" ht="18.75" customHeight="1">
      <c r="BM1277" s="1025"/>
      <c r="BO1277" s="43"/>
    </row>
    <row r="1278" spans="65:67" ht="18.75" customHeight="1">
      <c r="BM1278" s="1025"/>
      <c r="BO1278" s="43"/>
    </row>
    <row r="1279" spans="65:67" ht="18.75" customHeight="1">
      <c r="BM1279" s="1025"/>
      <c r="BO1279" s="43"/>
    </row>
    <row r="1280" spans="65:67" ht="18.75" customHeight="1">
      <c r="BM1280" s="1025"/>
      <c r="BO1280" s="43"/>
    </row>
    <row r="1281" spans="65:67" ht="18.75" customHeight="1">
      <c r="BM1281" s="1025"/>
      <c r="BO1281" s="43"/>
    </row>
    <row r="1282" spans="65:67" ht="18.75" customHeight="1">
      <c r="BM1282" s="1025"/>
      <c r="BO1282" s="43"/>
    </row>
    <row r="1283" spans="65:67" ht="18.75" customHeight="1">
      <c r="BM1283" s="1025"/>
      <c r="BO1283" s="43"/>
    </row>
    <row r="1284" spans="65:67" ht="18.75" customHeight="1">
      <c r="BM1284" s="1025"/>
      <c r="BO1284" s="43"/>
    </row>
    <row r="1285" spans="65:67" ht="18.75" customHeight="1">
      <c r="BM1285" s="1025"/>
      <c r="BO1285" s="43"/>
    </row>
    <row r="1286" spans="65:67" ht="18.75" customHeight="1">
      <c r="BM1286" s="1025"/>
      <c r="BO1286" s="43"/>
    </row>
    <row r="1287" spans="65:67" ht="18.75" customHeight="1">
      <c r="BM1287" s="1025"/>
      <c r="BO1287" s="43"/>
    </row>
    <row r="1288" spans="65:67" ht="18.75" customHeight="1">
      <c r="BM1288" s="1025"/>
      <c r="BO1288" s="43"/>
    </row>
    <row r="1289" spans="65:67" ht="18.75" customHeight="1">
      <c r="BM1289" s="1025"/>
      <c r="BO1289" s="43"/>
    </row>
    <row r="1290" spans="65:67" ht="18.75" customHeight="1">
      <c r="BM1290" s="1025"/>
      <c r="BO1290" s="43"/>
    </row>
    <row r="1291" spans="65:67" ht="18.75" customHeight="1">
      <c r="BM1291" s="1025"/>
      <c r="BO1291" s="43"/>
    </row>
    <row r="1292" spans="65:67" ht="18.75" customHeight="1">
      <c r="BM1292" s="1025"/>
      <c r="BO1292" s="43"/>
    </row>
    <row r="1293" spans="65:67" ht="18.75" customHeight="1">
      <c r="BM1293" s="1025"/>
      <c r="BO1293" s="43"/>
    </row>
    <row r="1294" spans="65:67" ht="18.75" customHeight="1">
      <c r="BM1294" s="1025"/>
      <c r="BO1294" s="43"/>
    </row>
    <row r="1295" spans="65:67" ht="18.75" customHeight="1">
      <c r="BM1295" s="1025"/>
      <c r="BO1295" s="43"/>
    </row>
    <row r="1296" spans="65:67" ht="18.75" customHeight="1">
      <c r="BM1296" s="1025"/>
      <c r="BO1296" s="43"/>
    </row>
    <row r="1297" spans="65:67" ht="18.75" customHeight="1">
      <c r="BM1297" s="1025"/>
      <c r="BO1297" s="43"/>
    </row>
    <row r="1298" spans="65:67" ht="18.75" customHeight="1">
      <c r="BM1298" s="1025"/>
      <c r="BO1298" s="43"/>
    </row>
    <row r="1299" spans="65:67" ht="18.75" customHeight="1">
      <c r="BM1299" s="1025"/>
      <c r="BO1299" s="43"/>
    </row>
    <row r="1300" spans="65:67" ht="18.75" customHeight="1">
      <c r="BM1300" s="1025"/>
      <c r="BO1300" s="43"/>
    </row>
    <row r="1301" spans="65:67" ht="18.75" customHeight="1">
      <c r="BM1301" s="1025"/>
      <c r="BO1301" s="43"/>
    </row>
    <row r="1302" spans="65:67" ht="18.75" customHeight="1">
      <c r="BM1302" s="1025"/>
      <c r="BO1302" s="43"/>
    </row>
    <row r="1303" spans="65:67" ht="18.75" customHeight="1">
      <c r="BM1303" s="1025"/>
      <c r="BO1303" s="43"/>
    </row>
    <row r="1304" spans="65:67" ht="18.75" customHeight="1">
      <c r="BM1304" s="1025"/>
      <c r="BO1304" s="43"/>
    </row>
    <row r="1305" spans="65:67" ht="18.75" customHeight="1">
      <c r="BM1305" s="1025"/>
      <c r="BO1305" s="43"/>
    </row>
    <row r="1306" spans="65:67" ht="18.75" customHeight="1">
      <c r="BM1306" s="1025"/>
      <c r="BO1306" s="43"/>
    </row>
    <row r="1307" spans="65:67" ht="18.75" customHeight="1">
      <c r="BM1307" s="1025"/>
      <c r="BO1307" s="43"/>
    </row>
    <row r="1308" spans="65:67" ht="18.75" customHeight="1">
      <c r="BM1308" s="1025"/>
      <c r="BO1308" s="43"/>
    </row>
    <row r="1309" spans="65:67" ht="18.75" customHeight="1">
      <c r="BM1309" s="1025"/>
      <c r="BO1309" s="43"/>
    </row>
    <row r="1310" spans="65:67" ht="18.75" customHeight="1">
      <c r="BM1310" s="1025"/>
      <c r="BO1310" s="43"/>
    </row>
    <row r="1311" spans="65:67" ht="18.75" customHeight="1">
      <c r="BM1311" s="1025"/>
      <c r="BO1311" s="43"/>
    </row>
    <row r="1312" spans="65:67" ht="18.75" customHeight="1">
      <c r="BM1312" s="1025"/>
      <c r="BO1312" s="43"/>
    </row>
    <row r="1313" spans="65:67" ht="18.75" customHeight="1">
      <c r="BM1313" s="1025"/>
      <c r="BO1313" s="43"/>
    </row>
    <row r="1314" spans="65:67" ht="18.75" customHeight="1">
      <c r="BM1314" s="1025"/>
      <c r="BO1314" s="43"/>
    </row>
    <row r="1315" spans="65:67" ht="18.75" customHeight="1">
      <c r="BM1315" s="1025"/>
      <c r="BO1315" s="43"/>
    </row>
    <row r="1316" spans="65:67" ht="18.75" customHeight="1">
      <c r="BM1316" s="1025"/>
      <c r="BO1316" s="43"/>
    </row>
    <row r="1317" spans="65:67" ht="18.75" customHeight="1">
      <c r="BM1317" s="1025"/>
      <c r="BO1317" s="43"/>
    </row>
    <row r="1318" spans="65:67" ht="18.75" customHeight="1">
      <c r="BM1318" s="1025"/>
      <c r="BO1318" s="43"/>
    </row>
    <row r="1319" spans="65:67" ht="18.75" customHeight="1">
      <c r="BM1319" s="1025"/>
      <c r="BO1319" s="43"/>
    </row>
    <row r="1320" spans="65:67" ht="18.75" customHeight="1">
      <c r="BM1320" s="1025"/>
      <c r="BO1320" s="43"/>
    </row>
    <row r="1321" spans="65:67" ht="18.75" customHeight="1">
      <c r="BM1321" s="1025"/>
      <c r="BO1321" s="43"/>
    </row>
    <row r="1322" spans="65:67" ht="18.75" customHeight="1">
      <c r="BM1322" s="1025"/>
      <c r="BO1322" s="43"/>
    </row>
    <row r="1323" spans="65:67" ht="18.75" customHeight="1">
      <c r="BM1323" s="1025"/>
      <c r="BO1323" s="43"/>
    </row>
    <row r="1324" spans="65:67" ht="18.75" customHeight="1">
      <c r="BM1324" s="1025"/>
      <c r="BO1324" s="43"/>
    </row>
    <row r="1325" spans="65:67" ht="18.75" customHeight="1">
      <c r="BM1325" s="1025"/>
      <c r="BO1325" s="43"/>
    </row>
    <row r="1326" spans="65:67" ht="18.75" customHeight="1">
      <c r="BM1326" s="1025"/>
      <c r="BO1326" s="43"/>
    </row>
    <row r="1327" spans="65:67" ht="18.75" customHeight="1">
      <c r="BM1327" s="1025"/>
      <c r="BO1327" s="43"/>
    </row>
    <row r="1328" spans="65:67" ht="18.75" customHeight="1">
      <c r="BM1328" s="1025"/>
      <c r="BO1328" s="43"/>
    </row>
    <row r="1329" spans="65:67" ht="18.75" customHeight="1">
      <c r="BM1329" s="1025"/>
      <c r="BO1329" s="43"/>
    </row>
    <row r="1330" spans="65:67" ht="18.75" customHeight="1">
      <c r="BM1330" s="1025"/>
      <c r="BO1330" s="43"/>
    </row>
    <row r="1331" spans="65:67" ht="18.75" customHeight="1">
      <c r="BM1331" s="1025"/>
      <c r="BO1331" s="43"/>
    </row>
    <row r="1332" spans="65:67" ht="18.75" customHeight="1">
      <c r="BM1332" s="1025"/>
      <c r="BO1332" s="43"/>
    </row>
    <row r="1333" spans="65:67" ht="18.75" customHeight="1">
      <c r="BM1333" s="1025"/>
      <c r="BO1333" s="43"/>
    </row>
    <row r="1334" spans="65:67" ht="18.75" customHeight="1">
      <c r="BM1334" s="1025"/>
      <c r="BO1334" s="43"/>
    </row>
    <row r="1335" spans="65:67" ht="18.75" customHeight="1">
      <c r="BM1335" s="1025"/>
      <c r="BO1335" s="43"/>
    </row>
    <row r="1336" spans="65:67" ht="18.75" customHeight="1">
      <c r="BM1336" s="1025"/>
      <c r="BO1336" s="43"/>
    </row>
    <row r="1337" spans="65:67" ht="18.75" customHeight="1">
      <c r="BM1337" s="1025"/>
      <c r="BO1337" s="43"/>
    </row>
    <row r="1338" spans="65:67" ht="18.75" customHeight="1">
      <c r="BM1338" s="1025"/>
      <c r="BO1338" s="43"/>
    </row>
    <row r="1339" spans="65:67" ht="18.75" customHeight="1">
      <c r="BM1339" s="1025"/>
      <c r="BO1339" s="43"/>
    </row>
    <row r="1340" spans="65:67" ht="18.75" customHeight="1">
      <c r="BM1340" s="1025"/>
      <c r="BO1340" s="43"/>
    </row>
    <row r="1341" spans="65:67" ht="18.75" customHeight="1">
      <c r="BM1341" s="1025"/>
      <c r="BO1341" s="43"/>
    </row>
    <row r="1342" spans="65:67" ht="18.75" customHeight="1">
      <c r="BM1342" s="1025"/>
      <c r="BO1342" s="43"/>
    </row>
    <row r="1343" spans="65:67" ht="18.75" customHeight="1">
      <c r="BM1343" s="1025"/>
      <c r="BO1343" s="43"/>
    </row>
    <row r="1344" spans="65:67" ht="18.75" customHeight="1">
      <c r="BM1344" s="1025"/>
      <c r="BO1344" s="43"/>
    </row>
    <row r="1345" spans="65:67" ht="18.75" customHeight="1">
      <c r="BM1345" s="1025"/>
      <c r="BO1345" s="43"/>
    </row>
    <row r="1346" spans="65:67" ht="18.75" customHeight="1">
      <c r="BM1346" s="1025"/>
      <c r="BO1346" s="43"/>
    </row>
    <row r="1347" spans="65:67" ht="18.75" customHeight="1">
      <c r="BM1347" s="1025"/>
      <c r="BO1347" s="43"/>
    </row>
    <row r="1348" spans="65:67" ht="18.75" customHeight="1">
      <c r="BM1348" s="1025"/>
      <c r="BO1348" s="43"/>
    </row>
    <row r="1349" spans="65:67" ht="18.75" customHeight="1">
      <c r="BM1349" s="1025"/>
      <c r="BO1349" s="43"/>
    </row>
    <row r="1350" spans="65:67" ht="18.75" customHeight="1">
      <c r="BM1350" s="1025"/>
      <c r="BO1350" s="43"/>
    </row>
    <row r="1351" spans="65:67" ht="18.75" customHeight="1">
      <c r="BM1351" s="1025"/>
      <c r="BO1351" s="43"/>
    </row>
    <row r="1352" spans="65:67" ht="18.75" customHeight="1">
      <c r="BM1352" s="1025"/>
      <c r="BO1352" s="43"/>
    </row>
    <row r="1353" spans="65:67" ht="18.75" customHeight="1">
      <c r="BM1353" s="1025"/>
      <c r="BO1353" s="43"/>
    </row>
    <row r="1354" spans="65:67" ht="18.75" customHeight="1">
      <c r="BM1354" s="1025"/>
      <c r="BO1354" s="43"/>
    </row>
    <row r="1355" spans="65:67" ht="18.75" customHeight="1">
      <c r="BM1355" s="1025"/>
      <c r="BO1355" s="43"/>
    </row>
    <row r="1356" spans="65:67" ht="18.75" customHeight="1">
      <c r="BM1356" s="1025"/>
      <c r="BO1356" s="43"/>
    </row>
    <row r="1357" spans="65:67" ht="18.75" customHeight="1">
      <c r="BM1357" s="1025"/>
      <c r="BO1357" s="43"/>
    </row>
    <row r="1358" spans="65:67" ht="18.75" customHeight="1">
      <c r="BM1358" s="1025"/>
      <c r="BO1358" s="43"/>
    </row>
    <row r="1359" spans="65:67" ht="18.75" customHeight="1">
      <c r="BM1359" s="1025"/>
      <c r="BO1359" s="43"/>
    </row>
    <row r="1360" spans="65:67" ht="18.75" customHeight="1">
      <c r="BM1360" s="1025"/>
      <c r="BO1360" s="43"/>
    </row>
    <row r="1361" spans="65:67" ht="18.75" customHeight="1">
      <c r="BM1361" s="1025"/>
      <c r="BO1361" s="43"/>
    </row>
    <row r="1362" spans="65:67" ht="18.75" customHeight="1">
      <c r="BM1362" s="1025"/>
      <c r="BO1362" s="43"/>
    </row>
    <row r="1363" spans="65:67" ht="18.75" customHeight="1">
      <c r="BM1363" s="1025"/>
      <c r="BO1363" s="43"/>
    </row>
    <row r="1364" spans="65:67" ht="18.75" customHeight="1">
      <c r="BM1364" s="1025"/>
      <c r="BO1364" s="43"/>
    </row>
    <row r="1365" spans="65:67" ht="18.75" customHeight="1">
      <c r="BM1365" s="1025"/>
      <c r="BO1365" s="43"/>
    </row>
    <row r="1366" spans="65:67" ht="18.75" customHeight="1">
      <c r="BM1366" s="1025"/>
      <c r="BO1366" s="43"/>
    </row>
    <row r="1367" spans="65:67" ht="18.75" customHeight="1">
      <c r="BM1367" s="1025"/>
      <c r="BO1367" s="43"/>
    </row>
    <row r="1368" spans="65:67" ht="18.75" customHeight="1">
      <c r="BM1368" s="1025"/>
      <c r="BO1368" s="43"/>
    </row>
    <row r="1369" spans="65:67" ht="18.75" customHeight="1">
      <c r="BM1369" s="1025"/>
      <c r="BO1369" s="43"/>
    </row>
    <row r="1370" spans="65:67" ht="18.75" customHeight="1">
      <c r="BM1370" s="1025"/>
      <c r="BO1370" s="43"/>
    </row>
    <row r="1371" spans="65:67" ht="18.75" customHeight="1">
      <c r="BM1371" s="1025"/>
      <c r="BO1371" s="43"/>
    </row>
    <row r="1372" spans="65:67" ht="18.75" customHeight="1">
      <c r="BM1372" s="1025"/>
      <c r="BO1372" s="43"/>
    </row>
    <row r="1373" spans="65:67" ht="18.75" customHeight="1">
      <c r="BM1373" s="1025"/>
      <c r="BO1373" s="43"/>
    </row>
    <row r="1374" spans="65:67" ht="18.75" customHeight="1">
      <c r="BM1374" s="1025"/>
      <c r="BO1374" s="43"/>
    </row>
    <row r="1375" spans="65:67" ht="18.75" customHeight="1">
      <c r="BM1375" s="1025"/>
      <c r="BO1375" s="43"/>
    </row>
    <row r="1376" spans="65:67" ht="18.75" customHeight="1">
      <c r="BM1376" s="1025"/>
      <c r="BO1376" s="43"/>
    </row>
    <row r="1377" spans="65:67" ht="18.75" customHeight="1">
      <c r="BM1377" s="1025"/>
      <c r="BO1377" s="43"/>
    </row>
    <row r="1378" spans="65:67" ht="18.75" customHeight="1">
      <c r="BM1378" s="1025"/>
      <c r="BO1378" s="43"/>
    </row>
    <row r="1379" spans="65:67" ht="18.75" customHeight="1">
      <c r="BM1379" s="1025"/>
      <c r="BO1379" s="43"/>
    </row>
    <row r="1380" spans="65:67" ht="18.75" customHeight="1">
      <c r="BM1380" s="1025"/>
      <c r="BO1380" s="43"/>
    </row>
    <row r="1381" spans="65:67" ht="18.75" customHeight="1">
      <c r="BM1381" s="1025"/>
      <c r="BO1381" s="43"/>
    </row>
    <row r="1382" spans="65:67" ht="18.75" customHeight="1">
      <c r="BM1382" s="1025"/>
      <c r="BO1382" s="43"/>
    </row>
    <row r="1383" spans="65:67" ht="18.75" customHeight="1">
      <c r="BM1383" s="1025"/>
      <c r="BO1383" s="43"/>
    </row>
    <row r="1384" spans="65:67" ht="18.75" customHeight="1">
      <c r="BM1384" s="1025"/>
      <c r="BO1384" s="43"/>
    </row>
    <row r="1385" spans="65:67" ht="18.75" customHeight="1">
      <c r="BM1385" s="1025"/>
      <c r="BO1385" s="43"/>
    </row>
    <row r="1386" spans="65:67" ht="18.75" customHeight="1">
      <c r="BM1386" s="1025"/>
      <c r="BO1386" s="43"/>
    </row>
    <row r="1387" spans="65:67" ht="18.75" customHeight="1">
      <c r="BM1387" s="1025"/>
      <c r="BO1387" s="43"/>
    </row>
    <row r="1388" spans="65:67" ht="18.75" customHeight="1">
      <c r="BM1388" s="1025"/>
      <c r="BO1388" s="43"/>
    </row>
    <row r="1389" spans="65:67" ht="18.75" customHeight="1">
      <c r="BM1389" s="1025"/>
      <c r="BO1389" s="43"/>
    </row>
    <row r="1390" spans="65:67" ht="18.75" customHeight="1">
      <c r="BM1390" s="1025"/>
      <c r="BO1390" s="43"/>
    </row>
    <row r="1391" spans="65:67" ht="18.75" customHeight="1">
      <c r="BM1391" s="1025"/>
      <c r="BO1391" s="43"/>
    </row>
    <row r="1392" spans="65:67" ht="18.75" customHeight="1">
      <c r="BM1392" s="1025"/>
      <c r="BO1392" s="43"/>
    </row>
    <row r="1393" spans="65:67" ht="18.75" customHeight="1">
      <c r="BM1393" s="1025"/>
      <c r="BO1393" s="43"/>
    </row>
    <row r="1394" spans="65:67" ht="18.75" customHeight="1">
      <c r="BM1394" s="1025"/>
      <c r="BO1394" s="43"/>
    </row>
    <row r="1395" spans="65:67" ht="18.75" customHeight="1">
      <c r="BM1395" s="1025"/>
      <c r="BO1395" s="43"/>
    </row>
    <row r="1396" spans="65:67" ht="18.75" customHeight="1">
      <c r="BM1396" s="1025"/>
      <c r="BO1396" s="43"/>
    </row>
    <row r="1397" spans="65:67" ht="18.75" customHeight="1">
      <c r="BM1397" s="1025"/>
      <c r="BO1397" s="43"/>
    </row>
    <row r="1398" spans="65:67" ht="18.75" customHeight="1">
      <c r="BM1398" s="1025"/>
      <c r="BO1398" s="43"/>
    </row>
    <row r="1399" spans="65:67" ht="18.75" customHeight="1">
      <c r="BM1399" s="1025"/>
      <c r="BO1399" s="43"/>
    </row>
    <row r="1400" spans="65:67" ht="18.75" customHeight="1">
      <c r="BM1400" s="1025"/>
      <c r="BO1400" s="43"/>
    </row>
    <row r="1401" spans="65:67" ht="18.75" customHeight="1">
      <c r="BM1401" s="1025"/>
      <c r="BO1401" s="43"/>
    </row>
    <row r="1402" spans="65:67" ht="18.75" customHeight="1">
      <c r="BM1402" s="1025"/>
      <c r="BO1402" s="43"/>
    </row>
    <row r="1403" spans="65:67" ht="18.75" customHeight="1">
      <c r="BM1403" s="1025"/>
      <c r="BO1403" s="43"/>
    </row>
    <row r="1404" spans="65:67" ht="18.75" customHeight="1">
      <c r="BM1404" s="1025"/>
      <c r="BO1404" s="43"/>
    </row>
    <row r="1405" spans="65:67" ht="18.75" customHeight="1">
      <c r="BM1405" s="1025"/>
      <c r="BO1405" s="43"/>
    </row>
    <row r="1406" spans="65:67" ht="18.75" customHeight="1">
      <c r="BM1406" s="1025"/>
      <c r="BO1406" s="43"/>
    </row>
    <row r="1407" spans="65:67" ht="18.75" customHeight="1">
      <c r="BM1407" s="1025"/>
      <c r="BO1407" s="43"/>
    </row>
    <row r="1408" spans="65:67" ht="18.75" customHeight="1">
      <c r="BM1408" s="1025"/>
      <c r="BO1408" s="43"/>
    </row>
    <row r="1409" spans="65:67" ht="18.75" customHeight="1">
      <c r="BM1409" s="1025"/>
      <c r="BO1409" s="43"/>
    </row>
    <row r="1410" spans="65:67" ht="18.75" customHeight="1">
      <c r="BM1410" s="1025"/>
      <c r="BO1410" s="43"/>
    </row>
    <row r="1411" spans="65:67" ht="18.75" customHeight="1">
      <c r="BM1411" s="1025"/>
      <c r="BO1411" s="43"/>
    </row>
    <row r="1412" spans="65:67" ht="18.75" customHeight="1">
      <c r="BM1412" s="1025"/>
      <c r="BO1412" s="43"/>
    </row>
    <row r="1413" spans="65:67" ht="18.75" customHeight="1">
      <c r="BM1413" s="1025"/>
      <c r="BO1413" s="43"/>
    </row>
    <row r="1414" spans="65:67" ht="18.75" customHeight="1">
      <c r="BM1414" s="1025"/>
      <c r="BO1414" s="43"/>
    </row>
    <row r="1415" spans="65:67" ht="18.75" customHeight="1">
      <c r="BM1415" s="1025"/>
      <c r="BO1415" s="43"/>
    </row>
    <row r="1416" spans="65:67" ht="18.75" customHeight="1">
      <c r="BM1416" s="1025"/>
      <c r="BO1416" s="43"/>
    </row>
    <row r="1417" spans="65:67" ht="18.75" customHeight="1">
      <c r="BM1417" s="1025"/>
      <c r="BO1417" s="43"/>
    </row>
    <row r="1418" spans="65:67" ht="18.75" customHeight="1">
      <c r="BM1418" s="1025"/>
      <c r="BO1418" s="43"/>
    </row>
    <row r="1419" spans="65:67" ht="18.75" customHeight="1">
      <c r="BM1419" s="1025"/>
      <c r="BO1419" s="43"/>
    </row>
    <row r="1420" spans="65:67" ht="18.75" customHeight="1">
      <c r="BM1420" s="1025"/>
      <c r="BO1420" s="43"/>
    </row>
    <row r="1421" spans="65:67" ht="18.75" customHeight="1">
      <c r="BM1421" s="1025"/>
      <c r="BO1421" s="43"/>
    </row>
    <row r="1422" spans="65:67" ht="18.75" customHeight="1">
      <c r="BM1422" s="1025"/>
      <c r="BO1422" s="43"/>
    </row>
    <row r="1423" spans="65:67" ht="18.75" customHeight="1">
      <c r="BM1423" s="1025"/>
      <c r="BO1423" s="43"/>
    </row>
    <row r="1424" spans="65:67" ht="18.75" customHeight="1">
      <c r="BM1424" s="1025"/>
      <c r="BO1424" s="43"/>
    </row>
    <row r="1425" spans="65:67" ht="18.75" customHeight="1">
      <c r="BM1425" s="1025"/>
      <c r="BO1425" s="43"/>
    </row>
    <row r="1426" spans="65:67" ht="18.75" customHeight="1">
      <c r="BM1426" s="1025"/>
      <c r="BO1426" s="43"/>
    </row>
    <row r="1427" spans="65:67" ht="18.75" customHeight="1">
      <c r="BM1427" s="1025"/>
      <c r="BO1427" s="43"/>
    </row>
    <row r="1428" spans="65:67" ht="18.75" customHeight="1">
      <c r="BM1428" s="1025"/>
      <c r="BO1428" s="43"/>
    </row>
    <row r="1429" spans="65:67" ht="18.75" customHeight="1">
      <c r="BM1429" s="1025"/>
      <c r="BO1429" s="43"/>
    </row>
    <row r="1430" spans="65:67" ht="18.75" customHeight="1">
      <c r="BM1430" s="1025"/>
      <c r="BO1430" s="43"/>
    </row>
    <row r="1431" spans="65:67" ht="18.75" customHeight="1">
      <c r="BM1431" s="1025"/>
      <c r="BO1431" s="43"/>
    </row>
    <row r="1432" spans="65:67" ht="18.75" customHeight="1">
      <c r="BM1432" s="1025"/>
      <c r="BO1432" s="43"/>
    </row>
    <row r="1433" spans="65:67" ht="18.75" customHeight="1">
      <c r="BM1433" s="1025"/>
      <c r="BO1433" s="43"/>
    </row>
    <row r="1434" spans="65:67" ht="18.75" customHeight="1">
      <c r="BM1434" s="1025"/>
      <c r="BO1434" s="43"/>
    </row>
    <row r="1435" spans="65:67" ht="18.75" customHeight="1">
      <c r="BM1435" s="1025"/>
      <c r="BO1435" s="43"/>
    </row>
    <row r="1436" spans="65:67" ht="18.75" customHeight="1">
      <c r="BM1436" s="1025"/>
      <c r="BO1436" s="43"/>
    </row>
    <row r="1437" spans="65:67" ht="18.75" customHeight="1">
      <c r="BM1437" s="1025"/>
      <c r="BO1437" s="43"/>
    </row>
    <row r="1438" spans="65:67" ht="18.75" customHeight="1">
      <c r="BM1438" s="1025"/>
      <c r="BO1438" s="43"/>
    </row>
    <row r="1439" spans="65:67" ht="18.75" customHeight="1">
      <c r="BM1439" s="1025"/>
      <c r="BO1439" s="43"/>
    </row>
    <row r="1440" spans="65:67" ht="18.75" customHeight="1">
      <c r="BM1440" s="1025"/>
      <c r="BO1440" s="43"/>
    </row>
    <row r="1441" spans="65:67" ht="18.75" customHeight="1">
      <c r="BM1441" s="1025"/>
      <c r="BO1441" s="43"/>
    </row>
    <row r="1442" spans="65:67" ht="18.75" customHeight="1">
      <c r="BM1442" s="1025"/>
      <c r="BO1442" s="43"/>
    </row>
    <row r="1443" spans="65:67" ht="18.75" customHeight="1">
      <c r="BM1443" s="1025"/>
      <c r="BO1443" s="43"/>
    </row>
    <row r="1444" spans="65:67" ht="18.75" customHeight="1">
      <c r="BM1444" s="1025"/>
      <c r="BO1444" s="43"/>
    </row>
    <row r="1445" spans="65:67" ht="18.75" customHeight="1">
      <c r="BM1445" s="1025"/>
      <c r="BO1445" s="43"/>
    </row>
    <row r="1446" spans="65:67" ht="18.75" customHeight="1">
      <c r="BM1446" s="1025"/>
      <c r="BO1446" s="43"/>
    </row>
    <row r="1447" spans="65:67" ht="18.75" customHeight="1">
      <c r="BM1447" s="1025"/>
      <c r="BO1447" s="43"/>
    </row>
    <row r="1448" spans="65:67" ht="18.75" customHeight="1">
      <c r="BM1448" s="1025"/>
      <c r="BO1448" s="43"/>
    </row>
    <row r="1449" spans="65:67" ht="18.75" customHeight="1">
      <c r="BM1449" s="1025"/>
      <c r="BO1449" s="43"/>
    </row>
    <row r="1450" spans="65:67" ht="18.75" customHeight="1">
      <c r="BM1450" s="1025"/>
      <c r="BO1450" s="43"/>
    </row>
    <row r="1451" spans="65:67" ht="18.75" customHeight="1">
      <c r="BM1451" s="1025"/>
      <c r="BO1451" s="43"/>
    </row>
    <row r="1452" spans="65:67" ht="18.75" customHeight="1">
      <c r="BM1452" s="1025"/>
      <c r="BO1452" s="43"/>
    </row>
    <row r="1453" spans="65:67" ht="18.75" customHeight="1">
      <c r="BM1453" s="1025"/>
      <c r="BO1453" s="43"/>
    </row>
    <row r="1454" spans="65:67" ht="18.75" customHeight="1">
      <c r="BM1454" s="1025"/>
      <c r="BO1454" s="43"/>
    </row>
    <row r="1455" spans="65:67" ht="18.75" customHeight="1">
      <c r="BM1455" s="1025"/>
      <c r="BO1455" s="43"/>
    </row>
    <row r="1456" spans="65:67" ht="18.75" customHeight="1">
      <c r="BM1456" s="1025"/>
      <c r="BO1456" s="43"/>
    </row>
    <row r="1457" spans="65:67" ht="18.75" customHeight="1">
      <c r="BM1457" s="1025"/>
      <c r="BO1457" s="43"/>
    </row>
    <row r="1458" spans="65:67" ht="18.75" customHeight="1">
      <c r="BM1458" s="1025"/>
      <c r="BO1458" s="43"/>
    </row>
    <row r="1459" spans="65:67" ht="18.75" customHeight="1">
      <c r="BM1459" s="1025"/>
      <c r="BO1459" s="43"/>
    </row>
    <row r="1460" spans="65:67" ht="18.75" customHeight="1">
      <c r="BM1460" s="1025"/>
      <c r="BO1460" s="43"/>
    </row>
    <row r="1461" spans="65:67" ht="18.75" customHeight="1">
      <c r="BM1461" s="1025"/>
      <c r="BO1461" s="43"/>
    </row>
    <row r="1462" spans="65:67" ht="18.75" customHeight="1">
      <c r="BM1462" s="1025"/>
      <c r="BO1462" s="43"/>
    </row>
    <row r="1463" spans="65:67" ht="18.75" customHeight="1">
      <c r="BM1463" s="1025"/>
      <c r="BO1463" s="43"/>
    </row>
    <row r="1464" spans="65:67" ht="18.75" customHeight="1">
      <c r="BM1464" s="1025"/>
      <c r="BO1464" s="43"/>
    </row>
    <row r="1465" spans="65:67" ht="18.75" customHeight="1">
      <c r="BM1465" s="1025"/>
      <c r="BO1465" s="43"/>
    </row>
    <row r="1466" spans="65:67" ht="18.75" customHeight="1">
      <c r="BM1466" s="1025"/>
      <c r="BO1466" s="43"/>
    </row>
    <row r="1467" spans="65:67" ht="18.75" customHeight="1">
      <c r="BM1467" s="1025"/>
      <c r="BO1467" s="43"/>
    </row>
    <row r="1468" spans="65:67" ht="18.75" customHeight="1">
      <c r="BM1468" s="1025"/>
      <c r="BO1468" s="43"/>
    </row>
    <row r="1469" spans="65:67" ht="18.75" customHeight="1">
      <c r="BM1469" s="1025"/>
      <c r="BO1469" s="43"/>
    </row>
    <row r="1470" spans="65:67" ht="18.75" customHeight="1">
      <c r="BM1470" s="1025"/>
      <c r="BO1470" s="43"/>
    </row>
    <row r="1471" spans="65:67" ht="18.75" customHeight="1">
      <c r="BM1471" s="1025"/>
      <c r="BO1471" s="43"/>
    </row>
    <row r="1472" spans="65:67" ht="18.75" customHeight="1">
      <c r="BM1472" s="1025"/>
      <c r="BO1472" s="43"/>
    </row>
    <row r="1473" spans="65:67" ht="18.75" customHeight="1">
      <c r="BM1473" s="1025"/>
      <c r="BO1473" s="43"/>
    </row>
    <row r="1474" spans="65:67" ht="18.75" customHeight="1">
      <c r="BM1474" s="1025"/>
      <c r="BO1474" s="43"/>
    </row>
    <row r="1475" spans="65:67" ht="18.75" customHeight="1">
      <c r="BM1475" s="1025"/>
      <c r="BO1475" s="43"/>
    </row>
    <row r="1476" spans="65:67" ht="18.75" customHeight="1">
      <c r="BM1476" s="1025"/>
      <c r="BO1476" s="43"/>
    </row>
    <row r="1477" spans="65:67" ht="18.75" customHeight="1">
      <c r="BM1477" s="1025"/>
      <c r="BO1477" s="43"/>
    </row>
    <row r="1478" spans="65:67" ht="18.75" customHeight="1">
      <c r="BM1478" s="1025"/>
      <c r="BO1478" s="43"/>
    </row>
    <row r="1479" spans="65:67" ht="18.75" customHeight="1">
      <c r="BM1479" s="1025"/>
      <c r="BO1479" s="43"/>
    </row>
    <row r="1480" spans="65:67" ht="18.75" customHeight="1">
      <c r="BM1480" s="1025"/>
      <c r="BO1480" s="43"/>
    </row>
    <row r="1481" spans="65:67" ht="18.75" customHeight="1">
      <c r="BM1481" s="1025"/>
      <c r="BO1481" s="43"/>
    </row>
    <row r="1482" spans="65:67" ht="18.75" customHeight="1">
      <c r="BM1482" s="1025"/>
      <c r="BO1482" s="43"/>
    </row>
    <row r="1483" spans="65:67" ht="18.75" customHeight="1">
      <c r="BM1483" s="1025"/>
      <c r="BO1483" s="43"/>
    </row>
    <row r="1484" spans="65:67" ht="18.75" customHeight="1">
      <c r="BM1484" s="1025"/>
      <c r="BO1484" s="43"/>
    </row>
    <row r="1485" spans="65:67" ht="18.75" customHeight="1">
      <c r="BM1485" s="1025"/>
      <c r="BO1485" s="43"/>
    </row>
    <row r="1486" spans="65:67" ht="18.75" customHeight="1">
      <c r="BM1486" s="1025"/>
      <c r="BO1486" s="43"/>
    </row>
    <row r="1487" spans="65:67" ht="18.75" customHeight="1">
      <c r="BM1487" s="1025"/>
      <c r="BO1487" s="43"/>
    </row>
    <row r="1488" spans="65:67" ht="18.75" customHeight="1">
      <c r="BM1488" s="1025"/>
      <c r="BO1488" s="43"/>
    </row>
    <row r="1489" spans="65:67" ht="18.75" customHeight="1">
      <c r="BM1489" s="1025"/>
      <c r="BO1489" s="43"/>
    </row>
    <row r="1490" spans="65:67" ht="18.75" customHeight="1">
      <c r="BM1490" s="1025"/>
      <c r="BO1490" s="43"/>
    </row>
    <row r="1491" spans="65:67" ht="18.75" customHeight="1">
      <c r="BM1491" s="1025"/>
      <c r="BO1491" s="43"/>
    </row>
    <row r="1492" spans="65:67" ht="18.75" customHeight="1">
      <c r="BM1492" s="1025"/>
      <c r="BO1492" s="43"/>
    </row>
    <row r="1493" spans="65:67" ht="18.75" customHeight="1">
      <c r="BM1493" s="1025"/>
      <c r="BO1493" s="43"/>
    </row>
    <row r="1494" spans="65:67" ht="18.75" customHeight="1">
      <c r="BM1494" s="1025"/>
      <c r="BO1494" s="43"/>
    </row>
    <row r="1495" spans="65:67" ht="18.75" customHeight="1">
      <c r="BM1495" s="1025"/>
      <c r="BO1495" s="43"/>
    </row>
    <row r="1496" spans="65:67" ht="18.75" customHeight="1">
      <c r="BM1496" s="1025"/>
      <c r="BO1496" s="43"/>
    </row>
    <row r="1497" spans="65:67" ht="18.75" customHeight="1">
      <c r="BM1497" s="1025"/>
      <c r="BO1497" s="43"/>
    </row>
    <row r="1498" spans="65:67" ht="18.75" customHeight="1">
      <c r="BM1498" s="1025"/>
      <c r="BO1498" s="43"/>
    </row>
    <row r="1499" spans="65:67" ht="18.75" customHeight="1">
      <c r="BM1499" s="1025"/>
      <c r="BO1499" s="43"/>
    </row>
    <row r="1500" spans="65:67" ht="18.75" customHeight="1">
      <c r="BM1500" s="1025"/>
      <c r="BO1500" s="43"/>
    </row>
    <row r="1501" spans="65:67" ht="18.75" customHeight="1">
      <c r="BM1501" s="1025"/>
      <c r="BO1501" s="43"/>
    </row>
    <row r="1502" spans="65:67" ht="18.75" customHeight="1">
      <c r="BM1502" s="1025"/>
      <c r="BO1502" s="43"/>
    </row>
    <row r="1503" spans="65:67" ht="18.75" customHeight="1">
      <c r="BM1503" s="1025"/>
      <c r="BO1503" s="43"/>
    </row>
    <row r="1504" spans="65:67" ht="18.75" customHeight="1">
      <c r="BM1504" s="1025"/>
      <c r="BO1504" s="43"/>
    </row>
    <row r="1505" spans="65:67" ht="18.75" customHeight="1">
      <c r="BM1505" s="1025"/>
      <c r="BO1505" s="43"/>
    </row>
    <row r="1506" spans="65:67" ht="18.75" customHeight="1">
      <c r="BM1506" s="1025"/>
      <c r="BO1506" s="43"/>
    </row>
    <row r="1507" spans="65:67" ht="18.75" customHeight="1">
      <c r="BM1507" s="1025"/>
      <c r="BO1507" s="43"/>
    </row>
    <row r="1508" spans="65:67" ht="18.75" customHeight="1">
      <c r="BM1508" s="1025"/>
      <c r="BO1508" s="43"/>
    </row>
    <row r="1509" spans="65:67" ht="18.75" customHeight="1">
      <c r="BM1509" s="1025"/>
      <c r="BO1509" s="43"/>
    </row>
    <row r="1510" spans="65:67" ht="18.75" customHeight="1">
      <c r="BM1510" s="1025"/>
      <c r="BO1510" s="43"/>
    </row>
    <row r="1511" spans="65:67" ht="18.75" customHeight="1">
      <c r="BM1511" s="1025"/>
      <c r="BO1511" s="43"/>
    </row>
    <row r="1512" spans="65:67" ht="18.75" customHeight="1">
      <c r="BM1512" s="1025"/>
      <c r="BO1512" s="43"/>
    </row>
    <row r="1513" spans="65:67" ht="18.75" customHeight="1">
      <c r="BM1513" s="1025"/>
      <c r="BO1513" s="43"/>
    </row>
    <row r="1514" spans="65:67" ht="18.75" customHeight="1">
      <c r="BM1514" s="1025"/>
      <c r="BO1514" s="43"/>
    </row>
    <row r="1515" spans="65:67" ht="18.75" customHeight="1">
      <c r="BM1515" s="1025"/>
      <c r="BO1515" s="43"/>
    </row>
    <row r="1516" spans="65:67" ht="18.75" customHeight="1">
      <c r="BM1516" s="1025"/>
      <c r="BO1516" s="43"/>
    </row>
    <row r="1517" spans="65:67" ht="18.75" customHeight="1">
      <c r="BM1517" s="1025"/>
      <c r="BO1517" s="43"/>
    </row>
    <row r="1518" spans="65:67" ht="18.75" customHeight="1">
      <c r="BM1518" s="1025"/>
      <c r="BO1518" s="43"/>
    </row>
    <row r="1519" spans="65:67" ht="18.75" customHeight="1">
      <c r="BM1519" s="1025"/>
      <c r="BO1519" s="43"/>
    </row>
    <row r="1520" spans="65:67" ht="18.75" customHeight="1">
      <c r="BM1520" s="1025"/>
      <c r="BO1520" s="43"/>
    </row>
    <row r="1521" spans="65:67" ht="18.75" customHeight="1">
      <c r="BM1521" s="1025"/>
      <c r="BO1521" s="43"/>
    </row>
    <row r="1522" spans="65:67" ht="18.75" customHeight="1">
      <c r="BM1522" s="1025"/>
      <c r="BO1522" s="43"/>
    </row>
    <row r="1523" spans="65:67" ht="18.75" customHeight="1">
      <c r="BM1523" s="1025"/>
      <c r="BO1523" s="43"/>
    </row>
    <row r="1524" spans="65:67" ht="18.75" customHeight="1">
      <c r="BM1524" s="1025"/>
      <c r="BO1524" s="43"/>
    </row>
    <row r="1525" spans="65:67" ht="18.75" customHeight="1">
      <c r="BM1525" s="1025"/>
      <c r="BO1525" s="43"/>
    </row>
    <row r="1526" spans="65:67" ht="18.75" customHeight="1">
      <c r="BM1526" s="1025"/>
      <c r="BO1526" s="43"/>
    </row>
    <row r="1527" spans="65:67" ht="18.75" customHeight="1">
      <c r="BM1527" s="1025"/>
      <c r="BO1527" s="43"/>
    </row>
    <row r="1528" spans="65:67" ht="18.75" customHeight="1">
      <c r="BM1528" s="1025"/>
      <c r="BO1528" s="43"/>
    </row>
    <row r="1529" spans="65:67" ht="18.75" customHeight="1">
      <c r="BM1529" s="1025"/>
      <c r="BO1529" s="43"/>
    </row>
    <row r="1530" spans="65:67" ht="18.75" customHeight="1">
      <c r="BM1530" s="1025"/>
      <c r="BO1530" s="43"/>
    </row>
    <row r="1531" spans="65:67" ht="18.75" customHeight="1">
      <c r="BM1531" s="1025"/>
      <c r="BO1531" s="43"/>
    </row>
    <row r="1532" spans="65:67" ht="18.75" customHeight="1">
      <c r="BM1532" s="1025"/>
      <c r="BO1532" s="43"/>
    </row>
    <row r="1533" spans="65:67" ht="18.75" customHeight="1">
      <c r="BM1533" s="1025"/>
      <c r="BO1533" s="43"/>
    </row>
    <row r="1534" spans="65:67" ht="18.75" customHeight="1">
      <c r="BM1534" s="1025"/>
      <c r="BO1534" s="43"/>
    </row>
    <row r="1535" spans="65:67" ht="18.75" customHeight="1">
      <c r="BM1535" s="1025"/>
      <c r="BO1535" s="43"/>
    </row>
    <row r="1536" spans="65:67" ht="18.75" customHeight="1">
      <c r="BM1536" s="1025"/>
      <c r="BO1536" s="43"/>
    </row>
    <row r="1537" spans="65:67" ht="18.75" customHeight="1">
      <c r="BM1537" s="1025"/>
      <c r="BO1537" s="43"/>
    </row>
    <row r="1538" spans="65:67" ht="18.75" customHeight="1">
      <c r="BM1538" s="1025"/>
      <c r="BO1538" s="43"/>
    </row>
    <row r="1539" spans="65:67" ht="18.75" customHeight="1">
      <c r="BM1539" s="1025"/>
      <c r="BO1539" s="43"/>
    </row>
    <row r="1540" spans="65:67" ht="18.75" customHeight="1">
      <c r="BM1540" s="1025"/>
      <c r="BO1540" s="43"/>
    </row>
    <row r="1541" spans="65:67" ht="18.75" customHeight="1">
      <c r="BM1541" s="1025"/>
      <c r="BO1541" s="43"/>
    </row>
    <row r="1542" spans="65:67" ht="18.75" customHeight="1">
      <c r="BM1542" s="1025"/>
      <c r="BO1542" s="43"/>
    </row>
    <row r="1543" spans="65:67" ht="18.75" customHeight="1">
      <c r="BM1543" s="1025"/>
      <c r="BO1543" s="43"/>
    </row>
    <row r="1544" spans="65:67" ht="18.75" customHeight="1">
      <c r="BM1544" s="1025"/>
      <c r="BO1544" s="43"/>
    </row>
    <row r="1545" spans="65:67" ht="18.75" customHeight="1">
      <c r="BM1545" s="1025"/>
      <c r="BO1545" s="43"/>
    </row>
    <row r="1546" spans="65:67" ht="18.75" customHeight="1">
      <c r="BM1546" s="1025"/>
      <c r="BO1546" s="43"/>
    </row>
    <row r="1547" spans="65:67" ht="18.75" customHeight="1">
      <c r="BM1547" s="1025"/>
      <c r="BO1547" s="43"/>
    </row>
    <row r="1548" spans="65:67" ht="18.75" customHeight="1">
      <c r="BM1548" s="1025"/>
      <c r="BO1548" s="43"/>
    </row>
    <row r="1549" spans="65:67" ht="18.75" customHeight="1">
      <c r="BM1549" s="1025"/>
      <c r="BO1549" s="43"/>
    </row>
    <row r="1550" spans="65:67" ht="18.75" customHeight="1">
      <c r="BM1550" s="1025"/>
      <c r="BO1550" s="43"/>
    </row>
    <row r="1551" spans="65:67" ht="18.75" customHeight="1">
      <c r="BM1551" s="1025"/>
      <c r="BO1551" s="43"/>
    </row>
    <row r="1552" spans="65:67" ht="18.75" customHeight="1">
      <c r="BM1552" s="1025"/>
      <c r="BO1552" s="43"/>
    </row>
    <row r="1553" spans="65:67" ht="18.75" customHeight="1">
      <c r="BM1553" s="1025"/>
      <c r="BO1553" s="43"/>
    </row>
    <row r="1554" spans="65:67" ht="18.75" customHeight="1">
      <c r="BM1554" s="1025"/>
      <c r="BO1554" s="43"/>
    </row>
    <row r="1555" spans="65:67" ht="18.75" customHeight="1">
      <c r="BM1555" s="1025"/>
      <c r="BO1555" s="43"/>
    </row>
    <row r="1556" spans="65:67" ht="18.75" customHeight="1">
      <c r="BM1556" s="1025"/>
      <c r="BO1556" s="43"/>
    </row>
    <row r="1557" spans="65:67" ht="18.75" customHeight="1">
      <c r="BM1557" s="1025"/>
      <c r="BO1557" s="43"/>
    </row>
    <row r="1558" spans="65:67" ht="18.75" customHeight="1">
      <c r="BM1558" s="1025"/>
      <c r="BO1558" s="43"/>
    </row>
    <row r="1559" spans="65:67" ht="18.75" customHeight="1">
      <c r="BM1559" s="1025"/>
      <c r="BO1559" s="43"/>
    </row>
    <row r="1560" spans="65:67" ht="18.75" customHeight="1">
      <c r="BM1560" s="1025"/>
      <c r="BO1560" s="43"/>
    </row>
    <row r="1561" spans="65:67" ht="18.75" customHeight="1">
      <c r="BM1561" s="1025"/>
      <c r="BO1561" s="43"/>
    </row>
    <row r="1562" spans="65:67" ht="18.75" customHeight="1">
      <c r="BM1562" s="1025"/>
      <c r="BO1562" s="43"/>
    </row>
    <row r="1563" spans="65:67" ht="18.75" customHeight="1">
      <c r="BM1563" s="1025"/>
      <c r="BO1563" s="43"/>
    </row>
    <row r="1564" spans="65:67" ht="18.75" customHeight="1">
      <c r="BM1564" s="1025"/>
      <c r="BO1564" s="43"/>
    </row>
    <row r="1565" spans="65:67" ht="18.75" customHeight="1">
      <c r="BM1565" s="1025"/>
      <c r="BO1565" s="43"/>
    </row>
    <row r="1566" spans="65:67" ht="18.75" customHeight="1">
      <c r="BM1566" s="1025"/>
      <c r="BO1566" s="43"/>
    </row>
    <row r="1567" spans="65:67" ht="18.75" customHeight="1">
      <c r="BM1567" s="1025"/>
      <c r="BO1567" s="43"/>
    </row>
    <row r="1568" spans="65:67" ht="18.75" customHeight="1">
      <c r="BM1568" s="1025"/>
      <c r="BO1568" s="43"/>
    </row>
    <row r="1569" spans="65:67" ht="18.75" customHeight="1">
      <c r="BM1569" s="1025"/>
      <c r="BO1569" s="43"/>
    </row>
    <row r="1570" spans="65:67" ht="18.75" customHeight="1">
      <c r="BM1570" s="1025"/>
      <c r="BO1570" s="43"/>
    </row>
    <row r="1571" spans="65:67" ht="18.75" customHeight="1">
      <c r="BM1571" s="1025"/>
      <c r="BO1571" s="43"/>
    </row>
    <row r="1572" spans="65:67" ht="18.75" customHeight="1">
      <c r="BM1572" s="1025"/>
      <c r="BO1572" s="43"/>
    </row>
    <row r="1573" spans="65:67" ht="18.75" customHeight="1">
      <c r="BM1573" s="1025"/>
      <c r="BO1573" s="43"/>
    </row>
    <row r="1574" spans="65:67" ht="18.75" customHeight="1">
      <c r="BM1574" s="1025"/>
      <c r="BO1574" s="43"/>
    </row>
    <row r="1575" spans="65:67" ht="18.75" customHeight="1">
      <c r="BM1575" s="1025"/>
      <c r="BO1575" s="43"/>
    </row>
    <row r="1576" spans="65:67" ht="18.75" customHeight="1">
      <c r="BM1576" s="1025"/>
      <c r="BO1576" s="43"/>
    </row>
    <row r="1577" spans="65:67" ht="18.75" customHeight="1">
      <c r="BM1577" s="1025"/>
      <c r="BO1577" s="43"/>
    </row>
    <row r="1578" spans="65:67" ht="18.75" customHeight="1">
      <c r="BM1578" s="1025"/>
      <c r="BO1578" s="43"/>
    </row>
    <row r="1579" spans="65:67" ht="18.75" customHeight="1">
      <c r="BM1579" s="1025"/>
      <c r="BO1579" s="43"/>
    </row>
    <row r="1580" spans="65:67" ht="18.75" customHeight="1">
      <c r="BM1580" s="1025"/>
      <c r="BO1580" s="43"/>
    </row>
    <row r="1581" spans="65:67" ht="18.75" customHeight="1">
      <c r="BM1581" s="1025"/>
      <c r="BO1581" s="43"/>
    </row>
    <row r="1582" spans="65:67" ht="18.75" customHeight="1">
      <c r="BM1582" s="1025"/>
      <c r="BO1582" s="43"/>
    </row>
    <row r="1583" spans="65:67" ht="18.75" customHeight="1">
      <c r="BM1583" s="1025"/>
      <c r="BO1583" s="43"/>
    </row>
    <row r="1584" spans="65:67" ht="18.75" customHeight="1">
      <c r="BM1584" s="1025"/>
      <c r="BO1584" s="43"/>
    </row>
    <row r="1585" spans="65:67" ht="18.75" customHeight="1">
      <c r="BM1585" s="1025"/>
      <c r="BO1585" s="43"/>
    </row>
    <row r="1586" spans="65:67" ht="18.75" customHeight="1">
      <c r="BM1586" s="1025"/>
      <c r="BO1586" s="43"/>
    </row>
    <row r="1587" spans="65:67" ht="18.75" customHeight="1">
      <c r="BM1587" s="1025"/>
      <c r="BO1587" s="43"/>
    </row>
    <row r="1588" spans="65:67" ht="18.75" customHeight="1">
      <c r="BM1588" s="1025"/>
      <c r="BO1588" s="43"/>
    </row>
    <row r="1589" spans="65:67" ht="18.75" customHeight="1">
      <c r="BM1589" s="1025"/>
      <c r="BO1589" s="43"/>
    </row>
    <row r="1590" spans="65:67" ht="18.75" customHeight="1">
      <c r="BM1590" s="1025"/>
      <c r="BO1590" s="43"/>
    </row>
    <row r="1591" spans="65:67" ht="18.75" customHeight="1">
      <c r="BM1591" s="1025"/>
      <c r="BO1591" s="43"/>
    </row>
    <row r="1592" spans="65:67" ht="18.75" customHeight="1">
      <c r="BM1592" s="1025"/>
      <c r="BO1592" s="43"/>
    </row>
    <row r="1593" spans="65:67" ht="18.75" customHeight="1">
      <c r="BM1593" s="1025"/>
      <c r="BO1593" s="43"/>
    </row>
    <row r="1594" spans="65:67" ht="18.75" customHeight="1">
      <c r="BM1594" s="1025"/>
      <c r="BO1594" s="43"/>
    </row>
    <row r="1595" spans="65:67" ht="18.75" customHeight="1">
      <c r="BM1595" s="1025"/>
      <c r="BO1595" s="43"/>
    </row>
    <row r="1596" spans="65:67" ht="18.75" customHeight="1">
      <c r="BM1596" s="1025"/>
      <c r="BO1596" s="43"/>
    </row>
    <row r="1597" spans="65:67" ht="18.75" customHeight="1">
      <c r="BM1597" s="1025"/>
      <c r="BO1597" s="43"/>
    </row>
    <row r="1598" spans="65:67" ht="18.75" customHeight="1">
      <c r="BM1598" s="1025"/>
      <c r="BO1598" s="43"/>
    </row>
    <row r="1599" spans="65:67" ht="18.75" customHeight="1">
      <c r="BM1599" s="1025"/>
      <c r="BO1599" s="43"/>
    </row>
    <row r="1600" spans="65:67" ht="18.75" customHeight="1">
      <c r="BM1600" s="1025"/>
      <c r="BO1600" s="43"/>
    </row>
    <row r="1601" spans="65:67" ht="18.75" customHeight="1">
      <c r="BM1601" s="1025"/>
      <c r="BO1601" s="43"/>
    </row>
    <row r="1602" spans="65:67" ht="18.75" customHeight="1">
      <c r="BM1602" s="1025"/>
      <c r="BO1602" s="43"/>
    </row>
    <row r="1603" spans="65:67" ht="18.75" customHeight="1">
      <c r="BM1603" s="1025"/>
      <c r="BO1603" s="43"/>
    </row>
    <row r="1604" spans="65:67" ht="18.75" customHeight="1">
      <c r="BM1604" s="1025"/>
      <c r="BO1604" s="43"/>
    </row>
    <row r="1605" spans="65:67" ht="18.75" customHeight="1">
      <c r="BM1605" s="1025"/>
      <c r="BO1605" s="43"/>
    </row>
    <row r="1606" spans="65:67" ht="18.75" customHeight="1">
      <c r="BM1606" s="1025"/>
      <c r="BO1606" s="43"/>
    </row>
    <row r="1607" spans="65:67" ht="18.75" customHeight="1">
      <c r="BM1607" s="1025"/>
      <c r="BO1607" s="43"/>
    </row>
    <row r="1608" spans="65:67" ht="18.75" customHeight="1">
      <c r="BM1608" s="1025"/>
      <c r="BO1608" s="43"/>
    </row>
    <row r="1609" spans="65:67" ht="18.75" customHeight="1">
      <c r="BM1609" s="1025"/>
      <c r="BO1609" s="43"/>
    </row>
    <row r="1610" spans="65:67" ht="18.75" customHeight="1">
      <c r="BM1610" s="1025"/>
      <c r="BO1610" s="43"/>
    </row>
    <row r="1611" spans="65:67" ht="18.75" customHeight="1">
      <c r="BM1611" s="1025"/>
      <c r="BO1611" s="43"/>
    </row>
    <row r="1612" spans="65:67" ht="18.75" customHeight="1">
      <c r="BM1612" s="1025"/>
      <c r="BO1612" s="43"/>
    </row>
    <row r="1613" spans="65:67" ht="18.75" customHeight="1">
      <c r="BM1613" s="1025"/>
      <c r="BO1613" s="43"/>
    </row>
    <row r="1614" spans="65:67" ht="18.75" customHeight="1">
      <c r="BM1614" s="1025"/>
      <c r="BO1614" s="43"/>
    </row>
    <row r="1615" spans="65:67" ht="18.75" customHeight="1">
      <c r="BM1615" s="1025"/>
      <c r="BO1615" s="43"/>
    </row>
    <row r="1616" spans="65:67" ht="18.75" customHeight="1">
      <c r="BM1616" s="1025"/>
      <c r="BO1616" s="43"/>
    </row>
    <row r="1617" spans="65:67" ht="18.75" customHeight="1">
      <c r="BM1617" s="1025"/>
      <c r="BO1617" s="43"/>
    </row>
    <row r="1618" spans="65:67" ht="18.75" customHeight="1">
      <c r="BM1618" s="1025"/>
      <c r="BO1618" s="43"/>
    </row>
    <row r="1619" spans="65:67" ht="18.75" customHeight="1">
      <c r="BM1619" s="1025"/>
      <c r="BO1619" s="43"/>
    </row>
    <row r="1620" spans="65:67" ht="18.75" customHeight="1">
      <c r="BM1620" s="1025"/>
      <c r="BO1620" s="43"/>
    </row>
    <row r="1621" spans="65:67" ht="18.75" customHeight="1">
      <c r="BM1621" s="1025"/>
      <c r="BO1621" s="43"/>
    </row>
    <row r="1622" spans="65:67" ht="18.75" customHeight="1">
      <c r="BM1622" s="1025"/>
      <c r="BO1622" s="43"/>
    </row>
    <row r="1623" spans="65:67" ht="18.75" customHeight="1">
      <c r="BM1623" s="1025"/>
      <c r="BO1623" s="43"/>
    </row>
    <row r="1624" spans="65:67" ht="18.75" customHeight="1">
      <c r="BM1624" s="1025"/>
      <c r="BO1624" s="43"/>
    </row>
    <row r="1625" spans="65:67" ht="18.75" customHeight="1">
      <c r="BM1625" s="1025"/>
      <c r="BO1625" s="43"/>
    </row>
    <row r="1626" spans="65:67" ht="18.75" customHeight="1">
      <c r="BM1626" s="1025"/>
      <c r="BO1626" s="43"/>
    </row>
    <row r="1627" spans="65:67" ht="18.75" customHeight="1">
      <c r="BM1627" s="1025"/>
      <c r="BO1627" s="43"/>
    </row>
    <row r="1628" spans="65:67" ht="18.75" customHeight="1">
      <c r="BM1628" s="1025"/>
      <c r="BO1628" s="43"/>
    </row>
    <row r="1629" spans="65:67" ht="18.75" customHeight="1">
      <c r="BM1629" s="1025"/>
      <c r="BO1629" s="43"/>
    </row>
    <row r="1630" spans="65:67" ht="18.75" customHeight="1">
      <c r="BM1630" s="1025"/>
      <c r="BO1630" s="43"/>
    </row>
    <row r="1631" spans="65:67" ht="18.75" customHeight="1">
      <c r="BM1631" s="1025"/>
      <c r="BO1631" s="43"/>
    </row>
    <row r="1632" spans="65:67" ht="18.75" customHeight="1">
      <c r="BM1632" s="1025"/>
      <c r="BO1632" s="43"/>
    </row>
    <row r="1633" spans="65:67" ht="18.75" customHeight="1">
      <c r="BM1633" s="1025"/>
      <c r="BO1633" s="43"/>
    </row>
    <row r="1634" spans="65:67" ht="18.75" customHeight="1">
      <c r="BM1634" s="1025"/>
      <c r="BO1634" s="43"/>
    </row>
    <row r="1635" spans="65:67" ht="18.75" customHeight="1">
      <c r="BM1635" s="1025"/>
      <c r="BO1635" s="43"/>
    </row>
    <row r="1636" spans="65:67" ht="18.75" customHeight="1">
      <c r="BM1636" s="1025"/>
      <c r="BO1636" s="43"/>
    </row>
    <row r="1637" spans="65:67" ht="18.75" customHeight="1">
      <c r="BM1637" s="1025"/>
      <c r="BO1637" s="43"/>
    </row>
    <row r="1638" spans="65:67" ht="18.75" customHeight="1">
      <c r="BM1638" s="1025"/>
      <c r="BO1638" s="43"/>
    </row>
    <row r="1639" spans="65:67" ht="18.75" customHeight="1">
      <c r="BM1639" s="1025"/>
      <c r="BO1639" s="43"/>
    </row>
    <row r="1640" spans="65:67" ht="18.75" customHeight="1">
      <c r="BM1640" s="1025"/>
      <c r="BO1640" s="43"/>
    </row>
    <row r="1641" spans="65:67" ht="18.75" customHeight="1">
      <c r="BM1641" s="1025"/>
      <c r="BO1641" s="43"/>
    </row>
    <row r="1642" spans="65:67" ht="18.75" customHeight="1">
      <c r="BM1642" s="1025"/>
      <c r="BO1642" s="43"/>
    </row>
    <row r="1643" spans="65:67" ht="18.75" customHeight="1">
      <c r="BM1643" s="1025"/>
      <c r="BO1643" s="43"/>
    </row>
    <row r="1644" spans="65:67" ht="18.75" customHeight="1">
      <c r="BM1644" s="1025"/>
      <c r="BO1644" s="43"/>
    </row>
    <row r="1645" spans="65:67" ht="18.75" customHeight="1">
      <c r="BM1645" s="1025"/>
      <c r="BO1645" s="43"/>
    </row>
    <row r="1646" spans="65:67" ht="18.75" customHeight="1">
      <c r="BM1646" s="1025"/>
      <c r="BO1646" s="43"/>
    </row>
    <row r="1647" spans="65:67" ht="18.75" customHeight="1">
      <c r="BM1647" s="1025"/>
      <c r="BO1647" s="43"/>
    </row>
    <row r="1648" spans="65:67" ht="18.75" customHeight="1">
      <c r="BM1648" s="1025"/>
      <c r="BO1648" s="43"/>
    </row>
    <row r="1649" spans="65:67" ht="18.75" customHeight="1">
      <c r="BM1649" s="1025"/>
      <c r="BO1649" s="43"/>
    </row>
    <row r="1650" spans="65:67" ht="18.75" customHeight="1">
      <c r="BM1650" s="1025"/>
      <c r="BO1650" s="43"/>
    </row>
    <row r="1651" spans="65:67" ht="18.75" customHeight="1">
      <c r="BM1651" s="1025"/>
      <c r="BO1651" s="43"/>
    </row>
    <row r="1652" spans="65:67" ht="18.75" customHeight="1">
      <c r="BM1652" s="1025"/>
      <c r="BO1652" s="43"/>
    </row>
    <row r="1653" spans="65:67" ht="18.75" customHeight="1">
      <c r="BM1653" s="1025"/>
      <c r="BO1653" s="43"/>
    </row>
    <row r="1654" spans="65:67" ht="18.75" customHeight="1">
      <c r="BM1654" s="1025"/>
      <c r="BO1654" s="43"/>
    </row>
    <row r="1655" spans="65:67" ht="18.75" customHeight="1">
      <c r="BM1655" s="1025"/>
      <c r="BO1655" s="43"/>
    </row>
    <row r="1656" spans="65:67" ht="18.75" customHeight="1">
      <c r="BM1656" s="1025"/>
      <c r="BO1656" s="43"/>
    </row>
    <row r="1657" spans="65:67" ht="18.75" customHeight="1">
      <c r="BM1657" s="1025"/>
      <c r="BO1657" s="43"/>
    </row>
    <row r="1658" spans="65:67" ht="18.75" customHeight="1">
      <c r="BM1658" s="1025"/>
      <c r="BO1658" s="43"/>
    </row>
    <row r="1659" spans="65:67" ht="18.75" customHeight="1">
      <c r="BM1659" s="1025"/>
      <c r="BO1659" s="43"/>
    </row>
    <row r="1660" spans="65:67" ht="18.75" customHeight="1">
      <c r="BM1660" s="1025"/>
      <c r="BO1660" s="43"/>
    </row>
    <row r="1661" spans="65:67" ht="18.75" customHeight="1">
      <c r="BM1661" s="1025"/>
      <c r="BO1661" s="43"/>
    </row>
    <row r="1662" spans="65:67" ht="18.75" customHeight="1">
      <c r="BM1662" s="1025"/>
      <c r="BO1662" s="43"/>
    </row>
    <row r="1663" spans="65:67" ht="18.75" customHeight="1">
      <c r="BM1663" s="1025"/>
      <c r="BO1663" s="43"/>
    </row>
    <row r="1664" spans="65:67" ht="18.75" customHeight="1">
      <c r="BM1664" s="1025"/>
      <c r="BO1664" s="43"/>
    </row>
    <row r="1665" spans="65:67" ht="18.75" customHeight="1">
      <c r="BM1665" s="1025"/>
      <c r="BO1665" s="43"/>
    </row>
    <row r="1666" spans="65:67" ht="18.75" customHeight="1">
      <c r="BM1666" s="1025"/>
      <c r="BO1666" s="43"/>
    </row>
    <row r="1667" spans="65:67" ht="18.75" customHeight="1">
      <c r="BM1667" s="1025"/>
      <c r="BO1667" s="43"/>
    </row>
    <row r="1668" spans="65:67" ht="18.75" customHeight="1">
      <c r="BM1668" s="1025"/>
      <c r="BO1668" s="43"/>
    </row>
    <row r="1669" spans="65:67" ht="18.75" customHeight="1">
      <c r="BM1669" s="1025"/>
      <c r="BO1669" s="43"/>
    </row>
    <row r="1670" spans="65:67" ht="18.75" customHeight="1">
      <c r="BM1670" s="1025"/>
      <c r="BO1670" s="43"/>
    </row>
    <row r="1671" spans="65:67" ht="18.75" customHeight="1">
      <c r="BM1671" s="1025"/>
      <c r="BO1671" s="43"/>
    </row>
    <row r="1672" spans="65:67" ht="18.75" customHeight="1">
      <c r="BM1672" s="1025"/>
      <c r="BO1672" s="43"/>
    </row>
    <row r="1673" spans="65:67" ht="18.75" customHeight="1">
      <c r="BM1673" s="1025"/>
      <c r="BO1673" s="43"/>
    </row>
    <row r="1674" spans="65:67" ht="18.75" customHeight="1">
      <c r="BM1674" s="1025"/>
      <c r="BO1674" s="43"/>
    </row>
    <row r="1675" spans="65:67" ht="18.75" customHeight="1">
      <c r="BM1675" s="1025"/>
      <c r="BO1675" s="43"/>
    </row>
    <row r="1676" spans="65:67" ht="18.75" customHeight="1">
      <c r="BM1676" s="1025"/>
      <c r="BO1676" s="43"/>
    </row>
    <row r="1677" spans="65:67" ht="18.75" customHeight="1">
      <c r="BM1677" s="1025"/>
      <c r="BO1677" s="43"/>
    </row>
    <row r="1678" spans="65:67" ht="18.75" customHeight="1">
      <c r="BM1678" s="1025"/>
      <c r="BO1678" s="43"/>
    </row>
    <row r="1679" spans="65:67" ht="18.75" customHeight="1">
      <c r="BM1679" s="1025"/>
      <c r="BO1679" s="43"/>
    </row>
    <row r="1680" spans="65:67" ht="18.75" customHeight="1">
      <c r="BM1680" s="1025"/>
      <c r="BO1680" s="43"/>
    </row>
    <row r="1681" spans="65:67" ht="18.75" customHeight="1">
      <c r="BM1681" s="1025"/>
      <c r="BO1681" s="43"/>
    </row>
    <row r="1682" spans="65:67" ht="18.75" customHeight="1">
      <c r="BM1682" s="1025"/>
      <c r="BO1682" s="43"/>
    </row>
    <row r="1683" spans="65:67" ht="18.75" customHeight="1">
      <c r="BM1683" s="1025"/>
      <c r="BO1683" s="43"/>
    </row>
    <row r="1684" spans="65:67" ht="18.75" customHeight="1">
      <c r="BM1684" s="1025"/>
      <c r="BO1684" s="43"/>
    </row>
    <row r="1685" spans="65:67" ht="18.75" customHeight="1">
      <c r="BM1685" s="1025"/>
      <c r="BO1685" s="43"/>
    </row>
    <row r="1686" spans="65:67" ht="18.75" customHeight="1">
      <c r="BM1686" s="1025"/>
      <c r="BO1686" s="43"/>
    </row>
    <row r="1687" spans="65:67" ht="18.75" customHeight="1">
      <c r="BM1687" s="1025"/>
      <c r="BO1687" s="43"/>
    </row>
    <row r="1688" spans="65:67" ht="18.75" customHeight="1">
      <c r="BM1688" s="1025"/>
      <c r="BO1688" s="43"/>
    </row>
    <row r="1689" spans="65:67" ht="18.75" customHeight="1">
      <c r="BM1689" s="1025"/>
      <c r="BO1689" s="43"/>
    </row>
    <row r="1690" spans="65:67" ht="18.75" customHeight="1">
      <c r="BM1690" s="1025"/>
      <c r="BO1690" s="43"/>
    </row>
    <row r="1691" spans="65:67" ht="18.75" customHeight="1">
      <c r="BM1691" s="1025"/>
      <c r="BO1691" s="43"/>
    </row>
    <row r="1692" spans="65:67" ht="18.75" customHeight="1">
      <c r="BM1692" s="1025"/>
      <c r="BO1692" s="43"/>
    </row>
    <row r="1693" spans="65:67" ht="18.75" customHeight="1">
      <c r="BM1693" s="1025"/>
      <c r="BO1693" s="43"/>
    </row>
    <row r="1694" spans="65:67" ht="18.75" customHeight="1">
      <c r="BM1694" s="1025"/>
      <c r="BO1694" s="43"/>
    </row>
    <row r="1695" spans="65:67" ht="18.75" customHeight="1">
      <c r="BM1695" s="1025"/>
      <c r="BO1695" s="43"/>
    </row>
    <row r="1696" spans="65:67" ht="18.75" customHeight="1">
      <c r="BM1696" s="1025"/>
      <c r="BO1696" s="43"/>
    </row>
    <row r="1697" spans="65:67" ht="18.75" customHeight="1">
      <c r="BM1697" s="1025"/>
      <c r="BO1697" s="43"/>
    </row>
    <row r="1698" spans="65:67" ht="18.75" customHeight="1">
      <c r="BM1698" s="1025"/>
      <c r="BO1698" s="43"/>
    </row>
    <row r="1699" spans="65:67" ht="18.75" customHeight="1">
      <c r="BM1699" s="1025"/>
      <c r="BO1699" s="43"/>
    </row>
    <row r="1700" spans="65:67" ht="18.75" customHeight="1">
      <c r="BM1700" s="1025"/>
      <c r="BO1700" s="43"/>
    </row>
    <row r="1701" spans="65:67" ht="18.75" customHeight="1">
      <c r="BM1701" s="1025"/>
      <c r="BO1701" s="43"/>
    </row>
    <row r="1702" spans="65:67" ht="18.75" customHeight="1">
      <c r="BM1702" s="1025"/>
      <c r="BO1702" s="43"/>
    </row>
    <row r="1703" spans="65:67" ht="18.75" customHeight="1">
      <c r="BM1703" s="1025"/>
      <c r="BO1703" s="43"/>
    </row>
    <row r="1704" spans="65:67" ht="18.75" customHeight="1">
      <c r="BM1704" s="1025"/>
      <c r="BO1704" s="43"/>
    </row>
    <row r="1705" spans="65:67" ht="18.75" customHeight="1">
      <c r="BM1705" s="1025"/>
      <c r="BO1705" s="43"/>
    </row>
    <row r="1706" spans="65:67" ht="18.75" customHeight="1">
      <c r="BM1706" s="1025"/>
      <c r="BO1706" s="43"/>
    </row>
    <row r="1707" spans="65:67" ht="18.75" customHeight="1">
      <c r="BM1707" s="1025"/>
      <c r="BO1707" s="43"/>
    </row>
    <row r="1708" spans="65:67" ht="18.75" customHeight="1">
      <c r="BM1708" s="1025"/>
      <c r="BO1708" s="43"/>
    </row>
    <row r="1709" spans="65:67" ht="18.75" customHeight="1">
      <c r="BM1709" s="1025"/>
      <c r="BO1709" s="43"/>
    </row>
    <row r="1710" spans="65:67" ht="18.75" customHeight="1">
      <c r="BM1710" s="1025"/>
      <c r="BO1710" s="43"/>
    </row>
    <row r="1711" spans="65:67" ht="18.75" customHeight="1">
      <c r="BM1711" s="1025"/>
      <c r="BO1711" s="43"/>
    </row>
    <row r="1712" spans="65:67" ht="18.75" customHeight="1">
      <c r="BM1712" s="1025"/>
      <c r="BO1712" s="43"/>
    </row>
    <row r="1713" spans="65:67" ht="18.75" customHeight="1">
      <c r="BM1713" s="1025"/>
      <c r="BO1713" s="43"/>
    </row>
    <row r="1714" spans="65:67" ht="18.75" customHeight="1">
      <c r="BM1714" s="1025"/>
      <c r="BO1714" s="43"/>
    </row>
    <row r="1715" spans="65:67" ht="18.75" customHeight="1">
      <c r="BM1715" s="1025"/>
      <c r="BO1715" s="43"/>
    </row>
    <row r="1716" spans="65:67" ht="18.75" customHeight="1">
      <c r="BM1716" s="1025"/>
      <c r="BO1716" s="43"/>
    </row>
    <row r="1717" spans="65:67" ht="18.75" customHeight="1">
      <c r="BM1717" s="1025"/>
      <c r="BO1717" s="43"/>
    </row>
    <row r="1718" spans="65:67" ht="18.75" customHeight="1">
      <c r="BM1718" s="1025"/>
      <c r="BO1718" s="43"/>
    </row>
    <row r="1719" spans="65:67" ht="18.75" customHeight="1">
      <c r="BM1719" s="1025"/>
      <c r="BO1719" s="43"/>
    </row>
    <row r="1720" spans="65:67" ht="18.75" customHeight="1">
      <c r="BM1720" s="1025"/>
      <c r="BO1720" s="43"/>
    </row>
    <row r="1721" spans="65:67" ht="18.75" customHeight="1">
      <c r="BM1721" s="1025"/>
      <c r="BO1721" s="43"/>
    </row>
    <row r="1722" spans="65:67" ht="18.75" customHeight="1">
      <c r="BM1722" s="1025"/>
      <c r="BO1722" s="43"/>
    </row>
    <row r="1723" spans="65:67" ht="18.75" customHeight="1">
      <c r="BM1723" s="1025"/>
      <c r="BO1723" s="43"/>
    </row>
    <row r="1724" spans="65:67" ht="18.75" customHeight="1">
      <c r="BM1724" s="1025"/>
      <c r="BO1724" s="43"/>
    </row>
    <row r="1725" spans="65:67" ht="18.75" customHeight="1">
      <c r="BM1725" s="1025"/>
      <c r="BO1725" s="43"/>
    </row>
    <row r="1726" spans="65:67" ht="18.75" customHeight="1">
      <c r="BM1726" s="1025"/>
      <c r="BO1726" s="43"/>
    </row>
    <row r="1727" spans="65:67" ht="18.75" customHeight="1">
      <c r="BM1727" s="1025"/>
      <c r="BO1727" s="43"/>
    </row>
    <row r="1728" spans="65:67" ht="18.75" customHeight="1">
      <c r="BM1728" s="1025"/>
      <c r="BO1728" s="43"/>
    </row>
    <row r="1729" spans="65:67" ht="18.75" customHeight="1">
      <c r="BM1729" s="1025"/>
      <c r="BO1729" s="43"/>
    </row>
    <row r="1730" spans="65:67" ht="18.75" customHeight="1">
      <c r="BM1730" s="1025"/>
      <c r="BO1730" s="43"/>
    </row>
    <row r="1731" spans="65:67" ht="18.75" customHeight="1">
      <c r="BM1731" s="1025"/>
      <c r="BO1731" s="43"/>
    </row>
    <row r="1732" spans="65:67" ht="18.75" customHeight="1">
      <c r="BM1732" s="1025"/>
      <c r="BO1732" s="43"/>
    </row>
    <row r="1733" spans="65:67" ht="18.75" customHeight="1">
      <c r="BM1733" s="1025"/>
      <c r="BO1733" s="43"/>
    </row>
    <row r="1734" spans="65:67" ht="18.75" customHeight="1">
      <c r="BM1734" s="1025"/>
      <c r="BO1734" s="43"/>
    </row>
    <row r="1735" spans="65:67" ht="18.75" customHeight="1">
      <c r="BM1735" s="1025"/>
      <c r="BO1735" s="43"/>
    </row>
    <row r="1736" spans="65:67" ht="18.75" customHeight="1">
      <c r="BM1736" s="1025"/>
      <c r="BO1736" s="43"/>
    </row>
    <row r="1737" spans="65:67" ht="18.75" customHeight="1">
      <c r="BM1737" s="1025"/>
      <c r="BO1737" s="43"/>
    </row>
    <row r="1738" spans="65:67" ht="18.75" customHeight="1">
      <c r="BM1738" s="1025"/>
      <c r="BO1738" s="43"/>
    </row>
    <row r="1739" spans="65:67" ht="18.75" customHeight="1">
      <c r="BM1739" s="1025"/>
      <c r="BO1739" s="43"/>
    </row>
    <row r="1740" spans="65:67" ht="18.75" customHeight="1">
      <c r="BM1740" s="1025"/>
      <c r="BO1740" s="43"/>
    </row>
    <row r="1741" spans="65:67" ht="18.75" customHeight="1">
      <c r="BM1741" s="1025"/>
      <c r="BO1741" s="43"/>
    </row>
    <row r="1742" spans="65:67" ht="18.75" customHeight="1">
      <c r="BM1742" s="1025"/>
      <c r="BO1742" s="43"/>
    </row>
    <row r="1743" spans="65:67" ht="18.75" customHeight="1">
      <c r="BM1743" s="1025"/>
      <c r="BO1743" s="43"/>
    </row>
    <row r="1744" spans="65:67" ht="18.75" customHeight="1">
      <c r="BM1744" s="1025"/>
      <c r="BO1744" s="43"/>
    </row>
    <row r="1745" spans="65:67" ht="18.75" customHeight="1">
      <c r="BM1745" s="1025"/>
      <c r="BO1745" s="43"/>
    </row>
    <row r="1746" spans="65:67" ht="18.75" customHeight="1">
      <c r="BM1746" s="1025"/>
      <c r="BO1746" s="43"/>
    </row>
    <row r="1747" spans="65:67" ht="18.75" customHeight="1">
      <c r="BM1747" s="1025"/>
      <c r="BO1747" s="43"/>
    </row>
    <row r="1748" spans="65:67" ht="18.75" customHeight="1">
      <c r="BM1748" s="1025"/>
      <c r="BO1748" s="43"/>
    </row>
    <row r="1749" spans="65:67" ht="18.75" customHeight="1">
      <c r="BM1749" s="1025"/>
      <c r="BO1749" s="43"/>
    </row>
    <row r="1750" spans="65:67" ht="18.75" customHeight="1">
      <c r="BM1750" s="1025"/>
      <c r="BO1750" s="43"/>
    </row>
    <row r="1751" spans="65:67" ht="18.75" customHeight="1">
      <c r="BM1751" s="1025"/>
      <c r="BO1751" s="43"/>
    </row>
    <row r="1752" spans="65:67" ht="18.75" customHeight="1">
      <c r="BM1752" s="1025"/>
      <c r="BO1752" s="43"/>
    </row>
    <row r="1753" spans="65:67" ht="18.75" customHeight="1">
      <c r="BM1753" s="1025"/>
      <c r="BO1753" s="43"/>
    </row>
    <row r="1754" spans="65:67" ht="18.75" customHeight="1">
      <c r="BM1754" s="1025"/>
      <c r="BO1754" s="43"/>
    </row>
    <row r="1755" spans="65:67" ht="18.75" customHeight="1">
      <c r="BM1755" s="1025"/>
      <c r="BO1755" s="43"/>
    </row>
    <row r="1756" spans="65:67" ht="18.75" customHeight="1">
      <c r="BM1756" s="1025"/>
      <c r="BO1756" s="43"/>
    </row>
    <row r="1757" spans="65:67" ht="18.75" customHeight="1">
      <c r="BM1757" s="1025"/>
      <c r="BO1757" s="43"/>
    </row>
    <row r="1758" spans="65:67" ht="18.75" customHeight="1">
      <c r="BM1758" s="1025"/>
      <c r="BO1758" s="43"/>
    </row>
    <row r="1759" spans="65:67" ht="18.75" customHeight="1">
      <c r="BM1759" s="1025"/>
      <c r="BO1759" s="43"/>
    </row>
    <row r="1760" spans="65:67" ht="18.75" customHeight="1">
      <c r="BM1760" s="1025"/>
      <c r="BO1760" s="43"/>
    </row>
    <row r="1761" spans="65:67" ht="18.75" customHeight="1">
      <c r="BM1761" s="1025"/>
      <c r="BO1761" s="43"/>
    </row>
    <row r="1762" spans="65:67" ht="18.75" customHeight="1">
      <c r="BM1762" s="1025"/>
      <c r="BO1762" s="43"/>
    </row>
    <row r="1763" spans="65:67" ht="18.75" customHeight="1">
      <c r="BM1763" s="1025"/>
      <c r="BO1763" s="43"/>
    </row>
    <row r="1764" spans="65:67" ht="18.75" customHeight="1">
      <c r="BM1764" s="1025"/>
      <c r="BO1764" s="43"/>
    </row>
    <row r="1765" spans="65:67" ht="18.75" customHeight="1">
      <c r="BM1765" s="1025"/>
      <c r="BO1765" s="43"/>
    </row>
    <row r="1766" spans="65:67" ht="18.75" customHeight="1">
      <c r="BM1766" s="1025"/>
      <c r="BO1766" s="43"/>
    </row>
    <row r="1767" spans="65:67" ht="18.75" customHeight="1">
      <c r="BM1767" s="1025"/>
      <c r="BO1767" s="43"/>
    </row>
    <row r="1768" spans="65:67" ht="18.75" customHeight="1">
      <c r="BM1768" s="1025"/>
      <c r="BO1768" s="43"/>
    </row>
    <row r="1769" spans="65:67" ht="18.75" customHeight="1">
      <c r="BM1769" s="1025"/>
      <c r="BO1769" s="43"/>
    </row>
    <row r="1770" spans="65:67" ht="18.75" customHeight="1">
      <c r="BM1770" s="1025"/>
      <c r="BO1770" s="43"/>
    </row>
    <row r="1771" spans="65:67" ht="18.75" customHeight="1">
      <c r="BM1771" s="1025"/>
      <c r="BO1771" s="43"/>
    </row>
    <row r="1772" spans="65:67" ht="18.75" customHeight="1">
      <c r="BM1772" s="1025"/>
      <c r="BO1772" s="43"/>
    </row>
    <row r="1773" spans="65:67" ht="18.75" customHeight="1">
      <c r="BM1773" s="1025"/>
      <c r="BO1773" s="43"/>
    </row>
    <row r="1774" spans="65:67" ht="18.75" customHeight="1">
      <c r="BM1774" s="1025"/>
      <c r="BO1774" s="43"/>
    </row>
    <row r="1775" spans="65:67" ht="18.75" customHeight="1">
      <c r="BM1775" s="1025"/>
      <c r="BO1775" s="43"/>
    </row>
    <row r="1776" spans="65:67" ht="18.75" customHeight="1">
      <c r="BM1776" s="1025"/>
      <c r="BO1776" s="43"/>
    </row>
    <row r="1777" spans="65:67" ht="18.75" customHeight="1">
      <c r="BM1777" s="1025"/>
      <c r="BO1777" s="43"/>
    </row>
    <row r="1778" spans="65:67" ht="18.75" customHeight="1">
      <c r="BM1778" s="1025"/>
      <c r="BO1778" s="43"/>
    </row>
    <row r="1779" spans="65:67" ht="18.75" customHeight="1">
      <c r="BM1779" s="1025"/>
      <c r="BO1779" s="43"/>
    </row>
    <row r="1780" spans="65:67" ht="18.75" customHeight="1">
      <c r="BM1780" s="1025"/>
      <c r="BO1780" s="43"/>
    </row>
    <row r="1781" spans="65:67" ht="18.75" customHeight="1">
      <c r="BM1781" s="1025"/>
      <c r="BO1781" s="43"/>
    </row>
    <row r="1782" spans="65:67" ht="18.75" customHeight="1">
      <c r="BM1782" s="1025"/>
      <c r="BO1782" s="43"/>
    </row>
    <row r="1783" spans="65:67" ht="18.75" customHeight="1">
      <c r="BM1783" s="1025"/>
      <c r="BO1783" s="43"/>
    </row>
    <row r="1784" spans="65:67" ht="18.75" customHeight="1">
      <c r="BM1784" s="1025"/>
      <c r="BO1784" s="43"/>
    </row>
    <row r="1785" spans="65:67" ht="18.75" customHeight="1">
      <c r="BM1785" s="1025"/>
      <c r="BO1785" s="43"/>
    </row>
    <row r="1786" spans="65:67" ht="18.75" customHeight="1">
      <c r="BM1786" s="1025"/>
      <c r="BO1786" s="43"/>
    </row>
    <row r="1787" spans="65:67" ht="18.75" customHeight="1">
      <c r="BM1787" s="1025"/>
      <c r="BO1787" s="43"/>
    </row>
    <row r="1788" spans="65:67" ht="18.75" customHeight="1">
      <c r="BM1788" s="1025"/>
      <c r="BO1788" s="43"/>
    </row>
    <row r="1789" spans="65:67" ht="18.75" customHeight="1">
      <c r="BM1789" s="1025"/>
      <c r="BO1789" s="43"/>
    </row>
    <row r="1790" spans="65:67" ht="18.75" customHeight="1">
      <c r="BM1790" s="1025"/>
      <c r="BO1790" s="43"/>
    </row>
    <row r="1791" spans="65:67" ht="18.75" customHeight="1">
      <c r="BM1791" s="1025"/>
      <c r="BO1791" s="43"/>
    </row>
    <row r="1792" spans="65:67" ht="18.75" customHeight="1">
      <c r="BM1792" s="1025"/>
      <c r="BO1792" s="43"/>
    </row>
    <row r="1793" spans="65:67" ht="18.75" customHeight="1">
      <c r="BM1793" s="1025"/>
      <c r="BO1793" s="43"/>
    </row>
    <row r="1794" spans="65:67" ht="18.75" customHeight="1">
      <c r="BM1794" s="1025"/>
      <c r="BO1794" s="43"/>
    </row>
    <row r="1795" spans="65:67" ht="18.75" customHeight="1">
      <c r="BM1795" s="1025"/>
      <c r="BO1795" s="43"/>
    </row>
    <row r="1796" spans="65:67" ht="18.75" customHeight="1">
      <c r="BM1796" s="1025"/>
      <c r="BO1796" s="43"/>
    </row>
    <row r="1797" spans="65:67" ht="18.75" customHeight="1">
      <c r="BM1797" s="1025"/>
      <c r="BO1797" s="43"/>
    </row>
    <row r="1798" spans="65:67" ht="18.75" customHeight="1">
      <c r="BM1798" s="1025"/>
      <c r="BO1798" s="43"/>
    </row>
    <row r="1799" spans="65:67" ht="18.75" customHeight="1">
      <c r="BM1799" s="1025"/>
      <c r="BO1799" s="43"/>
    </row>
    <row r="1800" spans="65:67" ht="18.75" customHeight="1">
      <c r="BM1800" s="1025"/>
      <c r="BO1800" s="43"/>
    </row>
    <row r="1801" spans="65:67" ht="18.75" customHeight="1">
      <c r="BM1801" s="1025"/>
      <c r="BO1801" s="43"/>
    </row>
    <row r="1802" spans="65:67" ht="18.75" customHeight="1">
      <c r="BM1802" s="1025"/>
      <c r="BO1802" s="43"/>
    </row>
    <row r="1803" spans="65:67" ht="18.75" customHeight="1">
      <c r="BM1803" s="1025"/>
      <c r="BO1803" s="43"/>
    </row>
    <row r="1804" spans="65:67" ht="18.75" customHeight="1">
      <c r="BM1804" s="1025"/>
      <c r="BO1804" s="43"/>
    </row>
    <row r="1805" spans="65:67" ht="18.75" customHeight="1">
      <c r="BM1805" s="1025"/>
      <c r="BO1805" s="43"/>
    </row>
    <row r="1806" spans="65:67" ht="18.75" customHeight="1">
      <c r="BM1806" s="1025"/>
      <c r="BO1806" s="43"/>
    </row>
    <row r="1807" spans="65:67" ht="18.75" customHeight="1">
      <c r="BM1807" s="1025"/>
      <c r="BO1807" s="43"/>
    </row>
    <row r="1808" spans="65:67" ht="18.75" customHeight="1">
      <c r="BM1808" s="1025"/>
      <c r="BO1808" s="43"/>
    </row>
    <row r="1809" spans="65:67" ht="18.75" customHeight="1">
      <c r="BM1809" s="1025"/>
      <c r="BO1809" s="43"/>
    </row>
    <row r="1810" spans="65:67" ht="18.75" customHeight="1">
      <c r="BM1810" s="1025"/>
      <c r="BO1810" s="43"/>
    </row>
    <row r="1811" spans="65:67" ht="18.75" customHeight="1">
      <c r="BM1811" s="1025"/>
      <c r="BO1811" s="43"/>
    </row>
    <row r="1812" spans="65:67" ht="18.75" customHeight="1">
      <c r="BM1812" s="1025"/>
      <c r="BO1812" s="43"/>
    </row>
    <row r="1813" spans="65:67" ht="18.75" customHeight="1">
      <c r="BM1813" s="1025"/>
      <c r="BO1813" s="43"/>
    </row>
    <row r="1814" spans="65:67" ht="18.75" customHeight="1">
      <c r="BM1814" s="1025"/>
      <c r="BO1814" s="43"/>
    </row>
    <row r="1815" spans="65:67" ht="18.75" customHeight="1">
      <c r="BM1815" s="1025"/>
      <c r="BO1815" s="43"/>
    </row>
    <row r="1816" spans="65:67" ht="18.75" customHeight="1">
      <c r="BM1816" s="1025"/>
      <c r="BO1816" s="43"/>
    </row>
    <row r="1817" spans="65:67" ht="18.75" customHeight="1">
      <c r="BM1817" s="1025"/>
      <c r="BO1817" s="43"/>
    </row>
    <row r="1818" spans="65:67" ht="18.75" customHeight="1">
      <c r="BM1818" s="1025"/>
      <c r="BO1818" s="43"/>
    </row>
    <row r="1819" spans="65:67" ht="18.75" customHeight="1">
      <c r="BM1819" s="1025"/>
      <c r="BO1819" s="43"/>
    </row>
    <row r="1820" spans="65:67" ht="18.75" customHeight="1">
      <c r="BM1820" s="1025"/>
      <c r="BO1820" s="43"/>
    </row>
    <row r="1821" spans="65:67" ht="18.75" customHeight="1">
      <c r="BM1821" s="1025"/>
      <c r="BO1821" s="43"/>
    </row>
    <row r="1822" spans="65:67" ht="18.75" customHeight="1">
      <c r="BM1822" s="1025"/>
      <c r="BO1822" s="43"/>
    </row>
    <row r="1823" spans="65:67" ht="18.75" customHeight="1">
      <c r="BM1823" s="1025"/>
      <c r="BO1823" s="43"/>
    </row>
    <row r="1824" spans="65:67" ht="18.75" customHeight="1">
      <c r="BM1824" s="1025"/>
      <c r="BO1824" s="43"/>
    </row>
    <row r="1825" spans="65:67" ht="18.75" customHeight="1">
      <c r="BM1825" s="1025"/>
      <c r="BO1825" s="43"/>
    </row>
    <row r="1826" spans="65:67" ht="18.75" customHeight="1">
      <c r="BM1826" s="1025"/>
      <c r="BO1826" s="43"/>
    </row>
    <row r="1827" spans="65:67" ht="18.75" customHeight="1">
      <c r="BM1827" s="1025"/>
      <c r="BO1827" s="43"/>
    </row>
    <row r="1828" spans="65:67" ht="18.75" customHeight="1">
      <c r="BM1828" s="1025"/>
      <c r="BO1828" s="43"/>
    </row>
    <row r="1829" spans="65:67" ht="18.75" customHeight="1">
      <c r="BM1829" s="1025"/>
      <c r="BO1829" s="43"/>
    </row>
    <row r="1830" spans="65:67" ht="18.75" customHeight="1">
      <c r="BM1830" s="1025"/>
      <c r="BO1830" s="43"/>
    </row>
    <row r="1831" spans="65:67" ht="18.75" customHeight="1">
      <c r="BM1831" s="1025"/>
      <c r="BO1831" s="43"/>
    </row>
    <row r="1832" spans="65:67" ht="18.75" customHeight="1">
      <c r="BM1832" s="1025"/>
      <c r="BO1832" s="43"/>
    </row>
    <row r="1833" spans="65:67" ht="18.75" customHeight="1">
      <c r="BM1833" s="1025"/>
      <c r="BO1833" s="43"/>
    </row>
    <row r="1834" spans="65:67" ht="18.75" customHeight="1">
      <c r="BM1834" s="1025"/>
      <c r="BO1834" s="43"/>
    </row>
    <row r="1835" spans="65:67" ht="18.75" customHeight="1">
      <c r="BM1835" s="1025"/>
      <c r="BO1835" s="43"/>
    </row>
    <row r="1836" spans="65:67" ht="18.75" customHeight="1">
      <c r="BM1836" s="1025"/>
      <c r="BO1836" s="43"/>
    </row>
    <row r="1837" spans="65:67" ht="18.75" customHeight="1">
      <c r="BM1837" s="1025"/>
      <c r="BO1837" s="43"/>
    </row>
    <row r="1838" spans="65:67" ht="18.75" customHeight="1">
      <c r="BM1838" s="1025"/>
      <c r="BO1838" s="43"/>
    </row>
    <row r="1839" spans="65:67" ht="18.75" customHeight="1">
      <c r="BM1839" s="1025"/>
      <c r="BO1839" s="43"/>
    </row>
    <row r="1840" spans="65:67" ht="18.75" customHeight="1">
      <c r="BM1840" s="1025"/>
      <c r="BO1840" s="43"/>
    </row>
    <row r="1841" spans="65:67" ht="18.75" customHeight="1">
      <c r="BM1841" s="1025"/>
      <c r="BO1841" s="43"/>
    </row>
    <row r="1842" spans="65:67" ht="18.75" customHeight="1">
      <c r="BM1842" s="1025"/>
      <c r="BO1842" s="43"/>
    </row>
    <row r="1843" spans="65:67" ht="18.75" customHeight="1">
      <c r="BM1843" s="1025"/>
      <c r="BO1843" s="43"/>
    </row>
    <row r="1844" spans="65:67" ht="18.75" customHeight="1">
      <c r="BM1844" s="1025"/>
      <c r="BO1844" s="43"/>
    </row>
    <row r="1845" spans="65:67" ht="18.75" customHeight="1">
      <c r="BM1845" s="1025"/>
      <c r="BO1845" s="43"/>
    </row>
    <row r="1846" spans="65:67" ht="18.75" customHeight="1">
      <c r="BM1846" s="1025"/>
      <c r="BO1846" s="43"/>
    </row>
    <row r="1847" spans="65:67" ht="18.75" customHeight="1">
      <c r="BM1847" s="1025"/>
      <c r="BO1847" s="43"/>
    </row>
    <row r="1848" spans="65:67" ht="18.75" customHeight="1">
      <c r="BM1848" s="1025"/>
      <c r="BO1848" s="43"/>
    </row>
    <row r="1849" spans="65:67" ht="18.75" customHeight="1">
      <c r="BM1849" s="1025"/>
      <c r="BO1849" s="43"/>
    </row>
    <row r="1850" spans="65:67" ht="18.75" customHeight="1">
      <c r="BM1850" s="1025"/>
      <c r="BO1850" s="43"/>
    </row>
    <row r="1851" spans="65:67" ht="18.75" customHeight="1">
      <c r="BM1851" s="1025"/>
      <c r="BO1851" s="43"/>
    </row>
    <row r="1852" spans="65:67" ht="18.75" customHeight="1">
      <c r="BM1852" s="1025"/>
      <c r="BO1852" s="43"/>
    </row>
    <row r="1853" spans="65:67" ht="18.75" customHeight="1">
      <c r="BM1853" s="1025"/>
      <c r="BO1853" s="43"/>
    </row>
    <row r="1854" spans="65:67" ht="18.75" customHeight="1">
      <c r="BM1854" s="1025"/>
      <c r="BO1854" s="43"/>
    </row>
    <row r="1855" spans="65:67" ht="18.75" customHeight="1">
      <c r="BM1855" s="1025"/>
      <c r="BO1855" s="43"/>
    </row>
    <row r="1856" spans="65:67" ht="18.75" customHeight="1">
      <c r="BM1856" s="1025"/>
      <c r="BO1856" s="43"/>
    </row>
    <row r="1857" spans="65:67" ht="18.75" customHeight="1">
      <c r="BM1857" s="1025"/>
      <c r="BO1857" s="43"/>
    </row>
    <row r="1858" spans="65:67" ht="18.75" customHeight="1">
      <c r="BM1858" s="1025"/>
      <c r="BO1858" s="43"/>
    </row>
    <row r="1859" spans="65:67" ht="18.75" customHeight="1">
      <c r="BM1859" s="1025"/>
      <c r="BO1859" s="43"/>
    </row>
    <row r="1860" spans="65:67" ht="18.75" customHeight="1">
      <c r="BM1860" s="1025"/>
      <c r="BO1860" s="43"/>
    </row>
    <row r="1861" spans="65:67" ht="18.75" customHeight="1">
      <c r="BM1861" s="1025"/>
      <c r="BO1861" s="43"/>
    </row>
    <row r="1862" spans="65:67" ht="18.75" customHeight="1">
      <c r="BM1862" s="1025"/>
      <c r="BO1862" s="43"/>
    </row>
    <row r="1863" spans="65:67" ht="18.75" customHeight="1">
      <c r="BM1863" s="1025"/>
      <c r="BO1863" s="43"/>
    </row>
    <row r="1864" spans="65:67" ht="18.75" customHeight="1">
      <c r="BM1864" s="1025"/>
      <c r="BO1864" s="43"/>
    </row>
    <row r="1865" spans="65:67" ht="18.75" customHeight="1">
      <c r="BM1865" s="1025"/>
      <c r="BO1865" s="43"/>
    </row>
    <row r="1866" spans="65:67" ht="18.75" customHeight="1">
      <c r="BM1866" s="1025"/>
      <c r="BO1866" s="43"/>
    </row>
    <row r="1867" spans="65:67" ht="18.75" customHeight="1">
      <c r="BM1867" s="1025"/>
      <c r="BO1867" s="43"/>
    </row>
    <row r="1868" spans="65:67" ht="18.75" customHeight="1">
      <c r="BM1868" s="1025"/>
      <c r="BO1868" s="43"/>
    </row>
    <row r="1869" spans="65:67" ht="18.75" customHeight="1">
      <c r="BM1869" s="1025"/>
      <c r="BO1869" s="43"/>
    </row>
    <row r="1870" spans="65:67" ht="18.75" customHeight="1">
      <c r="BM1870" s="1025"/>
      <c r="BO1870" s="43"/>
    </row>
    <row r="1871" spans="65:67" ht="18.75" customHeight="1">
      <c r="BM1871" s="1025"/>
      <c r="BO1871" s="43"/>
    </row>
    <row r="1872" spans="65:67" ht="18.75" customHeight="1">
      <c r="BM1872" s="1025"/>
      <c r="BO1872" s="43"/>
    </row>
    <row r="1873" spans="65:67" ht="18.75" customHeight="1">
      <c r="BM1873" s="1025"/>
      <c r="BO1873" s="43"/>
    </row>
    <row r="1874" spans="65:67" ht="18.75" customHeight="1">
      <c r="BM1874" s="1025"/>
      <c r="BO1874" s="43"/>
    </row>
    <row r="1875" spans="65:67" ht="18.75" customHeight="1">
      <c r="BM1875" s="1025"/>
      <c r="BO1875" s="43"/>
    </row>
    <row r="1876" spans="65:67" ht="18.75" customHeight="1">
      <c r="BM1876" s="1025"/>
      <c r="BO1876" s="43"/>
    </row>
    <row r="1877" spans="65:67" ht="18.75" customHeight="1">
      <c r="BM1877" s="1025"/>
      <c r="BO1877" s="43"/>
    </row>
    <row r="1878" spans="65:67" ht="18.75" customHeight="1">
      <c r="BM1878" s="1025"/>
      <c r="BO1878" s="43"/>
    </row>
    <row r="1879" spans="65:67" ht="18.75" customHeight="1">
      <c r="BM1879" s="1025"/>
      <c r="BO1879" s="43"/>
    </row>
    <row r="1880" spans="65:67" ht="18.75" customHeight="1">
      <c r="BM1880" s="1025"/>
      <c r="BO1880" s="43"/>
    </row>
    <row r="1881" spans="65:67" ht="18.75" customHeight="1">
      <c r="BM1881" s="1025"/>
      <c r="BO1881" s="43"/>
    </row>
    <row r="1882" spans="65:67" ht="18.75" customHeight="1">
      <c r="BM1882" s="1025"/>
      <c r="BO1882" s="43"/>
    </row>
    <row r="1883" spans="65:67" ht="18.75" customHeight="1">
      <c r="BM1883" s="1025"/>
      <c r="BO1883" s="43"/>
    </row>
    <row r="1884" spans="65:67" ht="18.75" customHeight="1">
      <c r="BM1884" s="1025"/>
      <c r="BO1884" s="43"/>
    </row>
    <row r="1885" spans="65:67" ht="18.75" customHeight="1">
      <c r="BM1885" s="1025"/>
      <c r="BO1885" s="43"/>
    </row>
    <row r="1886" spans="65:67" ht="18.75" customHeight="1">
      <c r="BM1886" s="1025"/>
      <c r="BO1886" s="43"/>
    </row>
    <row r="1887" spans="65:67" ht="18.75" customHeight="1">
      <c r="BM1887" s="1025"/>
      <c r="BO1887" s="43"/>
    </row>
    <row r="1888" spans="65:67" ht="18.75" customHeight="1">
      <c r="BM1888" s="1025"/>
      <c r="BO1888" s="43"/>
    </row>
    <row r="1889" spans="65:67" ht="18.75" customHeight="1">
      <c r="BM1889" s="1025"/>
      <c r="BO1889" s="43"/>
    </row>
    <row r="1890" spans="65:67" ht="18.75" customHeight="1">
      <c r="BM1890" s="1025"/>
      <c r="BO1890" s="43"/>
    </row>
    <row r="1891" spans="65:67" ht="18.75" customHeight="1">
      <c r="BM1891" s="1025"/>
      <c r="BO1891" s="43"/>
    </row>
    <row r="1892" spans="65:67" ht="18.75" customHeight="1">
      <c r="BM1892" s="1025"/>
      <c r="BO1892" s="43"/>
    </row>
    <row r="1893" spans="65:67" ht="18.75" customHeight="1">
      <c r="BM1893" s="1025"/>
      <c r="BO1893" s="43"/>
    </row>
    <row r="1894" spans="65:67" ht="18.75" customHeight="1">
      <c r="BM1894" s="1025"/>
      <c r="BO1894" s="43"/>
    </row>
    <row r="1895" spans="65:67" ht="18.75" customHeight="1">
      <c r="BM1895" s="1025"/>
      <c r="BO1895" s="43"/>
    </row>
    <row r="1896" spans="65:67" ht="18.75" customHeight="1">
      <c r="BM1896" s="1025"/>
      <c r="BO1896" s="43"/>
    </row>
    <row r="1897" spans="65:67" ht="18.75" customHeight="1">
      <c r="BM1897" s="1025"/>
      <c r="BO1897" s="43"/>
    </row>
    <row r="1898" spans="65:67" ht="18.75" customHeight="1">
      <c r="BM1898" s="1025"/>
      <c r="BO1898" s="43"/>
    </row>
    <row r="1899" spans="65:67" ht="18.75" customHeight="1">
      <c r="BM1899" s="1025"/>
      <c r="BO1899" s="43"/>
    </row>
    <row r="1900" spans="65:67" ht="18.75" customHeight="1">
      <c r="BM1900" s="1025"/>
      <c r="BO1900" s="43"/>
    </row>
    <row r="1901" spans="65:67" ht="18.75" customHeight="1">
      <c r="BM1901" s="1025"/>
      <c r="BO1901" s="43"/>
    </row>
    <row r="1902" spans="65:67" ht="18.75" customHeight="1">
      <c r="BM1902" s="1025"/>
      <c r="BO1902" s="43"/>
    </row>
    <row r="1903" spans="65:67" ht="18.75" customHeight="1">
      <c r="BM1903" s="1025"/>
      <c r="BO1903" s="43"/>
    </row>
    <row r="1904" spans="65:67" ht="18.75" customHeight="1">
      <c r="BM1904" s="1025"/>
      <c r="BO1904" s="43"/>
    </row>
    <row r="1905" spans="65:67" ht="18.75" customHeight="1">
      <c r="BM1905" s="1025"/>
      <c r="BO1905" s="43"/>
    </row>
    <row r="1906" spans="65:67" ht="18.75" customHeight="1">
      <c r="BM1906" s="1025"/>
      <c r="BO1906" s="43"/>
    </row>
    <row r="1907" spans="65:67" ht="18.75" customHeight="1">
      <c r="BM1907" s="1025"/>
      <c r="BO1907" s="43"/>
    </row>
    <row r="1908" spans="65:67" ht="18.75" customHeight="1">
      <c r="BM1908" s="1025"/>
      <c r="BO1908" s="43"/>
    </row>
    <row r="1909" spans="65:67" ht="18.75" customHeight="1">
      <c r="BM1909" s="1025"/>
      <c r="BO1909" s="43"/>
    </row>
    <row r="1910" spans="65:67" ht="18.75" customHeight="1">
      <c r="BM1910" s="1025"/>
      <c r="BO1910" s="43"/>
    </row>
    <row r="1911" spans="65:67" ht="18.75" customHeight="1">
      <c r="BM1911" s="1025"/>
      <c r="BO1911" s="43"/>
    </row>
    <row r="1912" spans="65:67" ht="18.75" customHeight="1">
      <c r="BM1912" s="1025"/>
      <c r="BO1912" s="43"/>
    </row>
    <row r="1913" spans="65:67" ht="18.75" customHeight="1">
      <c r="BM1913" s="1025"/>
      <c r="BO1913" s="43"/>
    </row>
    <row r="1914" spans="65:67" ht="18.75" customHeight="1">
      <c r="BM1914" s="1025"/>
      <c r="BO1914" s="43"/>
    </row>
    <row r="1915" spans="65:67" ht="18.75" customHeight="1">
      <c r="BM1915" s="1025"/>
      <c r="BO1915" s="43"/>
    </row>
    <row r="1916" spans="65:67" ht="18.75" customHeight="1">
      <c r="BM1916" s="1025"/>
      <c r="BO1916" s="43"/>
    </row>
    <row r="1917" spans="65:67" ht="18.75" customHeight="1">
      <c r="BM1917" s="1025"/>
      <c r="BO1917" s="43"/>
    </row>
    <row r="1918" spans="65:67" ht="18.75" customHeight="1">
      <c r="BM1918" s="1025"/>
      <c r="BO1918" s="43"/>
    </row>
    <row r="1919" spans="65:67" ht="18.75" customHeight="1">
      <c r="BM1919" s="1025"/>
      <c r="BO1919" s="43"/>
    </row>
    <row r="1920" spans="65:67" ht="18.75" customHeight="1">
      <c r="BM1920" s="1025"/>
      <c r="BO1920" s="43"/>
    </row>
    <row r="1921" spans="65:67" ht="18.75" customHeight="1">
      <c r="BM1921" s="1025"/>
      <c r="BO1921" s="43"/>
    </row>
    <row r="1922" spans="65:67" ht="18.75" customHeight="1">
      <c r="BM1922" s="1025"/>
      <c r="BO1922" s="43"/>
    </row>
    <row r="1923" spans="65:67" ht="18.75" customHeight="1">
      <c r="BM1923" s="1025"/>
      <c r="BO1923" s="43"/>
    </row>
    <row r="1924" spans="65:67" ht="18.75" customHeight="1">
      <c r="BM1924" s="1025"/>
      <c r="BO1924" s="43"/>
    </row>
    <row r="1925" spans="65:67" ht="18.75" customHeight="1">
      <c r="BM1925" s="1025"/>
      <c r="BO1925" s="43"/>
    </row>
    <row r="1926" spans="65:67" ht="18.75" customHeight="1">
      <c r="BM1926" s="1025"/>
      <c r="BO1926" s="43"/>
    </row>
    <row r="1927" spans="65:67" ht="18.75" customHeight="1">
      <c r="BM1927" s="1025"/>
      <c r="BO1927" s="43"/>
    </row>
    <row r="1928" spans="65:67" ht="18.75" customHeight="1">
      <c r="BM1928" s="1025"/>
      <c r="BO1928" s="43"/>
    </row>
    <row r="1929" spans="65:67" ht="18.75" customHeight="1">
      <c r="BM1929" s="1025"/>
      <c r="BO1929" s="43"/>
    </row>
    <row r="1930" spans="65:67" ht="18.75" customHeight="1">
      <c r="BM1930" s="1025"/>
      <c r="BO1930" s="43"/>
    </row>
    <row r="1931" spans="65:67" ht="18.75" customHeight="1">
      <c r="BM1931" s="1025"/>
      <c r="BO1931" s="43"/>
    </row>
    <row r="1932" spans="65:67" ht="18.75" customHeight="1">
      <c r="BM1932" s="1025"/>
      <c r="BO1932" s="43"/>
    </row>
    <row r="1933" spans="65:67" ht="18.75" customHeight="1">
      <c r="BM1933" s="1025"/>
      <c r="BO1933" s="43"/>
    </row>
    <row r="1934" spans="65:67" ht="18.75" customHeight="1">
      <c r="BM1934" s="1025"/>
      <c r="BO1934" s="43"/>
    </row>
    <row r="1935" spans="65:67" ht="18.75" customHeight="1">
      <c r="BM1935" s="1025"/>
      <c r="BO1935" s="43"/>
    </row>
    <row r="1936" spans="65:67" ht="18.75" customHeight="1">
      <c r="BM1936" s="1025"/>
      <c r="BO1936" s="43"/>
    </row>
    <row r="1937" spans="65:67" ht="18.75" customHeight="1">
      <c r="BM1937" s="1025"/>
      <c r="BO1937" s="43"/>
    </row>
    <row r="1938" spans="65:67" ht="18.75" customHeight="1">
      <c r="BM1938" s="1025"/>
      <c r="BO1938" s="43"/>
    </row>
    <row r="1939" spans="65:67" ht="18.75" customHeight="1">
      <c r="BM1939" s="1025"/>
      <c r="BO1939" s="43"/>
    </row>
    <row r="1940" spans="65:67" ht="18.75" customHeight="1">
      <c r="BM1940" s="1025"/>
      <c r="BO1940" s="43"/>
    </row>
    <row r="1941" spans="65:67" ht="18.75" customHeight="1">
      <c r="BM1941" s="1025"/>
      <c r="BO1941" s="43"/>
    </row>
    <row r="1942" spans="65:67" ht="18.75" customHeight="1">
      <c r="BM1942" s="1025"/>
      <c r="BO1942" s="43"/>
    </row>
    <row r="1943" spans="65:67" ht="18.75" customHeight="1">
      <c r="BM1943" s="1025"/>
      <c r="BO1943" s="43"/>
    </row>
    <row r="1944" spans="65:67" ht="18.75" customHeight="1">
      <c r="BM1944" s="1025"/>
      <c r="BO1944" s="43"/>
    </row>
    <row r="1945" spans="65:67" ht="18.75" customHeight="1">
      <c r="BM1945" s="1025"/>
      <c r="BO1945" s="43"/>
    </row>
    <row r="1946" spans="65:67" ht="18.75" customHeight="1">
      <c r="BM1946" s="1025"/>
      <c r="BO1946" s="43"/>
    </row>
    <row r="1947" spans="65:67" ht="18.75" customHeight="1">
      <c r="BM1947" s="1025"/>
      <c r="BO1947" s="43"/>
    </row>
    <row r="1948" spans="65:67" ht="18.75" customHeight="1">
      <c r="BM1948" s="1025"/>
      <c r="BO1948" s="43"/>
    </row>
    <row r="1949" spans="65:67" ht="18.75" customHeight="1">
      <c r="BM1949" s="1025"/>
      <c r="BO1949" s="43"/>
    </row>
    <row r="1950" spans="65:67" ht="18.75" customHeight="1">
      <c r="BM1950" s="1025"/>
      <c r="BO1950" s="43"/>
    </row>
    <row r="1951" spans="65:67" ht="18.75" customHeight="1">
      <c r="BM1951" s="1025"/>
      <c r="BO1951" s="43"/>
    </row>
    <row r="1952" spans="65:67" ht="18.75" customHeight="1">
      <c r="BM1952" s="1025"/>
      <c r="BO1952" s="43"/>
    </row>
    <row r="1953" spans="65:67" ht="18.75" customHeight="1">
      <c r="BM1953" s="1025"/>
      <c r="BO1953" s="43"/>
    </row>
    <row r="1954" spans="65:67" ht="18.75" customHeight="1">
      <c r="BM1954" s="1025"/>
      <c r="BO1954" s="43"/>
    </row>
    <row r="1955" spans="65:67" ht="18.75" customHeight="1">
      <c r="BM1955" s="1025"/>
      <c r="BO1955" s="43"/>
    </row>
    <row r="1956" spans="65:67" ht="18.75" customHeight="1">
      <c r="BM1956" s="1025"/>
      <c r="BO1956" s="43"/>
    </row>
    <row r="1957" spans="65:67" ht="18.75" customHeight="1">
      <c r="BM1957" s="1025"/>
      <c r="BO1957" s="43"/>
    </row>
    <row r="1958" spans="65:67" ht="18.75" customHeight="1">
      <c r="BM1958" s="1025"/>
      <c r="BO1958" s="43"/>
    </row>
    <row r="1959" spans="65:67" ht="18.75" customHeight="1">
      <c r="BM1959" s="1025"/>
      <c r="BO1959" s="43"/>
    </row>
    <row r="1960" spans="65:67" ht="18.75" customHeight="1">
      <c r="BM1960" s="1025"/>
      <c r="BO1960" s="43"/>
    </row>
    <row r="1961" spans="65:67" ht="18.75" customHeight="1">
      <c r="BM1961" s="1025"/>
      <c r="BO1961" s="43"/>
    </row>
    <row r="1962" spans="65:67" ht="18.75" customHeight="1">
      <c r="BM1962" s="1025"/>
      <c r="BO1962" s="43"/>
    </row>
    <row r="1963" spans="65:67" ht="18.75" customHeight="1">
      <c r="BM1963" s="1025"/>
      <c r="BO1963" s="43"/>
    </row>
    <row r="1964" spans="65:67" ht="18.75" customHeight="1">
      <c r="BM1964" s="1025"/>
      <c r="BO1964" s="43"/>
    </row>
    <row r="1965" spans="65:67" ht="18.75" customHeight="1">
      <c r="BM1965" s="1025"/>
      <c r="BO1965" s="43"/>
    </row>
    <row r="1966" spans="65:67" ht="18.75" customHeight="1">
      <c r="BM1966" s="1025"/>
      <c r="BO1966" s="43"/>
    </row>
    <row r="1967" spans="65:67" ht="18.75" customHeight="1">
      <c r="BM1967" s="1025"/>
      <c r="BO1967" s="43"/>
    </row>
    <row r="1968" spans="65:67" ht="18.75" customHeight="1">
      <c r="BM1968" s="1025"/>
      <c r="BO1968" s="43"/>
    </row>
    <row r="1969" spans="65:67" ht="18.75" customHeight="1">
      <c r="BM1969" s="1025"/>
      <c r="BO1969" s="43"/>
    </row>
    <row r="1970" spans="65:67" ht="18.75" customHeight="1">
      <c r="BM1970" s="1025"/>
      <c r="BO1970" s="43"/>
    </row>
    <row r="1971" spans="65:67" ht="18.75" customHeight="1">
      <c r="BM1971" s="1025"/>
      <c r="BO1971" s="43"/>
    </row>
    <row r="1972" spans="65:67" ht="18.75" customHeight="1">
      <c r="BM1972" s="1025"/>
      <c r="BO1972" s="43"/>
    </row>
    <row r="1973" spans="65:67" ht="18.75" customHeight="1">
      <c r="BM1973" s="1025"/>
      <c r="BO1973" s="43"/>
    </row>
    <row r="1974" spans="65:67" ht="18.75" customHeight="1">
      <c r="BM1974" s="1025"/>
      <c r="BO1974" s="43"/>
    </row>
    <row r="1975" spans="65:67" ht="18.75" customHeight="1">
      <c r="BM1975" s="1025"/>
      <c r="BO1975" s="43"/>
    </row>
    <row r="1976" spans="65:67" ht="18.75" customHeight="1">
      <c r="BM1976" s="1025"/>
      <c r="BO1976" s="43"/>
    </row>
    <row r="1977" spans="65:67" ht="18.75" customHeight="1">
      <c r="BM1977" s="1025"/>
      <c r="BO1977" s="43"/>
    </row>
    <row r="1978" spans="65:67" ht="18.75" customHeight="1">
      <c r="BM1978" s="1025"/>
      <c r="BO1978" s="43"/>
    </row>
    <row r="1979" spans="65:67" ht="18.75" customHeight="1">
      <c r="BM1979" s="1025"/>
      <c r="BO1979" s="43"/>
    </row>
    <row r="1980" spans="65:67" ht="18.75" customHeight="1">
      <c r="BM1980" s="1025"/>
      <c r="BO1980" s="43"/>
    </row>
    <row r="1981" spans="65:67" ht="18.75" customHeight="1">
      <c r="BM1981" s="1025"/>
      <c r="BO1981" s="43"/>
    </row>
    <row r="1982" spans="65:67" ht="18.75" customHeight="1">
      <c r="BM1982" s="1025"/>
      <c r="BO1982" s="43"/>
    </row>
    <row r="1983" spans="65:67" ht="18.75" customHeight="1">
      <c r="BM1983" s="1025"/>
      <c r="BO1983" s="43"/>
    </row>
    <row r="1984" spans="65:67" ht="18.75" customHeight="1">
      <c r="BM1984" s="1025"/>
      <c r="BO1984" s="43"/>
    </row>
    <row r="1985" spans="65:67" ht="18.75" customHeight="1">
      <c r="BM1985" s="1025"/>
      <c r="BO1985" s="43"/>
    </row>
    <row r="1986" spans="65:67" ht="18.75" customHeight="1">
      <c r="BM1986" s="1025"/>
      <c r="BO1986" s="43"/>
    </row>
    <row r="1987" spans="65:67" ht="18.75" customHeight="1">
      <c r="BM1987" s="1025"/>
      <c r="BO1987" s="43"/>
    </row>
    <row r="1988" spans="65:67" ht="18.75" customHeight="1">
      <c r="BM1988" s="1025"/>
      <c r="BO1988" s="43"/>
    </row>
    <row r="1989" spans="65:67" ht="18.75" customHeight="1">
      <c r="BM1989" s="1025"/>
      <c r="BO1989" s="43"/>
    </row>
    <row r="1990" spans="65:67" ht="18.75" customHeight="1">
      <c r="BM1990" s="1025"/>
      <c r="BO1990" s="43"/>
    </row>
    <row r="1991" spans="65:67" ht="18.75" customHeight="1">
      <c r="BM1991" s="1025"/>
      <c r="BO1991" s="43"/>
    </row>
    <row r="1992" spans="65:67" ht="18.75" customHeight="1">
      <c r="BM1992" s="1025"/>
      <c r="BO1992" s="43"/>
    </row>
    <row r="1993" spans="65:67" ht="18.75" customHeight="1">
      <c r="BM1993" s="1025"/>
      <c r="BO1993" s="43"/>
    </row>
    <row r="1994" spans="65:67" ht="18.75" customHeight="1">
      <c r="BM1994" s="1025"/>
      <c r="BO1994" s="43"/>
    </row>
    <row r="1995" spans="65:67" ht="18.75" customHeight="1">
      <c r="BM1995" s="1025"/>
      <c r="BO1995" s="43"/>
    </row>
    <row r="1996" spans="65:67" ht="18.75" customHeight="1">
      <c r="BM1996" s="1025"/>
      <c r="BO1996" s="43"/>
    </row>
    <row r="1997" spans="65:67" ht="18.75" customHeight="1">
      <c r="BM1997" s="1025"/>
      <c r="BO1997" s="43"/>
    </row>
    <row r="1998" spans="65:67" ht="18.75" customHeight="1">
      <c r="BM1998" s="1025"/>
      <c r="BO1998" s="43"/>
    </row>
    <row r="1999" spans="65:67" ht="18.75" customHeight="1">
      <c r="BM1999" s="1025"/>
      <c r="BO1999" s="43"/>
    </row>
    <row r="2000" spans="65:67" ht="18.75" customHeight="1">
      <c r="BM2000" s="1025"/>
      <c r="BO2000" s="43"/>
    </row>
    <row r="2001" spans="65:67" ht="18.75" customHeight="1">
      <c r="BM2001" s="1025"/>
      <c r="BO2001" s="43"/>
    </row>
    <row r="2002" spans="65:67" ht="18.75" customHeight="1">
      <c r="BM2002" s="1025"/>
      <c r="BO2002" s="43"/>
    </row>
    <row r="2003" spans="65:67" ht="18.75" customHeight="1">
      <c r="BM2003" s="1025"/>
      <c r="BO2003" s="43"/>
    </row>
    <row r="2004" spans="65:67" ht="18.75" customHeight="1">
      <c r="BM2004" s="1025"/>
      <c r="BO2004" s="43"/>
    </row>
    <row r="2005" spans="65:67" ht="18.75" customHeight="1">
      <c r="BM2005" s="1025"/>
      <c r="BO2005" s="43"/>
    </row>
    <row r="2006" spans="65:67" ht="18.75" customHeight="1">
      <c r="BM2006" s="1025"/>
      <c r="BO2006" s="43"/>
    </row>
    <row r="2007" spans="65:67" ht="18.75" customHeight="1">
      <c r="BM2007" s="1025"/>
      <c r="BO2007" s="43"/>
    </row>
    <row r="2008" spans="65:67" ht="18.75" customHeight="1">
      <c r="BM2008" s="1025"/>
      <c r="BO2008" s="43"/>
    </row>
    <row r="2009" spans="65:67" ht="18.75" customHeight="1">
      <c r="BM2009" s="1025"/>
      <c r="BO2009" s="43"/>
    </row>
    <row r="2010" spans="65:67" ht="18.75" customHeight="1">
      <c r="BM2010" s="1025"/>
      <c r="BO2010" s="43"/>
    </row>
    <row r="2011" spans="65:67" ht="18.75" customHeight="1">
      <c r="BM2011" s="1025"/>
      <c r="BO2011" s="43"/>
    </row>
    <row r="2012" spans="65:67" ht="18.75" customHeight="1">
      <c r="BM2012" s="1025"/>
      <c r="BO2012" s="43"/>
    </row>
    <row r="2013" spans="65:67" ht="18.75" customHeight="1">
      <c r="BM2013" s="1025"/>
      <c r="BO2013" s="43"/>
    </row>
    <row r="2014" spans="65:67" ht="18.75" customHeight="1">
      <c r="BM2014" s="1025"/>
      <c r="BO2014" s="43"/>
    </row>
    <row r="2015" spans="65:67" ht="18.75" customHeight="1">
      <c r="BM2015" s="1025"/>
      <c r="BO2015" s="43"/>
    </row>
    <row r="2016" spans="65:67" ht="18.75" customHeight="1">
      <c r="BM2016" s="1025"/>
      <c r="BO2016" s="43"/>
    </row>
    <row r="2017" spans="65:67" ht="18.75" customHeight="1">
      <c r="BM2017" s="1025"/>
      <c r="BO2017" s="43"/>
    </row>
    <row r="2018" spans="65:67" ht="18.75" customHeight="1">
      <c r="BM2018" s="1025"/>
      <c r="BO2018" s="43"/>
    </row>
    <row r="2019" spans="65:67" ht="18.75" customHeight="1">
      <c r="BM2019" s="1025"/>
      <c r="BO2019" s="43"/>
    </row>
    <row r="2020" spans="65:67" ht="18.75" customHeight="1">
      <c r="BM2020" s="1025"/>
      <c r="BO2020" s="43"/>
    </row>
    <row r="2021" spans="65:67" ht="18.75" customHeight="1">
      <c r="BM2021" s="1025"/>
      <c r="BO2021" s="43"/>
    </row>
    <row r="2022" spans="65:67" ht="18.75" customHeight="1">
      <c r="BM2022" s="1025"/>
      <c r="BO2022" s="43"/>
    </row>
    <row r="2023" spans="65:67" ht="18.75" customHeight="1">
      <c r="BM2023" s="1025"/>
      <c r="BO2023" s="43"/>
    </row>
    <row r="2024" spans="65:67" ht="18.75" customHeight="1">
      <c r="BM2024" s="1025"/>
      <c r="BO2024" s="43"/>
    </row>
    <row r="2025" spans="65:67" ht="18.75" customHeight="1">
      <c r="BM2025" s="1025"/>
      <c r="BO2025" s="43"/>
    </row>
    <row r="2026" spans="65:67" ht="18.75" customHeight="1">
      <c r="BM2026" s="1025"/>
      <c r="BO2026" s="43"/>
    </row>
    <row r="2027" spans="65:67" ht="18.75" customHeight="1">
      <c r="BM2027" s="1025"/>
      <c r="BO2027" s="43"/>
    </row>
    <row r="2028" spans="65:67" ht="18.75" customHeight="1">
      <c r="BM2028" s="1025"/>
      <c r="BO2028" s="43"/>
    </row>
    <row r="2029" spans="65:67" ht="18.75" customHeight="1">
      <c r="BM2029" s="1025"/>
      <c r="BO2029" s="43"/>
    </row>
    <row r="2030" spans="65:67" ht="18.75" customHeight="1">
      <c r="BM2030" s="1025"/>
      <c r="BO2030" s="43"/>
    </row>
    <row r="2031" spans="65:67" ht="18.75" customHeight="1">
      <c r="BM2031" s="1025"/>
      <c r="BO2031" s="43"/>
    </row>
    <row r="2032" spans="65:67" ht="18.75" customHeight="1">
      <c r="BM2032" s="1025"/>
      <c r="BO2032" s="43"/>
    </row>
    <row r="2033" spans="65:67" ht="18.75" customHeight="1">
      <c r="BM2033" s="1025"/>
      <c r="BO2033" s="43"/>
    </row>
    <row r="2034" spans="65:67" ht="18.75" customHeight="1">
      <c r="BM2034" s="1025"/>
      <c r="BO2034" s="43"/>
    </row>
    <row r="2035" spans="65:67" ht="18.75" customHeight="1">
      <c r="BM2035" s="1025"/>
      <c r="BO2035" s="43"/>
    </row>
    <row r="2036" spans="65:67" ht="18.75" customHeight="1">
      <c r="BM2036" s="1025"/>
      <c r="BO2036" s="43"/>
    </row>
    <row r="2037" spans="65:67" ht="18.75" customHeight="1">
      <c r="BM2037" s="1025"/>
      <c r="BO2037" s="43"/>
    </row>
    <row r="2038" spans="65:67" ht="18.75" customHeight="1">
      <c r="BM2038" s="1025"/>
      <c r="BO2038" s="43"/>
    </row>
    <row r="2039" spans="65:67" ht="18.75" customHeight="1">
      <c r="BM2039" s="1025"/>
      <c r="BO2039" s="43"/>
    </row>
    <row r="2040" spans="65:67" ht="18.75" customHeight="1">
      <c r="BM2040" s="1025"/>
      <c r="BO2040" s="43"/>
    </row>
    <row r="2041" spans="65:67" ht="18.75" customHeight="1">
      <c r="BM2041" s="1025"/>
      <c r="BO2041" s="43"/>
    </row>
    <row r="2042" spans="65:67" ht="18.75" customHeight="1">
      <c r="BM2042" s="1025"/>
      <c r="BO2042" s="43"/>
    </row>
    <row r="2043" spans="65:67" ht="18.75" customHeight="1">
      <c r="BM2043" s="1025"/>
      <c r="BO2043" s="43"/>
    </row>
    <row r="2044" spans="65:67" ht="18.75" customHeight="1">
      <c r="BM2044" s="1025"/>
      <c r="BO2044" s="43"/>
    </row>
    <row r="2045" spans="65:67" ht="18.75" customHeight="1">
      <c r="BM2045" s="1025"/>
      <c r="BO2045" s="43"/>
    </row>
    <row r="2046" spans="65:67" ht="18.75" customHeight="1">
      <c r="BM2046" s="1025"/>
      <c r="BO2046" s="43"/>
    </row>
    <row r="2047" spans="65:67" ht="18.75" customHeight="1">
      <c r="BM2047" s="1025"/>
      <c r="BO2047" s="43"/>
    </row>
    <row r="2048" spans="65:67" ht="18.75" customHeight="1">
      <c r="BM2048" s="1025"/>
      <c r="BO2048" s="43"/>
    </row>
    <row r="2049" spans="65:67" ht="18.75" customHeight="1">
      <c r="BM2049" s="1025"/>
      <c r="BO2049" s="43"/>
    </row>
    <row r="2050" spans="65:67" ht="18.75" customHeight="1">
      <c r="BM2050" s="1025"/>
      <c r="BO2050" s="43"/>
    </row>
    <row r="2051" spans="65:67" ht="18.75" customHeight="1">
      <c r="BM2051" s="1025"/>
      <c r="BO2051" s="43"/>
    </row>
    <row r="2052" spans="65:67" ht="18.75" customHeight="1">
      <c r="BM2052" s="1025"/>
      <c r="BO2052" s="43"/>
    </row>
    <row r="2053" spans="65:67" ht="18.75" customHeight="1">
      <c r="BM2053" s="1025"/>
      <c r="BO2053" s="43"/>
    </row>
    <row r="2054" spans="65:67" ht="18.75" customHeight="1">
      <c r="BM2054" s="1025"/>
      <c r="BO2054" s="43"/>
    </row>
    <row r="2055" spans="65:67" ht="18.75" customHeight="1">
      <c r="BM2055" s="1025"/>
      <c r="BO2055" s="43"/>
    </row>
    <row r="2056" spans="65:67" ht="18.75" customHeight="1">
      <c r="BM2056" s="1025"/>
      <c r="BO2056" s="43"/>
    </row>
    <row r="2057" spans="65:67" ht="18.75" customHeight="1">
      <c r="BM2057" s="1025"/>
      <c r="BO2057" s="43"/>
    </row>
    <row r="2058" spans="65:67" ht="18.75" customHeight="1">
      <c r="BM2058" s="1025"/>
      <c r="BO2058" s="43"/>
    </row>
    <row r="2059" spans="65:67" ht="18.75" customHeight="1">
      <c r="BM2059" s="1025"/>
      <c r="BO2059" s="43"/>
    </row>
    <row r="2060" spans="65:67" ht="18.75" customHeight="1">
      <c r="BM2060" s="1025"/>
      <c r="BO2060" s="43"/>
    </row>
    <row r="2061" spans="65:67" ht="18.75" customHeight="1">
      <c r="BM2061" s="1025"/>
      <c r="BO2061" s="43"/>
    </row>
    <row r="2062" spans="65:67" ht="18.75" customHeight="1">
      <c r="BM2062" s="1025"/>
      <c r="BO2062" s="43"/>
    </row>
    <row r="2063" spans="65:67" ht="18.75" customHeight="1">
      <c r="BM2063" s="1025"/>
      <c r="BO2063" s="43"/>
    </row>
    <row r="2064" spans="65:67" ht="18.75" customHeight="1">
      <c r="BM2064" s="1025"/>
      <c r="BO2064" s="43"/>
    </row>
    <row r="2065" spans="65:67" ht="18.75" customHeight="1">
      <c r="BM2065" s="1025"/>
      <c r="BO2065" s="43"/>
    </row>
    <row r="2066" spans="65:67" ht="18.75" customHeight="1">
      <c r="BM2066" s="1025"/>
      <c r="BO2066" s="43"/>
    </row>
    <row r="2067" spans="65:67" ht="18.75" customHeight="1">
      <c r="BM2067" s="1025"/>
      <c r="BO2067" s="43"/>
    </row>
    <row r="2068" spans="65:67" ht="18.75" customHeight="1">
      <c r="BM2068" s="1025"/>
      <c r="BO2068" s="43"/>
    </row>
    <row r="2069" spans="65:67" ht="18.75" customHeight="1">
      <c r="BM2069" s="1025"/>
      <c r="BO2069" s="43"/>
    </row>
    <row r="2070" spans="65:67" ht="18.75" customHeight="1">
      <c r="BM2070" s="1025"/>
      <c r="BO2070" s="43"/>
    </row>
    <row r="2071" spans="65:67" ht="18.75" customHeight="1">
      <c r="BM2071" s="1025"/>
      <c r="BO2071" s="43"/>
    </row>
    <row r="2072" spans="65:67" ht="18.75" customHeight="1">
      <c r="BM2072" s="1025"/>
      <c r="BO2072" s="43"/>
    </row>
    <row r="2073" spans="65:67" ht="18.75" customHeight="1">
      <c r="BM2073" s="1025"/>
      <c r="BO2073" s="43"/>
    </row>
    <row r="2074" spans="65:67" ht="18.75" customHeight="1">
      <c r="BM2074" s="1025"/>
      <c r="BO2074" s="43"/>
    </row>
    <row r="2075" spans="65:67" ht="18.75" customHeight="1">
      <c r="BM2075" s="1025"/>
      <c r="BO2075" s="43"/>
    </row>
    <row r="2076" spans="65:67" ht="18.75" customHeight="1">
      <c r="BM2076" s="1025"/>
      <c r="BO2076" s="43"/>
    </row>
    <row r="2077" spans="65:67" ht="18.75" customHeight="1">
      <c r="BM2077" s="1025"/>
      <c r="BO2077" s="43"/>
    </row>
    <row r="2078" spans="65:67" ht="18.75" customHeight="1">
      <c r="BM2078" s="1025"/>
      <c r="BO2078" s="43"/>
    </row>
    <row r="2079" spans="65:67" ht="18.75" customHeight="1">
      <c r="BM2079" s="1025"/>
      <c r="BO2079" s="43"/>
    </row>
    <row r="2080" spans="65:67" ht="18.75" customHeight="1">
      <c r="BM2080" s="1025"/>
      <c r="BO2080" s="43"/>
    </row>
    <row r="2081" spans="65:67" ht="18.75" customHeight="1">
      <c r="BM2081" s="1025"/>
      <c r="BO2081" s="43"/>
    </row>
    <row r="2082" spans="65:67" ht="18.75" customHeight="1">
      <c r="BM2082" s="1025"/>
      <c r="BO2082" s="43"/>
    </row>
    <row r="2083" spans="65:67" ht="18.75" customHeight="1">
      <c r="BM2083" s="1025"/>
      <c r="BO2083" s="43"/>
    </row>
    <row r="2084" spans="65:67" ht="18.75" customHeight="1">
      <c r="BM2084" s="1025"/>
      <c r="BO2084" s="43"/>
    </row>
    <row r="2085" spans="65:67" ht="18.75" customHeight="1">
      <c r="BM2085" s="1025"/>
      <c r="BO2085" s="43"/>
    </row>
    <row r="2086" spans="65:67" ht="18.75" customHeight="1">
      <c r="BM2086" s="1025"/>
      <c r="BO2086" s="43"/>
    </row>
    <row r="2087" spans="65:67" ht="18.75" customHeight="1">
      <c r="BM2087" s="1025"/>
      <c r="BO2087" s="43"/>
    </row>
    <row r="2088" spans="65:67" ht="18.75" customHeight="1">
      <c r="BM2088" s="1025"/>
      <c r="BO2088" s="43"/>
    </row>
    <row r="2089" spans="65:67" ht="18.75" customHeight="1">
      <c r="BM2089" s="1025"/>
      <c r="BO2089" s="43"/>
    </row>
    <row r="2090" spans="65:67" ht="18.75" customHeight="1">
      <c r="BM2090" s="1025"/>
      <c r="BO2090" s="43"/>
    </row>
    <row r="2091" spans="65:67" ht="18.75" customHeight="1">
      <c r="BM2091" s="1025"/>
      <c r="BO2091" s="43"/>
    </row>
    <row r="2092" spans="65:67" ht="18.75" customHeight="1">
      <c r="BM2092" s="1025"/>
      <c r="BO2092" s="43"/>
    </row>
    <row r="2093" spans="65:67" ht="18.75" customHeight="1">
      <c r="BM2093" s="1025"/>
      <c r="BO2093" s="43"/>
    </row>
    <row r="2094" spans="65:67" ht="18.75" customHeight="1">
      <c r="BM2094" s="1025"/>
      <c r="BO2094" s="43"/>
    </row>
    <row r="2095" spans="65:67" ht="18.75" customHeight="1">
      <c r="BM2095" s="1025"/>
      <c r="BO2095" s="43"/>
    </row>
    <row r="2096" spans="65:67" ht="18.75" customHeight="1">
      <c r="BM2096" s="1025"/>
      <c r="BO2096" s="43"/>
    </row>
    <row r="2097" spans="65:67" ht="18.75" customHeight="1">
      <c r="BM2097" s="1025"/>
      <c r="BO2097" s="43"/>
    </row>
    <row r="2098" spans="65:67" ht="18.75" customHeight="1">
      <c r="BM2098" s="1025"/>
      <c r="BO2098" s="43"/>
    </row>
    <row r="2099" spans="65:67" ht="18.75" customHeight="1">
      <c r="BM2099" s="1025"/>
      <c r="BO2099" s="43"/>
    </row>
    <row r="2100" spans="65:67" ht="18.75" customHeight="1">
      <c r="BM2100" s="1025"/>
      <c r="BO2100" s="43"/>
    </row>
    <row r="2101" spans="65:67" ht="18.75" customHeight="1">
      <c r="BM2101" s="1025"/>
      <c r="BO2101" s="43"/>
    </row>
    <row r="2102" spans="65:67" ht="18.75" customHeight="1">
      <c r="BM2102" s="1025"/>
      <c r="BO2102" s="43"/>
    </row>
    <row r="2103" spans="65:67" ht="18.75" customHeight="1">
      <c r="BM2103" s="1025"/>
      <c r="BO2103" s="43"/>
    </row>
    <row r="2104" spans="65:67" ht="18.75" customHeight="1">
      <c r="BM2104" s="1025"/>
      <c r="BO2104" s="43"/>
    </row>
    <row r="2105" spans="65:67" ht="18.75" customHeight="1">
      <c r="BM2105" s="1025"/>
      <c r="BO2105" s="43"/>
    </row>
    <row r="2106" spans="65:67" ht="18.75" customHeight="1">
      <c r="BM2106" s="1025"/>
      <c r="BO2106" s="43"/>
    </row>
    <row r="2107" spans="65:67" ht="18.75" customHeight="1">
      <c r="BM2107" s="1025"/>
      <c r="BO2107" s="43"/>
    </row>
    <row r="2108" spans="65:67" ht="18.75" customHeight="1">
      <c r="BM2108" s="1025"/>
      <c r="BO2108" s="43"/>
    </row>
    <row r="2109" spans="65:67" ht="18.75" customHeight="1">
      <c r="BM2109" s="1025"/>
      <c r="BO2109" s="43"/>
    </row>
    <row r="2110" spans="65:67" ht="18.75" customHeight="1">
      <c r="BM2110" s="1025"/>
      <c r="BO2110" s="43"/>
    </row>
    <row r="2111" spans="65:67" ht="18.75" customHeight="1">
      <c r="BM2111" s="1025"/>
      <c r="BO2111" s="43"/>
    </row>
    <row r="2112" spans="65:67" ht="18.75" customHeight="1">
      <c r="BM2112" s="1025"/>
      <c r="BO2112" s="43"/>
    </row>
    <row r="2113" spans="65:67" ht="18.75" customHeight="1">
      <c r="BM2113" s="1025"/>
      <c r="BO2113" s="43"/>
    </row>
    <row r="2114" spans="65:67" ht="18.75" customHeight="1">
      <c r="BM2114" s="1025"/>
      <c r="BO2114" s="43"/>
    </row>
    <row r="2115" spans="65:67" ht="18.75" customHeight="1">
      <c r="BM2115" s="1025"/>
      <c r="BO2115" s="43"/>
    </row>
    <row r="2116" spans="65:67" ht="18.75" customHeight="1">
      <c r="BM2116" s="1025"/>
      <c r="BO2116" s="43"/>
    </row>
    <row r="2117" spans="65:67" ht="18.75" customHeight="1">
      <c r="BM2117" s="1025"/>
      <c r="BO2117" s="43"/>
    </row>
    <row r="2118" spans="65:67" ht="18.75" customHeight="1">
      <c r="BM2118" s="1025"/>
      <c r="BO2118" s="43"/>
    </row>
    <row r="2119" spans="65:67" ht="18.75" customHeight="1">
      <c r="BM2119" s="1025"/>
      <c r="BO2119" s="43"/>
    </row>
    <row r="2120" spans="65:67" ht="18.75" customHeight="1">
      <c r="BM2120" s="1025"/>
      <c r="BO2120" s="43"/>
    </row>
    <row r="2121" spans="65:67" ht="18.75" customHeight="1">
      <c r="BM2121" s="1025"/>
      <c r="BO2121" s="43"/>
    </row>
    <row r="2122" spans="65:67" ht="18.75" customHeight="1">
      <c r="BM2122" s="1025"/>
      <c r="BO2122" s="43"/>
    </row>
    <row r="2123" spans="65:67" ht="18.75" customHeight="1">
      <c r="BM2123" s="1025"/>
      <c r="BO2123" s="43"/>
    </row>
    <row r="2124" spans="65:67" ht="18.75" customHeight="1">
      <c r="BM2124" s="1025"/>
      <c r="BO2124" s="43"/>
    </row>
    <row r="2125" spans="65:67" ht="18.75" customHeight="1">
      <c r="BM2125" s="1025"/>
      <c r="BO2125" s="43"/>
    </row>
    <row r="2126" spans="65:67" ht="18.75" customHeight="1">
      <c r="BM2126" s="1025"/>
      <c r="BO2126" s="43"/>
    </row>
    <row r="2127" spans="65:67" ht="18.75" customHeight="1">
      <c r="BM2127" s="1025"/>
      <c r="BO2127" s="43"/>
    </row>
    <row r="2128" spans="65:67" ht="18.75" customHeight="1">
      <c r="BM2128" s="1025"/>
      <c r="BO2128" s="43"/>
    </row>
    <row r="2129" spans="65:67" ht="18.75" customHeight="1">
      <c r="BM2129" s="1025"/>
      <c r="BO2129" s="43"/>
    </row>
    <row r="2130" spans="65:67" ht="18.75" customHeight="1">
      <c r="BM2130" s="1025"/>
      <c r="BO2130" s="43"/>
    </row>
    <row r="2131" spans="65:67" ht="18.75" customHeight="1">
      <c r="BM2131" s="1025"/>
      <c r="BO2131" s="43"/>
    </row>
    <row r="2132" spans="65:67" ht="18.75" customHeight="1">
      <c r="BM2132" s="1025"/>
      <c r="BO2132" s="43"/>
    </row>
    <row r="2133" spans="65:67" ht="18.75" customHeight="1">
      <c r="BM2133" s="1025"/>
      <c r="BO2133" s="43"/>
    </row>
    <row r="2134" spans="65:67" ht="18.75" customHeight="1">
      <c r="BM2134" s="1025"/>
      <c r="BO2134" s="43"/>
    </row>
    <row r="2135" spans="65:67" ht="18.75" customHeight="1">
      <c r="BM2135" s="1025"/>
      <c r="BO2135" s="43"/>
    </row>
    <row r="2136" spans="65:67" ht="18.75" customHeight="1">
      <c r="BM2136" s="1025"/>
      <c r="BO2136" s="43"/>
    </row>
    <row r="2137" spans="65:67" ht="18.75" customHeight="1">
      <c r="BM2137" s="1025"/>
      <c r="BO2137" s="43"/>
    </row>
    <row r="2138" spans="65:67" ht="18.75" customHeight="1">
      <c r="BM2138" s="1025"/>
      <c r="BO2138" s="43"/>
    </row>
    <row r="2139" spans="65:67" ht="18.75" customHeight="1">
      <c r="BM2139" s="1025"/>
      <c r="BO2139" s="43"/>
    </row>
    <row r="2140" spans="65:67" ht="18.75" customHeight="1">
      <c r="BM2140" s="1025"/>
      <c r="BO2140" s="43"/>
    </row>
    <row r="2141" spans="65:67" ht="18.75" customHeight="1">
      <c r="BM2141" s="1025"/>
      <c r="BO2141" s="43"/>
    </row>
    <row r="2142" spans="65:67" ht="18.75" customHeight="1">
      <c r="BM2142" s="1025"/>
      <c r="BO2142" s="43"/>
    </row>
    <row r="2143" spans="65:67" ht="18.75" customHeight="1">
      <c r="BM2143" s="1025"/>
      <c r="BO2143" s="43"/>
    </row>
    <row r="2144" spans="65:67" ht="18.75" customHeight="1">
      <c r="BM2144" s="1025"/>
      <c r="BO2144" s="43"/>
    </row>
    <row r="2145" spans="65:67" ht="18.75" customHeight="1">
      <c r="BM2145" s="1025"/>
      <c r="BO2145" s="43"/>
    </row>
    <row r="2146" spans="65:67" ht="18.75" customHeight="1">
      <c r="BM2146" s="1025"/>
      <c r="BO2146" s="43"/>
    </row>
    <row r="2147" spans="65:67" ht="18.75" customHeight="1">
      <c r="BM2147" s="1025"/>
      <c r="BO2147" s="43"/>
    </row>
    <row r="2148" spans="65:67" ht="18.75" customHeight="1">
      <c r="BM2148" s="1025"/>
      <c r="BO2148" s="43"/>
    </row>
    <row r="2149" spans="65:67" ht="18.75" customHeight="1">
      <c r="BM2149" s="1025"/>
      <c r="BO2149" s="43"/>
    </row>
    <row r="2150" spans="65:67" ht="18.75" customHeight="1">
      <c r="BM2150" s="1025"/>
      <c r="BO2150" s="43"/>
    </row>
    <row r="2151" spans="65:67" ht="18.75" customHeight="1">
      <c r="BM2151" s="1025"/>
      <c r="BO2151" s="43"/>
    </row>
    <row r="2152" spans="65:67" ht="18.75" customHeight="1">
      <c r="BM2152" s="1025"/>
      <c r="BO2152" s="43"/>
    </row>
    <row r="2153" spans="65:67" ht="18.75" customHeight="1">
      <c r="BM2153" s="1025"/>
      <c r="BO2153" s="43"/>
    </row>
    <row r="2154" spans="65:67" ht="18.75" customHeight="1">
      <c r="BM2154" s="1025"/>
      <c r="BO2154" s="43"/>
    </row>
    <row r="2155" spans="65:67" ht="18.75" customHeight="1">
      <c r="BM2155" s="1025"/>
      <c r="BO2155" s="43"/>
    </row>
    <row r="2156" spans="65:67" ht="18.75" customHeight="1">
      <c r="BM2156" s="1025"/>
      <c r="BO2156" s="43"/>
    </row>
    <row r="2157" spans="65:67" ht="18.75" customHeight="1">
      <c r="BM2157" s="1025"/>
      <c r="BO2157" s="43"/>
    </row>
    <row r="2158" spans="65:67" ht="18.75" customHeight="1">
      <c r="BM2158" s="1025"/>
      <c r="BO2158" s="43"/>
    </row>
    <row r="2159" spans="65:67" ht="18.75" customHeight="1">
      <c r="BM2159" s="1025"/>
      <c r="BO2159" s="43"/>
    </row>
    <row r="2160" spans="65:67" ht="18.75" customHeight="1">
      <c r="BM2160" s="1025"/>
      <c r="BO2160" s="43"/>
    </row>
    <row r="2161" spans="65:67" ht="18.75" customHeight="1">
      <c r="BM2161" s="1025"/>
      <c r="BO2161" s="43"/>
    </row>
    <row r="2162" spans="65:67" ht="18.75" customHeight="1">
      <c r="BM2162" s="1025"/>
      <c r="BO2162" s="43"/>
    </row>
    <row r="2163" spans="65:67" ht="18.75" customHeight="1">
      <c r="BM2163" s="1025"/>
      <c r="BO2163" s="43"/>
    </row>
    <row r="2164" spans="65:67" ht="18.75" customHeight="1">
      <c r="BM2164" s="1025"/>
      <c r="BO2164" s="43"/>
    </row>
    <row r="2165" spans="65:67" ht="18.75" customHeight="1">
      <c r="BM2165" s="1025"/>
      <c r="BO2165" s="43"/>
    </row>
    <row r="2166" spans="65:67" ht="18.75" customHeight="1">
      <c r="BM2166" s="1025"/>
      <c r="BO2166" s="43"/>
    </row>
    <row r="2167" spans="65:67" ht="18.75" customHeight="1">
      <c r="BM2167" s="1025"/>
      <c r="BO2167" s="43"/>
    </row>
    <row r="2168" spans="65:67" ht="18.75" customHeight="1">
      <c r="BM2168" s="1025"/>
      <c r="BO2168" s="43"/>
    </row>
    <row r="2169" spans="65:67" ht="18.75" customHeight="1">
      <c r="BM2169" s="1025"/>
      <c r="BO2169" s="43"/>
    </row>
    <row r="2170" spans="65:67" ht="18.75" customHeight="1">
      <c r="BM2170" s="1025"/>
      <c r="BO2170" s="43"/>
    </row>
    <row r="2171" spans="65:67" ht="18.75" customHeight="1">
      <c r="BM2171" s="1025"/>
      <c r="BO2171" s="43"/>
    </row>
    <row r="2172" spans="65:67" ht="18.75" customHeight="1">
      <c r="BM2172" s="1025"/>
      <c r="BO2172" s="43"/>
    </row>
    <row r="2173" spans="65:67" ht="18.75" customHeight="1">
      <c r="BM2173" s="1025"/>
      <c r="BO2173" s="43"/>
    </row>
    <row r="2174" spans="65:67" ht="18.75" customHeight="1">
      <c r="BM2174" s="1025"/>
      <c r="BO2174" s="43"/>
    </row>
    <row r="2175" spans="65:67" ht="18.75" customHeight="1">
      <c r="BM2175" s="1025"/>
      <c r="BO2175" s="43"/>
    </row>
    <row r="2176" spans="65:67" ht="18.75" customHeight="1">
      <c r="BM2176" s="1025"/>
      <c r="BO2176" s="43"/>
    </row>
    <row r="2177" spans="65:67" ht="18.75" customHeight="1">
      <c r="BM2177" s="1025"/>
      <c r="BO2177" s="43"/>
    </row>
    <row r="2178" spans="65:67" ht="18.75" customHeight="1">
      <c r="BM2178" s="1025"/>
      <c r="BO2178" s="43"/>
    </row>
    <row r="2179" spans="65:67" ht="18.75" customHeight="1">
      <c r="BM2179" s="1025"/>
      <c r="BO2179" s="43"/>
    </row>
    <row r="2180" spans="65:67" ht="18.75" customHeight="1">
      <c r="BM2180" s="1025"/>
      <c r="BO2180" s="43"/>
    </row>
    <row r="2181" spans="65:67" ht="18.75" customHeight="1">
      <c r="BM2181" s="1025"/>
      <c r="BO2181" s="43"/>
    </row>
    <row r="2182" spans="65:67" ht="18.75" customHeight="1">
      <c r="BM2182" s="1025"/>
      <c r="BO2182" s="43"/>
    </row>
    <row r="2183" spans="65:67" ht="18.75" customHeight="1">
      <c r="BM2183" s="1025"/>
      <c r="BO2183" s="43"/>
    </row>
    <row r="2184" spans="65:67" ht="18.75" customHeight="1">
      <c r="BM2184" s="1025"/>
      <c r="BO2184" s="43"/>
    </row>
    <row r="2185" spans="65:67" ht="18.75" customHeight="1">
      <c r="BM2185" s="1025"/>
      <c r="BO2185" s="43"/>
    </row>
    <row r="2186" spans="65:67" ht="18.75" customHeight="1">
      <c r="BM2186" s="1025"/>
      <c r="BO2186" s="43"/>
    </row>
    <row r="2187" spans="65:67" ht="18.75" customHeight="1">
      <c r="BM2187" s="1025"/>
      <c r="BO2187" s="43"/>
    </row>
    <row r="2188" spans="65:67" ht="18.75" customHeight="1">
      <c r="BM2188" s="1025"/>
      <c r="BO2188" s="43"/>
    </row>
    <row r="2189" spans="65:67" ht="18.75" customHeight="1">
      <c r="BM2189" s="1025"/>
      <c r="BO2189" s="43"/>
    </row>
    <row r="2190" spans="65:67" ht="18.75" customHeight="1">
      <c r="BM2190" s="1025"/>
      <c r="BO2190" s="43"/>
    </row>
    <row r="2191" spans="65:67" ht="18.75" customHeight="1">
      <c r="BM2191" s="1025"/>
      <c r="BO2191" s="43"/>
    </row>
    <row r="2192" spans="65:67" ht="18.75" customHeight="1">
      <c r="BM2192" s="1025"/>
      <c r="BO2192" s="43"/>
    </row>
    <row r="2193" spans="65:67" ht="18.75" customHeight="1">
      <c r="BM2193" s="1025"/>
      <c r="BO2193" s="43"/>
    </row>
    <row r="2194" spans="65:67" ht="18.75" customHeight="1">
      <c r="BM2194" s="1025"/>
      <c r="BO2194" s="43"/>
    </row>
    <row r="2195" spans="65:67" ht="18.75" customHeight="1">
      <c r="BM2195" s="1025"/>
      <c r="BO2195" s="43"/>
    </row>
    <row r="2196" spans="65:67" ht="18.75" customHeight="1">
      <c r="BM2196" s="1025"/>
      <c r="BO2196" s="43"/>
    </row>
    <row r="2197" spans="65:67" ht="18.75" customHeight="1">
      <c r="BM2197" s="1025"/>
      <c r="BO2197" s="43"/>
    </row>
    <row r="2198" spans="65:67" ht="18.75" customHeight="1">
      <c r="BM2198" s="1025"/>
      <c r="BO2198" s="43"/>
    </row>
    <row r="2199" spans="65:67" ht="18.75" customHeight="1">
      <c r="BM2199" s="1025"/>
      <c r="BO2199" s="43"/>
    </row>
    <row r="2200" spans="65:67" ht="18.75" customHeight="1">
      <c r="BM2200" s="1025"/>
      <c r="BO2200" s="43"/>
    </row>
    <row r="2201" spans="65:67" ht="18.75" customHeight="1">
      <c r="BM2201" s="1025"/>
      <c r="BO2201" s="43"/>
    </row>
    <row r="2202" spans="65:67" ht="18.75" customHeight="1">
      <c r="BM2202" s="1025"/>
      <c r="BO2202" s="43"/>
    </row>
    <row r="2203" spans="65:67" ht="18.75" customHeight="1">
      <c r="BM2203" s="1025"/>
      <c r="BO2203" s="43"/>
    </row>
    <row r="2204" spans="65:67" ht="18.75" customHeight="1">
      <c r="BM2204" s="1025"/>
      <c r="BO2204" s="43"/>
    </row>
    <row r="2205" spans="65:67" ht="18.75" customHeight="1">
      <c r="BM2205" s="1025"/>
      <c r="BO2205" s="43"/>
    </row>
    <row r="2206" spans="65:67" ht="18.75" customHeight="1">
      <c r="BM2206" s="1025"/>
      <c r="BO2206" s="43"/>
    </row>
    <row r="2207" spans="65:67" ht="18.75" customHeight="1">
      <c r="BM2207" s="1025"/>
      <c r="BO2207" s="43"/>
    </row>
    <row r="2208" spans="65:67" ht="18.75" customHeight="1">
      <c r="BM2208" s="1025"/>
      <c r="BO2208" s="43"/>
    </row>
    <row r="2209" spans="65:67" ht="18.75" customHeight="1">
      <c r="BM2209" s="1025"/>
      <c r="BO2209" s="43"/>
    </row>
    <row r="2210" spans="65:67" ht="18.75" customHeight="1">
      <c r="BM2210" s="1025"/>
      <c r="BO2210" s="43"/>
    </row>
    <row r="2211" spans="65:67" ht="18.75" customHeight="1">
      <c r="BM2211" s="1025"/>
      <c r="BO2211" s="43"/>
    </row>
    <row r="2212" spans="65:67" ht="18.75" customHeight="1">
      <c r="BM2212" s="1025"/>
      <c r="BO2212" s="43"/>
    </row>
    <row r="2213" spans="65:67" ht="18.75" customHeight="1">
      <c r="BM2213" s="1025"/>
      <c r="BO2213" s="43"/>
    </row>
    <row r="2214" spans="65:67" ht="18.75" customHeight="1">
      <c r="BM2214" s="1025"/>
      <c r="BO2214" s="43"/>
    </row>
    <row r="2215" spans="65:67" ht="18.75" customHeight="1">
      <c r="BM2215" s="1025"/>
      <c r="BO2215" s="43"/>
    </row>
    <row r="2216" spans="65:67" ht="18.75" customHeight="1">
      <c r="BM2216" s="1025"/>
      <c r="BO2216" s="43"/>
    </row>
    <row r="2217" spans="65:67" ht="18.75" customHeight="1">
      <c r="BM2217" s="1025"/>
      <c r="BO2217" s="43"/>
    </row>
    <row r="2218" spans="65:67" ht="18.75" customHeight="1">
      <c r="BM2218" s="1025"/>
      <c r="BO2218" s="43"/>
    </row>
    <row r="2219" spans="65:67" ht="18.75" customHeight="1">
      <c r="BM2219" s="1025"/>
      <c r="BO2219" s="43"/>
    </row>
    <row r="2220" spans="65:67" ht="18.75" customHeight="1">
      <c r="BM2220" s="1025"/>
      <c r="BO2220" s="43"/>
    </row>
    <row r="2221" spans="65:67" ht="18.75" customHeight="1">
      <c r="BM2221" s="1025"/>
      <c r="BO2221" s="43"/>
    </row>
    <row r="2222" spans="65:67" ht="18.75" customHeight="1">
      <c r="BM2222" s="1025"/>
      <c r="BO2222" s="43"/>
    </row>
    <row r="2223" spans="65:67" ht="18.75" customHeight="1">
      <c r="BM2223" s="1025"/>
      <c r="BO2223" s="43"/>
    </row>
    <row r="2224" spans="65:67" ht="18.75" customHeight="1">
      <c r="BM2224" s="1025"/>
      <c r="BO2224" s="43"/>
    </row>
    <row r="2225" spans="65:67" ht="18.75" customHeight="1">
      <c r="BM2225" s="1025"/>
      <c r="BO2225" s="43"/>
    </row>
    <row r="2226" spans="65:67" ht="18.75" customHeight="1">
      <c r="BM2226" s="1025"/>
      <c r="BO2226" s="43"/>
    </row>
    <row r="2227" spans="65:67" ht="18.75" customHeight="1">
      <c r="BM2227" s="1025"/>
      <c r="BO2227" s="43"/>
    </row>
    <row r="2228" spans="65:67" ht="18.75" customHeight="1">
      <c r="BM2228" s="1025"/>
      <c r="BO2228" s="43"/>
    </row>
    <row r="2229" spans="65:67" ht="18.75" customHeight="1">
      <c r="BM2229" s="1025"/>
      <c r="BO2229" s="43"/>
    </row>
    <row r="2230" spans="65:67" ht="18.75" customHeight="1">
      <c r="BM2230" s="1025"/>
      <c r="BO2230" s="43"/>
    </row>
    <row r="2231" spans="65:67" ht="18.75" customHeight="1">
      <c r="BM2231" s="1025"/>
      <c r="BO2231" s="43"/>
    </row>
    <row r="2232" spans="65:67" ht="18.75" customHeight="1">
      <c r="BM2232" s="1025"/>
      <c r="BO2232" s="43"/>
    </row>
    <row r="2233" spans="65:67" ht="18.75" customHeight="1">
      <c r="BM2233" s="1025"/>
      <c r="BO2233" s="43"/>
    </row>
    <row r="2234" spans="65:67" ht="18.75" customHeight="1">
      <c r="BM2234" s="1025"/>
      <c r="BO2234" s="43"/>
    </row>
    <row r="2235" spans="65:67" ht="18.75" customHeight="1">
      <c r="BM2235" s="1025"/>
      <c r="BO2235" s="43"/>
    </row>
    <row r="2236" spans="65:67" ht="18.75" customHeight="1">
      <c r="BM2236" s="1025"/>
      <c r="BO2236" s="43"/>
    </row>
    <row r="2237" spans="65:67" ht="18.75" customHeight="1">
      <c r="BM2237" s="1025"/>
      <c r="BO2237" s="43"/>
    </row>
    <row r="2238" spans="65:67" ht="18.75" customHeight="1">
      <c r="BM2238" s="1025"/>
      <c r="BO2238" s="43"/>
    </row>
    <row r="2239" spans="65:67" ht="18.75" customHeight="1">
      <c r="BM2239" s="1025"/>
      <c r="BO2239" s="43"/>
    </row>
    <row r="2240" spans="65:67" ht="18.75" customHeight="1">
      <c r="BM2240" s="1025"/>
      <c r="BO2240" s="43"/>
    </row>
    <row r="2241" spans="65:67" ht="18.75" customHeight="1">
      <c r="BM2241" s="1025"/>
      <c r="BO2241" s="43"/>
    </row>
    <row r="2242" spans="65:67" ht="18.75" customHeight="1">
      <c r="BM2242" s="1025"/>
      <c r="BO2242" s="43"/>
    </row>
    <row r="2243" spans="65:67" ht="18.75" customHeight="1">
      <c r="BM2243" s="1025"/>
      <c r="BO2243" s="43"/>
    </row>
    <row r="2244" spans="65:67" ht="18.75" customHeight="1">
      <c r="BM2244" s="1025"/>
      <c r="BO2244" s="43"/>
    </row>
    <row r="2245" spans="65:67" ht="18.75" customHeight="1">
      <c r="BM2245" s="1025"/>
      <c r="BO2245" s="43"/>
    </row>
    <row r="2246" spans="65:67" ht="18.75" customHeight="1">
      <c r="BM2246" s="1025"/>
      <c r="BO2246" s="43"/>
    </row>
    <row r="2247" spans="65:67" ht="18.75" customHeight="1">
      <c r="BM2247" s="1025"/>
      <c r="BO2247" s="43"/>
    </row>
    <row r="2248" spans="65:67" ht="18.75" customHeight="1">
      <c r="BM2248" s="1025"/>
      <c r="BO2248" s="43"/>
    </row>
    <row r="2249" spans="65:67" ht="18.75" customHeight="1">
      <c r="BM2249" s="1025"/>
      <c r="BO2249" s="43"/>
    </row>
    <row r="2250" spans="65:67" ht="18.75" customHeight="1">
      <c r="BM2250" s="1025"/>
      <c r="BO2250" s="43"/>
    </row>
    <row r="2251" spans="65:67" ht="18.75" customHeight="1">
      <c r="BM2251" s="1025"/>
      <c r="BO2251" s="43"/>
    </row>
    <row r="2252" spans="65:67" ht="18.75" customHeight="1">
      <c r="BM2252" s="1025"/>
      <c r="BO2252" s="43"/>
    </row>
    <row r="2253" spans="65:67" ht="18.75" customHeight="1">
      <c r="BM2253" s="1025"/>
      <c r="BO2253" s="43"/>
    </row>
    <row r="2254" spans="65:67" ht="18.75" customHeight="1">
      <c r="BM2254" s="1025"/>
      <c r="BO2254" s="43"/>
    </row>
    <row r="2255" spans="65:67" ht="18.75" customHeight="1">
      <c r="BM2255" s="1025"/>
      <c r="BO2255" s="43"/>
    </row>
    <row r="2256" spans="65:67" ht="18.75" customHeight="1">
      <c r="BM2256" s="1025"/>
      <c r="BO2256" s="43"/>
    </row>
    <row r="2257" spans="65:67" ht="18.75" customHeight="1">
      <c r="BM2257" s="1025"/>
      <c r="BO2257" s="43"/>
    </row>
    <row r="2258" spans="65:67" ht="18.75" customHeight="1">
      <c r="BM2258" s="1025"/>
      <c r="BO2258" s="43"/>
    </row>
    <row r="2259" spans="65:67" ht="18.75" customHeight="1">
      <c r="BM2259" s="1025"/>
      <c r="BO2259" s="43"/>
    </row>
    <row r="2260" spans="65:67" ht="18.75" customHeight="1">
      <c r="BM2260" s="1025"/>
      <c r="BO2260" s="43"/>
    </row>
    <row r="2261" spans="65:67" ht="18.75" customHeight="1">
      <c r="BM2261" s="1025"/>
      <c r="BO2261" s="43"/>
    </row>
    <row r="2262" spans="65:67" ht="18.75" customHeight="1">
      <c r="BM2262" s="1025"/>
      <c r="BO2262" s="43"/>
    </row>
    <row r="2263" spans="65:67" ht="18.75" customHeight="1">
      <c r="BM2263" s="1025"/>
      <c r="BO2263" s="43"/>
    </row>
    <row r="2264" spans="65:67" ht="18.75" customHeight="1">
      <c r="BM2264" s="1025"/>
      <c r="BO2264" s="43"/>
    </row>
    <row r="2265" spans="65:67" ht="18.75" customHeight="1">
      <c r="BM2265" s="1025"/>
      <c r="BO2265" s="43"/>
    </row>
    <row r="2266" spans="65:67" ht="18.75" customHeight="1">
      <c r="BM2266" s="1025"/>
      <c r="BO2266" s="43"/>
    </row>
    <row r="2267" spans="65:67" ht="18.75" customHeight="1">
      <c r="BM2267" s="1025"/>
      <c r="BO2267" s="43"/>
    </row>
    <row r="2268" spans="65:67" ht="18.75" customHeight="1">
      <c r="BM2268" s="1025"/>
      <c r="BO2268" s="43"/>
    </row>
    <row r="2269" spans="65:67" ht="18.75" customHeight="1">
      <c r="BM2269" s="1025"/>
      <c r="BO2269" s="43"/>
    </row>
    <row r="2270" spans="65:67" ht="18.75" customHeight="1">
      <c r="BM2270" s="1025"/>
      <c r="BO2270" s="43"/>
    </row>
    <row r="2271" spans="65:67" ht="18.75" customHeight="1">
      <c r="BM2271" s="1025"/>
      <c r="BO2271" s="43"/>
    </row>
    <row r="2272" spans="65:67" ht="18.75" customHeight="1">
      <c r="BM2272" s="1025"/>
      <c r="BO2272" s="43"/>
    </row>
    <row r="2273" spans="65:67" ht="18.75" customHeight="1">
      <c r="BM2273" s="1025"/>
      <c r="BO2273" s="43"/>
    </row>
    <row r="2274" spans="65:67" ht="18.75" customHeight="1">
      <c r="BM2274" s="1025"/>
      <c r="BO2274" s="43"/>
    </row>
    <row r="2275" spans="65:67" ht="18.75" customHeight="1">
      <c r="BM2275" s="1025"/>
      <c r="BO2275" s="43"/>
    </row>
    <row r="2276" spans="65:67" ht="18.75" customHeight="1">
      <c r="BM2276" s="1025"/>
      <c r="BO2276" s="43"/>
    </row>
    <row r="2277" spans="65:67" ht="18.75" customHeight="1">
      <c r="BM2277" s="1025"/>
      <c r="BO2277" s="43"/>
    </row>
    <row r="2278" spans="65:67" ht="18.75" customHeight="1">
      <c r="BM2278" s="1025"/>
      <c r="BO2278" s="43"/>
    </row>
    <row r="2279" spans="65:67" ht="18.75" customHeight="1">
      <c r="BM2279" s="1025"/>
      <c r="BO2279" s="43"/>
    </row>
    <row r="2280" spans="65:67" ht="18.75" customHeight="1">
      <c r="BM2280" s="1025"/>
      <c r="BO2280" s="43"/>
    </row>
    <row r="2281" spans="65:67" ht="18.75" customHeight="1">
      <c r="BM2281" s="1025"/>
      <c r="BO2281" s="43"/>
    </row>
    <row r="2282" spans="65:67" ht="18.75" customHeight="1">
      <c r="BM2282" s="1025"/>
      <c r="BO2282" s="43"/>
    </row>
    <row r="2283" spans="65:67" ht="18.75" customHeight="1">
      <c r="BM2283" s="1025"/>
      <c r="BO2283" s="43"/>
    </row>
    <row r="2284" spans="65:67" ht="18.75" customHeight="1">
      <c r="BM2284" s="1025"/>
      <c r="BO2284" s="43"/>
    </row>
    <row r="2285" spans="65:67" ht="18.75" customHeight="1">
      <c r="BM2285" s="1025"/>
      <c r="BO2285" s="43"/>
    </row>
    <row r="2286" spans="65:67" ht="18.75" customHeight="1">
      <c r="BM2286" s="1025"/>
      <c r="BO2286" s="43"/>
    </row>
    <row r="2287" spans="65:67" ht="18.75" customHeight="1">
      <c r="BM2287" s="1025"/>
      <c r="BO2287" s="43"/>
    </row>
    <row r="2288" spans="65:67" ht="18.75" customHeight="1">
      <c r="BM2288" s="1025"/>
      <c r="BO2288" s="43"/>
    </row>
    <row r="2289" spans="65:67" ht="18.75" customHeight="1">
      <c r="BM2289" s="1025"/>
      <c r="BO2289" s="43"/>
    </row>
    <row r="2290" spans="65:67" ht="18.75" customHeight="1">
      <c r="BM2290" s="1025"/>
      <c r="BO2290" s="43"/>
    </row>
    <row r="2291" spans="65:67" ht="18.75" customHeight="1">
      <c r="BM2291" s="1025"/>
      <c r="BO2291" s="43"/>
    </row>
    <row r="2292" spans="65:67" ht="18.75" customHeight="1">
      <c r="BM2292" s="1025"/>
      <c r="BO2292" s="43"/>
    </row>
    <row r="2293" spans="65:67" ht="18.75" customHeight="1">
      <c r="BM2293" s="1025"/>
      <c r="BO2293" s="43"/>
    </row>
    <row r="2294" spans="65:67" ht="18.75" customHeight="1">
      <c r="BM2294" s="1025"/>
      <c r="BO2294" s="43"/>
    </row>
    <row r="2295" spans="65:67" ht="18.75" customHeight="1">
      <c r="BM2295" s="1025"/>
      <c r="BO2295" s="43"/>
    </row>
    <row r="2296" spans="65:67" ht="18.75" customHeight="1">
      <c r="BM2296" s="1025"/>
      <c r="BO2296" s="43"/>
    </row>
    <row r="2297" spans="65:67" ht="18.75" customHeight="1">
      <c r="BM2297" s="1025"/>
      <c r="BO2297" s="43"/>
    </row>
    <row r="2298" spans="65:67" ht="18.75" customHeight="1">
      <c r="BM2298" s="1025"/>
      <c r="BO2298" s="43"/>
    </row>
    <row r="2299" spans="65:67" ht="18.75" customHeight="1">
      <c r="BM2299" s="1025"/>
      <c r="BO2299" s="43"/>
    </row>
    <row r="2300" spans="65:67" ht="18.75" customHeight="1">
      <c r="BM2300" s="1025"/>
      <c r="BO2300" s="43"/>
    </row>
    <row r="2301" spans="65:67" ht="18.75" customHeight="1">
      <c r="BM2301" s="1025"/>
      <c r="BO2301" s="43"/>
    </row>
    <row r="2302" spans="65:67" ht="18.75" customHeight="1">
      <c r="BM2302" s="1025"/>
      <c r="BO2302" s="43"/>
    </row>
    <row r="2303" spans="65:67" ht="18.75" customHeight="1">
      <c r="BM2303" s="1025"/>
      <c r="BO2303" s="43"/>
    </row>
    <row r="2304" spans="65:67" ht="18.75" customHeight="1">
      <c r="BM2304" s="1025"/>
      <c r="BO2304" s="43"/>
    </row>
    <row r="2305" spans="65:67" ht="18.75" customHeight="1">
      <c r="BM2305" s="1025"/>
      <c r="BO2305" s="43"/>
    </row>
    <row r="2306" spans="65:67" ht="18.75" customHeight="1">
      <c r="BM2306" s="1025"/>
      <c r="BO2306" s="43"/>
    </row>
    <row r="2307" spans="65:67" ht="18.75" customHeight="1">
      <c r="BM2307" s="1025"/>
      <c r="BO2307" s="43"/>
    </row>
    <row r="2308" spans="65:67" ht="18.75" customHeight="1">
      <c r="BM2308" s="1025"/>
      <c r="BO2308" s="43"/>
    </row>
    <row r="2309" spans="65:67" ht="18.75" customHeight="1">
      <c r="BM2309" s="1025"/>
      <c r="BO2309" s="43"/>
    </row>
    <row r="2310" spans="65:67" ht="18.75" customHeight="1">
      <c r="BM2310" s="1025"/>
      <c r="BO2310" s="43"/>
    </row>
    <row r="2311" spans="65:67" ht="18.75" customHeight="1">
      <c r="BM2311" s="1025"/>
      <c r="BO2311" s="43"/>
    </row>
    <row r="2312" spans="65:67" ht="18.75" customHeight="1">
      <c r="BM2312" s="1025"/>
      <c r="BO2312" s="43"/>
    </row>
    <row r="2313" spans="65:67" ht="18.75" customHeight="1">
      <c r="BM2313" s="1025"/>
      <c r="BO2313" s="43"/>
    </row>
    <row r="2314" spans="65:67" ht="18.75" customHeight="1">
      <c r="BM2314" s="1025"/>
      <c r="BO2314" s="43"/>
    </row>
    <row r="2315" spans="65:67" ht="18.75" customHeight="1">
      <c r="BM2315" s="1025"/>
      <c r="BO2315" s="43"/>
    </row>
    <row r="2316" spans="65:67" ht="18.75" customHeight="1">
      <c r="BM2316" s="1025"/>
      <c r="BO2316" s="43"/>
    </row>
    <row r="2317" spans="65:67" ht="18.75" customHeight="1">
      <c r="BM2317" s="1025"/>
      <c r="BO2317" s="43"/>
    </row>
    <row r="2318" spans="65:67" ht="18.75" customHeight="1">
      <c r="BM2318" s="1025"/>
      <c r="BO2318" s="43"/>
    </row>
    <row r="2319" spans="65:67" ht="18.75" customHeight="1">
      <c r="BM2319" s="1025"/>
      <c r="BO2319" s="43"/>
    </row>
    <row r="2320" spans="65:67" ht="18.75" customHeight="1">
      <c r="BM2320" s="1025"/>
      <c r="BO2320" s="43"/>
    </row>
    <row r="2321" spans="65:67" ht="18.75" customHeight="1">
      <c r="BM2321" s="1025"/>
      <c r="BO2321" s="43"/>
    </row>
    <row r="2322" spans="65:67" ht="18.75" customHeight="1">
      <c r="BM2322" s="1025"/>
      <c r="BO2322" s="43"/>
    </row>
    <row r="2323" spans="65:67" ht="18.75" customHeight="1">
      <c r="BM2323" s="1025"/>
      <c r="BO2323" s="43"/>
    </row>
    <row r="2324" spans="65:67" ht="18.75" customHeight="1">
      <c r="BM2324" s="1025"/>
      <c r="BO2324" s="43"/>
    </row>
    <row r="2325" spans="65:67" ht="18.75" customHeight="1">
      <c r="BM2325" s="1025"/>
      <c r="BO2325" s="43"/>
    </row>
    <row r="2326" spans="65:67" ht="18.75" customHeight="1">
      <c r="BM2326" s="1025"/>
      <c r="BO2326" s="43"/>
    </row>
    <row r="2327" spans="65:67" ht="18.75" customHeight="1">
      <c r="BM2327" s="1025"/>
      <c r="BO2327" s="43"/>
    </row>
    <row r="2328" spans="65:67" ht="18.75" customHeight="1">
      <c r="BM2328" s="1025"/>
      <c r="BO2328" s="43"/>
    </row>
    <row r="2329" spans="65:67" ht="18.75" customHeight="1">
      <c r="BM2329" s="1025"/>
      <c r="BO2329" s="43"/>
    </row>
    <row r="2330" spans="65:67" ht="18.75" customHeight="1">
      <c r="BM2330" s="1025"/>
      <c r="BO2330" s="43"/>
    </row>
    <row r="2331" spans="65:67" ht="18.75" customHeight="1">
      <c r="BM2331" s="1025"/>
      <c r="BO2331" s="43"/>
    </row>
    <row r="2332" spans="65:67" ht="18.75" customHeight="1">
      <c r="BM2332" s="1025"/>
      <c r="BO2332" s="43"/>
    </row>
    <row r="2333" spans="65:67" ht="18.75" customHeight="1">
      <c r="BM2333" s="1025"/>
      <c r="BO2333" s="43"/>
    </row>
    <row r="2334" spans="65:67" ht="18.75" customHeight="1">
      <c r="BM2334" s="1025"/>
      <c r="BO2334" s="43"/>
    </row>
    <row r="2335" spans="65:67" ht="18.75" customHeight="1">
      <c r="BM2335" s="1025"/>
      <c r="BO2335" s="43"/>
    </row>
    <row r="2336" spans="65:67" ht="18.75" customHeight="1">
      <c r="BM2336" s="1025"/>
      <c r="BO2336" s="43"/>
    </row>
    <row r="2337" spans="65:67" ht="18.75" customHeight="1">
      <c r="BM2337" s="1025"/>
      <c r="BO2337" s="43"/>
    </row>
    <row r="2338" spans="65:67" ht="18.75" customHeight="1">
      <c r="BM2338" s="1025"/>
      <c r="BO2338" s="43"/>
    </row>
    <row r="2339" spans="65:67" ht="18.75" customHeight="1">
      <c r="BM2339" s="1025"/>
      <c r="BO2339" s="43"/>
    </row>
    <row r="2340" spans="65:67" ht="18.75" customHeight="1">
      <c r="BM2340" s="1025"/>
      <c r="BO2340" s="43"/>
    </row>
    <row r="2341" spans="65:67" ht="18.75" customHeight="1">
      <c r="BM2341" s="1025"/>
      <c r="BO2341" s="43"/>
    </row>
    <row r="2342" spans="65:67" ht="18.75" customHeight="1">
      <c r="BM2342" s="1025"/>
      <c r="BO2342" s="43"/>
    </row>
    <row r="2343" spans="65:67" ht="18.75" customHeight="1">
      <c r="BM2343" s="1025"/>
      <c r="BO2343" s="43"/>
    </row>
    <row r="2344" spans="65:67" ht="18.75" customHeight="1">
      <c r="BM2344" s="1025"/>
      <c r="BO2344" s="43"/>
    </row>
    <row r="2345" spans="65:67" ht="18.75" customHeight="1">
      <c r="BM2345" s="1025"/>
      <c r="BO2345" s="43"/>
    </row>
    <row r="2346" spans="65:67" ht="18.75" customHeight="1">
      <c r="BM2346" s="1025"/>
      <c r="BO2346" s="43"/>
    </row>
    <row r="2347" spans="65:67" ht="18.75" customHeight="1">
      <c r="BM2347" s="1025"/>
      <c r="BO2347" s="43"/>
    </row>
    <row r="2348" spans="65:67" ht="18.75" customHeight="1">
      <c r="BM2348" s="1025"/>
      <c r="BO2348" s="43"/>
    </row>
    <row r="2349" spans="65:67" ht="18.75" customHeight="1">
      <c r="BM2349" s="1025"/>
      <c r="BO2349" s="43"/>
    </row>
    <row r="2350" spans="65:67" ht="18.75" customHeight="1">
      <c r="BM2350" s="1025"/>
      <c r="BO2350" s="43"/>
    </row>
    <row r="2351" spans="65:67" ht="18.75" customHeight="1">
      <c r="BM2351" s="1025"/>
      <c r="BO2351" s="43"/>
    </row>
    <row r="2352" spans="65:67" ht="18.75" customHeight="1">
      <c r="BM2352" s="1025"/>
      <c r="BO2352" s="43"/>
    </row>
    <row r="2353" spans="65:67" ht="18.75" customHeight="1">
      <c r="BM2353" s="1025"/>
      <c r="BO2353" s="43"/>
    </row>
    <row r="2354" spans="65:67" ht="18.75" customHeight="1">
      <c r="BM2354" s="1025"/>
      <c r="BO2354" s="43"/>
    </row>
    <row r="2355" spans="65:67" ht="18.75" customHeight="1">
      <c r="BM2355" s="1025"/>
      <c r="BO2355" s="43"/>
    </row>
    <row r="2356" spans="65:67" ht="18.75" customHeight="1">
      <c r="BM2356" s="1025"/>
      <c r="BO2356" s="43"/>
    </row>
    <row r="2357" spans="65:67" ht="18.75" customHeight="1">
      <c r="BM2357" s="1025"/>
      <c r="BO2357" s="43"/>
    </row>
    <row r="2358" spans="65:67" ht="18.75" customHeight="1">
      <c r="BM2358" s="1025"/>
      <c r="BO2358" s="43"/>
    </row>
    <row r="2359" spans="65:67" ht="18.75" customHeight="1">
      <c r="BM2359" s="1025"/>
      <c r="BO2359" s="43"/>
    </row>
    <row r="2360" spans="65:67" ht="18.75" customHeight="1">
      <c r="BM2360" s="1025"/>
      <c r="BO2360" s="43"/>
    </row>
    <row r="2361" spans="65:67" ht="18.75" customHeight="1">
      <c r="BM2361" s="1025"/>
      <c r="BO2361" s="43"/>
    </row>
    <row r="2362" spans="65:67" ht="18.75" customHeight="1">
      <c r="BM2362" s="1025"/>
      <c r="BO2362" s="43"/>
    </row>
    <row r="2363" spans="65:67" ht="18.75" customHeight="1">
      <c r="BM2363" s="1025"/>
      <c r="BO2363" s="43"/>
    </row>
    <row r="2364" spans="65:67" ht="18.75" customHeight="1">
      <c r="BM2364" s="1025"/>
      <c r="BO2364" s="43"/>
    </row>
    <row r="2365" spans="65:67" ht="18.75" customHeight="1">
      <c r="BM2365" s="1025"/>
      <c r="BO2365" s="43"/>
    </row>
    <row r="2366" spans="65:67" ht="18.75" customHeight="1">
      <c r="BM2366" s="1025"/>
      <c r="BO2366" s="43"/>
    </row>
    <row r="2367" spans="65:67" ht="18.75" customHeight="1">
      <c r="BM2367" s="1025"/>
      <c r="BO2367" s="43"/>
    </row>
    <row r="2368" spans="65:67" ht="18.75" customHeight="1">
      <c r="BM2368" s="1025"/>
      <c r="BO2368" s="43"/>
    </row>
    <row r="2369" spans="65:67" ht="18.75" customHeight="1">
      <c r="BM2369" s="1025"/>
      <c r="BO2369" s="43"/>
    </row>
    <row r="2370" spans="65:67" ht="18.75" customHeight="1">
      <c r="BM2370" s="1025"/>
      <c r="BO2370" s="43"/>
    </row>
    <row r="2371" spans="65:67" ht="18.75" customHeight="1">
      <c r="BM2371" s="1025"/>
      <c r="BO2371" s="43"/>
    </row>
    <row r="2372" spans="65:67" ht="18.75" customHeight="1">
      <c r="BM2372" s="1025"/>
      <c r="BO2372" s="43"/>
    </row>
    <row r="2373" spans="65:67" ht="18.75" customHeight="1">
      <c r="BM2373" s="1025"/>
      <c r="BO2373" s="43"/>
    </row>
    <row r="2374" spans="65:67" ht="18.75" customHeight="1">
      <c r="BM2374" s="1025"/>
      <c r="BO2374" s="43"/>
    </row>
    <row r="2375" spans="65:67" ht="18.75" customHeight="1">
      <c r="BM2375" s="1025"/>
      <c r="BO2375" s="43"/>
    </row>
    <row r="2376" spans="65:67" ht="18.75" customHeight="1">
      <c r="BM2376" s="1025"/>
      <c r="BO2376" s="43"/>
    </row>
    <row r="2377" spans="65:67" ht="18.75" customHeight="1">
      <c r="BM2377" s="1025"/>
      <c r="BO2377" s="43"/>
    </row>
    <row r="2378" spans="65:67" ht="18.75" customHeight="1">
      <c r="BM2378" s="1025"/>
      <c r="BO2378" s="43"/>
    </row>
    <row r="2379" spans="65:67" ht="18.75" customHeight="1">
      <c r="BM2379" s="1025"/>
      <c r="BO2379" s="43"/>
    </row>
    <row r="2380" spans="65:67" ht="18.75" customHeight="1">
      <c r="BM2380" s="1025"/>
      <c r="BO2380" s="43"/>
    </row>
    <row r="2381" spans="65:67" ht="18.75" customHeight="1">
      <c r="BM2381" s="1025"/>
      <c r="BO2381" s="43"/>
    </row>
    <row r="2382" spans="65:67" ht="18.75" customHeight="1">
      <c r="BM2382" s="1025"/>
      <c r="BO2382" s="43"/>
    </row>
    <row r="2383" spans="65:67" ht="18.75" customHeight="1">
      <c r="BM2383" s="1025"/>
      <c r="BO2383" s="43"/>
    </row>
    <row r="2384" spans="65:67" ht="18.75" customHeight="1">
      <c r="BM2384" s="1025"/>
      <c r="BO2384" s="43"/>
    </row>
    <row r="2385" spans="65:67" ht="18.75" customHeight="1">
      <c r="BM2385" s="1025"/>
      <c r="BO2385" s="43"/>
    </row>
    <row r="2386" spans="65:67" ht="18.75" customHeight="1">
      <c r="BM2386" s="1025"/>
      <c r="BO2386" s="43"/>
    </row>
    <row r="2387" spans="65:67" ht="18.75" customHeight="1">
      <c r="BM2387" s="1025"/>
      <c r="BO2387" s="43"/>
    </row>
    <row r="2388" spans="65:67" ht="18.75" customHeight="1">
      <c r="BM2388" s="1025"/>
      <c r="BO2388" s="43"/>
    </row>
    <row r="2389" spans="65:67" ht="18.75" customHeight="1">
      <c r="BM2389" s="1025"/>
      <c r="BO2389" s="43"/>
    </row>
    <row r="2390" spans="65:67" ht="18.75" customHeight="1">
      <c r="BM2390" s="1025"/>
      <c r="BO2390" s="43"/>
    </row>
    <row r="2391" spans="65:67" ht="18.75" customHeight="1">
      <c r="BM2391" s="1025"/>
      <c r="BO2391" s="43"/>
    </row>
    <row r="2392" spans="65:67" ht="18.75" customHeight="1">
      <c r="BM2392" s="1025"/>
      <c r="BO2392" s="43"/>
    </row>
    <row r="2393" spans="65:67" ht="18.75" customHeight="1">
      <c r="BM2393" s="1025"/>
      <c r="BO2393" s="43"/>
    </row>
    <row r="2394" spans="65:67" ht="18.75" customHeight="1">
      <c r="BM2394" s="1025"/>
      <c r="BO2394" s="43"/>
    </row>
    <row r="2395" spans="65:67" ht="18.75" customHeight="1">
      <c r="BM2395" s="1025"/>
      <c r="BO2395" s="43"/>
    </row>
    <row r="2396" spans="65:67" ht="18.75" customHeight="1">
      <c r="BM2396" s="1025"/>
      <c r="BO2396" s="43"/>
    </row>
    <row r="2397" spans="65:67" ht="18.75" customHeight="1">
      <c r="BM2397" s="1025"/>
      <c r="BO2397" s="43"/>
    </row>
    <row r="2398" spans="65:67" ht="18.75" customHeight="1">
      <c r="BM2398" s="1025"/>
      <c r="BO2398" s="43"/>
    </row>
    <row r="2399" spans="65:67" ht="18.75" customHeight="1">
      <c r="BM2399" s="1025"/>
      <c r="BO2399" s="43"/>
    </row>
    <row r="2400" spans="65:67" ht="18.75" customHeight="1">
      <c r="BM2400" s="1025"/>
      <c r="BO2400" s="43"/>
    </row>
    <row r="2401" spans="65:67" ht="18.75" customHeight="1">
      <c r="BM2401" s="1025"/>
      <c r="BO2401" s="43"/>
    </row>
    <row r="2402" spans="65:67" ht="18.75" customHeight="1">
      <c r="BM2402" s="1025"/>
      <c r="BO2402" s="43"/>
    </row>
    <row r="2403" spans="65:67" ht="18.75" customHeight="1">
      <c r="BM2403" s="1025"/>
      <c r="BO2403" s="43"/>
    </row>
    <row r="2404" spans="65:67" ht="18.75" customHeight="1">
      <c r="BM2404" s="1025"/>
      <c r="BO2404" s="43"/>
    </row>
    <row r="2405" spans="65:67" ht="18.75" customHeight="1">
      <c r="BM2405" s="1025"/>
      <c r="BO2405" s="43"/>
    </row>
    <row r="2406" spans="65:67" ht="18.75" customHeight="1">
      <c r="BM2406" s="1025"/>
      <c r="BO2406" s="43"/>
    </row>
    <row r="2407" spans="65:67" ht="18.75" customHeight="1">
      <c r="BM2407" s="1025"/>
      <c r="BO2407" s="43"/>
    </row>
    <row r="2408" spans="65:67" ht="18.75" customHeight="1">
      <c r="BM2408" s="1025"/>
      <c r="BO2408" s="43"/>
    </row>
    <row r="2409" spans="65:67" ht="18.75" customHeight="1">
      <c r="BM2409" s="1025"/>
      <c r="BO2409" s="43"/>
    </row>
    <row r="2410" spans="65:67" ht="18.75" customHeight="1">
      <c r="BM2410" s="1025"/>
      <c r="BO2410" s="43"/>
    </row>
    <row r="2411" spans="65:67" ht="18.75" customHeight="1">
      <c r="BM2411" s="1025"/>
      <c r="BO2411" s="43"/>
    </row>
    <row r="2412" spans="65:67" ht="18.75" customHeight="1">
      <c r="BM2412" s="1025"/>
      <c r="BO2412" s="43"/>
    </row>
    <row r="2413" spans="65:67" ht="18.75" customHeight="1">
      <c r="BM2413" s="1025"/>
      <c r="BO2413" s="43"/>
    </row>
    <row r="2414" spans="65:67" ht="18.75" customHeight="1">
      <c r="BM2414" s="1025"/>
      <c r="BO2414" s="43"/>
    </row>
    <row r="2415" spans="65:67" ht="18.75" customHeight="1">
      <c r="BM2415" s="1025"/>
      <c r="BO2415" s="43"/>
    </row>
    <row r="2416" spans="65:67" ht="18.75" customHeight="1">
      <c r="BM2416" s="1025"/>
      <c r="BO2416" s="43"/>
    </row>
    <row r="2417" spans="65:67" ht="18.75" customHeight="1">
      <c r="BM2417" s="1025"/>
      <c r="BO2417" s="43"/>
    </row>
    <row r="2418" spans="65:67" ht="18.75" customHeight="1">
      <c r="BM2418" s="1025"/>
      <c r="BO2418" s="43"/>
    </row>
    <row r="2419" spans="65:67" ht="18.75" customHeight="1">
      <c r="BM2419" s="1025"/>
      <c r="BO2419" s="43"/>
    </row>
    <row r="2420" spans="65:67" ht="18.75" customHeight="1">
      <c r="BM2420" s="1025"/>
      <c r="BO2420" s="43"/>
    </row>
    <row r="2421" spans="65:67" ht="18.75" customHeight="1">
      <c r="BM2421" s="1025"/>
      <c r="BO2421" s="43"/>
    </row>
    <row r="2422" spans="65:67" ht="18.75" customHeight="1">
      <c r="BM2422" s="1025"/>
      <c r="BO2422" s="43"/>
    </row>
    <row r="2423" spans="65:67" ht="18.75" customHeight="1">
      <c r="BM2423" s="1025"/>
      <c r="BO2423" s="43"/>
    </row>
    <row r="2424" spans="65:67" ht="18.75" customHeight="1">
      <c r="BM2424" s="1025"/>
      <c r="BO2424" s="43"/>
    </row>
    <row r="2425" spans="65:67" ht="18.75" customHeight="1">
      <c r="BM2425" s="1025"/>
      <c r="BO2425" s="43"/>
    </row>
    <row r="2426" spans="65:67" ht="18.75" customHeight="1">
      <c r="BM2426" s="1025"/>
      <c r="BO2426" s="43"/>
    </row>
    <row r="2427" spans="65:67" ht="18.75" customHeight="1">
      <c r="BM2427" s="1025"/>
      <c r="BO2427" s="43"/>
    </row>
    <row r="2428" spans="65:67" ht="18.75" customHeight="1">
      <c r="BM2428" s="1025"/>
      <c r="BO2428" s="43"/>
    </row>
    <row r="2429" spans="65:67" ht="18.75" customHeight="1">
      <c r="BM2429" s="1025"/>
      <c r="BO2429" s="43"/>
    </row>
    <row r="2430" spans="65:67" ht="18.75" customHeight="1">
      <c r="BM2430" s="1025"/>
      <c r="BO2430" s="43"/>
    </row>
    <row r="2431" spans="65:67" ht="18.75" customHeight="1">
      <c r="BM2431" s="1025"/>
      <c r="BO2431" s="43"/>
    </row>
    <row r="2432" spans="65:67" ht="18.75" customHeight="1">
      <c r="BM2432" s="1025"/>
      <c r="BO2432" s="43"/>
    </row>
    <row r="2433" spans="65:67" ht="18.75" customHeight="1">
      <c r="BM2433" s="1025"/>
      <c r="BO2433" s="43"/>
    </row>
    <row r="2434" spans="65:67" ht="18.75" customHeight="1">
      <c r="BM2434" s="1025"/>
      <c r="BO2434" s="43"/>
    </row>
    <row r="2435" spans="65:67" ht="18.75" customHeight="1">
      <c r="BM2435" s="1025"/>
      <c r="BO2435" s="43"/>
    </row>
    <row r="2436" spans="65:67" ht="18.75" customHeight="1">
      <c r="BM2436" s="1025"/>
      <c r="BO2436" s="43"/>
    </row>
    <row r="2437" spans="65:67" ht="18.75" customHeight="1">
      <c r="BM2437" s="1025"/>
      <c r="BO2437" s="43"/>
    </row>
    <row r="2438" spans="65:67" ht="18.75" customHeight="1">
      <c r="BM2438" s="1025"/>
      <c r="BO2438" s="43"/>
    </row>
    <row r="2439" spans="65:67" ht="18.75" customHeight="1">
      <c r="BM2439" s="1025"/>
      <c r="BO2439" s="43"/>
    </row>
    <row r="2440" spans="65:67" ht="18.75" customHeight="1">
      <c r="BM2440" s="1025"/>
      <c r="BO2440" s="43"/>
    </row>
    <row r="2441" spans="65:67" ht="18.75" customHeight="1">
      <c r="BM2441" s="1025"/>
      <c r="BO2441" s="43"/>
    </row>
    <row r="2442" spans="65:67" ht="18.75" customHeight="1">
      <c r="BM2442" s="1025"/>
      <c r="BO2442" s="43"/>
    </row>
    <row r="2443" spans="65:67" ht="18.75" customHeight="1">
      <c r="BM2443" s="1025"/>
      <c r="BO2443" s="43"/>
    </row>
    <row r="2444" spans="65:67" ht="18.75" customHeight="1">
      <c r="BM2444" s="1025"/>
      <c r="BO2444" s="43"/>
    </row>
    <row r="2445" spans="65:67" ht="18.75" customHeight="1">
      <c r="BM2445" s="1025"/>
      <c r="BO2445" s="43"/>
    </row>
    <row r="2446" spans="65:67" ht="18.75" customHeight="1">
      <c r="BM2446" s="1025"/>
      <c r="BO2446" s="43"/>
    </row>
    <row r="2447" spans="65:67" ht="18.75" customHeight="1">
      <c r="BM2447" s="1025"/>
      <c r="BO2447" s="43"/>
    </row>
    <row r="2448" spans="65:67" ht="18.75" customHeight="1">
      <c r="BM2448" s="1025"/>
      <c r="BO2448" s="43"/>
    </row>
    <row r="2449" spans="65:67" ht="18.75" customHeight="1">
      <c r="BM2449" s="1025"/>
      <c r="BO2449" s="43"/>
    </row>
    <row r="2450" spans="65:67" ht="18.75" customHeight="1">
      <c r="BM2450" s="1025"/>
      <c r="BO2450" s="43"/>
    </row>
    <row r="2451" spans="65:67" ht="18.75" customHeight="1">
      <c r="BM2451" s="1025"/>
      <c r="BO2451" s="43"/>
    </row>
    <row r="2452" spans="65:67" ht="18.75" customHeight="1">
      <c r="BM2452" s="1025"/>
      <c r="BO2452" s="43"/>
    </row>
    <row r="2453" spans="65:67" ht="18.75" customHeight="1">
      <c r="BM2453" s="1025"/>
      <c r="BO2453" s="43"/>
    </row>
    <row r="2454" spans="65:67" ht="18.75" customHeight="1">
      <c r="BM2454" s="1025"/>
      <c r="BO2454" s="43"/>
    </row>
    <row r="2455" spans="65:67" ht="18.75" customHeight="1">
      <c r="BM2455" s="1025"/>
      <c r="BO2455" s="43"/>
    </row>
    <row r="2456" spans="65:67" ht="18.75" customHeight="1">
      <c r="BM2456" s="1025"/>
      <c r="BO2456" s="43"/>
    </row>
    <row r="2457" spans="65:67" ht="18.75" customHeight="1">
      <c r="BM2457" s="1025"/>
      <c r="BO2457" s="43"/>
    </row>
    <row r="2458" spans="65:67" ht="18.75" customHeight="1">
      <c r="BM2458" s="1025"/>
      <c r="BO2458" s="43"/>
    </row>
    <row r="2459" spans="65:67" ht="18.75" customHeight="1">
      <c r="BM2459" s="1025"/>
      <c r="BO2459" s="43"/>
    </row>
    <row r="2460" spans="65:67" ht="18.75" customHeight="1">
      <c r="BM2460" s="1025"/>
      <c r="BO2460" s="43"/>
    </row>
    <row r="2461" spans="65:67" ht="18.75" customHeight="1">
      <c r="BM2461" s="1025"/>
      <c r="BO2461" s="43"/>
    </row>
    <row r="2462" spans="65:67" ht="18.75" customHeight="1">
      <c r="BM2462" s="1025"/>
      <c r="BO2462" s="43"/>
    </row>
    <row r="2463" spans="65:67" ht="18.75" customHeight="1">
      <c r="BM2463" s="1025"/>
      <c r="BO2463" s="43"/>
    </row>
    <row r="2464" spans="65:67" ht="18.75" customHeight="1">
      <c r="BM2464" s="1025"/>
      <c r="BO2464" s="43"/>
    </row>
    <row r="2465" spans="65:67" ht="18.75" customHeight="1">
      <c r="BM2465" s="1025"/>
      <c r="BO2465" s="43"/>
    </row>
    <row r="2466" spans="65:67" ht="18.75" customHeight="1">
      <c r="BM2466" s="1025"/>
      <c r="BO2466" s="43"/>
    </row>
    <row r="2467" spans="65:67" ht="18.75" customHeight="1">
      <c r="BM2467" s="1025"/>
      <c r="BO2467" s="43"/>
    </row>
    <row r="2468" spans="65:67" ht="18.75" customHeight="1">
      <c r="BM2468" s="1025"/>
      <c r="BO2468" s="43"/>
    </row>
    <row r="2469" spans="65:67" ht="18.75" customHeight="1">
      <c r="BM2469" s="1025"/>
      <c r="BO2469" s="43"/>
    </row>
    <row r="2470" spans="65:67" ht="18.75" customHeight="1">
      <c r="BM2470" s="1025"/>
      <c r="BO2470" s="43"/>
    </row>
    <row r="2471" spans="65:67" ht="18.75" customHeight="1">
      <c r="BM2471" s="1025"/>
      <c r="BO2471" s="43"/>
    </row>
    <row r="2472" spans="65:67" ht="18.75" customHeight="1">
      <c r="BM2472" s="1025"/>
      <c r="BO2472" s="43"/>
    </row>
    <row r="2473" spans="65:67" ht="18.75" customHeight="1">
      <c r="BM2473" s="1025"/>
      <c r="BO2473" s="43"/>
    </row>
    <row r="2474" spans="65:67" ht="18.75" customHeight="1">
      <c r="BM2474" s="1025"/>
      <c r="BO2474" s="43"/>
    </row>
    <row r="2475" spans="65:67" ht="18.75" customHeight="1">
      <c r="BM2475" s="1025"/>
      <c r="BO2475" s="43"/>
    </row>
    <row r="2476" spans="65:67" ht="18.75" customHeight="1">
      <c r="BM2476" s="1025"/>
      <c r="BO2476" s="43"/>
    </row>
    <row r="2477" spans="65:67" ht="18.75" customHeight="1">
      <c r="BM2477" s="1025"/>
      <c r="BO2477" s="43"/>
    </row>
    <row r="2478" spans="65:67" ht="18.75" customHeight="1">
      <c r="BM2478" s="1025"/>
      <c r="BO2478" s="43"/>
    </row>
    <row r="2479" spans="65:67" ht="18.75" customHeight="1">
      <c r="BM2479" s="1025"/>
      <c r="BO2479" s="43"/>
    </row>
    <row r="2480" spans="65:67" ht="18.75" customHeight="1">
      <c r="BM2480" s="1025"/>
      <c r="BO2480" s="43"/>
    </row>
    <row r="2481" spans="65:67" ht="18.75" customHeight="1">
      <c r="BM2481" s="1025"/>
      <c r="BO2481" s="43"/>
    </row>
    <row r="2482" spans="65:67" ht="18.75" customHeight="1">
      <c r="BM2482" s="1025"/>
      <c r="BO2482" s="43"/>
    </row>
    <row r="2483" spans="65:67" ht="18.75" customHeight="1">
      <c r="BM2483" s="1025"/>
      <c r="BO2483" s="43"/>
    </row>
    <row r="2484" spans="65:67" ht="18.75" customHeight="1">
      <c r="BM2484" s="1025"/>
      <c r="BO2484" s="43"/>
    </row>
    <row r="2485" spans="65:67" ht="18.75" customHeight="1">
      <c r="BM2485" s="1025"/>
      <c r="BO2485" s="43"/>
    </row>
    <row r="2486" spans="65:67" ht="18.75" customHeight="1">
      <c r="BM2486" s="1025"/>
      <c r="BO2486" s="43"/>
    </row>
    <row r="2487" spans="65:67" ht="18.75" customHeight="1">
      <c r="BM2487" s="1025"/>
      <c r="BO2487" s="43"/>
    </row>
    <row r="2488" spans="65:67" ht="18.75" customHeight="1">
      <c r="BM2488" s="1025"/>
      <c r="BO2488" s="43"/>
    </row>
    <row r="2489" spans="65:67" ht="18.75" customHeight="1">
      <c r="BM2489" s="1025"/>
      <c r="BO2489" s="43"/>
    </row>
    <row r="2490" spans="65:67" ht="18.75" customHeight="1">
      <c r="BM2490" s="1025"/>
      <c r="BO2490" s="43"/>
    </row>
    <row r="2491" spans="65:67" ht="18.75" customHeight="1">
      <c r="BM2491" s="1025"/>
      <c r="BO2491" s="43"/>
    </row>
    <row r="2492" spans="65:67" ht="18.75" customHeight="1">
      <c r="BM2492" s="1025"/>
      <c r="BO2492" s="43"/>
    </row>
    <row r="2493" spans="65:67" ht="18.75" customHeight="1">
      <c r="BM2493" s="1025"/>
      <c r="BO2493" s="43"/>
    </row>
    <row r="2494" spans="65:67" ht="18.75" customHeight="1">
      <c r="BM2494" s="1025"/>
      <c r="BO2494" s="43"/>
    </row>
    <row r="2495" spans="65:67" ht="18.75" customHeight="1">
      <c r="BM2495" s="1025"/>
      <c r="BO2495" s="43"/>
    </row>
    <row r="2496" spans="65:67" ht="18.75" customHeight="1">
      <c r="BM2496" s="1025"/>
      <c r="BO2496" s="43"/>
    </row>
    <row r="2497" spans="65:67" ht="18.75" customHeight="1">
      <c r="BM2497" s="1025"/>
      <c r="BO2497" s="43"/>
    </row>
    <row r="2498" spans="65:67" ht="18.75" customHeight="1">
      <c r="BM2498" s="1025"/>
      <c r="BO2498" s="43"/>
    </row>
    <row r="2499" spans="65:67" ht="18.75" customHeight="1">
      <c r="BM2499" s="1025"/>
      <c r="BO2499" s="43"/>
    </row>
    <row r="2500" spans="65:67" ht="18.75" customHeight="1">
      <c r="BM2500" s="1025"/>
      <c r="BO2500" s="43"/>
    </row>
    <row r="2501" spans="65:67" ht="18.75" customHeight="1">
      <c r="BM2501" s="1025"/>
      <c r="BO2501" s="43"/>
    </row>
    <row r="2502" spans="65:67" ht="18.75" customHeight="1">
      <c r="BM2502" s="1025"/>
      <c r="BO2502" s="43"/>
    </row>
    <row r="2503" spans="65:67" ht="18.75" customHeight="1">
      <c r="BM2503" s="1025"/>
      <c r="BO2503" s="43"/>
    </row>
    <row r="2504" spans="65:67" ht="18.75" customHeight="1">
      <c r="BM2504" s="1025"/>
      <c r="BO2504" s="43"/>
    </row>
    <row r="2505" spans="65:67" ht="18.75" customHeight="1">
      <c r="BM2505" s="1025"/>
      <c r="BO2505" s="43"/>
    </row>
    <row r="2506" spans="65:67" ht="18.75" customHeight="1">
      <c r="BM2506" s="1025"/>
      <c r="BO2506" s="43"/>
    </row>
    <row r="2507" spans="65:67" ht="18.75" customHeight="1">
      <c r="BM2507" s="1025"/>
      <c r="BO2507" s="43"/>
    </row>
    <row r="2508" spans="65:67" ht="18.75" customHeight="1">
      <c r="BM2508" s="1025"/>
      <c r="BO2508" s="43"/>
    </row>
    <row r="2509" spans="65:67" ht="18.75" customHeight="1">
      <c r="BM2509" s="1025"/>
      <c r="BO2509" s="43"/>
    </row>
    <row r="2510" spans="65:67" ht="18.75" customHeight="1">
      <c r="BM2510" s="1025"/>
      <c r="BO2510" s="43"/>
    </row>
    <row r="2511" spans="65:67" ht="18.75" customHeight="1">
      <c r="BM2511" s="1025"/>
      <c r="BO2511" s="43"/>
    </row>
    <row r="2512" spans="65:67" ht="18.75" customHeight="1">
      <c r="BM2512" s="1025"/>
      <c r="BO2512" s="43"/>
    </row>
    <row r="2513" spans="65:67" ht="18.75" customHeight="1">
      <c r="BM2513" s="1025"/>
      <c r="BO2513" s="43"/>
    </row>
    <row r="2514" spans="65:67" ht="18.75" customHeight="1">
      <c r="BM2514" s="1025"/>
      <c r="BO2514" s="43"/>
    </row>
    <row r="2515" spans="65:67" ht="18.75" customHeight="1">
      <c r="BM2515" s="1025"/>
      <c r="BO2515" s="43"/>
    </row>
    <row r="2516" spans="65:67" ht="18.75" customHeight="1">
      <c r="BM2516" s="1025"/>
      <c r="BO2516" s="43"/>
    </row>
    <row r="2517" spans="65:67" ht="18.75" customHeight="1">
      <c r="BM2517" s="1025"/>
      <c r="BO2517" s="43"/>
    </row>
    <row r="2518" spans="65:67" ht="18.75" customHeight="1">
      <c r="BM2518" s="1025"/>
      <c r="BO2518" s="43"/>
    </row>
    <row r="2519" spans="65:67" ht="18.75" customHeight="1">
      <c r="BM2519" s="1025"/>
      <c r="BO2519" s="43"/>
    </row>
    <row r="2520" spans="65:67" ht="18.75" customHeight="1">
      <c r="BM2520" s="1025"/>
      <c r="BO2520" s="43"/>
    </row>
    <row r="2521" spans="65:67" ht="18.75" customHeight="1">
      <c r="BM2521" s="1025"/>
      <c r="BO2521" s="43"/>
    </row>
    <row r="2522" spans="65:67" ht="18.75" customHeight="1">
      <c r="BM2522" s="1025"/>
      <c r="BO2522" s="43"/>
    </row>
    <row r="2523" spans="65:67" ht="18.75" customHeight="1">
      <c r="BM2523" s="1025"/>
      <c r="BO2523" s="43"/>
    </row>
    <row r="2524" spans="65:67" ht="18.75" customHeight="1">
      <c r="BM2524" s="1025"/>
      <c r="BO2524" s="43"/>
    </row>
    <row r="2525" spans="65:67" ht="18.75" customHeight="1">
      <c r="BM2525" s="1025"/>
      <c r="BO2525" s="43"/>
    </row>
    <row r="2526" spans="65:67" ht="18.75" customHeight="1">
      <c r="BM2526" s="1025"/>
      <c r="BO2526" s="43"/>
    </row>
    <row r="2527" spans="65:67" ht="18.75" customHeight="1">
      <c r="BM2527" s="1025"/>
      <c r="BO2527" s="43"/>
    </row>
    <row r="2528" spans="65:67" ht="18.75" customHeight="1">
      <c r="BM2528" s="1025"/>
      <c r="BO2528" s="43"/>
    </row>
    <row r="2529" spans="65:67" ht="18.75" customHeight="1">
      <c r="BM2529" s="1025"/>
      <c r="BO2529" s="43"/>
    </row>
    <row r="2530" spans="65:67" ht="18.75" customHeight="1">
      <c r="BM2530" s="1025"/>
      <c r="BO2530" s="43"/>
    </row>
    <row r="2531" spans="65:67" ht="18.75" customHeight="1">
      <c r="BM2531" s="1025"/>
      <c r="BO2531" s="43"/>
    </row>
    <row r="2532" spans="65:67" ht="18.75" customHeight="1">
      <c r="BM2532" s="1025"/>
      <c r="BO2532" s="43"/>
    </row>
    <row r="2533" spans="65:67" ht="18.75" customHeight="1">
      <c r="BM2533" s="1025"/>
      <c r="BO2533" s="43"/>
    </row>
    <row r="2534" spans="65:67" ht="18.75" customHeight="1">
      <c r="BM2534" s="1025"/>
      <c r="BO2534" s="43"/>
    </row>
    <row r="2535" spans="65:67" ht="18.75" customHeight="1">
      <c r="BM2535" s="1025"/>
      <c r="BO2535" s="43"/>
    </row>
    <row r="2536" spans="65:67" ht="18.75" customHeight="1">
      <c r="BM2536" s="1025"/>
      <c r="BO2536" s="43"/>
    </row>
    <row r="2537" spans="65:67" ht="18.75" customHeight="1">
      <c r="BM2537" s="1025"/>
      <c r="BO2537" s="43"/>
    </row>
    <row r="2538" spans="65:67" ht="18.75" customHeight="1">
      <c r="BM2538" s="1025"/>
      <c r="BO2538" s="43"/>
    </row>
    <row r="2539" spans="65:67" ht="18.75" customHeight="1">
      <c r="BM2539" s="1025"/>
      <c r="BO2539" s="43"/>
    </row>
    <row r="2540" spans="65:67" ht="18.75" customHeight="1">
      <c r="BM2540" s="1025"/>
      <c r="BO2540" s="43"/>
    </row>
    <row r="2541" spans="65:67" ht="18.75" customHeight="1">
      <c r="BM2541" s="1025"/>
      <c r="BO2541" s="43"/>
    </row>
    <row r="2542" spans="65:67" ht="18.75" customHeight="1">
      <c r="BM2542" s="1025"/>
      <c r="BO2542" s="43"/>
    </row>
    <row r="2543" spans="65:67" ht="18.75" customHeight="1">
      <c r="BM2543" s="1025"/>
      <c r="BO2543" s="43"/>
    </row>
    <row r="2544" spans="65:67" ht="18.75" customHeight="1">
      <c r="BM2544" s="1025"/>
      <c r="BO2544" s="43"/>
    </row>
    <row r="2545" spans="65:67" ht="18.75" customHeight="1">
      <c r="BM2545" s="1025"/>
      <c r="BO2545" s="43"/>
    </row>
    <row r="2546" spans="65:67" ht="18.75" customHeight="1">
      <c r="BM2546" s="1025"/>
      <c r="BO2546" s="43"/>
    </row>
    <row r="2547" spans="65:67" ht="18.75" customHeight="1">
      <c r="BM2547" s="1025"/>
      <c r="BO2547" s="43"/>
    </row>
    <row r="2548" spans="65:67" ht="18.75" customHeight="1">
      <c r="BM2548" s="1025"/>
      <c r="BO2548" s="43"/>
    </row>
    <row r="2549" spans="65:67" ht="18.75" customHeight="1">
      <c r="BM2549" s="1025"/>
      <c r="BO2549" s="43"/>
    </row>
    <row r="2550" spans="65:67" ht="18.75" customHeight="1">
      <c r="BM2550" s="1025"/>
      <c r="BO2550" s="43"/>
    </row>
    <row r="2551" spans="65:67" ht="18.75" customHeight="1">
      <c r="BM2551" s="1025"/>
      <c r="BO2551" s="43"/>
    </row>
    <row r="2552" spans="65:67" ht="18.75" customHeight="1">
      <c r="BM2552" s="1025"/>
      <c r="BO2552" s="43"/>
    </row>
    <row r="2553" spans="65:67" ht="18.75" customHeight="1">
      <c r="BM2553" s="1025"/>
      <c r="BO2553" s="43"/>
    </row>
    <row r="2554" spans="65:67" ht="18.75" customHeight="1">
      <c r="BM2554" s="1025"/>
      <c r="BO2554" s="43"/>
    </row>
    <row r="2555" spans="65:67" ht="18.75" customHeight="1">
      <c r="BM2555" s="1025"/>
      <c r="BO2555" s="43"/>
    </row>
    <row r="2556" spans="65:67" ht="18.75" customHeight="1">
      <c r="BM2556" s="1025"/>
      <c r="BO2556" s="43"/>
    </row>
    <row r="2557" spans="65:67" ht="18.75" customHeight="1">
      <c r="BM2557" s="1025"/>
      <c r="BO2557" s="43"/>
    </row>
    <row r="2558" spans="65:67" ht="18.75" customHeight="1">
      <c r="BM2558" s="1025"/>
      <c r="BO2558" s="43"/>
    </row>
    <row r="2559" spans="65:67" ht="18.75" customHeight="1">
      <c r="BM2559" s="1025"/>
      <c r="BO2559" s="43"/>
    </row>
    <row r="2560" spans="65:67" ht="18.75" customHeight="1">
      <c r="BM2560" s="1025"/>
      <c r="BO2560" s="43"/>
    </row>
    <row r="2561" spans="65:67" ht="18.75" customHeight="1">
      <c r="BM2561" s="1025"/>
      <c r="BO2561" s="43"/>
    </row>
    <row r="2562" spans="65:67" ht="18.75" customHeight="1">
      <c r="BM2562" s="1025"/>
      <c r="BO2562" s="43"/>
    </row>
    <row r="2563" spans="65:67" ht="18.75" customHeight="1">
      <c r="BM2563" s="1025"/>
      <c r="BO2563" s="43"/>
    </row>
    <row r="2564" spans="65:67" ht="18.75" customHeight="1">
      <c r="BM2564" s="1025"/>
      <c r="BO2564" s="43"/>
    </row>
    <row r="2565" spans="65:67" ht="18.75" customHeight="1">
      <c r="BM2565" s="1025"/>
      <c r="BO2565" s="43"/>
    </row>
    <row r="2566" spans="65:67" ht="18.75" customHeight="1">
      <c r="BM2566" s="1025"/>
      <c r="BO2566" s="43"/>
    </row>
    <row r="2567" spans="65:67" ht="18.75" customHeight="1">
      <c r="BM2567" s="1025"/>
      <c r="BO2567" s="43"/>
    </row>
    <row r="2568" spans="65:67" ht="18.75" customHeight="1">
      <c r="BM2568" s="1025"/>
      <c r="BO2568" s="43"/>
    </row>
    <row r="2569" spans="65:67" ht="18.75" customHeight="1">
      <c r="BM2569" s="1025"/>
      <c r="BO2569" s="43"/>
    </row>
    <row r="2570" spans="65:67" ht="18.75" customHeight="1">
      <c r="BM2570" s="1025"/>
      <c r="BO2570" s="43"/>
    </row>
    <row r="2571" spans="65:67" ht="18.75" customHeight="1">
      <c r="BM2571" s="1025"/>
      <c r="BO2571" s="43"/>
    </row>
    <row r="2572" spans="65:67" ht="18.75" customHeight="1">
      <c r="BM2572" s="1025"/>
      <c r="BO2572" s="43"/>
    </row>
    <row r="2573" spans="65:67" ht="18.75" customHeight="1">
      <c r="BM2573" s="1025"/>
      <c r="BO2573" s="43"/>
    </row>
    <row r="2574" spans="65:67" ht="18.75" customHeight="1">
      <c r="BM2574" s="1025"/>
      <c r="BO2574" s="43"/>
    </row>
    <row r="2575" spans="65:67" ht="18.75" customHeight="1">
      <c r="BM2575" s="1025"/>
      <c r="BO2575" s="43"/>
    </row>
    <row r="2576" spans="65:67" ht="18.75" customHeight="1">
      <c r="BM2576" s="1025"/>
      <c r="BO2576" s="43"/>
    </row>
    <row r="2577" spans="65:67" ht="18.75" customHeight="1">
      <c r="BM2577" s="1025"/>
      <c r="BO2577" s="43"/>
    </row>
    <row r="2578" spans="65:67" ht="18.75" customHeight="1">
      <c r="BM2578" s="1025"/>
      <c r="BO2578" s="43"/>
    </row>
    <row r="2579" spans="65:67" ht="18.75" customHeight="1">
      <c r="BM2579" s="1025"/>
      <c r="BO2579" s="43"/>
    </row>
    <row r="2580" spans="65:67" ht="18.75" customHeight="1">
      <c r="BM2580" s="1025"/>
      <c r="BO2580" s="43"/>
    </row>
    <row r="2581" spans="65:67" ht="18.75" customHeight="1">
      <c r="BM2581" s="1025"/>
      <c r="BO2581" s="43"/>
    </row>
    <row r="2582" spans="65:67" ht="18.75" customHeight="1">
      <c r="BM2582" s="1025"/>
      <c r="BO2582" s="43"/>
    </row>
    <row r="2583" spans="65:67" ht="18.75" customHeight="1">
      <c r="BM2583" s="1025"/>
      <c r="BO2583" s="43"/>
    </row>
    <row r="2584" spans="65:67" ht="18.75" customHeight="1">
      <c r="BM2584" s="1025"/>
      <c r="BO2584" s="43"/>
    </row>
    <row r="2585" spans="65:67" ht="18.75" customHeight="1">
      <c r="BM2585" s="1025"/>
      <c r="BO2585" s="43"/>
    </row>
    <row r="2586" spans="65:67" ht="18.75" customHeight="1">
      <c r="BM2586" s="1025"/>
      <c r="BO2586" s="43"/>
    </row>
    <row r="2587" spans="65:67" ht="18.75" customHeight="1">
      <c r="BM2587" s="1025"/>
      <c r="BO2587" s="43"/>
    </row>
    <row r="2588" spans="65:67" ht="18.75" customHeight="1">
      <c r="BM2588" s="1025"/>
      <c r="BO2588" s="43"/>
    </row>
    <row r="2589" spans="65:67" ht="18.75" customHeight="1">
      <c r="BM2589" s="1025"/>
      <c r="BO2589" s="43"/>
    </row>
    <row r="2590" spans="65:67" ht="18.75" customHeight="1">
      <c r="BM2590" s="1025"/>
      <c r="BO2590" s="43"/>
    </row>
    <row r="2591" spans="65:67" ht="18.75" customHeight="1">
      <c r="BM2591" s="1025"/>
      <c r="BO2591" s="43"/>
    </row>
    <row r="2592" spans="65:67" ht="18.75" customHeight="1">
      <c r="BM2592" s="1025"/>
      <c r="BO2592" s="43"/>
    </row>
    <row r="2593" spans="65:67" ht="18.75" customHeight="1">
      <c r="BM2593" s="1025"/>
      <c r="BO2593" s="43"/>
    </row>
    <row r="2594" spans="65:67" ht="18.75" customHeight="1">
      <c r="BM2594" s="1025"/>
      <c r="BO2594" s="43"/>
    </row>
    <row r="2595" spans="65:67" ht="18.75" customHeight="1">
      <c r="BM2595" s="1025"/>
      <c r="BO2595" s="43"/>
    </row>
    <row r="2596" spans="65:67" ht="18.75" customHeight="1">
      <c r="BM2596" s="1025"/>
      <c r="BO2596" s="43"/>
    </row>
    <row r="2597" spans="65:67" ht="18.75" customHeight="1">
      <c r="BM2597" s="1025"/>
      <c r="BO2597" s="43"/>
    </row>
    <row r="2598" spans="65:67" ht="18.75" customHeight="1">
      <c r="BM2598" s="1025"/>
      <c r="BO2598" s="43"/>
    </row>
    <row r="2599" spans="65:67" ht="18.75" customHeight="1">
      <c r="BM2599" s="1025"/>
      <c r="BO2599" s="43"/>
    </row>
    <row r="2600" spans="65:67" ht="18.75" customHeight="1">
      <c r="BM2600" s="1025"/>
      <c r="BO2600" s="43"/>
    </row>
    <row r="2601" spans="65:67" ht="18.75" customHeight="1">
      <c r="BM2601" s="1025"/>
      <c r="BO2601" s="43"/>
    </row>
    <row r="2602" spans="65:67" ht="18.75" customHeight="1">
      <c r="BM2602" s="1025"/>
      <c r="BO2602" s="43"/>
    </row>
    <row r="2603" spans="65:67" ht="18.75" customHeight="1">
      <c r="BM2603" s="1025"/>
      <c r="BO2603" s="43"/>
    </row>
    <row r="2604" spans="65:67" ht="18.75" customHeight="1">
      <c r="BM2604" s="1025"/>
      <c r="BO2604" s="43"/>
    </row>
    <row r="2605" spans="65:67" ht="18.75" customHeight="1">
      <c r="BM2605" s="1025"/>
      <c r="BO2605" s="43"/>
    </row>
    <row r="2606" spans="65:67" ht="18.75" customHeight="1">
      <c r="BM2606" s="1025"/>
      <c r="BO2606" s="43"/>
    </row>
    <row r="2607" spans="65:67" ht="18.75" customHeight="1">
      <c r="BM2607" s="1025"/>
      <c r="BO2607" s="43"/>
    </row>
    <row r="2608" spans="65:67" ht="18.75" customHeight="1">
      <c r="BM2608" s="1025"/>
      <c r="BO2608" s="43"/>
    </row>
    <row r="2609" spans="65:67" ht="18.75" customHeight="1">
      <c r="BM2609" s="1025"/>
      <c r="BO2609" s="43"/>
    </row>
    <row r="2610" spans="65:67" ht="18.75" customHeight="1">
      <c r="BM2610" s="1025"/>
      <c r="BO2610" s="43"/>
    </row>
    <row r="2611" spans="65:67" ht="18.75" customHeight="1">
      <c r="BM2611" s="1025"/>
      <c r="BO2611" s="43"/>
    </row>
    <row r="2612" spans="65:67" ht="18.75" customHeight="1">
      <c r="BM2612" s="1025"/>
      <c r="BO2612" s="43"/>
    </row>
    <row r="2613" spans="65:67" ht="18.75" customHeight="1">
      <c r="BM2613" s="1025"/>
      <c r="BO2613" s="43"/>
    </row>
    <row r="2614" spans="65:67" ht="18.75" customHeight="1">
      <c r="BM2614" s="1025"/>
      <c r="BO2614" s="43"/>
    </row>
    <row r="2615" spans="65:67" ht="18.75" customHeight="1">
      <c r="BM2615" s="1025"/>
      <c r="BO2615" s="43"/>
    </row>
    <row r="2616" spans="65:67" ht="18.75" customHeight="1">
      <c r="BM2616" s="1025"/>
      <c r="BO2616" s="43"/>
    </row>
    <row r="2617" spans="65:67" ht="18.75" customHeight="1">
      <c r="BM2617" s="1025"/>
      <c r="BO2617" s="43"/>
    </row>
    <row r="2618" spans="65:67" ht="18.75" customHeight="1">
      <c r="BM2618" s="1025"/>
      <c r="BO2618" s="43"/>
    </row>
    <row r="2619" spans="65:67" ht="18.75" customHeight="1">
      <c r="BM2619" s="1025"/>
      <c r="BO2619" s="43"/>
    </row>
    <row r="2620" spans="65:67" ht="18.75" customHeight="1">
      <c r="BM2620" s="1025"/>
      <c r="BO2620" s="43"/>
    </row>
    <row r="2621" spans="65:67" ht="18.75" customHeight="1">
      <c r="BM2621" s="1025"/>
      <c r="BO2621" s="43"/>
    </row>
    <row r="2622" spans="65:67" ht="18.75" customHeight="1">
      <c r="BM2622" s="1025"/>
      <c r="BO2622" s="43"/>
    </row>
    <row r="2623" spans="65:67" ht="18.75" customHeight="1">
      <c r="BM2623" s="1025"/>
      <c r="BO2623" s="43"/>
    </row>
    <row r="2624" spans="65:67" ht="18.75" customHeight="1">
      <c r="BM2624" s="1025"/>
      <c r="BO2624" s="43"/>
    </row>
    <row r="2625" spans="65:67" ht="18.75" customHeight="1">
      <c r="BM2625" s="1025"/>
      <c r="BO2625" s="43"/>
    </row>
    <row r="2626" spans="65:67" ht="18.75" customHeight="1">
      <c r="BM2626" s="1025"/>
      <c r="BO2626" s="43"/>
    </row>
    <row r="2627" spans="65:67" ht="18.75" customHeight="1">
      <c r="BM2627" s="1025"/>
      <c r="BO2627" s="43"/>
    </row>
    <row r="2628" spans="65:67" ht="18.75" customHeight="1">
      <c r="BM2628" s="1025"/>
      <c r="BO2628" s="43"/>
    </row>
    <row r="2629" spans="65:67" ht="18.75" customHeight="1">
      <c r="BM2629" s="1025"/>
      <c r="BO2629" s="43"/>
    </row>
    <row r="2630" spans="65:67" ht="18.75" customHeight="1">
      <c r="BM2630" s="1025"/>
      <c r="BO2630" s="43"/>
    </row>
    <row r="2631" spans="65:67" ht="18.75" customHeight="1">
      <c r="BM2631" s="1025"/>
      <c r="BO2631" s="43"/>
    </row>
    <row r="2632" spans="65:67" ht="18.75" customHeight="1">
      <c r="BM2632" s="1025"/>
      <c r="BO2632" s="43"/>
    </row>
    <row r="2633" spans="65:67" ht="18.75" customHeight="1">
      <c r="BM2633" s="1025"/>
      <c r="BO2633" s="43"/>
    </row>
    <row r="2634" spans="65:67" ht="18.75" customHeight="1">
      <c r="BM2634" s="1025"/>
      <c r="BO2634" s="43"/>
    </row>
    <row r="2635" spans="65:67" ht="18.75" customHeight="1">
      <c r="BM2635" s="1025"/>
      <c r="BO2635" s="43"/>
    </row>
    <row r="2636" spans="65:67" ht="18.75" customHeight="1">
      <c r="BM2636" s="1025"/>
      <c r="BO2636" s="43"/>
    </row>
    <row r="2637" spans="65:67" ht="18.75" customHeight="1">
      <c r="BM2637" s="1025"/>
      <c r="BO2637" s="43"/>
    </row>
    <row r="2638" spans="65:67" ht="18.75" customHeight="1">
      <c r="BM2638" s="1025"/>
      <c r="BO2638" s="43"/>
    </row>
    <row r="2639" spans="65:67" ht="18.75" customHeight="1">
      <c r="BM2639" s="1025"/>
      <c r="BO2639" s="43"/>
    </row>
    <row r="2640" spans="65:67" ht="18.75" customHeight="1">
      <c r="BM2640" s="1025"/>
      <c r="BO2640" s="43"/>
    </row>
    <row r="2641" spans="65:67" ht="18.75" customHeight="1">
      <c r="BM2641" s="1025"/>
      <c r="BO2641" s="43"/>
    </row>
    <row r="2642" spans="65:67" ht="18.75" customHeight="1">
      <c r="BM2642" s="1025"/>
      <c r="BO2642" s="43"/>
    </row>
    <row r="2643" spans="65:67" ht="18.75" customHeight="1">
      <c r="BM2643" s="1025"/>
      <c r="BO2643" s="43"/>
    </row>
    <row r="2644" spans="65:67" ht="18.75" customHeight="1">
      <c r="BM2644" s="1025"/>
      <c r="BO2644" s="43"/>
    </row>
    <row r="2645" spans="65:67" ht="18.75" customHeight="1">
      <c r="BM2645" s="1025"/>
      <c r="BO2645" s="43"/>
    </row>
    <row r="2646" spans="65:67" ht="18.75" customHeight="1">
      <c r="BM2646" s="1025"/>
      <c r="BO2646" s="43"/>
    </row>
    <row r="2647" spans="65:67" ht="18.75" customHeight="1">
      <c r="BM2647" s="1025"/>
      <c r="BO2647" s="43"/>
    </row>
    <row r="2648" spans="65:67" ht="18.75" customHeight="1">
      <c r="BM2648" s="1025"/>
      <c r="BO2648" s="43"/>
    </row>
    <row r="2649" spans="65:67" ht="18.75" customHeight="1">
      <c r="BM2649" s="1025"/>
      <c r="BO2649" s="43"/>
    </row>
    <row r="2650" spans="65:67" ht="18.75" customHeight="1">
      <c r="BM2650" s="1025"/>
      <c r="BO2650" s="43"/>
    </row>
    <row r="2651" spans="65:67" ht="18.75" customHeight="1">
      <c r="BM2651" s="1025"/>
      <c r="BO2651" s="43"/>
    </row>
    <row r="2652" spans="65:67" ht="18.75" customHeight="1">
      <c r="BM2652" s="1025"/>
      <c r="BO2652" s="43"/>
    </row>
    <row r="2653" spans="65:67" ht="18.75" customHeight="1">
      <c r="BM2653" s="1025"/>
      <c r="BO2653" s="43"/>
    </row>
    <row r="2654" spans="65:67" ht="18.75" customHeight="1">
      <c r="BM2654" s="1025"/>
      <c r="BO2654" s="43"/>
    </row>
    <row r="2655" spans="65:67" ht="18.75" customHeight="1">
      <c r="BM2655" s="1025"/>
      <c r="BO2655" s="43"/>
    </row>
    <row r="2656" spans="65:67" ht="18.75" customHeight="1">
      <c r="BM2656" s="1025"/>
      <c r="BO2656" s="43"/>
    </row>
    <row r="2657" spans="65:67" ht="18.75" customHeight="1">
      <c r="BM2657" s="1025"/>
      <c r="BO2657" s="43"/>
    </row>
    <row r="2658" spans="65:67" ht="18.75" customHeight="1">
      <c r="BM2658" s="1025"/>
      <c r="BO2658" s="43"/>
    </row>
    <row r="2659" spans="65:67" ht="18.75" customHeight="1">
      <c r="BM2659" s="1025"/>
      <c r="BO2659" s="43"/>
    </row>
    <row r="2660" spans="65:67" ht="18.75" customHeight="1">
      <c r="BM2660" s="1025"/>
      <c r="BO2660" s="43"/>
    </row>
    <row r="2661" spans="65:67" ht="18.75" customHeight="1">
      <c r="BM2661" s="1025"/>
      <c r="BO2661" s="43"/>
    </row>
    <row r="2662" spans="65:67" ht="18.75" customHeight="1">
      <c r="BM2662" s="1025"/>
      <c r="BO2662" s="43"/>
    </row>
    <row r="2663" spans="65:67" ht="18.75" customHeight="1">
      <c r="BM2663" s="1025"/>
      <c r="BO2663" s="43"/>
    </row>
    <row r="2664" spans="65:67" ht="18.75" customHeight="1">
      <c r="BM2664" s="1025"/>
      <c r="BO2664" s="43"/>
    </row>
    <row r="2665" spans="65:67" ht="18.75" customHeight="1">
      <c r="BM2665" s="1025"/>
      <c r="BO2665" s="43"/>
    </row>
    <row r="2666" spans="65:67" ht="18.75" customHeight="1">
      <c r="BM2666" s="1025"/>
      <c r="BO2666" s="43"/>
    </row>
    <row r="2667" spans="65:67" ht="18.75" customHeight="1">
      <c r="BM2667" s="1025"/>
      <c r="BO2667" s="43"/>
    </row>
    <row r="2668" spans="65:67" ht="18.75" customHeight="1">
      <c r="BM2668" s="1025"/>
      <c r="BO2668" s="43"/>
    </row>
    <row r="2669" spans="65:67" ht="18.75" customHeight="1">
      <c r="BM2669" s="1025"/>
      <c r="BO2669" s="43"/>
    </row>
    <row r="2670" spans="65:67" ht="18.75" customHeight="1">
      <c r="BM2670" s="1025"/>
      <c r="BO2670" s="43"/>
    </row>
    <row r="2671" spans="65:67" ht="18.75" customHeight="1">
      <c r="BM2671" s="1025"/>
      <c r="BO2671" s="43"/>
    </row>
    <row r="2672" spans="65:67" ht="18.75" customHeight="1">
      <c r="BM2672" s="1025"/>
      <c r="BO2672" s="43"/>
    </row>
    <row r="2673" spans="65:67" ht="18.75" customHeight="1">
      <c r="BM2673" s="1025"/>
      <c r="BO2673" s="43"/>
    </row>
    <row r="2674" spans="65:67" ht="18.75" customHeight="1">
      <c r="BM2674" s="1025"/>
      <c r="BO2674" s="43"/>
    </row>
    <row r="2675" spans="65:67" ht="18.75" customHeight="1">
      <c r="BM2675" s="1025"/>
      <c r="BO2675" s="43"/>
    </row>
    <row r="2676" spans="65:67" ht="18.75" customHeight="1">
      <c r="BM2676" s="1025"/>
      <c r="BO2676" s="43"/>
    </row>
    <row r="2677" spans="65:67" ht="18.75" customHeight="1">
      <c r="BM2677" s="1025"/>
      <c r="BO2677" s="43"/>
    </row>
    <row r="2678" spans="65:67" ht="18.75" customHeight="1">
      <c r="BM2678" s="1025"/>
      <c r="BO2678" s="43"/>
    </row>
    <row r="2679" spans="65:67" ht="18.75" customHeight="1">
      <c r="BM2679" s="1025"/>
      <c r="BO2679" s="43"/>
    </row>
    <row r="2680" spans="65:67" ht="18.75" customHeight="1">
      <c r="BM2680" s="1025"/>
      <c r="BO2680" s="43"/>
    </row>
    <row r="2681" spans="65:67" ht="18.75" customHeight="1">
      <c r="BM2681" s="1025"/>
      <c r="BO2681" s="43"/>
    </row>
    <row r="2682" spans="65:67" ht="18.75" customHeight="1">
      <c r="BM2682" s="1025"/>
      <c r="BO2682" s="43"/>
    </row>
    <row r="2683" spans="65:67" ht="18.75" customHeight="1">
      <c r="BM2683" s="1025"/>
      <c r="BO2683" s="43"/>
    </row>
    <row r="2684" spans="65:67" ht="18.75" customHeight="1">
      <c r="BM2684" s="1025"/>
      <c r="BO2684" s="43"/>
    </row>
    <row r="2685" spans="65:67" ht="18.75" customHeight="1">
      <c r="BM2685" s="1025"/>
      <c r="BO2685" s="43"/>
    </row>
    <row r="2686" spans="65:67" ht="18.75" customHeight="1">
      <c r="BM2686" s="1025"/>
      <c r="BO2686" s="43"/>
    </row>
    <row r="2687" spans="65:67" ht="18.75" customHeight="1">
      <c r="BM2687" s="1025"/>
      <c r="BO2687" s="43"/>
    </row>
    <row r="2688" spans="65:67" ht="18.75" customHeight="1">
      <c r="BM2688" s="1025"/>
      <c r="BO2688" s="43"/>
    </row>
    <row r="2689" spans="65:67" ht="18.75" customHeight="1">
      <c r="BM2689" s="1025"/>
      <c r="BO2689" s="43"/>
    </row>
    <row r="2690" spans="65:67" ht="18.75" customHeight="1">
      <c r="BM2690" s="1025"/>
      <c r="BO2690" s="43"/>
    </row>
    <row r="2691" spans="65:67" ht="18.75" customHeight="1">
      <c r="BM2691" s="1025"/>
      <c r="BO2691" s="43"/>
    </row>
    <row r="2692" spans="65:67" ht="18.75" customHeight="1">
      <c r="BM2692" s="1025"/>
      <c r="BO2692" s="43"/>
    </row>
    <row r="2693" spans="65:67" ht="18.75" customHeight="1">
      <c r="BM2693" s="1025"/>
      <c r="BO2693" s="43"/>
    </row>
    <row r="2694" spans="65:67" ht="18.75" customHeight="1">
      <c r="BM2694" s="1025"/>
      <c r="BO2694" s="43"/>
    </row>
    <row r="2695" spans="65:67" ht="18.75" customHeight="1">
      <c r="BM2695" s="1025"/>
      <c r="BO2695" s="43"/>
    </row>
    <row r="2696" spans="65:67" ht="18.75" customHeight="1">
      <c r="BM2696" s="1025"/>
      <c r="BO2696" s="43"/>
    </row>
    <row r="2697" spans="65:67" ht="18.75" customHeight="1">
      <c r="BM2697" s="1025"/>
      <c r="BO2697" s="43"/>
    </row>
    <row r="2698" spans="65:67" ht="18.75" customHeight="1">
      <c r="BM2698" s="1025"/>
      <c r="BO2698" s="43"/>
    </row>
    <row r="2699" spans="65:67" ht="18.75" customHeight="1">
      <c r="BM2699" s="1025"/>
      <c r="BO2699" s="43"/>
    </row>
    <row r="2700" spans="65:67" ht="18.75" customHeight="1">
      <c r="BM2700" s="1025"/>
      <c r="BO2700" s="43"/>
    </row>
    <row r="2701" spans="65:67" ht="18.75" customHeight="1">
      <c r="BM2701" s="1025"/>
      <c r="BO2701" s="43"/>
    </row>
    <row r="2702" spans="65:67" ht="18.75" customHeight="1">
      <c r="BM2702" s="1025"/>
      <c r="BO2702" s="43"/>
    </row>
    <row r="2703" spans="65:67" ht="18.75" customHeight="1">
      <c r="BM2703" s="1025"/>
      <c r="BO2703" s="43"/>
    </row>
    <row r="2704" spans="65:67" ht="18.75" customHeight="1">
      <c r="BM2704" s="1025"/>
      <c r="BO2704" s="43"/>
    </row>
    <row r="2705" spans="65:67" ht="18.75" customHeight="1">
      <c r="BM2705" s="1025"/>
      <c r="BO2705" s="43"/>
    </row>
    <row r="2706" spans="65:67" ht="18.75" customHeight="1">
      <c r="BM2706" s="1025"/>
      <c r="BO2706" s="43"/>
    </row>
    <row r="2707" spans="65:67" ht="18.75" customHeight="1">
      <c r="BM2707" s="1025"/>
      <c r="BO2707" s="43"/>
    </row>
    <row r="2708" spans="65:67" ht="18.75" customHeight="1">
      <c r="BM2708" s="1025"/>
      <c r="BO2708" s="43"/>
    </row>
    <row r="2709" spans="65:67" ht="18.75" customHeight="1">
      <c r="BM2709" s="1025"/>
      <c r="BO2709" s="43"/>
    </row>
    <row r="2710" spans="65:67" ht="18.75" customHeight="1">
      <c r="BM2710" s="1025"/>
      <c r="BO2710" s="43"/>
    </row>
    <row r="2711" spans="65:67" ht="18.75" customHeight="1">
      <c r="BM2711" s="1025"/>
      <c r="BO2711" s="43"/>
    </row>
    <row r="2712" spans="65:67" ht="18.75" customHeight="1">
      <c r="BM2712" s="1025"/>
      <c r="BO2712" s="43"/>
    </row>
    <row r="2713" spans="65:67" ht="18.75" customHeight="1">
      <c r="BM2713" s="1025"/>
      <c r="BO2713" s="43"/>
    </row>
    <row r="2714" spans="65:67" ht="18.75" customHeight="1">
      <c r="BM2714" s="1025"/>
      <c r="BO2714" s="43"/>
    </row>
    <row r="2715" spans="65:67" ht="18.75" customHeight="1">
      <c r="BM2715" s="1025"/>
      <c r="BO2715" s="43"/>
    </row>
    <row r="2716" spans="65:67" ht="18.75" customHeight="1">
      <c r="BM2716" s="1025"/>
      <c r="BO2716" s="43"/>
    </row>
    <row r="2717" spans="65:67" ht="18.75" customHeight="1">
      <c r="BM2717" s="1025"/>
      <c r="BO2717" s="43"/>
    </row>
    <row r="2718" spans="65:67" ht="18.75" customHeight="1">
      <c r="BM2718" s="1025"/>
      <c r="BO2718" s="43"/>
    </row>
    <row r="2719" spans="65:67" ht="18.75" customHeight="1">
      <c r="BM2719" s="1025"/>
      <c r="BO2719" s="43"/>
    </row>
    <row r="2720" spans="65:67" ht="18.75" customHeight="1">
      <c r="BM2720" s="1025"/>
      <c r="BO2720" s="43"/>
    </row>
    <row r="2721" spans="65:67" ht="18.75" customHeight="1">
      <c r="BM2721" s="1025"/>
      <c r="BO2721" s="43"/>
    </row>
    <row r="2722" spans="65:67" ht="18.75" customHeight="1">
      <c r="BM2722" s="1025"/>
      <c r="BO2722" s="43"/>
    </row>
    <row r="2723" spans="65:67" ht="18.75" customHeight="1">
      <c r="BM2723" s="1025"/>
      <c r="BO2723" s="43"/>
    </row>
    <row r="2724" spans="65:67" ht="18.75" customHeight="1">
      <c r="BM2724" s="1025"/>
      <c r="BO2724" s="43"/>
    </row>
    <row r="2725" spans="65:67" ht="18.75" customHeight="1">
      <c r="BM2725" s="1025"/>
      <c r="BO2725" s="43"/>
    </row>
    <row r="2726" spans="65:67" ht="18.75" customHeight="1">
      <c r="BM2726" s="1025"/>
      <c r="BO2726" s="43"/>
    </row>
    <row r="2727" spans="65:67" ht="18.75" customHeight="1">
      <c r="BM2727" s="1025"/>
      <c r="BO2727" s="43"/>
    </row>
    <row r="2728" spans="65:67" ht="18.75" customHeight="1">
      <c r="BM2728" s="1025"/>
      <c r="BO2728" s="43"/>
    </row>
    <row r="2729" spans="65:67" ht="18.75" customHeight="1">
      <c r="BM2729" s="1025"/>
      <c r="BO2729" s="43"/>
    </row>
    <row r="2730" spans="65:67" ht="18.75" customHeight="1">
      <c r="BM2730" s="1025"/>
      <c r="BO2730" s="43"/>
    </row>
    <row r="2731" spans="65:67" ht="18.75" customHeight="1">
      <c r="BM2731" s="1025"/>
      <c r="BO2731" s="43"/>
    </row>
    <row r="2732" spans="65:67" ht="18.75" customHeight="1">
      <c r="BM2732" s="1025"/>
      <c r="BO2732" s="43"/>
    </row>
    <row r="2733" spans="65:67" ht="18.75" customHeight="1">
      <c r="BM2733" s="1025"/>
      <c r="BO2733" s="43"/>
    </row>
    <row r="2734" spans="65:67" ht="18.75" customHeight="1">
      <c r="BM2734" s="1025"/>
      <c r="BO2734" s="43"/>
    </row>
    <row r="2735" spans="65:67" ht="18.75" customHeight="1">
      <c r="BM2735" s="1025"/>
      <c r="BO2735" s="43"/>
    </row>
    <row r="2736" spans="65:67" ht="18.75" customHeight="1">
      <c r="BM2736" s="1025"/>
      <c r="BO2736" s="43"/>
    </row>
    <row r="2737" spans="65:67" ht="18.75" customHeight="1">
      <c r="BM2737" s="1025"/>
      <c r="BO2737" s="43"/>
    </row>
    <row r="2738" spans="65:67" ht="18.75" customHeight="1">
      <c r="BM2738" s="1025"/>
      <c r="BO2738" s="43"/>
    </row>
    <row r="2739" spans="65:67" ht="18.75" customHeight="1">
      <c r="BM2739" s="1025"/>
      <c r="BO2739" s="43"/>
    </row>
    <row r="2740" spans="65:67" ht="18.75" customHeight="1">
      <c r="BM2740" s="1025"/>
      <c r="BO2740" s="43"/>
    </row>
    <row r="2741" spans="65:67" ht="18.75" customHeight="1">
      <c r="BM2741" s="1025"/>
      <c r="BO2741" s="43"/>
    </row>
    <row r="2742" spans="65:67" ht="18.75" customHeight="1">
      <c r="BM2742" s="1025"/>
      <c r="BO2742" s="43"/>
    </row>
    <row r="2743" spans="65:67" ht="18.75" customHeight="1">
      <c r="BM2743" s="1025"/>
      <c r="BO2743" s="43"/>
    </row>
    <row r="2744" spans="65:67" ht="18.75" customHeight="1">
      <c r="BM2744" s="1025"/>
      <c r="BO2744" s="43"/>
    </row>
    <row r="2745" spans="65:67" ht="18.75" customHeight="1">
      <c r="BM2745" s="1025"/>
      <c r="BO2745" s="43"/>
    </row>
    <row r="2746" spans="65:67" ht="18.75" customHeight="1">
      <c r="BM2746" s="1025"/>
      <c r="BO2746" s="43"/>
    </row>
    <row r="2747" spans="65:67" ht="18.75" customHeight="1">
      <c r="BM2747" s="1025"/>
      <c r="BO2747" s="43"/>
    </row>
    <row r="2748" spans="65:67" ht="18.75" customHeight="1">
      <c r="BM2748" s="1025"/>
      <c r="BO2748" s="43"/>
    </row>
    <row r="2749" spans="65:67" ht="18.75" customHeight="1">
      <c r="BM2749" s="1025"/>
      <c r="BO2749" s="43"/>
    </row>
    <row r="2750" spans="65:67" ht="18.75" customHeight="1">
      <c r="BM2750" s="1025"/>
      <c r="BO2750" s="43"/>
    </row>
    <row r="2751" spans="65:67" ht="18.75" customHeight="1">
      <c r="BM2751" s="1025"/>
      <c r="BO2751" s="43"/>
    </row>
    <row r="2752" spans="65:67" ht="18.75" customHeight="1">
      <c r="BM2752" s="1025"/>
      <c r="BO2752" s="43"/>
    </row>
    <row r="2753" spans="65:67" ht="18.75" customHeight="1">
      <c r="BM2753" s="1025"/>
      <c r="BO2753" s="43"/>
    </row>
    <row r="2754" spans="65:67" ht="18.75" customHeight="1">
      <c r="BM2754" s="1025"/>
      <c r="BO2754" s="43"/>
    </row>
    <row r="2755" spans="65:67" ht="18.75" customHeight="1">
      <c r="BM2755" s="1025"/>
      <c r="BO2755" s="43"/>
    </row>
    <row r="2756" spans="65:67" ht="18.75" customHeight="1">
      <c r="BM2756" s="1025"/>
      <c r="BO2756" s="43"/>
    </row>
    <row r="2757" spans="65:67" ht="18.75" customHeight="1">
      <c r="BM2757" s="1025"/>
      <c r="BO2757" s="43"/>
    </row>
    <row r="2758" spans="65:67" ht="18.75" customHeight="1">
      <c r="BM2758" s="1025"/>
      <c r="BO2758" s="43"/>
    </row>
    <row r="2759" spans="65:67" ht="18.75" customHeight="1">
      <c r="BM2759" s="1025"/>
      <c r="BO2759" s="43"/>
    </row>
    <row r="2760" spans="65:67" ht="18.75" customHeight="1">
      <c r="BM2760" s="1025"/>
      <c r="BO2760" s="43"/>
    </row>
    <row r="2761" spans="65:67" ht="18.75" customHeight="1">
      <c r="BM2761" s="1025"/>
      <c r="BO2761" s="43"/>
    </row>
    <row r="2762" spans="65:67" ht="18.75" customHeight="1">
      <c r="BM2762" s="1025"/>
      <c r="BO2762" s="43"/>
    </row>
    <row r="2763" spans="65:67" ht="18.75" customHeight="1">
      <c r="BM2763" s="1025"/>
      <c r="BO2763" s="43"/>
    </row>
    <row r="2764" spans="65:67" ht="18.75" customHeight="1">
      <c r="BM2764" s="1025"/>
      <c r="BO2764" s="43"/>
    </row>
    <row r="2765" spans="65:67" ht="18.75" customHeight="1">
      <c r="BM2765" s="1025"/>
      <c r="BO2765" s="43"/>
    </row>
    <row r="2766" spans="65:67" ht="18.75" customHeight="1">
      <c r="BM2766" s="1025"/>
      <c r="BO2766" s="43"/>
    </row>
    <row r="2767" spans="65:67" ht="18.75" customHeight="1">
      <c r="BM2767" s="1025"/>
      <c r="BO2767" s="43"/>
    </row>
    <row r="2768" spans="65:67" ht="18.75" customHeight="1">
      <c r="BM2768" s="1025"/>
      <c r="BO2768" s="43"/>
    </row>
    <row r="2769" spans="65:67" ht="18.75" customHeight="1">
      <c r="BM2769" s="1025"/>
      <c r="BO2769" s="43"/>
    </row>
    <row r="2770" spans="65:67" ht="18.75" customHeight="1">
      <c r="BM2770" s="1025"/>
      <c r="BO2770" s="43"/>
    </row>
    <row r="2771" spans="65:67" ht="18.75" customHeight="1">
      <c r="BM2771" s="1025"/>
      <c r="BO2771" s="43"/>
    </row>
    <row r="2772" spans="65:67" ht="18.75" customHeight="1">
      <c r="BM2772" s="1025"/>
      <c r="BO2772" s="43"/>
    </row>
    <row r="2773" spans="65:67" ht="18.75" customHeight="1">
      <c r="BM2773" s="1025"/>
      <c r="BO2773" s="43"/>
    </row>
    <row r="2774" spans="65:67" ht="18.75" customHeight="1">
      <c r="BM2774" s="1025"/>
      <c r="BO2774" s="43"/>
    </row>
    <row r="2775" spans="65:67" ht="18.75" customHeight="1">
      <c r="BM2775" s="1025"/>
      <c r="BO2775" s="43"/>
    </row>
    <row r="2776" spans="65:67" ht="18.75" customHeight="1">
      <c r="BM2776" s="1025"/>
      <c r="BO2776" s="43"/>
    </row>
    <row r="2777" spans="65:67" ht="18.75" customHeight="1">
      <c r="BM2777" s="1025"/>
      <c r="BO2777" s="43"/>
    </row>
    <row r="2778" spans="65:67" ht="18.75" customHeight="1">
      <c r="BM2778" s="1025"/>
      <c r="BO2778" s="43"/>
    </row>
    <row r="2779" spans="65:67" ht="18.75" customHeight="1">
      <c r="BM2779" s="1025"/>
      <c r="BO2779" s="43"/>
    </row>
    <row r="2780" spans="65:67" ht="18.75" customHeight="1">
      <c r="BM2780" s="1025"/>
      <c r="BO2780" s="43"/>
    </row>
    <row r="2781" spans="65:67" ht="18.75" customHeight="1">
      <c r="BM2781" s="1025"/>
      <c r="BO2781" s="43"/>
    </row>
    <row r="2782" spans="65:67" ht="18.75" customHeight="1">
      <c r="BM2782" s="1025"/>
      <c r="BO2782" s="43"/>
    </row>
    <row r="2783" spans="65:67" ht="18.75" customHeight="1">
      <c r="BM2783" s="1025"/>
      <c r="BO2783" s="43"/>
    </row>
    <row r="2784" spans="65:67" ht="18.75" customHeight="1">
      <c r="BM2784" s="1025"/>
      <c r="BO2784" s="43"/>
    </row>
    <row r="2785" spans="65:67" ht="18.75" customHeight="1">
      <c r="BM2785" s="1025"/>
      <c r="BO2785" s="43"/>
    </row>
    <row r="2786" spans="65:67" ht="18.75" customHeight="1">
      <c r="BM2786" s="1025"/>
      <c r="BO2786" s="43"/>
    </row>
    <row r="2787" spans="65:67" ht="18.75" customHeight="1">
      <c r="BM2787" s="1025"/>
      <c r="BO2787" s="43"/>
    </row>
    <row r="2788" spans="65:67" ht="18.75" customHeight="1">
      <c r="BM2788" s="1025"/>
      <c r="BO2788" s="43"/>
    </row>
    <row r="2789" spans="65:67" ht="18.75" customHeight="1">
      <c r="BM2789" s="1025"/>
      <c r="BO2789" s="43"/>
    </row>
    <row r="2790" spans="65:67" ht="18.75" customHeight="1">
      <c r="BM2790" s="1025"/>
      <c r="BO2790" s="43"/>
    </row>
    <row r="2791" spans="65:67" ht="18.75" customHeight="1">
      <c r="BM2791" s="1025"/>
      <c r="BO2791" s="43"/>
    </row>
    <row r="2792" spans="65:67" ht="18.75" customHeight="1">
      <c r="BM2792" s="1025"/>
      <c r="BO2792" s="43"/>
    </row>
    <row r="2793" spans="65:67" ht="18.75" customHeight="1">
      <c r="BM2793" s="1025"/>
      <c r="BO2793" s="43"/>
    </row>
    <row r="2794" spans="65:67" ht="18.75" customHeight="1">
      <c r="BM2794" s="1025"/>
      <c r="BO2794" s="43"/>
    </row>
    <row r="2795" spans="65:67" ht="18.75" customHeight="1">
      <c r="BM2795" s="1025"/>
      <c r="BO2795" s="43"/>
    </row>
    <row r="2796" spans="65:67" ht="18.75" customHeight="1">
      <c r="BM2796" s="1025"/>
      <c r="BO2796" s="43"/>
    </row>
    <row r="2797" spans="65:67" ht="18.75" customHeight="1">
      <c r="BM2797" s="1025"/>
      <c r="BO2797" s="43"/>
    </row>
    <row r="2798" spans="65:67" ht="18.75" customHeight="1">
      <c r="BM2798" s="1025"/>
      <c r="BO2798" s="43"/>
    </row>
    <row r="2799" spans="65:67" ht="18.75" customHeight="1">
      <c r="BM2799" s="1025"/>
      <c r="BO2799" s="43"/>
    </row>
    <row r="2800" spans="65:67" ht="18.75" customHeight="1">
      <c r="BM2800" s="1025"/>
      <c r="BO2800" s="43"/>
    </row>
    <row r="2801" spans="65:67" ht="18.75" customHeight="1">
      <c r="BM2801" s="1025"/>
      <c r="BO2801" s="43"/>
    </row>
    <row r="2802" spans="65:67" ht="18.75" customHeight="1">
      <c r="BM2802" s="1025"/>
      <c r="BO2802" s="43"/>
    </row>
    <row r="2803" spans="65:67" ht="18.75" customHeight="1">
      <c r="BM2803" s="1025"/>
      <c r="BO2803" s="43"/>
    </row>
    <row r="2804" spans="65:67" ht="18.75" customHeight="1">
      <c r="BM2804" s="1025"/>
      <c r="BO2804" s="43"/>
    </row>
    <row r="2805" spans="65:67" ht="18.75" customHeight="1">
      <c r="BM2805" s="1025"/>
      <c r="BO2805" s="43"/>
    </row>
    <row r="2806" spans="65:67" ht="18.75" customHeight="1">
      <c r="BM2806" s="1025"/>
      <c r="BO2806" s="43"/>
    </row>
    <row r="2807" spans="65:67" ht="18.75" customHeight="1">
      <c r="BM2807" s="1025"/>
      <c r="BO2807" s="43"/>
    </row>
    <row r="2808" spans="65:67" ht="18.75" customHeight="1">
      <c r="BM2808" s="1025"/>
      <c r="BO2808" s="43"/>
    </row>
    <row r="2809" spans="65:67" ht="18.75" customHeight="1">
      <c r="BM2809" s="1025"/>
      <c r="BO2809" s="43"/>
    </row>
    <row r="2810" spans="65:67" ht="18.75" customHeight="1">
      <c r="BM2810" s="1025"/>
      <c r="BO2810" s="43"/>
    </row>
    <row r="2811" spans="65:67" ht="18.75" customHeight="1">
      <c r="BM2811" s="1025"/>
      <c r="BO2811" s="43"/>
    </row>
    <row r="2812" spans="65:67" ht="18.75" customHeight="1">
      <c r="BM2812" s="1025"/>
      <c r="BO2812" s="43"/>
    </row>
    <row r="2813" spans="65:67" ht="18.75" customHeight="1">
      <c r="BM2813" s="1025"/>
      <c r="BO2813" s="43"/>
    </row>
    <row r="2814" spans="65:67" ht="18.75" customHeight="1">
      <c r="BM2814" s="1025"/>
      <c r="BO2814" s="43"/>
    </row>
    <row r="2815" spans="65:67" ht="18.75" customHeight="1">
      <c r="BM2815" s="1025"/>
      <c r="BO2815" s="43"/>
    </row>
    <row r="2816" spans="65:67" ht="18.75" customHeight="1">
      <c r="BM2816" s="1025"/>
      <c r="BO2816" s="43"/>
    </row>
    <row r="2817" spans="65:67" ht="18.75" customHeight="1">
      <c r="BM2817" s="1025"/>
      <c r="BO2817" s="43"/>
    </row>
    <row r="2818" spans="65:67" ht="18.75" customHeight="1">
      <c r="BM2818" s="1025"/>
      <c r="BO2818" s="43"/>
    </row>
    <row r="2819" spans="65:67" ht="18.75" customHeight="1">
      <c r="BM2819" s="1025"/>
      <c r="BO2819" s="43"/>
    </row>
    <row r="2820" spans="65:67" ht="18.75" customHeight="1">
      <c r="BM2820" s="1025"/>
      <c r="BO2820" s="43"/>
    </row>
    <row r="2821" spans="65:67" ht="18.75" customHeight="1">
      <c r="BM2821" s="1025"/>
      <c r="BO2821" s="43"/>
    </row>
    <row r="2822" spans="65:67" ht="18.75" customHeight="1">
      <c r="BM2822" s="1025"/>
      <c r="BO2822" s="43"/>
    </row>
    <row r="2823" spans="65:67" ht="18.75" customHeight="1">
      <c r="BM2823" s="1025"/>
      <c r="BO2823" s="43"/>
    </row>
    <row r="2824" spans="65:67" ht="18.75" customHeight="1">
      <c r="BM2824" s="1025"/>
      <c r="BO2824" s="43"/>
    </row>
    <row r="2825" spans="65:67" ht="18.75" customHeight="1">
      <c r="BM2825" s="1025"/>
      <c r="BO2825" s="43"/>
    </row>
    <row r="2826" spans="65:67" ht="18.75" customHeight="1">
      <c r="BM2826" s="1025"/>
      <c r="BO2826" s="43"/>
    </row>
    <row r="2827" spans="65:67" ht="18.75" customHeight="1">
      <c r="BM2827" s="1025"/>
      <c r="BO2827" s="43"/>
    </row>
    <row r="2828" spans="65:67" ht="18.75" customHeight="1">
      <c r="BM2828" s="1025"/>
      <c r="BO2828" s="43"/>
    </row>
    <row r="2829" spans="65:67" ht="18.75" customHeight="1">
      <c r="BM2829" s="1025"/>
      <c r="BO2829" s="43"/>
    </row>
    <row r="2830" spans="65:67" ht="18.75" customHeight="1">
      <c r="BM2830" s="1025"/>
      <c r="BO2830" s="43"/>
    </row>
    <row r="2831" spans="65:67" ht="18.75" customHeight="1">
      <c r="BM2831" s="1025"/>
      <c r="BO2831" s="43"/>
    </row>
    <row r="2832" spans="65:67" ht="18.75" customHeight="1">
      <c r="BM2832" s="1025"/>
      <c r="BO2832" s="43"/>
    </row>
    <row r="2833" spans="65:67" ht="18.75" customHeight="1">
      <c r="BM2833" s="1025"/>
      <c r="BO2833" s="43"/>
    </row>
    <row r="2834" spans="65:67" ht="18.75" customHeight="1">
      <c r="BM2834" s="1025"/>
      <c r="BO2834" s="43"/>
    </row>
    <row r="2835" spans="65:67" ht="18.75" customHeight="1">
      <c r="BM2835" s="1025"/>
      <c r="BO2835" s="43"/>
    </row>
    <row r="2836" spans="65:67" ht="18.75" customHeight="1">
      <c r="BM2836" s="1025"/>
      <c r="BO2836" s="43"/>
    </row>
    <row r="2837" spans="65:67" ht="18.75" customHeight="1">
      <c r="BM2837" s="1025"/>
      <c r="BO2837" s="43"/>
    </row>
    <row r="2838" spans="65:67" ht="18.75" customHeight="1">
      <c r="BM2838" s="1025"/>
      <c r="BO2838" s="43"/>
    </row>
    <row r="2839" spans="65:67" ht="18.75" customHeight="1">
      <c r="BM2839" s="1025"/>
      <c r="BO2839" s="43"/>
    </row>
    <row r="2840" spans="65:67" ht="18.75" customHeight="1">
      <c r="BM2840" s="1025"/>
      <c r="BO2840" s="43"/>
    </row>
    <row r="2841" spans="65:67" ht="18.75" customHeight="1">
      <c r="BM2841" s="1025"/>
      <c r="BO2841" s="43"/>
    </row>
    <row r="2842" spans="65:67" ht="18.75" customHeight="1">
      <c r="BM2842" s="1025"/>
      <c r="BO2842" s="43"/>
    </row>
    <row r="2843" spans="65:67" ht="18.75" customHeight="1">
      <c r="BM2843" s="1025"/>
      <c r="BO2843" s="43"/>
    </row>
    <row r="2844" spans="65:67" ht="18.75" customHeight="1">
      <c r="BM2844" s="1025"/>
      <c r="BO2844" s="43"/>
    </row>
    <row r="2845" spans="65:67" ht="18.75" customHeight="1">
      <c r="BM2845" s="1025"/>
      <c r="BO2845" s="43"/>
    </row>
    <row r="2846" spans="65:67" ht="18.75" customHeight="1">
      <c r="BM2846" s="1025"/>
      <c r="BO2846" s="43"/>
    </row>
    <row r="2847" spans="65:67" ht="18.75" customHeight="1">
      <c r="BM2847" s="1025"/>
      <c r="BO2847" s="43"/>
    </row>
    <row r="2848" spans="65:67" ht="18.75" customHeight="1">
      <c r="BM2848" s="1025"/>
      <c r="BO2848" s="43"/>
    </row>
    <row r="2849" spans="65:67" ht="18.75" customHeight="1">
      <c r="BM2849" s="1025"/>
      <c r="BO2849" s="43"/>
    </row>
    <row r="2850" spans="65:67" ht="18.75" customHeight="1">
      <c r="BM2850" s="1025"/>
      <c r="BO2850" s="43"/>
    </row>
    <row r="2851" spans="65:67" ht="18.75" customHeight="1">
      <c r="BM2851" s="1025"/>
      <c r="BO2851" s="43"/>
    </row>
    <row r="2852" spans="65:67" ht="18.75" customHeight="1">
      <c r="BM2852" s="1025"/>
      <c r="BO2852" s="43"/>
    </row>
    <row r="2853" spans="65:67" ht="18.75" customHeight="1">
      <c r="BM2853" s="1025"/>
      <c r="BO2853" s="43"/>
    </row>
    <row r="2854" spans="65:67" ht="18.75" customHeight="1">
      <c r="BM2854" s="1025"/>
      <c r="BO2854" s="43"/>
    </row>
    <row r="2855" spans="65:67" ht="18.75" customHeight="1">
      <c r="BM2855" s="1025"/>
      <c r="BO2855" s="43"/>
    </row>
    <row r="2856" spans="65:67" ht="18.75" customHeight="1">
      <c r="BM2856" s="1025"/>
      <c r="BO2856" s="43"/>
    </row>
    <row r="2857" spans="65:67" ht="18.75" customHeight="1">
      <c r="BM2857" s="1025"/>
      <c r="BO2857" s="43"/>
    </row>
    <row r="2858" spans="65:67" ht="18.75" customHeight="1">
      <c r="BM2858" s="1025"/>
      <c r="BO2858" s="43"/>
    </row>
    <row r="2859" spans="65:67" ht="18.75" customHeight="1">
      <c r="BM2859" s="1025"/>
      <c r="BO2859" s="43"/>
    </row>
    <row r="2860" spans="65:67" ht="18.75" customHeight="1">
      <c r="BM2860" s="1025"/>
      <c r="BO2860" s="43"/>
    </row>
    <row r="2861" spans="65:67" ht="18.75" customHeight="1">
      <c r="BM2861" s="1025"/>
      <c r="BO2861" s="43"/>
    </row>
    <row r="2862" spans="65:67" ht="18.75" customHeight="1">
      <c r="BM2862" s="1025"/>
      <c r="BO2862" s="43"/>
    </row>
    <row r="2863" spans="65:67" ht="18.75" customHeight="1">
      <c r="BM2863" s="1025"/>
      <c r="BO2863" s="43"/>
    </row>
    <row r="2864" spans="65:67" ht="18.75" customHeight="1">
      <c r="BM2864" s="1025"/>
      <c r="BO2864" s="43"/>
    </row>
    <row r="2865" spans="65:67" ht="18.75" customHeight="1">
      <c r="BM2865" s="1025"/>
      <c r="BO2865" s="43"/>
    </row>
    <row r="2866" spans="65:67" ht="18.75" customHeight="1">
      <c r="BM2866" s="1025"/>
      <c r="BO2866" s="43"/>
    </row>
    <row r="2867" spans="65:67" ht="18.75" customHeight="1">
      <c r="BM2867" s="1025"/>
      <c r="BO2867" s="43"/>
    </row>
    <row r="2868" spans="65:67" ht="18.75" customHeight="1">
      <c r="BM2868" s="1025"/>
      <c r="BO2868" s="43"/>
    </row>
    <row r="2869" spans="65:67" ht="18.75" customHeight="1">
      <c r="BM2869" s="1025"/>
      <c r="BO2869" s="43"/>
    </row>
    <row r="2870" spans="65:67" ht="18.75" customHeight="1">
      <c r="BM2870" s="1025"/>
      <c r="BO2870" s="43"/>
    </row>
    <row r="2871" spans="65:67" ht="18.75" customHeight="1">
      <c r="BM2871" s="1025"/>
      <c r="BO2871" s="43"/>
    </row>
    <row r="2872" spans="65:67" ht="18.75" customHeight="1">
      <c r="BM2872" s="1025"/>
      <c r="BO2872" s="43"/>
    </row>
    <row r="2873" spans="65:67" ht="18.75" customHeight="1">
      <c r="BM2873" s="1025"/>
      <c r="BO2873" s="43"/>
    </row>
    <row r="2874" spans="65:67" ht="18.75" customHeight="1">
      <c r="BM2874" s="1025"/>
      <c r="BO2874" s="43"/>
    </row>
    <row r="2875" spans="65:67" ht="18.75" customHeight="1">
      <c r="BM2875" s="1025"/>
      <c r="BO2875" s="43"/>
    </row>
    <row r="2876" spans="65:67" ht="18.75" customHeight="1">
      <c r="BM2876" s="1025"/>
      <c r="BO2876" s="43"/>
    </row>
    <row r="2877" spans="65:67" ht="18.75" customHeight="1">
      <c r="BM2877" s="1025"/>
      <c r="BO2877" s="43"/>
    </row>
    <row r="2878" spans="65:67" ht="18.75" customHeight="1">
      <c r="BM2878" s="1025"/>
      <c r="BO2878" s="43"/>
    </row>
    <row r="2879" spans="65:67" ht="18.75" customHeight="1">
      <c r="BM2879" s="1025"/>
      <c r="BO2879" s="43"/>
    </row>
    <row r="2880" spans="65:67" ht="18.75" customHeight="1">
      <c r="BM2880" s="1025"/>
      <c r="BO2880" s="43"/>
    </row>
    <row r="2881" spans="65:67" ht="18.75" customHeight="1">
      <c r="BM2881" s="1025"/>
      <c r="BO2881" s="43"/>
    </row>
    <row r="2882" spans="65:67" ht="18.75" customHeight="1">
      <c r="BM2882" s="1025"/>
      <c r="BO2882" s="43"/>
    </row>
    <row r="2883" spans="65:67" ht="18.75" customHeight="1">
      <c r="BM2883" s="1025"/>
      <c r="BO2883" s="43"/>
    </row>
    <row r="2884" spans="65:67" ht="18.75" customHeight="1">
      <c r="BM2884" s="1025"/>
      <c r="BO2884" s="43"/>
    </row>
    <row r="2885" spans="65:67" ht="18.75" customHeight="1">
      <c r="BM2885" s="1025"/>
      <c r="BO2885" s="43"/>
    </row>
    <row r="2886" spans="65:67" ht="18.75" customHeight="1">
      <c r="BM2886" s="1025"/>
      <c r="BO2886" s="43"/>
    </row>
    <row r="2887" spans="65:67" ht="18.75" customHeight="1">
      <c r="BM2887" s="1025"/>
      <c r="BO2887" s="43"/>
    </row>
    <row r="2888" spans="65:67" ht="18.75" customHeight="1">
      <c r="BM2888" s="1025"/>
      <c r="BO2888" s="43"/>
    </row>
    <row r="2889" spans="65:67" ht="18.75" customHeight="1">
      <c r="BM2889" s="1025"/>
      <c r="BO2889" s="43"/>
    </row>
    <row r="2890" spans="65:67" ht="18.75" customHeight="1">
      <c r="BM2890" s="1025"/>
      <c r="BO2890" s="43"/>
    </row>
    <row r="2891" spans="65:67" ht="18.75" customHeight="1">
      <c r="BM2891" s="1025"/>
      <c r="BO2891" s="43"/>
    </row>
    <row r="2892" spans="65:67" ht="18.75" customHeight="1">
      <c r="BM2892" s="1025"/>
      <c r="BO2892" s="43"/>
    </row>
    <row r="2893" spans="65:67" ht="18.75" customHeight="1">
      <c r="BM2893" s="1025"/>
      <c r="BO2893" s="43"/>
    </row>
    <row r="2894" spans="65:67" ht="18.75" customHeight="1">
      <c r="BM2894" s="1025"/>
      <c r="BO2894" s="43"/>
    </row>
    <row r="2895" spans="65:67" ht="18.75" customHeight="1">
      <c r="BM2895" s="1025"/>
      <c r="BO2895" s="43"/>
    </row>
    <row r="2896" spans="65:67" ht="18.75" customHeight="1">
      <c r="BM2896" s="1025"/>
      <c r="BO2896" s="43"/>
    </row>
    <row r="2897" spans="65:67" ht="18.75" customHeight="1">
      <c r="BM2897" s="1025"/>
      <c r="BO2897" s="43"/>
    </row>
    <row r="2898" spans="65:67" ht="18.75" customHeight="1">
      <c r="BM2898" s="1025"/>
      <c r="BO2898" s="43"/>
    </row>
    <row r="2899" spans="65:67" ht="18.75" customHeight="1">
      <c r="BM2899" s="1025"/>
      <c r="BO2899" s="43"/>
    </row>
    <row r="2900" spans="65:67" ht="18.75" customHeight="1">
      <c r="BM2900" s="1025"/>
      <c r="BO2900" s="43"/>
    </row>
    <row r="2901" spans="65:67" ht="18.75" customHeight="1">
      <c r="BM2901" s="1025"/>
      <c r="BO2901" s="43"/>
    </row>
    <row r="2902" spans="65:67" ht="18.75" customHeight="1">
      <c r="BM2902" s="1025"/>
      <c r="BO2902" s="43"/>
    </row>
    <row r="2903" spans="65:67" ht="18.75" customHeight="1">
      <c r="BM2903" s="1025"/>
      <c r="BO2903" s="43"/>
    </row>
    <row r="2904" spans="65:67" ht="18.75" customHeight="1">
      <c r="BM2904" s="1025"/>
      <c r="BO2904" s="43"/>
    </row>
    <row r="2905" spans="65:67" ht="18.75" customHeight="1">
      <c r="BM2905" s="1025"/>
      <c r="BO2905" s="43"/>
    </row>
    <row r="2906" spans="65:67" ht="18.75" customHeight="1">
      <c r="BM2906" s="1025"/>
      <c r="BO2906" s="43"/>
    </row>
    <row r="2907" spans="65:67" ht="18.75" customHeight="1">
      <c r="BM2907" s="1025"/>
      <c r="BO2907" s="43"/>
    </row>
    <row r="2908" spans="65:67" ht="18.75" customHeight="1">
      <c r="BM2908" s="1025"/>
      <c r="BO2908" s="43"/>
    </row>
    <row r="2909" spans="65:67" ht="18.75" customHeight="1">
      <c r="BM2909" s="1025"/>
      <c r="BO2909" s="43"/>
    </row>
    <row r="2910" spans="65:67" ht="18.75" customHeight="1">
      <c r="BM2910" s="1025"/>
      <c r="BO2910" s="43"/>
    </row>
    <row r="2911" spans="65:67" ht="18.75" customHeight="1">
      <c r="BM2911" s="1025"/>
      <c r="BO2911" s="43"/>
    </row>
    <row r="2912" spans="65:67" ht="18.75" customHeight="1">
      <c r="BM2912" s="1025"/>
      <c r="BO2912" s="43"/>
    </row>
    <row r="2913" spans="65:67" ht="18.75" customHeight="1">
      <c r="BM2913" s="1025"/>
      <c r="BO2913" s="43"/>
    </row>
    <row r="2914" spans="65:67" ht="18.75" customHeight="1">
      <c r="BM2914" s="1025"/>
      <c r="BO2914" s="43"/>
    </row>
    <row r="2915" spans="65:67" ht="18.75" customHeight="1">
      <c r="BM2915" s="1025"/>
      <c r="BO2915" s="43"/>
    </row>
    <row r="2916" spans="65:67" ht="18.75" customHeight="1">
      <c r="BM2916" s="1025"/>
      <c r="BO2916" s="43"/>
    </row>
    <row r="2917" spans="65:67" ht="18.75" customHeight="1">
      <c r="BM2917" s="1025"/>
      <c r="BO2917" s="43"/>
    </row>
    <row r="2918" spans="65:67" ht="18.75" customHeight="1">
      <c r="BM2918" s="1025"/>
      <c r="BO2918" s="43"/>
    </row>
    <row r="2919" spans="65:67" ht="18.75" customHeight="1">
      <c r="BM2919" s="1025"/>
      <c r="BO2919" s="43"/>
    </row>
    <row r="2920" spans="65:67" ht="18.75" customHeight="1">
      <c r="BM2920" s="1025"/>
      <c r="BO2920" s="43"/>
    </row>
    <row r="2921" spans="65:67" ht="18.75" customHeight="1">
      <c r="BM2921" s="1025"/>
      <c r="BO2921" s="43"/>
    </row>
    <row r="2922" spans="65:67" ht="18.75" customHeight="1">
      <c r="BM2922" s="1025"/>
      <c r="BO2922" s="43"/>
    </row>
    <row r="2923" spans="65:67" ht="18.75" customHeight="1">
      <c r="BM2923" s="1025"/>
      <c r="BO2923" s="43"/>
    </row>
    <row r="2924" spans="65:67" ht="18.75" customHeight="1">
      <c r="BM2924" s="1025"/>
      <c r="BO2924" s="43"/>
    </row>
    <row r="2925" spans="65:67" ht="18.75" customHeight="1">
      <c r="BM2925" s="1025"/>
      <c r="BO2925" s="43"/>
    </row>
    <row r="2926" spans="65:67" ht="18.75" customHeight="1">
      <c r="BM2926" s="1025"/>
      <c r="BO2926" s="43"/>
    </row>
    <row r="2927" spans="65:67" ht="18.75" customHeight="1">
      <c r="BM2927" s="1025"/>
      <c r="BO2927" s="43"/>
    </row>
    <row r="2928" spans="65:67" ht="18.75" customHeight="1">
      <c r="BM2928" s="1025"/>
      <c r="BO2928" s="43"/>
    </row>
    <row r="2929" spans="65:67" ht="18.75" customHeight="1">
      <c r="BM2929" s="1025"/>
      <c r="BO2929" s="43"/>
    </row>
    <row r="2930" spans="65:67" ht="18.75" customHeight="1">
      <c r="BM2930" s="1025"/>
      <c r="BO2930" s="43"/>
    </row>
    <row r="2931" spans="65:67" ht="18.75" customHeight="1">
      <c r="BM2931" s="1025"/>
      <c r="BO2931" s="43"/>
    </row>
    <row r="2932" spans="65:67" ht="18.75" customHeight="1">
      <c r="BM2932" s="1025"/>
      <c r="BO2932" s="43"/>
    </row>
    <row r="2933" spans="65:67" ht="18.75" customHeight="1">
      <c r="BM2933" s="1025"/>
      <c r="BO2933" s="43"/>
    </row>
    <row r="2934" spans="65:67" ht="18.75" customHeight="1">
      <c r="BM2934" s="1025"/>
      <c r="BO2934" s="43"/>
    </row>
    <row r="2935" spans="65:67" ht="18.75" customHeight="1">
      <c r="BM2935" s="1025"/>
      <c r="BO2935" s="43"/>
    </row>
    <row r="2936" spans="65:67" ht="18.75" customHeight="1">
      <c r="BM2936" s="1025"/>
      <c r="BO2936" s="43"/>
    </row>
    <row r="2937" spans="65:67" ht="18.75" customHeight="1">
      <c r="BM2937" s="1025"/>
      <c r="BO2937" s="43"/>
    </row>
    <row r="2938" spans="65:67" ht="18.75" customHeight="1">
      <c r="BM2938" s="1025"/>
      <c r="BO2938" s="43"/>
    </row>
    <row r="2939" spans="65:67" ht="18.75" customHeight="1">
      <c r="BM2939" s="1025"/>
      <c r="BO2939" s="43"/>
    </row>
    <row r="2940" spans="65:67" ht="18.75" customHeight="1">
      <c r="BM2940" s="1025"/>
      <c r="BO2940" s="43"/>
    </row>
    <row r="2941" spans="65:67" ht="18.75" customHeight="1">
      <c r="BM2941" s="1025"/>
      <c r="BO2941" s="43"/>
    </row>
    <row r="2942" spans="65:67" ht="18.75" customHeight="1">
      <c r="BM2942" s="1025"/>
      <c r="BO2942" s="43"/>
    </row>
    <row r="2943" spans="65:67" ht="18.75" customHeight="1">
      <c r="BM2943" s="1025"/>
      <c r="BO2943" s="43"/>
    </row>
    <row r="2944" spans="65:67" ht="18.75" customHeight="1">
      <c r="BM2944" s="1025"/>
      <c r="BO2944" s="43"/>
    </row>
    <row r="2945" spans="65:67" ht="18.75" customHeight="1">
      <c r="BM2945" s="1025"/>
      <c r="BO2945" s="43"/>
    </row>
    <row r="2946" spans="65:67" ht="18.75" customHeight="1">
      <c r="BM2946" s="1025"/>
      <c r="BO2946" s="43"/>
    </row>
    <row r="2947" spans="65:67" ht="18.75" customHeight="1">
      <c r="BM2947" s="1025"/>
      <c r="BO2947" s="43"/>
    </row>
    <row r="2948" spans="65:67" ht="18.75" customHeight="1">
      <c r="BM2948" s="1025"/>
      <c r="BO2948" s="43"/>
    </row>
    <row r="2949" spans="65:67" ht="18.75" customHeight="1">
      <c r="BM2949" s="1025"/>
      <c r="BO2949" s="43"/>
    </row>
    <row r="2950" spans="65:67" ht="18.75" customHeight="1">
      <c r="BM2950" s="1025"/>
      <c r="BO2950" s="43"/>
    </row>
    <row r="2951" spans="65:67" ht="18.75" customHeight="1">
      <c r="BM2951" s="1025"/>
      <c r="BO2951" s="43"/>
    </row>
    <row r="2952" spans="65:67" ht="18.75" customHeight="1">
      <c r="BM2952" s="1025"/>
      <c r="BO2952" s="43"/>
    </row>
    <row r="2953" spans="65:67" ht="18.75" customHeight="1">
      <c r="BM2953" s="1025"/>
      <c r="BO2953" s="43"/>
    </row>
    <row r="2954" spans="65:67" ht="18.75" customHeight="1">
      <c r="BM2954" s="1025"/>
      <c r="BO2954" s="43"/>
    </row>
    <row r="2955" spans="65:67" ht="18.75" customHeight="1">
      <c r="BM2955" s="1025"/>
      <c r="BO2955" s="43"/>
    </row>
    <row r="2956" spans="65:67" ht="18.75" customHeight="1">
      <c r="BM2956" s="1025"/>
      <c r="BO2956" s="43"/>
    </row>
    <row r="2957" spans="65:67" ht="18.75" customHeight="1">
      <c r="BM2957" s="1025"/>
      <c r="BO2957" s="43"/>
    </row>
    <row r="2958" spans="65:67" ht="18.75" customHeight="1">
      <c r="BM2958" s="1025"/>
      <c r="BO2958" s="43"/>
    </row>
    <row r="2959" spans="65:67" ht="18.75" customHeight="1">
      <c r="BM2959" s="1025"/>
      <c r="BO2959" s="43"/>
    </row>
    <row r="2960" spans="65:67" ht="18.75" customHeight="1">
      <c r="BM2960" s="1025"/>
      <c r="BO2960" s="43"/>
    </row>
    <row r="2961" spans="65:67" ht="18.75" customHeight="1">
      <c r="BM2961" s="1025"/>
      <c r="BO2961" s="43"/>
    </row>
    <row r="2962" spans="65:67" ht="18.75" customHeight="1">
      <c r="BM2962" s="1025"/>
      <c r="BO2962" s="43"/>
    </row>
    <row r="2963" spans="65:67" ht="18.75" customHeight="1">
      <c r="BM2963" s="1025"/>
      <c r="BO2963" s="43"/>
    </row>
    <row r="2964" spans="65:67" ht="18.75" customHeight="1">
      <c r="BM2964" s="1025"/>
      <c r="BO2964" s="43"/>
    </row>
    <row r="2965" spans="65:67" ht="18.75" customHeight="1">
      <c r="BM2965" s="1025"/>
      <c r="BO2965" s="43"/>
    </row>
    <row r="2966" spans="65:67" ht="18.75" customHeight="1">
      <c r="BM2966" s="1025"/>
      <c r="BO2966" s="43"/>
    </row>
    <row r="2967" spans="65:67" ht="18.75" customHeight="1">
      <c r="BM2967" s="1025"/>
      <c r="BO2967" s="43"/>
    </row>
    <row r="2968" spans="65:67" ht="18.75" customHeight="1">
      <c r="BM2968" s="1025"/>
      <c r="BO2968" s="43"/>
    </row>
    <row r="2969" spans="65:67" ht="18.75" customHeight="1">
      <c r="BM2969" s="1025"/>
      <c r="BO2969" s="43"/>
    </row>
    <row r="2970" spans="65:67" ht="18.75" customHeight="1">
      <c r="BM2970" s="1025"/>
      <c r="BO2970" s="43"/>
    </row>
    <row r="2971" spans="65:67" ht="18.75" customHeight="1">
      <c r="BM2971" s="1025"/>
      <c r="BO2971" s="43"/>
    </row>
    <row r="2972" spans="65:67" ht="18.75" customHeight="1">
      <c r="BM2972" s="1025"/>
      <c r="BO2972" s="43"/>
    </row>
    <row r="2973" spans="65:67" ht="18.75" customHeight="1">
      <c r="BM2973" s="1025"/>
      <c r="BO2973" s="43"/>
    </row>
    <row r="2974" spans="65:67" ht="18.75" customHeight="1">
      <c r="BM2974" s="1025"/>
      <c r="BO2974" s="43"/>
    </row>
    <row r="2975" spans="65:67" ht="18.75" customHeight="1">
      <c r="BM2975" s="1025"/>
      <c r="BO2975" s="43"/>
    </row>
    <row r="2976" spans="65:67" ht="18.75" customHeight="1">
      <c r="BM2976" s="1025"/>
      <c r="BO2976" s="43"/>
    </row>
    <row r="2977" spans="65:67" ht="18.75" customHeight="1">
      <c r="BM2977" s="1025"/>
      <c r="BO2977" s="43"/>
    </row>
    <row r="2978" spans="65:67" ht="18.75" customHeight="1">
      <c r="BM2978" s="1025"/>
      <c r="BO2978" s="43"/>
    </row>
    <row r="2979" spans="65:67" ht="18.75" customHeight="1">
      <c r="BM2979" s="1025"/>
      <c r="BO2979" s="43"/>
    </row>
    <row r="2980" spans="65:67" ht="18.75" customHeight="1">
      <c r="BM2980" s="1025"/>
      <c r="BO2980" s="43"/>
    </row>
    <row r="2981" spans="65:67" ht="18.75" customHeight="1">
      <c r="BM2981" s="1025"/>
      <c r="BO2981" s="43"/>
    </row>
    <row r="2982" spans="65:67" ht="18.75" customHeight="1">
      <c r="BM2982" s="1025"/>
      <c r="BO2982" s="43"/>
    </row>
    <row r="2983" spans="65:67" ht="18.75" customHeight="1">
      <c r="BM2983" s="1025"/>
      <c r="BO2983" s="43"/>
    </row>
    <row r="2984" spans="65:67" ht="18.75" customHeight="1">
      <c r="BM2984" s="1025"/>
      <c r="BO2984" s="43"/>
    </row>
    <row r="2985" spans="65:67" ht="18.75" customHeight="1">
      <c r="BM2985" s="1025"/>
      <c r="BO2985" s="43"/>
    </row>
    <row r="2986" spans="65:67" ht="18.75" customHeight="1">
      <c r="BM2986" s="1025"/>
      <c r="BO2986" s="43"/>
    </row>
    <row r="2987" spans="65:67" ht="18.75" customHeight="1">
      <c r="BM2987" s="1025"/>
      <c r="BO2987" s="43"/>
    </row>
    <row r="2988" spans="65:67" ht="18.75" customHeight="1">
      <c r="BM2988" s="1025"/>
      <c r="BO2988" s="43"/>
    </row>
    <row r="2989" spans="65:67" ht="18.75" customHeight="1">
      <c r="BM2989" s="1025"/>
      <c r="BO2989" s="43"/>
    </row>
    <row r="2990" spans="65:67" ht="18.75" customHeight="1">
      <c r="BM2990" s="1025"/>
      <c r="BO2990" s="43"/>
    </row>
    <row r="2991" spans="65:67" ht="18.75" customHeight="1">
      <c r="BM2991" s="1025"/>
      <c r="BO2991" s="43"/>
    </row>
    <row r="2992" spans="65:67" ht="18.75" customHeight="1">
      <c r="BM2992" s="1025"/>
      <c r="BO2992" s="43"/>
    </row>
    <row r="2993" spans="65:67" ht="18.75" customHeight="1">
      <c r="BM2993" s="1025"/>
      <c r="BO2993" s="43"/>
    </row>
    <row r="2994" spans="65:67" ht="18.75" customHeight="1">
      <c r="BM2994" s="1025"/>
      <c r="BO2994" s="43"/>
    </row>
    <row r="2995" spans="65:67" ht="18.75" customHeight="1">
      <c r="BM2995" s="1025"/>
      <c r="BO2995" s="43"/>
    </row>
    <row r="2996" spans="65:67" ht="18.75" customHeight="1">
      <c r="BM2996" s="1025"/>
      <c r="BO2996" s="43"/>
    </row>
    <row r="2997" spans="65:67" ht="18.75" customHeight="1">
      <c r="BM2997" s="1025"/>
      <c r="BO2997" s="43"/>
    </row>
    <row r="2998" spans="65:67" ht="18.75" customHeight="1">
      <c r="BM2998" s="1025"/>
      <c r="BO2998" s="43"/>
    </row>
    <row r="2999" spans="65:67" ht="18.75" customHeight="1">
      <c r="BM2999" s="1025"/>
      <c r="BO2999" s="43"/>
    </row>
    <row r="3000" spans="65:67" ht="18.75" customHeight="1">
      <c r="BM3000" s="1025"/>
      <c r="BO3000" s="43"/>
    </row>
    <row r="3001" spans="65:67" ht="18.75" customHeight="1">
      <c r="BM3001" s="1025"/>
      <c r="BO3001" s="43"/>
    </row>
    <row r="3002" spans="65:67" ht="18.75" customHeight="1">
      <c r="BM3002" s="1025"/>
      <c r="BO3002" s="43"/>
    </row>
    <row r="3003" spans="65:67" ht="18.75" customHeight="1">
      <c r="BM3003" s="1025"/>
      <c r="BO3003" s="43"/>
    </row>
    <row r="3004" spans="65:67" ht="18.75" customHeight="1">
      <c r="BM3004" s="1025"/>
      <c r="BO3004" s="43"/>
    </row>
    <row r="3005" spans="65:67" ht="18.75" customHeight="1">
      <c r="BM3005" s="1025"/>
      <c r="BO3005" s="43"/>
    </row>
    <row r="3006" spans="65:67" ht="18.75" customHeight="1">
      <c r="BM3006" s="1025"/>
      <c r="BO3006" s="43"/>
    </row>
    <row r="3007" spans="65:67" ht="18.75" customHeight="1">
      <c r="BM3007" s="1025"/>
      <c r="BO3007" s="43"/>
    </row>
    <row r="3008" spans="65:67" ht="18.75" customHeight="1">
      <c r="BM3008" s="1025"/>
      <c r="BO3008" s="43"/>
    </row>
    <row r="3009" spans="65:67" ht="18.75" customHeight="1">
      <c r="BM3009" s="1025"/>
      <c r="BO3009" s="43"/>
    </row>
    <row r="3010" spans="65:67" ht="18.75" customHeight="1">
      <c r="BM3010" s="1025"/>
      <c r="BO3010" s="43"/>
    </row>
    <row r="3011" spans="65:67" ht="18.75" customHeight="1">
      <c r="BM3011" s="1025"/>
      <c r="BO3011" s="43"/>
    </row>
    <row r="3012" spans="65:67" ht="18.75" customHeight="1">
      <c r="BM3012" s="1025"/>
      <c r="BO3012" s="43"/>
    </row>
    <row r="3013" spans="65:67" ht="18.75" customHeight="1">
      <c r="BM3013" s="1025"/>
      <c r="BO3013" s="43"/>
    </row>
    <row r="3014" spans="65:67" ht="18.75" customHeight="1">
      <c r="BM3014" s="1025"/>
      <c r="BO3014" s="43"/>
    </row>
    <row r="3015" spans="65:67" ht="18.75" customHeight="1">
      <c r="BM3015" s="1025"/>
      <c r="BO3015" s="43"/>
    </row>
    <row r="3016" spans="65:67" ht="18.75" customHeight="1">
      <c r="BM3016" s="1025"/>
      <c r="BO3016" s="43"/>
    </row>
    <row r="3017" spans="65:67" ht="18.75" customHeight="1">
      <c r="BM3017" s="1025"/>
      <c r="BO3017" s="43"/>
    </row>
    <row r="3018" spans="65:67" ht="18.75" customHeight="1">
      <c r="BM3018" s="1025"/>
      <c r="BO3018" s="43"/>
    </row>
    <row r="3019" spans="65:67" ht="18.75" customHeight="1">
      <c r="BM3019" s="1025"/>
      <c r="BO3019" s="43"/>
    </row>
    <row r="3020" spans="65:67" ht="18.75" customHeight="1">
      <c r="BM3020" s="1025"/>
      <c r="BO3020" s="43"/>
    </row>
    <row r="3021" spans="65:67" ht="18.75" customHeight="1">
      <c r="BM3021" s="1025"/>
      <c r="BO3021" s="43"/>
    </row>
    <row r="3022" spans="65:67" ht="18.75" customHeight="1">
      <c r="BM3022" s="1025"/>
      <c r="BO3022" s="43"/>
    </row>
    <row r="3023" spans="65:67" ht="18.75" customHeight="1">
      <c r="BM3023" s="1025"/>
      <c r="BO3023" s="43"/>
    </row>
    <row r="3024" spans="65:67" ht="18.75" customHeight="1">
      <c r="BM3024" s="1025"/>
      <c r="BO3024" s="43"/>
    </row>
    <row r="3025" spans="65:67" ht="18.75" customHeight="1">
      <c r="BM3025" s="1025"/>
      <c r="BO3025" s="43"/>
    </row>
    <row r="3026" spans="65:67" ht="18.75" customHeight="1">
      <c r="BM3026" s="1025"/>
      <c r="BO3026" s="43"/>
    </row>
    <row r="3027" spans="65:67" ht="18.75" customHeight="1">
      <c r="BM3027" s="1025"/>
      <c r="BO3027" s="43"/>
    </row>
    <row r="3028" spans="65:67" ht="18.75" customHeight="1">
      <c r="BM3028" s="1025"/>
      <c r="BO3028" s="43"/>
    </row>
    <row r="3029" spans="65:67" ht="18.75" customHeight="1">
      <c r="BM3029" s="1025"/>
      <c r="BO3029" s="43"/>
    </row>
    <row r="3030" spans="65:67" ht="18.75" customHeight="1">
      <c r="BM3030" s="1025"/>
      <c r="BO3030" s="43"/>
    </row>
    <row r="3031" spans="65:67" ht="18.75" customHeight="1">
      <c r="BM3031" s="1025"/>
      <c r="BO3031" s="43"/>
    </row>
    <row r="3032" spans="65:67" ht="18.75" customHeight="1">
      <c r="BM3032" s="1025"/>
      <c r="BO3032" s="43"/>
    </row>
    <row r="3033" spans="65:67" ht="18.75" customHeight="1">
      <c r="BM3033" s="1025"/>
      <c r="BO3033" s="43"/>
    </row>
    <row r="3034" spans="65:67" ht="18.75" customHeight="1">
      <c r="BM3034" s="1025"/>
      <c r="BO3034" s="43"/>
    </row>
    <row r="3035" spans="65:67" ht="18.75" customHeight="1">
      <c r="BM3035" s="1025"/>
      <c r="BO3035" s="43"/>
    </row>
    <row r="3036" spans="65:67" ht="18.75" customHeight="1">
      <c r="BM3036" s="1025"/>
      <c r="BO3036" s="43"/>
    </row>
    <row r="3037" spans="65:67" ht="18.75" customHeight="1">
      <c r="BM3037" s="1025"/>
      <c r="BO3037" s="43"/>
    </row>
    <row r="3038" spans="65:67" ht="18.75" customHeight="1">
      <c r="BM3038" s="1025"/>
      <c r="BO3038" s="43"/>
    </row>
    <row r="3039" spans="65:67" ht="18.75" customHeight="1">
      <c r="BM3039" s="1025"/>
      <c r="BO3039" s="43"/>
    </row>
    <row r="3040" spans="65:67" ht="18.75" customHeight="1">
      <c r="BM3040" s="1025"/>
      <c r="BO3040" s="43"/>
    </row>
    <row r="3041" spans="65:67" ht="18.75" customHeight="1">
      <c r="BM3041" s="1025"/>
      <c r="BO3041" s="43"/>
    </row>
    <row r="3042" spans="65:67" ht="18.75" customHeight="1">
      <c r="BM3042" s="1025"/>
      <c r="BO3042" s="43"/>
    </row>
    <row r="3043" spans="65:67" ht="18.75" customHeight="1">
      <c r="BM3043" s="1025"/>
      <c r="BO3043" s="43"/>
    </row>
    <row r="3044" spans="65:67" ht="18.75" customHeight="1">
      <c r="BM3044" s="1025"/>
      <c r="BO3044" s="43"/>
    </row>
    <row r="3045" spans="65:67" ht="18.75" customHeight="1">
      <c r="BM3045" s="1025"/>
      <c r="BO3045" s="43"/>
    </row>
    <row r="3046" spans="65:67" ht="18.75" customHeight="1">
      <c r="BM3046" s="1025"/>
      <c r="BO3046" s="43"/>
    </row>
    <row r="3047" spans="65:67" ht="18.75" customHeight="1">
      <c r="BM3047" s="1025"/>
      <c r="BO3047" s="43"/>
    </row>
    <row r="3048" spans="65:67" ht="18.75" customHeight="1">
      <c r="BM3048" s="1025"/>
      <c r="BO3048" s="43"/>
    </row>
    <row r="3049" spans="65:67" ht="18.75" customHeight="1">
      <c r="BM3049" s="1025"/>
      <c r="BO3049" s="43"/>
    </row>
    <row r="3050" spans="65:67" ht="18.75" customHeight="1">
      <c r="BM3050" s="1025"/>
      <c r="BO3050" s="43"/>
    </row>
    <row r="3051" spans="65:67" ht="18.75" customHeight="1">
      <c r="BM3051" s="1025"/>
      <c r="BO3051" s="43"/>
    </row>
    <row r="3052" spans="65:67" ht="18.75" customHeight="1">
      <c r="BM3052" s="1025"/>
      <c r="BO3052" s="43"/>
    </row>
    <row r="3053" spans="65:67" ht="18.75" customHeight="1">
      <c r="BM3053" s="1025"/>
      <c r="BO3053" s="43"/>
    </row>
    <row r="3054" spans="65:67" ht="18.75" customHeight="1">
      <c r="BM3054" s="1025"/>
      <c r="BO3054" s="43"/>
    </row>
    <row r="3055" spans="65:67" ht="18.75" customHeight="1">
      <c r="BM3055" s="1025"/>
      <c r="BO3055" s="43"/>
    </row>
    <row r="3056" spans="65:67" ht="18.75" customHeight="1">
      <c r="BM3056" s="1025"/>
      <c r="BO3056" s="43"/>
    </row>
    <row r="3057" spans="65:67" ht="18.75" customHeight="1">
      <c r="BM3057" s="1025"/>
      <c r="BO3057" s="43"/>
    </row>
    <row r="3058" spans="65:67" ht="18.75" customHeight="1">
      <c r="BM3058" s="1025"/>
      <c r="BO3058" s="43"/>
    </row>
    <row r="3059" spans="65:67" ht="18.75" customHeight="1">
      <c r="BM3059" s="1025"/>
      <c r="BO3059" s="43"/>
    </row>
    <row r="3060" spans="65:67" ht="18.75" customHeight="1">
      <c r="BM3060" s="1025"/>
      <c r="BO3060" s="43"/>
    </row>
    <row r="3061" spans="65:67" ht="18.75" customHeight="1">
      <c r="BM3061" s="1025"/>
      <c r="BO3061" s="43"/>
    </row>
    <row r="3062" spans="65:67" ht="18.75" customHeight="1">
      <c r="BM3062" s="1025"/>
      <c r="BO3062" s="43"/>
    </row>
    <row r="3063" spans="65:67" ht="18.75" customHeight="1">
      <c r="BM3063" s="1025"/>
      <c r="BO3063" s="43"/>
    </row>
    <row r="3064" spans="65:67" ht="18.75" customHeight="1">
      <c r="BM3064" s="1025"/>
      <c r="BO3064" s="43"/>
    </row>
    <row r="3065" spans="65:67" ht="18.75" customHeight="1">
      <c r="BM3065" s="1025"/>
      <c r="BO3065" s="43"/>
    </row>
    <row r="3066" spans="65:67" ht="18.75" customHeight="1">
      <c r="BM3066" s="1025"/>
      <c r="BO3066" s="43"/>
    </row>
    <row r="3067" spans="65:67" ht="18.75" customHeight="1">
      <c r="BM3067" s="1025"/>
      <c r="BO3067" s="43"/>
    </row>
    <row r="3068" spans="65:67" ht="18.75" customHeight="1">
      <c r="BM3068" s="1025"/>
      <c r="BO3068" s="43"/>
    </row>
    <row r="3069" spans="65:67" ht="18.75" customHeight="1">
      <c r="BM3069" s="1025"/>
      <c r="BO3069" s="43"/>
    </row>
    <row r="3070" spans="65:67" ht="18.75" customHeight="1">
      <c r="BM3070" s="1025"/>
      <c r="BO3070" s="43"/>
    </row>
    <row r="3071" spans="65:67" ht="18.75" customHeight="1">
      <c r="BM3071" s="1025"/>
      <c r="BO3071" s="43"/>
    </row>
    <row r="3072" spans="65:67" ht="18.75" customHeight="1">
      <c r="BM3072" s="1025"/>
      <c r="BO3072" s="43"/>
    </row>
    <row r="3073" spans="65:67" ht="18.75" customHeight="1">
      <c r="BM3073" s="1025"/>
      <c r="BO3073" s="43"/>
    </row>
    <row r="3074" spans="65:67" ht="18.75" customHeight="1">
      <c r="BM3074" s="1025"/>
      <c r="BO3074" s="43"/>
    </row>
    <row r="3075" spans="65:67" ht="18.75" customHeight="1">
      <c r="BM3075" s="1025"/>
      <c r="BO3075" s="43"/>
    </row>
    <row r="3076" spans="65:67" ht="18.75" customHeight="1">
      <c r="BM3076" s="1025"/>
      <c r="BO3076" s="43"/>
    </row>
    <row r="3077" spans="65:67" ht="18.75" customHeight="1">
      <c r="BM3077" s="1025"/>
      <c r="BO3077" s="43"/>
    </row>
    <row r="3078" spans="65:67" ht="18.75" customHeight="1">
      <c r="BM3078" s="1025"/>
      <c r="BO3078" s="43"/>
    </row>
    <row r="3079" spans="65:67" ht="18.75" customHeight="1">
      <c r="BM3079" s="1025"/>
      <c r="BO3079" s="43"/>
    </row>
    <row r="3080" spans="65:67" ht="18.75" customHeight="1">
      <c r="BM3080" s="1025"/>
      <c r="BO3080" s="43"/>
    </row>
    <row r="3081" spans="65:67" ht="18.75" customHeight="1">
      <c r="BM3081" s="1025"/>
      <c r="BO3081" s="43"/>
    </row>
    <row r="3082" spans="65:67" ht="18.75" customHeight="1">
      <c r="BM3082" s="1025"/>
      <c r="BO3082" s="43"/>
    </row>
    <row r="3083" spans="65:67" ht="18.75" customHeight="1">
      <c r="BM3083" s="1025"/>
      <c r="BO3083" s="43"/>
    </row>
    <row r="3084" spans="65:67" ht="18.75" customHeight="1">
      <c r="BM3084" s="1025"/>
      <c r="BO3084" s="43"/>
    </row>
    <row r="3085" spans="65:67" ht="18.75" customHeight="1">
      <c r="BM3085" s="1025"/>
      <c r="BO3085" s="43"/>
    </row>
    <row r="3086" spans="65:67" ht="18.75" customHeight="1">
      <c r="BM3086" s="1025"/>
      <c r="BO3086" s="43"/>
    </row>
    <row r="3087" spans="65:67" ht="18.75" customHeight="1">
      <c r="BM3087" s="1025"/>
      <c r="BO3087" s="43"/>
    </row>
    <row r="3088" spans="65:67" ht="18.75" customHeight="1">
      <c r="BM3088" s="1025"/>
      <c r="BO3088" s="43"/>
    </row>
    <row r="3089" spans="65:67" ht="18.75" customHeight="1">
      <c r="BM3089" s="1025"/>
      <c r="BO3089" s="43"/>
    </row>
    <row r="3090" spans="65:67" ht="18.75" customHeight="1">
      <c r="BM3090" s="1025"/>
      <c r="BO3090" s="43"/>
    </row>
    <row r="3091" spans="65:67" ht="18.75" customHeight="1">
      <c r="BM3091" s="1025"/>
      <c r="BO3091" s="43"/>
    </row>
    <row r="3092" spans="65:67" ht="18.75" customHeight="1">
      <c r="BM3092" s="1025"/>
      <c r="BO3092" s="43"/>
    </row>
    <row r="3093" spans="65:67" ht="18.75" customHeight="1">
      <c r="BM3093" s="1025"/>
      <c r="BO3093" s="43"/>
    </row>
    <row r="3094" spans="65:67" ht="18.75" customHeight="1">
      <c r="BM3094" s="1025"/>
      <c r="BO3094" s="43"/>
    </row>
    <row r="3095" spans="65:67" ht="18.75" customHeight="1">
      <c r="BM3095" s="1025"/>
      <c r="BO3095" s="43"/>
    </row>
    <row r="3096" spans="65:67" ht="18.75" customHeight="1">
      <c r="BM3096" s="1025"/>
      <c r="BO3096" s="43"/>
    </row>
    <row r="3097" spans="65:67" ht="18.75" customHeight="1">
      <c r="BM3097" s="1025"/>
      <c r="BO3097" s="43"/>
    </row>
    <row r="3098" spans="65:67" ht="18.75" customHeight="1">
      <c r="BM3098" s="1025"/>
      <c r="BO3098" s="43"/>
    </row>
    <row r="3099" spans="65:67" ht="18.75" customHeight="1">
      <c r="BM3099" s="1025"/>
      <c r="BO3099" s="43"/>
    </row>
    <row r="3100" spans="65:67" ht="18.75" customHeight="1">
      <c r="BM3100" s="1025"/>
      <c r="BO3100" s="43"/>
    </row>
    <row r="3101" spans="65:67" ht="18.75" customHeight="1">
      <c r="BM3101" s="1025"/>
      <c r="BO3101" s="43"/>
    </row>
    <row r="3102" spans="65:67" ht="18.75" customHeight="1">
      <c r="BM3102" s="1025"/>
      <c r="BO3102" s="43"/>
    </row>
    <row r="3103" spans="65:67" ht="18.75" customHeight="1">
      <c r="BM3103" s="1025"/>
      <c r="BO3103" s="43"/>
    </row>
    <row r="3104" spans="65:67" ht="18.75" customHeight="1">
      <c r="BM3104" s="1025"/>
      <c r="BO3104" s="43"/>
    </row>
    <row r="3105" spans="65:67" ht="18.75" customHeight="1">
      <c r="BM3105" s="1025"/>
      <c r="BO3105" s="43"/>
    </row>
    <row r="3106" spans="65:67" ht="18.75" customHeight="1">
      <c r="BM3106" s="1025"/>
      <c r="BO3106" s="43"/>
    </row>
    <row r="3107" spans="65:67" ht="18.75" customHeight="1">
      <c r="BM3107" s="1025"/>
      <c r="BO3107" s="43"/>
    </row>
    <row r="3108" spans="65:67" ht="18.75" customHeight="1">
      <c r="BM3108" s="1025"/>
      <c r="BO3108" s="43"/>
    </row>
    <row r="3109" spans="65:67" ht="18.75" customHeight="1">
      <c r="BM3109" s="1025"/>
      <c r="BO3109" s="43"/>
    </row>
    <row r="3110" spans="65:67" ht="18.75" customHeight="1">
      <c r="BM3110" s="1025"/>
      <c r="BO3110" s="43"/>
    </row>
    <row r="3111" spans="65:67" ht="18.75" customHeight="1">
      <c r="BM3111" s="1025"/>
      <c r="BO3111" s="43"/>
    </row>
    <row r="3112" spans="65:67" ht="18.75" customHeight="1">
      <c r="BM3112" s="1025"/>
      <c r="BO3112" s="43"/>
    </row>
    <row r="3113" spans="65:67" ht="18.75" customHeight="1">
      <c r="BM3113" s="1025"/>
      <c r="BO3113" s="43"/>
    </row>
    <row r="3114" spans="65:67" ht="18.75" customHeight="1">
      <c r="BM3114" s="1025"/>
      <c r="BO3114" s="43"/>
    </row>
    <row r="3115" spans="65:67" ht="18.75" customHeight="1">
      <c r="BM3115" s="1025"/>
      <c r="BO3115" s="43"/>
    </row>
    <row r="3116" spans="65:67" ht="18.75" customHeight="1">
      <c r="BM3116" s="1025"/>
      <c r="BO3116" s="43"/>
    </row>
    <row r="3117" spans="65:67" ht="18.75" customHeight="1">
      <c r="BM3117" s="1025"/>
      <c r="BO3117" s="43"/>
    </row>
    <row r="3118" spans="65:67" ht="18.75" customHeight="1">
      <c r="BM3118" s="1025"/>
      <c r="BO3118" s="43"/>
    </row>
    <row r="3119" spans="65:67" ht="18.75" customHeight="1">
      <c r="BM3119" s="1025"/>
      <c r="BO3119" s="43"/>
    </row>
    <row r="3120" spans="65:67" ht="18.75" customHeight="1">
      <c r="BM3120" s="1025"/>
      <c r="BO3120" s="43"/>
    </row>
    <row r="3121" spans="65:67" ht="18.75" customHeight="1">
      <c r="BM3121" s="1025"/>
      <c r="BO3121" s="43"/>
    </row>
    <row r="3122" spans="65:67" ht="18.75" customHeight="1">
      <c r="BM3122" s="1025"/>
      <c r="BO3122" s="43"/>
    </row>
    <row r="3123" spans="65:67" ht="18.75" customHeight="1">
      <c r="BM3123" s="1025"/>
      <c r="BO3123" s="43"/>
    </row>
    <row r="3124" spans="65:67" ht="18.75" customHeight="1">
      <c r="BM3124" s="1025"/>
      <c r="BO3124" s="43"/>
    </row>
    <row r="3125" spans="65:67" ht="18.75" customHeight="1">
      <c r="BM3125" s="1025"/>
      <c r="BO3125" s="43"/>
    </row>
    <row r="3126" spans="65:67" ht="18.75" customHeight="1">
      <c r="BM3126" s="1025"/>
      <c r="BO3126" s="43"/>
    </row>
    <row r="3127" spans="65:67" ht="18.75" customHeight="1">
      <c r="BM3127" s="1025"/>
      <c r="BO3127" s="43"/>
    </row>
    <row r="3128" spans="65:67" ht="18.75" customHeight="1">
      <c r="BM3128" s="1025"/>
      <c r="BO3128" s="43"/>
    </row>
    <row r="3129" spans="65:67" ht="18.75" customHeight="1">
      <c r="BM3129" s="1025"/>
      <c r="BO3129" s="43"/>
    </row>
    <row r="3130" spans="65:67" ht="18.75" customHeight="1">
      <c r="BM3130" s="1025"/>
      <c r="BO3130" s="43"/>
    </row>
    <row r="3131" spans="65:67" ht="18.75" customHeight="1">
      <c r="BM3131" s="1025"/>
      <c r="BO3131" s="43"/>
    </row>
    <row r="3132" spans="65:67" ht="18.75" customHeight="1">
      <c r="BM3132" s="1025"/>
      <c r="BO3132" s="43"/>
    </row>
    <row r="3133" spans="65:67" ht="18.75" customHeight="1">
      <c r="BM3133" s="1025"/>
      <c r="BO3133" s="43"/>
    </row>
    <row r="3134" spans="65:67" ht="18.75" customHeight="1">
      <c r="BM3134" s="1025"/>
      <c r="BO3134" s="43"/>
    </row>
    <row r="3135" spans="65:67" ht="18.75" customHeight="1">
      <c r="BM3135" s="1025"/>
      <c r="BO3135" s="43"/>
    </row>
    <row r="3136" spans="65:67" ht="18.75" customHeight="1">
      <c r="BM3136" s="1025"/>
      <c r="BO3136" s="43"/>
    </row>
    <row r="3137" spans="65:67" ht="18.75" customHeight="1">
      <c r="BM3137" s="1025"/>
      <c r="BO3137" s="43"/>
    </row>
    <row r="3138" spans="65:67" ht="18.75" customHeight="1">
      <c r="BM3138" s="1025"/>
      <c r="BO3138" s="43"/>
    </row>
    <row r="3139" spans="65:67" ht="18.75" customHeight="1">
      <c r="BM3139" s="1025"/>
      <c r="BO3139" s="43"/>
    </row>
    <row r="3140" spans="65:67" ht="18.75" customHeight="1">
      <c r="BM3140" s="1025"/>
      <c r="BO3140" s="43"/>
    </row>
    <row r="3141" spans="65:67" ht="18.75" customHeight="1">
      <c r="BM3141" s="1025"/>
      <c r="BO3141" s="43"/>
    </row>
    <row r="3142" spans="65:67" ht="18.75" customHeight="1">
      <c r="BM3142" s="1025"/>
      <c r="BO3142" s="43"/>
    </row>
    <row r="3143" spans="65:67" ht="18.75" customHeight="1">
      <c r="BM3143" s="1025"/>
      <c r="BO3143" s="43"/>
    </row>
    <row r="3144" spans="65:67" ht="18.75" customHeight="1">
      <c r="BM3144" s="1025"/>
      <c r="BO3144" s="43"/>
    </row>
    <row r="3145" spans="65:67" ht="18.75" customHeight="1">
      <c r="BM3145" s="1025"/>
      <c r="BO3145" s="43"/>
    </row>
    <row r="3146" spans="65:67" ht="18.75" customHeight="1">
      <c r="BM3146" s="1025"/>
      <c r="BO3146" s="43"/>
    </row>
    <row r="3147" spans="65:67" ht="18.75" customHeight="1">
      <c r="BM3147" s="1025"/>
      <c r="BO3147" s="43"/>
    </row>
    <row r="3148" spans="65:67" ht="18.75" customHeight="1">
      <c r="BM3148" s="1025"/>
      <c r="BO3148" s="43"/>
    </row>
    <row r="3149" spans="65:67" ht="18.75" customHeight="1">
      <c r="BM3149" s="1025"/>
      <c r="BO3149" s="43"/>
    </row>
    <row r="3150" spans="65:67" ht="18.75" customHeight="1">
      <c r="BM3150" s="1025"/>
      <c r="BO3150" s="43"/>
    </row>
    <row r="3151" spans="65:67" ht="18.75" customHeight="1">
      <c r="BM3151" s="1025"/>
      <c r="BO3151" s="43"/>
    </row>
    <row r="3152" spans="65:67" ht="18.75" customHeight="1">
      <c r="BM3152" s="1025"/>
      <c r="BO3152" s="43"/>
    </row>
    <row r="3153" spans="65:67" ht="18.75" customHeight="1">
      <c r="BM3153" s="1025"/>
      <c r="BO3153" s="43"/>
    </row>
    <row r="3154" spans="65:67" ht="18.75" customHeight="1">
      <c r="BM3154" s="1025"/>
      <c r="BO3154" s="43"/>
    </row>
    <row r="3155" spans="65:67" ht="18.75" customHeight="1">
      <c r="BM3155" s="1025"/>
      <c r="BO3155" s="43"/>
    </row>
    <row r="3156" spans="65:67" ht="18.75" customHeight="1">
      <c r="BM3156" s="1025"/>
      <c r="BO3156" s="43"/>
    </row>
    <row r="3157" spans="65:67" ht="18.75" customHeight="1">
      <c r="BM3157" s="1025"/>
      <c r="BO3157" s="43"/>
    </row>
    <row r="3158" spans="65:67" ht="18.75" customHeight="1">
      <c r="BM3158" s="1025"/>
      <c r="BO3158" s="43"/>
    </row>
    <row r="3159" spans="65:67" ht="18.75" customHeight="1">
      <c r="BM3159" s="1025"/>
      <c r="BO3159" s="43"/>
    </row>
    <row r="3160" spans="65:67" ht="18.75" customHeight="1">
      <c r="BM3160" s="1025"/>
      <c r="BO3160" s="43"/>
    </row>
    <row r="3161" spans="65:67" ht="18.75" customHeight="1">
      <c r="BM3161" s="1025"/>
      <c r="BO3161" s="43"/>
    </row>
    <row r="3162" spans="65:67" ht="18.75" customHeight="1">
      <c r="BM3162" s="1025"/>
      <c r="BO3162" s="43"/>
    </row>
    <row r="3163" spans="65:67" ht="18.75" customHeight="1">
      <c r="BM3163" s="1025"/>
      <c r="BO3163" s="43"/>
    </row>
    <row r="3164" spans="65:67" ht="18.75" customHeight="1">
      <c r="BM3164" s="1025"/>
      <c r="BO3164" s="43"/>
    </row>
    <row r="3165" spans="65:67" ht="18.75" customHeight="1">
      <c r="BM3165" s="1025"/>
      <c r="BO3165" s="43"/>
    </row>
    <row r="3166" spans="65:67" ht="18.75" customHeight="1">
      <c r="BM3166" s="1025"/>
      <c r="BO3166" s="43"/>
    </row>
    <row r="3167" spans="65:67" ht="18.75" customHeight="1">
      <c r="BM3167" s="1025"/>
      <c r="BO3167" s="43"/>
    </row>
    <row r="3168" spans="65:67" ht="18.75" customHeight="1">
      <c r="BM3168" s="1025"/>
      <c r="BO3168" s="43"/>
    </row>
    <row r="3169" spans="65:67" ht="18.75" customHeight="1">
      <c r="BM3169" s="1025"/>
      <c r="BO3169" s="43"/>
    </row>
    <row r="3170" spans="65:67" ht="18.75" customHeight="1">
      <c r="BM3170" s="1025"/>
      <c r="BO3170" s="43"/>
    </row>
    <row r="3171" spans="65:67" ht="18.75" customHeight="1">
      <c r="BM3171" s="1025"/>
      <c r="BO3171" s="43"/>
    </row>
    <row r="3172" spans="65:67" ht="18.75" customHeight="1">
      <c r="BM3172" s="1025"/>
      <c r="BO3172" s="43"/>
    </row>
    <row r="3173" spans="65:67" ht="18.75" customHeight="1">
      <c r="BM3173" s="1025"/>
      <c r="BO3173" s="43"/>
    </row>
    <row r="3174" spans="65:67" ht="18.75" customHeight="1">
      <c r="BM3174" s="1025"/>
      <c r="BO3174" s="43"/>
    </row>
    <row r="3175" spans="65:67" ht="18.75" customHeight="1">
      <c r="BM3175" s="1025"/>
      <c r="BO3175" s="43"/>
    </row>
    <row r="3176" spans="65:67" ht="18.75" customHeight="1">
      <c r="BM3176" s="1025"/>
      <c r="BO3176" s="43"/>
    </row>
    <row r="3177" spans="65:67" ht="18.75" customHeight="1">
      <c r="BM3177" s="1025"/>
      <c r="BO3177" s="43"/>
    </row>
    <row r="3178" spans="65:67" ht="18.75" customHeight="1">
      <c r="BM3178" s="1025"/>
      <c r="BO3178" s="43"/>
    </row>
    <row r="3179" spans="65:67" ht="18.75" customHeight="1">
      <c r="BM3179" s="1025"/>
      <c r="BO3179" s="43"/>
    </row>
    <row r="3180" spans="65:67" ht="18.75" customHeight="1">
      <c r="BM3180" s="1025"/>
      <c r="BO3180" s="43"/>
    </row>
    <row r="3181" spans="65:67" ht="18.75" customHeight="1">
      <c r="BM3181" s="1025"/>
      <c r="BO3181" s="43"/>
    </row>
    <row r="3182" spans="65:67" ht="18.75" customHeight="1">
      <c r="BM3182" s="1025"/>
      <c r="BO3182" s="43"/>
    </row>
    <row r="3183" spans="65:67" ht="18.75" customHeight="1">
      <c r="BM3183" s="1025"/>
      <c r="BO3183" s="43"/>
    </row>
    <row r="3184" spans="65:67" ht="18.75" customHeight="1">
      <c r="BM3184" s="1025"/>
      <c r="BO3184" s="43"/>
    </row>
    <row r="3185" spans="65:67" ht="18.75" customHeight="1">
      <c r="BM3185" s="1025"/>
      <c r="BO3185" s="43"/>
    </row>
    <row r="3186" spans="65:67" ht="18.75" customHeight="1">
      <c r="BM3186" s="1025"/>
      <c r="BO3186" s="43"/>
    </row>
    <row r="3187" spans="65:67" ht="18.75" customHeight="1">
      <c r="BM3187" s="1025"/>
      <c r="BO3187" s="43"/>
    </row>
    <row r="3188" spans="65:67" ht="18.75" customHeight="1">
      <c r="BM3188" s="1025"/>
      <c r="BO3188" s="43"/>
    </row>
    <row r="3189" spans="65:67" ht="18.75" customHeight="1">
      <c r="BM3189" s="1025"/>
      <c r="BO3189" s="43"/>
    </row>
    <row r="3190" spans="65:67" ht="18.75" customHeight="1">
      <c r="BM3190" s="1025"/>
      <c r="BO3190" s="43"/>
    </row>
    <row r="3191" spans="65:67" ht="18.75" customHeight="1">
      <c r="BM3191" s="1025"/>
      <c r="BO3191" s="43"/>
    </row>
    <row r="3192" spans="65:67" ht="18.75" customHeight="1">
      <c r="BM3192" s="1025"/>
      <c r="BO3192" s="43"/>
    </row>
    <row r="3193" spans="65:67" ht="18.75" customHeight="1">
      <c r="BM3193" s="1025"/>
      <c r="BO3193" s="43"/>
    </row>
    <row r="3194" spans="65:67" ht="18.75" customHeight="1">
      <c r="BM3194" s="1025"/>
      <c r="BO3194" s="43"/>
    </row>
    <row r="3195" spans="65:67" ht="18.75" customHeight="1">
      <c r="BM3195" s="1025"/>
      <c r="BO3195" s="43"/>
    </row>
    <row r="3196" spans="65:67" ht="18.75" customHeight="1">
      <c r="BM3196" s="1025"/>
      <c r="BO3196" s="43"/>
    </row>
    <row r="3197" spans="65:67" ht="18.75" customHeight="1">
      <c r="BM3197" s="1025"/>
      <c r="BO3197" s="43"/>
    </row>
    <row r="3198" spans="65:67" ht="18.75" customHeight="1">
      <c r="BM3198" s="1025"/>
      <c r="BO3198" s="43"/>
    </row>
    <row r="3199" spans="65:67" ht="18.75" customHeight="1">
      <c r="BM3199" s="1025"/>
      <c r="BO3199" s="43"/>
    </row>
    <row r="3200" spans="65:67" ht="18.75" customHeight="1">
      <c r="BM3200" s="1025"/>
      <c r="BO3200" s="43"/>
    </row>
    <row r="3201" spans="65:67" ht="18.75" customHeight="1">
      <c r="BM3201" s="1025"/>
      <c r="BO3201" s="43"/>
    </row>
    <row r="3202" spans="65:67" ht="18.75" customHeight="1">
      <c r="BM3202" s="1025"/>
      <c r="BO3202" s="43"/>
    </row>
    <row r="3203" spans="65:67" ht="18.75" customHeight="1">
      <c r="BM3203" s="1025"/>
      <c r="BO3203" s="43"/>
    </row>
    <row r="3204" spans="65:67" ht="18.75" customHeight="1">
      <c r="BM3204" s="1025"/>
      <c r="BO3204" s="43"/>
    </row>
    <row r="3205" spans="65:67" ht="18.75" customHeight="1">
      <c r="BM3205" s="1025"/>
      <c r="BO3205" s="43"/>
    </row>
    <row r="3206" spans="65:67" ht="18.75" customHeight="1">
      <c r="BM3206" s="1025"/>
      <c r="BO3206" s="43"/>
    </row>
    <row r="3207" spans="65:67" ht="18.75" customHeight="1">
      <c r="BM3207" s="1025"/>
      <c r="BO3207" s="43"/>
    </row>
    <row r="3208" spans="65:67" ht="18.75" customHeight="1">
      <c r="BM3208" s="1025"/>
      <c r="BO3208" s="43"/>
    </row>
    <row r="3209" spans="65:67" ht="18.75" customHeight="1">
      <c r="BM3209" s="1025"/>
      <c r="BO3209" s="43"/>
    </row>
    <row r="3210" spans="65:67" ht="18.75" customHeight="1">
      <c r="BM3210" s="1025"/>
      <c r="BO3210" s="43"/>
    </row>
    <row r="3211" spans="65:67" ht="18.75" customHeight="1">
      <c r="BM3211" s="1025"/>
      <c r="BO3211" s="43"/>
    </row>
    <row r="3212" spans="65:67" ht="18.75" customHeight="1">
      <c r="BM3212" s="1025"/>
      <c r="BO3212" s="43"/>
    </row>
    <row r="3213" spans="65:67" ht="18.75" customHeight="1">
      <c r="BM3213" s="1025"/>
      <c r="BO3213" s="43"/>
    </row>
    <row r="3214" spans="65:67" ht="18.75" customHeight="1">
      <c r="BM3214" s="1025"/>
      <c r="BO3214" s="43"/>
    </row>
    <row r="3215" spans="65:67" ht="18.75" customHeight="1">
      <c r="BM3215" s="1025"/>
      <c r="BO3215" s="43"/>
    </row>
    <row r="3216" spans="65:67" ht="18.75" customHeight="1">
      <c r="BM3216" s="1025"/>
      <c r="BO3216" s="43"/>
    </row>
    <row r="3217" spans="65:67" ht="18.75" customHeight="1">
      <c r="BM3217" s="1025"/>
      <c r="BO3217" s="43"/>
    </row>
    <row r="3218" spans="65:67" ht="18.75" customHeight="1">
      <c r="BM3218" s="1025"/>
      <c r="BO3218" s="43"/>
    </row>
    <row r="3219" spans="65:67" ht="18.75" customHeight="1">
      <c r="BM3219" s="1025"/>
      <c r="BO3219" s="43"/>
    </row>
    <row r="3220" spans="65:67" ht="18.75" customHeight="1">
      <c r="BM3220" s="1025"/>
      <c r="BO3220" s="43"/>
    </row>
    <row r="3221" spans="65:67" ht="18.75" customHeight="1">
      <c r="BM3221" s="1025"/>
      <c r="BO3221" s="43"/>
    </row>
    <row r="3222" spans="65:67" ht="18.75" customHeight="1">
      <c r="BM3222" s="1025"/>
      <c r="BO3222" s="43"/>
    </row>
    <row r="3223" spans="65:67" ht="18.75" customHeight="1">
      <c r="BM3223" s="1025"/>
      <c r="BO3223" s="43"/>
    </row>
    <row r="3224" spans="65:67" ht="18.75" customHeight="1">
      <c r="BM3224" s="1025"/>
      <c r="BO3224" s="43"/>
    </row>
    <row r="3225" spans="65:67" ht="18.75" customHeight="1">
      <c r="BM3225" s="1025"/>
      <c r="BO3225" s="43"/>
    </row>
    <row r="3226" spans="65:67" ht="18.75" customHeight="1">
      <c r="BM3226" s="1025"/>
      <c r="BO3226" s="43"/>
    </row>
    <row r="3227" spans="65:67" ht="18.75" customHeight="1">
      <c r="BM3227" s="1025"/>
      <c r="BO3227" s="43"/>
    </row>
    <row r="3228" spans="65:67" ht="18.75" customHeight="1">
      <c r="BM3228" s="1025"/>
      <c r="BO3228" s="43"/>
    </row>
    <row r="3229" spans="65:67" ht="18.75" customHeight="1">
      <c r="BM3229" s="1025"/>
      <c r="BO3229" s="43"/>
    </row>
    <row r="3230" spans="65:67" ht="18.75" customHeight="1">
      <c r="BM3230" s="1025"/>
      <c r="BO3230" s="43"/>
    </row>
    <row r="3231" spans="65:67" ht="18.75" customHeight="1">
      <c r="BM3231" s="1025"/>
      <c r="BO3231" s="43"/>
    </row>
    <row r="3232" spans="65:67" ht="18.75" customHeight="1">
      <c r="BM3232" s="1025"/>
      <c r="BO3232" s="43"/>
    </row>
    <row r="3233" spans="65:67" ht="18.75" customHeight="1">
      <c r="BM3233" s="1025"/>
      <c r="BO3233" s="43"/>
    </row>
    <row r="3234" spans="65:67" ht="18.75" customHeight="1">
      <c r="BM3234" s="1025"/>
      <c r="BO3234" s="43"/>
    </row>
    <row r="3235" spans="65:67" ht="18.75" customHeight="1">
      <c r="BM3235" s="1025"/>
      <c r="BO3235" s="43"/>
    </row>
    <row r="3236" spans="65:67" ht="18.75" customHeight="1">
      <c r="BM3236" s="1025"/>
      <c r="BO3236" s="43"/>
    </row>
    <row r="3237" spans="65:67" ht="18.75" customHeight="1">
      <c r="BM3237" s="1025"/>
      <c r="BO3237" s="43"/>
    </row>
    <row r="3238" spans="65:67" ht="18.75" customHeight="1">
      <c r="BM3238" s="1025"/>
      <c r="BO3238" s="43"/>
    </row>
    <row r="3239" spans="65:67" ht="18.75" customHeight="1">
      <c r="BM3239" s="1025"/>
      <c r="BO3239" s="43"/>
    </row>
    <row r="3240" spans="65:67" ht="18.75" customHeight="1">
      <c r="BM3240" s="1025"/>
      <c r="BO3240" s="43"/>
    </row>
    <row r="3241" spans="65:67" ht="18.75" customHeight="1">
      <c r="BM3241" s="1025"/>
      <c r="BO3241" s="43"/>
    </row>
    <row r="3242" spans="65:67" ht="18.75" customHeight="1">
      <c r="BM3242" s="1025"/>
      <c r="BO3242" s="43"/>
    </row>
    <row r="3243" spans="65:67" ht="18.75" customHeight="1">
      <c r="BM3243" s="1025"/>
      <c r="BO3243" s="43"/>
    </row>
    <row r="3244" spans="65:67" ht="18.75" customHeight="1">
      <c r="BM3244" s="1025"/>
      <c r="BO3244" s="43"/>
    </row>
    <row r="3245" spans="65:67" ht="18.75" customHeight="1">
      <c r="BM3245" s="1025"/>
      <c r="BO3245" s="43"/>
    </row>
    <row r="3246" spans="65:67" ht="18.75" customHeight="1">
      <c r="BM3246" s="1025"/>
      <c r="BO3246" s="43"/>
    </row>
    <row r="3247" spans="65:67" ht="18.75" customHeight="1">
      <c r="BM3247" s="1025"/>
      <c r="BO3247" s="43"/>
    </row>
    <row r="3248" spans="65:67" ht="18.75" customHeight="1">
      <c r="BM3248" s="1025"/>
      <c r="BO3248" s="43"/>
    </row>
    <row r="3249" spans="65:67" ht="18.75" customHeight="1">
      <c r="BM3249" s="1025"/>
      <c r="BO3249" s="43"/>
    </row>
    <row r="3250" spans="65:67" ht="18.75" customHeight="1">
      <c r="BM3250" s="1025"/>
      <c r="BO3250" s="43"/>
    </row>
    <row r="3251" spans="65:67" ht="18.75" customHeight="1">
      <c r="BM3251" s="1025"/>
      <c r="BO3251" s="43"/>
    </row>
    <row r="3252" spans="65:67" ht="18.75" customHeight="1">
      <c r="BM3252" s="1025"/>
      <c r="BO3252" s="43"/>
    </row>
    <row r="3253" spans="65:67" ht="18.75" customHeight="1">
      <c r="BM3253" s="1025"/>
      <c r="BO3253" s="43"/>
    </row>
    <row r="3254" spans="65:67" ht="18.75" customHeight="1">
      <c r="BM3254" s="1025"/>
      <c r="BO3254" s="43"/>
    </row>
    <row r="3255" spans="65:67" ht="18.75" customHeight="1">
      <c r="BM3255" s="1025"/>
      <c r="BO3255" s="43"/>
    </row>
    <row r="3256" spans="65:67" ht="18.75" customHeight="1">
      <c r="BM3256" s="1025"/>
      <c r="BO3256" s="43"/>
    </row>
    <row r="3257" spans="65:67" ht="18.75" customHeight="1">
      <c r="BM3257" s="1025"/>
      <c r="BO3257" s="43"/>
    </row>
    <row r="3258" spans="65:67" ht="18.75" customHeight="1">
      <c r="BM3258" s="1025"/>
      <c r="BO3258" s="43"/>
    </row>
    <row r="3259" spans="65:67" ht="18.75" customHeight="1">
      <c r="BM3259" s="1025"/>
      <c r="BO3259" s="43"/>
    </row>
    <row r="3260" spans="65:67" ht="18.75" customHeight="1">
      <c r="BM3260" s="1025"/>
      <c r="BO3260" s="43"/>
    </row>
    <row r="3261" spans="65:67" ht="18.75" customHeight="1">
      <c r="BM3261" s="1025"/>
      <c r="BO3261" s="43"/>
    </row>
    <row r="3262" spans="65:67" ht="18.75" customHeight="1">
      <c r="BM3262" s="1025"/>
      <c r="BO3262" s="43"/>
    </row>
    <row r="3263" spans="65:67" ht="18.75" customHeight="1">
      <c r="BM3263" s="1025"/>
      <c r="BO3263" s="43"/>
    </row>
    <row r="3264" spans="65:67" ht="18.75" customHeight="1">
      <c r="BM3264" s="1025"/>
      <c r="BO3264" s="43"/>
    </row>
    <row r="3265" spans="65:67" ht="18.75" customHeight="1">
      <c r="BM3265" s="1025"/>
      <c r="BO3265" s="43"/>
    </row>
    <row r="3266" spans="65:67" ht="18.75" customHeight="1">
      <c r="BM3266" s="1025"/>
      <c r="BO3266" s="43"/>
    </row>
    <row r="3267" spans="65:67" ht="18.75" customHeight="1">
      <c r="BM3267" s="1025"/>
      <c r="BO3267" s="43"/>
    </row>
    <row r="3268" spans="65:67" ht="18.75" customHeight="1">
      <c r="BM3268" s="1025"/>
      <c r="BO3268" s="43"/>
    </row>
    <row r="3269" spans="65:67" ht="18.75" customHeight="1">
      <c r="BM3269" s="1025"/>
      <c r="BO3269" s="43"/>
    </row>
    <row r="3270" spans="65:67" ht="18.75" customHeight="1">
      <c r="BM3270" s="1025"/>
      <c r="BO3270" s="43"/>
    </row>
    <row r="3271" spans="65:67" ht="18.75" customHeight="1">
      <c r="BM3271" s="1025"/>
      <c r="BO3271" s="43"/>
    </row>
    <row r="3272" spans="65:67" ht="18.75" customHeight="1">
      <c r="BM3272" s="1025"/>
      <c r="BO3272" s="43"/>
    </row>
    <row r="3273" spans="65:67" ht="18.75" customHeight="1">
      <c r="BM3273" s="1025"/>
      <c r="BO3273" s="43"/>
    </row>
    <row r="3274" spans="65:67" ht="18.75" customHeight="1">
      <c r="BM3274" s="1025"/>
      <c r="BO3274" s="43"/>
    </row>
    <row r="3275" spans="65:67" ht="18.75" customHeight="1">
      <c r="BM3275" s="1025"/>
      <c r="BO3275" s="43"/>
    </row>
    <row r="3276" spans="65:67" ht="18.75" customHeight="1">
      <c r="BM3276" s="1025"/>
      <c r="BO3276" s="43"/>
    </row>
    <row r="3277" spans="65:67" ht="18.75" customHeight="1">
      <c r="BM3277" s="1025"/>
      <c r="BO3277" s="43"/>
    </row>
    <row r="3278" spans="65:67" ht="18.75" customHeight="1">
      <c r="BM3278" s="1025"/>
      <c r="BO3278" s="43"/>
    </row>
    <row r="3279" spans="65:67" ht="18.75" customHeight="1">
      <c r="BM3279" s="1025"/>
      <c r="BO3279" s="43"/>
    </row>
    <row r="3280" spans="65:67" ht="18.75" customHeight="1">
      <c r="BM3280" s="1025"/>
      <c r="BO3280" s="43"/>
    </row>
    <row r="3281" spans="65:67" ht="18.75" customHeight="1">
      <c r="BM3281" s="1025"/>
      <c r="BO3281" s="43"/>
    </row>
    <row r="3282" spans="65:67" ht="18.75" customHeight="1">
      <c r="BM3282" s="1025"/>
      <c r="BO3282" s="43"/>
    </row>
    <row r="3283" spans="65:67" ht="18.75" customHeight="1">
      <c r="BM3283" s="1025"/>
      <c r="BO3283" s="43"/>
    </row>
    <row r="3284" spans="65:67" ht="18.75" customHeight="1">
      <c r="BM3284" s="1025"/>
      <c r="BO3284" s="43"/>
    </row>
    <row r="3285" spans="65:67" ht="18.75" customHeight="1">
      <c r="BM3285" s="1025"/>
      <c r="BO3285" s="43"/>
    </row>
    <row r="3286" spans="65:67" ht="18.75" customHeight="1">
      <c r="BM3286" s="1025"/>
      <c r="BO3286" s="43"/>
    </row>
    <row r="3287" spans="65:67" ht="18.75" customHeight="1">
      <c r="BM3287" s="1025"/>
      <c r="BO3287" s="43"/>
    </row>
    <row r="3288" spans="65:67" ht="18.75" customHeight="1">
      <c r="BM3288" s="1025"/>
      <c r="BO3288" s="43"/>
    </row>
    <row r="3289" spans="65:67" ht="18.75" customHeight="1">
      <c r="BM3289" s="1025"/>
      <c r="BO3289" s="43"/>
    </row>
    <row r="3290" spans="65:67" ht="18.75" customHeight="1">
      <c r="BM3290" s="1025"/>
      <c r="BO3290" s="43"/>
    </row>
    <row r="3291" spans="65:67" ht="18.75" customHeight="1">
      <c r="BM3291" s="1025"/>
      <c r="BO3291" s="43"/>
    </row>
    <row r="3292" spans="65:67" ht="18.75" customHeight="1">
      <c r="BM3292" s="1025"/>
      <c r="BO3292" s="43"/>
    </row>
    <row r="3293" spans="65:67" ht="18.75" customHeight="1">
      <c r="BM3293" s="1025"/>
      <c r="BO3293" s="43"/>
    </row>
    <row r="3294" spans="65:67" ht="18.75" customHeight="1">
      <c r="BM3294" s="1025"/>
      <c r="BO3294" s="43"/>
    </row>
    <row r="3295" spans="65:67" ht="18.75" customHeight="1">
      <c r="BM3295" s="1025"/>
      <c r="BO3295" s="43"/>
    </row>
    <row r="3296" spans="65:67" ht="18.75" customHeight="1">
      <c r="BM3296" s="1025"/>
      <c r="BO3296" s="43"/>
    </row>
    <row r="3297" spans="65:67" ht="18.75" customHeight="1">
      <c r="BM3297" s="1025"/>
      <c r="BO3297" s="43"/>
    </row>
    <row r="3298" spans="65:67" ht="18.75" customHeight="1">
      <c r="BM3298" s="1025"/>
      <c r="BO3298" s="43"/>
    </row>
    <row r="3299" spans="65:67" ht="18.75" customHeight="1">
      <c r="BM3299" s="1025"/>
      <c r="BO3299" s="43"/>
    </row>
    <row r="3300" spans="65:67" ht="18.75" customHeight="1">
      <c r="BM3300" s="1025"/>
      <c r="BO3300" s="43"/>
    </row>
    <row r="3301" spans="65:67" ht="18.75" customHeight="1">
      <c r="BM3301" s="1025"/>
      <c r="BO3301" s="43"/>
    </row>
    <row r="3302" spans="65:67" ht="18.75" customHeight="1">
      <c r="BM3302" s="1025"/>
      <c r="BO3302" s="43"/>
    </row>
    <row r="3303" spans="65:67" ht="18.75" customHeight="1">
      <c r="BM3303" s="1025"/>
      <c r="BO3303" s="43"/>
    </row>
    <row r="3304" spans="65:67" ht="18.75" customHeight="1">
      <c r="BM3304" s="1025"/>
      <c r="BO3304" s="43"/>
    </row>
    <row r="3305" spans="65:67" ht="18.75" customHeight="1">
      <c r="BM3305" s="1025"/>
      <c r="BO3305" s="43"/>
    </row>
    <row r="3306" spans="65:67" ht="18.75" customHeight="1">
      <c r="BM3306" s="1025"/>
      <c r="BO3306" s="43"/>
    </row>
    <row r="3307" spans="65:67" ht="18.75" customHeight="1">
      <c r="BM3307" s="1025"/>
      <c r="BO3307" s="43"/>
    </row>
    <row r="3308" spans="65:67" ht="18.75" customHeight="1">
      <c r="BM3308" s="1025"/>
      <c r="BO3308" s="43"/>
    </row>
    <row r="3309" spans="65:67" ht="18.75" customHeight="1">
      <c r="BM3309" s="1025"/>
      <c r="BO3309" s="43"/>
    </row>
    <row r="3310" spans="65:67" ht="18.75" customHeight="1">
      <c r="BM3310" s="1025"/>
      <c r="BO3310" s="43"/>
    </row>
    <row r="3311" spans="65:67" ht="18.75" customHeight="1">
      <c r="BM3311" s="1025"/>
      <c r="BO3311" s="43"/>
    </row>
    <row r="3312" spans="65:67" ht="18.75" customHeight="1">
      <c r="BM3312" s="1025"/>
      <c r="BO3312" s="43"/>
    </row>
    <row r="3313" spans="65:67" ht="18.75" customHeight="1">
      <c r="BM3313" s="1025"/>
      <c r="BO3313" s="43"/>
    </row>
    <row r="3314" spans="65:67" ht="18.75" customHeight="1">
      <c r="BM3314" s="1025"/>
      <c r="BO3314" s="43"/>
    </row>
    <row r="3315" spans="65:67" ht="18.75" customHeight="1">
      <c r="BM3315" s="1025"/>
      <c r="BO3315" s="43"/>
    </row>
    <row r="3316" spans="65:67" ht="18.75" customHeight="1">
      <c r="BM3316" s="1025"/>
      <c r="BO3316" s="43"/>
    </row>
    <row r="3317" spans="65:67" ht="18.75" customHeight="1">
      <c r="BM3317" s="1025"/>
      <c r="BO3317" s="43"/>
    </row>
    <row r="3318" spans="65:67" ht="18.75" customHeight="1">
      <c r="BM3318" s="1025"/>
      <c r="BO3318" s="43"/>
    </row>
    <row r="3319" spans="65:67" ht="18.75" customHeight="1">
      <c r="BM3319" s="1025"/>
      <c r="BO3319" s="43"/>
    </row>
    <row r="3320" spans="65:67" ht="18.75" customHeight="1">
      <c r="BM3320" s="1025"/>
      <c r="BO3320" s="43"/>
    </row>
    <row r="3321" spans="65:67" ht="18.75" customHeight="1">
      <c r="BM3321" s="1025"/>
      <c r="BO3321" s="43"/>
    </row>
    <row r="3322" spans="65:67" ht="18.75" customHeight="1">
      <c r="BM3322" s="1025"/>
      <c r="BO3322" s="43"/>
    </row>
    <row r="3323" spans="65:67" ht="18.75" customHeight="1">
      <c r="BM3323" s="1025"/>
      <c r="BO3323" s="43"/>
    </row>
    <row r="3324" spans="65:67" ht="18.75" customHeight="1">
      <c r="BM3324" s="1025"/>
      <c r="BO3324" s="43"/>
    </row>
    <row r="3325" spans="65:67" ht="18.75" customHeight="1">
      <c r="BM3325" s="1025"/>
      <c r="BO3325" s="43"/>
    </row>
    <row r="3326" spans="65:67" ht="18.75" customHeight="1">
      <c r="BM3326" s="1025"/>
      <c r="BO3326" s="43"/>
    </row>
    <row r="3327" spans="65:67" ht="18.75" customHeight="1">
      <c r="BM3327" s="1025"/>
      <c r="BO3327" s="43"/>
    </row>
    <row r="3328" spans="65:67" ht="18.75" customHeight="1">
      <c r="BM3328" s="1025"/>
      <c r="BO3328" s="43"/>
    </row>
    <row r="3329" spans="65:67" ht="18.75" customHeight="1">
      <c r="BM3329" s="1025"/>
      <c r="BO3329" s="43"/>
    </row>
    <row r="3330" spans="65:67" ht="18.75" customHeight="1">
      <c r="BM3330" s="1025"/>
      <c r="BO3330" s="43"/>
    </row>
    <row r="3331" spans="65:67" ht="18.75" customHeight="1">
      <c r="BM3331" s="1025"/>
      <c r="BO3331" s="43"/>
    </row>
    <row r="3332" spans="65:67" ht="18.75" customHeight="1">
      <c r="BM3332" s="1025"/>
      <c r="BO3332" s="43"/>
    </row>
    <row r="3333" spans="65:67" ht="18.75" customHeight="1">
      <c r="BM3333" s="1025"/>
      <c r="BO3333" s="43"/>
    </row>
    <row r="3334" spans="65:67" ht="18.75" customHeight="1">
      <c r="BM3334" s="1025"/>
      <c r="BO3334" s="43"/>
    </row>
    <row r="3335" spans="65:67" ht="18.75" customHeight="1">
      <c r="BM3335" s="1025"/>
      <c r="BO3335" s="43"/>
    </row>
    <row r="3336" spans="65:67" ht="18.75" customHeight="1">
      <c r="BM3336" s="1025"/>
      <c r="BO3336" s="43"/>
    </row>
    <row r="3337" spans="65:67" ht="18.75" customHeight="1">
      <c r="BM3337" s="1025"/>
      <c r="BO3337" s="43"/>
    </row>
    <row r="3338" spans="65:67" ht="18.75" customHeight="1">
      <c r="BM3338" s="1025"/>
      <c r="BO3338" s="43"/>
    </row>
    <row r="3339" spans="65:67" ht="18.75" customHeight="1">
      <c r="BM3339" s="1025"/>
      <c r="BO3339" s="43"/>
    </row>
    <row r="3340" spans="65:67" ht="18.75" customHeight="1">
      <c r="BM3340" s="1025"/>
      <c r="BO3340" s="43"/>
    </row>
    <row r="3341" spans="65:67" ht="18.75" customHeight="1">
      <c r="BM3341" s="1025"/>
      <c r="BO3341" s="43"/>
    </row>
    <row r="3342" spans="65:67" ht="18.75" customHeight="1">
      <c r="BM3342" s="1025"/>
      <c r="BO3342" s="43"/>
    </row>
    <row r="3343" spans="65:67" ht="18.75" customHeight="1">
      <c r="BM3343" s="1025"/>
      <c r="BO3343" s="43"/>
    </row>
    <row r="3344" spans="65:67" ht="18.75" customHeight="1">
      <c r="BM3344" s="1025"/>
      <c r="BO3344" s="43"/>
    </row>
    <row r="3345" spans="65:67" ht="18.75" customHeight="1">
      <c r="BM3345" s="1025"/>
      <c r="BO3345" s="43"/>
    </row>
    <row r="3346" spans="65:67" ht="18.75" customHeight="1">
      <c r="BM3346" s="1025"/>
      <c r="BO3346" s="43"/>
    </row>
    <row r="3347" spans="65:67" ht="18.75" customHeight="1">
      <c r="BM3347" s="1025"/>
      <c r="BO3347" s="43"/>
    </row>
    <row r="3348" spans="65:67" ht="18.75" customHeight="1">
      <c r="BM3348" s="1025"/>
      <c r="BO3348" s="43"/>
    </row>
    <row r="3349" spans="65:67" ht="18.75" customHeight="1">
      <c r="BM3349" s="1025"/>
      <c r="BO3349" s="43"/>
    </row>
    <row r="3350" spans="65:67" ht="18.75" customHeight="1">
      <c r="BM3350" s="1025"/>
      <c r="BO3350" s="43"/>
    </row>
    <row r="3351" spans="65:67" ht="18.75" customHeight="1">
      <c r="BM3351" s="1025"/>
      <c r="BO3351" s="43"/>
    </row>
    <row r="3352" spans="65:67" ht="18.75" customHeight="1">
      <c r="BM3352" s="1025"/>
      <c r="BO3352" s="43"/>
    </row>
    <row r="3353" spans="65:67" ht="18.75" customHeight="1">
      <c r="BM3353" s="1025"/>
      <c r="BO3353" s="43"/>
    </row>
    <row r="3354" spans="65:67" ht="18.75" customHeight="1">
      <c r="BM3354" s="1025"/>
      <c r="BO3354" s="43"/>
    </row>
    <row r="3355" spans="65:67" ht="18.75" customHeight="1">
      <c r="BM3355" s="1025"/>
      <c r="BO3355" s="43"/>
    </row>
    <row r="3356" spans="65:67" ht="18.75" customHeight="1">
      <c r="BM3356" s="1025"/>
      <c r="BO3356" s="43"/>
    </row>
    <row r="3357" spans="65:67" ht="18.75" customHeight="1">
      <c r="BM3357" s="1025"/>
      <c r="BO3357" s="43"/>
    </row>
    <row r="3358" spans="65:67" ht="18.75" customHeight="1">
      <c r="BM3358" s="1025"/>
      <c r="BO3358" s="43"/>
    </row>
    <row r="3359" spans="65:67" ht="18.75" customHeight="1">
      <c r="BM3359" s="1025"/>
      <c r="BO3359" s="43"/>
    </row>
    <row r="3360" spans="65:67" ht="18.75" customHeight="1">
      <c r="BM3360" s="1025"/>
      <c r="BO3360" s="43"/>
    </row>
    <row r="3361" spans="65:67" ht="18.75" customHeight="1">
      <c r="BM3361" s="1025"/>
      <c r="BO3361" s="43"/>
    </row>
    <row r="3362" spans="65:67" ht="18.75" customHeight="1">
      <c r="BM3362" s="1025"/>
      <c r="BO3362" s="43"/>
    </row>
    <row r="3363" spans="65:67" ht="18.75" customHeight="1">
      <c r="BM3363" s="1025"/>
      <c r="BO3363" s="43"/>
    </row>
    <row r="3364" spans="65:67" ht="18.75" customHeight="1">
      <c r="BM3364" s="1025"/>
      <c r="BO3364" s="43"/>
    </row>
    <row r="3365" spans="65:67" ht="18.75" customHeight="1">
      <c r="BM3365" s="1025"/>
      <c r="BO3365" s="43"/>
    </row>
    <row r="3366" spans="65:67" ht="18.75" customHeight="1">
      <c r="BM3366" s="1025"/>
      <c r="BO3366" s="43"/>
    </row>
    <row r="3367" spans="65:67" ht="18.75" customHeight="1">
      <c r="BM3367" s="1025"/>
      <c r="BO3367" s="43"/>
    </row>
    <row r="3368" spans="65:67" ht="18.75" customHeight="1">
      <c r="BM3368" s="1025"/>
      <c r="BO3368" s="43"/>
    </row>
    <row r="3369" spans="65:67" ht="18.75" customHeight="1">
      <c r="BM3369" s="1025"/>
      <c r="BO3369" s="43"/>
    </row>
    <row r="3370" spans="65:67" ht="18.75" customHeight="1">
      <c r="BM3370" s="1025"/>
      <c r="BO3370" s="43"/>
    </row>
    <row r="3371" spans="65:67" ht="18.75" customHeight="1">
      <c r="BM3371" s="1025"/>
      <c r="BO3371" s="43"/>
    </row>
    <row r="3372" spans="65:67" ht="18.75" customHeight="1">
      <c r="BM3372" s="1025"/>
      <c r="BO3372" s="43"/>
    </row>
    <row r="3373" spans="65:67" ht="18.75" customHeight="1">
      <c r="BM3373" s="1025"/>
      <c r="BO3373" s="43"/>
    </row>
    <row r="3374" spans="65:67" ht="18.75" customHeight="1">
      <c r="BM3374" s="1025"/>
      <c r="BO3374" s="43"/>
    </row>
    <row r="3375" spans="65:67" ht="18.75" customHeight="1">
      <c r="BM3375" s="1025"/>
      <c r="BO3375" s="43"/>
    </row>
    <row r="3376" spans="65:67" ht="18.75" customHeight="1">
      <c r="BM3376" s="1025"/>
      <c r="BO3376" s="43"/>
    </row>
    <row r="3377" spans="65:67" ht="18.75" customHeight="1">
      <c r="BM3377" s="1025"/>
      <c r="BO3377" s="43"/>
    </row>
    <row r="3378" spans="65:67" ht="18.75" customHeight="1">
      <c r="BM3378" s="1025"/>
      <c r="BO3378" s="43"/>
    </row>
    <row r="3379" spans="65:67" ht="18.75" customHeight="1">
      <c r="BM3379" s="1025"/>
      <c r="BO3379" s="43"/>
    </row>
    <row r="3380" spans="65:67" ht="18.75" customHeight="1">
      <c r="BM3380" s="1025"/>
      <c r="BO3380" s="43"/>
    </row>
    <row r="3381" spans="65:67" ht="18.75" customHeight="1">
      <c r="BM3381" s="1025"/>
      <c r="BO3381" s="43"/>
    </row>
    <row r="3382" spans="65:67" ht="18.75" customHeight="1">
      <c r="BM3382" s="1025"/>
      <c r="BO3382" s="43"/>
    </row>
    <row r="3383" spans="65:67" ht="18.75" customHeight="1">
      <c r="BM3383" s="1025"/>
      <c r="BO3383" s="43"/>
    </row>
    <row r="3384" spans="65:67" ht="18.75" customHeight="1">
      <c r="BM3384" s="1025"/>
      <c r="BO3384" s="43"/>
    </row>
    <row r="3385" spans="65:67" ht="18.75" customHeight="1">
      <c r="BM3385" s="1025"/>
      <c r="BO3385" s="43"/>
    </row>
    <row r="3386" spans="65:67" ht="18.75" customHeight="1">
      <c r="BM3386" s="1025"/>
      <c r="BO3386" s="43"/>
    </row>
    <row r="3387" spans="65:67" ht="18.75" customHeight="1">
      <c r="BM3387" s="1025"/>
      <c r="BO3387" s="43"/>
    </row>
    <row r="3388" spans="65:67" ht="18.75" customHeight="1">
      <c r="BM3388" s="1025"/>
      <c r="BO3388" s="43"/>
    </row>
    <row r="3389" spans="65:67" ht="18.75" customHeight="1">
      <c r="BM3389" s="1025"/>
      <c r="BO3389" s="43"/>
    </row>
    <row r="3390" spans="65:67" ht="18.75" customHeight="1">
      <c r="BM3390" s="1025"/>
      <c r="BO3390" s="43"/>
    </row>
    <row r="3391" spans="65:67" ht="18.75" customHeight="1">
      <c r="BM3391" s="1025"/>
      <c r="BO3391" s="43"/>
    </row>
    <row r="3392" spans="65:67" ht="18.75" customHeight="1">
      <c r="BM3392" s="1025"/>
      <c r="BO3392" s="43"/>
    </row>
    <row r="3393" spans="65:67" ht="18.75" customHeight="1">
      <c r="BM3393" s="1025"/>
      <c r="BO3393" s="43"/>
    </row>
    <row r="3394" spans="65:67" ht="18.75" customHeight="1">
      <c r="BM3394" s="1025"/>
      <c r="BO3394" s="43"/>
    </row>
    <row r="3395" spans="65:67" ht="18.75" customHeight="1">
      <c r="BM3395" s="1025"/>
      <c r="BO3395" s="43"/>
    </row>
    <row r="3396" spans="65:67" ht="18.75" customHeight="1">
      <c r="BM3396" s="1025"/>
      <c r="BO3396" s="43"/>
    </row>
    <row r="3397" spans="65:67" ht="18.75" customHeight="1">
      <c r="BM3397" s="1025"/>
      <c r="BO3397" s="43"/>
    </row>
    <row r="3398" spans="65:67" ht="18.75" customHeight="1">
      <c r="BM3398" s="1025"/>
      <c r="BO3398" s="43"/>
    </row>
    <row r="3399" spans="65:67" ht="18.75" customHeight="1">
      <c r="BM3399" s="1025"/>
      <c r="BO3399" s="43"/>
    </row>
    <row r="3400" spans="65:67" ht="18.75" customHeight="1">
      <c r="BM3400" s="1025"/>
      <c r="BO3400" s="43"/>
    </row>
    <row r="3401" spans="65:67" ht="18.75" customHeight="1">
      <c r="BM3401" s="1025"/>
      <c r="BO3401" s="43"/>
    </row>
    <row r="3402" spans="65:67" ht="18.75" customHeight="1">
      <c r="BM3402" s="1025"/>
      <c r="BO3402" s="43"/>
    </row>
    <row r="3403" spans="65:67" ht="18.75" customHeight="1">
      <c r="BM3403" s="1025"/>
      <c r="BO3403" s="43"/>
    </row>
    <row r="3404" spans="65:67" ht="18.75" customHeight="1">
      <c r="BM3404" s="1025"/>
      <c r="BO3404" s="43"/>
    </row>
    <row r="3405" spans="65:67" ht="18.75" customHeight="1">
      <c r="BM3405" s="1025"/>
      <c r="BO3405" s="43"/>
    </row>
    <row r="3406" spans="65:67" ht="18.75" customHeight="1">
      <c r="BM3406" s="1025"/>
      <c r="BO3406" s="43"/>
    </row>
    <row r="3407" spans="65:67" ht="18.75" customHeight="1">
      <c r="BM3407" s="1025"/>
      <c r="BO3407" s="43"/>
    </row>
    <row r="3408" spans="65:67" ht="18.75" customHeight="1">
      <c r="BM3408" s="1025"/>
      <c r="BO3408" s="43"/>
    </row>
    <row r="3409" spans="65:67" ht="18.75" customHeight="1">
      <c r="BM3409" s="1025"/>
      <c r="BO3409" s="43"/>
    </row>
    <row r="3410" spans="65:67" ht="18.75" customHeight="1">
      <c r="BM3410" s="1025"/>
      <c r="BO3410" s="43"/>
    </row>
    <row r="3411" spans="65:67" ht="18.75" customHeight="1">
      <c r="BM3411" s="1025"/>
      <c r="BO3411" s="43"/>
    </row>
    <row r="3412" spans="65:67" ht="18.75" customHeight="1">
      <c r="BM3412" s="1025"/>
      <c r="BO3412" s="43"/>
    </row>
    <row r="3413" spans="65:67" ht="18.75" customHeight="1">
      <c r="BM3413" s="1025"/>
      <c r="BO3413" s="43"/>
    </row>
    <row r="3414" spans="65:67" ht="18.75" customHeight="1">
      <c r="BM3414" s="1025"/>
      <c r="BO3414" s="43"/>
    </row>
    <row r="3415" spans="65:67" ht="18.75" customHeight="1">
      <c r="BM3415" s="1025"/>
      <c r="BO3415" s="43"/>
    </row>
    <row r="3416" spans="65:67" ht="18.75" customHeight="1">
      <c r="BM3416" s="1025"/>
      <c r="BO3416" s="43"/>
    </row>
    <row r="3417" spans="65:67" ht="18.75" customHeight="1">
      <c r="BM3417" s="1025"/>
      <c r="BO3417" s="43"/>
    </row>
    <row r="3418" spans="65:67" ht="18.75" customHeight="1">
      <c r="BM3418" s="1025"/>
      <c r="BO3418" s="43"/>
    </row>
    <row r="3419" spans="65:67" ht="18.75" customHeight="1">
      <c r="BM3419" s="1025"/>
      <c r="BO3419" s="43"/>
    </row>
    <row r="3420" spans="65:67" ht="18.75" customHeight="1">
      <c r="BM3420" s="1025"/>
      <c r="BO3420" s="43"/>
    </row>
    <row r="3421" spans="65:67" ht="18.75" customHeight="1">
      <c r="BM3421" s="1025"/>
      <c r="BO3421" s="43"/>
    </row>
    <row r="3422" spans="65:67" ht="18.75" customHeight="1">
      <c r="BM3422" s="1025"/>
      <c r="BO3422" s="43"/>
    </row>
    <row r="3423" spans="65:67" ht="18.75" customHeight="1">
      <c r="BM3423" s="1025"/>
      <c r="BO3423" s="43"/>
    </row>
    <row r="3424" spans="65:67" ht="18.75" customHeight="1">
      <c r="BM3424" s="1025"/>
      <c r="BO3424" s="43"/>
    </row>
    <row r="3425" spans="65:67" ht="18.75" customHeight="1">
      <c r="BM3425" s="1025"/>
      <c r="BO3425" s="43"/>
    </row>
    <row r="3426" spans="65:67" ht="18.75" customHeight="1">
      <c r="BM3426" s="1025"/>
      <c r="BO3426" s="43"/>
    </row>
    <row r="3427" spans="65:67" ht="18.75" customHeight="1">
      <c r="BM3427" s="1025"/>
      <c r="BO3427" s="43"/>
    </row>
    <row r="3428" spans="65:67" ht="18.75" customHeight="1">
      <c r="BM3428" s="1025"/>
      <c r="BO3428" s="43"/>
    </row>
    <row r="3429" spans="65:67" ht="18.75" customHeight="1">
      <c r="BM3429" s="1025"/>
      <c r="BO3429" s="43"/>
    </row>
    <row r="3430" spans="65:67" ht="18.75" customHeight="1">
      <c r="BM3430" s="1025"/>
      <c r="BO3430" s="43"/>
    </row>
    <row r="3431" spans="65:67" ht="18.75" customHeight="1">
      <c r="BM3431" s="1025"/>
      <c r="BO3431" s="43"/>
    </row>
    <row r="3432" spans="65:67" ht="18.75" customHeight="1">
      <c r="BM3432" s="1025"/>
      <c r="BO3432" s="43"/>
    </row>
    <row r="3433" spans="65:67" ht="18.75" customHeight="1">
      <c r="BM3433" s="1025"/>
      <c r="BO3433" s="43"/>
    </row>
    <row r="3434" spans="65:67" ht="18.75" customHeight="1">
      <c r="BM3434" s="1025"/>
      <c r="BO3434" s="43"/>
    </row>
    <row r="3435" spans="65:67" ht="18.75" customHeight="1">
      <c r="BM3435" s="1025"/>
      <c r="BO3435" s="43"/>
    </row>
    <row r="3436" spans="65:67" ht="18.75" customHeight="1">
      <c r="BM3436" s="1025"/>
      <c r="BO3436" s="43"/>
    </row>
    <row r="3437" spans="65:67" ht="18.75" customHeight="1">
      <c r="BM3437" s="1025"/>
      <c r="BO3437" s="43"/>
    </row>
    <row r="3438" spans="65:67" ht="18.75" customHeight="1">
      <c r="BM3438" s="1025"/>
      <c r="BO3438" s="43"/>
    </row>
    <row r="3439" spans="65:67" ht="18.75" customHeight="1">
      <c r="BM3439" s="1025"/>
      <c r="BO3439" s="43"/>
    </row>
    <row r="3440" spans="65:67" ht="18.75" customHeight="1">
      <c r="BM3440" s="1025"/>
      <c r="BO3440" s="43"/>
    </row>
    <row r="3441" spans="65:67" ht="18.75" customHeight="1">
      <c r="BM3441" s="1025"/>
      <c r="BO3441" s="43"/>
    </row>
    <row r="3442" spans="65:67" ht="18.75" customHeight="1">
      <c r="BM3442" s="1025"/>
      <c r="BO3442" s="43"/>
    </row>
    <row r="3443" spans="65:67" ht="18.75" customHeight="1">
      <c r="BM3443" s="1025"/>
      <c r="BO3443" s="43"/>
    </row>
    <row r="3444" spans="65:67" ht="18.75" customHeight="1">
      <c r="BM3444" s="1025"/>
      <c r="BO3444" s="43"/>
    </row>
    <row r="3445" spans="65:67" ht="18.75" customHeight="1">
      <c r="BM3445" s="1025"/>
      <c r="BO3445" s="43"/>
    </row>
    <row r="3446" spans="65:67" ht="18.75" customHeight="1">
      <c r="BM3446" s="1025"/>
      <c r="BO3446" s="43"/>
    </row>
    <row r="3447" spans="65:67" ht="18.75" customHeight="1">
      <c r="BM3447" s="1025"/>
      <c r="BO3447" s="43"/>
    </row>
    <row r="3448" spans="65:67" ht="18.75" customHeight="1">
      <c r="BM3448" s="1025"/>
      <c r="BO3448" s="43"/>
    </row>
    <row r="3449" spans="65:67" ht="18.75" customHeight="1">
      <c r="BM3449" s="1025"/>
      <c r="BO3449" s="43"/>
    </row>
    <row r="3450" spans="65:67" ht="18.75" customHeight="1">
      <c r="BM3450" s="1025"/>
      <c r="BO3450" s="43"/>
    </row>
    <row r="3451" spans="65:67" ht="18.75" customHeight="1">
      <c r="BM3451" s="1025"/>
      <c r="BO3451" s="43"/>
    </row>
    <row r="3452" spans="65:67" ht="18.75" customHeight="1">
      <c r="BM3452" s="1025"/>
      <c r="BO3452" s="43"/>
    </row>
    <row r="3453" spans="65:67" ht="18.75" customHeight="1">
      <c r="BM3453" s="1025"/>
      <c r="BO3453" s="43"/>
    </row>
    <row r="3454" spans="65:67" ht="18.75" customHeight="1">
      <c r="BM3454" s="1025"/>
      <c r="BO3454" s="43"/>
    </row>
    <row r="3455" spans="65:67" ht="18.75" customHeight="1">
      <c r="BM3455" s="1025"/>
      <c r="BO3455" s="43"/>
    </row>
    <row r="3456" spans="65:67" ht="18.75" customHeight="1">
      <c r="BM3456" s="1025"/>
      <c r="BO3456" s="43"/>
    </row>
    <row r="3457" spans="65:67" ht="18.75" customHeight="1">
      <c r="BM3457" s="1025"/>
      <c r="BO3457" s="43"/>
    </row>
    <row r="3458" spans="65:67" ht="18.75" customHeight="1">
      <c r="BM3458" s="1025"/>
      <c r="BO3458" s="43"/>
    </row>
    <row r="3459" spans="65:67" ht="18.75" customHeight="1">
      <c r="BM3459" s="1025"/>
      <c r="BO3459" s="43"/>
    </row>
    <row r="3460" spans="65:67" ht="18.75" customHeight="1">
      <c r="BM3460" s="1025"/>
      <c r="BO3460" s="43"/>
    </row>
    <row r="3461" spans="65:67" ht="18.75" customHeight="1">
      <c r="BM3461" s="1025"/>
      <c r="BO3461" s="43"/>
    </row>
    <row r="3462" spans="65:67" ht="18.75" customHeight="1">
      <c r="BM3462" s="1025"/>
      <c r="BO3462" s="43"/>
    </row>
    <row r="3463" spans="65:67" ht="18.75" customHeight="1">
      <c r="BM3463" s="1025"/>
      <c r="BO3463" s="43"/>
    </row>
    <row r="3464" spans="65:67" ht="18.75" customHeight="1">
      <c r="BM3464" s="1025"/>
      <c r="BO3464" s="43"/>
    </row>
    <row r="3465" spans="65:67" ht="18.75" customHeight="1">
      <c r="BM3465" s="1025"/>
      <c r="BO3465" s="43"/>
    </row>
    <row r="3466" spans="65:67" ht="18.75" customHeight="1">
      <c r="BM3466" s="1025"/>
      <c r="BO3466" s="43"/>
    </row>
    <row r="3467" spans="65:67" ht="18.75" customHeight="1">
      <c r="BM3467" s="1025"/>
      <c r="BO3467" s="43"/>
    </row>
    <row r="3468" spans="65:67" ht="18.75" customHeight="1">
      <c r="BM3468" s="1025"/>
      <c r="BO3468" s="43"/>
    </row>
    <row r="3469" spans="65:67" ht="18.75" customHeight="1">
      <c r="BM3469" s="1025"/>
      <c r="BO3469" s="43"/>
    </row>
    <row r="3470" spans="65:67" ht="18.75" customHeight="1">
      <c r="BM3470" s="1025"/>
      <c r="BO3470" s="43"/>
    </row>
    <row r="3471" spans="65:67" ht="18.75" customHeight="1">
      <c r="BM3471" s="1025"/>
      <c r="BO3471" s="43"/>
    </row>
    <row r="3472" spans="65:67" ht="18.75" customHeight="1">
      <c r="BM3472" s="1025"/>
      <c r="BO3472" s="43"/>
    </row>
    <row r="3473" spans="65:67" ht="18.75" customHeight="1">
      <c r="BM3473" s="1025"/>
      <c r="BO3473" s="43"/>
    </row>
    <row r="3474" spans="65:67" ht="18.75" customHeight="1">
      <c r="BM3474" s="1025"/>
      <c r="BO3474" s="43"/>
    </row>
    <row r="3475" spans="65:67" ht="18.75" customHeight="1">
      <c r="BM3475" s="1025"/>
      <c r="BO3475" s="43"/>
    </row>
    <row r="3476" spans="65:67" ht="18.75" customHeight="1">
      <c r="BM3476" s="1025"/>
      <c r="BO3476" s="43"/>
    </row>
    <row r="3477" spans="65:67" ht="18.75" customHeight="1">
      <c r="BM3477" s="1025"/>
      <c r="BO3477" s="43"/>
    </row>
    <row r="3478" spans="65:67" ht="18.75" customHeight="1">
      <c r="BM3478" s="1025"/>
      <c r="BO3478" s="43"/>
    </row>
    <row r="3479" spans="65:67" ht="18.75" customHeight="1">
      <c r="BM3479" s="1025"/>
      <c r="BO3479" s="43"/>
    </row>
    <row r="3480" spans="65:67" ht="18.75" customHeight="1">
      <c r="BM3480" s="1025"/>
      <c r="BO3480" s="43"/>
    </row>
    <row r="3481" spans="65:67" ht="18.75" customHeight="1">
      <c r="BM3481" s="1025"/>
      <c r="BO3481" s="43"/>
    </row>
    <row r="3482" spans="65:67" ht="18.75" customHeight="1">
      <c r="BM3482" s="1025"/>
      <c r="BO3482" s="43"/>
    </row>
    <row r="3483" spans="65:67" ht="18.75" customHeight="1">
      <c r="BM3483" s="1025"/>
      <c r="BO3483" s="43"/>
    </row>
    <row r="3484" spans="65:67" ht="18.75" customHeight="1">
      <c r="BM3484" s="1025"/>
      <c r="BO3484" s="43"/>
    </row>
    <row r="3485" spans="65:67" ht="18.75" customHeight="1">
      <c r="BM3485" s="1025"/>
      <c r="BO3485" s="43"/>
    </row>
    <row r="3486" spans="65:67" ht="18.75" customHeight="1">
      <c r="BM3486" s="1025"/>
      <c r="BO3486" s="43"/>
    </row>
    <row r="3487" spans="65:67" ht="18.75" customHeight="1">
      <c r="BM3487" s="1025"/>
      <c r="BO3487" s="43"/>
    </row>
    <row r="3488" spans="65:67" ht="18.75" customHeight="1">
      <c r="BM3488" s="1025"/>
      <c r="BO3488" s="43"/>
    </row>
    <row r="3489" spans="65:67" ht="18.75" customHeight="1">
      <c r="BM3489" s="1025"/>
      <c r="BO3489" s="43"/>
    </row>
    <row r="3490" spans="65:67" ht="18.75" customHeight="1">
      <c r="BM3490" s="1025"/>
      <c r="BO3490" s="43"/>
    </row>
    <row r="3491" spans="65:67" ht="18.75" customHeight="1">
      <c r="BM3491" s="1025"/>
      <c r="BO3491" s="43"/>
    </row>
    <row r="3492" spans="65:67" ht="18.75" customHeight="1">
      <c r="BM3492" s="1025"/>
      <c r="BO3492" s="43"/>
    </row>
    <row r="3493" spans="65:67" ht="18.75" customHeight="1">
      <c r="BM3493" s="1025"/>
      <c r="BO3493" s="43"/>
    </row>
    <row r="3494" spans="65:67" ht="18.75" customHeight="1">
      <c r="BM3494" s="1025"/>
      <c r="BO3494" s="43"/>
    </row>
    <row r="3495" spans="65:67" ht="18.75" customHeight="1">
      <c r="BM3495" s="1025"/>
      <c r="BO3495" s="43"/>
    </row>
    <row r="3496" spans="65:67" ht="18.75" customHeight="1">
      <c r="BM3496" s="1025"/>
      <c r="BO3496" s="43"/>
    </row>
    <row r="3497" spans="65:67" ht="18.75" customHeight="1">
      <c r="BM3497" s="1025"/>
      <c r="BO3497" s="43"/>
    </row>
    <row r="3498" spans="65:67" ht="18.75" customHeight="1">
      <c r="BM3498" s="1025"/>
      <c r="BO3498" s="43"/>
    </row>
    <row r="3499" spans="65:67" ht="18.75" customHeight="1">
      <c r="BM3499" s="1025"/>
      <c r="BO3499" s="43"/>
    </row>
    <row r="3500" spans="65:67" ht="18.75" customHeight="1">
      <c r="BM3500" s="1025"/>
      <c r="BO3500" s="43"/>
    </row>
    <row r="3501" spans="65:67" ht="18.75" customHeight="1">
      <c r="BM3501" s="1025"/>
      <c r="BO3501" s="43"/>
    </row>
    <row r="3502" spans="65:67" ht="18.75" customHeight="1">
      <c r="BM3502" s="1025"/>
      <c r="BO3502" s="43"/>
    </row>
    <row r="3503" spans="65:67" ht="18.75" customHeight="1">
      <c r="BM3503" s="1025"/>
      <c r="BO3503" s="43"/>
    </row>
    <row r="3504" spans="65:67" ht="18.75" customHeight="1">
      <c r="BM3504" s="1025"/>
      <c r="BO3504" s="43"/>
    </row>
    <row r="3505" spans="65:67" ht="18.75" customHeight="1">
      <c r="BM3505" s="1025"/>
      <c r="BO3505" s="43"/>
    </row>
    <row r="3506" spans="65:67" ht="18.75" customHeight="1">
      <c r="BM3506" s="1025"/>
      <c r="BO3506" s="43"/>
    </row>
    <row r="3507" spans="65:67" ht="18.75" customHeight="1">
      <c r="BM3507" s="1025"/>
      <c r="BO3507" s="43"/>
    </row>
    <row r="3508" spans="65:67" ht="18.75" customHeight="1">
      <c r="BM3508" s="1025"/>
      <c r="BO3508" s="43"/>
    </row>
    <row r="3509" spans="65:67" ht="18.75" customHeight="1">
      <c r="BM3509" s="1025"/>
      <c r="BO3509" s="43"/>
    </row>
    <row r="3510" spans="65:67" ht="18.75" customHeight="1">
      <c r="BM3510" s="1025"/>
      <c r="BO3510" s="43"/>
    </row>
    <row r="3511" spans="65:67" ht="18.75" customHeight="1">
      <c r="BM3511" s="1025"/>
      <c r="BO3511" s="43"/>
    </row>
    <row r="3512" spans="65:67" ht="18.75" customHeight="1">
      <c r="BM3512" s="1025"/>
      <c r="BO3512" s="43"/>
    </row>
    <row r="3513" spans="65:67" ht="18.75" customHeight="1">
      <c r="BM3513" s="1025"/>
      <c r="BO3513" s="43"/>
    </row>
    <row r="3514" spans="65:67" ht="18.75" customHeight="1">
      <c r="BM3514" s="1025"/>
      <c r="BO3514" s="43"/>
    </row>
    <row r="3515" spans="65:67" ht="18.75" customHeight="1">
      <c r="BM3515" s="1025"/>
      <c r="BO3515" s="43"/>
    </row>
    <row r="3516" spans="65:67" ht="18.75" customHeight="1">
      <c r="BM3516" s="1025"/>
      <c r="BO3516" s="43"/>
    </row>
    <row r="3517" spans="65:67" ht="18.75" customHeight="1">
      <c r="BM3517" s="1025"/>
      <c r="BO3517" s="43"/>
    </row>
    <row r="3518" spans="65:67" ht="18.75" customHeight="1">
      <c r="BM3518" s="1025"/>
      <c r="BO3518" s="43"/>
    </row>
    <row r="3519" spans="65:67" ht="18.75" customHeight="1">
      <c r="BM3519" s="1025"/>
      <c r="BO3519" s="43"/>
    </row>
    <row r="3520" spans="65:67" ht="18.75" customHeight="1">
      <c r="BM3520" s="1025"/>
      <c r="BO3520" s="43"/>
    </row>
    <row r="3521" spans="65:67" ht="18.75" customHeight="1">
      <c r="BM3521" s="1025"/>
      <c r="BO3521" s="43"/>
    </row>
    <row r="3522" spans="65:67" ht="18.75" customHeight="1">
      <c r="BM3522" s="1025"/>
      <c r="BO3522" s="43"/>
    </row>
    <row r="3523" spans="65:67" ht="18.75" customHeight="1">
      <c r="BM3523" s="1025"/>
      <c r="BO3523" s="43"/>
    </row>
    <row r="3524" spans="65:67" ht="18.75" customHeight="1">
      <c r="BM3524" s="1025"/>
      <c r="BO3524" s="43"/>
    </row>
    <row r="3525" spans="65:67" ht="18.75" customHeight="1">
      <c r="BM3525" s="1025"/>
      <c r="BO3525" s="43"/>
    </row>
    <row r="3526" spans="65:67" ht="18.75" customHeight="1">
      <c r="BM3526" s="1025"/>
      <c r="BO3526" s="43"/>
    </row>
    <row r="3527" spans="65:67" ht="18.75" customHeight="1">
      <c r="BM3527" s="1025"/>
      <c r="BO3527" s="43"/>
    </row>
    <row r="3528" spans="65:67" ht="18.75" customHeight="1">
      <c r="BM3528" s="1025"/>
      <c r="BO3528" s="43"/>
    </row>
    <row r="3529" spans="65:67" ht="18.75" customHeight="1">
      <c r="BM3529" s="1025"/>
      <c r="BO3529" s="43"/>
    </row>
    <row r="3530" spans="65:67" ht="18.75" customHeight="1">
      <c r="BM3530" s="1025"/>
      <c r="BO3530" s="43"/>
    </row>
    <row r="3531" spans="65:67" ht="18.75" customHeight="1">
      <c r="BM3531" s="1025"/>
      <c r="BO3531" s="43"/>
    </row>
    <row r="3532" spans="65:67" ht="18.75" customHeight="1">
      <c r="BM3532" s="1025"/>
      <c r="BO3532" s="43"/>
    </row>
    <row r="3533" spans="65:67" ht="18.75" customHeight="1">
      <c r="BM3533" s="1025"/>
      <c r="BO3533" s="43"/>
    </row>
    <row r="3534" spans="65:67" ht="18.75" customHeight="1">
      <c r="BM3534" s="1025"/>
      <c r="BO3534" s="43"/>
    </row>
    <row r="3535" spans="65:67" ht="18.75" customHeight="1">
      <c r="BM3535" s="1025"/>
      <c r="BO3535" s="43"/>
    </row>
    <row r="3536" spans="65:67" ht="18.75" customHeight="1">
      <c r="BM3536" s="1025"/>
      <c r="BO3536" s="43"/>
    </row>
    <row r="3537" spans="65:67" ht="18.75" customHeight="1">
      <c r="BM3537" s="1025"/>
      <c r="BO3537" s="43"/>
    </row>
    <row r="3538" spans="65:67" ht="18.75" customHeight="1">
      <c r="BM3538" s="1025"/>
      <c r="BO3538" s="43"/>
    </row>
    <row r="3539" spans="65:67" ht="18.75" customHeight="1">
      <c r="BM3539" s="1025"/>
      <c r="BO3539" s="43"/>
    </row>
    <row r="3540" spans="65:67" ht="18.75" customHeight="1">
      <c r="BM3540" s="1025"/>
      <c r="BO3540" s="43"/>
    </row>
    <row r="3541" spans="65:67" ht="18.75" customHeight="1">
      <c r="BM3541" s="1025"/>
      <c r="BO3541" s="43"/>
    </row>
    <row r="3542" spans="65:67" ht="18.75" customHeight="1">
      <c r="BM3542" s="1025"/>
      <c r="BO3542" s="43"/>
    </row>
    <row r="3543" spans="65:67" ht="18.75" customHeight="1">
      <c r="BM3543" s="1025"/>
      <c r="BO3543" s="43"/>
    </row>
    <row r="3544" spans="65:67" ht="18.75" customHeight="1">
      <c r="BM3544" s="1025"/>
      <c r="BO3544" s="43"/>
    </row>
    <row r="3545" spans="65:67" ht="18.75" customHeight="1">
      <c r="BM3545" s="1025"/>
      <c r="BO3545" s="43"/>
    </row>
    <row r="3546" spans="65:67" ht="18.75" customHeight="1">
      <c r="BM3546" s="1025"/>
      <c r="BO3546" s="43"/>
    </row>
    <row r="3547" spans="65:67" ht="18.75" customHeight="1">
      <c r="BM3547" s="1025"/>
      <c r="BO3547" s="43"/>
    </row>
    <row r="3548" spans="65:67" ht="18.75" customHeight="1">
      <c r="BM3548" s="1025"/>
      <c r="BO3548" s="43"/>
    </row>
    <row r="3549" spans="65:67" ht="18.75" customHeight="1">
      <c r="BM3549" s="1025"/>
      <c r="BO3549" s="43"/>
    </row>
    <row r="3550" spans="65:67" ht="18.75" customHeight="1">
      <c r="BM3550" s="1025"/>
      <c r="BO3550" s="43"/>
    </row>
    <row r="3551" spans="65:67" ht="18.75" customHeight="1">
      <c r="BM3551" s="1025"/>
      <c r="BO3551" s="43"/>
    </row>
    <row r="3552" spans="65:67" ht="18.75" customHeight="1">
      <c r="BM3552" s="1025"/>
      <c r="BO3552" s="43"/>
    </row>
    <row r="3553" spans="65:67" ht="18.75" customHeight="1">
      <c r="BM3553" s="1025"/>
      <c r="BO3553" s="43"/>
    </row>
    <row r="3554" spans="65:67" ht="18.75" customHeight="1">
      <c r="BM3554" s="1025"/>
      <c r="BO3554" s="43"/>
    </row>
    <row r="3555" spans="65:67" ht="18.75" customHeight="1">
      <c r="BM3555" s="1025"/>
      <c r="BO3555" s="43"/>
    </row>
    <row r="3556" spans="65:67" ht="18.75" customHeight="1">
      <c r="BM3556" s="1025"/>
      <c r="BO3556" s="43"/>
    </row>
    <row r="3557" spans="65:67" ht="18.75" customHeight="1">
      <c r="BM3557" s="1025"/>
      <c r="BO3557" s="43"/>
    </row>
    <row r="3558" spans="65:67" ht="18.75" customHeight="1">
      <c r="BM3558" s="1025"/>
      <c r="BO3558" s="43"/>
    </row>
    <row r="3559" spans="65:67" ht="18.75" customHeight="1">
      <c r="BM3559" s="1025"/>
      <c r="BO3559" s="43"/>
    </row>
    <row r="3560" spans="65:67" ht="18.75" customHeight="1">
      <c r="BM3560" s="1025"/>
      <c r="BO3560" s="43"/>
    </row>
    <row r="3561" spans="65:67" ht="18.75" customHeight="1">
      <c r="BM3561" s="1025"/>
      <c r="BO3561" s="43"/>
    </row>
    <row r="3562" spans="65:67" ht="18.75" customHeight="1">
      <c r="BM3562" s="1025"/>
      <c r="BO3562" s="43"/>
    </row>
    <row r="3563" spans="65:67" ht="18.75" customHeight="1">
      <c r="BM3563" s="1025"/>
      <c r="BO3563" s="43"/>
    </row>
    <row r="3564" spans="65:67" ht="18.75" customHeight="1">
      <c r="BM3564" s="1025"/>
      <c r="BO3564" s="43"/>
    </row>
    <row r="3565" spans="65:67" ht="18.75" customHeight="1">
      <c r="BM3565" s="1025"/>
      <c r="BO3565" s="43"/>
    </row>
    <row r="3566" spans="65:67" ht="18.75" customHeight="1">
      <c r="BM3566" s="1025"/>
      <c r="BO3566" s="43"/>
    </row>
    <row r="3567" spans="65:67" ht="18.75" customHeight="1">
      <c r="BM3567" s="1025"/>
      <c r="BO3567" s="43"/>
    </row>
    <row r="3568" spans="65:67" ht="18.75" customHeight="1">
      <c r="BM3568" s="1025"/>
      <c r="BO3568" s="43"/>
    </row>
    <row r="3569" spans="65:67" ht="18.75" customHeight="1">
      <c r="BM3569" s="1025"/>
      <c r="BO3569" s="43"/>
    </row>
    <row r="3570" spans="65:67" ht="18.75" customHeight="1">
      <c r="BM3570" s="1025"/>
      <c r="BO3570" s="43"/>
    </row>
    <row r="3571" spans="65:67" ht="18.75" customHeight="1">
      <c r="BM3571" s="1025"/>
      <c r="BO3571" s="43"/>
    </row>
    <row r="3572" spans="65:67" ht="18.75" customHeight="1">
      <c r="BM3572" s="1025"/>
      <c r="BO3572" s="43"/>
    </row>
    <row r="3573" spans="65:67" ht="18.75" customHeight="1">
      <c r="BM3573" s="1025"/>
      <c r="BO3573" s="43"/>
    </row>
    <row r="3574" spans="65:67" ht="18.75" customHeight="1">
      <c r="BM3574" s="1025"/>
      <c r="BO3574" s="43"/>
    </row>
    <row r="3575" spans="65:67" ht="18.75" customHeight="1">
      <c r="BM3575" s="1025"/>
      <c r="BO3575" s="43"/>
    </row>
    <row r="3576" spans="65:67" ht="18.75" customHeight="1">
      <c r="BM3576" s="1025"/>
      <c r="BO3576" s="43"/>
    </row>
    <row r="3577" spans="65:67" ht="18.75" customHeight="1">
      <c r="BM3577" s="1025"/>
      <c r="BO3577" s="43"/>
    </row>
    <row r="3578" spans="65:67" ht="18.75" customHeight="1">
      <c r="BM3578" s="1025"/>
      <c r="BO3578" s="43"/>
    </row>
    <row r="3579" spans="65:67" ht="18.75" customHeight="1">
      <c r="BM3579" s="1025"/>
      <c r="BO3579" s="43"/>
    </row>
    <row r="3580" spans="65:67" ht="18.75" customHeight="1">
      <c r="BM3580" s="1025"/>
      <c r="BO3580" s="43"/>
    </row>
    <row r="3581" spans="65:67" ht="18.75" customHeight="1">
      <c r="BM3581" s="1025"/>
      <c r="BO3581" s="43"/>
    </row>
    <row r="3582" spans="65:67" ht="18.75" customHeight="1">
      <c r="BM3582" s="1025"/>
      <c r="BO3582" s="43"/>
    </row>
    <row r="3583" spans="65:67" ht="18.75" customHeight="1">
      <c r="BM3583" s="1025"/>
      <c r="BO3583" s="43"/>
    </row>
    <row r="3584" spans="65:67" ht="18.75" customHeight="1">
      <c r="BM3584" s="1025"/>
      <c r="BO3584" s="43"/>
    </row>
    <row r="3585" spans="65:67" ht="18.75" customHeight="1">
      <c r="BM3585" s="1025"/>
      <c r="BO3585" s="43"/>
    </row>
    <row r="3586" spans="65:67" ht="18.75" customHeight="1">
      <c r="BM3586" s="1025"/>
      <c r="BO3586" s="43"/>
    </row>
    <row r="3587" spans="65:67" ht="18.75" customHeight="1">
      <c r="BM3587" s="1025"/>
      <c r="BO3587" s="43"/>
    </row>
    <row r="3588" spans="65:67" ht="18.75" customHeight="1">
      <c r="BM3588" s="1025"/>
      <c r="BO3588" s="43"/>
    </row>
    <row r="3589" spans="65:67" ht="18.75" customHeight="1">
      <c r="BM3589" s="1025"/>
      <c r="BO3589" s="43"/>
    </row>
    <row r="3590" spans="65:67" ht="18.75" customHeight="1">
      <c r="BM3590" s="1025"/>
      <c r="BO3590" s="43"/>
    </row>
    <row r="3591" spans="65:67" ht="18.75" customHeight="1">
      <c r="BM3591" s="1025"/>
      <c r="BO3591" s="43"/>
    </row>
    <row r="3592" spans="65:67" ht="18.75" customHeight="1">
      <c r="BM3592" s="1025"/>
      <c r="BO3592" s="43"/>
    </row>
    <row r="3593" spans="65:67" ht="18.75" customHeight="1">
      <c r="BM3593" s="1025"/>
      <c r="BO3593" s="43"/>
    </row>
    <row r="3594" spans="65:67" ht="18.75" customHeight="1">
      <c r="BM3594" s="1025"/>
      <c r="BO3594" s="43"/>
    </row>
    <row r="3595" spans="65:67" ht="18.75" customHeight="1">
      <c r="BM3595" s="1025"/>
      <c r="BO3595" s="43"/>
    </row>
    <row r="3596" spans="65:67" ht="18.75" customHeight="1">
      <c r="BM3596" s="1025"/>
      <c r="BO3596" s="43"/>
    </row>
    <row r="3597" spans="65:67" ht="18.75" customHeight="1">
      <c r="BM3597" s="1025"/>
      <c r="BO3597" s="43"/>
    </row>
    <row r="3598" spans="65:67" ht="18.75" customHeight="1">
      <c r="BM3598" s="1025"/>
      <c r="BO3598" s="43"/>
    </row>
    <row r="3599" spans="65:67" ht="18.75" customHeight="1">
      <c r="BM3599" s="1025"/>
      <c r="BO3599" s="43"/>
    </row>
    <row r="3600" spans="65:67" ht="18.75" customHeight="1">
      <c r="BM3600" s="1025"/>
      <c r="BO3600" s="43"/>
    </row>
    <row r="3601" spans="65:67" ht="18.75" customHeight="1">
      <c r="BM3601" s="1025"/>
      <c r="BO3601" s="43"/>
    </row>
    <row r="3602" spans="65:67" ht="18.75" customHeight="1">
      <c r="BM3602" s="1025"/>
      <c r="BO3602" s="43"/>
    </row>
    <row r="3603" spans="65:67" ht="18.75" customHeight="1">
      <c r="BM3603" s="1025"/>
      <c r="BO3603" s="43"/>
    </row>
    <row r="3604" spans="65:67" ht="18.75" customHeight="1">
      <c r="BM3604" s="1025"/>
      <c r="BO3604" s="43"/>
    </row>
    <row r="3605" spans="65:67" ht="18.75" customHeight="1">
      <c r="BM3605" s="1025"/>
      <c r="BO3605" s="43"/>
    </row>
    <row r="3606" spans="65:67" ht="18.75" customHeight="1">
      <c r="BM3606" s="1025"/>
      <c r="BO3606" s="43"/>
    </row>
    <row r="3607" spans="65:67" ht="18.75" customHeight="1">
      <c r="BM3607" s="1025"/>
      <c r="BO3607" s="43"/>
    </row>
    <row r="3608" spans="65:67" ht="18.75" customHeight="1">
      <c r="BM3608" s="1025"/>
      <c r="BO3608" s="43"/>
    </row>
    <row r="3609" spans="65:67" ht="18.75" customHeight="1">
      <c r="BM3609" s="1025"/>
      <c r="BO3609" s="43"/>
    </row>
    <row r="3610" spans="65:67" ht="18.75" customHeight="1">
      <c r="BM3610" s="1025"/>
      <c r="BO3610" s="43"/>
    </row>
    <row r="3611" spans="65:67" ht="18.75" customHeight="1">
      <c r="BM3611" s="1025"/>
      <c r="BO3611" s="43"/>
    </row>
    <row r="3612" spans="65:67" ht="18.75" customHeight="1">
      <c r="BM3612" s="1025"/>
      <c r="BO3612" s="43"/>
    </row>
    <row r="3613" spans="65:67" ht="18.75" customHeight="1">
      <c r="BM3613" s="1025"/>
      <c r="BO3613" s="43"/>
    </row>
    <row r="3614" spans="65:67" ht="18.75" customHeight="1">
      <c r="BM3614" s="1025"/>
      <c r="BO3614" s="43"/>
    </row>
    <row r="3615" spans="65:67" ht="18.75" customHeight="1">
      <c r="BM3615" s="1025"/>
      <c r="BO3615" s="43"/>
    </row>
    <row r="3616" spans="65:67" ht="18.75" customHeight="1">
      <c r="BM3616" s="1025"/>
      <c r="BO3616" s="43"/>
    </row>
    <row r="3617" spans="65:67" ht="18.75" customHeight="1">
      <c r="BM3617" s="1025"/>
      <c r="BO3617" s="43"/>
    </row>
    <row r="3618" spans="65:67" ht="18.75" customHeight="1">
      <c r="BM3618" s="1025"/>
      <c r="BO3618" s="43"/>
    </row>
    <row r="3619" spans="65:67" ht="18.75" customHeight="1">
      <c r="BM3619" s="1025"/>
      <c r="BO3619" s="43"/>
    </row>
    <row r="3620" spans="65:67" ht="18.75" customHeight="1">
      <c r="BM3620" s="1025"/>
      <c r="BO3620" s="43"/>
    </row>
    <row r="3621" spans="65:67" ht="18.75" customHeight="1">
      <c r="BM3621" s="1025"/>
      <c r="BO3621" s="43"/>
    </row>
    <row r="3622" spans="65:67" ht="18.75" customHeight="1">
      <c r="BM3622" s="1025"/>
      <c r="BO3622" s="43"/>
    </row>
    <row r="3623" spans="65:67" ht="18.75" customHeight="1">
      <c r="BM3623" s="1025"/>
      <c r="BO3623" s="43"/>
    </row>
    <row r="3624" spans="65:67" ht="18.75" customHeight="1">
      <c r="BM3624" s="1025"/>
      <c r="BO3624" s="43"/>
    </row>
    <row r="3625" spans="65:67" ht="18.75" customHeight="1">
      <c r="BM3625" s="1025"/>
      <c r="BO3625" s="43"/>
    </row>
    <row r="3626" spans="65:67" ht="18.75" customHeight="1">
      <c r="BM3626" s="1025"/>
      <c r="BO3626" s="43"/>
    </row>
    <row r="3627" spans="65:67" ht="18.75" customHeight="1">
      <c r="BM3627" s="1025"/>
      <c r="BO3627" s="43"/>
    </row>
    <row r="3628" spans="65:67" ht="18.75" customHeight="1">
      <c r="BM3628" s="1025"/>
      <c r="BO3628" s="43"/>
    </row>
    <row r="3629" spans="65:67" ht="18.75" customHeight="1">
      <c r="BM3629" s="1025"/>
      <c r="BO3629" s="43"/>
    </row>
    <row r="3630" spans="65:67" ht="18.75" customHeight="1">
      <c r="BM3630" s="1025"/>
      <c r="BO3630" s="43"/>
    </row>
    <row r="3631" spans="65:67" ht="18.75" customHeight="1">
      <c r="BM3631" s="1025"/>
      <c r="BO3631" s="43"/>
    </row>
    <row r="3632" spans="65:67" ht="18.75" customHeight="1">
      <c r="BM3632" s="1025"/>
      <c r="BO3632" s="43"/>
    </row>
    <row r="3633" spans="65:67" ht="18.75" customHeight="1">
      <c r="BM3633" s="1025"/>
      <c r="BO3633" s="43"/>
    </row>
    <row r="3634" spans="65:67" ht="18.75" customHeight="1">
      <c r="BM3634" s="1025"/>
      <c r="BO3634" s="43"/>
    </row>
    <row r="3635" spans="65:67" ht="18.75" customHeight="1">
      <c r="BM3635" s="1025"/>
      <c r="BO3635" s="43"/>
    </row>
    <row r="3636" spans="65:67" ht="18.75" customHeight="1">
      <c r="BM3636" s="1025"/>
      <c r="BO3636" s="43"/>
    </row>
    <row r="3637" spans="65:67" ht="18.75" customHeight="1">
      <c r="BM3637" s="1025"/>
      <c r="BO3637" s="43"/>
    </row>
    <row r="3638" spans="65:67" ht="18.75" customHeight="1">
      <c r="BM3638" s="1025"/>
      <c r="BO3638" s="43"/>
    </row>
    <row r="3639" spans="65:67" ht="18.75" customHeight="1">
      <c r="BM3639" s="1025"/>
      <c r="BO3639" s="43"/>
    </row>
    <row r="3640" spans="65:67" ht="18.75" customHeight="1">
      <c r="BM3640" s="1025"/>
      <c r="BO3640" s="43"/>
    </row>
    <row r="3641" spans="65:67" ht="18.75" customHeight="1">
      <c r="BM3641" s="1025"/>
      <c r="BO3641" s="43"/>
    </row>
    <row r="3642" spans="65:67" ht="18.75" customHeight="1">
      <c r="BM3642" s="1025"/>
      <c r="BO3642" s="43"/>
    </row>
    <row r="3643" spans="65:67" ht="18.75" customHeight="1">
      <c r="BM3643" s="1025"/>
      <c r="BO3643" s="43"/>
    </row>
    <row r="3644" spans="65:67" ht="18.75" customHeight="1">
      <c r="BM3644" s="1025"/>
      <c r="BO3644" s="43"/>
    </row>
    <row r="3645" spans="65:67" ht="18.75" customHeight="1">
      <c r="BM3645" s="1025"/>
      <c r="BO3645" s="43"/>
    </row>
    <row r="3646" spans="65:67" ht="18.75" customHeight="1">
      <c r="BM3646" s="1025"/>
      <c r="BO3646" s="43"/>
    </row>
    <row r="3647" spans="65:67" ht="18.75" customHeight="1">
      <c r="BM3647" s="1025"/>
      <c r="BO3647" s="43"/>
    </row>
    <row r="3648" spans="65:67" ht="18.75" customHeight="1">
      <c r="BM3648" s="1025"/>
      <c r="BO3648" s="43"/>
    </row>
    <row r="3649" spans="65:67" ht="18.75" customHeight="1">
      <c r="BM3649" s="1025"/>
      <c r="BO3649" s="43"/>
    </row>
    <row r="3650" spans="65:67" ht="18.75" customHeight="1">
      <c r="BM3650" s="1025"/>
      <c r="BO3650" s="43"/>
    </row>
    <row r="3651" spans="65:67" ht="18.75" customHeight="1">
      <c r="BM3651" s="1025"/>
      <c r="BO3651" s="43"/>
    </row>
    <row r="3652" spans="65:67" ht="18.75" customHeight="1">
      <c r="BM3652" s="1025"/>
      <c r="BO3652" s="43"/>
    </row>
    <row r="3653" spans="65:67" ht="18.75" customHeight="1">
      <c r="BM3653" s="1025"/>
      <c r="BO3653" s="43"/>
    </row>
    <row r="3654" spans="65:67" ht="18.75" customHeight="1">
      <c r="BM3654" s="1025"/>
      <c r="BO3654" s="43"/>
    </row>
    <row r="3655" spans="65:67" ht="18.75" customHeight="1">
      <c r="BM3655" s="1025"/>
      <c r="BO3655" s="43"/>
    </row>
    <row r="3656" spans="65:67" ht="18.75" customHeight="1">
      <c r="BM3656" s="1025"/>
      <c r="BO3656" s="43"/>
    </row>
    <row r="3657" spans="65:67" ht="18.75" customHeight="1">
      <c r="BM3657" s="1025"/>
      <c r="BO3657" s="43"/>
    </row>
    <row r="3658" spans="65:67" ht="18.75" customHeight="1">
      <c r="BM3658" s="1025"/>
      <c r="BO3658" s="43"/>
    </row>
    <row r="3659" spans="65:67" ht="18.75" customHeight="1">
      <c r="BM3659" s="1025"/>
      <c r="BO3659" s="43"/>
    </row>
    <row r="3660" spans="65:67" ht="18.75" customHeight="1">
      <c r="BM3660" s="1025"/>
      <c r="BO3660" s="43"/>
    </row>
    <row r="3661" spans="65:67" ht="18.75" customHeight="1">
      <c r="BM3661" s="1025"/>
      <c r="BO3661" s="43"/>
    </row>
    <row r="3662" spans="65:67" ht="18.75" customHeight="1">
      <c r="BM3662" s="1025"/>
      <c r="BO3662" s="43"/>
    </row>
    <row r="3663" spans="65:67" ht="18.75" customHeight="1">
      <c r="BM3663" s="1025"/>
      <c r="BO3663" s="43"/>
    </row>
    <row r="3664" spans="65:67" ht="18.75" customHeight="1">
      <c r="BM3664" s="1025"/>
      <c r="BO3664" s="43"/>
    </row>
    <row r="3665" spans="65:67" ht="18.75" customHeight="1">
      <c r="BM3665" s="1025"/>
      <c r="BO3665" s="43"/>
    </row>
    <row r="3666" spans="65:67" ht="18.75" customHeight="1">
      <c r="BM3666" s="1025"/>
      <c r="BO3666" s="43"/>
    </row>
    <row r="3667" spans="65:67" ht="18.75" customHeight="1">
      <c r="BM3667" s="1025"/>
      <c r="BO3667" s="43"/>
    </row>
    <row r="3668" spans="65:67" ht="18.75" customHeight="1">
      <c r="BM3668" s="1025"/>
      <c r="BO3668" s="43"/>
    </row>
    <row r="3669" spans="65:67" ht="18.75" customHeight="1">
      <c r="BM3669" s="1025"/>
      <c r="BO3669" s="43"/>
    </row>
    <row r="3670" spans="65:67" ht="18.75" customHeight="1">
      <c r="BM3670" s="1025"/>
      <c r="BO3670" s="43"/>
    </row>
    <row r="3671" spans="65:67" ht="18.75" customHeight="1">
      <c r="BM3671" s="1025"/>
      <c r="BO3671" s="43"/>
    </row>
    <row r="3672" spans="65:67" ht="18.75" customHeight="1">
      <c r="BM3672" s="1025"/>
      <c r="BO3672" s="43"/>
    </row>
    <row r="3673" spans="65:67" ht="18.75" customHeight="1">
      <c r="BM3673" s="1025"/>
      <c r="BO3673" s="43"/>
    </row>
    <row r="3674" spans="65:67" ht="18.75" customHeight="1">
      <c r="BM3674" s="1025"/>
      <c r="BO3674" s="43"/>
    </row>
    <row r="3675" spans="65:67" ht="18.75" customHeight="1">
      <c r="BM3675" s="1025"/>
      <c r="BO3675" s="43"/>
    </row>
    <row r="3676" spans="65:67" ht="18.75" customHeight="1">
      <c r="BM3676" s="1025"/>
      <c r="BO3676" s="43"/>
    </row>
    <row r="3677" spans="65:67" ht="18.75" customHeight="1">
      <c r="BM3677" s="1025"/>
      <c r="BO3677" s="43"/>
    </row>
    <row r="3678" spans="65:67" ht="18.75" customHeight="1">
      <c r="BM3678" s="1025"/>
      <c r="BO3678" s="43"/>
    </row>
    <row r="3679" spans="65:67" ht="18.75" customHeight="1">
      <c r="BM3679" s="1025"/>
      <c r="BO3679" s="43"/>
    </row>
    <row r="3680" spans="65:67" ht="18.75" customHeight="1">
      <c r="BM3680" s="1025"/>
      <c r="BO3680" s="43"/>
    </row>
    <row r="3681" spans="65:67" ht="18.75" customHeight="1">
      <c r="BM3681" s="1025"/>
      <c r="BO3681" s="43"/>
    </row>
    <row r="3682" spans="65:67" ht="18.75" customHeight="1">
      <c r="BM3682" s="1025"/>
      <c r="BO3682" s="43"/>
    </row>
    <row r="3683" spans="65:67" ht="18.75" customHeight="1">
      <c r="BM3683" s="1025"/>
      <c r="BO3683" s="43"/>
    </row>
    <row r="3684" spans="65:67" ht="18.75" customHeight="1">
      <c r="BM3684" s="1025"/>
      <c r="BO3684" s="43"/>
    </row>
    <row r="3685" spans="65:67" ht="18.75" customHeight="1">
      <c r="BM3685" s="1025"/>
      <c r="BO3685" s="43"/>
    </row>
    <row r="3686" spans="65:67" ht="18.75" customHeight="1">
      <c r="BM3686" s="1025"/>
      <c r="BO3686" s="43"/>
    </row>
    <row r="3687" spans="65:67" ht="18.75" customHeight="1">
      <c r="BM3687" s="1025"/>
      <c r="BO3687" s="43"/>
    </row>
    <row r="3688" spans="65:67" ht="18.75" customHeight="1">
      <c r="BM3688" s="1025"/>
      <c r="BO3688" s="43"/>
    </row>
    <row r="3689" spans="65:67" ht="18.75" customHeight="1">
      <c r="BM3689" s="1025"/>
      <c r="BO3689" s="43"/>
    </row>
    <row r="3690" spans="65:67" ht="18.75" customHeight="1">
      <c r="BM3690" s="1025"/>
      <c r="BO3690" s="43"/>
    </row>
    <row r="3691" spans="65:67" ht="18.75" customHeight="1">
      <c r="BM3691" s="1025"/>
      <c r="BO3691" s="43"/>
    </row>
    <row r="3692" spans="65:67" ht="18.75" customHeight="1">
      <c r="BM3692" s="1025"/>
      <c r="BO3692" s="43"/>
    </row>
    <row r="3693" spans="65:67" ht="18.75" customHeight="1">
      <c r="BM3693" s="1025"/>
      <c r="BO3693" s="43"/>
    </row>
    <row r="3694" spans="65:67" ht="18.75" customHeight="1">
      <c r="BM3694" s="1025"/>
      <c r="BO3694" s="43"/>
    </row>
    <row r="3695" spans="65:67" ht="18.75" customHeight="1">
      <c r="BM3695" s="1025"/>
      <c r="BO3695" s="43"/>
    </row>
    <row r="3696" spans="65:67" ht="18.75" customHeight="1">
      <c r="BM3696" s="1025"/>
      <c r="BO3696" s="43"/>
    </row>
    <row r="3697" spans="65:67" ht="18.75" customHeight="1">
      <c r="BM3697" s="1025"/>
      <c r="BO3697" s="43"/>
    </row>
    <row r="3698" spans="65:67" ht="18.75" customHeight="1">
      <c r="BM3698" s="1025"/>
      <c r="BO3698" s="43"/>
    </row>
    <row r="3699" spans="65:67" ht="18.75" customHeight="1">
      <c r="BM3699" s="1025"/>
      <c r="BO3699" s="43"/>
    </row>
    <row r="3700" spans="65:67" ht="18.75" customHeight="1">
      <c r="BM3700" s="1025"/>
      <c r="BO3700" s="43"/>
    </row>
    <row r="3701" spans="65:67" ht="18.75" customHeight="1">
      <c r="BM3701" s="1025"/>
      <c r="BO3701" s="43"/>
    </row>
    <row r="3702" spans="65:67" ht="18.75" customHeight="1">
      <c r="BM3702" s="1025"/>
      <c r="BO3702" s="43"/>
    </row>
    <row r="3703" spans="65:67" ht="18.75" customHeight="1">
      <c r="BM3703" s="1025"/>
      <c r="BO3703" s="43"/>
    </row>
    <row r="3704" spans="65:67" ht="18.75" customHeight="1">
      <c r="BM3704" s="1025"/>
      <c r="BO3704" s="43"/>
    </row>
    <row r="3705" spans="65:67" ht="18.75" customHeight="1">
      <c r="BM3705" s="1025"/>
      <c r="BO3705" s="43"/>
    </row>
    <row r="3706" spans="65:67" ht="18.75" customHeight="1">
      <c r="BM3706" s="1025"/>
      <c r="BO3706" s="43"/>
    </row>
    <row r="3707" spans="65:67" ht="18.75" customHeight="1">
      <c r="BM3707" s="1025"/>
      <c r="BO3707" s="43"/>
    </row>
    <row r="3708" spans="65:67" ht="18.75" customHeight="1">
      <c r="BM3708" s="1025"/>
      <c r="BO3708" s="43"/>
    </row>
    <row r="3709" spans="65:67" ht="18.75" customHeight="1">
      <c r="BM3709" s="1025"/>
      <c r="BO3709" s="43"/>
    </row>
    <row r="3710" spans="65:67" ht="18.75" customHeight="1">
      <c r="BM3710" s="1025"/>
      <c r="BO3710" s="43"/>
    </row>
    <row r="3711" spans="65:67" ht="18.75" customHeight="1">
      <c r="BM3711" s="1025"/>
      <c r="BO3711" s="43"/>
    </row>
    <row r="3712" spans="65:67" ht="18.75" customHeight="1">
      <c r="BM3712" s="1025"/>
      <c r="BO3712" s="43"/>
    </row>
    <row r="3713" spans="65:67" ht="18.75" customHeight="1">
      <c r="BM3713" s="1025"/>
      <c r="BO3713" s="43"/>
    </row>
    <row r="3714" spans="65:67" ht="18.75" customHeight="1">
      <c r="BM3714" s="1025"/>
      <c r="BO3714" s="43"/>
    </row>
    <row r="3715" spans="65:67" ht="18.75" customHeight="1">
      <c r="BM3715" s="1025"/>
      <c r="BO3715" s="43"/>
    </row>
    <row r="3716" spans="65:67" ht="18.75" customHeight="1">
      <c r="BM3716" s="1025"/>
      <c r="BO3716" s="43"/>
    </row>
    <row r="3717" spans="65:67" ht="18.75" customHeight="1">
      <c r="BM3717" s="1025"/>
      <c r="BO3717" s="43"/>
    </row>
    <row r="3718" spans="65:67" ht="18.75" customHeight="1">
      <c r="BM3718" s="1025"/>
      <c r="BO3718" s="43"/>
    </row>
    <row r="3719" spans="65:67" ht="18.75" customHeight="1">
      <c r="BM3719" s="1025"/>
      <c r="BO3719" s="43"/>
    </row>
    <row r="3720" spans="65:67" ht="18.75" customHeight="1">
      <c r="BM3720" s="1025"/>
      <c r="BO3720" s="43"/>
    </row>
    <row r="3721" spans="65:67" ht="18.75" customHeight="1">
      <c r="BM3721" s="1025"/>
      <c r="BO3721" s="43"/>
    </row>
    <row r="3722" spans="65:67" ht="18.75" customHeight="1">
      <c r="BM3722" s="1025"/>
      <c r="BO3722" s="43"/>
    </row>
    <row r="3723" spans="65:67" ht="18.75" customHeight="1">
      <c r="BM3723" s="1025"/>
      <c r="BO3723" s="43"/>
    </row>
    <row r="3724" spans="65:67" ht="18.75" customHeight="1">
      <c r="BM3724" s="1025"/>
      <c r="BO3724" s="43"/>
    </row>
    <row r="3725" spans="65:67" ht="18.75" customHeight="1">
      <c r="BM3725" s="1025"/>
      <c r="BO3725" s="43"/>
    </row>
    <row r="3726" spans="65:67" ht="18.75" customHeight="1">
      <c r="BM3726" s="1025"/>
      <c r="BO3726" s="43"/>
    </row>
    <row r="3727" spans="65:67" ht="18.75" customHeight="1">
      <c r="BM3727" s="1025"/>
      <c r="BO3727" s="43"/>
    </row>
    <row r="3728" spans="65:67" ht="18.75" customHeight="1">
      <c r="BM3728" s="1025"/>
      <c r="BO3728" s="43"/>
    </row>
    <row r="3729" spans="65:67" ht="18.75" customHeight="1">
      <c r="BM3729" s="1025"/>
      <c r="BO3729" s="43"/>
    </row>
    <row r="3730" spans="65:67" ht="18.75" customHeight="1">
      <c r="BM3730" s="1025"/>
      <c r="BO3730" s="43"/>
    </row>
    <row r="3731" spans="65:67" ht="18.75" customHeight="1">
      <c r="BM3731" s="1025"/>
      <c r="BO3731" s="43"/>
    </row>
    <row r="3732" spans="65:67" ht="18.75" customHeight="1">
      <c r="BM3732" s="1025"/>
      <c r="BO3732" s="43"/>
    </row>
    <row r="3733" spans="65:67" ht="18.75" customHeight="1">
      <c r="BM3733" s="1025"/>
      <c r="BO3733" s="43"/>
    </row>
    <row r="3734" spans="65:67" ht="18.75" customHeight="1">
      <c r="BM3734" s="1025"/>
      <c r="BO3734" s="43"/>
    </row>
    <row r="3735" spans="65:67" ht="18.75" customHeight="1">
      <c r="BM3735" s="1025"/>
      <c r="BO3735" s="43"/>
    </row>
    <row r="3736" spans="65:67" ht="18.75" customHeight="1">
      <c r="BM3736" s="1025"/>
      <c r="BO3736" s="43"/>
    </row>
    <row r="3737" spans="65:67" ht="18.75" customHeight="1">
      <c r="BM3737" s="1025"/>
      <c r="BO3737" s="43"/>
    </row>
    <row r="3738" spans="65:67" ht="18.75" customHeight="1">
      <c r="BM3738" s="1025"/>
      <c r="BO3738" s="43"/>
    </row>
    <row r="3739" spans="65:67" ht="18.75" customHeight="1">
      <c r="BM3739" s="1025"/>
      <c r="BO3739" s="43"/>
    </row>
    <row r="3740" spans="65:67" ht="18.75" customHeight="1">
      <c r="BM3740" s="1025"/>
      <c r="BO3740" s="43"/>
    </row>
    <row r="3741" spans="65:67" ht="18.75" customHeight="1">
      <c r="BM3741" s="1025"/>
      <c r="BO3741" s="43"/>
    </row>
    <row r="3742" spans="65:67" ht="18.75" customHeight="1">
      <c r="BM3742" s="1025"/>
      <c r="BO3742" s="43"/>
    </row>
    <row r="3743" spans="65:67" ht="18.75" customHeight="1">
      <c r="BM3743" s="1025"/>
      <c r="BO3743" s="43"/>
    </row>
    <row r="3744" spans="65:67" ht="18.75" customHeight="1">
      <c r="BM3744" s="1025"/>
      <c r="BO3744" s="43"/>
    </row>
    <row r="3745" spans="65:67" ht="18.75" customHeight="1">
      <c r="BM3745" s="1025"/>
      <c r="BO3745" s="43"/>
    </row>
    <row r="3746" spans="65:67" ht="18.75" customHeight="1">
      <c r="BM3746" s="1025"/>
      <c r="BO3746" s="43"/>
    </row>
    <row r="3747" spans="65:67" ht="18.75" customHeight="1">
      <c r="BM3747" s="1025"/>
      <c r="BO3747" s="43"/>
    </row>
    <row r="3748" spans="65:67" ht="18.75" customHeight="1">
      <c r="BM3748" s="1025"/>
      <c r="BO3748" s="43"/>
    </row>
    <row r="3749" spans="65:67" ht="18.75" customHeight="1">
      <c r="BM3749" s="1025"/>
      <c r="BO3749" s="43"/>
    </row>
    <row r="3750" spans="65:67" ht="18.75" customHeight="1">
      <c r="BM3750" s="1025"/>
      <c r="BO3750" s="43"/>
    </row>
    <row r="3751" spans="65:67" ht="18.75" customHeight="1">
      <c r="BM3751" s="1025"/>
      <c r="BO3751" s="43"/>
    </row>
    <row r="3752" spans="65:67" ht="18.75" customHeight="1">
      <c r="BM3752" s="1025"/>
      <c r="BO3752" s="43"/>
    </row>
    <row r="3753" spans="65:67" ht="18.75" customHeight="1">
      <c r="BM3753" s="1025"/>
      <c r="BO3753" s="43"/>
    </row>
    <row r="3754" spans="65:67" ht="18.75" customHeight="1">
      <c r="BM3754" s="1025"/>
      <c r="BO3754" s="43"/>
    </row>
    <row r="3755" spans="65:67" ht="18.75" customHeight="1">
      <c r="BM3755" s="1025"/>
      <c r="BO3755" s="43"/>
    </row>
    <row r="3756" spans="65:67" ht="18.75" customHeight="1">
      <c r="BM3756" s="1025"/>
      <c r="BO3756" s="43"/>
    </row>
    <row r="3757" spans="65:67" ht="18.75" customHeight="1">
      <c r="BM3757" s="1025"/>
      <c r="BO3757" s="43"/>
    </row>
    <row r="3758" spans="65:67" ht="18.75" customHeight="1">
      <c r="BM3758" s="1025"/>
      <c r="BO3758" s="43"/>
    </row>
    <row r="3759" spans="65:67" ht="18.75" customHeight="1">
      <c r="BM3759" s="1025"/>
      <c r="BO3759" s="43"/>
    </row>
    <row r="3760" spans="65:67" ht="18.75" customHeight="1">
      <c r="BM3760" s="1025"/>
      <c r="BO3760" s="43"/>
    </row>
    <row r="3761" spans="65:67" ht="18.75" customHeight="1">
      <c r="BM3761" s="1025"/>
      <c r="BO3761" s="43"/>
    </row>
    <row r="3762" spans="65:67" ht="18.75" customHeight="1">
      <c r="BM3762" s="1025"/>
      <c r="BO3762" s="43"/>
    </row>
    <row r="3763" spans="65:67" ht="18.75" customHeight="1">
      <c r="BM3763" s="1025"/>
      <c r="BO3763" s="43"/>
    </row>
    <row r="3764" spans="65:67" ht="18.75" customHeight="1">
      <c r="BM3764" s="1025"/>
      <c r="BO3764" s="43"/>
    </row>
    <row r="3765" spans="65:67" ht="18.75" customHeight="1">
      <c r="BM3765" s="1025"/>
      <c r="BO3765" s="43"/>
    </row>
    <row r="3766" spans="65:67" ht="18.75" customHeight="1">
      <c r="BM3766" s="1025"/>
      <c r="BO3766" s="43"/>
    </row>
    <row r="3767" spans="65:67" ht="18.75" customHeight="1">
      <c r="BM3767" s="1025"/>
      <c r="BO3767" s="43"/>
    </row>
    <row r="3768" spans="65:67" ht="18.75" customHeight="1">
      <c r="BM3768" s="1025"/>
      <c r="BO3768" s="43"/>
    </row>
    <row r="3769" spans="65:67" ht="18.75" customHeight="1">
      <c r="BM3769" s="1025"/>
      <c r="BO3769" s="43"/>
    </row>
    <row r="3770" spans="65:67" ht="18.75" customHeight="1">
      <c r="BM3770" s="1025"/>
      <c r="BO3770" s="43"/>
    </row>
    <row r="3771" spans="65:67" ht="18.75" customHeight="1">
      <c r="BM3771" s="1025"/>
      <c r="BO3771" s="43"/>
    </row>
    <row r="3772" spans="65:67" ht="18.75" customHeight="1">
      <c r="BM3772" s="1025"/>
      <c r="BO3772" s="43"/>
    </row>
    <row r="3773" spans="65:67" ht="18.75" customHeight="1">
      <c r="BM3773" s="1025"/>
      <c r="BO3773" s="43"/>
    </row>
    <row r="3774" spans="65:67" ht="18.75" customHeight="1">
      <c r="BM3774" s="1025"/>
      <c r="BO3774" s="43"/>
    </row>
    <row r="3775" spans="65:67" ht="18.75" customHeight="1">
      <c r="BM3775" s="1025"/>
      <c r="BO3775" s="43"/>
    </row>
    <row r="3776" spans="65:67" ht="18.75" customHeight="1">
      <c r="BM3776" s="1025"/>
      <c r="BO3776" s="43"/>
    </row>
    <row r="3777" spans="65:67" ht="18.75" customHeight="1">
      <c r="BM3777" s="1025"/>
      <c r="BO3777" s="43"/>
    </row>
    <row r="3778" spans="65:67" ht="18.75" customHeight="1">
      <c r="BM3778" s="1025"/>
      <c r="BO3778" s="43"/>
    </row>
    <row r="3779" spans="65:67" ht="18.75" customHeight="1">
      <c r="BM3779" s="1025"/>
      <c r="BO3779" s="43"/>
    </row>
    <row r="3780" spans="65:67" ht="18.75" customHeight="1">
      <c r="BM3780" s="1025"/>
      <c r="BO3780" s="43"/>
    </row>
    <row r="3781" spans="65:67" ht="18.75" customHeight="1">
      <c r="BM3781" s="1025"/>
      <c r="BO3781" s="43"/>
    </row>
    <row r="3782" spans="65:67" ht="18.75" customHeight="1">
      <c r="BM3782" s="1025"/>
      <c r="BO3782" s="43"/>
    </row>
    <row r="3783" spans="65:67" ht="18.75" customHeight="1">
      <c r="BM3783" s="1025"/>
      <c r="BO3783" s="43"/>
    </row>
    <row r="3784" spans="65:67" ht="18.75" customHeight="1">
      <c r="BM3784" s="1025"/>
      <c r="BO3784" s="43"/>
    </row>
    <row r="3785" spans="65:67" ht="18.75" customHeight="1">
      <c r="BM3785" s="1025"/>
      <c r="BO3785" s="43"/>
    </row>
    <row r="3786" spans="65:67" ht="18.75" customHeight="1">
      <c r="BM3786" s="1025"/>
      <c r="BO3786" s="43"/>
    </row>
    <row r="3787" spans="65:67" ht="18.75" customHeight="1">
      <c r="BM3787" s="1025"/>
      <c r="BO3787" s="43"/>
    </row>
    <row r="3788" spans="65:67" ht="18.75" customHeight="1">
      <c r="BM3788" s="1025"/>
      <c r="BO3788" s="43"/>
    </row>
    <row r="3789" spans="65:67" ht="18.75" customHeight="1">
      <c r="BM3789" s="1025"/>
      <c r="BO3789" s="43"/>
    </row>
    <row r="3790" spans="65:67" ht="18.75" customHeight="1">
      <c r="BM3790" s="1025"/>
      <c r="BO3790" s="43"/>
    </row>
    <row r="3791" spans="65:67" ht="18.75" customHeight="1">
      <c r="BM3791" s="1025"/>
      <c r="BO3791" s="43"/>
    </row>
    <row r="3792" spans="65:67" ht="18.75" customHeight="1">
      <c r="BM3792" s="1025"/>
      <c r="BO3792" s="43"/>
    </row>
    <row r="3793" spans="65:67" ht="18.75" customHeight="1">
      <c r="BM3793" s="1025"/>
      <c r="BO3793" s="43"/>
    </row>
    <row r="3794" spans="65:67" ht="18.75" customHeight="1">
      <c r="BM3794" s="1025"/>
      <c r="BO3794" s="43"/>
    </row>
    <row r="3795" spans="65:67" ht="18.75" customHeight="1">
      <c r="BM3795" s="1025"/>
      <c r="BO3795" s="43"/>
    </row>
    <row r="3796" spans="65:67" ht="18.75" customHeight="1">
      <c r="BM3796" s="1025"/>
      <c r="BO3796" s="43"/>
    </row>
    <row r="3797" spans="65:67" ht="18.75" customHeight="1">
      <c r="BM3797" s="1025"/>
      <c r="BO3797" s="43"/>
    </row>
    <row r="3798" spans="65:67" ht="18.75" customHeight="1">
      <c r="BM3798" s="1025"/>
      <c r="BO3798" s="43"/>
    </row>
    <row r="3799" spans="65:67" ht="18.75" customHeight="1">
      <c r="BM3799" s="1025"/>
      <c r="BO3799" s="43"/>
    </row>
    <row r="3800" spans="65:67" ht="18.75" customHeight="1">
      <c r="BM3800" s="1025"/>
      <c r="BO3800" s="43"/>
    </row>
    <row r="3801" spans="65:67" ht="18.75" customHeight="1">
      <c r="BM3801" s="1025"/>
      <c r="BO3801" s="43"/>
    </row>
    <row r="3802" spans="65:67" ht="18.75" customHeight="1">
      <c r="BM3802" s="1025"/>
      <c r="BO3802" s="43"/>
    </row>
    <row r="3803" spans="65:67" ht="18.75" customHeight="1">
      <c r="BM3803" s="1025"/>
      <c r="BO3803" s="43"/>
    </row>
    <row r="3804" spans="65:67" ht="18.75" customHeight="1">
      <c r="BM3804" s="1025"/>
      <c r="BO3804" s="43"/>
    </row>
    <row r="3805" spans="65:67" ht="18.75" customHeight="1">
      <c r="BM3805" s="1025"/>
      <c r="BO3805" s="43"/>
    </row>
    <row r="3806" spans="65:67" ht="18.75" customHeight="1">
      <c r="BM3806" s="1025"/>
      <c r="BO3806" s="43"/>
    </row>
    <row r="3807" spans="65:67" ht="18.75" customHeight="1">
      <c r="BM3807" s="1025"/>
      <c r="BO3807" s="43"/>
    </row>
    <row r="3808" spans="65:67" ht="18.75" customHeight="1">
      <c r="BM3808" s="1025"/>
      <c r="BO3808" s="43"/>
    </row>
    <row r="3809" spans="65:67" ht="18.75" customHeight="1">
      <c r="BM3809" s="1025"/>
      <c r="BO3809" s="43"/>
    </row>
    <row r="3810" spans="65:67" ht="18.75" customHeight="1">
      <c r="BM3810" s="1025"/>
      <c r="BO3810" s="43"/>
    </row>
    <row r="3811" spans="65:67" ht="18.75" customHeight="1">
      <c r="BM3811" s="1025"/>
      <c r="BO3811" s="43"/>
    </row>
    <row r="3812" spans="65:67" ht="18.75" customHeight="1">
      <c r="BM3812" s="1025"/>
      <c r="BO3812" s="43"/>
    </row>
    <row r="3813" spans="65:67" ht="18.75" customHeight="1">
      <c r="BM3813" s="1025"/>
      <c r="BO3813" s="43"/>
    </row>
    <row r="3814" spans="65:67" ht="18.75" customHeight="1">
      <c r="BM3814" s="1025"/>
      <c r="BO3814" s="43"/>
    </row>
    <row r="3815" spans="65:67" ht="18.75" customHeight="1">
      <c r="BM3815" s="1025"/>
      <c r="BO3815" s="43"/>
    </row>
    <row r="3816" spans="65:67" ht="18.75" customHeight="1">
      <c r="BM3816" s="1025"/>
      <c r="BO3816" s="43"/>
    </row>
    <row r="3817" spans="65:67" ht="18.75" customHeight="1">
      <c r="BM3817" s="1025"/>
      <c r="BO3817" s="43"/>
    </row>
    <row r="3818" spans="65:67" ht="18.75" customHeight="1">
      <c r="BM3818" s="1025"/>
      <c r="BO3818" s="43"/>
    </row>
    <row r="3819" spans="65:67" ht="18.75" customHeight="1">
      <c r="BM3819" s="1025"/>
      <c r="BO3819" s="43"/>
    </row>
    <row r="3820" spans="65:67" ht="18.75" customHeight="1">
      <c r="BM3820" s="1025"/>
      <c r="BO3820" s="43"/>
    </row>
    <row r="3821" spans="65:67" ht="18.75" customHeight="1">
      <c r="BM3821" s="1025"/>
      <c r="BO3821" s="43"/>
    </row>
    <row r="3822" spans="65:67" ht="18.75" customHeight="1">
      <c r="BM3822" s="1025"/>
      <c r="BO3822" s="43"/>
    </row>
    <row r="3823" spans="65:67" ht="18.75" customHeight="1">
      <c r="BM3823" s="1025"/>
      <c r="BO3823" s="43"/>
    </row>
    <row r="3824" spans="65:67" ht="18.75" customHeight="1">
      <c r="BM3824" s="1025"/>
      <c r="BO3824" s="43"/>
    </row>
    <row r="3825" spans="65:67" ht="18.75" customHeight="1">
      <c r="BM3825" s="1025"/>
      <c r="BO3825" s="43"/>
    </row>
    <row r="3826" spans="65:67" ht="18.75" customHeight="1">
      <c r="BM3826" s="1025"/>
      <c r="BO3826" s="43"/>
    </row>
    <row r="3827" spans="65:67" ht="18.75" customHeight="1">
      <c r="BM3827" s="1025"/>
      <c r="BO3827" s="43"/>
    </row>
    <row r="3828" spans="65:67" ht="18.75" customHeight="1">
      <c r="BM3828" s="1025"/>
      <c r="BO3828" s="43"/>
    </row>
    <row r="3829" spans="65:67" ht="18.75" customHeight="1">
      <c r="BM3829" s="1025"/>
      <c r="BO3829" s="43"/>
    </row>
    <row r="3830" spans="65:67" ht="18.75" customHeight="1">
      <c r="BM3830" s="1025"/>
      <c r="BO3830" s="43"/>
    </row>
    <row r="3831" spans="65:67" ht="18.75" customHeight="1">
      <c r="BM3831" s="1025"/>
      <c r="BO3831" s="43"/>
    </row>
    <row r="3832" spans="65:67" ht="18.75" customHeight="1">
      <c r="BM3832" s="1025"/>
      <c r="BO3832" s="43"/>
    </row>
    <row r="3833" spans="65:67" ht="18.75" customHeight="1">
      <c r="BM3833" s="1025"/>
      <c r="BO3833" s="43"/>
    </row>
    <row r="3834" spans="65:67" ht="18.75" customHeight="1">
      <c r="BM3834" s="1025"/>
      <c r="BO3834" s="43"/>
    </row>
    <row r="3835" spans="65:67" ht="18.75" customHeight="1">
      <c r="BM3835" s="1025"/>
      <c r="BO3835" s="43"/>
    </row>
    <row r="3836" spans="65:67" ht="18.75" customHeight="1">
      <c r="BM3836" s="1025"/>
      <c r="BO3836" s="43"/>
    </row>
    <row r="3837" spans="65:67" ht="18.75" customHeight="1">
      <c r="BM3837" s="1025"/>
      <c r="BO3837" s="43"/>
    </row>
    <row r="3838" spans="65:67" ht="18.75" customHeight="1">
      <c r="BM3838" s="1025"/>
      <c r="BO3838" s="43"/>
    </row>
    <row r="3839" spans="65:67" ht="18.75" customHeight="1">
      <c r="BM3839" s="1025"/>
      <c r="BO3839" s="43"/>
    </row>
    <row r="3840" spans="65:67" ht="18.75" customHeight="1">
      <c r="BM3840" s="1025"/>
      <c r="BO3840" s="43"/>
    </row>
    <row r="3841" spans="65:67" ht="18.75" customHeight="1">
      <c r="BM3841" s="1025"/>
      <c r="BO3841" s="43"/>
    </row>
    <row r="3842" spans="65:67" ht="18.75" customHeight="1">
      <c r="BM3842" s="1025"/>
      <c r="BO3842" s="43"/>
    </row>
    <row r="3843" spans="65:67" ht="18.75" customHeight="1">
      <c r="BM3843" s="1025"/>
      <c r="BO3843" s="43"/>
    </row>
    <row r="3844" spans="65:67" ht="18.75" customHeight="1">
      <c r="BM3844" s="1025"/>
      <c r="BO3844" s="43"/>
    </row>
    <row r="3845" spans="65:67" ht="18.75" customHeight="1">
      <c r="BM3845" s="1025"/>
      <c r="BO3845" s="43"/>
    </row>
    <row r="3846" spans="65:67" ht="18.75" customHeight="1">
      <c r="BM3846" s="1025"/>
      <c r="BO3846" s="43"/>
    </row>
    <row r="3847" spans="65:67" ht="18.75" customHeight="1">
      <c r="BM3847" s="1025"/>
      <c r="BO3847" s="43"/>
    </row>
    <row r="3848" spans="65:67" ht="18.75" customHeight="1">
      <c r="BM3848" s="1025"/>
      <c r="BO3848" s="43"/>
    </row>
    <row r="3849" spans="65:67" ht="18.75" customHeight="1">
      <c r="BM3849" s="1025"/>
      <c r="BO3849" s="43"/>
    </row>
    <row r="3850" spans="65:67" ht="18.75" customHeight="1">
      <c r="BM3850" s="1025"/>
      <c r="BO3850" s="43"/>
    </row>
    <row r="3851" spans="65:67" ht="18.75" customHeight="1">
      <c r="BM3851" s="1025"/>
      <c r="BO3851" s="43"/>
    </row>
    <row r="3852" spans="65:67" ht="18.75" customHeight="1">
      <c r="BM3852" s="1025"/>
      <c r="BO3852" s="43"/>
    </row>
    <row r="3853" spans="65:67" ht="18.75" customHeight="1">
      <c r="BM3853" s="1025"/>
      <c r="BO3853" s="43"/>
    </row>
    <row r="3854" spans="65:67" ht="18.75" customHeight="1">
      <c r="BM3854" s="1025"/>
      <c r="BO3854" s="43"/>
    </row>
    <row r="3855" spans="65:67" ht="18.75" customHeight="1">
      <c r="BM3855" s="1025"/>
      <c r="BO3855" s="43"/>
    </row>
    <row r="3856" spans="65:67" ht="18.75" customHeight="1">
      <c r="BM3856" s="1025"/>
      <c r="BO3856" s="43"/>
    </row>
    <row r="3857" spans="65:67" ht="18.75" customHeight="1">
      <c r="BM3857" s="1025"/>
      <c r="BO3857" s="43"/>
    </row>
    <row r="3858" spans="65:67" ht="18.75" customHeight="1">
      <c r="BM3858" s="1025"/>
      <c r="BO3858" s="43"/>
    </row>
    <row r="3859" spans="65:67" ht="18.75" customHeight="1">
      <c r="BM3859" s="1025"/>
      <c r="BO3859" s="43"/>
    </row>
    <row r="3860" spans="65:67" ht="18.75" customHeight="1">
      <c r="BM3860" s="1025"/>
      <c r="BO3860" s="43"/>
    </row>
    <row r="3861" spans="65:67" ht="18.75" customHeight="1">
      <c r="BM3861" s="1025"/>
      <c r="BO3861" s="43"/>
    </row>
    <row r="3862" spans="65:67" ht="18.75" customHeight="1">
      <c r="BM3862" s="1025"/>
      <c r="BO3862" s="43"/>
    </row>
    <row r="3863" spans="65:67" ht="18.75" customHeight="1">
      <c r="BM3863" s="1025"/>
      <c r="BO3863" s="43"/>
    </row>
    <row r="3864" spans="65:67" ht="18.75" customHeight="1">
      <c r="BM3864" s="1025"/>
      <c r="BO3864" s="43"/>
    </row>
    <row r="3865" spans="65:67" ht="18.75" customHeight="1">
      <c r="BM3865" s="1025"/>
      <c r="BO3865" s="43"/>
    </row>
    <row r="3866" spans="65:67" ht="18.75" customHeight="1">
      <c r="BM3866" s="1025"/>
      <c r="BO3866" s="43"/>
    </row>
    <row r="3867" spans="65:67" ht="18.75" customHeight="1">
      <c r="BM3867" s="1025"/>
      <c r="BO3867" s="43"/>
    </row>
    <row r="3868" spans="65:67" ht="18.75" customHeight="1">
      <c r="BM3868" s="1025"/>
      <c r="BO3868" s="43"/>
    </row>
    <row r="3869" spans="65:67" ht="18.75" customHeight="1">
      <c r="BM3869" s="1025"/>
      <c r="BO3869" s="43"/>
    </row>
    <row r="3870" spans="65:67" ht="18.75" customHeight="1">
      <c r="BM3870" s="1025"/>
      <c r="BO3870" s="43"/>
    </row>
    <row r="3871" spans="65:67" ht="18.75" customHeight="1">
      <c r="BM3871" s="1025"/>
      <c r="BO3871" s="43"/>
    </row>
    <row r="3872" spans="65:67" ht="18.75" customHeight="1">
      <c r="BM3872" s="1025"/>
      <c r="BO3872" s="43"/>
    </row>
    <row r="3873" spans="65:67" ht="18.75" customHeight="1">
      <c r="BM3873" s="1025"/>
      <c r="BO3873" s="43"/>
    </row>
    <row r="3874" spans="65:67" ht="18.75" customHeight="1">
      <c r="BM3874" s="1025"/>
      <c r="BO3874" s="43"/>
    </row>
    <row r="3875" spans="65:67" ht="18.75" customHeight="1">
      <c r="BM3875" s="1025"/>
      <c r="BO3875" s="43"/>
    </row>
    <row r="3876" spans="65:67" ht="18.75" customHeight="1">
      <c r="BM3876" s="1025"/>
      <c r="BO3876" s="43"/>
    </row>
    <row r="3877" spans="65:67" ht="18.75" customHeight="1">
      <c r="BM3877" s="1025"/>
      <c r="BO3877" s="43"/>
    </row>
    <row r="3878" spans="65:67" ht="18.75" customHeight="1">
      <c r="BM3878" s="1025"/>
      <c r="BO3878" s="43"/>
    </row>
    <row r="3879" spans="65:67" ht="18.75" customHeight="1">
      <c r="BM3879" s="1025"/>
      <c r="BO3879" s="43"/>
    </row>
    <row r="3880" spans="65:67" ht="18.75" customHeight="1">
      <c r="BM3880" s="1025"/>
      <c r="BO3880" s="43"/>
    </row>
    <row r="3881" spans="65:67" ht="18.75" customHeight="1">
      <c r="BM3881" s="1025"/>
      <c r="BO3881" s="43"/>
    </row>
    <row r="3882" spans="65:67" ht="18.75" customHeight="1">
      <c r="BM3882" s="1025"/>
      <c r="BO3882" s="43"/>
    </row>
    <row r="3883" spans="65:67" ht="18.75" customHeight="1">
      <c r="BM3883" s="1025"/>
      <c r="BO3883" s="43"/>
    </row>
    <row r="3884" spans="65:67" ht="18.75" customHeight="1">
      <c r="BM3884" s="1025"/>
      <c r="BO3884" s="43"/>
    </row>
    <row r="3885" spans="65:67" ht="18.75" customHeight="1">
      <c r="BM3885" s="1025"/>
      <c r="BO3885" s="43"/>
    </row>
    <row r="3886" spans="65:67" ht="18.75" customHeight="1">
      <c r="BM3886" s="1025"/>
      <c r="BO3886" s="43"/>
    </row>
    <row r="3887" spans="65:67" ht="18.75" customHeight="1">
      <c r="BM3887" s="1025"/>
      <c r="BO3887" s="43"/>
    </row>
    <row r="3888" spans="65:67" ht="18.75" customHeight="1">
      <c r="BM3888" s="1025"/>
      <c r="BO3888" s="43"/>
    </row>
    <row r="3889" spans="65:67" ht="18.75" customHeight="1">
      <c r="BM3889" s="1025"/>
      <c r="BO3889" s="43"/>
    </row>
    <row r="3890" spans="65:67" ht="18.75" customHeight="1">
      <c r="BM3890" s="1025"/>
      <c r="BO3890" s="43"/>
    </row>
    <row r="3891" spans="65:67" ht="18.75" customHeight="1">
      <c r="BM3891" s="1025"/>
      <c r="BO3891" s="43"/>
    </row>
    <row r="3892" spans="65:67" ht="18.75" customHeight="1">
      <c r="BM3892" s="1025"/>
      <c r="BO3892" s="43"/>
    </row>
    <row r="3893" spans="65:67" ht="18.75" customHeight="1">
      <c r="BM3893" s="1025"/>
      <c r="BO3893" s="43"/>
    </row>
    <row r="3894" spans="65:67" ht="18.75" customHeight="1">
      <c r="BM3894" s="1025"/>
      <c r="BO3894" s="43"/>
    </row>
    <row r="3895" spans="65:67" ht="18.75" customHeight="1">
      <c r="BM3895" s="1025"/>
      <c r="BO3895" s="43"/>
    </row>
    <row r="3896" spans="65:67" ht="18.75" customHeight="1">
      <c r="BM3896" s="1025"/>
      <c r="BO3896" s="43"/>
    </row>
    <row r="3897" spans="65:67" ht="18.75" customHeight="1">
      <c r="BM3897" s="1025"/>
      <c r="BO3897" s="43"/>
    </row>
    <row r="3898" spans="65:67" ht="18.75" customHeight="1">
      <c r="BM3898" s="1025"/>
      <c r="BO3898" s="43"/>
    </row>
    <row r="3899" spans="65:67" ht="18.75" customHeight="1">
      <c r="BM3899" s="1025"/>
      <c r="BO3899" s="43"/>
    </row>
    <row r="3900" spans="65:67" ht="18.75" customHeight="1">
      <c r="BM3900" s="1025"/>
      <c r="BO3900" s="43"/>
    </row>
    <row r="3901" spans="65:67" ht="18.75" customHeight="1">
      <c r="BM3901" s="1025"/>
      <c r="BO3901" s="43"/>
    </row>
    <row r="3902" spans="65:67" ht="18.75" customHeight="1">
      <c r="BM3902" s="1025"/>
      <c r="BO3902" s="43"/>
    </row>
    <row r="3903" spans="65:67" ht="18.75" customHeight="1">
      <c r="BM3903" s="1025"/>
      <c r="BO3903" s="43"/>
    </row>
    <row r="3904" spans="65:67" ht="18.75" customHeight="1">
      <c r="BM3904" s="1025"/>
      <c r="BO3904" s="43"/>
    </row>
    <row r="3905" spans="65:67" ht="18.75" customHeight="1">
      <c r="BM3905" s="1025"/>
      <c r="BO3905" s="43"/>
    </row>
    <row r="3906" spans="65:67" ht="18.75" customHeight="1">
      <c r="BM3906" s="1025"/>
      <c r="BO3906" s="43"/>
    </row>
    <row r="3907" spans="65:67" ht="18.75" customHeight="1">
      <c r="BM3907" s="1025"/>
      <c r="BO3907" s="43"/>
    </row>
    <row r="3908" spans="65:67" ht="18.75" customHeight="1">
      <c r="BM3908" s="1025"/>
      <c r="BO3908" s="43"/>
    </row>
    <row r="3909" spans="65:67" ht="18.75" customHeight="1">
      <c r="BM3909" s="1025"/>
      <c r="BO3909" s="43"/>
    </row>
    <row r="3910" spans="65:67" ht="18.75" customHeight="1">
      <c r="BM3910" s="1025"/>
      <c r="BO3910" s="43"/>
    </row>
    <row r="3911" spans="65:67" ht="18.75" customHeight="1">
      <c r="BM3911" s="1025"/>
      <c r="BO3911" s="43"/>
    </row>
    <row r="3912" spans="65:67" ht="18.75" customHeight="1">
      <c r="BM3912" s="1025"/>
      <c r="BO3912" s="43"/>
    </row>
    <row r="3913" spans="65:67" ht="18.75" customHeight="1">
      <c r="BM3913" s="1025"/>
      <c r="BO3913" s="43"/>
    </row>
    <row r="3914" spans="65:67" ht="18.75" customHeight="1">
      <c r="BM3914" s="1025"/>
      <c r="BO3914" s="43"/>
    </row>
    <row r="3915" spans="65:67" ht="18.75" customHeight="1">
      <c r="BM3915" s="1025"/>
      <c r="BO3915" s="43"/>
    </row>
    <row r="3916" spans="65:67" ht="18.75" customHeight="1">
      <c r="BM3916" s="1025"/>
      <c r="BO3916" s="43"/>
    </row>
    <row r="3917" spans="65:67" ht="18.75" customHeight="1">
      <c r="BM3917" s="1025"/>
      <c r="BO3917" s="43"/>
    </row>
    <row r="3918" spans="65:67" ht="18.75" customHeight="1">
      <c r="BM3918" s="1025"/>
      <c r="BO3918" s="43"/>
    </row>
    <row r="3919" spans="65:67" ht="18.75" customHeight="1">
      <c r="BM3919" s="1025"/>
      <c r="BO3919" s="43"/>
    </row>
    <row r="3920" spans="65:67" ht="18.75" customHeight="1">
      <c r="BM3920" s="1025"/>
      <c r="BO3920" s="43"/>
    </row>
    <row r="3921" spans="65:67" ht="18.75" customHeight="1">
      <c r="BM3921" s="1025"/>
      <c r="BO3921" s="43"/>
    </row>
    <row r="3922" spans="65:67" ht="18.75" customHeight="1">
      <c r="BM3922" s="1025"/>
      <c r="BO3922" s="43"/>
    </row>
    <row r="3923" spans="65:67" ht="18.75" customHeight="1">
      <c r="BM3923" s="1025"/>
      <c r="BO3923" s="43"/>
    </row>
    <row r="3924" spans="65:67" ht="18.75" customHeight="1">
      <c r="BM3924" s="1025"/>
      <c r="BO3924" s="43"/>
    </row>
    <row r="3925" spans="65:67" ht="18.75" customHeight="1">
      <c r="BM3925" s="1025"/>
      <c r="BO3925" s="43"/>
    </row>
    <row r="3926" spans="65:67" ht="18.75" customHeight="1">
      <c r="BM3926" s="1025"/>
      <c r="BO3926" s="43"/>
    </row>
    <row r="3927" spans="65:67" ht="18.75" customHeight="1">
      <c r="BM3927" s="1025"/>
      <c r="BO3927" s="43"/>
    </row>
    <row r="3928" spans="65:67" ht="18.75" customHeight="1">
      <c r="BM3928" s="1025"/>
      <c r="BO3928" s="43"/>
    </row>
    <row r="3929" spans="65:67" ht="18.75" customHeight="1">
      <c r="BM3929" s="1025"/>
      <c r="BO3929" s="43"/>
    </row>
    <row r="3930" spans="65:67" ht="18.75" customHeight="1">
      <c r="BM3930" s="1025"/>
      <c r="BO3930" s="43"/>
    </row>
    <row r="3931" spans="65:67" ht="18.75" customHeight="1">
      <c r="BM3931" s="1025"/>
      <c r="BO3931" s="43"/>
    </row>
    <row r="3932" spans="65:67" ht="18.75" customHeight="1">
      <c r="BM3932" s="1025"/>
      <c r="BO3932" s="43"/>
    </row>
    <row r="3933" spans="65:67" ht="18.75" customHeight="1">
      <c r="BM3933" s="1025"/>
      <c r="BO3933" s="43"/>
    </row>
    <row r="3934" spans="65:67" ht="18.75" customHeight="1">
      <c r="BM3934" s="1025"/>
      <c r="BO3934" s="43"/>
    </row>
    <row r="3935" spans="65:67" ht="18.75" customHeight="1">
      <c r="BM3935" s="1025"/>
      <c r="BO3935" s="43"/>
    </row>
    <row r="3936" spans="65:67" ht="18.75" customHeight="1">
      <c r="BM3936" s="1025"/>
      <c r="BO3936" s="43"/>
    </row>
    <row r="3937" spans="65:67" ht="18.75" customHeight="1">
      <c r="BM3937" s="1025"/>
      <c r="BO3937" s="43"/>
    </row>
    <row r="3938" spans="65:67" ht="18.75" customHeight="1">
      <c r="BM3938" s="1025"/>
      <c r="BO3938" s="43"/>
    </row>
    <row r="3939" spans="65:67" ht="18.75" customHeight="1">
      <c r="BM3939" s="1025"/>
      <c r="BO3939" s="43"/>
    </row>
    <row r="3940" spans="65:67" ht="18.75" customHeight="1">
      <c r="BM3940" s="1025"/>
      <c r="BO3940" s="43"/>
    </row>
    <row r="3941" spans="65:67" ht="18.75" customHeight="1">
      <c r="BM3941" s="1025"/>
      <c r="BO3941" s="43"/>
    </row>
    <row r="3942" spans="65:67" ht="18.75" customHeight="1">
      <c r="BM3942" s="1025"/>
      <c r="BO3942" s="43"/>
    </row>
    <row r="3943" spans="65:67" ht="18.75" customHeight="1">
      <c r="BM3943" s="1025"/>
      <c r="BO3943" s="43"/>
    </row>
    <row r="3944" spans="65:67" ht="18.75" customHeight="1">
      <c r="BM3944" s="1025"/>
      <c r="BO3944" s="43"/>
    </row>
    <row r="3945" spans="65:67" ht="18.75" customHeight="1">
      <c r="BM3945" s="1025"/>
      <c r="BO3945" s="43"/>
    </row>
    <row r="3946" spans="65:67" ht="18.75" customHeight="1">
      <c r="BM3946" s="1025"/>
      <c r="BO3946" s="43"/>
    </row>
    <row r="3947" spans="65:67" ht="18.75" customHeight="1">
      <c r="BM3947" s="1025"/>
      <c r="BO3947" s="43"/>
    </row>
    <row r="3948" spans="65:67" ht="18.75" customHeight="1">
      <c r="BM3948" s="1025"/>
      <c r="BO3948" s="43"/>
    </row>
    <row r="3949" spans="65:67" ht="18.75" customHeight="1">
      <c r="BM3949" s="1025"/>
      <c r="BO3949" s="43"/>
    </row>
    <row r="3950" spans="65:67" ht="18.75" customHeight="1">
      <c r="BM3950" s="1025"/>
      <c r="BO3950" s="43"/>
    </row>
    <row r="3951" spans="65:67" ht="18.75" customHeight="1">
      <c r="BM3951" s="1025"/>
      <c r="BO3951" s="43"/>
    </row>
    <row r="3952" spans="65:67" ht="18.75" customHeight="1">
      <c r="BM3952" s="1025"/>
      <c r="BO3952" s="43"/>
    </row>
    <row r="3953" spans="65:67" ht="18.75" customHeight="1">
      <c r="BM3953" s="1025"/>
      <c r="BO3953" s="43"/>
    </row>
    <row r="3954" spans="65:67" ht="18.75" customHeight="1">
      <c r="BM3954" s="1025"/>
      <c r="BO3954" s="43"/>
    </row>
    <row r="3955" spans="65:67" ht="18.75" customHeight="1">
      <c r="BM3955" s="1025"/>
      <c r="BO3955" s="43"/>
    </row>
    <row r="3956" spans="65:67" ht="18.75" customHeight="1">
      <c r="BM3956" s="1025"/>
      <c r="BO3956" s="43"/>
    </row>
    <row r="3957" spans="65:67" ht="18.75" customHeight="1">
      <c r="BM3957" s="1025"/>
      <c r="BO3957" s="43"/>
    </row>
    <row r="3958" spans="65:67" ht="18.75" customHeight="1">
      <c r="BM3958" s="1025"/>
      <c r="BO3958" s="43"/>
    </row>
    <row r="3959" spans="65:67" ht="18.75" customHeight="1">
      <c r="BM3959" s="1025"/>
      <c r="BO3959" s="43"/>
    </row>
    <row r="3960" spans="65:67" ht="18.75" customHeight="1">
      <c r="BM3960" s="1025"/>
      <c r="BO3960" s="43"/>
    </row>
    <row r="3961" spans="65:67" ht="18.75" customHeight="1">
      <c r="BM3961" s="1025"/>
      <c r="BO3961" s="43"/>
    </row>
    <row r="3962" spans="65:67" ht="18.75" customHeight="1">
      <c r="BM3962" s="1025"/>
      <c r="BO3962" s="43"/>
    </row>
    <row r="3963" spans="65:67" ht="18.75" customHeight="1">
      <c r="BM3963" s="1025"/>
      <c r="BO3963" s="43"/>
    </row>
    <row r="3964" spans="65:67" ht="18.75" customHeight="1">
      <c r="BM3964" s="1025"/>
      <c r="BO3964" s="43"/>
    </row>
    <row r="3965" spans="65:67" ht="18.75" customHeight="1">
      <c r="BM3965" s="1025"/>
      <c r="BO3965" s="43"/>
    </row>
    <row r="3966" spans="65:67" ht="18.75" customHeight="1">
      <c r="BM3966" s="1025"/>
      <c r="BO3966" s="43"/>
    </row>
    <row r="3967" spans="65:67" ht="18.75" customHeight="1">
      <c r="BM3967" s="1025"/>
      <c r="BO3967" s="43"/>
    </row>
    <row r="3968" spans="65:67" ht="18.75" customHeight="1">
      <c r="BM3968" s="1025"/>
      <c r="BO3968" s="43"/>
    </row>
    <row r="3969" spans="65:67" ht="18.75" customHeight="1">
      <c r="BM3969" s="1025"/>
      <c r="BO3969" s="43"/>
    </row>
    <row r="3970" spans="65:67" ht="18.75" customHeight="1">
      <c r="BM3970" s="1025"/>
      <c r="BO3970" s="43"/>
    </row>
    <row r="3971" spans="65:67" ht="18.75" customHeight="1">
      <c r="BM3971" s="1025"/>
      <c r="BO3971" s="43"/>
    </row>
    <row r="3972" spans="65:67" ht="18.75" customHeight="1">
      <c r="BM3972" s="1025"/>
      <c r="BO3972" s="43"/>
    </row>
    <row r="3973" spans="65:67" ht="18.75" customHeight="1">
      <c r="BM3973" s="1025"/>
      <c r="BO3973" s="43"/>
    </row>
    <row r="3974" spans="65:67" ht="18.75" customHeight="1">
      <c r="BM3974" s="1025"/>
      <c r="BO3974" s="43"/>
    </row>
    <row r="3975" spans="65:67" ht="18.75" customHeight="1">
      <c r="BM3975" s="1025"/>
      <c r="BO3975" s="43"/>
    </row>
    <row r="3976" spans="65:67" ht="18.75" customHeight="1">
      <c r="BM3976" s="1025"/>
      <c r="BO3976" s="43"/>
    </row>
    <row r="3977" spans="65:67" ht="18.75" customHeight="1">
      <c r="BM3977" s="1025"/>
      <c r="BO3977" s="43"/>
    </row>
    <row r="3978" spans="65:67" ht="18.75" customHeight="1">
      <c r="BM3978" s="1025"/>
      <c r="BO3978" s="43"/>
    </row>
    <row r="3979" spans="65:67" ht="18.75" customHeight="1">
      <c r="BM3979" s="1025"/>
      <c r="BO3979" s="43"/>
    </row>
    <row r="3980" spans="65:67" ht="18.75" customHeight="1">
      <c r="BM3980" s="1025"/>
      <c r="BO3980" s="43"/>
    </row>
    <row r="3981" spans="65:67" ht="18.75" customHeight="1">
      <c r="BM3981" s="1025"/>
      <c r="BO3981" s="43"/>
    </row>
    <row r="3982" spans="65:67" ht="18.75" customHeight="1">
      <c r="BM3982" s="1025"/>
      <c r="BO3982" s="43"/>
    </row>
    <row r="3983" spans="65:67" ht="18.75" customHeight="1">
      <c r="BM3983" s="1025"/>
      <c r="BO3983" s="43"/>
    </row>
    <row r="3984" spans="65:67" ht="18.75" customHeight="1">
      <c r="BM3984" s="1025"/>
      <c r="BO3984" s="43"/>
    </row>
    <row r="3985" spans="65:67" ht="18.75" customHeight="1">
      <c r="BM3985" s="1025"/>
      <c r="BO3985" s="43"/>
    </row>
    <row r="3986" spans="65:67" ht="18.75" customHeight="1">
      <c r="BM3986" s="1025"/>
      <c r="BO3986" s="43"/>
    </row>
    <row r="3987" spans="65:67" ht="18.75" customHeight="1">
      <c r="BM3987" s="1025"/>
      <c r="BO3987" s="43"/>
    </row>
    <row r="3988" spans="65:67" ht="18.75" customHeight="1">
      <c r="BM3988" s="1025"/>
      <c r="BO3988" s="43"/>
    </row>
    <row r="3989" spans="65:67" ht="18.75" customHeight="1">
      <c r="BM3989" s="1025"/>
      <c r="BO3989" s="43"/>
    </row>
    <row r="3990" spans="65:67" ht="18.75" customHeight="1">
      <c r="BM3990" s="1025"/>
      <c r="BO3990" s="43"/>
    </row>
    <row r="3991" spans="65:67" ht="18.75" customHeight="1">
      <c r="BM3991" s="1025"/>
      <c r="BO3991" s="43"/>
    </row>
    <row r="3992" spans="65:67" ht="18.75" customHeight="1">
      <c r="BM3992" s="1025"/>
      <c r="BO3992" s="43"/>
    </row>
    <row r="3993" spans="65:67" ht="18.75" customHeight="1">
      <c r="BM3993" s="1025"/>
      <c r="BO3993" s="43"/>
    </row>
    <row r="3994" spans="65:67" ht="18.75" customHeight="1">
      <c r="BM3994" s="1025"/>
      <c r="BO3994" s="43"/>
    </row>
    <row r="3995" spans="65:67" ht="18.75" customHeight="1">
      <c r="BM3995" s="1025"/>
      <c r="BO3995" s="43"/>
    </row>
    <row r="3996" spans="65:67" ht="18.75" customHeight="1">
      <c r="BM3996" s="1025"/>
      <c r="BO3996" s="43"/>
    </row>
    <row r="3997" spans="65:67" ht="18.75" customHeight="1">
      <c r="BM3997" s="1025"/>
      <c r="BO3997" s="43"/>
    </row>
    <row r="3998" spans="65:67" ht="18.75" customHeight="1">
      <c r="BM3998" s="1025"/>
      <c r="BO3998" s="43"/>
    </row>
    <row r="3999" spans="65:67" ht="18.75" customHeight="1">
      <c r="BM3999" s="1025"/>
      <c r="BO3999" s="43"/>
    </row>
    <row r="4000" spans="65:67" ht="18.75" customHeight="1">
      <c r="BM4000" s="1025"/>
      <c r="BO4000" s="43"/>
    </row>
    <row r="4001" spans="65:67" ht="18.75" customHeight="1">
      <c r="BM4001" s="1025"/>
      <c r="BO4001" s="43"/>
    </row>
    <row r="4002" spans="65:67" ht="18.75" customHeight="1">
      <c r="BM4002" s="1025"/>
      <c r="BO4002" s="43"/>
    </row>
    <row r="4003" spans="65:67" ht="18.75" customHeight="1">
      <c r="BM4003" s="1025"/>
      <c r="BO4003" s="43"/>
    </row>
    <row r="4004" spans="65:67" ht="18.75" customHeight="1">
      <c r="BM4004" s="1025"/>
      <c r="BO4004" s="43"/>
    </row>
    <row r="4005" spans="65:67" ht="18.75" customHeight="1">
      <c r="BM4005" s="1025"/>
      <c r="BO4005" s="43"/>
    </row>
    <row r="4006" spans="65:67" ht="18.75" customHeight="1">
      <c r="BM4006" s="1025"/>
      <c r="BO4006" s="43"/>
    </row>
    <row r="4007" spans="65:67" ht="18.75" customHeight="1">
      <c r="BM4007" s="1025"/>
      <c r="BO4007" s="43"/>
    </row>
    <row r="4008" spans="65:67" ht="18.75" customHeight="1">
      <c r="BM4008" s="1025"/>
      <c r="BO4008" s="43"/>
    </row>
    <row r="4009" spans="65:67" ht="18.75" customHeight="1">
      <c r="BM4009" s="1025"/>
      <c r="BO4009" s="43"/>
    </row>
    <row r="4010" spans="65:67" ht="18.75" customHeight="1">
      <c r="BM4010" s="1025"/>
      <c r="BO4010" s="43"/>
    </row>
    <row r="4011" spans="65:67" ht="18.75" customHeight="1">
      <c r="BM4011" s="1025"/>
      <c r="BO4011" s="43"/>
    </row>
    <row r="4012" spans="65:67" ht="18.75" customHeight="1">
      <c r="BM4012" s="1025"/>
      <c r="BO4012" s="43"/>
    </row>
    <row r="4013" spans="65:67" ht="18.75" customHeight="1">
      <c r="BM4013" s="1025"/>
      <c r="BO4013" s="43"/>
    </row>
    <row r="4014" spans="65:67" ht="18.75" customHeight="1">
      <c r="BM4014" s="1025"/>
      <c r="BO4014" s="43"/>
    </row>
    <row r="4015" spans="65:67" ht="18.75" customHeight="1">
      <c r="BM4015" s="1025"/>
      <c r="BO4015" s="43"/>
    </row>
    <row r="4016" spans="65:67" ht="18.75" customHeight="1">
      <c r="BM4016" s="1025"/>
      <c r="BO4016" s="43"/>
    </row>
    <row r="4017" spans="65:67" ht="18.75" customHeight="1">
      <c r="BM4017" s="1025"/>
      <c r="BO4017" s="43"/>
    </row>
    <row r="4018" spans="65:67" ht="18.75" customHeight="1">
      <c r="BM4018" s="1025"/>
      <c r="BO4018" s="43"/>
    </row>
    <row r="4019" spans="65:67" ht="18.75" customHeight="1">
      <c r="BM4019" s="1025"/>
      <c r="BO4019" s="43"/>
    </row>
    <row r="4020" spans="65:67" ht="18.75" customHeight="1">
      <c r="BM4020" s="1025"/>
      <c r="BO4020" s="43"/>
    </row>
    <row r="4021" spans="65:67" ht="18.75" customHeight="1">
      <c r="BM4021" s="1025"/>
      <c r="BO4021" s="43"/>
    </row>
    <row r="4022" spans="65:67" ht="18.75" customHeight="1">
      <c r="BM4022" s="1025"/>
      <c r="BO4022" s="43"/>
    </row>
    <row r="4023" spans="65:67" ht="18.75" customHeight="1">
      <c r="BM4023" s="1025"/>
      <c r="BO4023" s="43"/>
    </row>
    <row r="4024" spans="65:67" ht="18.75" customHeight="1">
      <c r="BM4024" s="1025"/>
      <c r="BO4024" s="43"/>
    </row>
    <row r="4025" spans="65:67" ht="18.75" customHeight="1">
      <c r="BM4025" s="1025"/>
      <c r="BO4025" s="43"/>
    </row>
    <row r="4026" spans="65:67" ht="18.75" customHeight="1">
      <c r="BM4026" s="1025"/>
      <c r="BO4026" s="43"/>
    </row>
    <row r="4027" spans="65:67" ht="18.75" customHeight="1">
      <c r="BM4027" s="1025"/>
      <c r="BO4027" s="43"/>
    </row>
    <row r="4028" spans="65:67" ht="18.75" customHeight="1">
      <c r="BM4028" s="1025"/>
      <c r="BO4028" s="43"/>
    </row>
    <row r="4029" spans="65:67" ht="18.75" customHeight="1">
      <c r="BM4029" s="1025"/>
      <c r="BO4029" s="43"/>
    </row>
    <row r="4030" spans="65:67" ht="18.75" customHeight="1">
      <c r="BM4030" s="1025"/>
      <c r="BO4030" s="43"/>
    </row>
    <row r="4031" spans="65:67" ht="18.75" customHeight="1">
      <c r="BM4031" s="1025"/>
      <c r="BO4031" s="43"/>
    </row>
    <row r="4032" spans="65:67" ht="18.75" customHeight="1">
      <c r="BM4032" s="1025"/>
      <c r="BO4032" s="43"/>
    </row>
    <row r="4033" spans="65:67" ht="18.75" customHeight="1">
      <c r="BM4033" s="1025"/>
      <c r="BO4033" s="43"/>
    </row>
    <row r="4034" spans="65:67" ht="18.75" customHeight="1">
      <c r="BM4034" s="1025"/>
      <c r="BO4034" s="43"/>
    </row>
    <row r="4035" spans="65:67" ht="18.75" customHeight="1">
      <c r="BM4035" s="1025"/>
      <c r="BO4035" s="43"/>
    </row>
    <row r="4036" spans="65:67" ht="18.75" customHeight="1">
      <c r="BM4036" s="1025"/>
      <c r="BO4036" s="43"/>
    </row>
    <row r="4037" spans="65:67" ht="18.75" customHeight="1">
      <c r="BM4037" s="1025"/>
      <c r="BO4037" s="43"/>
    </row>
    <row r="4038" spans="65:67" ht="18.75" customHeight="1">
      <c r="BM4038" s="1025"/>
      <c r="BO4038" s="43"/>
    </row>
    <row r="4039" spans="65:67" ht="18.75" customHeight="1">
      <c r="BM4039" s="1025"/>
      <c r="BO4039" s="43"/>
    </row>
    <row r="4040" spans="65:67" ht="18.75" customHeight="1">
      <c r="BM4040" s="1025"/>
      <c r="BO4040" s="43"/>
    </row>
    <row r="4041" spans="65:67" ht="18.75" customHeight="1">
      <c r="BM4041" s="1025"/>
      <c r="BO4041" s="43"/>
    </row>
    <row r="4042" spans="65:67" ht="18.75" customHeight="1">
      <c r="BM4042" s="1025"/>
      <c r="BO4042" s="43"/>
    </row>
    <row r="4043" spans="65:67" ht="18.75" customHeight="1">
      <c r="BM4043" s="1025"/>
      <c r="BO4043" s="43"/>
    </row>
    <row r="4044" spans="65:67" ht="18.75" customHeight="1">
      <c r="BM4044" s="1025"/>
      <c r="BO4044" s="43"/>
    </row>
    <row r="4045" spans="65:67" ht="18.75" customHeight="1">
      <c r="BM4045" s="1025"/>
      <c r="BO4045" s="43"/>
    </row>
    <row r="4046" spans="65:67" ht="18.75" customHeight="1">
      <c r="BM4046" s="1025"/>
      <c r="BO4046" s="43"/>
    </row>
    <row r="4047" spans="65:67" ht="18.75" customHeight="1">
      <c r="BM4047" s="1025"/>
      <c r="BO4047" s="43"/>
    </row>
    <row r="4048" spans="65:67" ht="18.75" customHeight="1">
      <c r="BM4048" s="1025"/>
      <c r="BO4048" s="43"/>
    </row>
    <row r="4049" spans="65:67" ht="18.75" customHeight="1">
      <c r="BM4049" s="1025"/>
      <c r="BO4049" s="43"/>
    </row>
    <row r="4050" spans="65:67" ht="18.75" customHeight="1">
      <c r="BM4050" s="1025"/>
      <c r="BO4050" s="43"/>
    </row>
    <row r="4051" spans="65:67" ht="18.75" customHeight="1">
      <c r="BM4051" s="1025"/>
      <c r="BO4051" s="43"/>
    </row>
    <row r="4052" spans="65:67" ht="18.75" customHeight="1">
      <c r="BM4052" s="1025"/>
      <c r="BO4052" s="43"/>
    </row>
    <row r="4053" spans="65:67" ht="18.75" customHeight="1">
      <c r="BM4053" s="1025"/>
      <c r="BO4053" s="43"/>
    </row>
    <row r="4054" spans="65:67" ht="18.75" customHeight="1">
      <c r="BM4054" s="1025"/>
      <c r="BO4054" s="43"/>
    </row>
    <row r="4055" spans="65:67" ht="18.75" customHeight="1">
      <c r="BM4055" s="1025"/>
      <c r="BO4055" s="43"/>
    </row>
    <row r="4056" spans="65:67" ht="18.75" customHeight="1">
      <c r="BM4056" s="1025"/>
      <c r="BO4056" s="43"/>
    </row>
    <row r="4057" spans="65:67" ht="18.75" customHeight="1">
      <c r="BM4057" s="1025"/>
      <c r="BO4057" s="43"/>
    </row>
    <row r="4058" spans="65:67" ht="18.75" customHeight="1">
      <c r="BM4058" s="1025"/>
      <c r="BO4058" s="43"/>
    </row>
    <row r="4059" spans="65:67" ht="18.75" customHeight="1">
      <c r="BM4059" s="1025"/>
      <c r="BO4059" s="43"/>
    </row>
    <row r="4060" spans="65:67" ht="18.75" customHeight="1">
      <c r="BM4060" s="1025"/>
      <c r="BO4060" s="43"/>
    </row>
    <row r="4061" spans="65:67" ht="18.75" customHeight="1">
      <c r="BM4061" s="1025"/>
      <c r="BO4061" s="43"/>
    </row>
    <row r="4062" spans="65:67" ht="18.75" customHeight="1">
      <c r="BM4062" s="1025"/>
      <c r="BO4062" s="43"/>
    </row>
    <row r="4063" spans="65:67" ht="18.75" customHeight="1">
      <c r="BM4063" s="1025"/>
      <c r="BO4063" s="43"/>
    </row>
    <row r="4064" spans="65:67" ht="18.75" customHeight="1">
      <c r="BM4064" s="1025"/>
      <c r="BO4064" s="43"/>
    </row>
    <row r="4065" spans="65:67" ht="18.75" customHeight="1">
      <c r="BM4065" s="1025"/>
      <c r="BO4065" s="43"/>
    </row>
    <row r="4066" spans="65:67" ht="18.75" customHeight="1">
      <c r="BM4066" s="1025"/>
      <c r="BO4066" s="43"/>
    </row>
    <row r="4067" spans="65:67" ht="18.75" customHeight="1">
      <c r="BM4067" s="1025"/>
      <c r="BO4067" s="43"/>
    </row>
    <row r="4068" spans="65:67" ht="18.75" customHeight="1">
      <c r="BM4068" s="1025"/>
      <c r="BO4068" s="43"/>
    </row>
    <row r="4069" spans="65:67" ht="18.75" customHeight="1">
      <c r="BM4069" s="1025"/>
      <c r="BO4069" s="43"/>
    </row>
    <row r="4070" spans="65:67" ht="18.75" customHeight="1">
      <c r="BM4070" s="1025"/>
      <c r="BO4070" s="43"/>
    </row>
    <row r="4071" spans="65:67" ht="18.75" customHeight="1">
      <c r="BM4071" s="1025"/>
      <c r="BO4071" s="43"/>
    </row>
    <row r="4072" spans="65:67" ht="18.75" customHeight="1">
      <c r="BM4072" s="1025"/>
      <c r="BO4072" s="43"/>
    </row>
    <row r="4073" spans="65:67" ht="18.75" customHeight="1">
      <c r="BM4073" s="1025"/>
      <c r="BO4073" s="43"/>
    </row>
    <row r="4074" spans="65:67" ht="18.75" customHeight="1">
      <c r="BM4074" s="1025"/>
      <c r="BO4074" s="43"/>
    </row>
    <row r="4075" spans="65:67" ht="18.75" customHeight="1">
      <c r="BM4075" s="1025"/>
      <c r="BO4075" s="43"/>
    </row>
    <row r="4076" spans="65:67" ht="18.75" customHeight="1">
      <c r="BM4076" s="1025"/>
      <c r="BO4076" s="43"/>
    </row>
    <row r="4077" spans="65:67" ht="18.75" customHeight="1">
      <c r="BM4077" s="1025"/>
      <c r="BO4077" s="43"/>
    </row>
    <row r="4078" spans="65:67" ht="18.75" customHeight="1">
      <c r="BM4078" s="1025"/>
      <c r="BO4078" s="43"/>
    </row>
    <row r="4079" spans="65:67" ht="18.75" customHeight="1">
      <c r="BM4079" s="1025"/>
      <c r="BO4079" s="43"/>
    </row>
    <row r="4080" spans="65:67" ht="18.75" customHeight="1">
      <c r="BM4080" s="1025"/>
      <c r="BO4080" s="43"/>
    </row>
    <row r="4081" spans="65:67" ht="18.75" customHeight="1">
      <c r="BM4081" s="1025"/>
      <c r="BO4081" s="43"/>
    </row>
    <row r="4082" spans="65:67" ht="18.75" customHeight="1">
      <c r="BM4082" s="1025"/>
      <c r="BO4082" s="43"/>
    </row>
    <row r="4083" spans="65:67" ht="18.75" customHeight="1">
      <c r="BM4083" s="1025"/>
      <c r="BO4083" s="43"/>
    </row>
    <row r="4084" spans="65:67" ht="18.75" customHeight="1">
      <c r="BM4084" s="1025"/>
      <c r="BO4084" s="43"/>
    </row>
    <row r="4085" spans="65:67" ht="18.75" customHeight="1">
      <c r="BM4085" s="1025"/>
      <c r="BO4085" s="43"/>
    </row>
    <row r="4086" spans="65:67" ht="18.75" customHeight="1">
      <c r="BM4086" s="1025"/>
      <c r="BO4086" s="43"/>
    </row>
    <row r="4087" spans="65:67" ht="18.75" customHeight="1">
      <c r="BM4087" s="1025"/>
      <c r="BO4087" s="43"/>
    </row>
    <row r="4088" spans="65:67" ht="18.75" customHeight="1">
      <c r="BM4088" s="1025"/>
      <c r="BO4088" s="43"/>
    </row>
    <row r="4089" spans="65:67" ht="18.75" customHeight="1">
      <c r="BM4089" s="1025"/>
      <c r="BO4089" s="43"/>
    </row>
    <row r="4090" spans="65:67" ht="18.75" customHeight="1">
      <c r="BM4090" s="1025"/>
      <c r="BO4090" s="43"/>
    </row>
    <row r="4091" spans="65:67" ht="18.75" customHeight="1">
      <c r="BM4091" s="1025"/>
      <c r="BO4091" s="43"/>
    </row>
    <row r="4092" spans="65:67" ht="18.75" customHeight="1">
      <c r="BM4092" s="1025"/>
      <c r="BO4092" s="43"/>
    </row>
    <row r="4093" spans="65:67" ht="18.75" customHeight="1">
      <c r="BM4093" s="1025"/>
      <c r="BO4093" s="43"/>
    </row>
    <row r="4094" spans="65:67" ht="18.75" customHeight="1">
      <c r="BM4094" s="1025"/>
      <c r="BO4094" s="43"/>
    </row>
    <row r="4095" spans="65:67" ht="18.75" customHeight="1">
      <c r="BM4095" s="1025"/>
      <c r="BO4095" s="43"/>
    </row>
    <row r="4096" spans="65:67" ht="18.75" customHeight="1">
      <c r="BM4096" s="1025"/>
      <c r="BO4096" s="43"/>
    </row>
    <row r="4097" spans="65:67" ht="18.75" customHeight="1">
      <c r="BM4097" s="1025"/>
      <c r="BO4097" s="43"/>
    </row>
    <row r="4098" spans="65:67" ht="18.75" customHeight="1">
      <c r="BM4098" s="1025"/>
      <c r="BO4098" s="43"/>
    </row>
    <row r="4099" spans="65:67" ht="18.75" customHeight="1">
      <c r="BM4099" s="1025"/>
      <c r="BO4099" s="43"/>
    </row>
    <row r="4100" spans="65:67" ht="18.75" customHeight="1">
      <c r="BM4100" s="1025"/>
      <c r="BO4100" s="43"/>
    </row>
    <row r="4101" spans="65:67" ht="18.75" customHeight="1">
      <c r="BM4101" s="1025"/>
      <c r="BO4101" s="43"/>
    </row>
    <row r="4102" spans="65:67" ht="18.75" customHeight="1">
      <c r="BM4102" s="1025"/>
      <c r="BO4102" s="43"/>
    </row>
    <row r="4103" spans="65:67" ht="18.75" customHeight="1">
      <c r="BM4103" s="1025"/>
      <c r="BO4103" s="43"/>
    </row>
    <row r="4104" spans="65:67" ht="18.75" customHeight="1">
      <c r="BM4104" s="1025"/>
      <c r="BO4104" s="43"/>
    </row>
    <row r="4105" spans="65:67" ht="18.75" customHeight="1">
      <c r="BM4105" s="1025"/>
      <c r="BO4105" s="43"/>
    </row>
    <row r="4106" spans="65:67" ht="18.75" customHeight="1">
      <c r="BM4106" s="1025"/>
      <c r="BO4106" s="43"/>
    </row>
    <row r="4107" spans="65:67" ht="18.75" customHeight="1">
      <c r="BM4107" s="1025"/>
      <c r="BO4107" s="43"/>
    </row>
    <row r="4108" spans="65:67" ht="18.75" customHeight="1">
      <c r="BM4108" s="1025"/>
      <c r="BO4108" s="43"/>
    </row>
    <row r="4109" spans="65:67" ht="18.75" customHeight="1">
      <c r="BM4109" s="1025"/>
      <c r="BO4109" s="43"/>
    </row>
    <row r="4110" spans="65:67" ht="18.75" customHeight="1">
      <c r="BM4110" s="1025"/>
      <c r="BO4110" s="43"/>
    </row>
    <row r="4111" spans="65:67" ht="18.75" customHeight="1">
      <c r="BM4111" s="1025"/>
      <c r="BO4111" s="43"/>
    </row>
    <row r="4112" spans="65:67" ht="18.75" customHeight="1">
      <c r="BM4112" s="1025"/>
      <c r="BO4112" s="43"/>
    </row>
    <row r="4113" spans="65:67" ht="18.75" customHeight="1">
      <c r="BM4113" s="1025"/>
      <c r="BO4113" s="43"/>
    </row>
    <row r="4114" spans="65:67" ht="18.75" customHeight="1">
      <c r="BM4114" s="1025"/>
      <c r="BO4114" s="43"/>
    </row>
    <row r="4115" spans="65:67" ht="18.75" customHeight="1">
      <c r="BM4115" s="1025"/>
      <c r="BO4115" s="43"/>
    </row>
    <row r="4116" spans="65:67" ht="18.75" customHeight="1">
      <c r="BM4116" s="1025"/>
      <c r="BO4116" s="43"/>
    </row>
    <row r="4117" spans="65:67" ht="18.75" customHeight="1">
      <c r="BM4117" s="1025"/>
      <c r="BO4117" s="43"/>
    </row>
    <row r="4118" spans="65:67" ht="18.75" customHeight="1">
      <c r="BM4118" s="1025"/>
      <c r="BO4118" s="43"/>
    </row>
    <row r="4119" spans="65:67" ht="18.75" customHeight="1">
      <c r="BM4119" s="1025"/>
      <c r="BO4119" s="43"/>
    </row>
    <row r="4120" spans="65:67" ht="18.75" customHeight="1">
      <c r="BM4120" s="1025"/>
      <c r="BO4120" s="43"/>
    </row>
    <row r="4121" spans="65:67" ht="18.75" customHeight="1">
      <c r="BM4121" s="1025"/>
      <c r="BO4121" s="43"/>
    </row>
    <row r="4122" spans="65:67" ht="18.75" customHeight="1">
      <c r="BM4122" s="1025"/>
      <c r="BO4122" s="43"/>
    </row>
    <row r="4123" spans="65:67" ht="18.75" customHeight="1">
      <c r="BM4123" s="1025"/>
      <c r="BO4123" s="43"/>
    </row>
    <row r="4124" spans="65:67" ht="18.75" customHeight="1">
      <c r="BM4124" s="1025"/>
      <c r="BO4124" s="43"/>
    </row>
    <row r="4125" spans="65:67" ht="18.75" customHeight="1">
      <c r="BM4125" s="1025"/>
      <c r="BO4125" s="43"/>
    </row>
    <row r="4126" spans="65:67" ht="18.75" customHeight="1">
      <c r="BM4126" s="1025"/>
      <c r="BO4126" s="43"/>
    </row>
    <row r="4127" spans="65:67" ht="18.75" customHeight="1">
      <c r="BM4127" s="1025"/>
      <c r="BO4127" s="43"/>
    </row>
    <row r="4128" spans="65:67" ht="18.75" customHeight="1">
      <c r="BM4128" s="1025"/>
      <c r="BO4128" s="43"/>
    </row>
    <row r="4129" spans="65:67" ht="18.75" customHeight="1">
      <c r="BM4129" s="1025"/>
      <c r="BO4129" s="43"/>
    </row>
    <row r="4130" spans="65:67" ht="18.75" customHeight="1">
      <c r="BM4130" s="1025"/>
      <c r="BO4130" s="43"/>
    </row>
    <row r="4131" spans="65:67" ht="18.75" customHeight="1">
      <c r="BM4131" s="1025"/>
      <c r="BO4131" s="43"/>
    </row>
    <row r="4132" spans="65:67" ht="18.75" customHeight="1">
      <c r="BM4132" s="1025"/>
      <c r="BO4132" s="43"/>
    </row>
    <row r="4133" spans="65:67" ht="18.75" customHeight="1">
      <c r="BM4133" s="1025"/>
      <c r="BO4133" s="43"/>
    </row>
    <row r="4134" spans="65:67" ht="18.75" customHeight="1">
      <c r="BM4134" s="1025"/>
      <c r="BO4134" s="43"/>
    </row>
    <row r="4135" spans="65:67" ht="18.75" customHeight="1">
      <c r="BM4135" s="1025"/>
      <c r="BO4135" s="43"/>
    </row>
    <row r="4136" spans="65:67" ht="18.75" customHeight="1">
      <c r="BM4136" s="1025"/>
      <c r="BO4136" s="43"/>
    </row>
    <row r="4137" spans="65:67" ht="18.75" customHeight="1">
      <c r="BM4137" s="1025"/>
      <c r="BO4137" s="43"/>
    </row>
    <row r="4138" spans="65:67" ht="18.75" customHeight="1">
      <c r="BM4138" s="1025"/>
      <c r="BO4138" s="43"/>
    </row>
    <row r="4139" spans="65:67" ht="18.75" customHeight="1">
      <c r="BM4139" s="1025"/>
      <c r="BO4139" s="43"/>
    </row>
    <row r="4140" spans="65:67" ht="18.75" customHeight="1">
      <c r="BM4140" s="1025"/>
      <c r="BO4140" s="43"/>
    </row>
    <row r="4141" spans="65:67" ht="18.75" customHeight="1">
      <c r="BM4141" s="1025"/>
      <c r="BO4141" s="43"/>
    </row>
    <row r="4142" spans="65:67" ht="18.75" customHeight="1">
      <c r="BM4142" s="1025"/>
      <c r="BO4142" s="43"/>
    </row>
    <row r="4143" spans="65:67" ht="18.75" customHeight="1">
      <c r="BM4143" s="1025"/>
      <c r="BO4143" s="43"/>
    </row>
    <row r="4144" spans="65:67" ht="18.75" customHeight="1">
      <c r="BM4144" s="1025"/>
      <c r="BO4144" s="43"/>
    </row>
    <row r="4145" spans="65:67" ht="18.75" customHeight="1">
      <c r="BM4145" s="1025"/>
      <c r="BO4145" s="43"/>
    </row>
    <row r="4146" spans="65:67" ht="18.75" customHeight="1">
      <c r="BM4146" s="1025"/>
      <c r="BO4146" s="43"/>
    </row>
    <row r="4147" spans="65:67" ht="18.75" customHeight="1">
      <c r="BM4147" s="1025"/>
      <c r="BO4147" s="43"/>
    </row>
    <row r="4148" spans="65:67" ht="18.75" customHeight="1">
      <c r="BM4148" s="1025"/>
      <c r="BO4148" s="43"/>
    </row>
    <row r="4149" spans="65:67" ht="18.75" customHeight="1">
      <c r="BM4149" s="1025"/>
      <c r="BO4149" s="43"/>
    </row>
    <row r="4150" spans="65:67" ht="18.75" customHeight="1">
      <c r="BM4150" s="1025"/>
      <c r="BO4150" s="43"/>
    </row>
    <row r="4151" spans="65:67" ht="18.75" customHeight="1">
      <c r="BM4151" s="1025"/>
      <c r="BO4151" s="43"/>
    </row>
    <row r="4152" spans="65:67" ht="18.75" customHeight="1">
      <c r="BM4152" s="1025"/>
      <c r="BO4152" s="43"/>
    </row>
    <row r="4153" spans="65:67" ht="18.75" customHeight="1">
      <c r="BM4153" s="1025"/>
      <c r="BO4153" s="43"/>
    </row>
    <row r="4154" spans="65:67" ht="18.75" customHeight="1">
      <c r="BM4154" s="1025"/>
      <c r="BO4154" s="43"/>
    </row>
    <row r="4155" spans="65:67" ht="18.75" customHeight="1">
      <c r="BM4155" s="1025"/>
      <c r="BO4155" s="43"/>
    </row>
    <row r="4156" spans="65:67" ht="18.75" customHeight="1">
      <c r="BM4156" s="1025"/>
      <c r="BO4156" s="43"/>
    </row>
    <row r="4157" spans="65:67" ht="18.75" customHeight="1">
      <c r="BM4157" s="1025"/>
      <c r="BO4157" s="43"/>
    </row>
    <row r="4158" spans="65:67" ht="18.75" customHeight="1">
      <c r="BM4158" s="1025"/>
      <c r="BO4158" s="43"/>
    </row>
    <row r="4159" spans="65:67" ht="18.75" customHeight="1">
      <c r="BM4159" s="1025"/>
      <c r="BO4159" s="43"/>
    </row>
    <row r="4160" spans="65:67" ht="18.75" customHeight="1">
      <c r="BM4160" s="1025"/>
      <c r="BO4160" s="43"/>
    </row>
    <row r="4161" spans="65:67" ht="18.75" customHeight="1">
      <c r="BM4161" s="1025"/>
      <c r="BO4161" s="43"/>
    </row>
    <row r="4162" spans="65:67" ht="18.75" customHeight="1">
      <c r="BM4162" s="1025"/>
      <c r="BO4162" s="43"/>
    </row>
    <row r="4163" spans="65:67" ht="18.75" customHeight="1">
      <c r="BM4163" s="1025"/>
      <c r="BO4163" s="43"/>
    </row>
    <row r="4164" spans="65:67" ht="18.75" customHeight="1">
      <c r="BM4164" s="1025"/>
      <c r="BO4164" s="43"/>
    </row>
    <row r="4165" spans="65:67" ht="18.75" customHeight="1">
      <c r="BM4165" s="1025"/>
      <c r="BO4165" s="43"/>
    </row>
    <row r="4166" spans="65:67" ht="18.75" customHeight="1">
      <c r="BM4166" s="1025"/>
      <c r="BO4166" s="43"/>
    </row>
    <row r="4167" spans="65:67" ht="18.75" customHeight="1">
      <c r="BM4167" s="1025"/>
      <c r="BO4167" s="43"/>
    </row>
    <row r="4168" spans="65:67" ht="18.75" customHeight="1">
      <c r="BM4168" s="1025"/>
      <c r="BO4168" s="43"/>
    </row>
    <row r="4169" spans="65:67" ht="18.75" customHeight="1">
      <c r="BM4169" s="1025"/>
      <c r="BO4169" s="43"/>
    </row>
    <row r="4170" spans="65:67" ht="18.75" customHeight="1">
      <c r="BM4170" s="1025"/>
      <c r="BO4170" s="43"/>
    </row>
    <row r="4171" spans="65:67" ht="18.75" customHeight="1">
      <c r="BM4171" s="1025"/>
      <c r="BO4171" s="43"/>
    </row>
    <row r="4172" spans="65:67" ht="18.75" customHeight="1">
      <c r="BM4172" s="1025"/>
      <c r="BO4172" s="43"/>
    </row>
    <row r="4173" spans="65:67" ht="18.75" customHeight="1">
      <c r="BM4173" s="1025"/>
      <c r="BO4173" s="43"/>
    </row>
    <row r="4174" spans="65:67" ht="18.75" customHeight="1">
      <c r="BM4174" s="1025"/>
      <c r="BO4174" s="43"/>
    </row>
    <row r="4175" spans="65:67" ht="18.75" customHeight="1">
      <c r="BM4175" s="1025"/>
      <c r="BO4175" s="43"/>
    </row>
    <row r="4176" spans="65:67" ht="18.75" customHeight="1">
      <c r="BM4176" s="1025"/>
      <c r="BO4176" s="43"/>
    </row>
    <row r="4177" spans="65:67" ht="18.75" customHeight="1">
      <c r="BM4177" s="1025"/>
      <c r="BO4177" s="43"/>
    </row>
    <row r="4178" spans="65:67" ht="18.75" customHeight="1">
      <c r="BM4178" s="1025"/>
      <c r="BO4178" s="43"/>
    </row>
    <row r="4179" spans="65:67" ht="18.75" customHeight="1">
      <c r="BM4179" s="1025"/>
      <c r="BO4179" s="43"/>
    </row>
    <row r="4180" spans="65:67" ht="18.75" customHeight="1">
      <c r="BM4180" s="1025"/>
      <c r="BO4180" s="43"/>
    </row>
    <row r="4181" spans="65:67" ht="18.75" customHeight="1">
      <c r="BM4181" s="1025"/>
      <c r="BO4181" s="43"/>
    </row>
    <row r="4182" spans="65:67" ht="18.75" customHeight="1">
      <c r="BM4182" s="1025"/>
      <c r="BO4182" s="43"/>
    </row>
    <row r="4183" spans="65:67" ht="18.75" customHeight="1">
      <c r="BM4183" s="1025"/>
      <c r="BO4183" s="43"/>
    </row>
    <row r="4184" spans="65:67" ht="18.75" customHeight="1">
      <c r="BM4184" s="1025"/>
      <c r="BO4184" s="43"/>
    </row>
    <row r="4185" spans="65:67" ht="18.75" customHeight="1">
      <c r="BM4185" s="1025"/>
      <c r="BO4185" s="43"/>
    </row>
    <row r="4186" spans="65:67" ht="18.75" customHeight="1">
      <c r="BM4186" s="1025"/>
      <c r="BO4186" s="43"/>
    </row>
    <row r="4187" spans="65:67" ht="18.75" customHeight="1">
      <c r="BM4187" s="1025"/>
      <c r="BO4187" s="43"/>
    </row>
    <row r="4188" spans="65:67" ht="18.75" customHeight="1">
      <c r="BM4188" s="1025"/>
      <c r="BO4188" s="43"/>
    </row>
    <row r="4189" spans="65:67" ht="18.75" customHeight="1">
      <c r="BM4189" s="1025"/>
      <c r="BO4189" s="43"/>
    </row>
    <row r="4190" spans="65:67" ht="18.75" customHeight="1">
      <c r="BM4190" s="1025"/>
      <c r="BO4190" s="43"/>
    </row>
    <row r="4191" spans="65:67" ht="18.75" customHeight="1">
      <c r="BM4191" s="1025"/>
      <c r="BO4191" s="43"/>
    </row>
    <row r="4192" spans="65:67" ht="18.75" customHeight="1">
      <c r="BM4192" s="1025"/>
      <c r="BO4192" s="43"/>
    </row>
    <row r="4193" spans="65:67" ht="18.75" customHeight="1">
      <c r="BM4193" s="1025"/>
      <c r="BO4193" s="43"/>
    </row>
    <row r="4194" spans="65:67" ht="18.75" customHeight="1">
      <c r="BM4194" s="1025"/>
      <c r="BO4194" s="43"/>
    </row>
    <row r="4195" spans="65:67" ht="18.75" customHeight="1">
      <c r="BM4195" s="1025"/>
      <c r="BO4195" s="43"/>
    </row>
    <row r="4196" spans="65:67" ht="18.75" customHeight="1">
      <c r="BM4196" s="1025"/>
      <c r="BO4196" s="43"/>
    </row>
    <row r="4197" spans="65:67" ht="18.75" customHeight="1">
      <c r="BM4197" s="1025"/>
      <c r="BO4197" s="43"/>
    </row>
    <row r="4198" spans="65:67" ht="18.75" customHeight="1">
      <c r="BM4198" s="1025"/>
      <c r="BO4198" s="43"/>
    </row>
    <row r="4199" spans="65:67" ht="18.75" customHeight="1">
      <c r="BM4199" s="1025"/>
      <c r="BO4199" s="43"/>
    </row>
    <row r="4200" spans="65:67" ht="18.75" customHeight="1">
      <c r="BM4200" s="1025"/>
      <c r="BO4200" s="43"/>
    </row>
    <row r="4201" spans="65:67" ht="18.75" customHeight="1">
      <c r="BM4201" s="1025"/>
      <c r="BO4201" s="43"/>
    </row>
    <row r="4202" spans="65:67" ht="18.75" customHeight="1">
      <c r="BM4202" s="1025"/>
      <c r="BO4202" s="43"/>
    </row>
    <row r="4203" spans="65:67" ht="18.75" customHeight="1">
      <c r="BM4203" s="1025"/>
      <c r="BO4203" s="43"/>
    </row>
    <row r="4204" spans="65:67" ht="18.75" customHeight="1">
      <c r="BM4204" s="1025"/>
      <c r="BO4204" s="43"/>
    </row>
    <row r="4205" spans="65:67" ht="18.75" customHeight="1">
      <c r="BM4205" s="1025"/>
      <c r="BO4205" s="43"/>
    </row>
    <row r="4206" spans="65:67" ht="18.75" customHeight="1">
      <c r="BM4206" s="1025"/>
      <c r="BO4206" s="43"/>
    </row>
    <row r="4207" spans="65:67" ht="18.75" customHeight="1">
      <c r="BM4207" s="1025"/>
      <c r="BO4207" s="43"/>
    </row>
    <row r="4208" spans="65:67" ht="18.75" customHeight="1">
      <c r="BM4208" s="1025"/>
      <c r="BO4208" s="43"/>
    </row>
    <row r="4209" spans="65:67" ht="18.75" customHeight="1">
      <c r="BM4209" s="1025"/>
      <c r="BO4209" s="43"/>
    </row>
    <row r="4210" spans="65:67" ht="18.75" customHeight="1">
      <c r="BM4210" s="1025"/>
      <c r="BO4210" s="43"/>
    </row>
    <row r="4211" spans="65:67" ht="18.75" customHeight="1">
      <c r="BM4211" s="1025"/>
      <c r="BO4211" s="43"/>
    </row>
    <row r="4212" spans="65:67" ht="18.75" customHeight="1">
      <c r="BM4212" s="1025"/>
      <c r="BO4212" s="43"/>
    </row>
    <row r="4213" spans="65:67" ht="18.75" customHeight="1">
      <c r="BM4213" s="1025"/>
      <c r="BO4213" s="43"/>
    </row>
    <row r="4214" spans="65:67" ht="18.75" customHeight="1">
      <c r="BM4214" s="1025"/>
      <c r="BO4214" s="43"/>
    </row>
    <row r="4215" spans="65:67" ht="18.75" customHeight="1">
      <c r="BM4215" s="1025"/>
      <c r="BO4215" s="43"/>
    </row>
    <row r="4216" spans="65:67" ht="18.75" customHeight="1">
      <c r="BM4216" s="1025"/>
      <c r="BO4216" s="43"/>
    </row>
    <row r="4217" spans="65:67" ht="18.75" customHeight="1">
      <c r="BM4217" s="1025"/>
      <c r="BO4217" s="43"/>
    </row>
    <row r="4218" spans="65:67" ht="18.75" customHeight="1">
      <c r="BM4218" s="1025"/>
      <c r="BO4218" s="43"/>
    </row>
    <row r="4219" spans="65:67" ht="18.75" customHeight="1">
      <c r="BM4219" s="1025"/>
      <c r="BO4219" s="43"/>
    </row>
    <row r="4220" spans="65:67" ht="18.75" customHeight="1">
      <c r="BM4220" s="1025"/>
      <c r="BO4220" s="43"/>
    </row>
    <row r="4221" spans="65:67" ht="18.75" customHeight="1">
      <c r="BM4221" s="1025"/>
      <c r="BO4221" s="43"/>
    </row>
    <row r="4222" spans="65:67" ht="18.75" customHeight="1">
      <c r="BM4222" s="1025"/>
      <c r="BO4222" s="43"/>
    </row>
    <row r="4223" spans="65:67" ht="18.75" customHeight="1">
      <c r="BM4223" s="1025"/>
      <c r="BO4223" s="43"/>
    </row>
    <row r="4224" spans="65:67" ht="18.75" customHeight="1">
      <c r="BM4224" s="1025"/>
      <c r="BO4224" s="43"/>
    </row>
    <row r="4225" spans="65:67" ht="18.75" customHeight="1">
      <c r="BM4225" s="1025"/>
      <c r="BO4225" s="43"/>
    </row>
    <row r="4226" spans="65:67" ht="18.75" customHeight="1">
      <c r="BM4226" s="1025"/>
      <c r="BO4226" s="43"/>
    </row>
    <row r="4227" spans="65:67" ht="18.75" customHeight="1">
      <c r="BM4227" s="1025"/>
      <c r="BO4227" s="43"/>
    </row>
    <row r="4228" spans="65:67" ht="18.75" customHeight="1">
      <c r="BM4228" s="1025"/>
      <c r="BO4228" s="43"/>
    </row>
    <row r="4229" spans="65:67" ht="18.75" customHeight="1">
      <c r="BM4229" s="1025"/>
      <c r="BO4229" s="43"/>
    </row>
    <row r="4230" spans="65:67" ht="18.75" customHeight="1">
      <c r="BM4230" s="1025"/>
      <c r="BO4230" s="43"/>
    </row>
    <row r="4231" spans="65:67" ht="18.75" customHeight="1">
      <c r="BM4231" s="1025"/>
      <c r="BO4231" s="43"/>
    </row>
    <row r="4232" spans="65:67" ht="18.75" customHeight="1">
      <c r="BM4232" s="1025"/>
      <c r="BO4232" s="43"/>
    </row>
    <row r="4233" spans="65:67" ht="18.75" customHeight="1">
      <c r="BM4233" s="1025"/>
      <c r="BO4233" s="43"/>
    </row>
    <row r="4234" spans="65:67" ht="18.75" customHeight="1">
      <c r="BM4234" s="1025"/>
      <c r="BO4234" s="43"/>
    </row>
    <row r="4235" spans="65:67" ht="18.75" customHeight="1">
      <c r="BM4235" s="1025"/>
      <c r="BO4235" s="43"/>
    </row>
    <row r="4236" spans="65:67" ht="18.75" customHeight="1">
      <c r="BM4236" s="1025"/>
      <c r="BO4236" s="43"/>
    </row>
    <row r="4237" spans="65:67" ht="18.75" customHeight="1">
      <c r="BM4237" s="1025"/>
      <c r="BO4237" s="43"/>
    </row>
    <row r="4238" spans="65:67" ht="18.75" customHeight="1">
      <c r="BM4238" s="1025"/>
      <c r="BO4238" s="43"/>
    </row>
    <row r="4239" spans="65:67" ht="18.75" customHeight="1">
      <c r="BM4239" s="1025"/>
      <c r="BO4239" s="43"/>
    </row>
    <row r="4240" spans="65:67" ht="18.75" customHeight="1">
      <c r="BM4240" s="1025"/>
      <c r="BO4240" s="43"/>
    </row>
    <row r="4241" spans="65:67" ht="18.75" customHeight="1">
      <c r="BM4241" s="1025"/>
      <c r="BO4241" s="43"/>
    </row>
    <row r="4242" spans="65:67" ht="18.75" customHeight="1">
      <c r="BM4242" s="1025"/>
      <c r="BO4242" s="43"/>
    </row>
    <row r="4243" spans="65:67" ht="18.75" customHeight="1">
      <c r="BM4243" s="1025"/>
      <c r="BO4243" s="43"/>
    </row>
    <row r="4244" spans="65:67" ht="18.75" customHeight="1">
      <c r="BM4244" s="1025"/>
      <c r="BO4244" s="43"/>
    </row>
    <row r="4245" spans="65:67" ht="18.75" customHeight="1">
      <c r="BM4245" s="1025"/>
      <c r="BO4245" s="43"/>
    </row>
    <row r="4246" spans="65:67" ht="18.75" customHeight="1">
      <c r="BM4246" s="1025"/>
      <c r="BO4246" s="43"/>
    </row>
    <row r="4247" spans="65:67" ht="18.75" customHeight="1">
      <c r="BM4247" s="1025"/>
      <c r="BO4247" s="43"/>
    </row>
    <row r="4248" spans="65:67" ht="18.75" customHeight="1">
      <c r="BM4248" s="1025"/>
      <c r="BO4248" s="43"/>
    </row>
    <row r="4249" spans="65:67" ht="18.75" customHeight="1">
      <c r="BM4249" s="1025"/>
      <c r="BO4249" s="43"/>
    </row>
    <row r="4250" spans="65:67" ht="18.75" customHeight="1">
      <c r="BM4250" s="1025"/>
      <c r="BO4250" s="43"/>
    </row>
    <row r="4251" spans="65:67" ht="18.75" customHeight="1">
      <c r="BM4251" s="1025"/>
      <c r="BO4251" s="43"/>
    </row>
    <row r="4252" spans="65:67" ht="18.75" customHeight="1">
      <c r="BM4252" s="1025"/>
      <c r="BO4252" s="43"/>
    </row>
    <row r="4253" spans="65:67" ht="18.75" customHeight="1">
      <c r="BM4253" s="1025"/>
      <c r="BO4253" s="43"/>
    </row>
    <row r="4254" spans="65:67" ht="18.75" customHeight="1">
      <c r="BM4254" s="1025"/>
      <c r="BO4254" s="43"/>
    </row>
    <row r="4255" spans="65:67" ht="18.75" customHeight="1">
      <c r="BM4255" s="1025"/>
      <c r="BO4255" s="43"/>
    </row>
    <row r="4256" spans="65:67" ht="18.75" customHeight="1">
      <c r="BM4256" s="1025"/>
      <c r="BO4256" s="43"/>
    </row>
    <row r="4257" spans="65:67" ht="18.75" customHeight="1">
      <c r="BM4257" s="1025"/>
      <c r="BO4257" s="43"/>
    </row>
    <row r="4258" spans="65:67" ht="18.75" customHeight="1">
      <c r="BM4258" s="1025"/>
      <c r="BO4258" s="43"/>
    </row>
    <row r="4259" spans="65:67" ht="18.75" customHeight="1">
      <c r="BM4259" s="1025"/>
      <c r="BO4259" s="43"/>
    </row>
    <row r="4260" spans="65:67" ht="18.75" customHeight="1">
      <c r="BM4260" s="1025"/>
      <c r="BO4260" s="43"/>
    </row>
    <row r="4261" spans="65:67" ht="18.75" customHeight="1">
      <c r="BM4261" s="1025"/>
      <c r="BO4261" s="43"/>
    </row>
    <row r="4262" spans="65:67" ht="18.75" customHeight="1">
      <c r="BM4262" s="1025"/>
      <c r="BO4262" s="43"/>
    </row>
    <row r="4263" spans="65:67" ht="18.75" customHeight="1">
      <c r="BM4263" s="1025"/>
      <c r="BO4263" s="43"/>
    </row>
    <row r="4264" spans="65:67" ht="18.75" customHeight="1">
      <c r="BM4264" s="1025"/>
      <c r="BO4264" s="43"/>
    </row>
    <row r="4265" spans="65:67" ht="18.75" customHeight="1">
      <c r="BM4265" s="1025"/>
      <c r="BO4265" s="43"/>
    </row>
    <row r="4266" spans="65:67" ht="18.75" customHeight="1">
      <c r="BM4266" s="1025"/>
      <c r="BO4266" s="43"/>
    </row>
    <row r="4267" spans="65:67" ht="18.75" customHeight="1">
      <c r="BM4267" s="1025"/>
      <c r="BO4267" s="43"/>
    </row>
    <row r="4268" spans="65:67" ht="18.75" customHeight="1">
      <c r="BM4268" s="1025"/>
      <c r="BO4268" s="43"/>
    </row>
    <row r="4269" spans="65:67" ht="18.75" customHeight="1">
      <c r="BM4269" s="1025"/>
      <c r="BO4269" s="43"/>
    </row>
    <row r="4270" spans="65:67" ht="18.75" customHeight="1">
      <c r="BM4270" s="1025"/>
      <c r="BO4270" s="43"/>
    </row>
    <row r="4271" spans="65:67" ht="18.75" customHeight="1">
      <c r="BM4271" s="1025"/>
      <c r="BO4271" s="43"/>
    </row>
    <row r="4272" spans="65:67" ht="18.75" customHeight="1">
      <c r="BM4272" s="1025"/>
      <c r="BO4272" s="43"/>
    </row>
    <row r="4273" spans="65:67" ht="18.75" customHeight="1">
      <c r="BM4273" s="1025"/>
      <c r="BO4273" s="43"/>
    </row>
    <row r="4274" spans="65:67" ht="18.75" customHeight="1">
      <c r="BM4274" s="1025"/>
      <c r="BO4274" s="43"/>
    </row>
    <row r="4275" spans="65:67" ht="18.75" customHeight="1">
      <c r="BM4275" s="1025"/>
      <c r="BO4275" s="43"/>
    </row>
    <row r="4276" spans="65:67" ht="18.75" customHeight="1">
      <c r="BM4276" s="1025"/>
      <c r="BO4276" s="43"/>
    </row>
    <row r="4277" spans="65:67" ht="18.75" customHeight="1">
      <c r="BM4277" s="1025"/>
      <c r="BO4277" s="43"/>
    </row>
    <row r="4278" spans="65:67" ht="18.75" customHeight="1">
      <c r="BM4278" s="1025"/>
      <c r="BO4278" s="43"/>
    </row>
    <row r="4279" spans="65:67" ht="18.75" customHeight="1">
      <c r="BM4279" s="1025"/>
      <c r="BO4279" s="43"/>
    </row>
    <row r="4280" spans="65:67" ht="18.75" customHeight="1">
      <c r="BM4280" s="1025"/>
      <c r="BO4280" s="43"/>
    </row>
    <row r="4281" spans="65:67" ht="18.75" customHeight="1">
      <c r="BM4281" s="1025"/>
      <c r="BO4281" s="43"/>
    </row>
    <row r="4282" spans="65:67" ht="18.75" customHeight="1">
      <c r="BM4282" s="1025"/>
      <c r="BO4282" s="43"/>
    </row>
    <row r="4283" spans="65:67" ht="18.75" customHeight="1">
      <c r="BM4283" s="1025"/>
      <c r="BO4283" s="43"/>
    </row>
    <row r="4284" spans="65:67" ht="18.75" customHeight="1">
      <c r="BM4284" s="1025"/>
      <c r="BO4284" s="43"/>
    </row>
    <row r="4285" spans="65:67" ht="18.75" customHeight="1">
      <c r="BM4285" s="1025"/>
      <c r="BO4285" s="43"/>
    </row>
    <row r="4286" spans="65:67" ht="18.75" customHeight="1">
      <c r="BM4286" s="1025"/>
      <c r="BO4286" s="43"/>
    </row>
    <row r="4287" spans="65:67" ht="18.75" customHeight="1">
      <c r="BM4287" s="1025"/>
      <c r="BO4287" s="43"/>
    </row>
    <row r="4288" spans="65:67" ht="18.75" customHeight="1">
      <c r="BM4288" s="1025"/>
      <c r="BO4288" s="43"/>
    </row>
    <row r="4289" spans="65:67" ht="18.75" customHeight="1">
      <c r="BM4289" s="1025"/>
      <c r="BO4289" s="43"/>
    </row>
    <row r="4290" spans="65:67" ht="18.75" customHeight="1">
      <c r="BM4290" s="1025"/>
      <c r="BO4290" s="43"/>
    </row>
    <row r="4291" spans="65:67" ht="18.75" customHeight="1">
      <c r="BM4291" s="1025"/>
      <c r="BO4291" s="43"/>
    </row>
    <row r="4292" spans="65:67" ht="18.75" customHeight="1">
      <c r="BM4292" s="1025"/>
      <c r="BO4292" s="43"/>
    </row>
    <row r="4293" spans="65:67" ht="18.75" customHeight="1">
      <c r="BM4293" s="1025"/>
      <c r="BO4293" s="43"/>
    </row>
    <row r="4294" spans="65:67" ht="18.75" customHeight="1">
      <c r="BM4294" s="1025"/>
      <c r="BO4294" s="43"/>
    </row>
    <row r="4295" spans="65:67" ht="18.75" customHeight="1">
      <c r="BM4295" s="1025"/>
      <c r="BO4295" s="43"/>
    </row>
    <row r="4296" spans="65:67" ht="18.75" customHeight="1">
      <c r="BM4296" s="1025"/>
      <c r="BO4296" s="43"/>
    </row>
    <row r="4297" spans="65:67" ht="18.75" customHeight="1">
      <c r="BM4297" s="1025"/>
      <c r="BO4297" s="43"/>
    </row>
    <row r="4298" spans="65:67" ht="18.75" customHeight="1">
      <c r="BM4298" s="1025"/>
      <c r="BO4298" s="43"/>
    </row>
    <row r="4299" spans="65:67" ht="18.75" customHeight="1">
      <c r="BM4299" s="1025"/>
      <c r="BO4299" s="43"/>
    </row>
    <row r="4300" spans="65:67" ht="18.75" customHeight="1">
      <c r="BM4300" s="1025"/>
      <c r="BO4300" s="43"/>
    </row>
    <row r="4301" spans="65:67" ht="18.75" customHeight="1">
      <c r="BM4301" s="1025"/>
      <c r="BO4301" s="43"/>
    </row>
    <row r="4302" spans="65:67" ht="18.75" customHeight="1">
      <c r="BM4302" s="1025"/>
      <c r="BO4302" s="43"/>
    </row>
    <row r="4303" spans="65:67" ht="18.75" customHeight="1">
      <c r="BM4303" s="1025"/>
      <c r="BO4303" s="43"/>
    </row>
    <row r="4304" spans="65:67" ht="18.75" customHeight="1">
      <c r="BM4304" s="1025"/>
      <c r="BO4304" s="43"/>
    </row>
    <row r="4305" spans="65:67" ht="18.75" customHeight="1">
      <c r="BM4305" s="1025"/>
      <c r="BO4305" s="43"/>
    </row>
    <row r="4306" spans="65:67" ht="18.75" customHeight="1">
      <c r="BM4306" s="1025"/>
      <c r="BO4306" s="43"/>
    </row>
    <row r="4307" spans="65:67" ht="18.75" customHeight="1">
      <c r="BM4307" s="1025"/>
      <c r="BO4307" s="43"/>
    </row>
    <row r="4308" spans="65:67" ht="18.75" customHeight="1">
      <c r="BM4308" s="1025"/>
      <c r="BO4308" s="43"/>
    </row>
    <row r="4309" spans="65:67" ht="18.75" customHeight="1">
      <c r="BM4309" s="1025"/>
      <c r="BO4309" s="43"/>
    </row>
    <row r="4310" spans="65:67" ht="18.75" customHeight="1">
      <c r="BM4310" s="1025"/>
      <c r="BO4310" s="43"/>
    </row>
    <row r="4311" spans="65:67" ht="18.75" customHeight="1">
      <c r="BM4311" s="1025"/>
      <c r="BO4311" s="43"/>
    </row>
    <row r="4312" spans="65:67" ht="18.75" customHeight="1">
      <c r="BM4312" s="1025"/>
      <c r="BO4312" s="43"/>
    </row>
    <row r="4313" spans="65:67" ht="18.75" customHeight="1">
      <c r="BM4313" s="1025"/>
      <c r="BO4313" s="43"/>
    </row>
    <row r="4314" spans="65:67" ht="18.75" customHeight="1">
      <c r="BM4314" s="1025"/>
      <c r="BO4314" s="43"/>
    </row>
    <row r="4315" spans="65:67" ht="18.75" customHeight="1">
      <c r="BM4315" s="1025"/>
      <c r="BO4315" s="43"/>
    </row>
    <row r="4316" spans="65:67" ht="18.75" customHeight="1">
      <c r="BM4316" s="1025"/>
      <c r="BO4316" s="43"/>
    </row>
    <row r="4317" spans="65:67" ht="18.75" customHeight="1">
      <c r="BM4317" s="1025"/>
      <c r="BO4317" s="43"/>
    </row>
    <row r="4318" spans="65:67" ht="18.75" customHeight="1">
      <c r="BM4318" s="1025"/>
      <c r="BO4318" s="43"/>
    </row>
    <row r="4319" spans="65:67" ht="18.75" customHeight="1">
      <c r="BM4319" s="1025"/>
      <c r="BO4319" s="43"/>
    </row>
    <row r="4320" spans="65:67" ht="18.75" customHeight="1">
      <c r="BM4320" s="1025"/>
      <c r="BO4320" s="43"/>
    </row>
    <row r="4321" spans="65:67" ht="18.75" customHeight="1">
      <c r="BM4321" s="1025"/>
      <c r="BO4321" s="43"/>
    </row>
    <row r="4322" spans="65:67" ht="18.75" customHeight="1">
      <c r="BM4322" s="1025"/>
      <c r="BO4322" s="43"/>
    </row>
    <row r="4323" spans="65:67" ht="18.75" customHeight="1">
      <c r="BM4323" s="1025"/>
      <c r="BO4323" s="43"/>
    </row>
    <row r="4324" spans="65:67" ht="18.75" customHeight="1">
      <c r="BM4324" s="1025"/>
      <c r="BO4324" s="43"/>
    </row>
    <row r="4325" spans="65:67" ht="18.75" customHeight="1">
      <c r="BM4325" s="1025"/>
      <c r="BO4325" s="43"/>
    </row>
    <row r="4326" spans="65:67" ht="18.75" customHeight="1">
      <c r="BM4326" s="1025"/>
      <c r="BO4326" s="43"/>
    </row>
    <row r="4327" spans="65:67" ht="18.75" customHeight="1">
      <c r="BM4327" s="1025"/>
      <c r="BO4327" s="43"/>
    </row>
    <row r="4328" spans="65:67" ht="18.75" customHeight="1">
      <c r="BM4328" s="1025"/>
      <c r="BO4328" s="43"/>
    </row>
    <row r="4329" spans="65:67" ht="18.75" customHeight="1">
      <c r="BM4329" s="1025"/>
      <c r="BO4329" s="43"/>
    </row>
    <row r="4330" spans="65:67" ht="18.75" customHeight="1">
      <c r="BM4330" s="1025"/>
      <c r="BO4330" s="43"/>
    </row>
    <row r="4331" spans="65:67" ht="18.75" customHeight="1">
      <c r="BM4331" s="1025"/>
      <c r="BO4331" s="43"/>
    </row>
    <row r="4332" spans="65:67" ht="18.75" customHeight="1">
      <c r="BM4332" s="1025"/>
      <c r="BO4332" s="43"/>
    </row>
    <row r="4333" spans="65:67" ht="18.75" customHeight="1">
      <c r="BM4333" s="1025"/>
      <c r="BO4333" s="43"/>
    </row>
    <row r="4334" spans="65:67" ht="18.75" customHeight="1">
      <c r="BM4334" s="1025"/>
      <c r="BO4334" s="43"/>
    </row>
    <row r="4335" spans="65:67" ht="18.75" customHeight="1">
      <c r="BM4335" s="1025"/>
      <c r="BO4335" s="43"/>
    </row>
    <row r="4336" spans="65:67" ht="18.75" customHeight="1">
      <c r="BM4336" s="1025"/>
      <c r="BO4336" s="43"/>
    </row>
    <row r="4337" spans="65:67" ht="18.75" customHeight="1">
      <c r="BM4337" s="1025"/>
      <c r="BO4337" s="43"/>
    </row>
    <row r="4338" spans="65:67" ht="18.75" customHeight="1">
      <c r="BM4338" s="1025"/>
      <c r="BO4338" s="43"/>
    </row>
    <row r="4339" spans="65:67" ht="18.75" customHeight="1">
      <c r="BM4339" s="1025"/>
      <c r="BO4339" s="43"/>
    </row>
    <row r="4340" spans="65:67" ht="18.75" customHeight="1">
      <c r="BM4340" s="1025"/>
      <c r="BO4340" s="43"/>
    </row>
    <row r="4341" spans="65:67" ht="18.75" customHeight="1">
      <c r="BM4341" s="1025"/>
      <c r="BO4341" s="43"/>
    </row>
    <row r="4342" spans="65:67" ht="18.75" customHeight="1">
      <c r="BM4342" s="1025"/>
      <c r="BO4342" s="43"/>
    </row>
    <row r="4343" spans="65:67" ht="18.75" customHeight="1">
      <c r="BM4343" s="1025"/>
      <c r="BO4343" s="43"/>
    </row>
    <row r="4344" spans="65:67" ht="18.75" customHeight="1">
      <c r="BM4344" s="1025"/>
      <c r="BO4344" s="43"/>
    </row>
    <row r="4345" spans="65:67" ht="18.75" customHeight="1">
      <c r="BM4345" s="1025"/>
      <c r="BO4345" s="43"/>
    </row>
    <row r="4346" spans="65:67" ht="18.75" customHeight="1">
      <c r="BM4346" s="1025"/>
      <c r="BO4346" s="43"/>
    </row>
    <row r="4347" spans="65:67" ht="18.75" customHeight="1">
      <c r="BM4347" s="1025"/>
      <c r="BO4347" s="43"/>
    </row>
    <row r="4348" spans="65:67" ht="18.75" customHeight="1">
      <c r="BM4348" s="1025"/>
      <c r="BO4348" s="43"/>
    </row>
    <row r="4349" spans="65:67" ht="18.75" customHeight="1">
      <c r="BM4349" s="1025"/>
      <c r="BO4349" s="43"/>
    </row>
    <row r="4350" spans="65:67" ht="18.75" customHeight="1">
      <c r="BM4350" s="1025"/>
      <c r="BO4350" s="43"/>
    </row>
    <row r="4351" spans="65:67" ht="18.75" customHeight="1">
      <c r="BM4351" s="1025"/>
      <c r="BO4351" s="43"/>
    </row>
    <row r="4352" spans="65:67" ht="18.75" customHeight="1">
      <c r="BM4352" s="1025"/>
      <c r="BO4352" s="43"/>
    </row>
    <row r="4353" spans="65:67" ht="18.75" customHeight="1">
      <c r="BM4353" s="1025"/>
      <c r="BO4353" s="43"/>
    </row>
    <row r="4354" spans="65:67" ht="18.75" customHeight="1">
      <c r="BM4354" s="1025"/>
      <c r="BO4354" s="43"/>
    </row>
    <row r="4355" spans="65:67" ht="18.75" customHeight="1">
      <c r="BM4355" s="1025"/>
      <c r="BO4355" s="43"/>
    </row>
    <row r="4356" spans="65:67" ht="18.75" customHeight="1">
      <c r="BM4356" s="1025"/>
      <c r="BO4356" s="43"/>
    </row>
    <row r="4357" spans="65:67" ht="18.75" customHeight="1">
      <c r="BM4357" s="1025"/>
      <c r="BO4357" s="43"/>
    </row>
    <row r="4358" spans="65:67" ht="18.75" customHeight="1">
      <c r="BM4358" s="1025"/>
      <c r="BO4358" s="43"/>
    </row>
    <row r="4359" spans="65:67" ht="18.75" customHeight="1">
      <c r="BM4359" s="1025"/>
      <c r="BO4359" s="43"/>
    </row>
    <row r="4360" spans="65:67" ht="18.75" customHeight="1">
      <c r="BM4360" s="1025"/>
      <c r="BO4360" s="43"/>
    </row>
    <row r="4361" spans="65:67" ht="18.75" customHeight="1">
      <c r="BM4361" s="1025"/>
      <c r="BO4361" s="43"/>
    </row>
    <row r="4362" spans="65:67" ht="18.75" customHeight="1">
      <c r="BM4362" s="1025"/>
      <c r="BO4362" s="43"/>
    </row>
    <row r="4363" spans="65:67" ht="18.75" customHeight="1">
      <c r="BM4363" s="1025"/>
      <c r="BO4363" s="43"/>
    </row>
    <row r="4364" spans="65:67" ht="18.75" customHeight="1">
      <c r="BM4364" s="1025"/>
      <c r="BO4364" s="43"/>
    </row>
    <row r="4365" spans="65:67" ht="18.75" customHeight="1">
      <c r="BM4365" s="1025"/>
      <c r="BO4365" s="43"/>
    </row>
    <row r="4366" spans="65:67" ht="18.75" customHeight="1">
      <c r="BM4366" s="1025"/>
      <c r="BO4366" s="43"/>
    </row>
    <row r="4367" spans="65:67" ht="18.75" customHeight="1">
      <c r="BM4367" s="1025"/>
      <c r="BO4367" s="43"/>
    </row>
    <row r="4368" spans="65:67" ht="18.75" customHeight="1">
      <c r="BM4368" s="1025"/>
      <c r="BO4368" s="43"/>
    </row>
    <row r="4369" spans="65:67" ht="18.75" customHeight="1">
      <c r="BM4369" s="1025"/>
      <c r="BO4369" s="43"/>
    </row>
    <row r="4370" spans="65:67" ht="18.75" customHeight="1">
      <c r="BM4370" s="1025"/>
      <c r="BO4370" s="43"/>
    </row>
    <row r="4371" spans="65:67" ht="18.75" customHeight="1">
      <c r="BM4371" s="1025"/>
      <c r="BO4371" s="43"/>
    </row>
    <row r="4372" spans="65:67" ht="18.75" customHeight="1">
      <c r="BM4372" s="1025"/>
      <c r="BO4372" s="43"/>
    </row>
    <row r="4373" spans="65:67" ht="18.75" customHeight="1">
      <c r="BM4373" s="1025"/>
      <c r="BO4373" s="43"/>
    </row>
    <row r="4374" spans="65:67" ht="18.75" customHeight="1">
      <c r="BM4374" s="1025"/>
      <c r="BO4374" s="43"/>
    </row>
    <row r="4375" spans="65:67" ht="18.75" customHeight="1">
      <c r="BM4375" s="1025"/>
      <c r="BO4375" s="43"/>
    </row>
    <row r="4376" spans="65:67" ht="18.75" customHeight="1">
      <c r="BM4376" s="1025"/>
      <c r="BO4376" s="43"/>
    </row>
    <row r="4377" spans="65:67" ht="18.75" customHeight="1">
      <c r="BM4377" s="1025"/>
      <c r="BO4377" s="43"/>
    </row>
    <row r="4378" spans="65:67" ht="18.75" customHeight="1">
      <c r="BM4378" s="1025"/>
      <c r="BO4378" s="43"/>
    </row>
    <row r="4379" spans="65:67" ht="18.75" customHeight="1">
      <c r="BM4379" s="1025"/>
      <c r="BO4379" s="43"/>
    </row>
    <row r="4380" spans="65:67" ht="18.75" customHeight="1">
      <c r="BM4380" s="1025"/>
      <c r="BO4380" s="43"/>
    </row>
    <row r="4381" spans="65:67" ht="18.75" customHeight="1">
      <c r="BM4381" s="1025"/>
      <c r="BO4381" s="43"/>
    </row>
    <row r="4382" spans="65:67" ht="18.75" customHeight="1">
      <c r="BM4382" s="1025"/>
      <c r="BO4382" s="43"/>
    </row>
    <row r="4383" spans="65:67" ht="18.75" customHeight="1">
      <c r="BM4383" s="1025"/>
      <c r="BO4383" s="43"/>
    </row>
    <row r="4384" spans="65:67" ht="18.75" customHeight="1">
      <c r="BM4384" s="1025"/>
      <c r="BO4384" s="43"/>
    </row>
    <row r="4385" spans="65:67" ht="18.75" customHeight="1">
      <c r="BM4385" s="1025"/>
      <c r="BO4385" s="43"/>
    </row>
    <row r="4386" spans="65:67" ht="18.75" customHeight="1">
      <c r="BM4386" s="1025"/>
      <c r="BO4386" s="43"/>
    </row>
    <row r="4387" spans="65:67" ht="18.75" customHeight="1">
      <c r="BM4387" s="1025"/>
      <c r="BO4387" s="43"/>
    </row>
    <row r="4388" spans="65:67" ht="18.75" customHeight="1">
      <c r="BM4388" s="1025"/>
      <c r="BO4388" s="43"/>
    </row>
    <row r="4389" spans="65:67" ht="18.75" customHeight="1">
      <c r="BM4389" s="1025"/>
      <c r="BO4389" s="43"/>
    </row>
    <row r="4390" spans="65:67" ht="18.75" customHeight="1">
      <c r="BM4390" s="1025"/>
      <c r="BO4390" s="43"/>
    </row>
    <row r="4391" spans="65:67" ht="18.75" customHeight="1">
      <c r="BM4391" s="1025"/>
      <c r="BO4391" s="43"/>
    </row>
    <row r="4392" spans="65:67" ht="18.75" customHeight="1">
      <c r="BM4392" s="1025"/>
      <c r="BO4392" s="43"/>
    </row>
    <row r="4393" spans="65:67" ht="18.75" customHeight="1">
      <c r="BM4393" s="1025"/>
      <c r="BO4393" s="43"/>
    </row>
    <row r="4394" spans="65:67" ht="18.75" customHeight="1">
      <c r="BM4394" s="1025"/>
      <c r="BO4394" s="43"/>
    </row>
    <row r="4395" spans="65:67" ht="18.75" customHeight="1">
      <c r="BM4395" s="1025"/>
      <c r="BO4395" s="43"/>
    </row>
    <row r="4396" spans="65:67" ht="18.75" customHeight="1">
      <c r="BM4396" s="1025"/>
      <c r="BO4396" s="43"/>
    </row>
    <row r="4397" spans="65:67" ht="18.75" customHeight="1">
      <c r="BM4397" s="1025"/>
      <c r="BO4397" s="43"/>
    </row>
    <row r="4398" spans="65:67" ht="18.75" customHeight="1">
      <c r="BM4398" s="1025"/>
      <c r="BO4398" s="43"/>
    </row>
    <row r="4399" spans="65:67" ht="18.75" customHeight="1">
      <c r="BM4399" s="1025"/>
      <c r="BO4399" s="43"/>
    </row>
    <row r="4400" spans="65:67" ht="18.75" customHeight="1">
      <c r="BM4400" s="1025"/>
      <c r="BO4400" s="43"/>
    </row>
    <row r="4401" spans="65:67" ht="18.75" customHeight="1">
      <c r="BM4401" s="1025"/>
      <c r="BO4401" s="43"/>
    </row>
    <row r="4402" spans="65:67" ht="18.75" customHeight="1">
      <c r="BM4402" s="1025"/>
      <c r="BO4402" s="43"/>
    </row>
    <row r="4403" spans="65:67" ht="18.75" customHeight="1">
      <c r="BM4403" s="1025"/>
      <c r="BO4403" s="43"/>
    </row>
    <row r="4404" spans="65:67" ht="18.75" customHeight="1">
      <c r="BM4404" s="1025"/>
      <c r="BO4404" s="43"/>
    </row>
    <row r="4405" spans="65:67" ht="18.75" customHeight="1">
      <c r="BM4405" s="1025"/>
      <c r="BO4405" s="43"/>
    </row>
    <row r="4406" spans="65:67" ht="18.75" customHeight="1">
      <c r="BM4406" s="1025"/>
      <c r="BO4406" s="43"/>
    </row>
    <row r="4407" spans="65:67" ht="18.75" customHeight="1">
      <c r="BM4407" s="1025"/>
      <c r="BO4407" s="43"/>
    </row>
    <row r="4408" spans="65:67" ht="18.75" customHeight="1">
      <c r="BM4408" s="1025"/>
      <c r="BO4408" s="43"/>
    </row>
    <row r="4409" spans="65:67" ht="18.75" customHeight="1">
      <c r="BM4409" s="1025"/>
      <c r="BO4409" s="43"/>
    </row>
    <row r="4410" spans="65:67" ht="18.75" customHeight="1">
      <c r="BM4410" s="1025"/>
      <c r="BO4410" s="43"/>
    </row>
    <row r="4411" spans="65:67" ht="18.75" customHeight="1">
      <c r="BM4411" s="1025"/>
      <c r="BO4411" s="43"/>
    </row>
    <row r="4412" spans="65:67" ht="18.75" customHeight="1">
      <c r="BM4412" s="1025"/>
      <c r="BO4412" s="43"/>
    </row>
    <row r="4413" spans="65:67" ht="18.75" customHeight="1">
      <c r="BM4413" s="1025"/>
      <c r="BO4413" s="43"/>
    </row>
    <row r="4414" spans="65:67" ht="18.75" customHeight="1">
      <c r="BM4414" s="1025"/>
      <c r="BO4414" s="43"/>
    </row>
    <row r="4415" spans="65:67" ht="18.75" customHeight="1">
      <c r="BM4415" s="1025"/>
      <c r="BO4415" s="43"/>
    </row>
    <row r="4416" spans="65:67" ht="18.75" customHeight="1">
      <c r="BM4416" s="1025"/>
      <c r="BO4416" s="43"/>
    </row>
    <row r="4417" spans="65:67" ht="18.75" customHeight="1">
      <c r="BM4417" s="1025"/>
      <c r="BO4417" s="43"/>
    </row>
    <row r="4418" spans="65:67" ht="18.75" customHeight="1">
      <c r="BM4418" s="1025"/>
      <c r="BO4418" s="43"/>
    </row>
    <row r="4419" spans="65:67" ht="18.75" customHeight="1">
      <c r="BM4419" s="1025"/>
      <c r="BO4419" s="43"/>
    </row>
    <row r="4420" spans="65:67" ht="18.75" customHeight="1">
      <c r="BM4420" s="1025"/>
      <c r="BO4420" s="43"/>
    </row>
    <row r="4421" spans="65:67" ht="18.75" customHeight="1">
      <c r="BM4421" s="1025"/>
      <c r="BO4421" s="43"/>
    </row>
    <row r="4422" spans="65:67" ht="18.75" customHeight="1">
      <c r="BM4422" s="1025"/>
      <c r="BO4422" s="43"/>
    </row>
    <row r="4423" spans="65:67" ht="18.75" customHeight="1">
      <c r="BM4423" s="1025"/>
      <c r="BO4423" s="43"/>
    </row>
    <row r="4424" spans="65:67" ht="18.75" customHeight="1">
      <c r="BM4424" s="1025"/>
      <c r="BO4424" s="43"/>
    </row>
    <row r="4425" spans="65:67" ht="18.75" customHeight="1">
      <c r="BM4425" s="1025"/>
      <c r="BO4425" s="43"/>
    </row>
    <row r="4426" spans="65:67" ht="18.75" customHeight="1">
      <c r="BM4426" s="1025"/>
      <c r="BO4426" s="43"/>
    </row>
    <row r="4427" spans="65:67" ht="18.75" customHeight="1">
      <c r="BM4427" s="1025"/>
      <c r="BO4427" s="43"/>
    </row>
    <row r="4428" spans="65:67" ht="18.75" customHeight="1">
      <c r="BM4428" s="1025"/>
      <c r="BO4428" s="43"/>
    </row>
    <row r="4429" spans="65:67" ht="18.75" customHeight="1">
      <c r="BM4429" s="1025"/>
      <c r="BO4429" s="43"/>
    </row>
    <row r="4430" spans="65:67" ht="18.75" customHeight="1">
      <c r="BM4430" s="1025"/>
      <c r="BO4430" s="43"/>
    </row>
    <row r="4431" spans="65:67" ht="18.75" customHeight="1">
      <c r="BM4431" s="1025"/>
      <c r="BO4431" s="43"/>
    </row>
    <row r="4432" spans="65:67" ht="18.75" customHeight="1">
      <c r="BM4432" s="1025"/>
      <c r="BO4432" s="43"/>
    </row>
    <row r="4433" spans="65:67" ht="18.75" customHeight="1">
      <c r="BM4433" s="1025"/>
      <c r="BO4433" s="43"/>
    </row>
    <row r="4434" spans="65:67" ht="18.75" customHeight="1">
      <c r="BM4434" s="1025"/>
      <c r="BO4434" s="43"/>
    </row>
    <row r="4435" spans="65:67" ht="18.75" customHeight="1">
      <c r="BM4435" s="1025"/>
      <c r="BO4435" s="43"/>
    </row>
    <row r="4436" spans="65:67" ht="18.75" customHeight="1">
      <c r="BM4436" s="1025"/>
      <c r="BO4436" s="43"/>
    </row>
    <row r="4437" spans="65:67" ht="18.75" customHeight="1">
      <c r="BM4437" s="1025"/>
      <c r="BO4437" s="43"/>
    </row>
    <row r="4438" spans="65:67" ht="18.75" customHeight="1">
      <c r="BM4438" s="1025"/>
      <c r="BO4438" s="43"/>
    </row>
    <row r="4439" spans="65:67" ht="18.75" customHeight="1">
      <c r="BM4439" s="1025"/>
      <c r="BO4439" s="43"/>
    </row>
    <row r="4440" spans="65:67" ht="18.75" customHeight="1">
      <c r="BM4440" s="1025"/>
      <c r="BO4440" s="43"/>
    </row>
    <row r="4441" spans="65:67" ht="18.75" customHeight="1">
      <c r="BM4441" s="1025"/>
      <c r="BO4441" s="43"/>
    </row>
    <row r="4442" spans="65:67" ht="18.75" customHeight="1">
      <c r="BM4442" s="1025"/>
      <c r="BO4442" s="43"/>
    </row>
    <row r="4443" spans="65:67" ht="18.75" customHeight="1">
      <c r="BM4443" s="1025"/>
      <c r="BO4443" s="43"/>
    </row>
    <row r="4444" spans="65:67" ht="18.75" customHeight="1">
      <c r="BM4444" s="1025"/>
      <c r="BO4444" s="43"/>
    </row>
    <row r="4445" spans="65:67" ht="18.75" customHeight="1">
      <c r="BM4445" s="1025"/>
      <c r="BO4445" s="43"/>
    </row>
    <row r="4446" spans="65:67" ht="18.75" customHeight="1">
      <c r="BM4446" s="1025"/>
      <c r="BO4446" s="43"/>
    </row>
    <row r="4447" spans="65:67" ht="18.75" customHeight="1">
      <c r="BM4447" s="1025"/>
      <c r="BO4447" s="43"/>
    </row>
    <row r="4448" spans="65:67" ht="18.75" customHeight="1">
      <c r="BM4448" s="1025"/>
      <c r="BO4448" s="43"/>
    </row>
    <row r="4449" spans="65:67" ht="18.75" customHeight="1">
      <c r="BM4449" s="1025"/>
      <c r="BO4449" s="43"/>
    </row>
    <row r="4450" spans="65:67" ht="18.75" customHeight="1">
      <c r="BM4450" s="1025"/>
      <c r="BO4450" s="43"/>
    </row>
    <row r="4451" spans="65:67" ht="18.75" customHeight="1">
      <c r="BM4451" s="1025"/>
      <c r="BO4451" s="43"/>
    </row>
    <row r="4452" spans="65:67" ht="18.75" customHeight="1">
      <c r="BM4452" s="1025"/>
      <c r="BO4452" s="43"/>
    </row>
    <row r="4453" spans="65:67" ht="18.75" customHeight="1">
      <c r="BM4453" s="1025"/>
      <c r="BO4453" s="43"/>
    </row>
    <row r="4454" spans="65:67" ht="18.75" customHeight="1">
      <c r="BM4454" s="1025"/>
      <c r="BO4454" s="43"/>
    </row>
    <row r="4455" spans="65:67" ht="18.75" customHeight="1">
      <c r="BM4455" s="1025"/>
      <c r="BO4455" s="43"/>
    </row>
    <row r="4456" spans="65:67" ht="18.75" customHeight="1">
      <c r="BM4456" s="1025"/>
      <c r="BO4456" s="43"/>
    </row>
    <row r="4457" spans="65:67" ht="18.75" customHeight="1">
      <c r="BM4457" s="1025"/>
      <c r="BO4457" s="43"/>
    </row>
    <row r="4458" spans="65:67" ht="18.75" customHeight="1">
      <c r="BM4458" s="1025"/>
      <c r="BO4458" s="43"/>
    </row>
    <row r="4459" spans="65:67" ht="18.75" customHeight="1">
      <c r="BM4459" s="1025"/>
      <c r="BO4459" s="43"/>
    </row>
    <row r="4460" spans="65:67" ht="18.75" customHeight="1">
      <c r="BM4460" s="1025"/>
      <c r="BO4460" s="43"/>
    </row>
    <row r="4461" spans="65:67" ht="18.75" customHeight="1">
      <c r="BM4461" s="1025"/>
      <c r="BO4461" s="43"/>
    </row>
    <row r="4462" spans="65:67" ht="18.75" customHeight="1">
      <c r="BM4462" s="1025"/>
      <c r="BO4462" s="43"/>
    </row>
    <row r="4463" spans="65:67" ht="18.75" customHeight="1">
      <c r="BM4463" s="1025"/>
      <c r="BO4463" s="43"/>
    </row>
    <row r="4464" spans="65:67" ht="18.75" customHeight="1">
      <c r="BM4464" s="1025"/>
      <c r="BO4464" s="43"/>
    </row>
    <row r="4465" spans="65:67" ht="18.75" customHeight="1">
      <c r="BM4465" s="1025"/>
      <c r="BO4465" s="43"/>
    </row>
    <row r="4466" spans="65:67" ht="18.75" customHeight="1">
      <c r="BM4466" s="1025"/>
      <c r="BO4466" s="43"/>
    </row>
    <row r="4467" spans="65:67" ht="18.75" customHeight="1">
      <c r="BM4467" s="1025"/>
      <c r="BO4467" s="43"/>
    </row>
    <row r="4468" spans="65:67" ht="18.75" customHeight="1">
      <c r="BM4468" s="1025"/>
      <c r="BO4468" s="43"/>
    </row>
    <row r="4469" spans="65:67" ht="18.75" customHeight="1">
      <c r="BM4469" s="1025"/>
      <c r="BO4469" s="43"/>
    </row>
    <row r="4470" spans="65:67" ht="18.75" customHeight="1">
      <c r="BM4470" s="1025"/>
      <c r="BO4470" s="43"/>
    </row>
    <row r="4471" spans="65:67" ht="18.75" customHeight="1">
      <c r="BM4471" s="1025"/>
      <c r="BO4471" s="43"/>
    </row>
    <row r="4472" spans="65:67" ht="18.75" customHeight="1">
      <c r="BM4472" s="1025"/>
      <c r="BO4472" s="43"/>
    </row>
    <row r="4473" spans="65:67" ht="18.75" customHeight="1">
      <c r="BM4473" s="1025"/>
      <c r="BO4473" s="43"/>
    </row>
    <row r="4474" spans="65:67" ht="18.75" customHeight="1">
      <c r="BM4474" s="1025"/>
      <c r="BO4474" s="43"/>
    </row>
    <row r="4475" spans="65:67" ht="18.75" customHeight="1">
      <c r="BM4475" s="1025"/>
      <c r="BO4475" s="43"/>
    </row>
    <row r="4476" spans="65:67" ht="18.75" customHeight="1">
      <c r="BM4476" s="1025"/>
      <c r="BO4476" s="43"/>
    </row>
    <row r="4477" spans="65:67" ht="18.75" customHeight="1">
      <c r="BM4477" s="1025"/>
      <c r="BO4477" s="43"/>
    </row>
    <row r="4478" spans="65:67" ht="18.75" customHeight="1">
      <c r="BM4478" s="1025"/>
      <c r="BO4478" s="43"/>
    </row>
    <row r="4479" spans="65:67" ht="18.75" customHeight="1">
      <c r="BM4479" s="1025"/>
      <c r="BO4479" s="43"/>
    </row>
    <row r="4480" spans="65:67" ht="18.75" customHeight="1">
      <c r="BM4480" s="1025"/>
      <c r="BO4480" s="43"/>
    </row>
    <row r="4481" spans="65:67" ht="18.75" customHeight="1">
      <c r="BM4481" s="1025"/>
      <c r="BO4481" s="43"/>
    </row>
    <row r="4482" spans="65:67" ht="18.75" customHeight="1">
      <c r="BM4482" s="1025"/>
      <c r="BO4482" s="43"/>
    </row>
    <row r="4483" spans="65:67" ht="18.75" customHeight="1">
      <c r="BM4483" s="1025"/>
      <c r="BO4483" s="43"/>
    </row>
    <row r="4484" spans="65:67" ht="18.75" customHeight="1">
      <c r="BM4484" s="1025"/>
      <c r="BO4484" s="43"/>
    </row>
    <row r="4485" spans="65:67" ht="18.75" customHeight="1">
      <c r="BM4485" s="1025"/>
      <c r="BO4485" s="43"/>
    </row>
    <row r="4486" spans="65:67" ht="18.75" customHeight="1">
      <c r="BM4486" s="1025"/>
      <c r="BO4486" s="43"/>
    </row>
    <row r="4487" spans="65:67" ht="18.75" customHeight="1">
      <c r="BM4487" s="1025"/>
      <c r="BO4487" s="43"/>
    </row>
    <row r="4488" spans="65:67" ht="18.75" customHeight="1">
      <c r="BM4488" s="1025"/>
      <c r="BO4488" s="43"/>
    </row>
    <row r="4489" spans="65:67" ht="18.75" customHeight="1">
      <c r="BM4489" s="1025"/>
      <c r="BO4489" s="43"/>
    </row>
    <row r="4490" spans="65:67" ht="18.75" customHeight="1">
      <c r="BM4490" s="1025"/>
      <c r="BO4490" s="43"/>
    </row>
    <row r="4491" spans="65:67" ht="18.75" customHeight="1">
      <c r="BM4491" s="1025"/>
      <c r="BO4491" s="43"/>
    </row>
    <row r="4492" spans="65:67" ht="18.75" customHeight="1">
      <c r="BM4492" s="1025"/>
      <c r="BO4492" s="43"/>
    </row>
    <row r="4493" spans="65:67" ht="18.75" customHeight="1">
      <c r="BM4493" s="1025"/>
      <c r="BO4493" s="43"/>
    </row>
    <row r="4494" spans="65:67" ht="18.75" customHeight="1">
      <c r="BM4494" s="1025"/>
      <c r="BO4494" s="43"/>
    </row>
    <row r="4495" spans="65:67" ht="18.75" customHeight="1">
      <c r="BM4495" s="1025"/>
      <c r="BO4495" s="43"/>
    </row>
    <row r="4496" spans="65:67" ht="18.75" customHeight="1">
      <c r="BM4496" s="1025"/>
      <c r="BO4496" s="43"/>
    </row>
    <row r="4497" spans="65:67" ht="18.75" customHeight="1">
      <c r="BM4497" s="1025"/>
      <c r="BO4497" s="43"/>
    </row>
    <row r="4498" spans="65:67" ht="18.75" customHeight="1">
      <c r="BM4498" s="1025"/>
      <c r="BO4498" s="43"/>
    </row>
    <row r="4499" spans="65:67" ht="18.75" customHeight="1">
      <c r="BM4499" s="1025"/>
      <c r="BO4499" s="43"/>
    </row>
    <row r="4500" spans="65:67" ht="18.75" customHeight="1">
      <c r="BM4500" s="1025"/>
      <c r="BO4500" s="43"/>
    </row>
    <row r="4501" spans="65:67" ht="18.75" customHeight="1">
      <c r="BM4501" s="1025"/>
      <c r="BO4501" s="43"/>
    </row>
    <row r="4502" spans="65:67" ht="18.75" customHeight="1">
      <c r="BM4502" s="1025"/>
      <c r="BO4502" s="43"/>
    </row>
    <row r="4503" spans="65:67" ht="18.75" customHeight="1">
      <c r="BM4503" s="1025"/>
      <c r="BO4503" s="43"/>
    </row>
    <row r="4504" spans="65:67" ht="18.75" customHeight="1">
      <c r="BM4504" s="1025"/>
      <c r="BO4504" s="43"/>
    </row>
    <row r="4505" spans="65:67" ht="18.75" customHeight="1">
      <c r="BM4505" s="1025"/>
      <c r="BO4505" s="43"/>
    </row>
    <row r="4506" spans="65:67" ht="18.75" customHeight="1">
      <c r="BM4506" s="1025"/>
      <c r="BO4506" s="43"/>
    </row>
    <row r="4507" spans="65:67" ht="18.75" customHeight="1">
      <c r="BM4507" s="1025"/>
      <c r="BO4507" s="43"/>
    </row>
    <row r="4508" spans="65:67" ht="18.75" customHeight="1">
      <c r="BM4508" s="1025"/>
      <c r="BO4508" s="43"/>
    </row>
    <row r="4509" spans="65:67" ht="18.75" customHeight="1">
      <c r="BM4509" s="1025"/>
      <c r="BO4509" s="43"/>
    </row>
    <row r="4510" spans="65:67" ht="18.75" customHeight="1">
      <c r="BM4510" s="1025"/>
      <c r="BO4510" s="43"/>
    </row>
    <row r="4511" spans="65:67" ht="18.75" customHeight="1">
      <c r="BM4511" s="1025"/>
      <c r="BO4511" s="43"/>
    </row>
    <row r="4512" spans="65:67" ht="18.75" customHeight="1">
      <c r="BM4512" s="1025"/>
      <c r="BO4512" s="43"/>
    </row>
    <row r="4513" spans="65:67" ht="18.75" customHeight="1">
      <c r="BM4513" s="1025"/>
      <c r="BO4513" s="43"/>
    </row>
    <row r="4514" spans="65:67" ht="18.75" customHeight="1">
      <c r="BM4514" s="1025"/>
      <c r="BO4514" s="43"/>
    </row>
    <row r="4515" spans="65:67" ht="18.75" customHeight="1">
      <c r="BM4515" s="1025"/>
      <c r="BO4515" s="43"/>
    </row>
    <row r="4516" spans="65:67" ht="18.75" customHeight="1">
      <c r="BM4516" s="1025"/>
      <c r="BO4516" s="43"/>
    </row>
    <row r="4517" spans="65:67" ht="18.75" customHeight="1">
      <c r="BM4517" s="1025"/>
      <c r="BO4517" s="43"/>
    </row>
    <row r="4518" spans="65:67" ht="18.75" customHeight="1">
      <c r="BM4518" s="1025"/>
      <c r="BO4518" s="43"/>
    </row>
    <row r="4519" spans="65:67" ht="18.75" customHeight="1">
      <c r="BM4519" s="1025"/>
      <c r="BO4519" s="43"/>
    </row>
    <row r="4520" spans="65:67" ht="18.75" customHeight="1">
      <c r="BM4520" s="1025"/>
      <c r="BO4520" s="43"/>
    </row>
    <row r="4521" spans="65:67" ht="18.75" customHeight="1">
      <c r="BM4521" s="1025"/>
      <c r="BO4521" s="43"/>
    </row>
    <row r="4522" spans="65:67" ht="18.75" customHeight="1">
      <c r="BM4522" s="1025"/>
      <c r="BO4522" s="43"/>
    </row>
    <row r="4523" spans="65:67" ht="18.75" customHeight="1">
      <c r="BM4523" s="1025"/>
      <c r="BO4523" s="43"/>
    </row>
    <row r="4524" spans="65:67" ht="18.75" customHeight="1">
      <c r="BM4524" s="1025"/>
      <c r="BO4524" s="43"/>
    </row>
    <row r="4525" spans="65:67" ht="18.75" customHeight="1">
      <c r="BM4525" s="1025"/>
      <c r="BO4525" s="43"/>
    </row>
    <row r="4526" spans="65:67" ht="18.75" customHeight="1">
      <c r="BM4526" s="1025"/>
      <c r="BO4526" s="43"/>
    </row>
    <row r="4527" spans="65:67" ht="18.75" customHeight="1">
      <c r="BM4527" s="1025"/>
      <c r="BO4527" s="43"/>
    </row>
    <row r="4528" spans="65:67" ht="18.75" customHeight="1">
      <c r="BM4528" s="1025"/>
      <c r="BO4528" s="43"/>
    </row>
    <row r="4529" spans="65:67" ht="18.75" customHeight="1">
      <c r="BM4529" s="1025"/>
      <c r="BO4529" s="43"/>
    </row>
    <row r="4530" spans="65:67" ht="18.75" customHeight="1">
      <c r="BM4530" s="1025"/>
      <c r="BO4530" s="43"/>
    </row>
    <row r="4531" spans="65:67" ht="18.75" customHeight="1">
      <c r="BM4531" s="1025"/>
      <c r="BO4531" s="43"/>
    </row>
    <row r="4532" spans="65:67" ht="18.75" customHeight="1">
      <c r="BM4532" s="1025"/>
      <c r="BO4532" s="43"/>
    </row>
    <row r="4533" spans="65:67" ht="18.75" customHeight="1">
      <c r="BM4533" s="1025"/>
      <c r="BO4533" s="43"/>
    </row>
    <row r="4534" spans="65:67" ht="18.75" customHeight="1">
      <c r="BM4534" s="1025"/>
      <c r="BO4534" s="43"/>
    </row>
    <row r="4535" spans="65:67" ht="18.75" customHeight="1">
      <c r="BM4535" s="1025"/>
      <c r="BO4535" s="43"/>
    </row>
    <row r="4536" spans="65:67" ht="18.75" customHeight="1">
      <c r="BM4536" s="1025"/>
      <c r="BO4536" s="43"/>
    </row>
    <row r="4537" spans="65:67" ht="18.75" customHeight="1">
      <c r="BM4537" s="1025"/>
      <c r="BO4537" s="43"/>
    </row>
    <row r="4538" spans="65:67" ht="18.75" customHeight="1">
      <c r="BM4538" s="1025"/>
      <c r="BO4538" s="43"/>
    </row>
    <row r="4539" spans="65:67" ht="18.75" customHeight="1">
      <c r="BM4539" s="1025"/>
      <c r="BO4539" s="43"/>
    </row>
    <row r="4540" spans="65:67" ht="18.75" customHeight="1">
      <c r="BM4540" s="1025"/>
      <c r="BO4540" s="43"/>
    </row>
    <row r="4541" spans="65:67" ht="18.75" customHeight="1">
      <c r="BM4541" s="1025"/>
      <c r="BO4541" s="43"/>
    </row>
    <row r="4542" spans="65:67" ht="18.75" customHeight="1">
      <c r="BM4542" s="1025"/>
      <c r="BO4542" s="43"/>
    </row>
    <row r="4543" spans="65:67" ht="18.75" customHeight="1">
      <c r="BM4543" s="1025"/>
      <c r="BO4543" s="43"/>
    </row>
    <row r="4544" spans="65:67" ht="18.75" customHeight="1">
      <c r="BM4544" s="1025"/>
      <c r="BO4544" s="43"/>
    </row>
    <row r="4545" spans="65:67" ht="18.75" customHeight="1">
      <c r="BM4545" s="1025"/>
      <c r="BO4545" s="43"/>
    </row>
    <row r="4546" spans="65:67" ht="18.75" customHeight="1">
      <c r="BM4546" s="1025"/>
      <c r="BO4546" s="43"/>
    </row>
    <row r="4547" spans="65:67" ht="18.75" customHeight="1">
      <c r="BM4547" s="1025"/>
      <c r="BO4547" s="43"/>
    </row>
    <row r="4548" spans="65:67" ht="18.75" customHeight="1">
      <c r="BM4548" s="1025"/>
      <c r="BO4548" s="43"/>
    </row>
    <row r="4549" spans="65:67" ht="18.75" customHeight="1">
      <c r="BM4549" s="1025"/>
      <c r="BO4549" s="43"/>
    </row>
    <row r="4550" spans="65:67" ht="18.75" customHeight="1">
      <c r="BM4550" s="1025"/>
      <c r="BO4550" s="43"/>
    </row>
    <row r="4551" spans="65:67" ht="18.75" customHeight="1">
      <c r="BM4551" s="1025"/>
      <c r="BO4551" s="43"/>
    </row>
    <row r="4552" spans="65:67" ht="18.75" customHeight="1">
      <c r="BM4552" s="1025"/>
      <c r="BO4552" s="43"/>
    </row>
    <row r="4553" spans="65:67" ht="18.75" customHeight="1">
      <c r="BM4553" s="1025"/>
      <c r="BO4553" s="43"/>
    </row>
    <row r="4554" spans="65:67" ht="18.75" customHeight="1">
      <c r="BM4554" s="1025"/>
      <c r="BO4554" s="43"/>
    </row>
    <row r="4555" spans="65:67" ht="18.75" customHeight="1">
      <c r="BM4555" s="1025"/>
      <c r="BO4555" s="43"/>
    </row>
    <row r="4556" spans="65:67" ht="18.75" customHeight="1">
      <c r="BM4556" s="1025"/>
      <c r="BO4556" s="43"/>
    </row>
    <row r="4557" spans="65:67" ht="18.75" customHeight="1">
      <c r="BM4557" s="1025"/>
      <c r="BO4557" s="43"/>
    </row>
    <row r="4558" spans="65:67" ht="18.75" customHeight="1">
      <c r="BM4558" s="1025"/>
      <c r="BO4558" s="43"/>
    </row>
    <row r="4559" spans="65:67" ht="18.75" customHeight="1">
      <c r="BM4559" s="1025"/>
      <c r="BO4559" s="43"/>
    </row>
    <row r="4560" spans="65:67" ht="18.75" customHeight="1">
      <c r="BM4560" s="1025"/>
      <c r="BO4560" s="43"/>
    </row>
    <row r="4561" spans="65:67" ht="18.75" customHeight="1">
      <c r="BM4561" s="1025"/>
      <c r="BO4561" s="43"/>
    </row>
    <row r="4562" spans="65:67" ht="18.75" customHeight="1">
      <c r="BM4562" s="1025"/>
      <c r="BO4562" s="43"/>
    </row>
    <row r="4563" spans="65:67" ht="18.75" customHeight="1">
      <c r="BM4563" s="1025"/>
      <c r="BO4563" s="43"/>
    </row>
    <row r="4564" spans="65:67" ht="18.75" customHeight="1">
      <c r="BM4564" s="1025"/>
      <c r="BO4564" s="43"/>
    </row>
    <row r="4565" spans="65:67" ht="18.75" customHeight="1">
      <c r="BM4565" s="1025"/>
      <c r="BO4565" s="43"/>
    </row>
    <row r="4566" spans="65:67" ht="18.75" customHeight="1">
      <c r="BM4566" s="1025"/>
      <c r="BO4566" s="43"/>
    </row>
    <row r="4567" spans="65:67" ht="18.75" customHeight="1">
      <c r="BM4567" s="1025"/>
      <c r="BO4567" s="43"/>
    </row>
    <row r="4568" spans="65:67" ht="18.75" customHeight="1">
      <c r="BM4568" s="1025"/>
      <c r="BO4568" s="43"/>
    </row>
    <row r="4569" spans="65:67" ht="18.75" customHeight="1">
      <c r="BM4569" s="1025"/>
      <c r="BO4569" s="43"/>
    </row>
    <row r="4570" spans="65:67" ht="18.75" customHeight="1">
      <c r="BM4570" s="1025"/>
      <c r="BO4570" s="43"/>
    </row>
    <row r="4571" spans="65:67" ht="18.75" customHeight="1">
      <c r="BM4571" s="1025"/>
      <c r="BO4571" s="43"/>
    </row>
    <row r="4572" spans="65:67" ht="18.75" customHeight="1">
      <c r="BM4572" s="1025"/>
      <c r="BO4572" s="43"/>
    </row>
    <row r="4573" spans="65:67" ht="18.75" customHeight="1">
      <c r="BM4573" s="1025"/>
      <c r="BO4573" s="43"/>
    </row>
    <row r="4574" spans="65:67" ht="18.75" customHeight="1">
      <c r="BM4574" s="1025"/>
      <c r="BO4574" s="43"/>
    </row>
    <row r="4575" spans="65:67" ht="18.75" customHeight="1">
      <c r="BM4575" s="1025"/>
      <c r="BO4575" s="43"/>
    </row>
    <row r="4576" spans="65:67" ht="18.75" customHeight="1">
      <c r="BM4576" s="1025"/>
      <c r="BO4576" s="43"/>
    </row>
    <row r="4577" spans="65:67" ht="18.75" customHeight="1">
      <c r="BM4577" s="1025"/>
      <c r="BO4577" s="43"/>
    </row>
    <row r="4578" spans="65:67" ht="18.75" customHeight="1">
      <c r="BM4578" s="1025"/>
      <c r="BO4578" s="43"/>
    </row>
    <row r="4579" spans="65:67" ht="18.75" customHeight="1">
      <c r="BM4579" s="1025"/>
      <c r="BO4579" s="43"/>
    </row>
    <row r="4580" spans="65:67" ht="18.75" customHeight="1">
      <c r="BM4580" s="1025"/>
      <c r="BO4580" s="43"/>
    </row>
    <row r="4581" spans="65:67" ht="18.75" customHeight="1">
      <c r="BM4581" s="1025"/>
      <c r="BO4581" s="43"/>
    </row>
    <row r="4582" spans="65:67" ht="18.75" customHeight="1">
      <c r="BM4582" s="1025"/>
      <c r="BO4582" s="43"/>
    </row>
    <row r="4583" spans="65:67" ht="18.75" customHeight="1">
      <c r="BM4583" s="1025"/>
      <c r="BO4583" s="43"/>
    </row>
    <row r="4584" spans="65:67" ht="18.75" customHeight="1">
      <c r="BM4584" s="1025"/>
      <c r="BO4584" s="43"/>
    </row>
    <row r="4585" spans="65:67" ht="18.75" customHeight="1">
      <c r="BM4585" s="1025"/>
      <c r="BO4585" s="43"/>
    </row>
    <row r="4586" spans="65:67" ht="18.75" customHeight="1">
      <c r="BM4586" s="1025"/>
      <c r="BO4586" s="43"/>
    </row>
    <row r="4587" spans="65:67" ht="18.75" customHeight="1">
      <c r="BM4587" s="1025"/>
      <c r="BO4587" s="43"/>
    </row>
    <row r="4588" spans="65:67" ht="18.75" customHeight="1">
      <c r="BM4588" s="1025"/>
      <c r="BO4588" s="43"/>
    </row>
    <row r="4589" spans="65:67" ht="18.75" customHeight="1">
      <c r="BM4589" s="1025"/>
      <c r="BO4589" s="43"/>
    </row>
    <row r="4590" spans="65:67" ht="18.75" customHeight="1">
      <c r="BM4590" s="1025"/>
      <c r="BO4590" s="43"/>
    </row>
    <row r="4591" spans="65:67" ht="18.75" customHeight="1">
      <c r="BM4591" s="1025"/>
      <c r="BO4591" s="43"/>
    </row>
    <row r="4592" spans="65:67" ht="18.75" customHeight="1">
      <c r="BM4592" s="1025"/>
      <c r="BO4592" s="43"/>
    </row>
    <row r="4593" spans="65:67" ht="18.75" customHeight="1">
      <c r="BM4593" s="1025"/>
      <c r="BO4593" s="43"/>
    </row>
    <row r="4594" spans="65:67" ht="18.75" customHeight="1">
      <c r="BM4594" s="1025"/>
      <c r="BO4594" s="43"/>
    </row>
    <row r="4595" spans="65:67" ht="18.75" customHeight="1">
      <c r="BM4595" s="1025"/>
      <c r="BO4595" s="43"/>
    </row>
    <row r="4596" spans="65:67" ht="18.75" customHeight="1">
      <c r="BM4596" s="1025"/>
      <c r="BO4596" s="43"/>
    </row>
    <row r="4597" spans="65:67" ht="18.75" customHeight="1">
      <c r="BM4597" s="1025"/>
      <c r="BO4597" s="43"/>
    </row>
    <row r="4598" spans="65:67" ht="18.75" customHeight="1">
      <c r="BM4598" s="1025"/>
      <c r="BO4598" s="43"/>
    </row>
    <row r="4599" spans="65:67" ht="18.75" customHeight="1">
      <c r="BM4599" s="1025"/>
      <c r="BO4599" s="43"/>
    </row>
    <row r="4600" spans="65:67" ht="18.75" customHeight="1">
      <c r="BM4600" s="1025"/>
      <c r="BO4600" s="43"/>
    </row>
    <row r="4601" spans="65:67" ht="18.75" customHeight="1">
      <c r="BM4601" s="1025"/>
      <c r="BO4601" s="43"/>
    </row>
    <row r="4602" spans="65:67" ht="18.75" customHeight="1">
      <c r="BM4602" s="1025"/>
      <c r="BO4602" s="43"/>
    </row>
    <row r="4603" spans="65:67" ht="18.75" customHeight="1">
      <c r="BM4603" s="1025"/>
      <c r="BO4603" s="43"/>
    </row>
    <row r="4604" spans="65:67" ht="18.75" customHeight="1">
      <c r="BM4604" s="1025"/>
      <c r="BO4604" s="43"/>
    </row>
    <row r="4605" spans="65:67" ht="18.75" customHeight="1">
      <c r="BM4605" s="1025"/>
      <c r="BO4605" s="43"/>
    </row>
    <row r="4606" spans="65:67" ht="18.75" customHeight="1">
      <c r="BM4606" s="1025"/>
      <c r="BO4606" s="43"/>
    </row>
    <row r="4607" spans="65:67" ht="18.75" customHeight="1">
      <c r="BM4607" s="1025"/>
      <c r="BO4607" s="43"/>
    </row>
    <row r="4608" spans="65:67" ht="18.75" customHeight="1">
      <c r="BM4608" s="1025"/>
      <c r="BO4608" s="43"/>
    </row>
    <row r="4609" spans="65:67" ht="18.75" customHeight="1">
      <c r="BM4609" s="1025"/>
      <c r="BO4609" s="43"/>
    </row>
    <row r="4610" spans="65:67" ht="18.75" customHeight="1">
      <c r="BM4610" s="1025"/>
      <c r="BO4610" s="43"/>
    </row>
    <row r="4611" spans="65:67" ht="18.75" customHeight="1">
      <c r="BM4611" s="1025"/>
      <c r="BO4611" s="43"/>
    </row>
    <row r="4612" spans="65:67" ht="18.75" customHeight="1">
      <c r="BM4612" s="1025"/>
      <c r="BO4612" s="43"/>
    </row>
    <row r="4613" spans="65:67" ht="18.75" customHeight="1">
      <c r="BM4613" s="1025"/>
      <c r="BO4613" s="43"/>
    </row>
    <row r="4614" spans="65:67" ht="18.75" customHeight="1">
      <c r="BM4614" s="1025"/>
      <c r="BO4614" s="43"/>
    </row>
    <row r="4615" spans="65:67" ht="18.75" customHeight="1">
      <c r="BM4615" s="1025"/>
      <c r="BO4615" s="43"/>
    </row>
    <row r="4616" spans="65:67" ht="18.75" customHeight="1">
      <c r="BM4616" s="1025"/>
      <c r="BO4616" s="43"/>
    </row>
    <row r="4617" spans="65:67" ht="18.75" customHeight="1">
      <c r="BM4617" s="1025"/>
      <c r="BO4617" s="43"/>
    </row>
    <row r="4618" spans="65:67" ht="18.75" customHeight="1">
      <c r="BM4618" s="1025"/>
      <c r="BO4618" s="43"/>
    </row>
    <row r="4619" spans="65:67" ht="18.75" customHeight="1">
      <c r="BM4619" s="1025"/>
      <c r="BO4619" s="43"/>
    </row>
    <row r="4620" spans="65:67" ht="18.75" customHeight="1">
      <c r="BM4620" s="1025"/>
      <c r="BO4620" s="43"/>
    </row>
    <row r="4621" spans="65:67" ht="18.75" customHeight="1">
      <c r="BM4621" s="1025"/>
      <c r="BO4621" s="43"/>
    </row>
    <row r="4622" spans="65:67" ht="18.75" customHeight="1">
      <c r="BM4622" s="1025"/>
      <c r="BO4622" s="43"/>
    </row>
    <row r="4623" spans="65:67" ht="18.75" customHeight="1">
      <c r="BM4623" s="1025"/>
      <c r="BO4623" s="43"/>
    </row>
    <row r="4624" spans="65:67" ht="18.75" customHeight="1">
      <c r="BM4624" s="1025"/>
      <c r="BO4624" s="43"/>
    </row>
    <row r="4625" spans="65:67" ht="18.75" customHeight="1">
      <c r="BM4625" s="1025"/>
      <c r="BO4625" s="43"/>
    </row>
    <row r="4626" spans="65:67" ht="18.75" customHeight="1">
      <c r="BM4626" s="1025"/>
      <c r="BO4626" s="43"/>
    </row>
    <row r="4627" spans="65:67" ht="18.75" customHeight="1">
      <c r="BM4627" s="1025"/>
      <c r="BO4627" s="43"/>
    </row>
    <row r="4628" spans="65:67" ht="18.75" customHeight="1">
      <c r="BM4628" s="1025"/>
      <c r="BO4628" s="43"/>
    </row>
    <row r="4629" spans="65:67" ht="18.75" customHeight="1">
      <c r="BM4629" s="1025"/>
      <c r="BO4629" s="43"/>
    </row>
    <row r="4630" spans="65:67" ht="18.75" customHeight="1">
      <c r="BM4630" s="1025"/>
      <c r="BO4630" s="43"/>
    </row>
    <row r="4631" spans="65:67" ht="18.75" customHeight="1">
      <c r="BM4631" s="1025"/>
      <c r="BO4631" s="43"/>
    </row>
    <row r="4632" spans="65:67" ht="18.75" customHeight="1">
      <c r="BM4632" s="1025"/>
      <c r="BO4632" s="43"/>
    </row>
    <row r="4633" spans="65:67" ht="18.75" customHeight="1">
      <c r="BM4633" s="1025"/>
      <c r="BO4633" s="43"/>
    </row>
    <row r="4634" spans="65:67" ht="18.75" customHeight="1">
      <c r="BM4634" s="1025"/>
      <c r="BO4634" s="43"/>
    </row>
    <row r="4635" spans="65:67" ht="18.75" customHeight="1">
      <c r="BM4635" s="1025"/>
      <c r="BO4635" s="43"/>
    </row>
    <row r="4636" spans="65:67" ht="18.75" customHeight="1">
      <c r="BM4636" s="1025"/>
      <c r="BO4636" s="43"/>
    </row>
    <row r="4637" spans="65:67" ht="18.75" customHeight="1">
      <c r="BM4637" s="1025"/>
      <c r="BO4637" s="43"/>
    </row>
    <row r="4638" spans="65:67" ht="18.75" customHeight="1">
      <c r="BM4638" s="1025"/>
      <c r="BO4638" s="43"/>
    </row>
    <row r="4639" spans="65:67" ht="18.75" customHeight="1">
      <c r="BM4639" s="1025"/>
      <c r="BO4639" s="43"/>
    </row>
    <row r="4640" spans="65:67" ht="18.75" customHeight="1">
      <c r="BM4640" s="1025"/>
      <c r="BO4640" s="43"/>
    </row>
    <row r="4641" spans="65:67" ht="18.75" customHeight="1">
      <c r="BM4641" s="1025"/>
      <c r="BO4641" s="43"/>
    </row>
    <row r="4642" spans="65:67" ht="18.75" customHeight="1">
      <c r="BM4642" s="1025"/>
      <c r="BO4642" s="43"/>
    </row>
    <row r="4643" spans="65:67" ht="18.75" customHeight="1">
      <c r="BM4643" s="1025"/>
      <c r="BO4643" s="43"/>
    </row>
    <row r="4644" spans="65:67" ht="18.75" customHeight="1">
      <c r="BM4644" s="1025"/>
      <c r="BO4644" s="43"/>
    </row>
    <row r="4645" spans="65:67" ht="18.75" customHeight="1">
      <c r="BM4645" s="1025"/>
      <c r="BO4645" s="43"/>
    </row>
    <row r="4646" spans="65:67" ht="18.75" customHeight="1">
      <c r="BM4646" s="1025"/>
      <c r="BO4646" s="43"/>
    </row>
    <row r="4647" spans="65:67" ht="18.75" customHeight="1">
      <c r="BM4647" s="1025"/>
      <c r="BO4647" s="43"/>
    </row>
    <row r="4648" spans="65:67" ht="18.75" customHeight="1">
      <c r="BM4648" s="1025"/>
      <c r="BO4648" s="43"/>
    </row>
    <row r="4649" spans="65:67" ht="18.75" customHeight="1">
      <c r="BM4649" s="1025"/>
      <c r="BO4649" s="43"/>
    </row>
    <row r="4650" spans="65:67" ht="18.75" customHeight="1">
      <c r="BM4650" s="1025"/>
      <c r="BO4650" s="43"/>
    </row>
    <row r="4651" spans="65:67" ht="18.75" customHeight="1">
      <c r="BM4651" s="1025"/>
      <c r="BO4651" s="43"/>
    </row>
    <row r="4652" spans="65:67" ht="18.75" customHeight="1">
      <c r="BM4652" s="1025"/>
      <c r="BO4652" s="43"/>
    </row>
    <row r="4653" spans="65:67" ht="18.75" customHeight="1">
      <c r="BM4653" s="1025"/>
      <c r="BO4653" s="43"/>
    </row>
    <row r="4654" spans="65:67" ht="18.75" customHeight="1">
      <c r="BM4654" s="1025"/>
      <c r="BO4654" s="43"/>
    </row>
    <row r="4655" spans="65:67" ht="18.75" customHeight="1">
      <c r="BM4655" s="1025"/>
      <c r="BO4655" s="43"/>
    </row>
    <row r="4656" spans="65:67" ht="18.75" customHeight="1">
      <c r="BM4656" s="1025"/>
      <c r="BO4656" s="43"/>
    </row>
    <row r="4657" spans="65:67" ht="18.75" customHeight="1">
      <c r="BM4657" s="1025"/>
      <c r="BO4657" s="43"/>
    </row>
    <row r="4658" spans="65:67" ht="18.75" customHeight="1">
      <c r="BM4658" s="1025"/>
      <c r="BO4658" s="43"/>
    </row>
    <row r="4659" spans="65:67" ht="18.75" customHeight="1">
      <c r="BM4659" s="1025"/>
      <c r="BO4659" s="43"/>
    </row>
    <row r="4660" spans="65:67" ht="18.75" customHeight="1">
      <c r="BM4660" s="1025"/>
      <c r="BO4660" s="43"/>
    </row>
    <row r="4661" spans="65:67" ht="18.75" customHeight="1">
      <c r="BM4661" s="1025"/>
      <c r="BO4661" s="43"/>
    </row>
    <row r="4662" spans="65:67" ht="18.75" customHeight="1">
      <c r="BM4662" s="1025"/>
      <c r="BO4662" s="43"/>
    </row>
    <row r="4663" spans="65:67" ht="18.75" customHeight="1">
      <c r="BM4663" s="1025"/>
      <c r="BO4663" s="43"/>
    </row>
    <row r="4664" spans="65:67" ht="18.75" customHeight="1">
      <c r="BM4664" s="1025"/>
      <c r="BO4664" s="43"/>
    </row>
    <row r="4665" spans="65:67" ht="18.75" customHeight="1">
      <c r="BM4665" s="1025"/>
      <c r="BO4665" s="43"/>
    </row>
    <row r="4666" spans="65:67" ht="18.75" customHeight="1">
      <c r="BM4666" s="1025"/>
      <c r="BO4666" s="43"/>
    </row>
    <row r="4667" spans="65:67" ht="18.75" customHeight="1">
      <c r="BM4667" s="1025"/>
      <c r="BO4667" s="43"/>
    </row>
    <row r="4668" spans="65:67" ht="18.75" customHeight="1">
      <c r="BM4668" s="1025"/>
      <c r="BO4668" s="43"/>
    </row>
    <row r="4669" spans="65:67" ht="18.75" customHeight="1">
      <c r="BM4669" s="1025"/>
      <c r="BO4669" s="43"/>
    </row>
    <row r="4670" spans="65:67" ht="18.75" customHeight="1">
      <c r="BM4670" s="1025"/>
      <c r="BO4670" s="43"/>
    </row>
    <row r="4671" spans="65:67" ht="18.75" customHeight="1">
      <c r="BM4671" s="1025"/>
      <c r="BO4671" s="43"/>
    </row>
    <row r="4672" spans="65:67" ht="18.75" customHeight="1">
      <c r="BM4672" s="1025"/>
      <c r="BO4672" s="43"/>
    </row>
    <row r="4673" spans="65:67" ht="18.75" customHeight="1">
      <c r="BM4673" s="1025"/>
      <c r="BO4673" s="43"/>
    </row>
    <row r="4674" spans="65:67" ht="18.75" customHeight="1">
      <c r="BM4674" s="1025"/>
      <c r="BO4674" s="43"/>
    </row>
    <row r="4675" spans="65:67" ht="18.75" customHeight="1">
      <c r="BM4675" s="1025"/>
      <c r="BO4675" s="43"/>
    </row>
    <row r="4676" spans="65:67" ht="18.75" customHeight="1">
      <c r="BM4676" s="1025"/>
      <c r="BO4676" s="43"/>
    </row>
    <row r="4677" spans="65:67" ht="18.75" customHeight="1">
      <c r="BM4677" s="1025"/>
      <c r="BO4677" s="43"/>
    </row>
    <row r="4678" spans="65:67" ht="18.75" customHeight="1">
      <c r="BM4678" s="1025"/>
      <c r="BO4678" s="43"/>
    </row>
    <row r="4679" spans="65:67" ht="18.75" customHeight="1">
      <c r="BM4679" s="1025"/>
      <c r="BO4679" s="43"/>
    </row>
    <row r="4680" spans="65:67" ht="18.75" customHeight="1">
      <c r="BM4680" s="1025"/>
      <c r="BO4680" s="43"/>
    </row>
    <row r="4681" spans="65:67" ht="18.75" customHeight="1">
      <c r="BM4681" s="1025"/>
      <c r="BO4681" s="43"/>
    </row>
    <row r="4682" spans="65:67" ht="18.75" customHeight="1">
      <c r="BM4682" s="1025"/>
      <c r="BO4682" s="43"/>
    </row>
    <row r="4683" spans="65:67" ht="18.75" customHeight="1">
      <c r="BM4683" s="1025"/>
      <c r="BO4683" s="43"/>
    </row>
    <row r="4684" spans="65:67" ht="18.75" customHeight="1">
      <c r="BM4684" s="1025"/>
      <c r="BO4684" s="43"/>
    </row>
    <row r="4685" spans="65:67" ht="18.75" customHeight="1">
      <c r="BM4685" s="1025"/>
      <c r="BO4685" s="43"/>
    </row>
    <row r="4686" spans="65:67" ht="18.75" customHeight="1">
      <c r="BM4686" s="1025"/>
      <c r="BO4686" s="43"/>
    </row>
    <row r="4687" spans="65:67" ht="18.75" customHeight="1">
      <c r="BM4687" s="1025"/>
      <c r="BO4687" s="43"/>
    </row>
    <row r="4688" spans="65:67" ht="18.75" customHeight="1">
      <c r="BM4688" s="1025"/>
      <c r="BO4688" s="43"/>
    </row>
    <row r="4689" spans="65:67" ht="18.75" customHeight="1">
      <c r="BM4689" s="1025"/>
      <c r="BO4689" s="43"/>
    </row>
    <row r="4690" spans="65:67" ht="18.75" customHeight="1">
      <c r="BM4690" s="1025"/>
      <c r="BO4690" s="43"/>
    </row>
    <row r="4691" spans="65:67" ht="18.75" customHeight="1">
      <c r="BM4691" s="1025"/>
      <c r="BO4691" s="43"/>
    </row>
    <row r="4692" spans="65:67" ht="18.75" customHeight="1">
      <c r="BM4692" s="1025"/>
      <c r="BO4692" s="43"/>
    </row>
    <row r="4693" spans="65:67" ht="18.75" customHeight="1">
      <c r="BM4693" s="1025"/>
      <c r="BO4693" s="43"/>
    </row>
    <row r="4694" spans="65:67" ht="18.75" customHeight="1">
      <c r="BM4694" s="1025"/>
      <c r="BO4694" s="43"/>
    </row>
    <row r="4695" spans="65:67" ht="18.75" customHeight="1">
      <c r="BM4695" s="1025"/>
      <c r="BO4695" s="43"/>
    </row>
    <row r="4696" spans="65:67" ht="18.75" customHeight="1">
      <c r="BM4696" s="1025"/>
      <c r="BO4696" s="43"/>
    </row>
    <row r="4697" spans="65:67" ht="18.75" customHeight="1">
      <c r="BM4697" s="1025"/>
      <c r="BO4697" s="43"/>
    </row>
    <row r="4698" spans="65:67" ht="18.75" customHeight="1">
      <c r="BM4698" s="1025"/>
      <c r="BO4698" s="43"/>
    </row>
    <row r="4699" spans="65:67" ht="18.75" customHeight="1">
      <c r="BM4699" s="1025"/>
      <c r="BO4699" s="43"/>
    </row>
    <row r="4700" spans="65:67" ht="18.75" customHeight="1">
      <c r="BM4700" s="1025"/>
      <c r="BO4700" s="43"/>
    </row>
    <row r="4701" spans="65:67" ht="18.75" customHeight="1">
      <c r="BM4701" s="1025"/>
      <c r="BO4701" s="43"/>
    </row>
    <row r="4702" spans="65:67" ht="18.75" customHeight="1">
      <c r="BM4702" s="1025"/>
      <c r="BO4702" s="43"/>
    </row>
    <row r="4703" spans="65:67" ht="18.75" customHeight="1">
      <c r="BM4703" s="1025"/>
      <c r="BO4703" s="43"/>
    </row>
    <row r="4704" spans="65:67" ht="18.75" customHeight="1">
      <c r="BM4704" s="1025"/>
      <c r="BO4704" s="43"/>
    </row>
    <row r="4705" spans="65:67" ht="18.75" customHeight="1">
      <c r="BM4705" s="1025"/>
      <c r="BO4705" s="43"/>
    </row>
    <row r="4706" spans="65:67" ht="18.75" customHeight="1">
      <c r="BM4706" s="1025"/>
      <c r="BO4706" s="43"/>
    </row>
    <row r="4707" spans="65:67" ht="18.75" customHeight="1">
      <c r="BM4707" s="1025"/>
      <c r="BO4707" s="43"/>
    </row>
    <row r="4708" spans="65:67" ht="18.75" customHeight="1">
      <c r="BM4708" s="1025"/>
      <c r="BO4708" s="43"/>
    </row>
    <row r="4709" spans="65:67" ht="18.75" customHeight="1">
      <c r="BM4709" s="1025"/>
      <c r="BO4709" s="43"/>
    </row>
    <row r="4710" spans="65:67" ht="18.75" customHeight="1">
      <c r="BM4710" s="1025"/>
      <c r="BO4710" s="43"/>
    </row>
    <row r="4711" spans="65:67" ht="18.75" customHeight="1">
      <c r="BM4711" s="1025"/>
      <c r="BO4711" s="43"/>
    </row>
    <row r="4712" spans="65:67" ht="18.75" customHeight="1">
      <c r="BM4712" s="1025"/>
      <c r="BO4712" s="43"/>
    </row>
    <row r="4713" spans="65:67" ht="18.75" customHeight="1">
      <c r="BM4713" s="1025"/>
      <c r="BO4713" s="43"/>
    </row>
    <row r="4714" spans="65:67" ht="18.75" customHeight="1">
      <c r="BM4714" s="1025"/>
      <c r="BO4714" s="43"/>
    </row>
    <row r="4715" spans="65:67" ht="18.75" customHeight="1">
      <c r="BM4715" s="1025"/>
      <c r="BO4715" s="43"/>
    </row>
    <row r="4716" spans="65:67" ht="18.75" customHeight="1">
      <c r="BM4716" s="1025"/>
      <c r="BO4716" s="43"/>
    </row>
    <row r="4717" spans="65:67" ht="18.75" customHeight="1">
      <c r="BM4717" s="1025"/>
      <c r="BO4717" s="43"/>
    </row>
    <row r="4718" spans="65:67" ht="18.75" customHeight="1">
      <c r="BM4718" s="1025"/>
      <c r="BO4718" s="43"/>
    </row>
    <row r="4719" spans="65:67" ht="18.75" customHeight="1">
      <c r="BM4719" s="1025"/>
      <c r="BO4719" s="43"/>
    </row>
    <row r="4720" spans="65:67" ht="18.75" customHeight="1">
      <c r="BM4720" s="1025"/>
      <c r="BO4720" s="43"/>
    </row>
    <row r="4721" spans="65:67" ht="18.75" customHeight="1">
      <c r="BM4721" s="1025"/>
      <c r="BO4721" s="43"/>
    </row>
    <row r="4722" spans="65:67" ht="18.75" customHeight="1">
      <c r="BM4722" s="1025"/>
      <c r="BO4722" s="43"/>
    </row>
    <row r="4723" spans="65:67" ht="18.75" customHeight="1">
      <c r="BM4723" s="1025"/>
      <c r="BO4723" s="43"/>
    </row>
    <row r="4724" spans="65:67" ht="18.75" customHeight="1">
      <c r="BM4724" s="1025"/>
      <c r="BO4724" s="43"/>
    </row>
    <row r="4725" spans="65:67" ht="18.75" customHeight="1">
      <c r="BM4725" s="1025"/>
      <c r="BO4725" s="43"/>
    </row>
    <row r="4726" spans="65:67" ht="18.75" customHeight="1">
      <c r="BM4726" s="1025"/>
      <c r="BO4726" s="43"/>
    </row>
    <row r="4727" spans="65:67" ht="18.75" customHeight="1">
      <c r="BM4727" s="1025"/>
      <c r="BO4727" s="43"/>
    </row>
    <row r="4728" spans="65:67" ht="18.75" customHeight="1">
      <c r="BM4728" s="1025"/>
      <c r="BO4728" s="43"/>
    </row>
    <row r="4729" spans="65:67" ht="18.75" customHeight="1">
      <c r="BM4729" s="1025"/>
      <c r="BO4729" s="43"/>
    </row>
    <row r="4730" spans="65:67" ht="18.75" customHeight="1">
      <c r="BM4730" s="1025"/>
      <c r="BO4730" s="43"/>
    </row>
    <row r="4731" spans="65:67" ht="18.75" customHeight="1">
      <c r="BM4731" s="1025"/>
      <c r="BO4731" s="43"/>
    </row>
    <row r="4732" spans="65:67" ht="18.75" customHeight="1">
      <c r="BM4732" s="1025"/>
      <c r="BO4732" s="43"/>
    </row>
    <row r="4733" spans="65:67" ht="18.75" customHeight="1">
      <c r="BM4733" s="1025"/>
      <c r="BO4733" s="43"/>
    </row>
    <row r="4734" spans="65:67" ht="18.75" customHeight="1">
      <c r="BM4734" s="1025"/>
      <c r="BO4734" s="43"/>
    </row>
    <row r="4735" spans="65:67" ht="18.75" customHeight="1">
      <c r="BM4735" s="1025"/>
      <c r="BO4735" s="43"/>
    </row>
    <row r="4736" spans="65:67" ht="18.75" customHeight="1">
      <c r="BM4736" s="1025"/>
      <c r="BO4736" s="43"/>
    </row>
    <row r="4737" spans="65:67" ht="18.75" customHeight="1">
      <c r="BM4737" s="1025"/>
      <c r="BO4737" s="43"/>
    </row>
    <row r="4738" spans="65:67" ht="18.75" customHeight="1">
      <c r="BM4738" s="1025"/>
      <c r="BO4738" s="43"/>
    </row>
    <row r="4739" spans="65:67" ht="18.75" customHeight="1">
      <c r="BM4739" s="1025"/>
      <c r="BO4739" s="43"/>
    </row>
    <row r="4740" spans="65:67" ht="18.75" customHeight="1">
      <c r="BM4740" s="1025"/>
      <c r="BO4740" s="43"/>
    </row>
    <row r="4741" spans="65:67" ht="18.75" customHeight="1">
      <c r="BM4741" s="1025"/>
      <c r="BO4741" s="43"/>
    </row>
    <row r="4742" spans="65:67" ht="18.75" customHeight="1">
      <c r="BM4742" s="1025"/>
      <c r="BO4742" s="43"/>
    </row>
    <row r="4743" spans="65:67" ht="18.75" customHeight="1">
      <c r="BM4743" s="1025"/>
      <c r="BO4743" s="43"/>
    </row>
    <row r="4744" spans="65:67" ht="18.75" customHeight="1">
      <c r="BM4744" s="1025"/>
      <c r="BO4744" s="43"/>
    </row>
    <row r="4745" spans="65:67" ht="18.75" customHeight="1">
      <c r="BM4745" s="1025"/>
      <c r="BO4745" s="43"/>
    </row>
    <row r="4746" spans="65:67" ht="18.75" customHeight="1">
      <c r="BM4746" s="1025"/>
      <c r="BO4746" s="43"/>
    </row>
    <row r="4747" spans="65:67" ht="18.75" customHeight="1">
      <c r="BM4747" s="1025"/>
      <c r="BO4747" s="43"/>
    </row>
    <row r="4748" spans="65:67" ht="18.75" customHeight="1">
      <c r="BM4748" s="1025"/>
      <c r="BO4748" s="43"/>
    </row>
    <row r="4749" spans="65:67" ht="18.75" customHeight="1">
      <c r="BM4749" s="1025"/>
      <c r="BO4749" s="43"/>
    </row>
    <row r="4750" spans="65:67" ht="18.75" customHeight="1">
      <c r="BM4750" s="1025"/>
      <c r="BO4750" s="43"/>
    </row>
    <row r="4751" spans="65:67" ht="18.75" customHeight="1">
      <c r="BM4751" s="1025"/>
      <c r="BO4751" s="43"/>
    </row>
    <row r="4752" spans="65:67" ht="18.75" customHeight="1">
      <c r="BM4752" s="1025"/>
      <c r="BO4752" s="43"/>
    </row>
    <row r="4753" spans="65:67" ht="18.75" customHeight="1">
      <c r="BM4753" s="1025"/>
      <c r="BO4753" s="43"/>
    </row>
    <row r="4754" spans="65:67" ht="18.75" customHeight="1">
      <c r="BM4754" s="1025"/>
      <c r="BO4754" s="43"/>
    </row>
    <row r="4755" spans="65:67" ht="18.75" customHeight="1">
      <c r="BM4755" s="1025"/>
      <c r="BO4755" s="43"/>
    </row>
    <row r="4756" spans="65:67" ht="18.75" customHeight="1">
      <c r="BM4756" s="1025"/>
      <c r="BO4756" s="43"/>
    </row>
    <row r="4757" spans="65:67" ht="18.75" customHeight="1">
      <c r="BM4757" s="1025"/>
      <c r="BO4757" s="43"/>
    </row>
    <row r="4758" spans="65:67" ht="18.75" customHeight="1">
      <c r="BM4758" s="1025"/>
      <c r="BO4758" s="43"/>
    </row>
    <row r="4759" spans="65:67" ht="18.75" customHeight="1">
      <c r="BM4759" s="1025"/>
      <c r="BO4759" s="43"/>
    </row>
    <row r="4760" spans="65:67" ht="18.75" customHeight="1">
      <c r="BM4760" s="1025"/>
      <c r="BO4760" s="43"/>
    </row>
    <row r="4761" spans="65:67" ht="18.75" customHeight="1">
      <c r="BM4761" s="1025"/>
      <c r="BO4761" s="43"/>
    </row>
    <row r="4762" spans="65:67" ht="18.75" customHeight="1">
      <c r="BM4762" s="1025"/>
      <c r="BO4762" s="43"/>
    </row>
    <row r="4763" spans="65:67" ht="18.75" customHeight="1">
      <c r="BM4763" s="1025"/>
      <c r="BO4763" s="43"/>
    </row>
    <row r="4764" spans="65:67" ht="18.75" customHeight="1">
      <c r="BM4764" s="1025"/>
      <c r="BO4764" s="43"/>
    </row>
    <row r="4765" spans="65:67" ht="18.75" customHeight="1">
      <c r="BM4765" s="1025"/>
      <c r="BO4765" s="43"/>
    </row>
    <row r="4766" spans="65:67" ht="18.75" customHeight="1">
      <c r="BM4766" s="1025"/>
      <c r="BO4766" s="43"/>
    </row>
    <row r="4767" spans="65:67" ht="18.75" customHeight="1">
      <c r="BM4767" s="1025"/>
      <c r="BO4767" s="43"/>
    </row>
    <row r="4768" spans="65:67" ht="18.75" customHeight="1">
      <c r="BM4768" s="1025"/>
      <c r="BO4768" s="43"/>
    </row>
    <row r="4769" spans="65:67" ht="18.75" customHeight="1">
      <c r="BM4769" s="1025"/>
      <c r="BO4769" s="43"/>
    </row>
    <row r="4770" spans="65:67" ht="18.75" customHeight="1">
      <c r="BM4770" s="1025"/>
      <c r="BO4770" s="43"/>
    </row>
    <row r="4771" spans="65:67" ht="18.75" customHeight="1">
      <c r="BM4771" s="1025"/>
      <c r="BO4771" s="43"/>
    </row>
    <row r="4772" spans="65:67" ht="18.75" customHeight="1">
      <c r="BM4772" s="1025"/>
      <c r="BO4772" s="43"/>
    </row>
    <row r="4773" spans="65:67" ht="18.75" customHeight="1">
      <c r="BM4773" s="1025"/>
      <c r="BO4773" s="43"/>
    </row>
    <row r="4774" spans="65:67" ht="18.75" customHeight="1">
      <c r="BM4774" s="1025"/>
      <c r="BO4774" s="43"/>
    </row>
    <row r="4775" spans="65:67" ht="18.75" customHeight="1">
      <c r="BM4775" s="1025"/>
      <c r="BO4775" s="43"/>
    </row>
    <row r="4776" spans="65:67" ht="18.75" customHeight="1">
      <c r="BM4776" s="1025"/>
      <c r="BO4776" s="43"/>
    </row>
    <row r="4777" spans="65:67" ht="18.75" customHeight="1">
      <c r="BM4777" s="1025"/>
      <c r="BO4777" s="43"/>
    </row>
    <row r="4778" spans="65:67" ht="18.75" customHeight="1">
      <c r="BM4778" s="1025"/>
      <c r="BO4778" s="43"/>
    </row>
    <row r="4779" spans="65:67" ht="18.75" customHeight="1">
      <c r="BM4779" s="1025"/>
      <c r="BO4779" s="43"/>
    </row>
    <row r="4780" spans="65:67" ht="18.75" customHeight="1">
      <c r="BM4780" s="1025"/>
      <c r="BO4780" s="43"/>
    </row>
    <row r="4781" spans="65:67" ht="18.75" customHeight="1">
      <c r="BM4781" s="1025"/>
      <c r="BO4781" s="43"/>
    </row>
    <row r="4782" spans="65:67" ht="18.75" customHeight="1">
      <c r="BM4782" s="1025"/>
      <c r="BO4782" s="43"/>
    </row>
    <row r="4783" spans="65:67" ht="18.75" customHeight="1">
      <c r="BM4783" s="1025"/>
      <c r="BO4783" s="43"/>
    </row>
    <row r="4784" spans="65:67" ht="18.75" customHeight="1">
      <c r="BM4784" s="1025"/>
      <c r="BO4784" s="43"/>
    </row>
    <row r="4785" spans="65:67" ht="18.75" customHeight="1">
      <c r="BM4785" s="1025"/>
      <c r="BO4785" s="43"/>
    </row>
    <row r="4786" spans="65:67" ht="18.75" customHeight="1">
      <c r="BM4786" s="1025"/>
      <c r="BO4786" s="43"/>
    </row>
    <row r="4787" spans="65:67" ht="18.75" customHeight="1">
      <c r="BM4787" s="1025"/>
      <c r="BO4787" s="43"/>
    </row>
    <row r="4788" spans="65:67" ht="18.75" customHeight="1">
      <c r="BM4788" s="1025"/>
      <c r="BO4788" s="43"/>
    </row>
    <row r="4789" spans="65:67" ht="18.75" customHeight="1">
      <c r="BM4789" s="1025"/>
      <c r="BO4789" s="43"/>
    </row>
    <row r="4790" spans="65:67" ht="18.75" customHeight="1">
      <c r="BM4790" s="1025"/>
      <c r="BO4790" s="43"/>
    </row>
    <row r="4791" spans="65:67" ht="18.75" customHeight="1">
      <c r="BM4791" s="1025"/>
      <c r="BO4791" s="43"/>
    </row>
    <row r="4792" spans="65:67" ht="18.75" customHeight="1">
      <c r="BM4792" s="1025"/>
      <c r="BO4792" s="43"/>
    </row>
    <row r="4793" spans="65:67" ht="18.75" customHeight="1">
      <c r="BM4793" s="1025"/>
      <c r="BO4793" s="43"/>
    </row>
    <row r="4794" spans="65:67" ht="18.75" customHeight="1">
      <c r="BM4794" s="1025"/>
      <c r="BO4794" s="43"/>
    </row>
    <row r="4795" spans="65:67" ht="18.75" customHeight="1">
      <c r="BM4795" s="1025"/>
      <c r="BO4795" s="43"/>
    </row>
    <row r="4796" spans="65:67" ht="18.75" customHeight="1">
      <c r="BM4796" s="1025"/>
      <c r="BO4796" s="43"/>
    </row>
    <row r="4797" spans="65:67" ht="18.75" customHeight="1">
      <c r="BM4797" s="1025"/>
      <c r="BO4797" s="43"/>
    </row>
    <row r="4798" spans="65:67" ht="18.75" customHeight="1">
      <c r="BM4798" s="1025"/>
      <c r="BO4798" s="43"/>
    </row>
    <row r="4799" spans="65:67" ht="18.75" customHeight="1">
      <c r="BM4799" s="1025"/>
      <c r="BO4799" s="43"/>
    </row>
    <row r="4800" spans="65:67" ht="18.75" customHeight="1">
      <c r="BM4800" s="1025"/>
      <c r="BO4800" s="43"/>
    </row>
    <row r="4801" spans="65:67" ht="18.75" customHeight="1">
      <c r="BM4801" s="1025"/>
      <c r="BO4801" s="43"/>
    </row>
    <row r="4802" spans="65:67" ht="18.75" customHeight="1">
      <c r="BM4802" s="1025"/>
      <c r="BO4802" s="43"/>
    </row>
    <row r="4803" spans="65:67" ht="18.75" customHeight="1">
      <c r="BM4803" s="1025"/>
      <c r="BO4803" s="43"/>
    </row>
    <row r="4804" spans="65:67" ht="18.75" customHeight="1">
      <c r="BM4804" s="1025"/>
      <c r="BO4804" s="43"/>
    </row>
    <row r="4805" spans="65:67" ht="18.75" customHeight="1">
      <c r="BM4805" s="1025"/>
      <c r="BO4805" s="43"/>
    </row>
    <row r="4806" spans="65:67" ht="18.75" customHeight="1">
      <c r="BM4806" s="1025"/>
      <c r="BO4806" s="43"/>
    </row>
    <row r="4807" spans="65:67" ht="18.75" customHeight="1">
      <c r="BM4807" s="1025"/>
      <c r="BO4807" s="43"/>
    </row>
    <row r="4808" spans="65:67" ht="18.75" customHeight="1">
      <c r="BM4808" s="1025"/>
      <c r="BO4808" s="43"/>
    </row>
    <row r="4809" spans="65:67" ht="18.75" customHeight="1">
      <c r="BM4809" s="1025"/>
      <c r="BO4809" s="43"/>
    </row>
    <row r="4810" spans="65:67" ht="18.75" customHeight="1">
      <c r="BM4810" s="1025"/>
      <c r="BO4810" s="43"/>
    </row>
    <row r="4811" spans="65:67" ht="18.75" customHeight="1">
      <c r="BM4811" s="1025"/>
      <c r="BO4811" s="43"/>
    </row>
    <row r="4812" spans="65:67" ht="18.75" customHeight="1">
      <c r="BM4812" s="1025"/>
      <c r="BO4812" s="43"/>
    </row>
    <row r="4813" spans="65:67" ht="18.75" customHeight="1">
      <c r="BM4813" s="1025"/>
      <c r="BO4813" s="43"/>
    </row>
    <row r="4814" spans="65:67" ht="18.75" customHeight="1">
      <c r="BM4814" s="1025"/>
      <c r="BO4814" s="43"/>
    </row>
    <row r="4815" spans="65:67" ht="18.75" customHeight="1">
      <c r="BM4815" s="1025"/>
      <c r="BO4815" s="43"/>
    </row>
    <row r="4816" spans="65:67" ht="18.75" customHeight="1">
      <c r="BM4816" s="1025"/>
      <c r="BO4816" s="43"/>
    </row>
    <row r="4817" spans="65:67" ht="18.75" customHeight="1">
      <c r="BM4817" s="1025"/>
      <c r="BO4817" s="43"/>
    </row>
    <row r="4818" spans="65:67" ht="18.75" customHeight="1">
      <c r="BM4818" s="1025"/>
      <c r="BO4818" s="43"/>
    </row>
    <row r="4819" spans="65:67" ht="18.75" customHeight="1">
      <c r="BM4819" s="1025"/>
      <c r="BO4819" s="43"/>
    </row>
    <row r="4820" spans="65:67" ht="18.75" customHeight="1">
      <c r="BM4820" s="1025"/>
      <c r="BO4820" s="43"/>
    </row>
    <row r="4821" spans="65:67" ht="18.75" customHeight="1">
      <c r="BM4821" s="1025"/>
      <c r="BO4821" s="43"/>
    </row>
    <row r="4822" spans="65:67" ht="18.75" customHeight="1">
      <c r="BM4822" s="1025"/>
      <c r="BO4822" s="43"/>
    </row>
    <row r="4823" spans="65:67" ht="18.75" customHeight="1">
      <c r="BM4823" s="1025"/>
      <c r="BO4823" s="43"/>
    </row>
    <row r="4824" spans="65:67" ht="18.75" customHeight="1">
      <c r="BM4824" s="1025"/>
      <c r="BO4824" s="43"/>
    </row>
    <row r="4825" spans="65:67" ht="18.75" customHeight="1">
      <c r="BM4825" s="1025"/>
      <c r="BO4825" s="43"/>
    </row>
    <row r="4826" spans="65:67" ht="18.75" customHeight="1">
      <c r="BM4826" s="1025"/>
      <c r="BO4826" s="43"/>
    </row>
    <row r="4827" spans="65:67" ht="18.75" customHeight="1">
      <c r="BM4827" s="1025"/>
      <c r="BO4827" s="43"/>
    </row>
    <row r="4828" spans="65:67" ht="18.75" customHeight="1">
      <c r="BM4828" s="1025"/>
      <c r="BO4828" s="43"/>
    </row>
    <row r="4829" spans="65:67" ht="18.75" customHeight="1">
      <c r="BM4829" s="1025"/>
      <c r="BO4829" s="43"/>
    </row>
    <row r="4830" spans="65:67" ht="18.75" customHeight="1">
      <c r="BM4830" s="1025"/>
      <c r="BO4830" s="43"/>
    </row>
    <row r="4831" spans="65:67" ht="18.75" customHeight="1">
      <c r="BM4831" s="1025"/>
      <c r="BO4831" s="43"/>
    </row>
    <row r="4832" spans="65:67" ht="18.75" customHeight="1">
      <c r="BM4832" s="1025"/>
      <c r="BO4832" s="43"/>
    </row>
    <row r="4833" spans="65:67" ht="18.75" customHeight="1">
      <c r="BM4833" s="1025"/>
      <c r="BO4833" s="43"/>
    </row>
    <row r="4834" spans="65:67" ht="18.75" customHeight="1">
      <c r="BM4834" s="1025"/>
      <c r="BO4834" s="43"/>
    </row>
    <row r="4835" spans="65:67" ht="18.75" customHeight="1">
      <c r="BM4835" s="1025"/>
      <c r="BO4835" s="43"/>
    </row>
    <row r="4836" spans="65:67" ht="18.75" customHeight="1">
      <c r="BM4836" s="1025"/>
      <c r="BO4836" s="43"/>
    </row>
    <row r="4837" spans="65:67" ht="18.75" customHeight="1">
      <c r="BM4837" s="1025"/>
      <c r="BO4837" s="43"/>
    </row>
    <row r="4838" spans="65:67" ht="18.75" customHeight="1">
      <c r="BM4838" s="1025"/>
      <c r="BO4838" s="43"/>
    </row>
    <row r="4839" spans="65:67" ht="18.75" customHeight="1">
      <c r="BM4839" s="1025"/>
      <c r="BO4839" s="43"/>
    </row>
    <row r="4840" spans="65:67" ht="18.75" customHeight="1">
      <c r="BM4840" s="1025"/>
      <c r="BO4840" s="43"/>
    </row>
    <row r="4841" spans="65:67" ht="18.75" customHeight="1">
      <c r="BM4841" s="1025"/>
      <c r="BO4841" s="43"/>
    </row>
    <row r="4842" spans="65:67" ht="18.75" customHeight="1">
      <c r="BM4842" s="1025"/>
      <c r="BO4842" s="43"/>
    </row>
    <row r="4843" spans="65:67" ht="18.75" customHeight="1">
      <c r="BM4843" s="1025"/>
      <c r="BO4843" s="43"/>
    </row>
    <row r="4844" spans="65:67" ht="18.75" customHeight="1">
      <c r="BM4844" s="1025"/>
      <c r="BO4844" s="43"/>
    </row>
    <row r="4845" spans="65:67" ht="18.75" customHeight="1">
      <c r="BM4845" s="1025"/>
      <c r="BO4845" s="43"/>
    </row>
    <row r="4846" spans="65:67" ht="18.75" customHeight="1">
      <c r="BM4846" s="1025"/>
      <c r="BO4846" s="43"/>
    </row>
    <row r="4847" spans="65:67" ht="18.75" customHeight="1">
      <c r="BM4847" s="1025"/>
      <c r="BO4847" s="43"/>
    </row>
    <row r="4848" spans="65:67" ht="18.75" customHeight="1">
      <c r="BM4848" s="1025"/>
      <c r="BO4848" s="43"/>
    </row>
    <row r="4849" spans="65:67" ht="18.75" customHeight="1">
      <c r="BM4849" s="1025"/>
      <c r="BO4849" s="43"/>
    </row>
    <row r="4850" spans="65:67" ht="18.75" customHeight="1">
      <c r="BM4850" s="1025"/>
      <c r="BO4850" s="43"/>
    </row>
    <row r="4851" spans="65:67" ht="18.75" customHeight="1">
      <c r="BM4851" s="1025"/>
      <c r="BO4851" s="43"/>
    </row>
    <row r="4852" spans="65:67" ht="18.75" customHeight="1">
      <c r="BM4852" s="1025"/>
      <c r="BO4852" s="43"/>
    </row>
    <row r="4853" spans="65:67" ht="18.75" customHeight="1">
      <c r="BM4853" s="1025"/>
      <c r="BO4853" s="43"/>
    </row>
    <row r="4854" spans="65:67" ht="18.75" customHeight="1">
      <c r="BM4854" s="1025"/>
      <c r="BO4854" s="43"/>
    </row>
    <row r="4855" spans="65:67" ht="18.75" customHeight="1">
      <c r="BM4855" s="1025"/>
      <c r="BO4855" s="43"/>
    </row>
    <row r="4856" spans="65:67" ht="18.75" customHeight="1">
      <c r="BM4856" s="1025"/>
      <c r="BO4856" s="43"/>
    </row>
    <row r="4857" spans="65:67" ht="18.75" customHeight="1">
      <c r="BM4857" s="1025"/>
      <c r="BO4857" s="43"/>
    </row>
    <row r="4858" spans="65:67" ht="18.75" customHeight="1">
      <c r="BM4858" s="1025"/>
      <c r="BO4858" s="43"/>
    </row>
    <row r="4859" spans="65:67" ht="18.75" customHeight="1">
      <c r="BM4859" s="1025"/>
      <c r="BO4859" s="43"/>
    </row>
    <row r="4860" spans="65:67" ht="18.75" customHeight="1">
      <c r="BM4860" s="1025"/>
      <c r="BO4860" s="43"/>
    </row>
    <row r="4861" spans="65:67" ht="18.75" customHeight="1">
      <c r="BM4861" s="1025"/>
      <c r="BO4861" s="43"/>
    </row>
    <row r="4862" spans="65:67" ht="18.75" customHeight="1">
      <c r="BM4862" s="1025"/>
      <c r="BO4862" s="43"/>
    </row>
    <row r="4863" spans="65:67" ht="18.75" customHeight="1">
      <c r="BM4863" s="1025"/>
      <c r="BO4863" s="43"/>
    </row>
    <row r="4864" spans="65:67" ht="18.75" customHeight="1">
      <c r="BM4864" s="1025"/>
      <c r="BO4864" s="43"/>
    </row>
    <row r="4865" spans="65:67" ht="18.75" customHeight="1">
      <c r="BM4865" s="1025"/>
      <c r="BO4865" s="43"/>
    </row>
    <row r="4866" spans="65:67" ht="18.75" customHeight="1">
      <c r="BM4866" s="1025"/>
      <c r="BO4866" s="43"/>
    </row>
    <row r="4867" spans="65:67" ht="18.75" customHeight="1">
      <c r="BM4867" s="1025"/>
      <c r="BO4867" s="43"/>
    </row>
    <row r="4868" spans="65:67" ht="18.75" customHeight="1">
      <c r="BM4868" s="1025"/>
      <c r="BO4868" s="43"/>
    </row>
    <row r="4869" spans="65:67" ht="18.75" customHeight="1">
      <c r="BM4869" s="1025"/>
      <c r="BO4869" s="43"/>
    </row>
    <row r="4870" spans="65:67" ht="18.75" customHeight="1">
      <c r="BM4870" s="1025"/>
      <c r="BO4870" s="43"/>
    </row>
    <row r="4871" spans="65:67" ht="18.75" customHeight="1">
      <c r="BM4871" s="1025"/>
      <c r="BO4871" s="43"/>
    </row>
    <row r="4872" spans="65:67" ht="18.75" customHeight="1">
      <c r="BM4872" s="1025"/>
      <c r="BO4872" s="43"/>
    </row>
    <row r="4873" spans="65:67" ht="18.75" customHeight="1">
      <c r="BM4873" s="1025"/>
      <c r="BO4873" s="43"/>
    </row>
    <row r="4874" spans="65:67" ht="18.75" customHeight="1">
      <c r="BM4874" s="1025"/>
      <c r="BO4874" s="43"/>
    </row>
    <row r="4875" spans="65:67" ht="18.75" customHeight="1">
      <c r="BM4875" s="1025"/>
      <c r="BO4875" s="43"/>
    </row>
    <row r="4876" spans="65:67" ht="18.75" customHeight="1">
      <c r="BM4876" s="1025"/>
      <c r="BO4876" s="43"/>
    </row>
    <row r="4877" spans="65:67" ht="18.75" customHeight="1">
      <c r="BM4877" s="1025"/>
      <c r="BO4877" s="43"/>
    </row>
    <row r="4878" spans="65:67" ht="18.75" customHeight="1">
      <c r="BM4878" s="1025"/>
      <c r="BO4878" s="43"/>
    </row>
    <row r="4879" spans="65:67" ht="18.75" customHeight="1">
      <c r="BM4879" s="1025"/>
      <c r="BO4879" s="43"/>
    </row>
    <row r="4880" spans="65:67" ht="18.75" customHeight="1">
      <c r="BM4880" s="1025"/>
      <c r="BO4880" s="43"/>
    </row>
    <row r="4881" spans="65:67" ht="18.75" customHeight="1">
      <c r="BM4881" s="1025"/>
      <c r="BO4881" s="43"/>
    </row>
    <row r="4882" spans="65:67" ht="18.75" customHeight="1">
      <c r="BM4882" s="1025"/>
      <c r="BO4882" s="43"/>
    </row>
    <row r="4883" spans="65:67" ht="18.75" customHeight="1">
      <c r="BM4883" s="1025"/>
      <c r="BO4883" s="43"/>
    </row>
    <row r="4884" spans="65:67" ht="18.75" customHeight="1">
      <c r="BM4884" s="1025"/>
      <c r="BO4884" s="43"/>
    </row>
    <row r="4885" spans="65:67" ht="18.75" customHeight="1">
      <c r="BM4885" s="1025"/>
      <c r="BO4885" s="43"/>
    </row>
    <row r="4886" spans="65:67" ht="18.75" customHeight="1">
      <c r="BM4886" s="1025"/>
      <c r="BO4886" s="43"/>
    </row>
    <row r="4887" spans="65:67" ht="18.75" customHeight="1">
      <c r="BM4887" s="1025"/>
      <c r="BO4887" s="43"/>
    </row>
    <row r="4888" spans="65:67" ht="18.75" customHeight="1">
      <c r="BM4888" s="1025"/>
      <c r="BO4888" s="43"/>
    </row>
    <row r="4889" spans="65:67" ht="18.75" customHeight="1">
      <c r="BM4889" s="1025"/>
      <c r="BO4889" s="43"/>
    </row>
    <row r="4890" spans="65:67" ht="18.75" customHeight="1">
      <c r="BM4890" s="1025"/>
      <c r="BO4890" s="43"/>
    </row>
    <row r="4891" spans="65:67" ht="18.75" customHeight="1">
      <c r="BM4891" s="1025"/>
      <c r="BO4891" s="43"/>
    </row>
    <row r="4892" spans="65:67" ht="18.75" customHeight="1">
      <c r="BM4892" s="1025"/>
      <c r="BO4892" s="43"/>
    </row>
    <row r="4893" spans="65:67" ht="18.75" customHeight="1">
      <c r="BM4893" s="1025"/>
      <c r="BO4893" s="43"/>
    </row>
    <row r="4894" spans="65:67" ht="18.75" customHeight="1">
      <c r="BM4894" s="1025"/>
      <c r="BO4894" s="43"/>
    </row>
    <row r="4895" spans="65:67" ht="18.75" customHeight="1">
      <c r="BM4895" s="1025"/>
      <c r="BO4895" s="43"/>
    </row>
    <row r="4896" spans="65:67" ht="18.75" customHeight="1">
      <c r="BM4896" s="1025"/>
      <c r="BO4896" s="43"/>
    </row>
    <row r="4897" spans="65:67" ht="18.75" customHeight="1">
      <c r="BM4897" s="1025"/>
      <c r="BO4897" s="43"/>
    </row>
    <row r="4898" spans="65:67" ht="18.75" customHeight="1">
      <c r="BM4898" s="1025"/>
      <c r="BO4898" s="43"/>
    </row>
    <row r="4899" spans="65:67" ht="18.75" customHeight="1">
      <c r="BM4899" s="1025"/>
      <c r="BO4899" s="43"/>
    </row>
    <row r="4900" spans="65:67" ht="18.75" customHeight="1">
      <c r="BM4900" s="1025"/>
      <c r="BO4900" s="43"/>
    </row>
    <row r="4901" spans="65:67" ht="18.75" customHeight="1">
      <c r="BM4901" s="1025"/>
      <c r="BO4901" s="43"/>
    </row>
    <row r="4902" spans="65:67" ht="18.75" customHeight="1">
      <c r="BM4902" s="1025"/>
      <c r="BO4902" s="43"/>
    </row>
    <row r="4903" spans="65:67" ht="18.75" customHeight="1">
      <c r="BM4903" s="1025"/>
      <c r="BO4903" s="43"/>
    </row>
    <row r="4904" spans="65:67" ht="18.75" customHeight="1">
      <c r="BM4904" s="1025"/>
      <c r="BO4904" s="43"/>
    </row>
    <row r="4905" spans="65:67" ht="18.75" customHeight="1">
      <c r="BM4905" s="1025"/>
      <c r="BO4905" s="43"/>
    </row>
    <row r="4906" spans="65:67" ht="18.75" customHeight="1">
      <c r="BM4906" s="1025"/>
      <c r="BO4906" s="43"/>
    </row>
    <row r="4907" spans="65:67" ht="18.75" customHeight="1">
      <c r="BM4907" s="1025"/>
      <c r="BO4907" s="43"/>
    </row>
    <row r="4908" spans="65:67" ht="18.75" customHeight="1">
      <c r="BM4908" s="1025"/>
      <c r="BO4908" s="43"/>
    </row>
    <row r="4909" spans="65:67" ht="18.75" customHeight="1">
      <c r="BM4909" s="1025"/>
      <c r="BO4909" s="43"/>
    </row>
    <row r="4910" spans="65:67" ht="18.75" customHeight="1">
      <c r="BM4910" s="1025"/>
      <c r="BO4910" s="43"/>
    </row>
    <row r="4911" spans="65:67" ht="18.75" customHeight="1">
      <c r="BM4911" s="1025"/>
      <c r="BO4911" s="43"/>
    </row>
    <row r="4912" spans="65:67" ht="18.75" customHeight="1">
      <c r="BM4912" s="1025"/>
      <c r="BO4912" s="43"/>
    </row>
    <row r="4913" spans="65:67" ht="18.75" customHeight="1">
      <c r="BM4913" s="1025"/>
      <c r="BO4913" s="43"/>
    </row>
    <row r="4914" spans="65:67" ht="18.75" customHeight="1">
      <c r="BM4914" s="1025"/>
      <c r="BO4914" s="43"/>
    </row>
    <row r="4915" spans="65:67" ht="18.75" customHeight="1">
      <c r="BM4915" s="1025"/>
      <c r="BO4915" s="43"/>
    </row>
    <row r="4916" spans="65:67" ht="18.75" customHeight="1">
      <c r="BM4916" s="1025"/>
      <c r="BO4916" s="43"/>
    </row>
    <row r="4917" spans="65:67" ht="18.75" customHeight="1">
      <c r="BM4917" s="1025"/>
      <c r="BO4917" s="43"/>
    </row>
    <row r="4918" spans="65:67" ht="18.75" customHeight="1">
      <c r="BM4918" s="1025"/>
      <c r="BO4918" s="43"/>
    </row>
    <row r="4919" spans="65:67" ht="18.75" customHeight="1">
      <c r="BM4919" s="1025"/>
      <c r="BO4919" s="43"/>
    </row>
    <row r="4920" spans="65:67" ht="18.75" customHeight="1">
      <c r="BM4920" s="1025"/>
      <c r="BO4920" s="43"/>
    </row>
    <row r="4921" spans="65:67" ht="18.75" customHeight="1">
      <c r="BM4921" s="1025"/>
      <c r="BO4921" s="43"/>
    </row>
    <row r="4922" spans="65:67" ht="18.75" customHeight="1">
      <c r="BM4922" s="1025"/>
      <c r="BO4922" s="43"/>
    </row>
    <row r="4923" spans="65:67" ht="18.75" customHeight="1">
      <c r="BM4923" s="1025"/>
      <c r="BO4923" s="43"/>
    </row>
    <row r="4924" spans="65:67" ht="18.75" customHeight="1">
      <c r="BM4924" s="1025"/>
      <c r="BO4924" s="43"/>
    </row>
    <row r="4925" spans="65:67" ht="18.75" customHeight="1">
      <c r="BM4925" s="1025"/>
      <c r="BO4925" s="43"/>
    </row>
    <row r="4926" spans="65:67" ht="18.75" customHeight="1">
      <c r="BM4926" s="1025"/>
      <c r="BO4926" s="43"/>
    </row>
    <row r="4927" spans="65:67" ht="18.75" customHeight="1">
      <c r="BM4927" s="1025"/>
      <c r="BO4927" s="43"/>
    </row>
    <row r="4928" spans="65:67" ht="18.75" customHeight="1">
      <c r="BM4928" s="1025"/>
      <c r="BO4928" s="43"/>
    </row>
    <row r="4929" spans="65:67" ht="18.75" customHeight="1">
      <c r="BM4929" s="1025"/>
      <c r="BO4929" s="43"/>
    </row>
    <row r="4930" spans="65:67" ht="18.75" customHeight="1">
      <c r="BM4930" s="1025"/>
      <c r="BO4930" s="43"/>
    </row>
    <row r="4931" spans="65:67" ht="18.75" customHeight="1">
      <c r="BM4931" s="1025"/>
      <c r="BO4931" s="43"/>
    </row>
    <row r="4932" spans="65:67" ht="18.75" customHeight="1">
      <c r="BM4932" s="1025"/>
      <c r="BO4932" s="43"/>
    </row>
    <row r="4933" spans="65:67" ht="18.75" customHeight="1">
      <c r="BM4933" s="1025"/>
      <c r="BO4933" s="43"/>
    </row>
    <row r="4934" spans="65:67" ht="18.75" customHeight="1">
      <c r="BM4934" s="1025"/>
      <c r="BO4934" s="43"/>
    </row>
    <row r="4935" spans="65:67" ht="18.75" customHeight="1">
      <c r="BM4935" s="1025"/>
      <c r="BO4935" s="43"/>
    </row>
    <row r="4936" spans="65:67" ht="18.75" customHeight="1">
      <c r="BM4936" s="1025"/>
      <c r="BO4936" s="43"/>
    </row>
    <row r="4937" spans="65:67" ht="18.75" customHeight="1">
      <c r="BM4937" s="1025"/>
      <c r="BO4937" s="43"/>
    </row>
    <row r="4938" spans="65:67" ht="18.75" customHeight="1">
      <c r="BM4938" s="1025"/>
      <c r="BO4938" s="43"/>
    </row>
    <row r="4939" spans="65:67" ht="18.75" customHeight="1">
      <c r="BM4939" s="1025"/>
      <c r="BO4939" s="43"/>
    </row>
    <row r="4940" spans="65:67" ht="18.75" customHeight="1">
      <c r="BM4940" s="1025"/>
      <c r="BO4940" s="43"/>
    </row>
    <row r="4941" spans="65:67" ht="18.75" customHeight="1">
      <c r="BM4941" s="1025"/>
      <c r="BO4941" s="43"/>
    </row>
    <row r="4942" spans="65:67" ht="18.75" customHeight="1">
      <c r="BM4942" s="1025"/>
      <c r="BO4942" s="43"/>
    </row>
    <row r="4943" spans="65:67" ht="18.75" customHeight="1">
      <c r="BM4943" s="1025"/>
      <c r="BO4943" s="43"/>
    </row>
    <row r="4944" spans="65:67" ht="18.75" customHeight="1">
      <c r="BM4944" s="1025"/>
      <c r="BO4944" s="43"/>
    </row>
    <row r="4945" spans="65:67" ht="18.75" customHeight="1">
      <c r="BM4945" s="1025"/>
      <c r="BO4945" s="43"/>
    </row>
    <row r="4946" spans="65:67" ht="18.75" customHeight="1">
      <c r="BM4946" s="1025"/>
      <c r="BO4946" s="43"/>
    </row>
    <row r="4947" spans="65:67" ht="18.75" customHeight="1">
      <c r="BM4947" s="1025"/>
      <c r="BO4947" s="43"/>
    </row>
    <row r="4948" spans="65:67" ht="18.75" customHeight="1">
      <c r="BM4948" s="1025"/>
      <c r="BO4948" s="43"/>
    </row>
    <row r="4949" spans="65:67" ht="18.75" customHeight="1">
      <c r="BM4949" s="1025"/>
      <c r="BO4949" s="43"/>
    </row>
    <row r="4950" spans="65:67" ht="18.75" customHeight="1">
      <c r="BM4950" s="1025"/>
      <c r="BO4950" s="43"/>
    </row>
    <row r="4951" spans="65:67" ht="18.75" customHeight="1">
      <c r="BM4951" s="1025"/>
      <c r="BO4951" s="43"/>
    </row>
    <row r="4952" spans="65:67" ht="18.75" customHeight="1">
      <c r="BM4952" s="1025"/>
      <c r="BO4952" s="43"/>
    </row>
    <row r="4953" spans="65:67" ht="18.75" customHeight="1">
      <c r="BM4953" s="1025"/>
      <c r="BO4953" s="43"/>
    </row>
    <row r="4954" spans="65:67" ht="18.75" customHeight="1">
      <c r="BM4954" s="1025"/>
      <c r="BO4954" s="43"/>
    </row>
    <row r="4955" spans="65:67" ht="18.75" customHeight="1">
      <c r="BM4955" s="1025"/>
      <c r="BO4955" s="43"/>
    </row>
    <row r="4956" spans="65:67" ht="18.75" customHeight="1">
      <c r="BM4956" s="1025"/>
      <c r="BO4956" s="43"/>
    </row>
    <row r="4957" spans="65:67" ht="18.75" customHeight="1">
      <c r="BM4957" s="1025"/>
      <c r="BO4957" s="43"/>
    </row>
    <row r="4958" spans="65:67" ht="18.75" customHeight="1">
      <c r="BM4958" s="1025"/>
      <c r="BO4958" s="43"/>
    </row>
    <row r="4959" spans="65:67" ht="18.75" customHeight="1">
      <c r="BM4959" s="1025"/>
      <c r="BO4959" s="43"/>
    </row>
    <row r="4960" spans="65:67" ht="18.75" customHeight="1">
      <c r="BM4960" s="1025"/>
      <c r="BO4960" s="43"/>
    </row>
    <row r="4961" spans="65:67" ht="18.75" customHeight="1">
      <c r="BM4961" s="1025"/>
      <c r="BO4961" s="43"/>
    </row>
    <row r="4962" spans="65:67" ht="18.75" customHeight="1">
      <c r="BM4962" s="1025"/>
      <c r="BO4962" s="43"/>
    </row>
    <row r="4963" spans="65:67" ht="18.75" customHeight="1">
      <c r="BM4963" s="1025"/>
      <c r="BO4963" s="43"/>
    </row>
    <row r="4964" spans="65:67" ht="18.75" customHeight="1">
      <c r="BM4964" s="1025"/>
      <c r="BO4964" s="43"/>
    </row>
    <row r="4965" spans="65:67" ht="18.75" customHeight="1">
      <c r="BM4965" s="1025"/>
      <c r="BO4965" s="43"/>
    </row>
    <row r="4966" spans="65:67" ht="18.75" customHeight="1">
      <c r="BM4966" s="1025"/>
      <c r="BO4966" s="43"/>
    </row>
    <row r="4967" spans="65:67" ht="18.75" customHeight="1">
      <c r="BM4967" s="1025"/>
      <c r="BO4967" s="43"/>
    </row>
    <row r="4968" spans="65:67" ht="18.75" customHeight="1">
      <c r="BM4968" s="1025"/>
      <c r="BO4968" s="43"/>
    </row>
    <row r="4969" spans="65:67" ht="18.75" customHeight="1">
      <c r="BM4969" s="1025"/>
      <c r="BO4969" s="43"/>
    </row>
    <row r="4970" spans="65:67" ht="18.75" customHeight="1">
      <c r="BM4970" s="1025"/>
      <c r="BO4970" s="43"/>
    </row>
    <row r="4971" spans="65:67" ht="18.75" customHeight="1">
      <c r="BM4971" s="1025"/>
      <c r="BO4971" s="43"/>
    </row>
    <row r="4972" spans="65:67" ht="18.75" customHeight="1">
      <c r="BM4972" s="1025"/>
      <c r="BO4972" s="43"/>
    </row>
    <row r="4973" spans="65:67" ht="18.75" customHeight="1">
      <c r="BM4973" s="1025"/>
      <c r="BO4973" s="43"/>
    </row>
    <row r="4974" spans="65:67" ht="18.75" customHeight="1">
      <c r="BM4974" s="1025"/>
      <c r="BO4974" s="43"/>
    </row>
    <row r="4975" spans="65:67" ht="18.75" customHeight="1">
      <c r="BM4975" s="1025"/>
      <c r="BO4975" s="43"/>
    </row>
    <row r="4976" spans="65:67" ht="18.75" customHeight="1">
      <c r="BM4976" s="1025"/>
      <c r="BO4976" s="43"/>
    </row>
    <row r="4977" spans="65:67" ht="18.75" customHeight="1">
      <c r="BM4977" s="1025"/>
      <c r="BO4977" s="43"/>
    </row>
    <row r="4978" spans="65:67" ht="18.75" customHeight="1">
      <c r="BM4978" s="1025"/>
      <c r="BO4978" s="43"/>
    </row>
    <row r="4979" spans="65:67" ht="18.75" customHeight="1">
      <c r="BM4979" s="1025"/>
      <c r="BO4979" s="43"/>
    </row>
    <row r="4980" spans="65:67" ht="18.75" customHeight="1">
      <c r="BM4980" s="1025"/>
      <c r="BO4980" s="43"/>
    </row>
    <row r="4981" spans="65:67" ht="18.75" customHeight="1">
      <c r="BM4981" s="1025"/>
      <c r="BO4981" s="43"/>
    </row>
    <row r="4982" spans="65:67" ht="18.75" customHeight="1">
      <c r="BM4982" s="1025"/>
      <c r="BO4982" s="43"/>
    </row>
    <row r="4983" spans="65:67" ht="18.75" customHeight="1">
      <c r="BM4983" s="1025"/>
      <c r="BO4983" s="43"/>
    </row>
    <row r="4984" spans="65:67" ht="18.75" customHeight="1">
      <c r="BM4984" s="1025"/>
      <c r="BO4984" s="43"/>
    </row>
    <row r="4985" spans="65:67" ht="18.75" customHeight="1">
      <c r="BM4985" s="1025"/>
      <c r="BO4985" s="43"/>
    </row>
    <row r="4986" spans="65:67" ht="18.75" customHeight="1">
      <c r="BM4986" s="1025"/>
      <c r="BO4986" s="43"/>
    </row>
    <row r="4987" spans="65:67" ht="18.75" customHeight="1">
      <c r="BM4987" s="1025"/>
      <c r="BO4987" s="43"/>
    </row>
    <row r="4988" spans="65:67" ht="18.75" customHeight="1">
      <c r="BM4988" s="1025"/>
      <c r="BO4988" s="43"/>
    </row>
    <row r="4989" spans="65:67" ht="18.75" customHeight="1">
      <c r="BM4989" s="1025"/>
      <c r="BO4989" s="43"/>
    </row>
    <row r="4990" spans="65:67" ht="18.75" customHeight="1">
      <c r="BM4990" s="1025"/>
      <c r="BO4990" s="43"/>
    </row>
    <row r="4991" spans="65:67" ht="18.75" customHeight="1">
      <c r="BM4991" s="1025"/>
      <c r="BO4991" s="43"/>
    </row>
    <row r="4992" spans="65:67" ht="18.75" customHeight="1">
      <c r="BM4992" s="1025"/>
      <c r="BO4992" s="43"/>
    </row>
    <row r="4993" spans="65:67" ht="18.75" customHeight="1">
      <c r="BM4993" s="1025"/>
      <c r="BO4993" s="43"/>
    </row>
    <row r="4994" spans="65:67" ht="18.75" customHeight="1">
      <c r="BM4994" s="1025"/>
      <c r="BO4994" s="43"/>
    </row>
    <row r="4995" spans="65:67" ht="18.75" customHeight="1">
      <c r="BM4995" s="1025"/>
      <c r="BO4995" s="43"/>
    </row>
    <row r="4996" spans="65:67" ht="18.75" customHeight="1">
      <c r="BM4996" s="1025"/>
      <c r="BO4996" s="43"/>
    </row>
    <row r="4997" spans="65:67" ht="18.75" customHeight="1">
      <c r="BM4997" s="1025"/>
      <c r="BO4997" s="43"/>
    </row>
    <row r="4998" spans="65:67" ht="18.75" customHeight="1">
      <c r="BM4998" s="1025"/>
      <c r="BO4998" s="43"/>
    </row>
    <row r="4999" spans="65:67" ht="18.75" customHeight="1">
      <c r="BM4999" s="1025"/>
      <c r="BO4999" s="43"/>
    </row>
    <row r="5000" spans="65:67" ht="18.75" customHeight="1">
      <c r="BM5000" s="1025"/>
      <c r="BO5000" s="43"/>
    </row>
    <row r="5001" spans="65:67" ht="18.75" customHeight="1">
      <c r="BM5001" s="1025"/>
      <c r="BO5001" s="43"/>
    </row>
    <row r="5002" spans="65:67" ht="18.75" customHeight="1">
      <c r="BM5002" s="1025"/>
      <c r="BO5002" s="43"/>
    </row>
    <row r="5003" spans="65:67" ht="18.75" customHeight="1">
      <c r="BM5003" s="1025"/>
      <c r="BO5003" s="43"/>
    </row>
    <row r="5004" spans="65:67" ht="18.75" customHeight="1">
      <c r="BM5004" s="1025"/>
      <c r="BO5004" s="43"/>
    </row>
    <row r="5005" spans="65:67" ht="18.75" customHeight="1">
      <c r="BM5005" s="1025"/>
      <c r="BO5005" s="43"/>
    </row>
    <row r="5006" spans="65:67" ht="18.75" customHeight="1">
      <c r="BM5006" s="1025"/>
      <c r="BO5006" s="43"/>
    </row>
    <row r="5007" spans="65:67" ht="18.75" customHeight="1">
      <c r="BM5007" s="1025"/>
      <c r="BO5007" s="43"/>
    </row>
    <row r="5008" spans="65:67" ht="18.75" customHeight="1">
      <c r="BM5008" s="1025"/>
      <c r="BO5008" s="43"/>
    </row>
    <row r="5009" spans="65:67" ht="18.75" customHeight="1">
      <c r="BM5009" s="1025"/>
      <c r="BO5009" s="43"/>
    </row>
    <row r="5010" spans="65:67" ht="18.75" customHeight="1">
      <c r="BM5010" s="1025"/>
      <c r="BO5010" s="43"/>
    </row>
    <row r="5011" spans="65:67" ht="18.75" customHeight="1">
      <c r="BM5011" s="1025"/>
      <c r="BO5011" s="43"/>
    </row>
    <row r="5012" spans="65:67" ht="18.75" customHeight="1">
      <c r="BM5012" s="1025"/>
      <c r="BO5012" s="43"/>
    </row>
    <row r="5013" spans="65:67" ht="18.75" customHeight="1">
      <c r="BM5013" s="1025"/>
      <c r="BO5013" s="43"/>
    </row>
    <row r="5014" spans="65:67" ht="18.75" customHeight="1">
      <c r="BM5014" s="1025"/>
      <c r="BO5014" s="43"/>
    </row>
    <row r="5015" spans="65:67" ht="18.75" customHeight="1">
      <c r="BM5015" s="1025"/>
      <c r="BO5015" s="43"/>
    </row>
    <row r="5016" spans="65:67" ht="18.75" customHeight="1">
      <c r="BM5016" s="1025"/>
      <c r="BO5016" s="43"/>
    </row>
    <row r="5017" spans="65:67" ht="18.75" customHeight="1">
      <c r="BM5017" s="1025"/>
      <c r="BO5017" s="43"/>
    </row>
    <row r="5018" spans="65:67" ht="18.75" customHeight="1">
      <c r="BM5018" s="1025"/>
      <c r="BO5018" s="43"/>
    </row>
    <row r="5019" spans="65:67" ht="18.75" customHeight="1">
      <c r="BM5019" s="1025"/>
      <c r="BO5019" s="43"/>
    </row>
    <row r="5020" spans="65:67" ht="18.75" customHeight="1">
      <c r="BM5020" s="1025"/>
      <c r="BO5020" s="43"/>
    </row>
    <row r="5021" spans="65:67" ht="18.75" customHeight="1">
      <c r="BM5021" s="1025"/>
      <c r="BO5021" s="43"/>
    </row>
    <row r="5022" spans="65:67" ht="18.75" customHeight="1">
      <c r="BM5022" s="1025"/>
      <c r="BO5022" s="43"/>
    </row>
    <row r="5023" spans="65:67" ht="18.75" customHeight="1">
      <c r="BM5023" s="1025"/>
      <c r="BO5023" s="43"/>
    </row>
    <row r="5024" spans="65:67" ht="18.75" customHeight="1">
      <c r="BM5024" s="1025"/>
      <c r="BO5024" s="43"/>
    </row>
    <row r="5025" spans="65:67" ht="18.75" customHeight="1">
      <c r="BM5025" s="1025"/>
      <c r="BO5025" s="43"/>
    </row>
    <row r="5026" spans="65:67" ht="18.75" customHeight="1">
      <c r="BM5026" s="1025"/>
      <c r="BO5026" s="43"/>
    </row>
    <row r="5027" spans="65:67" ht="18.75" customHeight="1">
      <c r="BM5027" s="1025"/>
      <c r="BO5027" s="43"/>
    </row>
    <row r="5028" spans="65:67" ht="18.75" customHeight="1">
      <c r="BM5028" s="1025"/>
      <c r="BO5028" s="43"/>
    </row>
    <row r="5029" spans="65:67" ht="18.75" customHeight="1">
      <c r="BM5029" s="1025"/>
      <c r="BO5029" s="43"/>
    </row>
    <row r="5030" spans="65:67" ht="18.75" customHeight="1">
      <c r="BM5030" s="1025"/>
      <c r="BO5030" s="43"/>
    </row>
    <row r="5031" spans="65:67" ht="18.75" customHeight="1">
      <c r="BM5031" s="1025"/>
      <c r="BO5031" s="43"/>
    </row>
    <row r="5032" spans="65:67" ht="18.75" customHeight="1">
      <c r="BM5032" s="1025"/>
      <c r="BO5032" s="43"/>
    </row>
    <row r="5033" spans="65:67" ht="18.75" customHeight="1">
      <c r="BM5033" s="1025"/>
      <c r="BO5033" s="43"/>
    </row>
    <row r="5034" spans="65:67" ht="18.75" customHeight="1">
      <c r="BM5034" s="1025"/>
      <c r="BO5034" s="43"/>
    </row>
    <row r="5035" spans="65:67" ht="18.75" customHeight="1">
      <c r="BM5035" s="1025"/>
      <c r="BO5035" s="43"/>
    </row>
    <row r="5036" spans="65:67" ht="18.75" customHeight="1">
      <c r="BM5036" s="1025"/>
      <c r="BO5036" s="43"/>
    </row>
    <row r="5037" spans="65:67" ht="18.75" customHeight="1">
      <c r="BM5037" s="1025"/>
      <c r="BO5037" s="43"/>
    </row>
    <row r="5038" spans="65:67" ht="18.75" customHeight="1">
      <c r="BM5038" s="1025"/>
      <c r="BO5038" s="43"/>
    </row>
    <row r="5039" spans="65:67" ht="18.75" customHeight="1">
      <c r="BM5039" s="1025"/>
      <c r="BO5039" s="43"/>
    </row>
    <row r="5040" spans="65:67" ht="18.75" customHeight="1">
      <c r="BM5040" s="1025"/>
      <c r="BO5040" s="43"/>
    </row>
    <row r="5041" spans="65:67" ht="18.75" customHeight="1">
      <c r="BM5041" s="1025"/>
      <c r="BO5041" s="43"/>
    </row>
    <row r="5042" spans="65:67" ht="18.75" customHeight="1">
      <c r="BM5042" s="1025"/>
      <c r="BO5042" s="43"/>
    </row>
    <row r="5043" spans="65:67" ht="18.75" customHeight="1">
      <c r="BM5043" s="1025"/>
      <c r="BO5043" s="43"/>
    </row>
    <row r="5044" spans="65:67" ht="18.75" customHeight="1">
      <c r="BM5044" s="1025"/>
      <c r="BO5044" s="43"/>
    </row>
    <row r="5045" spans="65:67" ht="18.75" customHeight="1">
      <c r="BM5045" s="1025"/>
      <c r="BO5045" s="43"/>
    </row>
    <row r="5046" spans="65:67" ht="18.75" customHeight="1">
      <c r="BM5046" s="1025"/>
      <c r="BO5046" s="43"/>
    </row>
    <row r="5047" spans="65:67" ht="18.75" customHeight="1">
      <c r="BM5047" s="1025"/>
      <c r="BO5047" s="43"/>
    </row>
    <row r="5048" spans="65:67" ht="18.75" customHeight="1">
      <c r="BM5048" s="1025"/>
      <c r="BO5048" s="43"/>
    </row>
    <row r="5049" spans="65:67" ht="18.75" customHeight="1">
      <c r="BM5049" s="1025"/>
      <c r="BO5049" s="43"/>
    </row>
    <row r="5050" spans="65:67" ht="18.75" customHeight="1">
      <c r="BM5050" s="1025"/>
      <c r="BO5050" s="43"/>
    </row>
    <row r="5051" spans="65:67" ht="18.75" customHeight="1">
      <c r="BM5051" s="1025"/>
      <c r="BO5051" s="43"/>
    </row>
    <row r="5052" spans="65:67" ht="18.75" customHeight="1">
      <c r="BM5052" s="1025"/>
      <c r="BO5052" s="43"/>
    </row>
    <row r="5053" spans="65:67" ht="18.75" customHeight="1">
      <c r="BM5053" s="1025"/>
      <c r="BO5053" s="43"/>
    </row>
    <row r="5054" spans="65:67" ht="18.75" customHeight="1">
      <c r="BM5054" s="1025"/>
      <c r="BO5054" s="43"/>
    </row>
    <row r="5055" spans="65:67" ht="18.75" customHeight="1">
      <c r="BM5055" s="1025"/>
      <c r="BO5055" s="43"/>
    </row>
    <row r="5056" spans="65:67" ht="18.75" customHeight="1">
      <c r="BM5056" s="1025"/>
      <c r="BO5056" s="43"/>
    </row>
    <row r="5057" spans="65:67" ht="18.75" customHeight="1">
      <c r="BM5057" s="1025"/>
      <c r="BO5057" s="43"/>
    </row>
    <row r="5058" spans="65:67" ht="18.75" customHeight="1">
      <c r="BM5058" s="1025"/>
      <c r="BO5058" s="43"/>
    </row>
    <row r="5059" spans="65:67" ht="18.75" customHeight="1">
      <c r="BM5059" s="1025"/>
      <c r="BO5059" s="43"/>
    </row>
    <row r="5060" spans="65:67" ht="18.75" customHeight="1">
      <c r="BM5060" s="1025"/>
      <c r="BO5060" s="43"/>
    </row>
    <row r="5061" spans="65:67" ht="18.75" customHeight="1">
      <c r="BM5061" s="1025"/>
      <c r="BO5061" s="43"/>
    </row>
    <row r="5062" spans="65:67" ht="18.75" customHeight="1">
      <c r="BM5062" s="1025"/>
      <c r="BO5062" s="43"/>
    </row>
    <row r="5063" spans="65:67" ht="18.75" customHeight="1">
      <c r="BM5063" s="1025"/>
      <c r="BO5063" s="43"/>
    </row>
    <row r="5064" spans="65:67" ht="18.75" customHeight="1">
      <c r="BM5064" s="1025"/>
      <c r="BO5064" s="43"/>
    </row>
    <row r="5065" spans="65:67" ht="18.75" customHeight="1">
      <c r="BM5065" s="1025"/>
      <c r="BO5065" s="43"/>
    </row>
    <row r="5066" spans="65:67" ht="18.75" customHeight="1">
      <c r="BM5066" s="1025"/>
      <c r="BO5066" s="43"/>
    </row>
    <row r="5067" spans="65:67" ht="18.75" customHeight="1">
      <c r="BM5067" s="1025"/>
      <c r="BO5067" s="43"/>
    </row>
    <row r="5068" spans="65:67" ht="18.75" customHeight="1">
      <c r="BM5068" s="1025"/>
      <c r="BO5068" s="43"/>
    </row>
    <row r="5069" spans="65:67" ht="18.75" customHeight="1">
      <c r="BM5069" s="1025"/>
      <c r="BO5069" s="43"/>
    </row>
    <row r="5070" spans="65:67" ht="18.75" customHeight="1">
      <c r="BM5070" s="1025"/>
      <c r="BO5070" s="43"/>
    </row>
    <row r="5071" spans="65:67" ht="18.75" customHeight="1">
      <c r="BM5071" s="1025"/>
      <c r="BO5071" s="43"/>
    </row>
    <row r="5072" spans="65:67" ht="18.75" customHeight="1">
      <c r="BM5072" s="1025"/>
      <c r="BO5072" s="43"/>
    </row>
    <row r="5073" spans="65:67" ht="18.75" customHeight="1">
      <c r="BM5073" s="1025"/>
      <c r="BO5073" s="43"/>
    </row>
    <row r="5074" spans="65:67" ht="18.75" customHeight="1">
      <c r="BM5074" s="1025"/>
      <c r="BO5074" s="43"/>
    </row>
    <row r="5075" spans="65:67" ht="18.75" customHeight="1">
      <c r="BM5075" s="1025"/>
      <c r="BO5075" s="43"/>
    </row>
    <row r="5076" spans="65:67" ht="18.75" customHeight="1">
      <c r="BM5076" s="1025"/>
      <c r="BO5076" s="43"/>
    </row>
    <row r="5077" spans="65:67" ht="18.75" customHeight="1">
      <c r="BM5077" s="1025"/>
      <c r="BO5077" s="43"/>
    </row>
    <row r="5078" spans="65:67" ht="18.75" customHeight="1">
      <c r="BM5078" s="1025"/>
      <c r="BO5078" s="43"/>
    </row>
    <row r="5079" spans="65:67" ht="18.75" customHeight="1">
      <c r="BM5079" s="1025"/>
      <c r="BO5079" s="43"/>
    </row>
    <row r="5080" spans="65:67" ht="18.75" customHeight="1">
      <c r="BM5080" s="1025"/>
      <c r="BO5080" s="43"/>
    </row>
    <row r="5081" spans="65:67" ht="18.75" customHeight="1">
      <c r="BM5081" s="1025"/>
      <c r="BO5081" s="43"/>
    </row>
    <row r="5082" spans="65:67" ht="18.75" customHeight="1">
      <c r="BM5082" s="1025"/>
      <c r="BO5082" s="43"/>
    </row>
    <row r="5083" spans="65:67" ht="18.75" customHeight="1">
      <c r="BM5083" s="1025"/>
      <c r="BO5083" s="43"/>
    </row>
    <row r="5084" spans="65:67" ht="18.75" customHeight="1">
      <c r="BM5084" s="1025"/>
      <c r="BO5084" s="43"/>
    </row>
    <row r="5085" spans="65:67" ht="18.75" customHeight="1">
      <c r="BM5085" s="1025"/>
      <c r="BO5085" s="43"/>
    </row>
    <row r="5086" spans="65:67" ht="18.75" customHeight="1">
      <c r="BM5086" s="1025"/>
      <c r="BO5086" s="43"/>
    </row>
    <row r="5087" spans="65:67" ht="18.75" customHeight="1">
      <c r="BM5087" s="1025"/>
      <c r="BO5087" s="43"/>
    </row>
    <row r="5088" spans="65:67" ht="18.75" customHeight="1">
      <c r="BM5088" s="1025"/>
      <c r="BO5088" s="43"/>
    </row>
    <row r="5089" spans="65:67" ht="18.75" customHeight="1">
      <c r="BM5089" s="1025"/>
      <c r="BO5089" s="43"/>
    </row>
    <row r="5090" spans="65:67" ht="18.75" customHeight="1">
      <c r="BM5090" s="1025"/>
      <c r="BO5090" s="43"/>
    </row>
    <row r="5091" spans="65:67" ht="18.75" customHeight="1">
      <c r="BM5091" s="1025"/>
      <c r="BO5091" s="43"/>
    </row>
    <row r="5092" spans="65:67" ht="18.75" customHeight="1">
      <c r="BM5092" s="1025"/>
      <c r="BO5092" s="43"/>
    </row>
    <row r="5093" spans="65:67" ht="18.75" customHeight="1">
      <c r="BM5093" s="1025"/>
      <c r="BO5093" s="43"/>
    </row>
    <row r="5094" spans="65:67" ht="18.75" customHeight="1">
      <c r="BM5094" s="1025"/>
      <c r="BO5094" s="43"/>
    </row>
    <row r="5095" spans="65:67" ht="18.75" customHeight="1">
      <c r="BM5095" s="1025"/>
      <c r="BO5095" s="43"/>
    </row>
    <row r="5096" spans="65:67" ht="18.75" customHeight="1">
      <c r="BM5096" s="1025"/>
      <c r="BO5096" s="43"/>
    </row>
    <row r="5097" spans="65:67" ht="18.75" customHeight="1">
      <c r="BM5097" s="1025"/>
      <c r="BO5097" s="43"/>
    </row>
    <row r="5098" spans="65:67" ht="18.75" customHeight="1">
      <c r="BM5098" s="1025"/>
      <c r="BO5098" s="43"/>
    </row>
    <row r="5099" spans="65:67" ht="18.75" customHeight="1">
      <c r="BM5099" s="1025"/>
      <c r="BO5099" s="43"/>
    </row>
    <row r="5100" spans="65:67" ht="18.75" customHeight="1">
      <c r="BM5100" s="1025"/>
      <c r="BO5100" s="43"/>
    </row>
    <row r="5101" spans="65:67" ht="18.75" customHeight="1">
      <c r="BM5101" s="1025"/>
      <c r="BO5101" s="43"/>
    </row>
    <row r="5102" spans="65:67" ht="18.75" customHeight="1">
      <c r="BM5102" s="1025"/>
      <c r="BO5102" s="43"/>
    </row>
    <row r="5103" spans="65:67" ht="18.75" customHeight="1">
      <c r="BM5103" s="1025"/>
      <c r="BO5103" s="43"/>
    </row>
    <row r="5104" spans="65:67" ht="18.75" customHeight="1">
      <c r="BM5104" s="1025"/>
      <c r="BO5104" s="43"/>
    </row>
    <row r="5105" spans="65:67" ht="18.75" customHeight="1">
      <c r="BM5105" s="1025"/>
      <c r="BO5105" s="43"/>
    </row>
    <row r="5106" spans="65:67" ht="18.75" customHeight="1">
      <c r="BM5106" s="1025"/>
      <c r="BO5106" s="43"/>
    </row>
    <row r="5107" spans="65:67" ht="18.75" customHeight="1">
      <c r="BM5107" s="1025"/>
      <c r="BO5107" s="43"/>
    </row>
    <row r="5108" spans="65:67" ht="18.75" customHeight="1">
      <c r="BM5108" s="1025"/>
      <c r="BO5108" s="43"/>
    </row>
    <row r="5109" spans="65:67" ht="18.75" customHeight="1">
      <c r="BM5109" s="1025"/>
      <c r="BO5109" s="43"/>
    </row>
    <row r="5110" spans="65:67" ht="18.75" customHeight="1">
      <c r="BM5110" s="1025"/>
      <c r="BO5110" s="43"/>
    </row>
    <row r="5111" spans="65:67" ht="18.75" customHeight="1">
      <c r="BM5111" s="1025"/>
      <c r="BO5111" s="43"/>
    </row>
    <row r="5112" spans="65:67" ht="18.75" customHeight="1">
      <c r="BM5112" s="1025"/>
      <c r="BO5112" s="43"/>
    </row>
    <row r="5113" spans="65:67" ht="18.75" customHeight="1">
      <c r="BM5113" s="1025"/>
      <c r="BO5113" s="43"/>
    </row>
    <row r="5114" spans="65:67" ht="18.75" customHeight="1">
      <c r="BM5114" s="1025"/>
      <c r="BO5114" s="43"/>
    </row>
    <row r="5115" spans="65:67" ht="18.75" customHeight="1">
      <c r="BM5115" s="1025"/>
      <c r="BO5115" s="43"/>
    </row>
    <row r="5116" spans="65:67" ht="18.75" customHeight="1">
      <c r="BM5116" s="1025"/>
      <c r="BO5116" s="43"/>
    </row>
    <row r="5117" spans="65:67" ht="18.75" customHeight="1">
      <c r="BM5117" s="1025"/>
      <c r="BO5117" s="43"/>
    </row>
    <row r="5118" spans="65:67" ht="18.75" customHeight="1">
      <c r="BM5118" s="1025"/>
      <c r="BO5118" s="43"/>
    </row>
    <row r="5119" spans="65:67" ht="18.75" customHeight="1">
      <c r="BM5119" s="1025"/>
      <c r="BO5119" s="43"/>
    </row>
    <row r="5120" spans="65:67" ht="18.75" customHeight="1">
      <c r="BM5120" s="1025"/>
      <c r="BO5120" s="43"/>
    </row>
    <row r="5121" spans="65:67" ht="18.75" customHeight="1">
      <c r="BM5121" s="1025"/>
      <c r="BO5121" s="43"/>
    </row>
    <row r="5122" spans="65:67" ht="18.75" customHeight="1">
      <c r="BM5122" s="1025"/>
      <c r="BO5122" s="43"/>
    </row>
    <row r="5123" spans="65:67" ht="18.75" customHeight="1">
      <c r="BM5123" s="1025"/>
      <c r="BO5123" s="43"/>
    </row>
    <row r="5124" spans="65:67" ht="18.75" customHeight="1">
      <c r="BM5124" s="1025"/>
      <c r="BO5124" s="43"/>
    </row>
    <row r="5125" spans="65:67" ht="18.75" customHeight="1">
      <c r="BM5125" s="1025"/>
      <c r="BO5125" s="43"/>
    </row>
    <row r="5126" spans="65:67" ht="18.75" customHeight="1">
      <c r="BM5126" s="1025"/>
      <c r="BO5126" s="43"/>
    </row>
    <row r="5127" spans="65:67" ht="18.75" customHeight="1">
      <c r="BM5127" s="1025"/>
      <c r="BO5127" s="43"/>
    </row>
    <row r="5128" spans="65:67" ht="18.75" customHeight="1">
      <c r="BM5128" s="1025"/>
      <c r="BO5128" s="43"/>
    </row>
    <row r="5129" spans="65:67" ht="18.75" customHeight="1">
      <c r="BM5129" s="1025"/>
      <c r="BO5129" s="43"/>
    </row>
    <row r="5130" spans="65:67" ht="18.75" customHeight="1">
      <c r="BM5130" s="1025"/>
      <c r="BO5130" s="43"/>
    </row>
    <row r="5131" spans="65:67" ht="18.75" customHeight="1">
      <c r="BM5131" s="1025"/>
      <c r="BO5131" s="43"/>
    </row>
    <row r="5132" spans="65:67" ht="18.75" customHeight="1">
      <c r="BM5132" s="1025"/>
      <c r="BO5132" s="43"/>
    </row>
    <row r="5133" spans="65:67" ht="18.75" customHeight="1">
      <c r="BM5133" s="1025"/>
      <c r="BO5133" s="43"/>
    </row>
    <row r="5134" spans="65:67" ht="18.75" customHeight="1">
      <c r="BM5134" s="1025"/>
      <c r="BO5134" s="43"/>
    </row>
    <row r="5135" spans="65:67" ht="18.75" customHeight="1">
      <c r="BM5135" s="1025"/>
      <c r="BO5135" s="43"/>
    </row>
    <row r="5136" spans="65:67" ht="18.75" customHeight="1">
      <c r="BM5136" s="1025"/>
      <c r="BO5136" s="43"/>
    </row>
    <row r="5137" spans="65:67" ht="18.75" customHeight="1">
      <c r="BM5137" s="1025"/>
      <c r="BO5137" s="43"/>
    </row>
    <row r="5138" spans="65:67" ht="18.75" customHeight="1">
      <c r="BM5138" s="1025"/>
      <c r="BO5138" s="43"/>
    </row>
    <row r="5139" spans="65:67" ht="18.75" customHeight="1">
      <c r="BM5139" s="1025"/>
      <c r="BO5139" s="43"/>
    </row>
    <row r="5140" spans="65:67" ht="18.75" customHeight="1">
      <c r="BM5140" s="1025"/>
      <c r="BO5140" s="43"/>
    </row>
    <row r="5141" spans="65:67" ht="18.75" customHeight="1">
      <c r="BM5141" s="1025"/>
      <c r="BO5141" s="43"/>
    </row>
    <row r="5142" spans="65:67" ht="18.75" customHeight="1">
      <c r="BM5142" s="1025"/>
      <c r="BO5142" s="43"/>
    </row>
    <row r="5143" spans="65:67" ht="18.75" customHeight="1">
      <c r="BM5143" s="1025"/>
      <c r="BO5143" s="43"/>
    </row>
    <row r="5144" spans="65:67" ht="18.75" customHeight="1">
      <c r="BM5144" s="1025"/>
      <c r="BO5144" s="43"/>
    </row>
    <row r="5145" spans="65:67" ht="18.75" customHeight="1">
      <c r="BM5145" s="1025"/>
      <c r="BO5145" s="43"/>
    </row>
    <row r="5146" spans="65:67" ht="18.75" customHeight="1">
      <c r="BM5146" s="1025"/>
      <c r="BO5146" s="43"/>
    </row>
    <row r="5147" spans="65:67" ht="18.75" customHeight="1">
      <c r="BM5147" s="1025"/>
      <c r="BO5147" s="43"/>
    </row>
    <row r="5148" spans="65:67" ht="18.75" customHeight="1">
      <c r="BM5148" s="1025"/>
      <c r="BO5148" s="43"/>
    </row>
    <row r="5149" spans="65:67" ht="18.75" customHeight="1">
      <c r="BM5149" s="1025"/>
      <c r="BO5149" s="43"/>
    </row>
    <row r="5150" spans="65:67" ht="18.75" customHeight="1">
      <c r="BM5150" s="1025"/>
      <c r="BO5150" s="43"/>
    </row>
    <row r="5151" spans="65:67" ht="18.75" customHeight="1">
      <c r="BM5151" s="1025"/>
      <c r="BO5151" s="43"/>
    </row>
    <row r="5152" spans="65:67" ht="18.75" customHeight="1">
      <c r="BM5152" s="1025"/>
      <c r="BO5152" s="43"/>
    </row>
    <row r="5153" spans="65:67" ht="18.75" customHeight="1">
      <c r="BM5153" s="1025"/>
      <c r="BO5153" s="43"/>
    </row>
    <row r="5154" spans="65:67" ht="18.75" customHeight="1">
      <c r="BM5154" s="1025"/>
      <c r="BO5154" s="43"/>
    </row>
    <row r="5155" spans="65:67" ht="18.75" customHeight="1">
      <c r="BM5155" s="1025"/>
      <c r="BO5155" s="43"/>
    </row>
    <row r="5156" spans="65:67" ht="18.75" customHeight="1">
      <c r="BM5156" s="1025"/>
      <c r="BO5156" s="43"/>
    </row>
    <row r="5157" spans="65:67" ht="18.75" customHeight="1">
      <c r="BM5157" s="1025"/>
      <c r="BO5157" s="43"/>
    </row>
    <row r="5158" spans="65:67" ht="18.75" customHeight="1">
      <c r="BM5158" s="1025"/>
      <c r="BO5158" s="43"/>
    </row>
    <row r="5159" spans="65:67" ht="18.75" customHeight="1">
      <c r="BM5159" s="1025"/>
      <c r="BO5159" s="43"/>
    </row>
    <row r="5160" spans="65:67" ht="18.75" customHeight="1">
      <c r="BM5160" s="1025"/>
      <c r="BO5160" s="43"/>
    </row>
    <row r="5161" spans="65:67" ht="18.75" customHeight="1">
      <c r="BM5161" s="1025"/>
      <c r="BO5161" s="43"/>
    </row>
    <row r="5162" spans="65:67" ht="18.75" customHeight="1">
      <c r="BM5162" s="1025"/>
      <c r="BO5162" s="43"/>
    </row>
    <row r="5163" spans="65:67" ht="18.75" customHeight="1">
      <c r="BM5163" s="1025"/>
      <c r="BO5163" s="43"/>
    </row>
    <row r="5164" spans="65:67" ht="18.75" customHeight="1">
      <c r="BM5164" s="1025"/>
      <c r="BO5164" s="43"/>
    </row>
    <row r="5165" spans="65:67" ht="18.75" customHeight="1">
      <c r="BM5165" s="1025"/>
      <c r="BO5165" s="43"/>
    </row>
    <row r="5166" spans="65:67" ht="18.75" customHeight="1">
      <c r="BM5166" s="1025"/>
      <c r="BO5166" s="43"/>
    </row>
    <row r="5167" spans="65:67" ht="18.75" customHeight="1">
      <c r="BM5167" s="1025"/>
      <c r="BO5167" s="43"/>
    </row>
    <row r="5168" spans="65:67" ht="18.75" customHeight="1">
      <c r="BM5168" s="1025"/>
      <c r="BO5168" s="43"/>
    </row>
    <row r="5169" spans="65:67" ht="18.75" customHeight="1">
      <c r="BM5169" s="1025"/>
      <c r="BO5169" s="43"/>
    </row>
    <row r="5170" spans="65:67" ht="18.75" customHeight="1">
      <c r="BM5170" s="1025"/>
      <c r="BO5170" s="43"/>
    </row>
    <row r="5171" spans="65:67" ht="18.75" customHeight="1">
      <c r="BM5171" s="1025"/>
      <c r="BO5171" s="43"/>
    </row>
    <row r="5172" spans="65:67" ht="18.75" customHeight="1">
      <c r="BM5172" s="1025"/>
      <c r="BO5172" s="43"/>
    </row>
    <row r="5173" spans="65:67" ht="18.75" customHeight="1">
      <c r="BM5173" s="1025"/>
      <c r="BO5173" s="43"/>
    </row>
    <row r="5174" spans="65:67" ht="18.75" customHeight="1">
      <c r="BM5174" s="1025"/>
      <c r="BO5174" s="43"/>
    </row>
    <row r="5175" spans="65:67" ht="18.75" customHeight="1">
      <c r="BM5175" s="1025"/>
      <c r="BO5175" s="43"/>
    </row>
    <row r="5176" spans="65:67" ht="18.75" customHeight="1">
      <c r="BM5176" s="1025"/>
      <c r="BO5176" s="43"/>
    </row>
    <row r="5177" spans="65:67" ht="18.75" customHeight="1">
      <c r="BM5177" s="1025"/>
      <c r="BO5177" s="43"/>
    </row>
    <row r="5178" spans="65:67" ht="18.75" customHeight="1">
      <c r="BM5178" s="1025"/>
      <c r="BO5178" s="43"/>
    </row>
    <row r="5179" spans="65:67" ht="18.75" customHeight="1">
      <c r="BM5179" s="1025"/>
      <c r="BO5179" s="43"/>
    </row>
    <row r="5180" spans="65:67" ht="18.75" customHeight="1">
      <c r="BM5180" s="1025"/>
      <c r="BO5180" s="43"/>
    </row>
    <row r="5181" spans="65:67" ht="18.75" customHeight="1">
      <c r="BM5181" s="1025"/>
      <c r="BO5181" s="43"/>
    </row>
    <row r="5182" spans="65:67" ht="18.75" customHeight="1">
      <c r="BM5182" s="1025"/>
      <c r="BO5182" s="43"/>
    </row>
    <row r="5183" spans="65:67" ht="18.75" customHeight="1">
      <c r="BM5183" s="1025"/>
      <c r="BO5183" s="43"/>
    </row>
    <row r="5184" spans="65:67" ht="18.75" customHeight="1">
      <c r="BM5184" s="1025"/>
      <c r="BO5184" s="43"/>
    </row>
    <row r="5185" spans="65:67" ht="18.75" customHeight="1">
      <c r="BM5185" s="1025"/>
      <c r="BO5185" s="43"/>
    </row>
    <row r="5186" spans="65:67" ht="18.75" customHeight="1">
      <c r="BM5186" s="1025"/>
      <c r="BO5186" s="43"/>
    </row>
    <row r="5187" spans="65:67" ht="18.75" customHeight="1">
      <c r="BM5187" s="1025"/>
      <c r="BO5187" s="43"/>
    </row>
    <row r="5188" spans="65:67" ht="18.75" customHeight="1">
      <c r="BM5188" s="1025"/>
      <c r="BO5188" s="43"/>
    </row>
    <row r="5189" spans="65:67" ht="18.75" customHeight="1">
      <c r="BM5189" s="1025"/>
      <c r="BO5189" s="43"/>
    </row>
    <row r="5190" spans="65:67" ht="18.75" customHeight="1">
      <c r="BM5190" s="1025"/>
      <c r="BO5190" s="43"/>
    </row>
    <row r="5191" spans="65:67" ht="18.75" customHeight="1">
      <c r="BM5191" s="1025"/>
      <c r="BO5191" s="43"/>
    </row>
    <row r="5192" spans="65:67" ht="18.75" customHeight="1">
      <c r="BM5192" s="1025"/>
      <c r="BO5192" s="43"/>
    </row>
    <row r="5193" spans="65:67" ht="18.75" customHeight="1">
      <c r="BM5193" s="1025"/>
      <c r="BO5193" s="43"/>
    </row>
    <row r="5194" spans="65:67" ht="18.75" customHeight="1">
      <c r="BM5194" s="1025"/>
      <c r="BO5194" s="43"/>
    </row>
    <row r="5195" spans="65:67" ht="18.75" customHeight="1">
      <c r="BM5195" s="1025"/>
      <c r="BO5195" s="43"/>
    </row>
    <row r="5196" spans="65:67" ht="18.75" customHeight="1">
      <c r="BM5196" s="1025"/>
      <c r="BO5196" s="43"/>
    </row>
    <row r="5197" spans="65:67" ht="18.75" customHeight="1">
      <c r="BM5197" s="1025"/>
      <c r="BO5197" s="43"/>
    </row>
    <row r="5198" spans="65:67" ht="18.75" customHeight="1">
      <c r="BM5198" s="1025"/>
      <c r="BO5198" s="43"/>
    </row>
    <row r="5199" spans="65:67" ht="18.75" customHeight="1">
      <c r="BM5199" s="1025"/>
      <c r="BO5199" s="43"/>
    </row>
    <row r="5200" spans="65:67" ht="18.75" customHeight="1">
      <c r="BM5200" s="1025"/>
      <c r="BO5200" s="43"/>
    </row>
    <row r="5201" spans="65:67" ht="18.75" customHeight="1">
      <c r="BM5201" s="1025"/>
      <c r="BO5201" s="43"/>
    </row>
    <row r="5202" spans="65:67" ht="18.75" customHeight="1">
      <c r="BM5202" s="1025"/>
      <c r="BO5202" s="43"/>
    </row>
    <row r="5203" spans="65:67" ht="18.75" customHeight="1">
      <c r="BM5203" s="1025"/>
      <c r="BO5203" s="43"/>
    </row>
    <row r="5204" spans="65:67" ht="18.75" customHeight="1">
      <c r="BM5204" s="1025"/>
      <c r="BO5204" s="43"/>
    </row>
    <row r="5205" spans="65:67" ht="18.75" customHeight="1">
      <c r="BM5205" s="1025"/>
      <c r="BO5205" s="43"/>
    </row>
    <row r="5206" spans="65:67" ht="18.75" customHeight="1">
      <c r="BM5206" s="1025"/>
      <c r="BO5206" s="43"/>
    </row>
    <row r="5207" spans="65:67" ht="18.75" customHeight="1">
      <c r="BM5207" s="1025"/>
      <c r="BO5207" s="43"/>
    </row>
    <row r="5208" spans="65:67" ht="18.75" customHeight="1">
      <c r="BM5208" s="1025"/>
      <c r="BO5208" s="43"/>
    </row>
    <row r="5209" spans="65:67" ht="18.75" customHeight="1">
      <c r="BM5209" s="1025"/>
      <c r="BO5209" s="43"/>
    </row>
    <row r="5210" spans="65:67" ht="18.75" customHeight="1">
      <c r="BM5210" s="1025"/>
      <c r="BO5210" s="43"/>
    </row>
    <row r="5211" spans="65:67" ht="18.75" customHeight="1">
      <c r="BM5211" s="1025"/>
      <c r="BO5211" s="43"/>
    </row>
    <row r="5212" spans="65:67" ht="18.75" customHeight="1">
      <c r="BM5212" s="1025"/>
      <c r="BO5212" s="43"/>
    </row>
    <row r="5213" spans="65:67" ht="18.75" customHeight="1">
      <c r="BM5213" s="1025"/>
      <c r="BO5213" s="43"/>
    </row>
    <row r="5214" spans="65:67" ht="18.75" customHeight="1">
      <c r="BM5214" s="1025"/>
      <c r="BO5214" s="43"/>
    </row>
    <row r="5215" spans="65:67" ht="18.75" customHeight="1">
      <c r="BM5215" s="1025"/>
      <c r="BO5215" s="43"/>
    </row>
    <row r="5216" spans="65:67" ht="18.75" customHeight="1">
      <c r="BM5216" s="1025"/>
      <c r="BO5216" s="43"/>
    </row>
    <row r="5217" spans="65:67" ht="18.75" customHeight="1">
      <c r="BM5217" s="1025"/>
      <c r="BO5217" s="43"/>
    </row>
    <row r="5218" spans="65:67" ht="18.75" customHeight="1">
      <c r="BM5218" s="1025"/>
      <c r="BO5218" s="43"/>
    </row>
    <row r="5219" spans="65:67" ht="18.75" customHeight="1">
      <c r="BM5219" s="1025"/>
      <c r="BO5219" s="43"/>
    </row>
    <row r="5220" spans="65:67" ht="18.75" customHeight="1">
      <c r="BM5220" s="1025"/>
      <c r="BO5220" s="43"/>
    </row>
    <row r="5221" spans="65:67" ht="18.75" customHeight="1">
      <c r="BM5221" s="1025"/>
      <c r="BO5221" s="43"/>
    </row>
    <row r="5222" spans="65:67" ht="18.75" customHeight="1">
      <c r="BM5222" s="1025"/>
      <c r="BO5222" s="43"/>
    </row>
    <row r="5223" spans="65:67" ht="18.75" customHeight="1">
      <c r="BM5223" s="1025"/>
      <c r="BO5223" s="43"/>
    </row>
    <row r="5224" spans="65:67" ht="18.75" customHeight="1">
      <c r="BM5224" s="1025"/>
      <c r="BO5224" s="43"/>
    </row>
    <row r="5225" spans="65:67" ht="18.75" customHeight="1">
      <c r="BM5225" s="1025"/>
      <c r="BO5225" s="43"/>
    </row>
    <row r="5226" spans="65:67" ht="18.75" customHeight="1">
      <c r="BM5226" s="1025"/>
      <c r="BO5226" s="43"/>
    </row>
    <row r="5227" spans="65:67" ht="18.75" customHeight="1">
      <c r="BM5227" s="1025"/>
      <c r="BO5227" s="43"/>
    </row>
    <row r="5228" spans="65:67" ht="18.75" customHeight="1">
      <c r="BM5228" s="1025"/>
      <c r="BO5228" s="43"/>
    </row>
    <row r="5229" spans="65:67" ht="18.75" customHeight="1">
      <c r="BM5229" s="1025"/>
      <c r="BO5229" s="43"/>
    </row>
    <row r="5230" spans="65:67" ht="18.75" customHeight="1">
      <c r="BM5230" s="1025"/>
      <c r="BO5230" s="43"/>
    </row>
    <row r="5231" spans="65:67" ht="18.75" customHeight="1">
      <c r="BM5231" s="1025"/>
      <c r="BO5231" s="43"/>
    </row>
    <row r="5232" spans="65:67" ht="18.75" customHeight="1">
      <c r="BM5232" s="1025"/>
      <c r="BO5232" s="43"/>
    </row>
    <row r="5233" spans="65:67" ht="18.75" customHeight="1">
      <c r="BM5233" s="1025"/>
      <c r="BO5233" s="43"/>
    </row>
    <row r="5234" spans="65:67" ht="18.75" customHeight="1">
      <c r="BM5234" s="1025"/>
      <c r="BO5234" s="43"/>
    </row>
    <row r="5235" spans="65:67" ht="18.75" customHeight="1">
      <c r="BM5235" s="1025"/>
      <c r="BO5235" s="43"/>
    </row>
    <row r="5236" spans="65:67" ht="18.75" customHeight="1">
      <c r="BM5236" s="1025"/>
      <c r="BO5236" s="43"/>
    </row>
    <row r="5237" spans="65:67" ht="18.75" customHeight="1">
      <c r="BM5237" s="1025"/>
      <c r="BO5237" s="43"/>
    </row>
    <row r="5238" spans="65:67" ht="18.75" customHeight="1">
      <c r="BM5238" s="1025"/>
      <c r="BO5238" s="43"/>
    </row>
    <row r="5239" spans="65:67" ht="18.75" customHeight="1">
      <c r="BM5239" s="1025"/>
      <c r="BO5239" s="43"/>
    </row>
    <row r="5240" spans="65:67" ht="18.75" customHeight="1">
      <c r="BM5240" s="1025"/>
      <c r="BO5240" s="43"/>
    </row>
    <row r="5241" spans="65:67" ht="18.75" customHeight="1">
      <c r="BM5241" s="1025"/>
      <c r="BO5241" s="43"/>
    </row>
    <row r="5242" spans="65:67" ht="18.75" customHeight="1">
      <c r="BM5242" s="1025"/>
      <c r="BO5242" s="43"/>
    </row>
    <row r="5243" spans="65:67" ht="18.75" customHeight="1">
      <c r="BM5243" s="1025"/>
      <c r="BO5243" s="43"/>
    </row>
    <row r="5244" spans="65:67" ht="18.75" customHeight="1">
      <c r="BM5244" s="1025"/>
      <c r="BO5244" s="43"/>
    </row>
    <row r="5245" spans="65:67" ht="18.75" customHeight="1">
      <c r="BM5245" s="1025"/>
      <c r="BO5245" s="43"/>
    </row>
    <row r="5246" spans="65:67" ht="18.75" customHeight="1">
      <c r="BM5246" s="1025"/>
      <c r="BO5246" s="43"/>
    </row>
    <row r="5247" spans="65:67" ht="18.75" customHeight="1">
      <c r="BM5247" s="1025"/>
      <c r="BO5247" s="43"/>
    </row>
    <row r="5248" spans="65:67" ht="18.75" customHeight="1">
      <c r="BM5248" s="1025"/>
      <c r="BO5248" s="43"/>
    </row>
    <row r="5249" spans="65:67" ht="18.75" customHeight="1">
      <c r="BM5249" s="1025"/>
      <c r="BO5249" s="43"/>
    </row>
    <row r="5250" spans="65:67" ht="18.75" customHeight="1">
      <c r="BM5250" s="1025"/>
      <c r="BO5250" s="43"/>
    </row>
    <row r="5251" spans="65:67" ht="18.75" customHeight="1">
      <c r="BM5251" s="1025"/>
      <c r="BO5251" s="43"/>
    </row>
    <row r="5252" spans="65:67" ht="18.75" customHeight="1">
      <c r="BM5252" s="1025"/>
      <c r="BO5252" s="43"/>
    </row>
    <row r="5253" spans="65:67" ht="18.75" customHeight="1">
      <c r="BM5253" s="1025"/>
      <c r="BO5253" s="43"/>
    </row>
    <row r="5254" spans="65:67" ht="18.75" customHeight="1">
      <c r="BM5254" s="1025"/>
      <c r="BO5254" s="43"/>
    </row>
    <row r="5255" spans="65:67" ht="18.75" customHeight="1">
      <c r="BM5255" s="1025"/>
      <c r="BO5255" s="43"/>
    </row>
    <row r="5256" spans="65:67" ht="18.75" customHeight="1">
      <c r="BM5256" s="1025"/>
      <c r="BO5256" s="43"/>
    </row>
    <row r="5257" spans="65:67" ht="18.75" customHeight="1">
      <c r="BM5257" s="1025"/>
      <c r="BO5257" s="43"/>
    </row>
    <row r="5258" spans="65:67" ht="18.75" customHeight="1">
      <c r="BM5258" s="1025"/>
      <c r="BO5258" s="43"/>
    </row>
    <row r="5259" spans="65:67" ht="18.75" customHeight="1">
      <c r="BM5259" s="1025"/>
      <c r="BO5259" s="43"/>
    </row>
    <row r="5260" spans="65:67" ht="18.75" customHeight="1">
      <c r="BM5260" s="1025"/>
      <c r="BO5260" s="43"/>
    </row>
    <row r="5261" spans="65:67" ht="18.75" customHeight="1">
      <c r="BM5261" s="1025"/>
      <c r="BO5261" s="43"/>
    </row>
    <row r="5262" spans="65:67" ht="18.75" customHeight="1">
      <c r="BM5262" s="1025"/>
      <c r="BO5262" s="43"/>
    </row>
    <row r="5263" spans="65:67" ht="18.75" customHeight="1">
      <c r="BM5263" s="1025"/>
      <c r="BO5263" s="43"/>
    </row>
    <row r="5264" spans="65:67" ht="18.75" customHeight="1">
      <c r="BM5264" s="1025"/>
      <c r="BO5264" s="43"/>
    </row>
    <row r="5265" spans="65:67" ht="18.75" customHeight="1">
      <c r="BM5265" s="1025"/>
      <c r="BO5265" s="43"/>
    </row>
    <row r="5266" spans="65:67" ht="18.75" customHeight="1">
      <c r="BM5266" s="1025"/>
      <c r="BO5266" s="43"/>
    </row>
    <row r="5267" spans="65:67" ht="18.75" customHeight="1">
      <c r="BM5267" s="1025"/>
      <c r="BO5267" s="43"/>
    </row>
    <row r="5268" spans="65:67" ht="18.75" customHeight="1">
      <c r="BM5268" s="1025"/>
      <c r="BO5268" s="43"/>
    </row>
    <row r="5269" spans="65:67" ht="18.75" customHeight="1">
      <c r="BM5269" s="1025"/>
      <c r="BO5269" s="43"/>
    </row>
    <row r="5270" spans="65:67" ht="18.75" customHeight="1">
      <c r="BM5270" s="1025"/>
      <c r="BO5270" s="43"/>
    </row>
    <row r="5271" spans="65:67" ht="18.75" customHeight="1">
      <c r="BM5271" s="1025"/>
      <c r="BO5271" s="43"/>
    </row>
    <row r="5272" spans="65:67" ht="18.75" customHeight="1">
      <c r="BM5272" s="1025"/>
      <c r="BO5272" s="43"/>
    </row>
    <row r="5273" spans="65:67" ht="18.75" customHeight="1">
      <c r="BM5273" s="1025"/>
      <c r="BO5273" s="43"/>
    </row>
    <row r="5274" spans="65:67" ht="18.75" customHeight="1">
      <c r="BM5274" s="1025"/>
      <c r="BO5274" s="43"/>
    </row>
    <row r="5275" spans="65:67" ht="18.75" customHeight="1">
      <c r="BM5275" s="1025"/>
      <c r="BO5275" s="43"/>
    </row>
    <row r="5276" spans="65:67" ht="18.75" customHeight="1">
      <c r="BM5276" s="1025"/>
      <c r="BO5276" s="43"/>
    </row>
    <row r="5277" spans="65:67" ht="18.75" customHeight="1">
      <c r="BM5277" s="1025"/>
      <c r="BO5277" s="43"/>
    </row>
    <row r="5278" spans="65:67" ht="18.75" customHeight="1">
      <c r="BM5278" s="1025"/>
      <c r="BO5278" s="43"/>
    </row>
    <row r="5279" spans="65:67" ht="18.75" customHeight="1">
      <c r="BM5279" s="1025"/>
      <c r="BO5279" s="43"/>
    </row>
    <row r="5280" spans="65:67" ht="18.75" customHeight="1">
      <c r="BM5280" s="1025"/>
      <c r="BO5280" s="43"/>
    </row>
    <row r="5281" spans="65:67" ht="18.75" customHeight="1">
      <c r="BM5281" s="1025"/>
      <c r="BO5281" s="43"/>
    </row>
    <row r="5282" spans="65:67" ht="18.75" customHeight="1">
      <c r="BM5282" s="1025"/>
      <c r="BO5282" s="43"/>
    </row>
    <row r="5283" spans="65:67" ht="18.75" customHeight="1">
      <c r="BM5283" s="1025"/>
      <c r="BO5283" s="43"/>
    </row>
    <row r="5284" spans="65:67" ht="18.75" customHeight="1">
      <c r="BM5284" s="1025"/>
      <c r="BO5284" s="43"/>
    </row>
    <row r="5285" spans="65:67" ht="18.75" customHeight="1">
      <c r="BM5285" s="1025"/>
      <c r="BO5285" s="43"/>
    </row>
    <row r="5286" spans="65:67" ht="18.75" customHeight="1">
      <c r="BM5286" s="1025"/>
      <c r="BO5286" s="43"/>
    </row>
    <row r="5287" spans="65:67" ht="18.75" customHeight="1">
      <c r="BM5287" s="1025"/>
      <c r="BO5287" s="43"/>
    </row>
    <row r="5288" spans="65:67" ht="18.75" customHeight="1">
      <c r="BM5288" s="1025"/>
      <c r="BO5288" s="43"/>
    </row>
    <row r="5289" spans="65:67" ht="18.75" customHeight="1">
      <c r="BM5289" s="1025"/>
      <c r="BO5289" s="43"/>
    </row>
    <row r="5290" spans="65:67" ht="18.75" customHeight="1">
      <c r="BM5290" s="1025"/>
      <c r="BO5290" s="43"/>
    </row>
    <row r="5291" spans="65:67" ht="18.75" customHeight="1">
      <c r="BM5291" s="1025"/>
      <c r="BO5291" s="43"/>
    </row>
    <row r="5292" spans="65:67" ht="18.75" customHeight="1">
      <c r="BM5292" s="1025"/>
      <c r="BO5292" s="43"/>
    </row>
    <row r="5293" spans="65:67" ht="18.75" customHeight="1">
      <c r="BM5293" s="1025"/>
      <c r="BO5293" s="43"/>
    </row>
    <row r="5294" spans="65:67" ht="18.75" customHeight="1">
      <c r="BM5294" s="1025"/>
      <c r="BO5294" s="43"/>
    </row>
    <row r="5295" spans="65:67" ht="18.75" customHeight="1">
      <c r="BM5295" s="1025"/>
      <c r="BO5295" s="43"/>
    </row>
    <row r="5296" spans="65:67" ht="18.75" customHeight="1">
      <c r="BM5296" s="1025"/>
      <c r="BO5296" s="43"/>
    </row>
    <row r="5297" spans="65:67" ht="18.75" customHeight="1">
      <c r="BM5297" s="1025"/>
      <c r="BO5297" s="43"/>
    </row>
    <row r="5298" spans="65:67" ht="18.75" customHeight="1">
      <c r="BM5298" s="1025"/>
      <c r="BO5298" s="43"/>
    </row>
    <row r="5299" spans="65:67" ht="18.75" customHeight="1">
      <c r="BM5299" s="1025"/>
      <c r="BO5299" s="43"/>
    </row>
    <row r="5300" spans="65:67" ht="18.75" customHeight="1">
      <c r="BM5300" s="1025"/>
      <c r="BO5300" s="43"/>
    </row>
    <row r="5301" spans="65:67" ht="18.75" customHeight="1">
      <c r="BM5301" s="1025"/>
      <c r="BO5301" s="43"/>
    </row>
    <row r="5302" spans="65:67" ht="18.75" customHeight="1">
      <c r="BM5302" s="1025"/>
      <c r="BO5302" s="43"/>
    </row>
    <row r="5303" spans="65:67" ht="18.75" customHeight="1">
      <c r="BM5303" s="1025"/>
      <c r="BO5303" s="43"/>
    </row>
    <row r="5304" spans="65:67" ht="18.75" customHeight="1">
      <c r="BM5304" s="1025"/>
      <c r="BO5304" s="43"/>
    </row>
    <row r="5305" spans="65:67" ht="18.75" customHeight="1">
      <c r="BM5305" s="1025"/>
      <c r="BO5305" s="43"/>
    </row>
    <row r="5306" spans="65:67" ht="18.75" customHeight="1">
      <c r="BM5306" s="1025"/>
      <c r="BO5306" s="43"/>
    </row>
    <row r="5307" spans="65:67" ht="18.75" customHeight="1">
      <c r="BM5307" s="1025"/>
      <c r="BO5307" s="43"/>
    </row>
    <row r="5308" spans="65:67" ht="18.75" customHeight="1">
      <c r="BM5308" s="1025"/>
      <c r="BO5308" s="43"/>
    </row>
    <row r="5309" spans="65:67" ht="18.75" customHeight="1">
      <c r="BM5309" s="1025"/>
      <c r="BO5309" s="43"/>
    </row>
    <row r="5310" spans="65:67" ht="18.75" customHeight="1">
      <c r="BM5310" s="1025"/>
      <c r="BO5310" s="43"/>
    </row>
    <row r="5311" spans="65:67" ht="18.75" customHeight="1">
      <c r="BM5311" s="1025"/>
      <c r="BO5311" s="43"/>
    </row>
    <row r="5312" spans="65:67" ht="18.75" customHeight="1">
      <c r="BM5312" s="1025"/>
      <c r="BO5312" s="43"/>
    </row>
    <row r="5313" spans="65:67" ht="18.75" customHeight="1">
      <c r="BM5313" s="1025"/>
      <c r="BO5313" s="43"/>
    </row>
    <row r="5314" spans="65:67" ht="18.75" customHeight="1">
      <c r="BM5314" s="1025"/>
      <c r="BO5314" s="43"/>
    </row>
    <row r="5315" spans="65:67" ht="18.75" customHeight="1">
      <c r="BM5315" s="1025"/>
      <c r="BO5315" s="43"/>
    </row>
    <row r="5316" spans="65:67" ht="18.75" customHeight="1">
      <c r="BM5316" s="1025"/>
      <c r="BO5316" s="43"/>
    </row>
    <row r="5317" spans="65:67" ht="18.75" customHeight="1">
      <c r="BM5317" s="1025"/>
      <c r="BO5317" s="43"/>
    </row>
    <row r="5318" spans="65:67" ht="18.75" customHeight="1">
      <c r="BM5318" s="1025"/>
      <c r="BO5318" s="43"/>
    </row>
    <row r="5319" spans="65:67" ht="18.75" customHeight="1">
      <c r="BM5319" s="1025"/>
      <c r="BO5319" s="43"/>
    </row>
    <row r="5320" spans="65:67" ht="18.75" customHeight="1">
      <c r="BM5320" s="1025"/>
      <c r="BO5320" s="43"/>
    </row>
    <row r="5321" spans="65:67" ht="18.75" customHeight="1">
      <c r="BM5321" s="1025"/>
      <c r="BO5321" s="43"/>
    </row>
    <row r="5322" spans="65:67" ht="18.75" customHeight="1">
      <c r="BM5322" s="1025"/>
      <c r="BO5322" s="43"/>
    </row>
    <row r="5323" spans="65:67" ht="18.75" customHeight="1">
      <c r="BM5323" s="1025"/>
      <c r="BO5323" s="43"/>
    </row>
    <row r="5324" spans="65:67" ht="18.75" customHeight="1">
      <c r="BM5324" s="1025"/>
      <c r="BO5324" s="43"/>
    </row>
    <row r="5325" spans="65:67" ht="18.75" customHeight="1">
      <c r="BM5325" s="1025"/>
      <c r="BO5325" s="43"/>
    </row>
    <row r="5326" spans="65:67" ht="18.75" customHeight="1">
      <c r="BM5326" s="1025"/>
      <c r="BO5326" s="43"/>
    </row>
    <row r="5327" spans="65:67" ht="18.75" customHeight="1">
      <c r="BM5327" s="1025"/>
      <c r="BO5327" s="43"/>
    </row>
    <row r="5328" spans="65:67" ht="18.75" customHeight="1">
      <c r="BM5328" s="1025"/>
      <c r="BO5328" s="43"/>
    </row>
    <row r="5329" spans="65:67" ht="18.75" customHeight="1">
      <c r="BM5329" s="1025"/>
      <c r="BO5329" s="43"/>
    </row>
    <row r="5330" spans="65:67" ht="18.75" customHeight="1">
      <c r="BM5330" s="1025"/>
      <c r="BO5330" s="43"/>
    </row>
    <row r="5331" spans="65:67" ht="18.75" customHeight="1">
      <c r="BM5331" s="1025"/>
      <c r="BO5331" s="43"/>
    </row>
    <row r="5332" spans="65:67" ht="18.75" customHeight="1">
      <c r="BM5332" s="1025"/>
      <c r="BO5332" s="43"/>
    </row>
    <row r="5333" spans="65:67" ht="18.75" customHeight="1">
      <c r="BM5333" s="1025"/>
      <c r="BO5333" s="43"/>
    </row>
    <row r="5334" spans="65:67" ht="18.75" customHeight="1">
      <c r="BM5334" s="1025"/>
      <c r="BO5334" s="43"/>
    </row>
    <row r="5335" spans="65:67" ht="18.75" customHeight="1">
      <c r="BM5335" s="1025"/>
      <c r="BO5335" s="43"/>
    </row>
    <row r="5336" spans="65:67" ht="18.75" customHeight="1">
      <c r="BM5336" s="1025"/>
      <c r="BO5336" s="43"/>
    </row>
    <row r="5337" spans="65:67" ht="18.75" customHeight="1">
      <c r="BM5337" s="1025"/>
      <c r="BO5337" s="43"/>
    </row>
    <row r="5338" spans="65:67" ht="18.75" customHeight="1">
      <c r="BM5338" s="1025"/>
      <c r="BO5338" s="43"/>
    </row>
    <row r="5339" spans="65:67" ht="18.75" customHeight="1">
      <c r="BM5339" s="1025"/>
      <c r="BO5339" s="43"/>
    </row>
    <row r="5340" spans="65:67" ht="18.75" customHeight="1">
      <c r="BM5340" s="1025"/>
      <c r="BO5340" s="43"/>
    </row>
    <row r="5341" spans="65:67" ht="18.75" customHeight="1">
      <c r="BM5341" s="1025"/>
      <c r="BO5341" s="43"/>
    </row>
    <row r="5342" spans="65:67" ht="18.75" customHeight="1">
      <c r="BM5342" s="1025"/>
      <c r="BO5342" s="43"/>
    </row>
    <row r="5343" spans="65:67" ht="18.75" customHeight="1">
      <c r="BM5343" s="1025"/>
      <c r="BO5343" s="43"/>
    </row>
    <row r="5344" spans="65:67" ht="18.75" customHeight="1">
      <c r="BM5344" s="1025"/>
      <c r="BO5344" s="43"/>
    </row>
    <row r="5345" spans="65:67" ht="18.75" customHeight="1">
      <c r="BM5345" s="1025"/>
      <c r="BO5345" s="43"/>
    </row>
    <row r="5346" spans="65:67" ht="18.75" customHeight="1">
      <c r="BM5346" s="1025"/>
      <c r="BO5346" s="43"/>
    </row>
    <row r="5347" spans="65:67" ht="18.75" customHeight="1">
      <c r="BM5347" s="1025"/>
      <c r="BO5347" s="43"/>
    </row>
    <row r="5348" spans="65:67" ht="18.75" customHeight="1">
      <c r="BM5348" s="1025"/>
      <c r="BO5348" s="43"/>
    </row>
    <row r="5349" spans="65:67" ht="18.75" customHeight="1">
      <c r="BM5349" s="1025"/>
      <c r="BO5349" s="43"/>
    </row>
    <row r="5350" spans="65:67" ht="18.75" customHeight="1">
      <c r="BM5350" s="1025"/>
      <c r="BO5350" s="43"/>
    </row>
    <row r="5351" spans="65:67" ht="18.75" customHeight="1">
      <c r="BM5351" s="1025"/>
      <c r="BO5351" s="43"/>
    </row>
    <row r="5352" spans="65:67" ht="18.75" customHeight="1">
      <c r="BM5352" s="1025"/>
      <c r="BO5352" s="43"/>
    </row>
    <row r="5353" spans="65:67" ht="18.75" customHeight="1">
      <c r="BM5353" s="1025"/>
      <c r="BO5353" s="43"/>
    </row>
    <row r="5354" spans="65:67" ht="18.75" customHeight="1">
      <c r="BM5354" s="1025"/>
      <c r="BO5354" s="43"/>
    </row>
    <row r="5355" spans="65:67" ht="18.75" customHeight="1">
      <c r="BM5355" s="1025"/>
      <c r="BO5355" s="43"/>
    </row>
    <row r="5356" spans="65:67" ht="18.75" customHeight="1">
      <c r="BM5356" s="1025"/>
      <c r="BO5356" s="43"/>
    </row>
    <row r="5357" spans="65:67" ht="18.75" customHeight="1">
      <c r="BM5357" s="1025"/>
      <c r="BO5357" s="43"/>
    </row>
    <row r="5358" spans="65:67" ht="18.75" customHeight="1">
      <c r="BM5358" s="1025"/>
      <c r="BO5358" s="43"/>
    </row>
    <row r="5359" spans="65:67" ht="18.75" customHeight="1">
      <c r="BM5359" s="1025"/>
      <c r="BO5359" s="43"/>
    </row>
    <row r="5360" spans="65:67" ht="18.75" customHeight="1">
      <c r="BM5360" s="1025"/>
      <c r="BO5360" s="43"/>
    </row>
    <row r="5361" spans="65:67" ht="18.75" customHeight="1">
      <c r="BM5361" s="1025"/>
      <c r="BO5361" s="43"/>
    </row>
    <row r="5362" spans="65:67" ht="18.75" customHeight="1">
      <c r="BM5362" s="1025"/>
      <c r="BO5362" s="43"/>
    </row>
    <row r="5363" spans="65:67" ht="18.75" customHeight="1">
      <c r="BM5363" s="1025"/>
      <c r="BO5363" s="43"/>
    </row>
    <row r="5364" spans="65:67" ht="18.75" customHeight="1">
      <c r="BM5364" s="1025"/>
      <c r="BO5364" s="43"/>
    </row>
    <row r="5365" spans="65:67" ht="18.75" customHeight="1">
      <c r="BM5365" s="1025"/>
      <c r="BO5365" s="43"/>
    </row>
    <row r="5366" spans="65:67" ht="18.75" customHeight="1">
      <c r="BM5366" s="1025"/>
      <c r="BO5366" s="43"/>
    </row>
    <row r="5367" spans="65:67" ht="18.75" customHeight="1">
      <c r="BM5367" s="1025"/>
      <c r="BO5367" s="43"/>
    </row>
    <row r="5368" spans="65:67" ht="18.75" customHeight="1">
      <c r="BM5368" s="1025"/>
      <c r="BO5368" s="43"/>
    </row>
    <row r="5369" spans="65:67" ht="18.75" customHeight="1">
      <c r="BM5369" s="1025"/>
      <c r="BO5369" s="43"/>
    </row>
    <row r="5370" spans="65:67" ht="18.75" customHeight="1">
      <c r="BM5370" s="1025"/>
      <c r="BO5370" s="43"/>
    </row>
    <row r="5371" spans="65:67" ht="18.75" customHeight="1">
      <c r="BM5371" s="1025"/>
      <c r="BO5371" s="43"/>
    </row>
    <row r="5372" spans="65:67" ht="18.75" customHeight="1">
      <c r="BM5372" s="1025"/>
      <c r="BO5372" s="43"/>
    </row>
    <row r="5373" spans="65:67" ht="18.75" customHeight="1">
      <c r="BM5373" s="1025"/>
      <c r="BO5373" s="43"/>
    </row>
    <row r="5374" spans="65:67" ht="18.75" customHeight="1">
      <c r="BM5374" s="1025"/>
      <c r="BO5374" s="43"/>
    </row>
    <row r="5375" spans="65:67" ht="18.75" customHeight="1">
      <c r="BM5375" s="1025"/>
      <c r="BO5375" s="43"/>
    </row>
    <row r="5376" spans="65:67" ht="18.75" customHeight="1">
      <c r="BM5376" s="1025"/>
      <c r="BO5376" s="43"/>
    </row>
    <row r="5377" spans="65:67" ht="18.75" customHeight="1">
      <c r="BM5377" s="1025"/>
      <c r="BO5377" s="43"/>
    </row>
    <row r="5378" spans="65:67" ht="18.75" customHeight="1">
      <c r="BM5378" s="1025"/>
      <c r="BO5378" s="43"/>
    </row>
    <row r="5379" spans="65:67" ht="18.75" customHeight="1">
      <c r="BM5379" s="1025"/>
      <c r="BO5379" s="43"/>
    </row>
    <row r="5380" spans="65:67" ht="18.75" customHeight="1">
      <c r="BM5380" s="1025"/>
      <c r="BO5380" s="43"/>
    </row>
    <row r="5381" spans="65:67" ht="18.75" customHeight="1">
      <c r="BM5381" s="1025"/>
      <c r="BO5381" s="43"/>
    </row>
    <row r="5382" spans="65:67" ht="18.75" customHeight="1">
      <c r="BM5382" s="1025"/>
      <c r="BO5382" s="43"/>
    </row>
    <row r="5383" spans="65:67" ht="18.75" customHeight="1">
      <c r="BM5383" s="1025"/>
      <c r="BO5383" s="43"/>
    </row>
    <row r="5384" spans="65:67" ht="18.75" customHeight="1">
      <c r="BM5384" s="1025"/>
      <c r="BO5384" s="43"/>
    </row>
    <row r="5385" spans="65:67" ht="18.75" customHeight="1">
      <c r="BM5385" s="1025"/>
      <c r="BO5385" s="43"/>
    </row>
    <row r="5386" spans="65:67" ht="18.75" customHeight="1">
      <c r="BM5386" s="1025"/>
      <c r="BO5386" s="43"/>
    </row>
    <row r="5387" spans="65:67" ht="18.75" customHeight="1">
      <c r="BM5387" s="1025"/>
      <c r="BO5387" s="43"/>
    </row>
    <row r="5388" spans="65:67" ht="18.75" customHeight="1">
      <c r="BM5388" s="1025"/>
      <c r="BO5388" s="43"/>
    </row>
    <row r="5389" spans="65:67" ht="18.75" customHeight="1">
      <c r="BM5389" s="1025"/>
      <c r="BO5389" s="43"/>
    </row>
    <row r="5390" spans="65:67" ht="18.75" customHeight="1">
      <c r="BM5390" s="1025"/>
      <c r="BO5390" s="43"/>
    </row>
    <row r="5391" spans="65:67" ht="18.75" customHeight="1">
      <c r="BM5391" s="1025"/>
      <c r="BO5391" s="43"/>
    </row>
    <row r="5392" spans="65:67" ht="18.75" customHeight="1">
      <c r="BM5392" s="1025"/>
      <c r="BO5392" s="43"/>
    </row>
    <row r="5393" spans="65:67" ht="18.75" customHeight="1">
      <c r="BM5393" s="1025"/>
      <c r="BO5393" s="43"/>
    </row>
    <row r="5394" spans="65:67" ht="18.75" customHeight="1">
      <c r="BM5394" s="1025"/>
      <c r="BO5394" s="43"/>
    </row>
    <row r="5395" spans="65:67" ht="18.75" customHeight="1">
      <c r="BM5395" s="1025"/>
      <c r="BO5395" s="43"/>
    </row>
    <row r="5396" spans="65:67" ht="18.75" customHeight="1">
      <c r="BM5396" s="1025"/>
      <c r="BO5396" s="43"/>
    </row>
    <row r="5397" spans="65:67" ht="18.75" customHeight="1">
      <c r="BM5397" s="1025"/>
      <c r="BO5397" s="43"/>
    </row>
    <row r="5398" spans="65:67" ht="18.75" customHeight="1">
      <c r="BM5398" s="1025"/>
      <c r="BO5398" s="43"/>
    </row>
    <row r="5399" spans="65:67" ht="18.75" customHeight="1">
      <c r="BM5399" s="1025"/>
      <c r="BO5399" s="43"/>
    </row>
    <row r="5400" spans="65:67" ht="18.75" customHeight="1">
      <c r="BM5400" s="1025"/>
      <c r="BO5400" s="43"/>
    </row>
    <row r="5401" spans="65:67" ht="18.75" customHeight="1">
      <c r="BM5401" s="1025"/>
      <c r="BO5401" s="43"/>
    </row>
    <row r="5402" spans="65:67" ht="18.75" customHeight="1">
      <c r="BM5402" s="1025"/>
      <c r="BO5402" s="43"/>
    </row>
    <row r="5403" spans="65:67" ht="18.75" customHeight="1">
      <c r="BM5403" s="1025"/>
      <c r="BO5403" s="43"/>
    </row>
    <row r="5404" spans="65:67" ht="18.75" customHeight="1">
      <c r="BM5404" s="1025"/>
      <c r="BO5404" s="43"/>
    </row>
    <row r="5405" spans="65:67" ht="18.75" customHeight="1">
      <c r="BM5405" s="1025"/>
      <c r="BO5405" s="43"/>
    </row>
    <row r="5406" spans="65:67" ht="18.75" customHeight="1">
      <c r="BM5406" s="1025"/>
      <c r="BO5406" s="43"/>
    </row>
    <row r="5407" spans="65:67" ht="18.75" customHeight="1">
      <c r="BM5407" s="1025"/>
      <c r="BO5407" s="43"/>
    </row>
    <row r="5408" spans="65:67" ht="18.75" customHeight="1">
      <c r="BM5408" s="1025"/>
      <c r="BO5408" s="43"/>
    </row>
    <row r="5409" spans="65:67" ht="18.75" customHeight="1">
      <c r="BM5409" s="1025"/>
      <c r="BO5409" s="43"/>
    </row>
    <row r="5410" spans="65:67" ht="18.75" customHeight="1">
      <c r="BM5410" s="1025"/>
      <c r="BO5410" s="43"/>
    </row>
    <row r="5411" spans="65:67" ht="18.75" customHeight="1">
      <c r="BM5411" s="1025"/>
      <c r="BO5411" s="43"/>
    </row>
    <row r="5412" spans="65:67" ht="18.75" customHeight="1">
      <c r="BM5412" s="1025"/>
      <c r="BO5412" s="43"/>
    </row>
    <row r="5413" spans="65:67" ht="18.75" customHeight="1">
      <c r="BM5413" s="1025"/>
      <c r="BO5413" s="43"/>
    </row>
    <row r="5414" spans="65:67" ht="18.75" customHeight="1">
      <c r="BM5414" s="1025"/>
      <c r="BO5414" s="43"/>
    </row>
    <row r="5415" spans="65:67" ht="18.75" customHeight="1">
      <c r="BM5415" s="1025"/>
      <c r="BO5415" s="43"/>
    </row>
    <row r="5416" spans="65:67" ht="18.75" customHeight="1">
      <c r="BM5416" s="1025"/>
      <c r="BO5416" s="43"/>
    </row>
    <row r="5417" spans="65:67" ht="18.75" customHeight="1">
      <c r="BM5417" s="1025"/>
      <c r="BO5417" s="43"/>
    </row>
    <row r="5418" spans="65:67" ht="18.75" customHeight="1">
      <c r="BM5418" s="1025"/>
      <c r="BO5418" s="43"/>
    </row>
    <row r="5419" spans="65:67" ht="18.75" customHeight="1">
      <c r="BM5419" s="1025"/>
      <c r="BO5419" s="43"/>
    </row>
    <row r="5420" spans="65:67" ht="18.75" customHeight="1">
      <c r="BM5420" s="1025"/>
      <c r="BO5420" s="43"/>
    </row>
    <row r="5421" spans="65:67" ht="18.75" customHeight="1">
      <c r="BM5421" s="1025"/>
      <c r="BO5421" s="43"/>
    </row>
    <row r="5422" spans="65:67" ht="18.75" customHeight="1">
      <c r="BM5422" s="1025"/>
      <c r="BO5422" s="43"/>
    </row>
    <row r="5423" spans="65:67" ht="18.75" customHeight="1">
      <c r="BM5423" s="1025"/>
      <c r="BO5423" s="43"/>
    </row>
    <row r="5424" spans="65:67" ht="18.75" customHeight="1">
      <c r="BM5424" s="1025"/>
      <c r="BO5424" s="43"/>
    </row>
    <row r="5425" spans="65:67" ht="18.75" customHeight="1">
      <c r="BM5425" s="1025"/>
      <c r="BO5425" s="43"/>
    </row>
    <row r="5426" spans="65:67" ht="18.75" customHeight="1">
      <c r="BM5426" s="1025"/>
      <c r="BO5426" s="43"/>
    </row>
    <row r="5427" spans="65:67" ht="18.75" customHeight="1">
      <c r="BM5427" s="1025"/>
      <c r="BO5427" s="43"/>
    </row>
    <row r="5428" spans="65:67" ht="18.75" customHeight="1">
      <c r="BM5428" s="1025"/>
      <c r="BO5428" s="43"/>
    </row>
    <row r="5429" spans="65:67" ht="18.75" customHeight="1">
      <c r="BM5429" s="1025"/>
      <c r="BO5429" s="43"/>
    </row>
    <row r="5430" spans="65:67" ht="18.75" customHeight="1">
      <c r="BM5430" s="1025"/>
      <c r="BO5430" s="43"/>
    </row>
    <row r="5431" spans="65:67" ht="18.75" customHeight="1">
      <c r="BM5431" s="1025"/>
      <c r="BO5431" s="43"/>
    </row>
    <row r="5432" spans="65:67" ht="18.75" customHeight="1">
      <c r="BM5432" s="1025"/>
      <c r="BO5432" s="43"/>
    </row>
    <row r="5433" spans="65:67" ht="18.75" customHeight="1">
      <c r="BM5433" s="1025"/>
      <c r="BO5433" s="43"/>
    </row>
    <row r="5434" spans="65:67" ht="18.75" customHeight="1">
      <c r="BM5434" s="1025"/>
      <c r="BO5434" s="43"/>
    </row>
    <row r="5435" spans="65:67" ht="18.75" customHeight="1">
      <c r="BM5435" s="1025"/>
      <c r="BO5435" s="43"/>
    </row>
    <row r="5436" spans="65:67" ht="18.75" customHeight="1">
      <c r="BM5436" s="1025"/>
      <c r="BO5436" s="43"/>
    </row>
    <row r="5437" spans="65:67" ht="18.75" customHeight="1">
      <c r="BM5437" s="1025"/>
      <c r="BO5437" s="43"/>
    </row>
    <row r="5438" spans="65:67" ht="18.75" customHeight="1">
      <c r="BM5438" s="1025"/>
      <c r="BO5438" s="43"/>
    </row>
    <row r="5439" spans="65:67" ht="18.75" customHeight="1">
      <c r="BM5439" s="1025"/>
      <c r="BO5439" s="43"/>
    </row>
    <row r="5440" spans="65:67" ht="18.75" customHeight="1">
      <c r="BM5440" s="1025"/>
      <c r="BO5440" s="43"/>
    </row>
    <row r="5441" spans="65:67" ht="18.75" customHeight="1">
      <c r="BM5441" s="1025"/>
      <c r="BO5441" s="43"/>
    </row>
    <row r="5442" spans="65:67" ht="18.75" customHeight="1">
      <c r="BM5442" s="1025"/>
      <c r="BO5442" s="43"/>
    </row>
    <row r="5443" spans="65:67" ht="18.75" customHeight="1">
      <c r="BM5443" s="1025"/>
      <c r="BO5443" s="43"/>
    </row>
    <row r="5444" spans="65:67" ht="18.75" customHeight="1">
      <c r="BM5444" s="1025"/>
      <c r="BO5444" s="43"/>
    </row>
    <row r="5445" spans="65:67" ht="18.75" customHeight="1">
      <c r="BM5445" s="1025"/>
      <c r="BO5445" s="43"/>
    </row>
    <row r="5446" spans="65:67" ht="18.75" customHeight="1">
      <c r="BM5446" s="1025"/>
      <c r="BO5446" s="43"/>
    </row>
    <row r="5447" spans="65:67" ht="18.75" customHeight="1">
      <c r="BM5447" s="1025"/>
      <c r="BO5447" s="43"/>
    </row>
    <row r="5448" spans="65:67" ht="18.75" customHeight="1">
      <c r="BM5448" s="1025"/>
      <c r="BO5448" s="43"/>
    </row>
    <row r="5449" spans="65:67" ht="18.75" customHeight="1">
      <c r="BM5449" s="1025"/>
      <c r="BO5449" s="43"/>
    </row>
    <row r="5450" spans="65:67" ht="18.75" customHeight="1">
      <c r="BM5450" s="1025"/>
      <c r="BO5450" s="43"/>
    </row>
    <row r="5451" spans="65:67" ht="18.75" customHeight="1">
      <c r="BM5451" s="1025"/>
      <c r="BO5451" s="43"/>
    </row>
    <row r="5452" spans="65:67" ht="18.75" customHeight="1">
      <c r="BM5452" s="1025"/>
      <c r="BO5452" s="43"/>
    </row>
    <row r="5453" spans="65:67" ht="18.75" customHeight="1">
      <c r="BM5453" s="1025"/>
      <c r="BO5453" s="43"/>
    </row>
    <row r="5454" spans="65:67" ht="18.75" customHeight="1">
      <c r="BM5454" s="1025"/>
      <c r="BO5454" s="43"/>
    </row>
    <row r="5455" spans="65:67" ht="18.75" customHeight="1">
      <c r="BM5455" s="1025"/>
      <c r="BO5455" s="43"/>
    </row>
    <row r="5456" spans="65:67" ht="18.75" customHeight="1">
      <c r="BM5456" s="1025"/>
      <c r="BO5456" s="43"/>
    </row>
    <row r="5457" spans="65:67" ht="18.75" customHeight="1">
      <c r="BM5457" s="1025"/>
      <c r="BO5457" s="43"/>
    </row>
    <row r="5458" spans="65:67" ht="18.75" customHeight="1">
      <c r="BM5458" s="1025"/>
      <c r="BO5458" s="43"/>
    </row>
    <row r="5459" spans="65:67" ht="18.75" customHeight="1">
      <c r="BM5459" s="1025"/>
      <c r="BO5459" s="43"/>
    </row>
    <row r="5460" spans="65:67" ht="18.75" customHeight="1">
      <c r="BM5460" s="1025"/>
      <c r="BO5460" s="43"/>
    </row>
    <row r="5461" spans="65:67" ht="18.75" customHeight="1">
      <c r="BM5461" s="1025"/>
      <c r="BO5461" s="43"/>
    </row>
    <row r="5462" spans="65:67" ht="18.75" customHeight="1">
      <c r="BM5462" s="1025"/>
      <c r="BO5462" s="43"/>
    </row>
    <row r="5463" spans="65:67" ht="18.75" customHeight="1">
      <c r="BM5463" s="1025"/>
      <c r="BO5463" s="43"/>
    </row>
    <row r="5464" spans="65:67" ht="18.75" customHeight="1">
      <c r="BM5464" s="1025"/>
      <c r="BO5464" s="43"/>
    </row>
    <row r="5465" spans="65:67" ht="18.75" customHeight="1">
      <c r="BM5465" s="1025"/>
      <c r="BO5465" s="43"/>
    </row>
    <row r="5466" spans="65:67" ht="18.75" customHeight="1">
      <c r="BM5466" s="1025"/>
      <c r="BO5466" s="43"/>
    </row>
    <row r="5467" spans="65:67" ht="18.75" customHeight="1">
      <c r="BM5467" s="1025"/>
      <c r="BO5467" s="43"/>
    </row>
    <row r="5468" spans="65:67" ht="18.75" customHeight="1">
      <c r="BM5468" s="1025"/>
      <c r="BO5468" s="43"/>
    </row>
    <row r="5469" spans="65:67" ht="18.75" customHeight="1">
      <c r="BM5469" s="1025"/>
      <c r="BO5469" s="43"/>
    </row>
    <row r="5470" spans="65:67" ht="18.75" customHeight="1">
      <c r="BM5470" s="1025"/>
      <c r="BO5470" s="43"/>
    </row>
    <row r="5471" spans="65:67" ht="18.75" customHeight="1">
      <c r="BM5471" s="1025"/>
      <c r="BO5471" s="43"/>
    </row>
    <row r="5472" spans="65:67" ht="18.75" customHeight="1">
      <c r="BM5472" s="1025"/>
      <c r="BO5472" s="43"/>
    </row>
    <row r="5473" spans="65:67" ht="18.75" customHeight="1">
      <c r="BM5473" s="1025"/>
      <c r="BO5473" s="43"/>
    </row>
    <row r="5474" spans="65:67" ht="18.75" customHeight="1">
      <c r="BM5474" s="1025"/>
      <c r="BO5474" s="43"/>
    </row>
    <row r="5475" spans="65:67" ht="18.75" customHeight="1">
      <c r="BM5475" s="1025"/>
      <c r="BO5475" s="43"/>
    </row>
    <row r="5476" spans="65:67" ht="18.75" customHeight="1">
      <c r="BM5476" s="1025"/>
      <c r="BO5476" s="43"/>
    </row>
    <row r="5477" spans="65:67" ht="18.75" customHeight="1">
      <c r="BM5477" s="1025"/>
      <c r="BO5477" s="43"/>
    </row>
    <row r="5478" spans="65:67" ht="18.75" customHeight="1">
      <c r="BM5478" s="1025"/>
      <c r="BO5478" s="43"/>
    </row>
    <row r="5479" spans="65:67" ht="18.75" customHeight="1">
      <c r="BM5479" s="1025"/>
      <c r="BO5479" s="43"/>
    </row>
    <row r="5480" spans="65:67" ht="18.75" customHeight="1">
      <c r="BM5480" s="1025"/>
      <c r="BO5480" s="43"/>
    </row>
    <row r="5481" spans="65:67" ht="18.75" customHeight="1">
      <c r="BM5481" s="1025"/>
      <c r="BO5481" s="43"/>
    </row>
    <row r="5482" spans="65:67" ht="18.75" customHeight="1">
      <c r="BM5482" s="1025"/>
      <c r="BO5482" s="43"/>
    </row>
    <row r="5483" spans="65:67" ht="18.75" customHeight="1">
      <c r="BM5483" s="1025"/>
      <c r="BO5483" s="43"/>
    </row>
    <row r="5484" spans="65:67" ht="18.75" customHeight="1">
      <c r="BM5484" s="1025"/>
      <c r="BO5484" s="43"/>
    </row>
    <row r="5485" spans="65:67" ht="18.75" customHeight="1">
      <c r="BM5485" s="1025"/>
      <c r="BO5485" s="43"/>
    </row>
    <row r="5486" spans="65:67" ht="18.75" customHeight="1">
      <c r="BM5486" s="1025"/>
      <c r="BO5486" s="43"/>
    </row>
    <row r="5487" spans="65:67" ht="18.75" customHeight="1">
      <c r="BM5487" s="1025"/>
      <c r="BO5487" s="43"/>
    </row>
    <row r="5488" spans="65:67" ht="18.75" customHeight="1">
      <c r="BM5488" s="1025"/>
      <c r="BO5488" s="43"/>
    </row>
    <row r="5489" spans="65:67" ht="18.75" customHeight="1">
      <c r="BM5489" s="1025"/>
      <c r="BO5489" s="43"/>
    </row>
    <row r="5490" spans="65:67" ht="18.75" customHeight="1">
      <c r="BM5490" s="1025"/>
      <c r="BO5490" s="43"/>
    </row>
    <row r="5491" spans="65:67" ht="18.75" customHeight="1">
      <c r="BM5491" s="1025"/>
      <c r="BO5491" s="43"/>
    </row>
    <row r="5492" spans="65:67" ht="18.75" customHeight="1">
      <c r="BM5492" s="1025"/>
      <c r="BO5492" s="43"/>
    </row>
    <row r="5493" spans="65:67" ht="18.75" customHeight="1">
      <c r="BM5493" s="1025"/>
      <c r="BO5493" s="43"/>
    </row>
    <row r="5494" spans="65:67" ht="18.75" customHeight="1">
      <c r="BM5494" s="1025"/>
      <c r="BO5494" s="43"/>
    </row>
    <row r="5495" spans="65:67" ht="18.75" customHeight="1">
      <c r="BM5495" s="1025"/>
      <c r="BO5495" s="43"/>
    </row>
    <row r="5496" spans="65:67" ht="18.75" customHeight="1">
      <c r="BM5496" s="1025"/>
      <c r="BO5496" s="43"/>
    </row>
    <row r="5497" spans="65:67" ht="18.75" customHeight="1">
      <c r="BM5497" s="1025"/>
      <c r="BO5497" s="43"/>
    </row>
    <row r="5498" spans="65:67" ht="18.75" customHeight="1">
      <c r="BM5498" s="1025"/>
      <c r="BO5498" s="43"/>
    </row>
    <row r="5499" spans="65:67" ht="18.75" customHeight="1">
      <c r="BM5499" s="1025"/>
      <c r="BO5499" s="43"/>
    </row>
    <row r="5500" spans="65:67" ht="18.75" customHeight="1">
      <c r="BM5500" s="1025"/>
      <c r="BO5500" s="43"/>
    </row>
    <row r="5501" spans="65:67" ht="18.75" customHeight="1">
      <c r="BM5501" s="1025"/>
      <c r="BO5501" s="43"/>
    </row>
    <row r="5502" spans="65:67" ht="18.75" customHeight="1">
      <c r="BM5502" s="1025"/>
      <c r="BO5502" s="43"/>
    </row>
    <row r="5503" spans="65:67" ht="18.75" customHeight="1">
      <c r="BM5503" s="1025"/>
      <c r="BO5503" s="43"/>
    </row>
    <row r="5504" spans="65:67" ht="18.75" customHeight="1">
      <c r="BM5504" s="1025"/>
      <c r="BO5504" s="43"/>
    </row>
    <row r="5505" spans="65:67" ht="18.75" customHeight="1">
      <c r="BM5505" s="1025"/>
      <c r="BO5505" s="43"/>
    </row>
    <row r="5506" spans="65:67" ht="18.75" customHeight="1">
      <c r="BM5506" s="1025"/>
      <c r="BO5506" s="43"/>
    </row>
    <row r="5507" spans="65:67" ht="18.75" customHeight="1">
      <c r="BM5507" s="1025"/>
      <c r="BO5507" s="43"/>
    </row>
    <row r="5508" spans="65:67" ht="18.75" customHeight="1">
      <c r="BM5508" s="1025"/>
      <c r="BO5508" s="43"/>
    </row>
    <row r="5509" spans="65:67" ht="18.75" customHeight="1">
      <c r="BM5509" s="1025"/>
      <c r="BO5509" s="43"/>
    </row>
    <row r="5510" spans="65:67" ht="18.75" customHeight="1">
      <c r="BM5510" s="1025"/>
      <c r="BO5510" s="43"/>
    </row>
    <row r="5511" spans="65:67" ht="18.75" customHeight="1">
      <c r="BM5511" s="1025"/>
      <c r="BO5511" s="43"/>
    </row>
    <row r="5512" spans="65:67" ht="18.75" customHeight="1">
      <c r="BM5512" s="1025"/>
      <c r="BO5512" s="43"/>
    </row>
    <row r="5513" spans="65:67" ht="18.75" customHeight="1">
      <c r="BM5513" s="1025"/>
      <c r="BO5513" s="43"/>
    </row>
    <row r="5514" spans="65:67" ht="18.75" customHeight="1">
      <c r="BM5514" s="1025"/>
      <c r="BO5514" s="43"/>
    </row>
    <row r="5515" spans="65:67" ht="18.75" customHeight="1">
      <c r="BM5515" s="1025"/>
      <c r="BO5515" s="43"/>
    </row>
    <row r="5516" spans="65:67" ht="18.75" customHeight="1">
      <c r="BM5516" s="1025"/>
      <c r="BO5516" s="43"/>
    </row>
    <row r="5517" spans="65:67" ht="18.75" customHeight="1">
      <c r="BM5517" s="1025"/>
      <c r="BO5517" s="43"/>
    </row>
    <row r="5518" spans="65:67" ht="18.75" customHeight="1">
      <c r="BM5518" s="1025"/>
      <c r="BO5518" s="43"/>
    </row>
    <row r="5519" spans="65:67" ht="18.75" customHeight="1">
      <c r="BM5519" s="1025"/>
      <c r="BO5519" s="43"/>
    </row>
    <row r="5520" spans="65:67" ht="18.75" customHeight="1">
      <c r="BM5520" s="1025"/>
      <c r="BO5520" s="43"/>
    </row>
    <row r="5521" spans="65:67" ht="18.75" customHeight="1">
      <c r="BM5521" s="1025"/>
      <c r="BO5521" s="43"/>
    </row>
    <row r="5522" spans="65:67" ht="18.75" customHeight="1">
      <c r="BM5522" s="1025"/>
      <c r="BO5522" s="43"/>
    </row>
    <row r="5523" spans="65:67" ht="18.75" customHeight="1">
      <c r="BM5523" s="1025"/>
      <c r="BO5523" s="43"/>
    </row>
    <row r="5524" spans="65:67" ht="18.75" customHeight="1">
      <c r="BM5524" s="1025"/>
      <c r="BO5524" s="43"/>
    </row>
    <row r="5525" spans="65:67" ht="18.75" customHeight="1">
      <c r="BM5525" s="1025"/>
      <c r="BO5525" s="43"/>
    </row>
    <row r="5526" spans="65:67" ht="18.75" customHeight="1">
      <c r="BM5526" s="1025"/>
      <c r="BO5526" s="43"/>
    </row>
    <row r="5527" spans="65:67" ht="18.75" customHeight="1">
      <c r="BM5527" s="1025"/>
      <c r="BO5527" s="43"/>
    </row>
    <row r="5528" spans="65:67" ht="18.75" customHeight="1">
      <c r="BM5528" s="1025"/>
      <c r="BO5528" s="43"/>
    </row>
    <row r="5529" spans="65:67" ht="18.75" customHeight="1">
      <c r="BM5529" s="1025"/>
      <c r="BO5529" s="43"/>
    </row>
    <row r="5530" spans="65:67" ht="18.75" customHeight="1">
      <c r="BM5530" s="1025"/>
      <c r="BO5530" s="43"/>
    </row>
    <row r="5531" spans="65:67" ht="18.75" customHeight="1">
      <c r="BM5531" s="1025"/>
      <c r="BO5531" s="43"/>
    </row>
    <row r="5532" spans="65:67" ht="18.75" customHeight="1">
      <c r="BM5532" s="1025"/>
      <c r="BO5532" s="43"/>
    </row>
    <row r="5533" spans="65:67" ht="18.75" customHeight="1">
      <c r="BM5533" s="1025"/>
      <c r="BO5533" s="43"/>
    </row>
    <row r="5534" spans="65:67" ht="18.75" customHeight="1">
      <c r="BM5534" s="1025"/>
      <c r="BO5534" s="43"/>
    </row>
    <row r="5535" spans="65:67" ht="18.75" customHeight="1">
      <c r="BM5535" s="1025"/>
      <c r="BO5535" s="43"/>
    </row>
    <row r="5536" spans="65:67" ht="18.75" customHeight="1">
      <c r="BM5536" s="1025"/>
      <c r="BO5536" s="43"/>
    </row>
    <row r="5537" spans="65:67" ht="18.75" customHeight="1">
      <c r="BM5537" s="1025"/>
      <c r="BO5537" s="43"/>
    </row>
    <row r="5538" spans="65:67" ht="18.75" customHeight="1">
      <c r="BM5538" s="1025"/>
      <c r="BO5538" s="43"/>
    </row>
    <row r="5539" spans="65:67" ht="18.75" customHeight="1">
      <c r="BM5539" s="1025"/>
      <c r="BO5539" s="43"/>
    </row>
    <row r="5540" spans="65:67" ht="18.75" customHeight="1">
      <c r="BM5540" s="1025"/>
      <c r="BO5540" s="43"/>
    </row>
    <row r="5541" spans="65:67" ht="18.75" customHeight="1">
      <c r="BM5541" s="1025"/>
      <c r="BO5541" s="43"/>
    </row>
    <row r="5542" spans="65:67" ht="18.75" customHeight="1">
      <c r="BM5542" s="1025"/>
      <c r="BO5542" s="43"/>
    </row>
    <row r="5543" spans="65:67" ht="18.75" customHeight="1">
      <c r="BM5543" s="1025"/>
      <c r="BO5543" s="43"/>
    </row>
    <row r="5544" spans="65:67" ht="18.75" customHeight="1">
      <c r="BM5544" s="1025"/>
      <c r="BO5544" s="43"/>
    </row>
    <row r="5545" spans="65:67" ht="18.75" customHeight="1">
      <c r="BM5545" s="1025"/>
      <c r="BO5545" s="43"/>
    </row>
    <row r="5546" spans="65:67" ht="18.75" customHeight="1">
      <c r="BM5546" s="1025"/>
      <c r="BO5546" s="43"/>
    </row>
    <row r="5547" spans="65:67" ht="18.75" customHeight="1">
      <c r="BM5547" s="1025"/>
      <c r="BO5547" s="43"/>
    </row>
    <row r="5548" spans="65:67" ht="18.75" customHeight="1">
      <c r="BM5548" s="1025"/>
      <c r="BO5548" s="43"/>
    </row>
    <row r="5549" spans="65:67" ht="18.75" customHeight="1">
      <c r="BM5549" s="1025"/>
      <c r="BO5549" s="43"/>
    </row>
    <row r="5550" spans="65:67" ht="18.75" customHeight="1">
      <c r="BM5550" s="1025"/>
      <c r="BO5550" s="43"/>
    </row>
    <row r="5551" spans="65:67" ht="18.75" customHeight="1">
      <c r="BM5551" s="1025"/>
      <c r="BO5551" s="43"/>
    </row>
    <row r="5552" spans="65:67" ht="18.75" customHeight="1">
      <c r="BM5552" s="1025"/>
      <c r="BO5552" s="43"/>
    </row>
    <row r="5553" spans="65:67" ht="18.75" customHeight="1">
      <c r="BM5553" s="1025"/>
      <c r="BO5553" s="43"/>
    </row>
    <row r="5554" spans="65:67" ht="18.75" customHeight="1">
      <c r="BM5554" s="1025"/>
      <c r="BO5554" s="43"/>
    </row>
    <row r="5555" spans="65:67" ht="18.75" customHeight="1">
      <c r="BM5555" s="1025"/>
      <c r="BO5555" s="43"/>
    </row>
    <row r="5556" spans="65:67" ht="18.75" customHeight="1">
      <c r="BM5556" s="1025"/>
      <c r="BO5556" s="43"/>
    </row>
    <row r="5557" spans="65:67" ht="18.75" customHeight="1">
      <c r="BM5557" s="1025"/>
      <c r="BO5557" s="43"/>
    </row>
    <row r="5558" spans="65:67" ht="18.75" customHeight="1">
      <c r="BM5558" s="1025"/>
      <c r="BO5558" s="43"/>
    </row>
    <row r="5559" spans="65:67" ht="18.75" customHeight="1">
      <c r="BM5559" s="1025"/>
      <c r="BO5559" s="43"/>
    </row>
    <row r="5560" spans="65:67" ht="18.75" customHeight="1">
      <c r="BM5560" s="1025"/>
      <c r="BO5560" s="43"/>
    </row>
    <row r="5561" spans="65:67" ht="18.75" customHeight="1">
      <c r="BM5561" s="1025"/>
      <c r="BO5561" s="43"/>
    </row>
    <row r="5562" spans="65:67" ht="18.75" customHeight="1">
      <c r="BM5562" s="1025"/>
      <c r="BO5562" s="43"/>
    </row>
    <row r="5563" spans="65:67" ht="18.75" customHeight="1">
      <c r="BM5563" s="1025"/>
      <c r="BO5563" s="43"/>
    </row>
    <row r="5564" spans="65:67" ht="18.75" customHeight="1">
      <c r="BM5564" s="1025"/>
      <c r="BO5564" s="43"/>
    </row>
    <row r="5565" spans="65:67" ht="18.75" customHeight="1">
      <c r="BM5565" s="1025"/>
      <c r="BO5565" s="43"/>
    </row>
    <row r="5566" spans="65:67" ht="18.75" customHeight="1">
      <c r="BM5566" s="1025"/>
      <c r="BO5566" s="43"/>
    </row>
    <row r="5567" spans="65:67" ht="18.75" customHeight="1">
      <c r="BM5567" s="1025"/>
      <c r="BO5567" s="43"/>
    </row>
    <row r="5568" spans="65:67" ht="18.75" customHeight="1">
      <c r="BM5568" s="1025"/>
      <c r="BO5568" s="43"/>
    </row>
    <row r="5569" spans="65:67" ht="18.75" customHeight="1">
      <c r="BM5569" s="1025"/>
      <c r="BO5569" s="43"/>
    </row>
    <row r="5570" spans="65:67" ht="18.75" customHeight="1">
      <c r="BM5570" s="1025"/>
      <c r="BO5570" s="43"/>
    </row>
    <row r="5571" spans="65:67" ht="18.75" customHeight="1">
      <c r="BM5571" s="1025"/>
      <c r="BO5571" s="43"/>
    </row>
    <row r="5572" spans="65:67" ht="18.75" customHeight="1">
      <c r="BM5572" s="1025"/>
      <c r="BO5572" s="43"/>
    </row>
    <row r="5573" spans="65:67" ht="18.75" customHeight="1">
      <c r="BM5573" s="1025"/>
      <c r="BO5573" s="43"/>
    </row>
    <row r="5574" spans="65:67" ht="18.75" customHeight="1">
      <c r="BM5574" s="1025"/>
      <c r="BO5574" s="43"/>
    </row>
    <row r="5575" spans="65:67" ht="18.75" customHeight="1">
      <c r="BM5575" s="1025"/>
      <c r="BO5575" s="43"/>
    </row>
    <row r="5576" spans="65:67" ht="18.75" customHeight="1">
      <c r="BM5576" s="1025"/>
      <c r="BO5576" s="43"/>
    </row>
    <row r="5577" spans="65:67" ht="18.75" customHeight="1">
      <c r="BM5577" s="1025"/>
      <c r="BO5577" s="43"/>
    </row>
    <row r="5578" spans="65:67" ht="18.75" customHeight="1">
      <c r="BM5578" s="1025"/>
      <c r="BO5578" s="43"/>
    </row>
    <row r="5579" spans="65:67" ht="18.75" customHeight="1">
      <c r="BM5579" s="1025"/>
      <c r="BO5579" s="43"/>
    </row>
    <row r="5580" spans="65:67" ht="18.75" customHeight="1">
      <c r="BM5580" s="1025"/>
      <c r="BO5580" s="43"/>
    </row>
    <row r="5581" spans="65:67" ht="18.75" customHeight="1">
      <c r="BM5581" s="1025"/>
      <c r="BO5581" s="43"/>
    </row>
    <row r="5582" spans="65:67" ht="18.75" customHeight="1">
      <c r="BM5582" s="1025"/>
      <c r="BO5582" s="43"/>
    </row>
    <row r="5583" spans="65:67" ht="18.75" customHeight="1">
      <c r="BM5583" s="1025"/>
      <c r="BO5583" s="43"/>
    </row>
    <row r="5584" spans="65:67" ht="18.75" customHeight="1">
      <c r="BM5584" s="1025"/>
      <c r="BO5584" s="43"/>
    </row>
    <row r="5585" spans="65:67" ht="18.75" customHeight="1">
      <c r="BM5585" s="1025"/>
      <c r="BO5585" s="43"/>
    </row>
    <row r="5586" spans="65:67" ht="18.75" customHeight="1">
      <c r="BM5586" s="1025"/>
      <c r="BO5586" s="43"/>
    </row>
    <row r="5587" spans="65:67" ht="18.75" customHeight="1">
      <c r="BM5587" s="1025"/>
      <c r="BO5587" s="43"/>
    </row>
    <row r="5588" spans="65:67" ht="18.75" customHeight="1">
      <c r="BM5588" s="1025"/>
      <c r="BO5588" s="43"/>
    </row>
    <row r="5589" spans="65:67" ht="18.75" customHeight="1">
      <c r="BM5589" s="1025"/>
      <c r="BO5589" s="43"/>
    </row>
    <row r="5590" spans="65:67" ht="18.75" customHeight="1">
      <c r="BM5590" s="1025"/>
      <c r="BO5590" s="43"/>
    </row>
    <row r="5591" spans="65:67" ht="18.75" customHeight="1">
      <c r="BM5591" s="1025"/>
      <c r="BO5591" s="43"/>
    </row>
    <row r="5592" spans="65:67" ht="18.75" customHeight="1">
      <c r="BM5592" s="1025"/>
      <c r="BO5592" s="43"/>
    </row>
    <row r="5593" spans="65:67" ht="18.75" customHeight="1">
      <c r="BM5593" s="1025"/>
      <c r="BO5593" s="43"/>
    </row>
    <row r="5594" spans="65:67" ht="18.75" customHeight="1">
      <c r="BM5594" s="1025"/>
      <c r="BO5594" s="43"/>
    </row>
    <row r="5595" spans="65:67" ht="18.75" customHeight="1">
      <c r="BM5595" s="1025"/>
      <c r="BO5595" s="43"/>
    </row>
    <row r="5596" spans="65:67" ht="18.75" customHeight="1">
      <c r="BM5596" s="1025"/>
      <c r="BO5596" s="43"/>
    </row>
    <row r="5597" spans="65:67" ht="18.75" customHeight="1">
      <c r="BM5597" s="1025"/>
      <c r="BO5597" s="43"/>
    </row>
    <row r="5598" spans="65:67" ht="18.75" customHeight="1">
      <c r="BM5598" s="1025"/>
      <c r="BO5598" s="43"/>
    </row>
    <row r="5599" spans="65:67" ht="18.75" customHeight="1">
      <c r="BM5599" s="1025"/>
      <c r="BO5599" s="43"/>
    </row>
    <row r="5600" spans="65:67" ht="18.75" customHeight="1">
      <c r="BM5600" s="1025"/>
      <c r="BO5600" s="43"/>
    </row>
    <row r="5601" spans="65:67" ht="18.75" customHeight="1">
      <c r="BM5601" s="1025"/>
      <c r="BO5601" s="43"/>
    </row>
    <row r="5602" spans="65:67" ht="18.75" customHeight="1">
      <c r="BM5602" s="1025"/>
      <c r="BO5602" s="43"/>
    </row>
    <row r="5603" spans="65:67" ht="18.75" customHeight="1">
      <c r="BM5603" s="1025"/>
      <c r="BO5603" s="43"/>
    </row>
    <row r="5604" spans="65:67" ht="18.75" customHeight="1">
      <c r="BM5604" s="1025"/>
      <c r="BO5604" s="43"/>
    </row>
    <row r="5605" spans="65:67" ht="18.75" customHeight="1">
      <c r="BM5605" s="1025"/>
      <c r="BO5605" s="43"/>
    </row>
    <row r="5606" spans="65:67" ht="18.75" customHeight="1">
      <c r="BM5606" s="1025"/>
      <c r="BO5606" s="43"/>
    </row>
    <row r="5607" spans="65:67" ht="18.75" customHeight="1">
      <c r="BM5607" s="1025"/>
      <c r="BO5607" s="43"/>
    </row>
    <row r="5608" spans="65:67" ht="18.75" customHeight="1">
      <c r="BM5608" s="1025"/>
      <c r="BO5608" s="43"/>
    </row>
    <row r="5609" spans="65:67" ht="18.75" customHeight="1">
      <c r="BM5609" s="1025"/>
      <c r="BO5609" s="43"/>
    </row>
    <row r="5610" spans="65:67" ht="18.75" customHeight="1">
      <c r="BM5610" s="1025"/>
      <c r="BO5610" s="43"/>
    </row>
    <row r="5611" spans="65:67" ht="18.75" customHeight="1">
      <c r="BM5611" s="1025"/>
      <c r="BO5611" s="43"/>
    </row>
    <row r="5612" spans="65:67" ht="18.75" customHeight="1">
      <c r="BM5612" s="1025"/>
      <c r="BO5612" s="43"/>
    </row>
    <row r="5613" spans="65:67" ht="18.75" customHeight="1">
      <c r="BM5613" s="1025"/>
      <c r="BO5613" s="43"/>
    </row>
    <row r="5614" spans="65:67" ht="18.75" customHeight="1">
      <c r="BM5614" s="1025"/>
      <c r="BO5614" s="43"/>
    </row>
    <row r="5615" spans="65:67" ht="18.75" customHeight="1">
      <c r="BM5615" s="1025"/>
      <c r="BO5615" s="43"/>
    </row>
    <row r="5616" spans="65:67" ht="18.75" customHeight="1">
      <c r="BM5616" s="1025"/>
      <c r="BO5616" s="43"/>
    </row>
    <row r="5617" spans="65:67" ht="18.75" customHeight="1">
      <c r="BM5617" s="1025"/>
      <c r="BO5617" s="43"/>
    </row>
    <row r="5618" spans="65:67" ht="18.75" customHeight="1">
      <c r="BM5618" s="1025"/>
      <c r="BO5618" s="43"/>
    </row>
    <row r="5619" spans="65:67" ht="18.75" customHeight="1">
      <c r="BM5619" s="1025"/>
      <c r="BO5619" s="43"/>
    </row>
    <row r="5620" spans="65:67" ht="18.75" customHeight="1">
      <c r="BM5620" s="1025"/>
      <c r="BO5620" s="43"/>
    </row>
    <row r="5621" spans="65:67" ht="18.75" customHeight="1">
      <c r="BM5621" s="1025"/>
      <c r="BO5621" s="43"/>
    </row>
    <row r="5622" spans="65:67" ht="18.75" customHeight="1">
      <c r="BM5622" s="1025"/>
      <c r="BO5622" s="43"/>
    </row>
    <row r="5623" spans="65:67" ht="18.75" customHeight="1">
      <c r="BM5623" s="1025"/>
      <c r="BO5623" s="43"/>
    </row>
    <row r="5624" spans="65:67" ht="18.75" customHeight="1">
      <c r="BM5624" s="1025"/>
      <c r="BO5624" s="43"/>
    </row>
    <row r="5625" spans="65:67" ht="18.75" customHeight="1">
      <c r="BM5625" s="1025"/>
      <c r="BO5625" s="43"/>
    </row>
    <row r="5626" spans="65:67" ht="18.75" customHeight="1">
      <c r="BM5626" s="1025"/>
      <c r="BO5626" s="43"/>
    </row>
    <row r="5627" spans="65:67" ht="18.75" customHeight="1">
      <c r="BM5627" s="1025"/>
      <c r="BO5627" s="43"/>
    </row>
    <row r="5628" spans="65:67" ht="18.75" customHeight="1">
      <c r="BM5628" s="1025"/>
      <c r="BO5628" s="43"/>
    </row>
    <row r="5629" spans="65:67" ht="18.75" customHeight="1">
      <c r="BM5629" s="1025"/>
      <c r="BO5629" s="43"/>
    </row>
    <row r="5630" spans="65:67" ht="18.75" customHeight="1">
      <c r="BM5630" s="1025"/>
      <c r="BO5630" s="43"/>
    </row>
    <row r="5631" spans="65:67" ht="18.75" customHeight="1">
      <c r="BM5631" s="1025"/>
      <c r="BO5631" s="43"/>
    </row>
    <row r="5632" spans="65:67" ht="18.75" customHeight="1">
      <c r="BM5632" s="1025"/>
      <c r="BO5632" s="43"/>
    </row>
    <row r="5633" spans="65:67" ht="18.75" customHeight="1">
      <c r="BM5633" s="1025"/>
      <c r="BO5633" s="43"/>
    </row>
    <row r="5634" spans="65:67" ht="18.75" customHeight="1">
      <c r="BM5634" s="1025"/>
      <c r="BO5634" s="43"/>
    </row>
    <row r="5635" spans="65:67" ht="18.75" customHeight="1">
      <c r="BM5635" s="1025"/>
      <c r="BO5635" s="43"/>
    </row>
    <row r="5636" spans="65:67" ht="18.75" customHeight="1">
      <c r="BM5636" s="1025"/>
      <c r="BO5636" s="43"/>
    </row>
    <row r="5637" spans="65:67" ht="18.75" customHeight="1">
      <c r="BM5637" s="1025"/>
      <c r="BO5637" s="43"/>
    </row>
    <row r="5638" spans="65:67" ht="18.75" customHeight="1">
      <c r="BM5638" s="1025"/>
      <c r="BO5638" s="43"/>
    </row>
    <row r="5639" spans="65:67" ht="18.75" customHeight="1">
      <c r="BM5639" s="1025"/>
      <c r="BO5639" s="43"/>
    </row>
    <row r="5640" spans="65:67" ht="18.75" customHeight="1">
      <c r="BM5640" s="1025"/>
      <c r="BO5640" s="43"/>
    </row>
    <row r="5641" spans="65:67" ht="18.75" customHeight="1">
      <c r="BM5641" s="1025"/>
      <c r="BO5641" s="43"/>
    </row>
    <row r="5642" spans="65:67" ht="18.75" customHeight="1">
      <c r="BM5642" s="1025"/>
      <c r="BO5642" s="43"/>
    </row>
    <row r="5643" spans="65:67" ht="18.75" customHeight="1">
      <c r="BM5643" s="1025"/>
      <c r="BO5643" s="43"/>
    </row>
    <row r="5644" spans="65:67" ht="18.75" customHeight="1">
      <c r="BM5644" s="1025"/>
      <c r="BO5644" s="43"/>
    </row>
    <row r="5645" spans="65:67" ht="18.75" customHeight="1">
      <c r="BM5645" s="1025"/>
      <c r="BO5645" s="43"/>
    </row>
    <row r="5646" spans="65:67" ht="18.75" customHeight="1">
      <c r="BM5646" s="1025"/>
      <c r="BO5646" s="43"/>
    </row>
    <row r="5647" spans="65:67" ht="18.75" customHeight="1">
      <c r="BM5647" s="1025"/>
      <c r="BO5647" s="43"/>
    </row>
    <row r="5648" spans="65:67" ht="18.75" customHeight="1">
      <c r="BM5648" s="1025"/>
      <c r="BO5648" s="43"/>
    </row>
    <row r="5649" spans="65:67" ht="18.75" customHeight="1">
      <c r="BM5649" s="1025"/>
      <c r="BO5649" s="43"/>
    </row>
    <row r="5650" spans="65:67" ht="18.75" customHeight="1">
      <c r="BM5650" s="1025"/>
      <c r="BO5650" s="43"/>
    </row>
    <row r="5651" spans="65:67" ht="18.75" customHeight="1">
      <c r="BM5651" s="1025"/>
      <c r="BO5651" s="43"/>
    </row>
    <row r="5652" spans="65:67" ht="18.75" customHeight="1">
      <c r="BM5652" s="1025"/>
      <c r="BO5652" s="43"/>
    </row>
    <row r="5653" spans="65:67" ht="18.75" customHeight="1">
      <c r="BM5653" s="1025"/>
      <c r="BO5653" s="43"/>
    </row>
    <row r="5654" spans="65:67" ht="18.75" customHeight="1">
      <c r="BM5654" s="1025"/>
      <c r="BO5654" s="43"/>
    </row>
    <row r="5655" spans="65:67" ht="18.75" customHeight="1">
      <c r="BM5655" s="1025"/>
      <c r="BO5655" s="43"/>
    </row>
    <row r="5656" spans="65:67" ht="18.75" customHeight="1">
      <c r="BM5656" s="1025"/>
      <c r="BO5656" s="43"/>
    </row>
    <row r="5657" spans="65:67" ht="18.75" customHeight="1">
      <c r="BM5657" s="1025"/>
      <c r="BO5657" s="43"/>
    </row>
    <row r="5658" spans="65:67" ht="18.75" customHeight="1">
      <c r="BM5658" s="1025"/>
      <c r="BO5658" s="43"/>
    </row>
    <row r="5659" spans="65:67" ht="18.75" customHeight="1">
      <c r="BM5659" s="1025"/>
      <c r="BO5659" s="43"/>
    </row>
    <row r="5660" spans="65:67" ht="18.75" customHeight="1">
      <c r="BM5660" s="1025"/>
      <c r="BO5660" s="43"/>
    </row>
    <row r="5661" spans="65:67" ht="18.75" customHeight="1">
      <c r="BM5661" s="1025"/>
      <c r="BO5661" s="43"/>
    </row>
    <row r="5662" spans="65:67" ht="18.75" customHeight="1">
      <c r="BM5662" s="1025"/>
      <c r="BO5662" s="43"/>
    </row>
    <row r="5663" spans="65:67" ht="18.75" customHeight="1">
      <c r="BM5663" s="1025"/>
      <c r="BO5663" s="43"/>
    </row>
    <row r="5664" spans="65:67" ht="18.75" customHeight="1">
      <c r="BM5664" s="1025"/>
      <c r="BO5664" s="43"/>
    </row>
    <row r="5665" spans="65:67" ht="18.75" customHeight="1">
      <c r="BM5665" s="1025"/>
      <c r="BO5665" s="43"/>
    </row>
    <row r="5666" spans="65:67" ht="18.75" customHeight="1">
      <c r="BM5666" s="1025"/>
      <c r="BO5666" s="43"/>
    </row>
    <row r="5667" spans="65:67" ht="18.75" customHeight="1">
      <c r="BM5667" s="1025"/>
      <c r="BO5667" s="43"/>
    </row>
    <row r="5668" spans="65:67" ht="18.75" customHeight="1">
      <c r="BM5668" s="1025"/>
      <c r="BO5668" s="43"/>
    </row>
    <row r="5669" spans="65:67" ht="18.75" customHeight="1">
      <c r="BM5669" s="1025"/>
      <c r="BO5669" s="43"/>
    </row>
    <row r="5670" spans="65:67" ht="18.75" customHeight="1">
      <c r="BM5670" s="1025"/>
      <c r="BO5670" s="43"/>
    </row>
    <row r="5671" spans="65:67" ht="18.75" customHeight="1">
      <c r="BM5671" s="1025"/>
      <c r="BO5671" s="43"/>
    </row>
    <row r="5672" spans="65:67" ht="18.75" customHeight="1">
      <c r="BM5672" s="1025"/>
      <c r="BO5672" s="43"/>
    </row>
    <row r="5673" spans="65:67" ht="18.75" customHeight="1">
      <c r="BM5673" s="1025"/>
      <c r="BO5673" s="43"/>
    </row>
    <row r="5674" spans="65:67" ht="18.75" customHeight="1">
      <c r="BM5674" s="1025"/>
      <c r="BO5674" s="43"/>
    </row>
    <row r="5675" spans="65:67" ht="18.75" customHeight="1">
      <c r="BM5675" s="1025"/>
      <c r="BO5675" s="43"/>
    </row>
    <row r="5676" spans="65:67" ht="18.75" customHeight="1">
      <c r="BM5676" s="1025"/>
      <c r="BO5676" s="43"/>
    </row>
    <row r="5677" spans="65:67" ht="18.75" customHeight="1">
      <c r="BM5677" s="1025"/>
      <c r="BO5677" s="43"/>
    </row>
    <row r="5678" spans="65:67" ht="18.75" customHeight="1">
      <c r="BM5678" s="1025"/>
      <c r="BO5678" s="43"/>
    </row>
    <row r="5679" spans="65:67" ht="18.75" customHeight="1">
      <c r="BM5679" s="1025"/>
      <c r="BO5679" s="43"/>
    </row>
    <row r="5680" spans="65:67" ht="18.75" customHeight="1">
      <c r="BM5680" s="1025"/>
      <c r="BO5680" s="43"/>
    </row>
    <row r="5681" spans="65:67" ht="18.75" customHeight="1">
      <c r="BM5681" s="1025"/>
      <c r="BO5681" s="43"/>
    </row>
    <row r="5682" spans="65:67" ht="18.75" customHeight="1">
      <c r="BM5682" s="1025"/>
      <c r="BO5682" s="43"/>
    </row>
    <row r="5683" spans="65:67" ht="18.75" customHeight="1">
      <c r="BM5683" s="1025"/>
      <c r="BO5683" s="43"/>
    </row>
    <row r="5684" spans="65:67" ht="18.75" customHeight="1">
      <c r="BM5684" s="1025"/>
      <c r="BO5684" s="43"/>
    </row>
    <row r="5685" spans="65:67" ht="18.75" customHeight="1">
      <c r="BM5685" s="1025"/>
      <c r="BO5685" s="43"/>
    </row>
    <row r="5686" spans="65:67" ht="18.75" customHeight="1">
      <c r="BM5686" s="1025"/>
      <c r="BO5686" s="43"/>
    </row>
    <row r="5687" spans="65:67" ht="18.75" customHeight="1">
      <c r="BM5687" s="1025"/>
      <c r="BO5687" s="43"/>
    </row>
    <row r="5688" spans="65:67" ht="18.75" customHeight="1">
      <c r="BM5688" s="1025"/>
      <c r="BO5688" s="43"/>
    </row>
    <row r="5689" spans="65:67" ht="18.75" customHeight="1">
      <c r="BM5689" s="1025"/>
      <c r="BO5689" s="43"/>
    </row>
    <row r="5690" spans="65:67" ht="18.75" customHeight="1">
      <c r="BM5690" s="1025"/>
      <c r="BO5690" s="43"/>
    </row>
    <row r="5691" spans="65:67" ht="18.75" customHeight="1">
      <c r="BM5691" s="1025"/>
      <c r="BO5691" s="43"/>
    </row>
    <row r="5692" spans="65:67" ht="18.75" customHeight="1">
      <c r="BM5692" s="1025"/>
      <c r="BO5692" s="43"/>
    </row>
    <row r="5693" spans="65:67" ht="18.75" customHeight="1">
      <c r="BM5693" s="1025"/>
      <c r="BO5693" s="43"/>
    </row>
    <row r="5694" spans="65:67" ht="18.75" customHeight="1">
      <c r="BM5694" s="1025"/>
      <c r="BO5694" s="43"/>
    </row>
    <row r="5695" spans="65:67" ht="18.75" customHeight="1">
      <c r="BM5695" s="1025"/>
      <c r="BO5695" s="43"/>
    </row>
    <row r="5696" spans="65:67" ht="18.75" customHeight="1">
      <c r="BM5696" s="1025"/>
      <c r="BO5696" s="43"/>
    </row>
    <row r="5697" spans="65:67" ht="18.75" customHeight="1">
      <c r="BM5697" s="1025"/>
      <c r="BO5697" s="43"/>
    </row>
    <row r="5698" spans="65:67" ht="18.75" customHeight="1">
      <c r="BM5698" s="1025"/>
      <c r="BO5698" s="43"/>
    </row>
    <row r="5699" spans="65:67" ht="18.75" customHeight="1">
      <c r="BM5699" s="1025"/>
      <c r="BO5699" s="43"/>
    </row>
    <row r="5700" spans="65:67" ht="18.75" customHeight="1">
      <c r="BM5700" s="1025"/>
      <c r="BO5700" s="43"/>
    </row>
    <row r="5701" spans="65:67" ht="18.75" customHeight="1">
      <c r="BM5701" s="1025"/>
      <c r="BO5701" s="43"/>
    </row>
    <row r="5702" spans="65:67" ht="18.75" customHeight="1">
      <c r="BM5702" s="1025"/>
      <c r="BO5702" s="43"/>
    </row>
    <row r="5703" spans="65:67" ht="18.75" customHeight="1">
      <c r="BM5703" s="1025"/>
      <c r="BO5703" s="43"/>
    </row>
    <row r="5704" spans="65:67" ht="18.75" customHeight="1">
      <c r="BM5704" s="1025"/>
      <c r="BO5704" s="43"/>
    </row>
    <row r="5705" spans="65:67" ht="18.75" customHeight="1">
      <c r="BM5705" s="1025"/>
      <c r="BO5705" s="43"/>
    </row>
    <row r="5706" spans="65:67" ht="18.75" customHeight="1">
      <c r="BM5706" s="1025"/>
      <c r="BO5706" s="43"/>
    </row>
    <row r="5707" spans="65:67" ht="18.75" customHeight="1">
      <c r="BM5707" s="1025"/>
      <c r="BO5707" s="43"/>
    </row>
    <row r="5708" spans="65:67" ht="18.75" customHeight="1">
      <c r="BM5708" s="1025"/>
      <c r="BO5708" s="43"/>
    </row>
    <row r="5709" spans="65:67" ht="18.75" customHeight="1">
      <c r="BM5709" s="1025"/>
      <c r="BO5709" s="43"/>
    </row>
    <row r="5710" spans="65:67" ht="18.75" customHeight="1">
      <c r="BM5710" s="1025"/>
      <c r="BO5710" s="43"/>
    </row>
    <row r="5711" spans="65:67" ht="18.75" customHeight="1">
      <c r="BM5711" s="1025"/>
      <c r="BO5711" s="43"/>
    </row>
    <row r="5712" spans="65:67" ht="18.75" customHeight="1">
      <c r="BM5712" s="1025"/>
      <c r="BO5712" s="43"/>
    </row>
    <row r="5713" spans="65:67" ht="18.75" customHeight="1">
      <c r="BM5713" s="1025"/>
      <c r="BO5713" s="43"/>
    </row>
    <row r="5714" spans="65:67" ht="18.75" customHeight="1">
      <c r="BM5714" s="1025"/>
      <c r="BO5714" s="43"/>
    </row>
    <row r="5715" spans="65:67" ht="18.75" customHeight="1">
      <c r="BM5715" s="1025"/>
      <c r="BO5715" s="43"/>
    </row>
    <row r="5716" spans="65:67" ht="18.75" customHeight="1">
      <c r="BM5716" s="1025"/>
      <c r="BO5716" s="43"/>
    </row>
    <row r="5717" spans="65:67" ht="18.75" customHeight="1">
      <c r="BM5717" s="1025"/>
      <c r="BO5717" s="43"/>
    </row>
    <row r="5718" spans="65:67" ht="18.75" customHeight="1">
      <c r="BM5718" s="1025"/>
      <c r="BO5718" s="43"/>
    </row>
    <row r="5719" spans="65:67" ht="18.75" customHeight="1">
      <c r="BM5719" s="1025"/>
      <c r="BO5719" s="43"/>
    </row>
    <row r="5720" spans="65:67" ht="18.75" customHeight="1">
      <c r="BM5720" s="1025"/>
      <c r="BO5720" s="43"/>
    </row>
    <row r="5721" spans="65:67" ht="18.75" customHeight="1">
      <c r="BM5721" s="1025"/>
      <c r="BO5721" s="43"/>
    </row>
    <row r="5722" spans="65:67" ht="18.75" customHeight="1">
      <c r="BM5722" s="1025"/>
      <c r="BO5722" s="43"/>
    </row>
    <row r="5723" spans="65:67" ht="18.75" customHeight="1">
      <c r="BM5723" s="1025"/>
      <c r="BO5723" s="43"/>
    </row>
    <row r="5724" spans="65:67" ht="18.75" customHeight="1">
      <c r="BM5724" s="1025"/>
      <c r="BO5724" s="43"/>
    </row>
    <row r="5725" spans="65:67" ht="18.75" customHeight="1">
      <c r="BM5725" s="1025"/>
      <c r="BO5725" s="43"/>
    </row>
    <row r="5726" spans="65:67" ht="18.75" customHeight="1">
      <c r="BM5726" s="1025"/>
      <c r="BO5726" s="43"/>
    </row>
    <row r="5727" spans="65:67" ht="18.75" customHeight="1">
      <c r="BM5727" s="1025"/>
      <c r="BO5727" s="43"/>
    </row>
    <row r="5728" spans="65:67" ht="18.75" customHeight="1">
      <c r="BM5728" s="1025"/>
      <c r="BO5728" s="43"/>
    </row>
    <row r="5729" spans="65:67" ht="18.75" customHeight="1">
      <c r="BM5729" s="1025"/>
      <c r="BO5729" s="43"/>
    </row>
    <row r="5730" spans="65:67" ht="18.75" customHeight="1">
      <c r="BM5730" s="1025"/>
      <c r="BO5730" s="43"/>
    </row>
    <row r="5731" spans="65:67" ht="18.75" customHeight="1">
      <c r="BM5731" s="1025"/>
      <c r="BO5731" s="43"/>
    </row>
    <row r="5732" spans="65:67" ht="18.75" customHeight="1">
      <c r="BM5732" s="1025"/>
      <c r="BO5732" s="43"/>
    </row>
    <row r="5733" spans="65:67" ht="18.75" customHeight="1">
      <c r="BM5733" s="1025"/>
      <c r="BO5733" s="43"/>
    </row>
    <row r="5734" spans="65:67" ht="18.75" customHeight="1">
      <c r="BM5734" s="1025"/>
      <c r="BO5734" s="43"/>
    </row>
    <row r="5735" spans="65:67" ht="18.75" customHeight="1">
      <c r="BM5735" s="1025"/>
      <c r="BO5735" s="43"/>
    </row>
    <row r="5736" spans="65:67" ht="18.75" customHeight="1">
      <c r="BM5736" s="1025"/>
      <c r="BO5736" s="43"/>
    </row>
    <row r="5737" spans="65:67" ht="18.75" customHeight="1">
      <c r="BM5737" s="1025"/>
      <c r="BO5737" s="43"/>
    </row>
    <row r="5738" spans="65:67" ht="18.75" customHeight="1">
      <c r="BM5738" s="1025"/>
      <c r="BO5738" s="43"/>
    </row>
    <row r="5739" spans="65:67" ht="18.75" customHeight="1">
      <c r="BM5739" s="1025"/>
      <c r="BO5739" s="43"/>
    </row>
    <row r="5740" spans="65:67" ht="18.75" customHeight="1">
      <c r="BM5740" s="1025"/>
      <c r="BO5740" s="43"/>
    </row>
    <row r="5741" spans="65:67" ht="18.75" customHeight="1">
      <c r="BM5741" s="1025"/>
      <c r="BO5741" s="43"/>
    </row>
    <row r="5742" spans="65:67" ht="18.75" customHeight="1">
      <c r="BM5742" s="1025"/>
      <c r="BO5742" s="43"/>
    </row>
    <row r="5743" spans="65:67" ht="18.75" customHeight="1">
      <c r="BM5743" s="1025"/>
      <c r="BO5743" s="43"/>
    </row>
    <row r="5744" spans="65:67" ht="18.75" customHeight="1">
      <c r="BM5744" s="1025"/>
      <c r="BO5744" s="43"/>
    </row>
    <row r="5745" spans="65:67" ht="18.75" customHeight="1">
      <c r="BM5745" s="1025"/>
      <c r="BO5745" s="43"/>
    </row>
    <row r="5746" spans="65:67" ht="18.75" customHeight="1">
      <c r="BM5746" s="1025"/>
      <c r="BO5746" s="43"/>
    </row>
    <row r="5747" spans="65:67" ht="18.75" customHeight="1">
      <c r="BM5747" s="1025"/>
      <c r="BO5747" s="43"/>
    </row>
    <row r="5748" spans="65:67" ht="18.75" customHeight="1">
      <c r="BM5748" s="1025"/>
      <c r="BO5748" s="43"/>
    </row>
    <row r="5749" spans="65:67" ht="18.75" customHeight="1">
      <c r="BM5749" s="1025"/>
      <c r="BO5749" s="43"/>
    </row>
    <row r="5750" spans="65:67" ht="18.75" customHeight="1">
      <c r="BM5750" s="1025"/>
      <c r="BO5750" s="43"/>
    </row>
    <row r="5751" spans="65:67" ht="18.75" customHeight="1">
      <c r="BM5751" s="1025"/>
      <c r="BO5751" s="43"/>
    </row>
    <row r="5752" spans="65:67" ht="18.75" customHeight="1">
      <c r="BM5752" s="1025"/>
      <c r="BO5752" s="43"/>
    </row>
    <row r="5753" spans="65:67" ht="18.75" customHeight="1">
      <c r="BM5753" s="1025"/>
      <c r="BO5753" s="43"/>
    </row>
    <row r="5754" spans="65:67" ht="18.75" customHeight="1">
      <c r="BM5754" s="1025"/>
      <c r="BO5754" s="43"/>
    </row>
    <row r="5755" spans="65:67" ht="18.75" customHeight="1">
      <c r="BM5755" s="1025"/>
      <c r="BO5755" s="43"/>
    </row>
    <row r="5756" spans="65:67" ht="18.75" customHeight="1">
      <c r="BM5756" s="1025"/>
      <c r="BO5756" s="43"/>
    </row>
    <row r="5757" spans="65:67" ht="18.75" customHeight="1">
      <c r="BM5757" s="1025"/>
      <c r="BO5757" s="43"/>
    </row>
    <row r="5758" spans="65:67" ht="18.75" customHeight="1">
      <c r="BM5758" s="1025"/>
      <c r="BO5758" s="43"/>
    </row>
    <row r="5759" spans="65:67" ht="18.75" customHeight="1">
      <c r="BM5759" s="1025"/>
      <c r="BO5759" s="43"/>
    </row>
    <row r="5760" spans="65:67" ht="18.75" customHeight="1">
      <c r="BM5760" s="1025"/>
      <c r="BO5760" s="43"/>
    </row>
    <row r="5761" spans="65:67" ht="18.75" customHeight="1">
      <c r="BM5761" s="1025"/>
      <c r="BO5761" s="43"/>
    </row>
    <row r="5762" spans="65:67" ht="18.75" customHeight="1">
      <c r="BM5762" s="1025"/>
      <c r="BO5762" s="43"/>
    </row>
    <row r="5763" spans="65:67" ht="18.75" customHeight="1">
      <c r="BM5763" s="1025"/>
      <c r="BO5763" s="43"/>
    </row>
    <row r="5764" spans="65:67" ht="18.75" customHeight="1">
      <c r="BM5764" s="1025"/>
      <c r="BO5764" s="43"/>
    </row>
    <row r="5765" spans="65:67" ht="18.75" customHeight="1">
      <c r="BM5765" s="1025"/>
      <c r="BO5765" s="43"/>
    </row>
    <row r="5766" spans="65:67" ht="18.75" customHeight="1">
      <c r="BM5766" s="1025"/>
      <c r="BO5766" s="43"/>
    </row>
    <row r="5767" spans="65:67" ht="18.75" customHeight="1">
      <c r="BM5767" s="1025"/>
      <c r="BO5767" s="43"/>
    </row>
    <row r="5768" spans="65:67" ht="18.75" customHeight="1">
      <c r="BM5768" s="1025"/>
      <c r="BO5768" s="43"/>
    </row>
    <row r="5769" spans="65:67" ht="18.75" customHeight="1">
      <c r="BM5769" s="1025"/>
      <c r="BO5769" s="43"/>
    </row>
    <row r="5770" spans="65:67" ht="18.75" customHeight="1">
      <c r="BM5770" s="1025"/>
      <c r="BO5770" s="43"/>
    </row>
    <row r="5771" spans="65:67" ht="18.75" customHeight="1">
      <c r="BM5771" s="1025"/>
      <c r="BO5771" s="43"/>
    </row>
    <row r="5772" spans="65:67" ht="18.75" customHeight="1">
      <c r="BM5772" s="1025"/>
      <c r="BO5772" s="43"/>
    </row>
    <row r="5773" spans="65:67" ht="18.75" customHeight="1">
      <c r="BM5773" s="1025"/>
      <c r="BO5773" s="43"/>
    </row>
    <row r="5774" spans="65:67" ht="18.75" customHeight="1">
      <c r="BM5774" s="1025"/>
      <c r="BO5774" s="43"/>
    </row>
    <row r="5775" spans="65:67" ht="18.75" customHeight="1">
      <c r="BM5775" s="1025"/>
      <c r="BO5775" s="43"/>
    </row>
    <row r="5776" spans="65:67" ht="18.75" customHeight="1">
      <c r="BM5776" s="1025"/>
      <c r="BO5776" s="43"/>
    </row>
    <row r="5777" spans="65:67" ht="18.75" customHeight="1">
      <c r="BM5777" s="1025"/>
      <c r="BO5777" s="43"/>
    </row>
    <row r="5778" spans="65:67" ht="18.75" customHeight="1">
      <c r="BM5778" s="1025"/>
      <c r="BO5778" s="43"/>
    </row>
    <row r="5779" spans="65:67" ht="18.75" customHeight="1">
      <c r="BM5779" s="1025"/>
      <c r="BO5779" s="43"/>
    </row>
    <row r="5780" spans="65:67" ht="18.75" customHeight="1">
      <c r="BM5780" s="1025"/>
      <c r="BO5780" s="43"/>
    </row>
    <row r="5781" spans="65:67" ht="18.75" customHeight="1">
      <c r="BM5781" s="1025"/>
      <c r="BO5781" s="43"/>
    </row>
    <row r="5782" spans="65:67" ht="18.75" customHeight="1">
      <c r="BM5782" s="1025"/>
      <c r="BO5782" s="43"/>
    </row>
    <row r="5783" spans="65:67" ht="18.75" customHeight="1">
      <c r="BM5783" s="1025"/>
      <c r="BO5783" s="43"/>
    </row>
    <row r="5784" spans="65:67" ht="18.75" customHeight="1">
      <c r="BM5784" s="1025"/>
      <c r="BO5784" s="43"/>
    </row>
    <row r="5785" spans="65:67" ht="18.75" customHeight="1">
      <c r="BM5785" s="1025"/>
      <c r="BO5785" s="43"/>
    </row>
    <row r="5786" spans="65:67" ht="18.75" customHeight="1">
      <c r="BM5786" s="1025"/>
      <c r="BO5786" s="43"/>
    </row>
    <row r="5787" spans="65:67" ht="18.75" customHeight="1">
      <c r="BM5787" s="1025"/>
      <c r="BO5787" s="43"/>
    </row>
    <row r="5788" spans="65:67" ht="18.75" customHeight="1">
      <c r="BM5788" s="1025"/>
      <c r="BO5788" s="43"/>
    </row>
    <row r="5789" spans="65:67" ht="18.75" customHeight="1">
      <c r="BM5789" s="1025"/>
      <c r="BO5789" s="43"/>
    </row>
    <row r="5790" spans="65:67" ht="18.75" customHeight="1">
      <c r="BM5790" s="1025"/>
      <c r="BO5790" s="43"/>
    </row>
    <row r="5791" spans="65:67" ht="18.75" customHeight="1">
      <c r="BM5791" s="1025"/>
      <c r="BO5791" s="43"/>
    </row>
    <row r="5792" spans="65:67" ht="18.75" customHeight="1">
      <c r="BM5792" s="1025"/>
      <c r="BO5792" s="43"/>
    </row>
    <row r="5793" spans="65:67" ht="18.75" customHeight="1">
      <c r="BM5793" s="1025"/>
      <c r="BO5793" s="43"/>
    </row>
    <row r="5794" spans="65:67" ht="18.75" customHeight="1">
      <c r="BM5794" s="1025"/>
      <c r="BO5794" s="43"/>
    </row>
    <row r="5795" spans="65:67" ht="18.75" customHeight="1">
      <c r="BM5795" s="1025"/>
      <c r="BO5795" s="43"/>
    </row>
    <row r="5796" spans="65:67" ht="18.75" customHeight="1">
      <c r="BM5796" s="1025"/>
      <c r="BO5796" s="43"/>
    </row>
    <row r="5797" spans="65:67" ht="18.75" customHeight="1">
      <c r="BM5797" s="1025"/>
      <c r="BO5797" s="43"/>
    </row>
    <row r="5798" spans="65:67" ht="18.75" customHeight="1">
      <c r="BM5798" s="1025"/>
      <c r="BO5798" s="43"/>
    </row>
    <row r="5799" spans="65:67" ht="18.75" customHeight="1">
      <c r="BM5799" s="1025"/>
      <c r="BO5799" s="43"/>
    </row>
    <row r="5800" spans="65:67" ht="18.75" customHeight="1">
      <c r="BM5800" s="1025"/>
      <c r="BO5800" s="43"/>
    </row>
    <row r="5801" spans="65:67" ht="18.75" customHeight="1">
      <c r="BM5801" s="1025"/>
      <c r="BO5801" s="43"/>
    </row>
    <row r="5802" spans="65:67" ht="18.75" customHeight="1">
      <c r="BM5802" s="1025"/>
      <c r="BO5802" s="43"/>
    </row>
    <row r="5803" spans="65:67" ht="18.75" customHeight="1">
      <c r="BM5803" s="1025"/>
      <c r="BO5803" s="43"/>
    </row>
    <row r="5804" spans="65:67" ht="18.75" customHeight="1">
      <c r="BM5804" s="1025"/>
      <c r="BO5804" s="43"/>
    </row>
    <row r="5805" spans="65:67" ht="18.75" customHeight="1">
      <c r="BM5805" s="1025"/>
      <c r="BO5805" s="43"/>
    </row>
    <row r="5806" spans="65:67" ht="18.75" customHeight="1">
      <c r="BM5806" s="1025"/>
      <c r="BO5806" s="43"/>
    </row>
    <row r="5807" spans="65:67" ht="18.75" customHeight="1">
      <c r="BM5807" s="1025"/>
      <c r="BO5807" s="43"/>
    </row>
    <row r="5808" spans="65:67" ht="18.75" customHeight="1">
      <c r="BM5808" s="1025"/>
      <c r="BO5808" s="43"/>
    </row>
    <row r="5809" spans="65:67" ht="18.75" customHeight="1">
      <c r="BM5809" s="1025"/>
      <c r="BO5809" s="43"/>
    </row>
    <row r="5810" spans="65:67" ht="18.75" customHeight="1">
      <c r="BM5810" s="1025"/>
      <c r="BO5810" s="43"/>
    </row>
    <row r="5811" spans="65:67" ht="18.75" customHeight="1">
      <c r="BM5811" s="1025"/>
      <c r="BO5811" s="43"/>
    </row>
    <row r="5812" spans="65:67" ht="18.75" customHeight="1">
      <c r="BM5812" s="1025"/>
      <c r="BO5812" s="43"/>
    </row>
    <row r="5813" spans="65:67" ht="18.75" customHeight="1">
      <c r="BM5813" s="1025"/>
      <c r="BO5813" s="43"/>
    </row>
    <row r="5814" spans="65:67" ht="18.75" customHeight="1">
      <c r="BM5814" s="1025"/>
      <c r="BO5814" s="43"/>
    </row>
    <row r="5815" spans="65:67" ht="18.75" customHeight="1">
      <c r="BM5815" s="1025"/>
      <c r="BO5815" s="43"/>
    </row>
    <row r="5816" spans="65:67" ht="18.75" customHeight="1">
      <c r="BM5816" s="1025"/>
      <c r="BO5816" s="43"/>
    </row>
    <row r="5817" spans="65:67" ht="18.75" customHeight="1">
      <c r="BM5817" s="1025"/>
      <c r="BO5817" s="43"/>
    </row>
    <row r="5818" spans="65:67" ht="18.75" customHeight="1">
      <c r="BM5818" s="1025"/>
      <c r="BO5818" s="43"/>
    </row>
    <row r="5819" spans="65:67" ht="18.75" customHeight="1">
      <c r="BM5819" s="1025"/>
      <c r="BO5819" s="43"/>
    </row>
    <row r="5820" spans="65:67" ht="18.75" customHeight="1">
      <c r="BM5820" s="1025"/>
      <c r="BO5820" s="43"/>
    </row>
    <row r="5821" spans="65:67" ht="18.75" customHeight="1">
      <c r="BM5821" s="1025"/>
      <c r="BO5821" s="43"/>
    </row>
    <row r="5822" spans="65:67" ht="18.75" customHeight="1">
      <c r="BM5822" s="1025"/>
      <c r="BO5822" s="43"/>
    </row>
    <row r="5823" spans="65:67" ht="18.75" customHeight="1">
      <c r="BM5823" s="1025"/>
      <c r="BO5823" s="43"/>
    </row>
    <row r="5824" spans="65:67" ht="18.75" customHeight="1">
      <c r="BM5824" s="1025"/>
      <c r="BO5824" s="43"/>
    </row>
    <row r="5825" spans="65:67" ht="18.75" customHeight="1">
      <c r="BM5825" s="1025"/>
      <c r="BO5825" s="43"/>
    </row>
    <row r="5826" spans="65:67" ht="18.75" customHeight="1">
      <c r="BM5826" s="1025"/>
      <c r="BO5826" s="43"/>
    </row>
    <row r="5827" spans="65:67" ht="18.75" customHeight="1">
      <c r="BM5827" s="1025"/>
      <c r="BO5827" s="43"/>
    </row>
    <row r="5828" spans="65:67" ht="18.75" customHeight="1">
      <c r="BM5828" s="1025"/>
      <c r="BO5828" s="43"/>
    </row>
    <row r="5829" spans="65:67" ht="18.75" customHeight="1">
      <c r="BM5829" s="1025"/>
      <c r="BO5829" s="43"/>
    </row>
    <row r="5830" spans="65:67" ht="18.75" customHeight="1">
      <c r="BM5830" s="1025"/>
      <c r="BO5830" s="43"/>
    </row>
    <row r="5831" spans="65:67" ht="18.75" customHeight="1">
      <c r="BM5831" s="1025"/>
      <c r="BO5831" s="43"/>
    </row>
    <row r="5832" spans="65:67" ht="18.75" customHeight="1">
      <c r="BM5832" s="1025"/>
      <c r="BO5832" s="43"/>
    </row>
    <row r="5833" spans="65:67" ht="18.75" customHeight="1">
      <c r="BM5833" s="1025"/>
      <c r="BO5833" s="43"/>
    </row>
    <row r="5834" spans="65:67" ht="18.75" customHeight="1">
      <c r="BM5834" s="1025"/>
      <c r="BO5834" s="43"/>
    </row>
    <row r="5835" spans="65:67" ht="18.75" customHeight="1">
      <c r="BM5835" s="1025"/>
      <c r="BO5835" s="43"/>
    </row>
    <row r="5836" spans="65:67" ht="18.75" customHeight="1">
      <c r="BM5836" s="1025"/>
      <c r="BO5836" s="43"/>
    </row>
    <row r="5837" spans="65:67" ht="18.75" customHeight="1">
      <c r="BM5837" s="1025"/>
      <c r="BO5837" s="43"/>
    </row>
    <row r="5838" spans="65:67" ht="18.75" customHeight="1">
      <c r="BM5838" s="1025"/>
      <c r="BO5838" s="43"/>
    </row>
    <row r="5839" spans="65:67" ht="18.75" customHeight="1">
      <c r="BM5839" s="1025"/>
      <c r="BO5839" s="43"/>
    </row>
    <row r="5840" spans="65:67" ht="18.75" customHeight="1">
      <c r="BM5840" s="1025"/>
      <c r="BO5840" s="43"/>
    </row>
    <row r="5841" spans="65:67" ht="18.75" customHeight="1">
      <c r="BM5841" s="1025"/>
      <c r="BO5841" s="43"/>
    </row>
    <row r="5842" spans="65:67" ht="18.75" customHeight="1">
      <c r="BM5842" s="1025"/>
      <c r="BO5842" s="43"/>
    </row>
    <row r="5843" spans="65:67" ht="18.75" customHeight="1">
      <c r="BM5843" s="1025"/>
      <c r="BO5843" s="43"/>
    </row>
    <row r="5844" spans="65:67" ht="18.75" customHeight="1">
      <c r="BM5844" s="1025"/>
      <c r="BO5844" s="43"/>
    </row>
    <row r="5845" spans="65:67" ht="18.75" customHeight="1">
      <c r="BM5845" s="1025"/>
      <c r="BO5845" s="43"/>
    </row>
    <row r="5846" spans="65:67" ht="18.75" customHeight="1">
      <c r="BM5846" s="1025"/>
      <c r="BO5846" s="43"/>
    </row>
    <row r="5847" spans="65:67" ht="18.75" customHeight="1">
      <c r="BM5847" s="1025"/>
      <c r="BO5847" s="43"/>
    </row>
    <row r="5848" spans="65:67" ht="18.75" customHeight="1">
      <c r="BM5848" s="1025"/>
      <c r="BO5848" s="43"/>
    </row>
    <row r="5849" spans="65:67" ht="18.75" customHeight="1">
      <c r="BM5849" s="1025"/>
      <c r="BO5849" s="43"/>
    </row>
    <row r="5850" spans="65:67" ht="18.75" customHeight="1">
      <c r="BM5850" s="1025"/>
      <c r="BO5850" s="43"/>
    </row>
    <row r="5851" spans="65:67" ht="18.75" customHeight="1">
      <c r="BM5851" s="1025"/>
      <c r="BO5851" s="43"/>
    </row>
    <row r="5852" spans="65:67" ht="18.75" customHeight="1">
      <c r="BM5852" s="1025"/>
      <c r="BO5852" s="43"/>
    </row>
    <row r="5853" spans="65:67" ht="18.75" customHeight="1">
      <c r="BM5853" s="1025"/>
      <c r="BO5853" s="43"/>
    </row>
    <row r="5854" spans="65:67" ht="18.75" customHeight="1">
      <c r="BM5854" s="1025"/>
      <c r="BO5854" s="43"/>
    </row>
    <row r="5855" spans="65:67" ht="18.75" customHeight="1">
      <c r="BM5855" s="1025"/>
      <c r="BO5855" s="43"/>
    </row>
    <row r="5856" spans="65:67" ht="18.75" customHeight="1">
      <c r="BM5856" s="1025"/>
      <c r="BO5856" s="43"/>
    </row>
    <row r="5857" spans="65:67" ht="18.75" customHeight="1">
      <c r="BM5857" s="1025"/>
      <c r="BO5857" s="43"/>
    </row>
    <row r="5858" spans="65:67" ht="18.75" customHeight="1">
      <c r="BM5858" s="1025"/>
      <c r="BO5858" s="43"/>
    </row>
    <row r="5859" spans="65:67" ht="18.75" customHeight="1">
      <c r="BM5859" s="1025"/>
      <c r="BO5859" s="43"/>
    </row>
    <row r="5860" spans="65:67" ht="18.75" customHeight="1">
      <c r="BM5860" s="1025"/>
      <c r="BO5860" s="43"/>
    </row>
    <row r="5861" spans="65:67" ht="18.75" customHeight="1">
      <c r="BM5861" s="1025"/>
      <c r="BO5861" s="43"/>
    </row>
    <row r="5862" spans="65:67" ht="18.75" customHeight="1">
      <c r="BM5862" s="1025"/>
      <c r="BO5862" s="43"/>
    </row>
    <row r="5863" spans="65:67" ht="18.75" customHeight="1">
      <c r="BM5863" s="1025"/>
      <c r="BO5863" s="43"/>
    </row>
    <row r="5864" spans="65:67" ht="18.75" customHeight="1">
      <c r="BM5864" s="1025"/>
      <c r="BO5864" s="43"/>
    </row>
    <row r="5865" spans="65:67" ht="18.75" customHeight="1">
      <c r="BM5865" s="1025"/>
      <c r="BO5865" s="43"/>
    </row>
    <row r="5866" spans="65:67" ht="18.75" customHeight="1">
      <c r="BM5866" s="1025"/>
      <c r="BO5866" s="43"/>
    </row>
    <row r="5867" spans="65:67" ht="18.75" customHeight="1">
      <c r="BM5867" s="1025"/>
      <c r="BO5867" s="43"/>
    </row>
    <row r="5868" spans="65:67" ht="18.75" customHeight="1">
      <c r="BM5868" s="1025"/>
      <c r="BO5868" s="43"/>
    </row>
    <row r="5869" spans="65:67" ht="18.75" customHeight="1">
      <c r="BM5869" s="1025"/>
      <c r="BO5869" s="43"/>
    </row>
    <row r="5870" spans="65:67" ht="18.75" customHeight="1">
      <c r="BM5870" s="1025"/>
      <c r="BO5870" s="43"/>
    </row>
    <row r="5871" spans="65:67" ht="18.75" customHeight="1">
      <c r="BM5871" s="1025"/>
      <c r="BO5871" s="43"/>
    </row>
    <row r="5872" spans="65:67" ht="18.75" customHeight="1">
      <c r="BM5872" s="1025"/>
      <c r="BO5872" s="43"/>
    </row>
    <row r="5873" spans="65:67" ht="18.75" customHeight="1">
      <c r="BM5873" s="1025"/>
      <c r="BO5873" s="43"/>
    </row>
    <row r="5874" spans="65:67" ht="18.75" customHeight="1">
      <c r="BM5874" s="1025"/>
      <c r="BO5874" s="43"/>
    </row>
    <row r="5875" spans="65:67" ht="18.75" customHeight="1">
      <c r="BM5875" s="1025"/>
      <c r="BO5875" s="43"/>
    </row>
    <row r="5876" spans="65:67" ht="18.75" customHeight="1">
      <c r="BM5876" s="1025"/>
      <c r="BO5876" s="43"/>
    </row>
    <row r="5877" spans="65:67" ht="18.75" customHeight="1">
      <c r="BM5877" s="1025"/>
      <c r="BO5877" s="43"/>
    </row>
    <row r="5878" spans="65:67" ht="18.75" customHeight="1">
      <c r="BM5878" s="1025"/>
      <c r="BO5878" s="43"/>
    </row>
    <row r="5879" spans="65:67" ht="18.75" customHeight="1">
      <c r="BM5879" s="1025"/>
      <c r="BO5879" s="43"/>
    </row>
    <row r="5880" spans="65:67" ht="18.75" customHeight="1">
      <c r="BM5880" s="1025"/>
      <c r="BO5880" s="43"/>
    </row>
    <row r="5881" spans="65:67" ht="18.75" customHeight="1">
      <c r="BM5881" s="1025"/>
      <c r="BO5881" s="43"/>
    </row>
    <row r="5882" spans="65:67" ht="18.75" customHeight="1">
      <c r="BM5882" s="1025"/>
      <c r="BO5882" s="43"/>
    </row>
    <row r="5883" spans="65:67" ht="18.75" customHeight="1">
      <c r="BM5883" s="1025"/>
      <c r="BO5883" s="43"/>
    </row>
    <row r="5884" spans="65:67" ht="18.75" customHeight="1">
      <c r="BM5884" s="1025"/>
      <c r="BO5884" s="43"/>
    </row>
    <row r="5885" spans="65:67" ht="18.75" customHeight="1">
      <c r="BM5885" s="1025"/>
      <c r="BO5885" s="43"/>
    </row>
    <row r="5886" spans="65:67" ht="18.75" customHeight="1">
      <c r="BM5886" s="1025"/>
      <c r="BO5886" s="43"/>
    </row>
    <row r="5887" spans="65:67" ht="18.75" customHeight="1">
      <c r="BM5887" s="1025"/>
      <c r="BO5887" s="43"/>
    </row>
    <row r="5888" spans="65:67" ht="18.75" customHeight="1">
      <c r="BM5888" s="1025"/>
      <c r="BO5888" s="43"/>
    </row>
    <row r="5889" spans="65:67" ht="18.75" customHeight="1">
      <c r="BM5889" s="1025"/>
      <c r="BO5889" s="43"/>
    </row>
    <row r="5890" spans="65:67" ht="18.75" customHeight="1">
      <c r="BM5890" s="1025"/>
      <c r="BO5890" s="43"/>
    </row>
    <row r="5891" spans="65:67" ht="18.75" customHeight="1">
      <c r="BM5891" s="1025"/>
      <c r="BO5891" s="43"/>
    </row>
    <row r="5892" spans="65:67" ht="18.75" customHeight="1">
      <c r="BM5892" s="1025"/>
      <c r="BO5892" s="43"/>
    </row>
    <row r="5893" spans="65:67" ht="18.75" customHeight="1">
      <c r="BM5893" s="1025"/>
      <c r="BO5893" s="43"/>
    </row>
    <row r="5894" spans="65:67" ht="18.75" customHeight="1">
      <c r="BM5894" s="1025"/>
      <c r="BO5894" s="43"/>
    </row>
    <row r="5895" spans="65:67" ht="18.75" customHeight="1">
      <c r="BM5895" s="1025"/>
      <c r="BO5895" s="43"/>
    </row>
    <row r="5896" spans="65:67" ht="18.75" customHeight="1">
      <c r="BM5896" s="1025"/>
      <c r="BO5896" s="43"/>
    </row>
    <row r="5897" spans="65:67" ht="18.75" customHeight="1">
      <c r="BM5897" s="1025"/>
      <c r="BO5897" s="43"/>
    </row>
    <row r="5898" spans="65:67" ht="18.75" customHeight="1">
      <c r="BM5898" s="1025"/>
      <c r="BO5898" s="43"/>
    </row>
    <row r="5899" spans="65:67" ht="18.75" customHeight="1">
      <c r="BM5899" s="1025"/>
      <c r="BO5899" s="43"/>
    </row>
    <row r="5900" spans="65:67" ht="18.75" customHeight="1">
      <c r="BM5900" s="1025"/>
      <c r="BO5900" s="43"/>
    </row>
    <row r="5901" spans="65:67" ht="18.75" customHeight="1">
      <c r="BM5901" s="1025"/>
      <c r="BO5901" s="43"/>
    </row>
    <row r="5902" spans="65:67" ht="18.75" customHeight="1">
      <c r="BM5902" s="1025"/>
      <c r="BO5902" s="43"/>
    </row>
    <row r="5903" spans="65:67" ht="18.75" customHeight="1">
      <c r="BM5903" s="1025"/>
      <c r="BO5903" s="43"/>
    </row>
    <row r="5904" spans="65:67" ht="18.75" customHeight="1">
      <c r="BM5904" s="1025"/>
      <c r="BO5904" s="43"/>
    </row>
    <row r="5905" spans="65:67" ht="18.75" customHeight="1">
      <c r="BM5905" s="1025"/>
      <c r="BO5905" s="43"/>
    </row>
    <row r="5906" spans="65:67" ht="18.75" customHeight="1">
      <c r="BM5906" s="1025"/>
      <c r="BO5906" s="43"/>
    </row>
    <row r="5907" spans="65:67" ht="18.75" customHeight="1">
      <c r="BM5907" s="1025"/>
      <c r="BO5907" s="43"/>
    </row>
    <row r="5908" spans="65:67" ht="18.75" customHeight="1">
      <c r="BM5908" s="1025"/>
      <c r="BO5908" s="43"/>
    </row>
    <row r="5909" spans="65:67" ht="18.75" customHeight="1">
      <c r="BM5909" s="1025"/>
      <c r="BO5909" s="43"/>
    </row>
    <row r="5910" spans="65:67" ht="18.75" customHeight="1">
      <c r="BM5910" s="1025"/>
      <c r="BO5910" s="43"/>
    </row>
    <row r="5911" spans="65:67" ht="18.75" customHeight="1">
      <c r="BM5911" s="1025"/>
      <c r="BO5911" s="43"/>
    </row>
    <row r="5912" spans="65:67" ht="18.75" customHeight="1">
      <c r="BM5912" s="1025"/>
      <c r="BO5912" s="43"/>
    </row>
    <row r="5913" spans="65:67" ht="18.75" customHeight="1">
      <c r="BM5913" s="1025"/>
      <c r="BO5913" s="43"/>
    </row>
    <row r="5914" spans="65:67" ht="18.75" customHeight="1">
      <c r="BM5914" s="1025"/>
      <c r="BO5914" s="43"/>
    </row>
    <row r="5915" spans="65:67" ht="18.75" customHeight="1">
      <c r="BM5915" s="1025"/>
      <c r="BO5915" s="43"/>
    </row>
    <row r="5916" spans="65:67" ht="18.75" customHeight="1">
      <c r="BM5916" s="1025"/>
      <c r="BO5916" s="43"/>
    </row>
    <row r="5917" spans="65:67" ht="18.75" customHeight="1">
      <c r="BM5917" s="1025"/>
      <c r="BO5917" s="43"/>
    </row>
    <row r="5918" spans="65:67" ht="18.75" customHeight="1">
      <c r="BM5918" s="1025"/>
      <c r="BO5918" s="43"/>
    </row>
    <row r="5919" spans="65:67" ht="18.75" customHeight="1">
      <c r="BM5919" s="1025"/>
      <c r="BO5919" s="43"/>
    </row>
    <row r="5920" spans="65:67" ht="18.75" customHeight="1">
      <c r="BM5920" s="1025"/>
      <c r="BO5920" s="43"/>
    </row>
    <row r="5921" spans="65:67" ht="18.75" customHeight="1">
      <c r="BM5921" s="1025"/>
      <c r="BO5921" s="43"/>
    </row>
    <row r="5922" spans="65:67" ht="18.75" customHeight="1">
      <c r="BM5922" s="1025"/>
      <c r="BO5922" s="43"/>
    </row>
    <row r="5923" spans="65:67" ht="18.75" customHeight="1">
      <c r="BM5923" s="1025"/>
      <c r="BO5923" s="43"/>
    </row>
    <row r="5924" spans="65:67" ht="18.75" customHeight="1">
      <c r="BM5924" s="1025"/>
      <c r="BO5924" s="43"/>
    </row>
    <row r="5925" spans="65:67" ht="18.75" customHeight="1">
      <c r="BM5925" s="1025"/>
      <c r="BO5925" s="43"/>
    </row>
    <row r="5926" spans="65:67" ht="18.75" customHeight="1">
      <c r="BM5926" s="1025"/>
      <c r="BO5926" s="43"/>
    </row>
    <row r="5927" spans="65:67" ht="18.75" customHeight="1">
      <c r="BM5927" s="1025"/>
      <c r="BO5927" s="43"/>
    </row>
    <row r="5928" spans="65:67" ht="18.75" customHeight="1">
      <c r="BM5928" s="1025"/>
      <c r="BO5928" s="43"/>
    </row>
    <row r="5929" spans="65:67" ht="18.75" customHeight="1">
      <c r="BM5929" s="1025"/>
      <c r="BO5929" s="43"/>
    </row>
    <row r="5930" spans="65:67" ht="18.75" customHeight="1">
      <c r="BM5930" s="1025"/>
      <c r="BO5930" s="43"/>
    </row>
    <row r="5931" spans="65:67" ht="18.75" customHeight="1">
      <c r="BM5931" s="1025"/>
      <c r="BO5931" s="43"/>
    </row>
    <row r="5932" spans="65:67" ht="18.75" customHeight="1">
      <c r="BM5932" s="1025"/>
      <c r="BO5932" s="43"/>
    </row>
    <row r="5933" spans="65:67" ht="18.75" customHeight="1">
      <c r="BM5933" s="1025"/>
      <c r="BO5933" s="43"/>
    </row>
    <row r="5934" spans="65:67" ht="18.75" customHeight="1">
      <c r="BM5934" s="1025"/>
      <c r="BO5934" s="43"/>
    </row>
    <row r="5935" spans="65:67" ht="18.75" customHeight="1">
      <c r="BM5935" s="1025"/>
      <c r="BO5935" s="43"/>
    </row>
    <row r="5936" spans="65:67" ht="18.75" customHeight="1">
      <c r="BM5936" s="1025"/>
      <c r="BO5936" s="43"/>
    </row>
    <row r="5937" spans="65:67" ht="18.75" customHeight="1">
      <c r="BM5937" s="1025"/>
      <c r="BO5937" s="43"/>
    </row>
    <row r="5938" spans="65:67" ht="18.75" customHeight="1">
      <c r="BM5938" s="1025"/>
      <c r="BO5938" s="43"/>
    </row>
    <row r="5939" spans="65:67" ht="18.75" customHeight="1">
      <c r="BM5939" s="1025"/>
      <c r="BO5939" s="43"/>
    </row>
    <row r="5940" spans="65:67" ht="18.75" customHeight="1">
      <c r="BM5940" s="1025"/>
      <c r="BO5940" s="43"/>
    </row>
    <row r="5941" spans="65:67" ht="18.75" customHeight="1">
      <c r="BM5941" s="1025"/>
      <c r="BO5941" s="43"/>
    </row>
    <row r="5942" spans="65:67" ht="18.75" customHeight="1">
      <c r="BM5942" s="1025"/>
      <c r="BO5942" s="43"/>
    </row>
    <row r="5943" spans="65:67" ht="18.75" customHeight="1">
      <c r="BM5943" s="1025"/>
      <c r="BO5943" s="43"/>
    </row>
    <row r="5944" spans="65:67" ht="18.75" customHeight="1">
      <c r="BM5944" s="1025"/>
      <c r="BO5944" s="43"/>
    </row>
    <row r="5945" spans="65:67" ht="18.75" customHeight="1">
      <c r="BM5945" s="1025"/>
      <c r="BO5945" s="43"/>
    </row>
    <row r="5946" spans="65:67" ht="18.75" customHeight="1">
      <c r="BM5946" s="1025"/>
      <c r="BO5946" s="43"/>
    </row>
    <row r="5947" spans="65:67" ht="18.75" customHeight="1">
      <c r="BM5947" s="1025"/>
      <c r="BO5947" s="43"/>
    </row>
    <row r="5948" spans="65:67" ht="18.75" customHeight="1">
      <c r="BM5948" s="1025"/>
      <c r="BO5948" s="43"/>
    </row>
    <row r="5949" spans="65:67" ht="18.75" customHeight="1">
      <c r="BM5949" s="1025"/>
      <c r="BO5949" s="43"/>
    </row>
    <row r="5950" spans="65:67" ht="18.75" customHeight="1">
      <c r="BM5950" s="1025"/>
      <c r="BO5950" s="43"/>
    </row>
    <row r="5951" spans="65:67" ht="18.75" customHeight="1">
      <c r="BM5951" s="1025"/>
      <c r="BO5951" s="43"/>
    </row>
    <row r="5952" spans="65:67" ht="18.75" customHeight="1">
      <c r="BM5952" s="1025"/>
      <c r="BO5952" s="43"/>
    </row>
    <row r="5953" spans="65:67" ht="18.75" customHeight="1">
      <c r="BM5953" s="1025"/>
      <c r="BO5953" s="43"/>
    </row>
    <row r="5954" spans="65:67" ht="18.75" customHeight="1">
      <c r="BM5954" s="1025"/>
      <c r="BO5954" s="43"/>
    </row>
    <row r="5955" spans="65:67" ht="18.75" customHeight="1">
      <c r="BM5955" s="1025"/>
      <c r="BO5955" s="43"/>
    </row>
    <row r="5956" spans="65:67" ht="18.75" customHeight="1">
      <c r="BM5956" s="1025"/>
      <c r="BO5956" s="43"/>
    </row>
    <row r="5957" spans="65:67" ht="18.75" customHeight="1">
      <c r="BM5957" s="1025"/>
      <c r="BO5957" s="43"/>
    </row>
    <row r="5958" spans="65:67" ht="18.75" customHeight="1">
      <c r="BM5958" s="1025"/>
      <c r="BO5958" s="43"/>
    </row>
    <row r="5959" spans="65:67" ht="18.75" customHeight="1">
      <c r="BM5959" s="1025"/>
      <c r="BO5959" s="43"/>
    </row>
    <row r="5960" spans="65:67" ht="18.75" customHeight="1">
      <c r="BM5960" s="1025"/>
      <c r="BO5960" s="43"/>
    </row>
    <row r="5961" spans="65:67" ht="18.75" customHeight="1">
      <c r="BM5961" s="1025"/>
      <c r="BO5961" s="43"/>
    </row>
    <row r="5962" spans="65:67" ht="18.75" customHeight="1">
      <c r="BM5962" s="1025"/>
      <c r="BO5962" s="43"/>
    </row>
    <row r="5963" spans="65:67" ht="18.75" customHeight="1">
      <c r="BM5963" s="1025"/>
      <c r="BO5963" s="43"/>
    </row>
    <row r="5964" spans="65:67" ht="18.75" customHeight="1">
      <c r="BM5964" s="1025"/>
      <c r="BO5964" s="43"/>
    </row>
    <row r="5965" spans="65:67" ht="18.75" customHeight="1">
      <c r="BM5965" s="1025"/>
      <c r="BO5965" s="43"/>
    </row>
    <row r="5966" spans="65:67" ht="18.75" customHeight="1">
      <c r="BM5966" s="1025"/>
      <c r="BO5966" s="43"/>
    </row>
    <row r="5967" spans="65:67" ht="18.75" customHeight="1">
      <c r="BM5967" s="1025"/>
      <c r="BO5967" s="43"/>
    </row>
    <row r="5968" spans="65:67" ht="18.75" customHeight="1">
      <c r="BM5968" s="1025"/>
      <c r="BO5968" s="43"/>
    </row>
    <row r="5969" spans="65:67" ht="18.75" customHeight="1">
      <c r="BM5969" s="1025"/>
      <c r="BO5969" s="43"/>
    </row>
    <row r="5970" spans="65:67" ht="18.75" customHeight="1">
      <c r="BM5970" s="1025"/>
      <c r="BO5970" s="43"/>
    </row>
    <row r="5971" spans="65:67" ht="18.75" customHeight="1">
      <c r="BM5971" s="1025"/>
      <c r="BO5971" s="43"/>
    </row>
    <row r="5972" spans="65:67" ht="18.75" customHeight="1">
      <c r="BM5972" s="1025"/>
      <c r="BO5972" s="43"/>
    </row>
    <row r="5973" spans="65:67" ht="18.75" customHeight="1">
      <c r="BM5973" s="1025"/>
      <c r="BO5973" s="43"/>
    </row>
    <row r="5974" spans="65:67" ht="18.75" customHeight="1">
      <c r="BM5974" s="1025"/>
      <c r="BO5974" s="43"/>
    </row>
    <row r="5975" spans="65:67" ht="18.75" customHeight="1">
      <c r="BM5975" s="1025"/>
      <c r="BO5975" s="43"/>
    </row>
    <row r="5976" spans="65:67" ht="18.75" customHeight="1">
      <c r="BM5976" s="1025"/>
      <c r="BO5976" s="43"/>
    </row>
    <row r="5977" spans="65:67" ht="18.75" customHeight="1">
      <c r="BM5977" s="1025"/>
      <c r="BO5977" s="43"/>
    </row>
    <row r="5978" spans="65:67" ht="18.75" customHeight="1">
      <c r="BM5978" s="1025"/>
      <c r="BO5978" s="43"/>
    </row>
    <row r="5979" spans="65:67" ht="18.75" customHeight="1">
      <c r="BM5979" s="1025"/>
      <c r="BO5979" s="43"/>
    </row>
    <row r="5980" spans="65:67" ht="18.75" customHeight="1">
      <c r="BM5980" s="1025"/>
      <c r="BO5980" s="43"/>
    </row>
    <row r="5981" spans="65:67" ht="18.75" customHeight="1">
      <c r="BM5981" s="1025"/>
      <c r="BO5981" s="43"/>
    </row>
    <row r="5982" spans="65:67" ht="18.75" customHeight="1">
      <c r="BM5982" s="1025"/>
      <c r="BO5982" s="43"/>
    </row>
    <row r="5983" spans="65:67" ht="18.75" customHeight="1">
      <c r="BM5983" s="1025"/>
      <c r="BO5983" s="43"/>
    </row>
    <row r="5984" spans="65:67" ht="18.75" customHeight="1">
      <c r="BM5984" s="1025"/>
      <c r="BO5984" s="43"/>
    </row>
    <row r="5985" spans="65:67" ht="18.75" customHeight="1">
      <c r="BM5985" s="1025"/>
      <c r="BO5985" s="43"/>
    </row>
    <row r="5986" spans="65:67" ht="18.75" customHeight="1">
      <c r="BM5986" s="1025"/>
      <c r="BO5986" s="43"/>
    </row>
    <row r="5987" spans="65:67" ht="18.75" customHeight="1">
      <c r="BM5987" s="1025"/>
      <c r="BO5987" s="43"/>
    </row>
    <row r="5988" spans="65:67" ht="18.75" customHeight="1">
      <c r="BM5988" s="1025"/>
      <c r="BO5988" s="43"/>
    </row>
    <row r="5989" spans="65:67" ht="18.75" customHeight="1">
      <c r="BM5989" s="1025"/>
      <c r="BO5989" s="43"/>
    </row>
    <row r="5990" spans="65:67" ht="18.75" customHeight="1">
      <c r="BM5990" s="1025"/>
      <c r="BO5990" s="43"/>
    </row>
    <row r="5991" spans="65:67" ht="18.75" customHeight="1">
      <c r="BM5991" s="1025"/>
      <c r="BO5991" s="43"/>
    </row>
    <row r="5992" spans="65:67" ht="18.75" customHeight="1">
      <c r="BM5992" s="1025"/>
      <c r="BO5992" s="43"/>
    </row>
    <row r="5993" spans="65:67" ht="18.75" customHeight="1">
      <c r="BM5993" s="1025"/>
      <c r="BO5993" s="43"/>
    </row>
    <row r="5994" spans="65:67" ht="18.75" customHeight="1">
      <c r="BM5994" s="1025"/>
      <c r="BO5994" s="43"/>
    </row>
    <row r="5995" spans="65:67" ht="18.75" customHeight="1">
      <c r="BM5995" s="1025"/>
      <c r="BO5995" s="43"/>
    </row>
    <row r="5996" spans="65:67" ht="18.75" customHeight="1">
      <c r="BM5996" s="1025"/>
      <c r="BO5996" s="43"/>
    </row>
    <row r="5997" spans="65:67" ht="18.75" customHeight="1">
      <c r="BM5997" s="1025"/>
      <c r="BO5997" s="43"/>
    </row>
    <row r="5998" spans="65:67" ht="18.75" customHeight="1">
      <c r="BM5998" s="1025"/>
      <c r="BO5998" s="43"/>
    </row>
    <row r="5999" spans="65:67" ht="18.75" customHeight="1">
      <c r="BM5999" s="1025"/>
      <c r="BO5999" s="43"/>
    </row>
    <row r="6000" spans="65:67" ht="18.75" customHeight="1">
      <c r="BM6000" s="1025"/>
      <c r="BO6000" s="43"/>
    </row>
    <row r="6001" spans="65:67" ht="18.75" customHeight="1">
      <c r="BM6001" s="1025"/>
      <c r="BO6001" s="43"/>
    </row>
    <row r="6002" spans="65:67" ht="18.75" customHeight="1">
      <c r="BM6002" s="1025"/>
      <c r="BO6002" s="43"/>
    </row>
    <row r="6003" spans="65:67" ht="18.75" customHeight="1">
      <c r="BM6003" s="1025"/>
      <c r="BO6003" s="43"/>
    </row>
    <row r="6004" spans="65:67" ht="18.75" customHeight="1">
      <c r="BM6004" s="1025"/>
      <c r="BO6004" s="43"/>
    </row>
    <row r="6005" spans="65:67" ht="18.75" customHeight="1">
      <c r="BM6005" s="1025"/>
      <c r="BO6005" s="43"/>
    </row>
    <row r="6006" spans="65:67" ht="18.75" customHeight="1">
      <c r="BM6006" s="1025"/>
      <c r="BO6006" s="43"/>
    </row>
    <row r="6007" spans="65:67" ht="18.75" customHeight="1">
      <c r="BM6007" s="1025"/>
      <c r="BO6007" s="43"/>
    </row>
    <row r="6008" spans="65:67" ht="18.75" customHeight="1">
      <c r="BM6008" s="1025"/>
      <c r="BO6008" s="43"/>
    </row>
    <row r="6009" spans="65:67" ht="18.75" customHeight="1">
      <c r="BM6009" s="1025"/>
      <c r="BO6009" s="43"/>
    </row>
    <row r="6010" spans="65:67" ht="18.75" customHeight="1">
      <c r="BM6010" s="1025"/>
      <c r="BO6010" s="43"/>
    </row>
    <row r="6011" spans="65:67" ht="18.75" customHeight="1">
      <c r="BM6011" s="1025"/>
      <c r="BO6011" s="43"/>
    </row>
    <row r="6012" spans="65:67" ht="18.75" customHeight="1">
      <c r="BM6012" s="1025"/>
      <c r="BO6012" s="43"/>
    </row>
    <row r="6013" spans="65:67" ht="18.75" customHeight="1">
      <c r="BM6013" s="1025"/>
      <c r="BO6013" s="43"/>
    </row>
    <row r="6014" spans="65:67" ht="18.75" customHeight="1">
      <c r="BM6014" s="1025"/>
      <c r="BO6014" s="43"/>
    </row>
    <row r="6015" spans="65:67" ht="18.75" customHeight="1">
      <c r="BM6015" s="1025"/>
      <c r="BO6015" s="43"/>
    </row>
    <row r="6016" spans="65:67" ht="18.75" customHeight="1">
      <c r="BM6016" s="1025"/>
      <c r="BO6016" s="43"/>
    </row>
    <row r="6017" spans="65:67" ht="18.75" customHeight="1">
      <c r="BM6017" s="1025"/>
      <c r="BO6017" s="43"/>
    </row>
    <row r="6018" spans="65:67" ht="18.75" customHeight="1">
      <c r="BM6018" s="1025"/>
      <c r="BO6018" s="43"/>
    </row>
    <row r="6019" spans="65:67" ht="18.75" customHeight="1">
      <c r="BM6019" s="1025"/>
      <c r="BO6019" s="43"/>
    </row>
    <row r="6020" spans="65:67" ht="18.75" customHeight="1">
      <c r="BM6020" s="1025"/>
      <c r="BO6020" s="43"/>
    </row>
    <row r="6021" spans="65:67" ht="18.75" customHeight="1">
      <c r="BM6021" s="1025"/>
      <c r="BO6021" s="43"/>
    </row>
    <row r="6022" spans="65:67" ht="18.75" customHeight="1">
      <c r="BM6022" s="1025"/>
      <c r="BO6022" s="43"/>
    </row>
    <row r="6023" spans="65:67" ht="18.75" customHeight="1">
      <c r="BM6023" s="1025"/>
      <c r="BO6023" s="43"/>
    </row>
    <row r="6024" spans="65:67" ht="18.75" customHeight="1">
      <c r="BM6024" s="1025"/>
      <c r="BO6024" s="43"/>
    </row>
    <row r="6025" spans="65:67" ht="18.75" customHeight="1">
      <c r="BM6025" s="1025"/>
      <c r="BO6025" s="43"/>
    </row>
    <row r="6026" spans="65:67" ht="18.75" customHeight="1">
      <c r="BM6026" s="1025"/>
      <c r="BO6026" s="43"/>
    </row>
    <row r="6027" spans="65:67" ht="18.75" customHeight="1">
      <c r="BM6027" s="1025"/>
      <c r="BO6027" s="43"/>
    </row>
    <row r="6028" spans="65:67" ht="18.75" customHeight="1">
      <c r="BM6028" s="1025"/>
      <c r="BO6028" s="43"/>
    </row>
    <row r="6029" spans="65:67" ht="18.75" customHeight="1">
      <c r="BM6029" s="1025"/>
      <c r="BO6029" s="43"/>
    </row>
    <row r="6030" spans="65:67" ht="18.75" customHeight="1">
      <c r="BM6030" s="1025"/>
      <c r="BO6030" s="43"/>
    </row>
    <row r="6031" spans="65:67" ht="18.75" customHeight="1">
      <c r="BM6031" s="1025"/>
      <c r="BO6031" s="43"/>
    </row>
    <row r="6032" spans="65:67" ht="18.75" customHeight="1">
      <c r="BM6032" s="1025"/>
      <c r="BO6032" s="43"/>
    </row>
    <row r="6033" spans="65:67" ht="18.75" customHeight="1">
      <c r="BM6033" s="1025"/>
      <c r="BO6033" s="43"/>
    </row>
    <row r="6034" spans="65:67" ht="18.75" customHeight="1">
      <c r="BM6034" s="1025"/>
      <c r="BO6034" s="43"/>
    </row>
    <row r="6035" spans="65:67" ht="18.75" customHeight="1">
      <c r="BM6035" s="1025"/>
      <c r="BO6035" s="43"/>
    </row>
    <row r="6036" spans="65:67" ht="18.75" customHeight="1">
      <c r="BM6036" s="1025"/>
      <c r="BO6036" s="43"/>
    </row>
    <row r="6037" spans="65:67" ht="18.75" customHeight="1">
      <c r="BM6037" s="1025"/>
      <c r="BO6037" s="43"/>
    </row>
    <row r="6038" spans="65:67" ht="18.75" customHeight="1">
      <c r="BM6038" s="1025"/>
      <c r="BO6038" s="43"/>
    </row>
    <row r="6039" spans="65:67" ht="18.75" customHeight="1">
      <c r="BM6039" s="1025"/>
      <c r="BO6039" s="43"/>
    </row>
    <row r="6040" spans="65:67" ht="18.75" customHeight="1">
      <c r="BM6040" s="1025"/>
      <c r="BO6040" s="43"/>
    </row>
    <row r="6041" spans="65:67" ht="18.75" customHeight="1">
      <c r="BM6041" s="1025"/>
      <c r="BO6041" s="43"/>
    </row>
    <row r="6042" spans="65:67" ht="18.75" customHeight="1">
      <c r="BM6042" s="1025"/>
      <c r="BO6042" s="43"/>
    </row>
    <row r="6043" spans="65:67" ht="18.75" customHeight="1">
      <c r="BM6043" s="1025"/>
      <c r="BO6043" s="43"/>
    </row>
    <row r="6044" spans="65:67" ht="18.75" customHeight="1">
      <c r="BM6044" s="1025"/>
      <c r="BO6044" s="43"/>
    </row>
    <row r="6045" spans="65:67" ht="18.75" customHeight="1">
      <c r="BM6045" s="1025"/>
      <c r="BO6045" s="43"/>
    </row>
    <row r="6046" spans="65:67" ht="18.75" customHeight="1">
      <c r="BM6046" s="1025"/>
      <c r="BO6046" s="43"/>
    </row>
    <row r="6047" spans="65:67" ht="18.75" customHeight="1">
      <c r="BM6047" s="1025"/>
      <c r="BO6047" s="43"/>
    </row>
    <row r="6048" spans="65:67" ht="18.75" customHeight="1">
      <c r="BM6048" s="1025"/>
      <c r="BO6048" s="43"/>
    </row>
    <row r="6049" spans="65:67" ht="18.75" customHeight="1">
      <c r="BM6049" s="1025"/>
      <c r="BO6049" s="43"/>
    </row>
    <row r="6050" spans="65:67" ht="18.75" customHeight="1">
      <c r="BM6050" s="1025"/>
      <c r="BO6050" s="43"/>
    </row>
    <row r="6051" spans="65:67" ht="18.75" customHeight="1">
      <c r="BM6051" s="1025"/>
      <c r="BO6051" s="43"/>
    </row>
    <row r="6052" spans="65:67" ht="18.75" customHeight="1">
      <c r="BM6052" s="1025"/>
      <c r="BO6052" s="43"/>
    </row>
    <row r="6053" spans="65:67" ht="18.75" customHeight="1">
      <c r="BM6053" s="1025"/>
      <c r="BO6053" s="43"/>
    </row>
    <row r="6054" spans="65:67" ht="18.75" customHeight="1">
      <c r="BM6054" s="1025"/>
      <c r="BO6054" s="43"/>
    </row>
    <row r="6055" spans="65:67" ht="18.75" customHeight="1">
      <c r="BM6055" s="1025"/>
      <c r="BO6055" s="43"/>
    </row>
    <row r="6056" spans="65:67" ht="18.75" customHeight="1">
      <c r="BM6056" s="1025"/>
      <c r="BO6056" s="43"/>
    </row>
    <row r="6057" spans="65:67" ht="18.75" customHeight="1">
      <c r="BM6057" s="1025"/>
      <c r="BO6057" s="43"/>
    </row>
    <row r="6058" spans="65:67" ht="18.75" customHeight="1">
      <c r="BM6058" s="1025"/>
      <c r="BO6058" s="43"/>
    </row>
    <row r="6059" spans="65:67" ht="18.75" customHeight="1">
      <c r="BM6059" s="1025"/>
      <c r="BO6059" s="43"/>
    </row>
    <row r="6060" spans="65:67" ht="18.75" customHeight="1">
      <c r="BM6060" s="1025"/>
      <c r="BO6060" s="43"/>
    </row>
    <row r="6061" spans="65:67" ht="18.75" customHeight="1">
      <c r="BM6061" s="1025"/>
      <c r="BO6061" s="43"/>
    </row>
    <row r="6062" spans="65:67" ht="18.75" customHeight="1">
      <c r="BM6062" s="1025"/>
      <c r="BO6062" s="43"/>
    </row>
    <row r="6063" spans="65:67" ht="18.75" customHeight="1">
      <c r="BM6063" s="1025"/>
      <c r="BO6063" s="43"/>
    </row>
    <row r="6064" spans="65:67" ht="18.75" customHeight="1">
      <c r="BM6064" s="1025"/>
      <c r="BO6064" s="43"/>
    </row>
    <row r="6065" spans="65:67" ht="18.75" customHeight="1">
      <c r="BM6065" s="1025"/>
      <c r="BO6065" s="43"/>
    </row>
    <row r="6066" spans="65:67" ht="18.75" customHeight="1">
      <c r="BM6066" s="1025"/>
      <c r="BO6066" s="43"/>
    </row>
    <row r="6067" spans="65:67" ht="18.75" customHeight="1">
      <c r="BM6067" s="1025"/>
      <c r="BO6067" s="43"/>
    </row>
    <row r="6068" spans="65:67" ht="18.75" customHeight="1">
      <c r="BM6068" s="1025"/>
      <c r="BO6068" s="43"/>
    </row>
    <row r="6069" spans="65:67" ht="18.75" customHeight="1">
      <c r="BM6069" s="1025"/>
      <c r="BO6069" s="43"/>
    </row>
    <row r="6070" spans="65:67" ht="18.75" customHeight="1">
      <c r="BM6070" s="1025"/>
      <c r="BO6070" s="43"/>
    </row>
    <row r="6071" spans="65:67" ht="18.75" customHeight="1">
      <c r="BM6071" s="1025"/>
      <c r="BO6071" s="43"/>
    </row>
    <row r="6072" spans="65:67" ht="18.75" customHeight="1">
      <c r="BM6072" s="1025"/>
      <c r="BO6072" s="43"/>
    </row>
    <row r="6073" spans="65:67" ht="18.75" customHeight="1">
      <c r="BM6073" s="1025"/>
      <c r="BO6073" s="43"/>
    </row>
    <row r="6074" spans="65:67" ht="18.75" customHeight="1">
      <c r="BM6074" s="1025"/>
      <c r="BO6074" s="43"/>
    </row>
    <row r="6075" spans="65:67" ht="18.75" customHeight="1">
      <c r="BM6075" s="1025"/>
      <c r="BO6075" s="43"/>
    </row>
    <row r="6076" spans="65:67" ht="18.75" customHeight="1">
      <c r="BM6076" s="1025"/>
      <c r="BO6076" s="43"/>
    </row>
    <row r="6077" spans="65:67" ht="18.75" customHeight="1">
      <c r="BM6077" s="1025"/>
      <c r="BO6077" s="43"/>
    </row>
    <row r="6078" spans="65:67" ht="18.75" customHeight="1">
      <c r="BM6078" s="1025"/>
      <c r="BO6078" s="43"/>
    </row>
    <row r="6079" spans="65:67" ht="18.75" customHeight="1">
      <c r="BM6079" s="1025"/>
      <c r="BO6079" s="43"/>
    </row>
    <row r="6080" spans="65:67" ht="18.75" customHeight="1">
      <c r="BM6080" s="1025"/>
      <c r="BO6080" s="43"/>
    </row>
    <row r="6081" spans="65:67" ht="18.75" customHeight="1">
      <c r="BM6081" s="1025"/>
      <c r="BO6081" s="43"/>
    </row>
    <row r="6082" spans="65:67" ht="18.75" customHeight="1">
      <c r="BM6082" s="1025"/>
      <c r="BO6082" s="43"/>
    </row>
    <row r="6083" spans="65:67" ht="18.75" customHeight="1">
      <c r="BM6083" s="1025"/>
      <c r="BO6083" s="43"/>
    </row>
    <row r="6084" spans="65:67" ht="18.75" customHeight="1">
      <c r="BM6084" s="1025"/>
      <c r="BO6084" s="43"/>
    </row>
    <row r="6085" spans="65:67" ht="18.75" customHeight="1">
      <c r="BM6085" s="1025"/>
      <c r="BO6085" s="43"/>
    </row>
    <row r="6086" spans="65:67" ht="18.75" customHeight="1">
      <c r="BM6086" s="1025"/>
      <c r="BO6086" s="43"/>
    </row>
    <row r="6087" spans="65:67" ht="18.75" customHeight="1">
      <c r="BM6087" s="1025"/>
      <c r="BO6087" s="43"/>
    </row>
    <row r="6088" spans="65:67" ht="18.75" customHeight="1">
      <c r="BM6088" s="1025"/>
      <c r="BO6088" s="43"/>
    </row>
    <row r="6089" spans="65:67" ht="18.75" customHeight="1">
      <c r="BM6089" s="1025"/>
      <c r="BO6089" s="43"/>
    </row>
    <row r="6090" spans="65:67" ht="18.75" customHeight="1">
      <c r="BM6090" s="1025"/>
      <c r="BO6090" s="43"/>
    </row>
    <row r="6091" spans="65:67" ht="18.75" customHeight="1">
      <c r="BM6091" s="1025"/>
      <c r="BO6091" s="43"/>
    </row>
    <row r="6092" spans="65:67" ht="18.75" customHeight="1">
      <c r="BM6092" s="1025"/>
      <c r="BO6092" s="43"/>
    </row>
    <row r="6093" spans="65:67" ht="18.75" customHeight="1">
      <c r="BM6093" s="1025"/>
      <c r="BO6093" s="43"/>
    </row>
    <row r="6094" spans="65:67" ht="18.75" customHeight="1">
      <c r="BM6094" s="1025"/>
      <c r="BO6094" s="43"/>
    </row>
    <row r="6095" spans="65:67" ht="18.75" customHeight="1">
      <c r="BM6095" s="1025"/>
      <c r="BO6095" s="43"/>
    </row>
    <row r="6096" spans="65:67" ht="18.75" customHeight="1">
      <c r="BM6096" s="1025"/>
      <c r="BO6096" s="43"/>
    </row>
    <row r="6097" spans="65:67" ht="18.75" customHeight="1">
      <c r="BM6097" s="1025"/>
      <c r="BO6097" s="43"/>
    </row>
    <row r="6098" spans="65:67" ht="18.75" customHeight="1">
      <c r="BM6098" s="1025"/>
      <c r="BO6098" s="43"/>
    </row>
    <row r="6099" spans="65:67" ht="18.75" customHeight="1">
      <c r="BM6099" s="1025"/>
      <c r="BO6099" s="43"/>
    </row>
    <row r="6100" spans="65:67" ht="18.75" customHeight="1">
      <c r="BM6100" s="1025"/>
      <c r="BO6100" s="43"/>
    </row>
    <row r="6101" spans="65:67" ht="18.75" customHeight="1">
      <c r="BM6101" s="1025"/>
      <c r="BO6101" s="43"/>
    </row>
    <row r="6102" spans="65:67" ht="18.75" customHeight="1">
      <c r="BM6102" s="1025"/>
      <c r="BO6102" s="43"/>
    </row>
    <row r="6103" spans="65:67" ht="18.75" customHeight="1">
      <c r="BM6103" s="1025"/>
      <c r="BO6103" s="43"/>
    </row>
    <row r="6104" spans="65:67" ht="18.75" customHeight="1">
      <c r="BM6104" s="1025"/>
      <c r="BO6104" s="43"/>
    </row>
    <row r="6105" spans="65:67" ht="18.75" customHeight="1">
      <c r="BM6105" s="1025"/>
      <c r="BO6105" s="43"/>
    </row>
    <row r="6106" spans="65:67" ht="18.75" customHeight="1">
      <c r="BM6106" s="1025"/>
      <c r="BO6106" s="43"/>
    </row>
    <row r="6107" spans="65:67" ht="18.75" customHeight="1">
      <c r="BM6107" s="1025"/>
      <c r="BO6107" s="43"/>
    </row>
    <row r="6108" spans="65:67" ht="18.75" customHeight="1">
      <c r="BM6108" s="1025"/>
      <c r="BO6108" s="43"/>
    </row>
    <row r="6109" spans="65:67" ht="18.75" customHeight="1">
      <c r="BM6109" s="1025"/>
      <c r="BO6109" s="43"/>
    </row>
    <row r="6110" spans="65:67" ht="18.75" customHeight="1">
      <c r="BM6110" s="1025"/>
      <c r="BO6110" s="43"/>
    </row>
    <row r="6111" spans="65:67" ht="18.75" customHeight="1">
      <c r="BM6111" s="1025"/>
      <c r="BO6111" s="43"/>
    </row>
    <row r="6112" spans="65:67" ht="18.75" customHeight="1">
      <c r="BM6112" s="1025"/>
      <c r="BO6112" s="43"/>
    </row>
    <row r="6113" spans="65:67" ht="18.75" customHeight="1">
      <c r="BM6113" s="1025"/>
      <c r="BO6113" s="43"/>
    </row>
    <row r="6114" spans="65:67" ht="18.75" customHeight="1">
      <c r="BM6114" s="1025"/>
      <c r="BO6114" s="43"/>
    </row>
    <row r="6115" spans="65:67" ht="18.75" customHeight="1">
      <c r="BM6115" s="1025"/>
      <c r="BO6115" s="43"/>
    </row>
    <row r="6116" spans="65:67" ht="18.75" customHeight="1">
      <c r="BM6116" s="1025"/>
      <c r="BO6116" s="43"/>
    </row>
    <row r="6117" spans="65:67" ht="18.75" customHeight="1">
      <c r="BM6117" s="1025"/>
      <c r="BO6117" s="43"/>
    </row>
    <row r="6118" spans="65:67" ht="18.75" customHeight="1">
      <c r="BM6118" s="1025"/>
      <c r="BO6118" s="43"/>
    </row>
    <row r="6119" spans="65:67" ht="18.75" customHeight="1">
      <c r="BM6119" s="1025"/>
      <c r="BO6119" s="43"/>
    </row>
    <row r="6120" spans="65:67" ht="18.75" customHeight="1">
      <c r="BM6120" s="1025"/>
      <c r="BO6120" s="43"/>
    </row>
    <row r="6121" spans="65:67" ht="18.75" customHeight="1">
      <c r="BM6121" s="1025"/>
      <c r="BO6121" s="43"/>
    </row>
    <row r="6122" spans="65:67" ht="18.75" customHeight="1">
      <c r="BM6122" s="1025"/>
      <c r="BO6122" s="43"/>
    </row>
    <row r="6123" spans="65:67" ht="18.75" customHeight="1">
      <c r="BM6123" s="1025"/>
      <c r="BO6123" s="43"/>
    </row>
    <row r="6124" spans="65:67" ht="18.75" customHeight="1">
      <c r="BM6124" s="1025"/>
      <c r="BO6124" s="43"/>
    </row>
    <row r="6125" spans="65:67" ht="18.75" customHeight="1">
      <c r="BM6125" s="1025"/>
      <c r="BO6125" s="43"/>
    </row>
    <row r="6126" spans="65:67" ht="18.75" customHeight="1">
      <c r="BM6126" s="1025"/>
      <c r="BO6126" s="43"/>
    </row>
    <row r="6127" spans="65:67" ht="18.75" customHeight="1">
      <c r="BM6127" s="1025"/>
      <c r="BO6127" s="43"/>
    </row>
    <row r="6128" spans="65:67" ht="18.75" customHeight="1">
      <c r="BM6128" s="1025"/>
      <c r="BO6128" s="43"/>
    </row>
    <row r="6129" spans="65:67" ht="18.75" customHeight="1">
      <c r="BM6129" s="1025"/>
      <c r="BO6129" s="43"/>
    </row>
    <row r="6130" spans="65:67" ht="18.75" customHeight="1">
      <c r="BM6130" s="1025"/>
      <c r="BO6130" s="43"/>
    </row>
    <row r="6131" spans="65:67" ht="18.75" customHeight="1">
      <c r="BM6131" s="1025"/>
      <c r="BO6131" s="43"/>
    </row>
    <row r="6132" spans="65:67" ht="18.75" customHeight="1">
      <c r="BM6132" s="1025"/>
      <c r="BO6132" s="43"/>
    </row>
    <row r="6133" spans="65:67" ht="18.75" customHeight="1">
      <c r="BM6133" s="1025"/>
      <c r="BO6133" s="43"/>
    </row>
    <row r="6134" spans="65:67" ht="18.75" customHeight="1">
      <c r="BM6134" s="1025"/>
      <c r="BO6134" s="43"/>
    </row>
    <row r="6135" spans="65:67" ht="18.75" customHeight="1">
      <c r="BM6135" s="1025"/>
      <c r="BO6135" s="43"/>
    </row>
    <row r="6136" spans="65:67" ht="18.75" customHeight="1">
      <c r="BM6136" s="1025"/>
      <c r="BO6136" s="43"/>
    </row>
    <row r="6137" spans="65:67" ht="18.75" customHeight="1">
      <c r="BM6137" s="1025"/>
      <c r="BO6137" s="43"/>
    </row>
    <row r="6138" spans="65:67" ht="18.75" customHeight="1">
      <c r="BM6138" s="1025"/>
      <c r="BO6138" s="43"/>
    </row>
    <row r="6139" spans="65:67" ht="18.75" customHeight="1">
      <c r="BM6139" s="1025"/>
      <c r="BO6139" s="43"/>
    </row>
    <row r="6140" spans="65:67" ht="18.75" customHeight="1">
      <c r="BM6140" s="1025"/>
      <c r="BO6140" s="43"/>
    </row>
    <row r="6141" spans="65:67" ht="18.75" customHeight="1">
      <c r="BM6141" s="1025"/>
      <c r="BO6141" s="43"/>
    </row>
    <row r="6142" spans="65:67" ht="18.75" customHeight="1">
      <c r="BM6142" s="1025"/>
      <c r="BO6142" s="43"/>
    </row>
    <row r="6143" spans="65:67" ht="18.75" customHeight="1">
      <c r="BM6143" s="1025"/>
      <c r="BO6143" s="43"/>
    </row>
    <row r="6144" spans="65:67" ht="18.75" customHeight="1">
      <c r="BM6144" s="1025"/>
      <c r="BO6144" s="43"/>
    </row>
    <row r="6145" spans="65:67" ht="18.75" customHeight="1">
      <c r="BM6145" s="1025"/>
      <c r="BO6145" s="43"/>
    </row>
    <row r="6146" spans="65:67" ht="18.75" customHeight="1">
      <c r="BM6146" s="1025"/>
      <c r="BO6146" s="43"/>
    </row>
    <row r="6147" spans="65:67" ht="18.75" customHeight="1">
      <c r="BM6147" s="1025"/>
      <c r="BO6147" s="43"/>
    </row>
    <row r="6148" spans="65:67" ht="18.75" customHeight="1">
      <c r="BM6148" s="1025"/>
      <c r="BO6148" s="43"/>
    </row>
    <row r="6149" spans="65:67" ht="18.75" customHeight="1">
      <c r="BM6149" s="1025"/>
      <c r="BO6149" s="43"/>
    </row>
    <row r="6150" spans="65:67" ht="18.75" customHeight="1">
      <c r="BM6150" s="1025"/>
      <c r="BO6150" s="43"/>
    </row>
    <row r="6151" spans="65:67" ht="18.75" customHeight="1">
      <c r="BM6151" s="1025"/>
      <c r="BO6151" s="43"/>
    </row>
    <row r="6152" spans="65:67" ht="18.75" customHeight="1">
      <c r="BM6152" s="1025"/>
      <c r="BO6152" s="43"/>
    </row>
    <row r="6153" spans="65:67" ht="18.75" customHeight="1">
      <c r="BM6153" s="1025"/>
      <c r="BO6153" s="43"/>
    </row>
    <row r="6154" spans="65:67" ht="18.75" customHeight="1">
      <c r="BM6154" s="1025"/>
      <c r="BO6154" s="43"/>
    </row>
    <row r="6155" spans="65:67" ht="18.75" customHeight="1">
      <c r="BM6155" s="1025"/>
      <c r="BO6155" s="43"/>
    </row>
    <row r="6156" spans="65:67" ht="18.75" customHeight="1">
      <c r="BM6156" s="1025"/>
      <c r="BO6156" s="43"/>
    </row>
    <row r="6157" spans="65:67" ht="18.75" customHeight="1">
      <c r="BM6157" s="1025"/>
      <c r="BO6157" s="43"/>
    </row>
    <row r="6158" spans="65:67" ht="18.75" customHeight="1">
      <c r="BM6158" s="1025"/>
      <c r="BO6158" s="43"/>
    </row>
    <row r="6159" spans="65:67" ht="18.75" customHeight="1">
      <c r="BM6159" s="1025"/>
      <c r="BO6159" s="43"/>
    </row>
    <row r="6160" spans="65:67" ht="18.75" customHeight="1">
      <c r="BM6160" s="1025"/>
      <c r="BO6160" s="43"/>
    </row>
    <row r="6161" spans="65:67" ht="18.75" customHeight="1">
      <c r="BM6161" s="1025"/>
      <c r="BO6161" s="43"/>
    </row>
    <row r="6162" spans="65:67" ht="18.75" customHeight="1">
      <c r="BM6162" s="1025"/>
      <c r="BO6162" s="43"/>
    </row>
    <row r="6163" spans="65:67" ht="18.75" customHeight="1">
      <c r="BM6163" s="1025"/>
      <c r="BO6163" s="43"/>
    </row>
    <row r="6164" spans="65:67" ht="18.75" customHeight="1">
      <c r="BM6164" s="1025"/>
      <c r="BO6164" s="43"/>
    </row>
    <row r="6165" spans="65:67" ht="18.75" customHeight="1">
      <c r="BM6165" s="1025"/>
      <c r="BO6165" s="43"/>
    </row>
    <row r="6166" spans="65:67" ht="18.75" customHeight="1">
      <c r="BM6166" s="1025"/>
      <c r="BO6166" s="43"/>
    </row>
    <row r="6167" spans="65:67" ht="18.75" customHeight="1">
      <c r="BM6167" s="1025"/>
      <c r="BO6167" s="43"/>
    </row>
    <row r="6168" spans="65:67" ht="18.75" customHeight="1">
      <c r="BM6168" s="1025"/>
      <c r="BO6168" s="43"/>
    </row>
    <row r="6169" spans="65:67" ht="18.75" customHeight="1">
      <c r="BM6169" s="1025"/>
      <c r="BO6169" s="43"/>
    </row>
    <row r="6170" spans="65:67" ht="18.75" customHeight="1">
      <c r="BM6170" s="1025"/>
      <c r="BO6170" s="43"/>
    </row>
    <row r="6171" spans="65:67" ht="18.75" customHeight="1">
      <c r="BM6171" s="1025"/>
      <c r="BO6171" s="43"/>
    </row>
    <row r="6172" spans="65:67" ht="18.75" customHeight="1">
      <c r="BM6172" s="1025"/>
      <c r="BO6172" s="43"/>
    </row>
    <row r="6173" spans="65:67" ht="18.75" customHeight="1">
      <c r="BM6173" s="1025"/>
      <c r="BO6173" s="43"/>
    </row>
    <row r="6174" spans="65:67" ht="18.75" customHeight="1">
      <c r="BM6174" s="1025"/>
      <c r="BO6174" s="43"/>
    </row>
    <row r="6175" spans="65:67" ht="18.75" customHeight="1">
      <c r="BM6175" s="1025"/>
      <c r="BO6175" s="43"/>
    </row>
    <row r="6176" spans="65:67" ht="18.75" customHeight="1">
      <c r="BM6176" s="1025"/>
      <c r="BO6176" s="43"/>
    </row>
    <row r="6177" spans="65:67" ht="18.75" customHeight="1">
      <c r="BM6177" s="1025"/>
      <c r="BO6177" s="43"/>
    </row>
    <row r="6178" spans="65:67" ht="18.75" customHeight="1">
      <c r="BM6178" s="1025"/>
      <c r="BO6178" s="43"/>
    </row>
    <row r="6179" spans="65:67" ht="18.75" customHeight="1">
      <c r="BM6179" s="1025"/>
      <c r="BO6179" s="43"/>
    </row>
    <row r="6180" spans="65:67" ht="18.75" customHeight="1">
      <c r="BM6180" s="1025"/>
      <c r="BO6180" s="43"/>
    </row>
    <row r="6181" spans="65:67" ht="18.75" customHeight="1">
      <c r="BM6181" s="1025"/>
      <c r="BO6181" s="43"/>
    </row>
    <row r="6182" spans="65:67" ht="18.75" customHeight="1">
      <c r="BM6182" s="1025"/>
      <c r="BO6182" s="43"/>
    </row>
    <row r="6183" spans="65:67" ht="18.75" customHeight="1">
      <c r="BM6183" s="1025"/>
      <c r="BO6183" s="43"/>
    </row>
    <row r="6184" spans="65:67" ht="18.75" customHeight="1">
      <c r="BM6184" s="1025"/>
      <c r="BO6184" s="43"/>
    </row>
    <row r="6185" spans="65:67" ht="18.75" customHeight="1">
      <c r="BM6185" s="1025"/>
      <c r="BO6185" s="43"/>
    </row>
    <row r="6186" spans="65:67" ht="18.75" customHeight="1">
      <c r="BM6186" s="1025"/>
      <c r="BO6186" s="43"/>
    </row>
    <row r="6187" spans="65:67" ht="18.75" customHeight="1">
      <c r="BM6187" s="1025"/>
      <c r="BO6187" s="43"/>
    </row>
    <row r="6188" spans="65:67" ht="18.75" customHeight="1">
      <c r="BM6188" s="1025"/>
      <c r="BO6188" s="43"/>
    </row>
    <row r="6189" spans="65:67" ht="18.75" customHeight="1">
      <c r="BM6189" s="1025"/>
      <c r="BO6189" s="43"/>
    </row>
    <row r="6190" spans="65:67" ht="18.75" customHeight="1">
      <c r="BM6190" s="1025"/>
      <c r="BO6190" s="43"/>
    </row>
    <row r="6191" spans="65:67" ht="18.75" customHeight="1">
      <c r="BM6191" s="1025"/>
      <c r="BO6191" s="43"/>
    </row>
    <row r="6192" spans="65:67" ht="18.75" customHeight="1">
      <c r="BM6192" s="1025"/>
      <c r="BO6192" s="43"/>
    </row>
    <row r="6193" spans="65:67" ht="18.75" customHeight="1">
      <c r="BM6193" s="1025"/>
      <c r="BO6193" s="43"/>
    </row>
    <row r="6194" spans="65:67" ht="18.75" customHeight="1">
      <c r="BM6194" s="1025"/>
      <c r="BO6194" s="43"/>
    </row>
    <row r="6195" spans="65:67" ht="18.75" customHeight="1">
      <c r="BM6195" s="1025"/>
      <c r="BO6195" s="43"/>
    </row>
    <row r="6196" spans="65:67" ht="18.75" customHeight="1">
      <c r="BM6196" s="1025"/>
      <c r="BO6196" s="43"/>
    </row>
    <row r="6197" spans="65:67" ht="18.75" customHeight="1">
      <c r="BM6197" s="1025"/>
      <c r="BO6197" s="43"/>
    </row>
    <row r="6198" spans="65:67" ht="18.75" customHeight="1">
      <c r="BM6198" s="1025"/>
      <c r="BO6198" s="43"/>
    </row>
    <row r="6199" spans="65:67" ht="18.75" customHeight="1">
      <c r="BM6199" s="1025"/>
      <c r="BO6199" s="43"/>
    </row>
    <row r="6200" spans="65:67" ht="18.75" customHeight="1">
      <c r="BM6200" s="1025"/>
      <c r="BO6200" s="43"/>
    </row>
    <row r="6201" spans="65:67" ht="18.75" customHeight="1">
      <c r="BM6201" s="1025"/>
      <c r="BO6201" s="43"/>
    </row>
    <row r="6202" spans="65:67" ht="18.75" customHeight="1">
      <c r="BM6202" s="1025"/>
      <c r="BO6202" s="43"/>
    </row>
    <row r="6203" spans="65:67" ht="18.75" customHeight="1">
      <c r="BM6203" s="1025"/>
      <c r="BO6203" s="43"/>
    </row>
    <row r="6204" spans="65:67" ht="18.75" customHeight="1">
      <c r="BM6204" s="1025"/>
      <c r="BO6204" s="43"/>
    </row>
    <row r="6205" spans="65:67" ht="18.75" customHeight="1">
      <c r="BM6205" s="1025"/>
      <c r="BO6205" s="43"/>
    </row>
    <row r="6206" spans="65:67" ht="18.75" customHeight="1">
      <c r="BM6206" s="1025"/>
      <c r="BO6206" s="43"/>
    </row>
    <row r="6207" spans="65:67" ht="18.75" customHeight="1">
      <c r="BM6207" s="1025"/>
      <c r="BO6207" s="43"/>
    </row>
    <row r="6208" spans="65:67" ht="18.75" customHeight="1">
      <c r="BM6208" s="1025"/>
      <c r="BO6208" s="43"/>
    </row>
    <row r="6209" spans="65:67" ht="18.75" customHeight="1">
      <c r="BM6209" s="1025"/>
      <c r="BO6209" s="43"/>
    </row>
    <row r="6210" spans="65:67" ht="18.75" customHeight="1">
      <c r="BM6210" s="1025"/>
      <c r="BO6210" s="43"/>
    </row>
    <row r="6211" spans="65:67" ht="18.75" customHeight="1">
      <c r="BM6211" s="1025"/>
      <c r="BO6211" s="43"/>
    </row>
    <row r="6212" spans="65:67" ht="18.75" customHeight="1">
      <c r="BM6212" s="1025"/>
      <c r="BO6212" s="43"/>
    </row>
    <row r="6213" spans="65:67" ht="18.75" customHeight="1">
      <c r="BM6213" s="1025"/>
      <c r="BO6213" s="43"/>
    </row>
    <row r="6214" spans="65:67" ht="18.75" customHeight="1">
      <c r="BM6214" s="1025"/>
      <c r="BO6214" s="43"/>
    </row>
    <row r="6215" spans="65:67" ht="18.75" customHeight="1">
      <c r="BM6215" s="1025"/>
      <c r="BO6215" s="43"/>
    </row>
    <row r="6216" spans="65:67" ht="18.75" customHeight="1">
      <c r="BM6216" s="1025"/>
      <c r="BO6216" s="43"/>
    </row>
    <row r="6217" spans="65:67" ht="18.75" customHeight="1">
      <c r="BM6217" s="1025"/>
      <c r="BO6217" s="43"/>
    </row>
    <row r="6218" spans="65:67" ht="18.75" customHeight="1">
      <c r="BM6218" s="1025"/>
      <c r="BO6218" s="43"/>
    </row>
    <row r="6219" spans="65:67" ht="18.75" customHeight="1">
      <c r="BM6219" s="1025"/>
      <c r="BO6219" s="43"/>
    </row>
    <row r="6220" spans="65:67" ht="18.75" customHeight="1">
      <c r="BM6220" s="1025"/>
      <c r="BO6220" s="43"/>
    </row>
    <row r="6221" spans="65:67" ht="18.75" customHeight="1">
      <c r="BM6221" s="1025"/>
      <c r="BO6221" s="43"/>
    </row>
    <row r="6222" spans="65:67" ht="18.75" customHeight="1">
      <c r="BM6222" s="1025"/>
      <c r="BO6222" s="43"/>
    </row>
    <row r="6223" spans="65:67" ht="18.75" customHeight="1">
      <c r="BM6223" s="1025"/>
      <c r="BO6223" s="43"/>
    </row>
    <row r="6224" spans="65:67" ht="18.75" customHeight="1">
      <c r="BM6224" s="1025"/>
      <c r="BO6224" s="43"/>
    </row>
    <row r="6225" spans="65:67" ht="18.75" customHeight="1">
      <c r="BM6225" s="1025"/>
      <c r="BO6225" s="43"/>
    </row>
    <row r="6226" spans="65:67" ht="18.75" customHeight="1">
      <c r="BM6226" s="1025"/>
      <c r="BO6226" s="43"/>
    </row>
    <row r="6227" spans="65:67" ht="18.75" customHeight="1">
      <c r="BM6227" s="1025"/>
      <c r="BO6227" s="43"/>
    </row>
    <row r="6228" spans="65:67" ht="18.75" customHeight="1">
      <c r="BM6228" s="1025"/>
      <c r="BO6228" s="43"/>
    </row>
    <row r="6229" spans="65:67" ht="18.75" customHeight="1">
      <c r="BM6229" s="1025"/>
      <c r="BO6229" s="43"/>
    </row>
    <row r="6230" spans="65:67" ht="18.75" customHeight="1">
      <c r="BM6230" s="1025"/>
      <c r="BO6230" s="43"/>
    </row>
    <row r="6231" spans="65:67" ht="18.75" customHeight="1">
      <c r="BM6231" s="1025"/>
      <c r="BO6231" s="43"/>
    </row>
    <row r="6232" spans="65:67" ht="18.75" customHeight="1">
      <c r="BM6232" s="1025"/>
      <c r="BO6232" s="43"/>
    </row>
    <row r="6233" spans="65:67" ht="18.75" customHeight="1">
      <c r="BM6233" s="1025"/>
      <c r="BO6233" s="43"/>
    </row>
    <row r="6234" spans="65:67" ht="18.75" customHeight="1">
      <c r="BM6234" s="1025"/>
      <c r="BO6234" s="43"/>
    </row>
    <row r="6235" spans="65:67" ht="18.75" customHeight="1">
      <c r="BM6235" s="1025"/>
      <c r="BO6235" s="43"/>
    </row>
    <row r="6236" spans="65:67" ht="18.75" customHeight="1">
      <c r="BM6236" s="1025"/>
      <c r="BO6236" s="43"/>
    </row>
    <row r="6237" spans="65:67" ht="18.75" customHeight="1">
      <c r="BM6237" s="1025"/>
      <c r="BO6237" s="43"/>
    </row>
    <row r="6238" spans="65:67" ht="18.75" customHeight="1">
      <c r="BM6238" s="1025"/>
      <c r="BO6238" s="43"/>
    </row>
    <row r="6239" spans="65:67" ht="18.75" customHeight="1">
      <c r="BM6239" s="1025"/>
      <c r="BO6239" s="43"/>
    </row>
    <row r="6240" spans="65:67" ht="18.75" customHeight="1">
      <c r="BM6240" s="1025"/>
      <c r="BO6240" s="43"/>
    </row>
    <row r="6241" spans="65:67" ht="18.75" customHeight="1">
      <c r="BM6241" s="1025"/>
      <c r="BO6241" s="43"/>
    </row>
    <row r="6242" spans="65:67" ht="18.75" customHeight="1">
      <c r="BM6242" s="1025"/>
      <c r="BO6242" s="43"/>
    </row>
    <row r="6243" spans="65:67" ht="18.75" customHeight="1">
      <c r="BM6243" s="1025"/>
      <c r="BO6243" s="43"/>
    </row>
    <row r="6244" spans="65:67" ht="18.75" customHeight="1">
      <c r="BM6244" s="1025"/>
      <c r="BO6244" s="43"/>
    </row>
    <row r="6245" spans="65:67" ht="18.75" customHeight="1">
      <c r="BM6245" s="1025"/>
      <c r="BO6245" s="43"/>
    </row>
    <row r="6246" spans="65:67" ht="18.75" customHeight="1">
      <c r="BM6246" s="1025"/>
      <c r="BO6246" s="43"/>
    </row>
    <row r="6247" spans="65:67" ht="18.75" customHeight="1">
      <c r="BM6247" s="1025"/>
      <c r="BO6247" s="43"/>
    </row>
    <row r="6248" spans="65:67" ht="18.75" customHeight="1">
      <c r="BM6248" s="1025"/>
      <c r="BO6248" s="43"/>
    </row>
    <row r="6249" spans="65:67" ht="18.75" customHeight="1">
      <c r="BM6249" s="1025"/>
      <c r="BO6249" s="43"/>
    </row>
    <row r="6250" spans="65:67" ht="18.75" customHeight="1">
      <c r="BM6250" s="1025"/>
      <c r="BO6250" s="43"/>
    </row>
    <row r="6251" spans="65:67" ht="18.75" customHeight="1">
      <c r="BM6251" s="1025"/>
      <c r="BO6251" s="43"/>
    </row>
    <row r="6252" spans="65:67" ht="18.75" customHeight="1">
      <c r="BM6252" s="1025"/>
      <c r="BO6252" s="43"/>
    </row>
    <row r="6253" spans="65:67" ht="18.75" customHeight="1">
      <c r="BM6253" s="1025"/>
      <c r="BO6253" s="43"/>
    </row>
    <row r="6254" spans="65:67" ht="18.75" customHeight="1">
      <c r="BM6254" s="1025"/>
      <c r="BO6254" s="43"/>
    </row>
    <row r="6255" spans="65:67" ht="18.75" customHeight="1">
      <c r="BM6255" s="1025"/>
      <c r="BO6255" s="43"/>
    </row>
    <row r="6256" spans="65:67" ht="18.75" customHeight="1">
      <c r="BM6256" s="1025"/>
      <c r="BO6256" s="43"/>
    </row>
    <row r="6257" spans="65:67" ht="18.75" customHeight="1">
      <c r="BM6257" s="1025"/>
      <c r="BO6257" s="43"/>
    </row>
    <row r="6258" spans="65:67" ht="18.75" customHeight="1">
      <c r="BM6258" s="1025"/>
      <c r="BO6258" s="43"/>
    </row>
    <row r="6259" spans="65:67" ht="18.75" customHeight="1">
      <c r="BM6259" s="1025"/>
      <c r="BO6259" s="43"/>
    </row>
    <row r="6260" spans="65:67" ht="18.75" customHeight="1">
      <c r="BM6260" s="1025"/>
      <c r="BO6260" s="43"/>
    </row>
    <row r="6261" spans="65:67" ht="18.75" customHeight="1">
      <c r="BM6261" s="1025"/>
      <c r="BO6261" s="43"/>
    </row>
    <row r="6262" spans="65:67" ht="18.75" customHeight="1">
      <c r="BM6262" s="1025"/>
      <c r="BO6262" s="43"/>
    </row>
    <row r="6263" spans="65:67" ht="18.75" customHeight="1">
      <c r="BM6263" s="1025"/>
      <c r="BO6263" s="43"/>
    </row>
    <row r="6264" spans="65:67" ht="18.75" customHeight="1">
      <c r="BM6264" s="1025"/>
      <c r="BO6264" s="43"/>
    </row>
    <row r="6265" spans="65:67" ht="18.75" customHeight="1">
      <c r="BM6265" s="1025"/>
      <c r="BO6265" s="43"/>
    </row>
    <row r="6266" spans="65:67" ht="18.75" customHeight="1">
      <c r="BM6266" s="1025"/>
      <c r="BO6266" s="43"/>
    </row>
    <row r="6267" spans="65:67" ht="18.75" customHeight="1">
      <c r="BM6267" s="1025"/>
      <c r="BO6267" s="43"/>
    </row>
    <row r="6268" spans="65:67" ht="18.75" customHeight="1">
      <c r="BM6268" s="1025"/>
      <c r="BO6268" s="43"/>
    </row>
    <row r="6269" spans="65:67" ht="18.75" customHeight="1">
      <c r="BM6269" s="1025"/>
      <c r="BO6269" s="43"/>
    </row>
    <row r="6270" spans="65:67" ht="18.75" customHeight="1">
      <c r="BM6270" s="1025"/>
      <c r="BO6270" s="43"/>
    </row>
    <row r="6271" spans="65:67" ht="18.75" customHeight="1">
      <c r="BM6271" s="1025"/>
      <c r="BO6271" s="43"/>
    </row>
    <row r="6272" spans="65:67" ht="18.75" customHeight="1">
      <c r="BM6272" s="1025"/>
      <c r="BO6272" s="43"/>
    </row>
    <row r="6273" spans="65:67" ht="18.75" customHeight="1">
      <c r="BM6273" s="1025"/>
      <c r="BO6273" s="43"/>
    </row>
    <row r="6274" spans="65:67" ht="18.75" customHeight="1">
      <c r="BM6274" s="1025"/>
      <c r="BO6274" s="43"/>
    </row>
    <row r="6275" spans="65:67" ht="18.75" customHeight="1">
      <c r="BM6275" s="1025"/>
      <c r="BO6275" s="43"/>
    </row>
    <row r="6276" spans="65:67" ht="18.75" customHeight="1">
      <c r="BM6276" s="1025"/>
      <c r="BO6276" s="43"/>
    </row>
    <row r="6277" spans="65:67" ht="18.75" customHeight="1">
      <c r="BM6277" s="1025"/>
      <c r="BO6277" s="43"/>
    </row>
    <row r="6278" spans="65:67" ht="18.75" customHeight="1">
      <c r="BM6278" s="1025"/>
      <c r="BO6278" s="43"/>
    </row>
    <row r="6279" spans="65:67" ht="18.75" customHeight="1">
      <c r="BM6279" s="1025"/>
      <c r="BO6279" s="43"/>
    </row>
    <row r="6280" spans="65:67" ht="18.75" customHeight="1">
      <c r="BM6280" s="1025"/>
      <c r="BO6280" s="43"/>
    </row>
    <row r="6281" spans="65:67" ht="18.75" customHeight="1">
      <c r="BM6281" s="1025"/>
      <c r="BO6281" s="43"/>
    </row>
    <row r="6282" spans="65:67" ht="18.75" customHeight="1">
      <c r="BM6282" s="1025"/>
      <c r="BO6282" s="43"/>
    </row>
    <row r="6283" spans="65:67" ht="18.75" customHeight="1">
      <c r="BM6283" s="1025"/>
      <c r="BO6283" s="43"/>
    </row>
    <row r="6284" spans="65:67" ht="18.75" customHeight="1">
      <c r="BM6284" s="1025"/>
      <c r="BO6284" s="43"/>
    </row>
    <row r="6285" spans="65:67" ht="18.75" customHeight="1">
      <c r="BM6285" s="1025"/>
      <c r="BO6285" s="43"/>
    </row>
    <row r="6286" spans="65:67" ht="18.75" customHeight="1">
      <c r="BM6286" s="1025"/>
      <c r="BO6286" s="43"/>
    </row>
    <row r="6287" spans="65:67" ht="18.75" customHeight="1">
      <c r="BM6287" s="1025"/>
      <c r="BO6287" s="43"/>
    </row>
    <row r="6288" spans="65:67" ht="18.75" customHeight="1">
      <c r="BM6288" s="1025"/>
      <c r="BO6288" s="43"/>
    </row>
    <row r="6289" spans="65:67" ht="18.75" customHeight="1">
      <c r="BM6289" s="1025"/>
      <c r="BO6289" s="43"/>
    </row>
    <row r="6290" spans="65:67" ht="18.75" customHeight="1">
      <c r="BM6290" s="1025"/>
      <c r="BO6290" s="43"/>
    </row>
    <row r="6291" spans="65:67" ht="18.75" customHeight="1">
      <c r="BM6291" s="1025"/>
      <c r="BO6291" s="43"/>
    </row>
    <row r="6292" spans="65:67" ht="18.75" customHeight="1">
      <c r="BM6292" s="1025"/>
      <c r="BO6292" s="43"/>
    </row>
    <row r="6293" spans="65:67" ht="18.75" customHeight="1">
      <c r="BM6293" s="1025"/>
      <c r="BO6293" s="43"/>
    </row>
    <row r="6294" spans="65:67" ht="18.75" customHeight="1">
      <c r="BM6294" s="1025"/>
      <c r="BO6294" s="43"/>
    </row>
    <row r="6295" spans="65:67" ht="18.75" customHeight="1">
      <c r="BM6295" s="1025"/>
      <c r="BO6295" s="43"/>
    </row>
    <row r="6296" spans="65:67" ht="18.75" customHeight="1">
      <c r="BM6296" s="1025"/>
      <c r="BO6296" s="43"/>
    </row>
    <row r="6297" spans="65:67" ht="18.75" customHeight="1">
      <c r="BM6297" s="1025"/>
      <c r="BO6297" s="43"/>
    </row>
    <row r="6298" spans="65:67" ht="18.75" customHeight="1">
      <c r="BM6298" s="1025"/>
      <c r="BO6298" s="43"/>
    </row>
    <row r="6299" spans="65:67" ht="18.75" customHeight="1">
      <c r="BM6299" s="1025"/>
      <c r="BO6299" s="43"/>
    </row>
    <row r="6300" spans="65:67" ht="18.75" customHeight="1">
      <c r="BM6300" s="1025"/>
      <c r="BO6300" s="43"/>
    </row>
    <row r="6301" spans="65:67" ht="18.75" customHeight="1">
      <c r="BM6301" s="1025"/>
      <c r="BO6301" s="43"/>
    </row>
    <row r="6302" spans="65:67" ht="18.75" customHeight="1">
      <c r="BM6302" s="1025"/>
      <c r="BO6302" s="43"/>
    </row>
    <row r="6303" spans="65:67" ht="18.75" customHeight="1">
      <c r="BM6303" s="1025"/>
      <c r="BO6303" s="43"/>
    </row>
    <row r="6304" spans="65:67" ht="18.75" customHeight="1">
      <c r="BM6304" s="1025"/>
      <c r="BO6304" s="43"/>
    </row>
    <row r="6305" spans="65:67" ht="18.75" customHeight="1">
      <c r="BM6305" s="1025"/>
      <c r="BO6305" s="43"/>
    </row>
    <row r="6306" spans="65:67" ht="18.75" customHeight="1">
      <c r="BM6306" s="1025"/>
      <c r="BO6306" s="43"/>
    </row>
    <row r="6307" spans="65:67" ht="18.75" customHeight="1">
      <c r="BM6307" s="1025"/>
      <c r="BO6307" s="43"/>
    </row>
    <row r="6308" spans="65:67" ht="18.75" customHeight="1">
      <c r="BM6308" s="1025"/>
      <c r="BO6308" s="43"/>
    </row>
    <row r="6309" spans="65:67" ht="18.75" customHeight="1">
      <c r="BM6309" s="1025"/>
      <c r="BO6309" s="43"/>
    </row>
    <row r="6310" spans="65:67" ht="18.75" customHeight="1">
      <c r="BM6310" s="1025"/>
      <c r="BO6310" s="43"/>
    </row>
    <row r="6311" spans="65:67" ht="18.75" customHeight="1">
      <c r="BM6311" s="1025"/>
      <c r="BO6311" s="43"/>
    </row>
    <row r="6312" spans="65:67" ht="18.75" customHeight="1">
      <c r="BM6312" s="1025"/>
      <c r="BO6312" s="43"/>
    </row>
    <row r="6313" spans="65:67" ht="18.75" customHeight="1">
      <c r="BM6313" s="1025"/>
      <c r="BO6313" s="43"/>
    </row>
    <row r="6314" spans="65:67" ht="18.75" customHeight="1">
      <c r="BM6314" s="1025"/>
      <c r="BO6314" s="43"/>
    </row>
    <row r="6315" spans="65:67" ht="18.75" customHeight="1">
      <c r="BM6315" s="1025"/>
      <c r="BO6315" s="43"/>
    </row>
    <row r="6316" spans="65:67" ht="18.75" customHeight="1">
      <c r="BM6316" s="1025"/>
      <c r="BO6316" s="43"/>
    </row>
    <row r="6317" spans="65:67" ht="18.75" customHeight="1">
      <c r="BM6317" s="1025"/>
      <c r="BO6317" s="43"/>
    </row>
    <row r="6318" spans="65:67" ht="18.75" customHeight="1">
      <c r="BM6318" s="1025"/>
      <c r="BO6318" s="43"/>
    </row>
    <row r="6319" spans="65:67" ht="18.75" customHeight="1">
      <c r="BM6319" s="1025"/>
      <c r="BO6319" s="43"/>
    </row>
    <row r="6320" spans="65:67" ht="18.75" customHeight="1">
      <c r="BM6320" s="1025"/>
      <c r="BO6320" s="43"/>
    </row>
    <row r="6321" spans="65:67" ht="18.75" customHeight="1">
      <c r="BM6321" s="1025"/>
      <c r="BO6321" s="43"/>
    </row>
    <row r="6322" spans="65:67" ht="18.75" customHeight="1">
      <c r="BM6322" s="1025"/>
      <c r="BO6322" s="43"/>
    </row>
    <row r="6323" spans="65:67" ht="18.75" customHeight="1">
      <c r="BM6323" s="1025"/>
      <c r="BO6323" s="43"/>
    </row>
    <row r="6324" spans="65:67" ht="18.75" customHeight="1">
      <c r="BM6324" s="1025"/>
      <c r="BO6324" s="43"/>
    </row>
    <row r="6325" spans="65:67" ht="18.75" customHeight="1">
      <c r="BM6325" s="1025"/>
      <c r="BO6325" s="43"/>
    </row>
    <row r="6326" spans="65:67" ht="18.75" customHeight="1">
      <c r="BM6326" s="1025"/>
      <c r="BO6326" s="43"/>
    </row>
    <row r="6327" spans="65:67" ht="18.75" customHeight="1">
      <c r="BM6327" s="1025"/>
      <c r="BO6327" s="43"/>
    </row>
    <row r="6328" spans="65:67" ht="18.75" customHeight="1">
      <c r="BM6328" s="1025"/>
      <c r="BO6328" s="43"/>
    </row>
    <row r="6329" spans="65:67" ht="18.75" customHeight="1">
      <c r="BM6329" s="1025"/>
      <c r="BO6329" s="43"/>
    </row>
    <row r="6330" spans="65:67" ht="18.75" customHeight="1">
      <c r="BM6330" s="1025"/>
      <c r="BO6330" s="43"/>
    </row>
    <row r="6331" spans="65:67" ht="18.75" customHeight="1">
      <c r="BM6331" s="1025"/>
      <c r="BO6331" s="43"/>
    </row>
    <row r="6332" spans="65:67" ht="18.75" customHeight="1">
      <c r="BM6332" s="1025"/>
      <c r="BO6332" s="43"/>
    </row>
    <row r="6333" spans="65:67" ht="18.75" customHeight="1">
      <c r="BM6333" s="1025"/>
      <c r="BO6333" s="43"/>
    </row>
    <row r="6334" spans="65:67" ht="18.75" customHeight="1">
      <c r="BM6334" s="1025"/>
      <c r="BO6334" s="43"/>
    </row>
    <row r="6335" spans="65:67" ht="18.75" customHeight="1">
      <c r="BM6335" s="1025"/>
      <c r="BO6335" s="43"/>
    </row>
    <row r="6336" spans="65:67" ht="18.75" customHeight="1">
      <c r="BM6336" s="1025"/>
      <c r="BO6336" s="43"/>
    </row>
    <row r="6337" spans="65:67" ht="18.75" customHeight="1">
      <c r="BM6337" s="1025"/>
      <c r="BO6337" s="43"/>
    </row>
    <row r="6338" spans="65:67" ht="18.75" customHeight="1">
      <c r="BM6338" s="1025"/>
      <c r="BO6338" s="43"/>
    </row>
    <row r="6339" spans="65:67" ht="18.75" customHeight="1">
      <c r="BM6339" s="1025"/>
      <c r="BO6339" s="43"/>
    </row>
    <row r="6340" spans="65:67" ht="18.75" customHeight="1">
      <c r="BM6340" s="1025"/>
      <c r="BO6340" s="43"/>
    </row>
    <row r="6341" spans="65:67" ht="18.75" customHeight="1">
      <c r="BM6341" s="1025"/>
      <c r="BO6341" s="43"/>
    </row>
    <row r="6342" spans="65:67" ht="18.75" customHeight="1">
      <c r="BM6342" s="1025"/>
      <c r="BO6342" s="43"/>
    </row>
    <row r="6343" spans="65:67" ht="18.75" customHeight="1">
      <c r="BM6343" s="1025"/>
      <c r="BO6343" s="43"/>
    </row>
    <row r="6344" spans="65:67" ht="18.75" customHeight="1">
      <c r="BM6344" s="1025"/>
      <c r="BO6344" s="43"/>
    </row>
    <row r="6345" spans="65:67" ht="18.75" customHeight="1">
      <c r="BM6345" s="1025"/>
      <c r="BO6345" s="43"/>
    </row>
    <row r="6346" spans="65:67" ht="18.75" customHeight="1">
      <c r="BM6346" s="1025"/>
      <c r="BO6346" s="43"/>
    </row>
    <row r="6347" spans="65:67" ht="18.75" customHeight="1">
      <c r="BM6347" s="1025"/>
      <c r="BO6347" s="43"/>
    </row>
    <row r="6348" spans="65:67" ht="18.75" customHeight="1">
      <c r="BM6348" s="1025"/>
      <c r="BO6348" s="43"/>
    </row>
    <row r="6349" spans="65:67" ht="18.75" customHeight="1">
      <c r="BM6349" s="1025"/>
      <c r="BO6349" s="43"/>
    </row>
    <row r="6350" spans="65:67" ht="18.75" customHeight="1">
      <c r="BM6350" s="1025"/>
      <c r="BO6350" s="43"/>
    </row>
    <row r="6351" spans="65:67" ht="18.75" customHeight="1">
      <c r="BM6351" s="1025"/>
      <c r="BO6351" s="43"/>
    </row>
    <row r="6352" spans="65:67" ht="18.75" customHeight="1">
      <c r="BM6352" s="1025"/>
      <c r="BO6352" s="43"/>
    </row>
    <row r="6353" spans="65:67" ht="18.75" customHeight="1">
      <c r="BM6353" s="1025"/>
      <c r="BO6353" s="43"/>
    </row>
    <row r="6354" spans="65:67" ht="18.75" customHeight="1">
      <c r="BM6354" s="1025"/>
      <c r="BO6354" s="43"/>
    </row>
    <row r="6355" spans="65:67" ht="18.75" customHeight="1">
      <c r="BM6355" s="1025"/>
      <c r="BO6355" s="43"/>
    </row>
    <row r="6356" spans="65:67" ht="18.75" customHeight="1">
      <c r="BM6356" s="1025"/>
      <c r="BO6356" s="43"/>
    </row>
    <row r="6357" spans="65:67" ht="18.75" customHeight="1">
      <c r="BM6357" s="1025"/>
      <c r="BO6357" s="43"/>
    </row>
    <row r="6358" spans="65:67" ht="18.75" customHeight="1">
      <c r="BM6358" s="1025"/>
      <c r="BO6358" s="43"/>
    </row>
    <row r="6359" spans="65:67" ht="18.75" customHeight="1">
      <c r="BM6359" s="1025"/>
      <c r="BO6359" s="43"/>
    </row>
    <row r="6360" spans="65:67" ht="18.75" customHeight="1">
      <c r="BM6360" s="1025"/>
      <c r="BO6360" s="43"/>
    </row>
    <row r="6361" spans="65:67" ht="18.75" customHeight="1">
      <c r="BM6361" s="1025"/>
      <c r="BO6361" s="43"/>
    </row>
    <row r="6362" spans="65:67" ht="18.75" customHeight="1">
      <c r="BM6362" s="1025"/>
      <c r="BO6362" s="43"/>
    </row>
    <row r="6363" spans="65:67" ht="18.75" customHeight="1">
      <c r="BM6363" s="1025"/>
      <c r="BO6363" s="43"/>
    </row>
    <row r="6364" spans="65:67" ht="18.75" customHeight="1">
      <c r="BM6364" s="1025"/>
      <c r="BO6364" s="43"/>
    </row>
    <row r="6365" spans="65:67" ht="18.75" customHeight="1">
      <c r="BM6365" s="1025"/>
      <c r="BO6365" s="43"/>
    </row>
    <row r="6366" spans="65:67" ht="18.75" customHeight="1">
      <c r="BM6366" s="1025"/>
      <c r="BO6366" s="43"/>
    </row>
    <row r="6367" spans="65:67" ht="18.75" customHeight="1">
      <c r="BM6367" s="1025"/>
      <c r="BO6367" s="43"/>
    </row>
    <row r="6368" spans="65:67" ht="18.75" customHeight="1">
      <c r="BM6368" s="1025"/>
      <c r="BO6368" s="43"/>
    </row>
    <row r="6369" spans="65:67" ht="18.75" customHeight="1">
      <c r="BM6369" s="1025"/>
      <c r="BO6369" s="43"/>
    </row>
    <row r="6370" spans="65:67" ht="18.75" customHeight="1">
      <c r="BM6370" s="1025"/>
      <c r="BO6370" s="43"/>
    </row>
    <row r="6371" spans="65:67" ht="18.75" customHeight="1">
      <c r="BM6371" s="1025"/>
      <c r="BO6371" s="43"/>
    </row>
    <row r="6372" spans="65:67" ht="18.75" customHeight="1">
      <c r="BM6372" s="1025"/>
      <c r="BO6372" s="43"/>
    </row>
    <row r="6373" spans="65:67" ht="18.75" customHeight="1">
      <c r="BM6373" s="1025"/>
      <c r="BO6373" s="43"/>
    </row>
    <row r="6374" spans="65:67" ht="18.75" customHeight="1">
      <c r="BM6374" s="1025"/>
      <c r="BO6374" s="43"/>
    </row>
    <row r="6375" spans="65:67" ht="18.75" customHeight="1">
      <c r="BM6375" s="1025"/>
      <c r="BO6375" s="43"/>
    </row>
    <row r="6376" spans="65:67" ht="18.75" customHeight="1">
      <c r="BM6376" s="1025"/>
      <c r="BO6376" s="43"/>
    </row>
    <row r="6377" spans="65:67" ht="18.75" customHeight="1">
      <c r="BM6377" s="1025"/>
      <c r="BO6377" s="43"/>
    </row>
    <row r="6378" spans="65:67" ht="18.75" customHeight="1">
      <c r="BM6378" s="1025"/>
      <c r="BO6378" s="43"/>
    </row>
    <row r="6379" spans="65:67" ht="18.75" customHeight="1">
      <c r="BM6379" s="1025"/>
      <c r="BO6379" s="43"/>
    </row>
    <row r="6380" spans="65:67" ht="18.75" customHeight="1">
      <c r="BM6380" s="1025"/>
      <c r="BO6380" s="43"/>
    </row>
    <row r="6381" spans="65:67" ht="18.75" customHeight="1">
      <c r="BM6381" s="1025"/>
      <c r="BO6381" s="43"/>
    </row>
    <row r="6382" spans="65:67" ht="18.75" customHeight="1">
      <c r="BM6382" s="1025"/>
      <c r="BO6382" s="43"/>
    </row>
    <row r="6383" spans="65:67" ht="18.75" customHeight="1">
      <c r="BM6383" s="1025"/>
      <c r="BO6383" s="43"/>
    </row>
    <row r="6384" spans="65:67" ht="18.75" customHeight="1">
      <c r="BM6384" s="1025"/>
      <c r="BO6384" s="43"/>
    </row>
    <row r="6385" spans="65:67" ht="18.75" customHeight="1">
      <c r="BM6385" s="1025"/>
      <c r="BO6385" s="43"/>
    </row>
    <row r="6386" spans="65:67" ht="18.75" customHeight="1">
      <c r="BM6386" s="1025"/>
      <c r="BO6386" s="43"/>
    </row>
    <row r="6387" spans="65:67" ht="18.75" customHeight="1">
      <c r="BM6387" s="1025"/>
      <c r="BO6387" s="43"/>
    </row>
    <row r="6388" spans="65:67" ht="18.75" customHeight="1">
      <c r="BM6388" s="1025"/>
      <c r="BO6388" s="43"/>
    </row>
    <row r="6389" spans="65:67" ht="18.75" customHeight="1">
      <c r="BM6389" s="1025"/>
      <c r="BO6389" s="43"/>
    </row>
    <row r="6390" spans="65:67" ht="18.75" customHeight="1">
      <c r="BM6390" s="1025"/>
      <c r="BO6390" s="43"/>
    </row>
    <row r="6391" spans="65:67" ht="18.75" customHeight="1">
      <c r="BM6391" s="1025"/>
      <c r="BO6391" s="43"/>
    </row>
    <row r="6392" spans="65:67" ht="18.75" customHeight="1">
      <c r="BM6392" s="1025"/>
      <c r="BO6392" s="43"/>
    </row>
    <row r="6393" spans="65:67" ht="18.75" customHeight="1">
      <c r="BM6393" s="1025"/>
      <c r="BO6393" s="43"/>
    </row>
    <row r="6394" spans="65:67" ht="18.75" customHeight="1">
      <c r="BM6394" s="1025"/>
      <c r="BO6394" s="43"/>
    </row>
    <row r="6395" spans="65:67" ht="18.75" customHeight="1">
      <c r="BM6395" s="1025"/>
      <c r="BO6395" s="43"/>
    </row>
    <row r="6396" spans="65:67" ht="18.75" customHeight="1">
      <c r="BM6396" s="1025"/>
      <c r="BO6396" s="43"/>
    </row>
    <row r="6397" spans="65:67" ht="18.75" customHeight="1">
      <c r="BM6397" s="1025"/>
      <c r="BO6397" s="43"/>
    </row>
    <row r="6398" spans="65:67" ht="18.75" customHeight="1">
      <c r="BM6398" s="1025"/>
      <c r="BO6398" s="43"/>
    </row>
    <row r="6399" spans="65:67" ht="18.75" customHeight="1">
      <c r="BM6399" s="1025"/>
      <c r="BO6399" s="43"/>
    </row>
    <row r="6400" spans="65:67" ht="18.75" customHeight="1">
      <c r="BM6400" s="1025"/>
      <c r="BO6400" s="43"/>
    </row>
    <row r="6401" spans="65:67" ht="18.75" customHeight="1">
      <c r="BM6401" s="1025"/>
      <c r="BO6401" s="43"/>
    </row>
    <row r="6402" spans="65:67" ht="18.75" customHeight="1">
      <c r="BM6402" s="1025"/>
      <c r="BO6402" s="43"/>
    </row>
    <row r="6403" spans="65:67" ht="18.75" customHeight="1">
      <c r="BM6403" s="1025"/>
      <c r="BO6403" s="43"/>
    </row>
    <row r="6404" spans="65:67" ht="18.75" customHeight="1">
      <c r="BM6404" s="1025"/>
      <c r="BO6404" s="43"/>
    </row>
    <row r="6405" spans="65:67" ht="18.75" customHeight="1">
      <c r="BM6405" s="1025"/>
      <c r="BO6405" s="43"/>
    </row>
    <row r="6406" spans="65:67" ht="18.75" customHeight="1">
      <c r="BM6406" s="1025"/>
      <c r="BO6406" s="43"/>
    </row>
    <row r="6407" spans="65:67" ht="18.75" customHeight="1">
      <c r="BM6407" s="1025"/>
      <c r="BO6407" s="43"/>
    </row>
    <row r="6408" spans="65:67" ht="18.75" customHeight="1">
      <c r="BM6408" s="1025"/>
      <c r="BO6408" s="43"/>
    </row>
    <row r="6409" spans="65:67" ht="18.75" customHeight="1">
      <c r="BM6409" s="1025"/>
      <c r="BO6409" s="43"/>
    </row>
    <row r="6410" spans="65:67" ht="18.75" customHeight="1">
      <c r="BM6410" s="1025"/>
      <c r="BO6410" s="43"/>
    </row>
    <row r="6411" spans="65:67" ht="18.75" customHeight="1">
      <c r="BM6411" s="1025"/>
      <c r="BO6411" s="43"/>
    </row>
    <row r="6412" spans="65:67" ht="18.75" customHeight="1">
      <c r="BM6412" s="1025"/>
      <c r="BO6412" s="43"/>
    </row>
    <row r="6413" spans="65:67" ht="18.75" customHeight="1">
      <c r="BM6413" s="1025"/>
      <c r="BO6413" s="43"/>
    </row>
    <row r="6414" spans="65:67" ht="18.75" customHeight="1">
      <c r="BM6414" s="1025"/>
      <c r="BO6414" s="43"/>
    </row>
    <row r="6415" spans="65:67" ht="18.75" customHeight="1">
      <c r="BM6415" s="1025"/>
      <c r="BO6415" s="43"/>
    </row>
    <row r="6416" spans="65:67" ht="18.75" customHeight="1">
      <c r="BM6416" s="1025"/>
      <c r="BO6416" s="43"/>
    </row>
    <row r="6417" spans="65:67" ht="18.75" customHeight="1">
      <c r="BM6417" s="1025"/>
      <c r="BO6417" s="43"/>
    </row>
    <row r="6418" spans="65:67" ht="18.75" customHeight="1">
      <c r="BM6418" s="1025"/>
      <c r="BO6418" s="43"/>
    </row>
    <row r="6419" spans="65:67" ht="18.75" customHeight="1">
      <c r="BM6419" s="1025"/>
      <c r="BO6419" s="43"/>
    </row>
    <row r="6420" spans="65:67" ht="18.75" customHeight="1">
      <c r="BM6420" s="1025"/>
      <c r="BO6420" s="43"/>
    </row>
    <row r="6421" spans="65:67" ht="18.75" customHeight="1">
      <c r="BM6421" s="1025"/>
      <c r="BO6421" s="43"/>
    </row>
    <row r="6422" spans="65:67" ht="18.75" customHeight="1">
      <c r="BM6422" s="1025"/>
      <c r="BO6422" s="43"/>
    </row>
    <row r="6423" spans="65:67" ht="18.75" customHeight="1">
      <c r="BM6423" s="1025"/>
      <c r="BO6423" s="43"/>
    </row>
    <row r="6424" spans="65:67" ht="18.75" customHeight="1">
      <c r="BM6424" s="1025"/>
      <c r="BO6424" s="43"/>
    </row>
    <row r="6425" spans="65:67" ht="18.75" customHeight="1">
      <c r="BM6425" s="1025"/>
      <c r="BO6425" s="43"/>
    </row>
    <row r="6426" spans="65:67" ht="18.75" customHeight="1">
      <c r="BM6426" s="1025"/>
      <c r="BO6426" s="43"/>
    </row>
    <row r="6427" spans="65:67" ht="18.75" customHeight="1">
      <c r="BM6427" s="1025"/>
      <c r="BO6427" s="43"/>
    </row>
    <row r="6428" spans="65:67" ht="18.75" customHeight="1">
      <c r="BM6428" s="1025"/>
      <c r="BO6428" s="43"/>
    </row>
    <row r="6429" spans="65:67" ht="18.75" customHeight="1">
      <c r="BM6429" s="1025"/>
      <c r="BO6429" s="43"/>
    </row>
    <row r="6430" spans="65:67" ht="18.75" customHeight="1">
      <c r="BM6430" s="1025"/>
      <c r="BO6430" s="43"/>
    </row>
    <row r="6431" spans="65:67" ht="18.75" customHeight="1">
      <c r="BM6431" s="1025"/>
      <c r="BO6431" s="43"/>
    </row>
    <row r="6432" spans="65:67" ht="18.75" customHeight="1">
      <c r="BM6432" s="1025"/>
      <c r="BO6432" s="43"/>
    </row>
    <row r="6433" spans="65:67" ht="18.75" customHeight="1">
      <c r="BM6433" s="1025"/>
      <c r="BO6433" s="43"/>
    </row>
    <row r="6434" spans="65:67" ht="18.75" customHeight="1">
      <c r="BM6434" s="1025"/>
      <c r="BO6434" s="43"/>
    </row>
    <row r="6435" spans="65:67" ht="18.75" customHeight="1">
      <c r="BM6435" s="1025"/>
      <c r="BO6435" s="43"/>
    </row>
    <row r="6436" spans="65:67" ht="18.75" customHeight="1">
      <c r="BM6436" s="1025"/>
      <c r="BO6436" s="43"/>
    </row>
    <row r="6437" spans="65:67" ht="18.75" customHeight="1">
      <c r="BM6437" s="1025"/>
      <c r="BO6437" s="43"/>
    </row>
    <row r="6438" spans="65:67" ht="18.75" customHeight="1">
      <c r="BM6438" s="1025"/>
      <c r="BO6438" s="43"/>
    </row>
    <row r="6439" spans="65:67" ht="18.75" customHeight="1">
      <c r="BM6439" s="1025"/>
      <c r="BO6439" s="43"/>
    </row>
    <row r="6440" spans="65:67" ht="18.75" customHeight="1">
      <c r="BM6440" s="1025"/>
      <c r="BO6440" s="43"/>
    </row>
    <row r="6441" spans="65:67" ht="18.75" customHeight="1">
      <c r="BM6441" s="1025"/>
      <c r="BO6441" s="43"/>
    </row>
    <row r="6442" spans="65:67" ht="18.75" customHeight="1">
      <c r="BM6442" s="1025"/>
      <c r="BO6442" s="43"/>
    </row>
    <row r="6443" spans="65:67" ht="18.75" customHeight="1">
      <c r="BM6443" s="1025"/>
      <c r="BO6443" s="43"/>
    </row>
    <row r="6444" spans="65:67" ht="18.75" customHeight="1">
      <c r="BM6444" s="1025"/>
      <c r="BO6444" s="43"/>
    </row>
    <row r="6445" spans="65:67" ht="18.75" customHeight="1">
      <c r="BM6445" s="1025"/>
      <c r="BO6445" s="43"/>
    </row>
    <row r="6446" spans="65:67" ht="18.75" customHeight="1">
      <c r="BM6446" s="1025"/>
      <c r="BO6446" s="43"/>
    </row>
    <row r="6447" spans="65:67" ht="18.75" customHeight="1">
      <c r="BM6447" s="1025"/>
      <c r="BO6447" s="43"/>
    </row>
    <row r="6448" spans="65:67" ht="18.75" customHeight="1">
      <c r="BM6448" s="1025"/>
      <c r="BO6448" s="43"/>
    </row>
    <row r="6449" spans="65:67" ht="18.75" customHeight="1">
      <c r="BM6449" s="1025"/>
      <c r="BO6449" s="43"/>
    </row>
    <row r="6450" spans="65:67" ht="18.75" customHeight="1">
      <c r="BM6450" s="1025"/>
      <c r="BO6450" s="43"/>
    </row>
    <row r="6451" spans="65:67" ht="18.75" customHeight="1">
      <c r="BM6451" s="1025"/>
      <c r="BO6451" s="43"/>
    </row>
    <row r="6452" spans="65:67" ht="18.75" customHeight="1">
      <c r="BM6452" s="1025"/>
      <c r="BO6452" s="43"/>
    </row>
    <row r="6453" spans="65:67" ht="18.75" customHeight="1">
      <c r="BM6453" s="1025"/>
      <c r="BO6453" s="43"/>
    </row>
    <row r="6454" spans="65:67" ht="18.75" customHeight="1">
      <c r="BM6454" s="1025"/>
      <c r="BO6454" s="43"/>
    </row>
    <row r="6455" spans="65:67" ht="18.75" customHeight="1">
      <c r="BM6455" s="1025"/>
      <c r="BO6455" s="43"/>
    </row>
    <row r="6456" spans="65:67" ht="18.75" customHeight="1">
      <c r="BM6456" s="1025"/>
      <c r="BO6456" s="43"/>
    </row>
    <row r="6457" spans="65:67" ht="18.75" customHeight="1">
      <c r="BM6457" s="1025"/>
      <c r="BO6457" s="43"/>
    </row>
    <row r="6458" spans="65:67" ht="18.75" customHeight="1">
      <c r="BM6458" s="1025"/>
      <c r="BO6458" s="43"/>
    </row>
    <row r="6459" spans="65:67" ht="18.75" customHeight="1">
      <c r="BM6459" s="1025"/>
      <c r="BO6459" s="43"/>
    </row>
    <row r="6460" spans="65:67" ht="18.75" customHeight="1">
      <c r="BM6460" s="1025"/>
      <c r="BO6460" s="43"/>
    </row>
    <row r="6461" spans="65:67" ht="18.75" customHeight="1">
      <c r="BM6461" s="1025"/>
      <c r="BO6461" s="43"/>
    </row>
    <row r="6462" spans="65:67" ht="18.75" customHeight="1">
      <c r="BM6462" s="1025"/>
      <c r="BO6462" s="43"/>
    </row>
    <row r="6463" spans="65:67" ht="18.75" customHeight="1">
      <c r="BM6463" s="1025"/>
      <c r="BO6463" s="43"/>
    </row>
    <row r="6464" spans="65:67" ht="18.75" customHeight="1">
      <c r="BM6464" s="1025"/>
      <c r="BO6464" s="43"/>
    </row>
    <row r="6465" spans="65:67" ht="18.75" customHeight="1">
      <c r="BM6465" s="1025"/>
      <c r="BO6465" s="43"/>
    </row>
    <row r="6466" spans="65:67" ht="18.75" customHeight="1">
      <c r="BM6466" s="1025"/>
      <c r="BO6466" s="43"/>
    </row>
    <row r="6467" spans="65:67" ht="18.75" customHeight="1">
      <c r="BM6467" s="1025"/>
      <c r="BO6467" s="43"/>
    </row>
    <row r="6468" spans="65:67" ht="18.75" customHeight="1">
      <c r="BM6468" s="1025"/>
      <c r="BO6468" s="43"/>
    </row>
    <row r="6469" spans="65:67" ht="18.75" customHeight="1">
      <c r="BM6469" s="1025"/>
      <c r="BO6469" s="43"/>
    </row>
    <row r="6470" spans="65:67" ht="18.75" customHeight="1">
      <c r="BM6470" s="1025"/>
      <c r="BO6470" s="43"/>
    </row>
    <row r="6471" spans="65:67" ht="18.75" customHeight="1">
      <c r="BM6471" s="1025"/>
      <c r="BO6471" s="43"/>
    </row>
    <row r="6472" spans="65:67" ht="18.75" customHeight="1">
      <c r="BM6472" s="1025"/>
      <c r="BO6472" s="43"/>
    </row>
    <row r="6473" spans="65:67" ht="18.75" customHeight="1">
      <c r="BM6473" s="1025"/>
      <c r="BO6473" s="43"/>
    </row>
    <row r="6474" spans="65:67" ht="18.75" customHeight="1">
      <c r="BM6474" s="1025"/>
      <c r="BO6474" s="43"/>
    </row>
    <row r="6475" spans="65:67" ht="18.75" customHeight="1">
      <c r="BM6475" s="1025"/>
      <c r="BO6475" s="43"/>
    </row>
    <row r="6476" spans="65:67" ht="18.75" customHeight="1">
      <c r="BM6476" s="1025"/>
      <c r="BO6476" s="43"/>
    </row>
    <row r="6477" spans="65:67" ht="18.75" customHeight="1">
      <c r="BM6477" s="1025"/>
      <c r="BO6477" s="43"/>
    </row>
    <row r="6478" spans="65:67" ht="18.75" customHeight="1">
      <c r="BM6478" s="1025"/>
      <c r="BO6478" s="43"/>
    </row>
    <row r="6479" spans="65:67" ht="18.75" customHeight="1">
      <c r="BM6479" s="1025"/>
      <c r="BO6479" s="43"/>
    </row>
    <row r="6480" spans="65:67" ht="18.75" customHeight="1">
      <c r="BM6480" s="1025"/>
      <c r="BO6480" s="43"/>
    </row>
    <row r="6481" spans="65:67" ht="18.75" customHeight="1">
      <c r="BM6481" s="1025"/>
      <c r="BO6481" s="43"/>
    </row>
    <row r="6482" spans="65:67" ht="18.75" customHeight="1">
      <c r="BM6482" s="1025"/>
      <c r="BO6482" s="43"/>
    </row>
    <row r="6483" spans="65:67" ht="18.75" customHeight="1">
      <c r="BM6483" s="1025"/>
      <c r="BO6483" s="43"/>
    </row>
    <row r="6484" spans="65:67" ht="18.75" customHeight="1">
      <c r="BM6484" s="1025"/>
      <c r="BO6484" s="43"/>
    </row>
    <row r="6485" spans="65:67" ht="18.75" customHeight="1">
      <c r="BM6485" s="1025"/>
      <c r="BO6485" s="43"/>
    </row>
    <row r="6486" spans="65:67" ht="18.75" customHeight="1">
      <c r="BM6486" s="1025"/>
      <c r="BO6486" s="43"/>
    </row>
    <row r="6487" spans="65:67" ht="18.75" customHeight="1">
      <c r="BM6487" s="1025"/>
      <c r="BO6487" s="43"/>
    </row>
    <row r="6488" spans="65:67" ht="18.75" customHeight="1">
      <c r="BM6488" s="1025"/>
      <c r="BO6488" s="43"/>
    </row>
    <row r="6489" spans="65:67" ht="18.75" customHeight="1">
      <c r="BM6489" s="1025"/>
      <c r="BO6489" s="43"/>
    </row>
    <row r="6490" spans="65:67" ht="18.75" customHeight="1">
      <c r="BM6490" s="1025"/>
      <c r="BO6490" s="43"/>
    </row>
    <row r="6491" spans="65:67" ht="18.75" customHeight="1">
      <c r="BM6491" s="1025"/>
      <c r="BO6491" s="43"/>
    </row>
    <row r="6492" spans="65:67" ht="18.75" customHeight="1">
      <c r="BM6492" s="1025"/>
      <c r="BO6492" s="43"/>
    </row>
    <row r="6493" spans="65:67" ht="18.75" customHeight="1">
      <c r="BM6493" s="1025"/>
      <c r="BO6493" s="43"/>
    </row>
    <row r="6494" spans="65:67" ht="18.75" customHeight="1">
      <c r="BM6494" s="1025"/>
      <c r="BO6494" s="43"/>
    </row>
    <row r="6495" spans="65:67" ht="18.75" customHeight="1">
      <c r="BM6495" s="1025"/>
      <c r="BO6495" s="43"/>
    </row>
    <row r="6496" spans="65:67" ht="18.75" customHeight="1">
      <c r="BM6496" s="1025"/>
      <c r="BO6496" s="43"/>
    </row>
    <row r="6497" spans="65:67" ht="18.75" customHeight="1">
      <c r="BM6497" s="1025"/>
      <c r="BO6497" s="43"/>
    </row>
    <row r="6498" spans="65:67" ht="18.75" customHeight="1">
      <c r="BM6498" s="1025"/>
      <c r="BO6498" s="43"/>
    </row>
    <row r="6499" spans="65:67" ht="18.75" customHeight="1">
      <c r="BM6499" s="1025"/>
      <c r="BO6499" s="43"/>
    </row>
    <row r="6500" spans="65:67" ht="18.75" customHeight="1">
      <c r="BM6500" s="1025"/>
      <c r="BO6500" s="43"/>
    </row>
    <row r="6501" spans="65:67" ht="18.75" customHeight="1">
      <c r="BM6501" s="1025"/>
      <c r="BO6501" s="43"/>
    </row>
    <row r="6502" spans="65:67" ht="18.75" customHeight="1">
      <c r="BM6502" s="1025"/>
      <c r="BO6502" s="43"/>
    </row>
    <row r="6503" spans="65:67" ht="18.75" customHeight="1">
      <c r="BM6503" s="1025"/>
      <c r="BO6503" s="43"/>
    </row>
    <row r="6504" spans="65:67" ht="18.75" customHeight="1">
      <c r="BM6504" s="1025"/>
      <c r="BO6504" s="43"/>
    </row>
    <row r="6505" spans="65:67" ht="18.75" customHeight="1">
      <c r="BM6505" s="1025"/>
      <c r="BO6505" s="43"/>
    </row>
    <row r="6506" spans="65:67" ht="18.75" customHeight="1">
      <c r="BM6506" s="1025"/>
      <c r="BO6506" s="43"/>
    </row>
    <row r="6507" spans="65:67" ht="18.75" customHeight="1">
      <c r="BM6507" s="1025"/>
      <c r="BO6507" s="43"/>
    </row>
    <row r="6508" spans="65:67" ht="18.75" customHeight="1">
      <c r="BM6508" s="1025"/>
      <c r="BO6508" s="43"/>
    </row>
    <row r="6509" spans="65:67" ht="18.75" customHeight="1">
      <c r="BM6509" s="1025"/>
      <c r="BO6509" s="43"/>
    </row>
    <row r="6510" spans="65:67" ht="18.75" customHeight="1">
      <c r="BM6510" s="1025"/>
      <c r="BO6510" s="43"/>
    </row>
    <row r="6511" spans="65:67" ht="18.75" customHeight="1">
      <c r="BM6511" s="1025"/>
      <c r="BO6511" s="43"/>
    </row>
    <row r="6512" spans="65:67" ht="18.75" customHeight="1">
      <c r="BM6512" s="1025"/>
      <c r="BO6512" s="43"/>
    </row>
    <row r="6513" spans="65:67" ht="18.75" customHeight="1">
      <c r="BM6513" s="1025"/>
      <c r="BO6513" s="43"/>
    </row>
    <row r="6514" spans="65:67" ht="18.75" customHeight="1">
      <c r="BM6514" s="1025"/>
      <c r="BO6514" s="43"/>
    </row>
    <row r="6515" spans="65:67" ht="18.75" customHeight="1">
      <c r="BM6515" s="1025"/>
      <c r="BO6515" s="43"/>
    </row>
    <row r="6516" spans="65:67" ht="18.75" customHeight="1">
      <c r="BM6516" s="1025"/>
      <c r="BO6516" s="43"/>
    </row>
    <row r="6517" spans="65:67" ht="18.75" customHeight="1">
      <c r="BM6517" s="1025"/>
      <c r="BO6517" s="43"/>
    </row>
    <row r="6518" spans="65:67" ht="18.75" customHeight="1">
      <c r="BM6518" s="1025"/>
      <c r="BO6518" s="43"/>
    </row>
    <row r="6519" spans="65:67" ht="18.75" customHeight="1">
      <c r="BM6519" s="1025"/>
      <c r="BO6519" s="43"/>
    </row>
    <row r="6520" spans="65:67" ht="18.75" customHeight="1">
      <c r="BM6520" s="1025"/>
      <c r="BO6520" s="43"/>
    </row>
    <row r="6521" spans="65:67" ht="18.75" customHeight="1">
      <c r="BM6521" s="1025"/>
      <c r="BO6521" s="43"/>
    </row>
    <row r="6522" spans="65:67" ht="18.75" customHeight="1">
      <c r="BM6522" s="1025"/>
      <c r="BO6522" s="43"/>
    </row>
    <row r="6523" spans="65:67" ht="18.75" customHeight="1">
      <c r="BM6523" s="1025"/>
      <c r="BO6523" s="43"/>
    </row>
    <row r="6524" spans="65:67" ht="18.75" customHeight="1">
      <c r="BM6524" s="1025"/>
      <c r="BO6524" s="43"/>
    </row>
    <row r="6525" spans="65:67" ht="18.75" customHeight="1">
      <c r="BM6525" s="1025"/>
      <c r="BO6525" s="43"/>
    </row>
    <row r="6526" spans="65:67" ht="18.75" customHeight="1">
      <c r="BM6526" s="1025"/>
      <c r="BO6526" s="43"/>
    </row>
    <row r="6527" spans="65:67" ht="18.75" customHeight="1">
      <c r="BM6527" s="1025"/>
      <c r="BO6527" s="43"/>
    </row>
    <row r="6528" spans="65:67" ht="18.75" customHeight="1">
      <c r="BM6528" s="1025"/>
      <c r="BO6528" s="43"/>
    </row>
    <row r="6529" spans="65:67" ht="18.75" customHeight="1">
      <c r="BM6529" s="1025"/>
      <c r="BO6529" s="43"/>
    </row>
    <row r="6530" spans="65:67" ht="18.75" customHeight="1">
      <c r="BM6530" s="1025"/>
      <c r="BO6530" s="43"/>
    </row>
    <row r="6531" spans="65:67" ht="18.75" customHeight="1">
      <c r="BM6531" s="1025"/>
      <c r="BO6531" s="43"/>
    </row>
    <row r="6532" spans="65:67" ht="18.75" customHeight="1">
      <c r="BM6532" s="1025"/>
      <c r="BO6532" s="43"/>
    </row>
    <row r="6533" spans="65:67" ht="18.75" customHeight="1">
      <c r="BM6533" s="1025"/>
      <c r="BO6533" s="43"/>
    </row>
    <row r="6534" spans="65:67" ht="18.75" customHeight="1">
      <c r="BM6534" s="1025"/>
      <c r="BO6534" s="43"/>
    </row>
    <row r="6535" spans="65:67" ht="18.75" customHeight="1">
      <c r="BM6535" s="1025"/>
      <c r="BO6535" s="43"/>
    </row>
    <row r="6536" spans="65:67" ht="18.75" customHeight="1">
      <c r="BM6536" s="1025"/>
      <c r="BO6536" s="43"/>
    </row>
    <row r="6537" spans="65:67" ht="18.75" customHeight="1">
      <c r="BM6537" s="1025"/>
      <c r="BO6537" s="43"/>
    </row>
    <row r="6538" spans="65:67" ht="18.75" customHeight="1">
      <c r="BM6538" s="1025"/>
      <c r="BO6538" s="43"/>
    </row>
    <row r="6539" spans="65:67" ht="18.75" customHeight="1">
      <c r="BM6539" s="1025"/>
      <c r="BO6539" s="43"/>
    </row>
    <row r="6540" spans="65:67" ht="18.75" customHeight="1">
      <c r="BM6540" s="1025"/>
      <c r="BO6540" s="43"/>
    </row>
    <row r="6541" spans="65:67" ht="18.75" customHeight="1">
      <c r="BM6541" s="1025"/>
      <c r="BO6541" s="43"/>
    </row>
    <row r="6542" spans="65:67" ht="18.75" customHeight="1">
      <c r="BM6542" s="1025"/>
      <c r="BO6542" s="43"/>
    </row>
    <row r="6543" spans="65:67" ht="18.75" customHeight="1">
      <c r="BM6543" s="1025"/>
      <c r="BO6543" s="43"/>
    </row>
    <row r="6544" spans="65:67" ht="18.75" customHeight="1">
      <c r="BM6544" s="1025"/>
      <c r="BO6544" s="43"/>
    </row>
    <row r="6545" spans="65:67" ht="18.75" customHeight="1">
      <c r="BM6545" s="1025"/>
      <c r="BO6545" s="43"/>
    </row>
    <row r="6546" spans="65:67" ht="18.75" customHeight="1">
      <c r="BM6546" s="1025"/>
      <c r="BO6546" s="43"/>
    </row>
    <row r="6547" spans="65:67" ht="18.75" customHeight="1">
      <c r="BM6547" s="1025"/>
      <c r="BO6547" s="43"/>
    </row>
    <row r="6548" spans="65:67" ht="18.75" customHeight="1">
      <c r="BM6548" s="1025"/>
      <c r="BO6548" s="43"/>
    </row>
    <row r="6549" spans="65:67" ht="18.75" customHeight="1">
      <c r="BM6549" s="1025"/>
      <c r="BO6549" s="43"/>
    </row>
    <row r="6550" spans="65:67" ht="18.75" customHeight="1">
      <c r="BM6550" s="1025"/>
      <c r="BO6550" s="43"/>
    </row>
    <row r="6551" spans="65:67" ht="18.75" customHeight="1">
      <c r="BM6551" s="1025"/>
      <c r="BO6551" s="43"/>
    </row>
    <row r="6552" spans="65:67" ht="18.75" customHeight="1">
      <c r="BM6552" s="1025"/>
      <c r="BO6552" s="43"/>
    </row>
    <row r="6553" spans="65:67" ht="18.75" customHeight="1">
      <c r="BM6553" s="1025"/>
      <c r="BO6553" s="43"/>
    </row>
    <row r="6554" spans="65:67" ht="18.75" customHeight="1">
      <c r="BM6554" s="1025"/>
      <c r="BO6554" s="43"/>
    </row>
    <row r="6555" spans="65:67" ht="18.75" customHeight="1">
      <c r="BM6555" s="1025"/>
      <c r="BO6555" s="43"/>
    </row>
    <row r="6556" spans="65:67" ht="18.75" customHeight="1">
      <c r="BM6556" s="1025"/>
      <c r="BO6556" s="43"/>
    </row>
    <row r="6557" spans="65:67" ht="18.75" customHeight="1">
      <c r="BM6557" s="1025"/>
      <c r="BO6557" s="43"/>
    </row>
    <row r="6558" spans="65:67" ht="18.75" customHeight="1">
      <c r="BM6558" s="1025"/>
      <c r="BO6558" s="43"/>
    </row>
    <row r="6559" spans="65:67" ht="18.75" customHeight="1">
      <c r="BM6559" s="1025"/>
      <c r="BO6559" s="43"/>
    </row>
    <row r="6560" spans="65:67" ht="18.75" customHeight="1">
      <c r="BM6560" s="1025"/>
      <c r="BO6560" s="43"/>
    </row>
    <row r="6561" spans="65:67" ht="18.75" customHeight="1">
      <c r="BM6561" s="1025"/>
      <c r="BO6561" s="43"/>
    </row>
    <row r="6562" spans="65:67" ht="18.75" customHeight="1">
      <c r="BM6562" s="1025"/>
      <c r="BO6562" s="43"/>
    </row>
    <row r="6563" spans="65:67" ht="18.75" customHeight="1">
      <c r="BM6563" s="1025"/>
      <c r="BO6563" s="43"/>
    </row>
    <row r="6564" spans="65:67" ht="18.75" customHeight="1">
      <c r="BM6564" s="1025"/>
      <c r="BO6564" s="43"/>
    </row>
    <row r="6565" spans="65:67" ht="18.75" customHeight="1">
      <c r="BM6565" s="1025"/>
      <c r="BO6565" s="43"/>
    </row>
    <row r="6566" spans="65:67" ht="18.75" customHeight="1">
      <c r="BM6566" s="1025"/>
      <c r="BO6566" s="43"/>
    </row>
    <row r="6567" spans="65:67" ht="18.75" customHeight="1">
      <c r="BM6567" s="1025"/>
      <c r="BO6567" s="43"/>
    </row>
    <row r="6568" spans="65:67" ht="18.75" customHeight="1">
      <c r="BM6568" s="1025"/>
      <c r="BO6568" s="43"/>
    </row>
    <row r="6569" spans="65:67" ht="18.75" customHeight="1">
      <c r="BM6569" s="1025"/>
      <c r="BO6569" s="43"/>
    </row>
    <row r="6570" spans="65:67" ht="18.75" customHeight="1">
      <c r="BM6570" s="1025"/>
      <c r="BO6570" s="43"/>
    </row>
    <row r="6571" spans="65:67" ht="18.75" customHeight="1">
      <c r="BM6571" s="1025"/>
      <c r="BO6571" s="43"/>
    </row>
    <row r="6572" spans="65:67" ht="18.75" customHeight="1">
      <c r="BM6572" s="1025"/>
      <c r="BO6572" s="43"/>
    </row>
    <row r="6573" spans="65:67" ht="18.75" customHeight="1">
      <c r="BM6573" s="1025"/>
      <c r="BO6573" s="43"/>
    </row>
    <row r="6574" spans="65:67" ht="18.75" customHeight="1">
      <c r="BM6574" s="1025"/>
      <c r="BO6574" s="43"/>
    </row>
    <row r="6575" spans="65:67" ht="18.75" customHeight="1">
      <c r="BM6575" s="1025"/>
      <c r="BO6575" s="43"/>
    </row>
    <row r="6576" spans="65:67" ht="18.75" customHeight="1">
      <c r="BM6576" s="1025"/>
      <c r="BO6576" s="43"/>
    </row>
    <row r="6577" spans="65:67" ht="18.75" customHeight="1">
      <c r="BM6577" s="1025"/>
      <c r="BO6577" s="43"/>
    </row>
    <row r="6578" spans="65:67" ht="18.75" customHeight="1">
      <c r="BM6578" s="1025"/>
      <c r="BO6578" s="43"/>
    </row>
    <row r="6579" spans="65:67" ht="18.75" customHeight="1">
      <c r="BM6579" s="1025"/>
      <c r="BO6579" s="43"/>
    </row>
    <row r="6580" spans="65:67" ht="18.75" customHeight="1">
      <c r="BM6580" s="1025"/>
      <c r="BO6580" s="43"/>
    </row>
    <row r="6581" spans="65:67" ht="18.75" customHeight="1">
      <c r="BM6581" s="1025"/>
      <c r="BO6581" s="43"/>
    </row>
    <row r="6582" spans="65:67" ht="18.75" customHeight="1">
      <c r="BM6582" s="1025"/>
      <c r="BO6582" s="43"/>
    </row>
    <row r="6583" spans="65:67" ht="18.75" customHeight="1">
      <c r="BM6583" s="1025"/>
      <c r="BO6583" s="43"/>
    </row>
    <row r="6584" spans="65:67" ht="18.75" customHeight="1">
      <c r="BM6584" s="1025"/>
      <c r="BO6584" s="43"/>
    </row>
    <row r="6585" spans="65:67" ht="18.75" customHeight="1">
      <c r="BM6585" s="1025"/>
      <c r="BO6585" s="43"/>
    </row>
    <row r="6586" spans="65:67" ht="18.75" customHeight="1">
      <c r="BM6586" s="1025"/>
      <c r="BO6586" s="43"/>
    </row>
    <row r="6587" spans="65:67" ht="18.75" customHeight="1">
      <c r="BM6587" s="1025"/>
      <c r="BO6587" s="43"/>
    </row>
    <row r="6588" spans="65:67" ht="18.75" customHeight="1">
      <c r="BM6588" s="1025"/>
      <c r="BO6588" s="43"/>
    </row>
    <row r="6589" spans="65:67" ht="18.75" customHeight="1">
      <c r="BM6589" s="1025"/>
      <c r="BO6589" s="43"/>
    </row>
    <row r="6590" spans="65:67" ht="18.75" customHeight="1">
      <c r="BM6590" s="1025"/>
      <c r="BO6590" s="43"/>
    </row>
    <row r="6591" spans="65:67" ht="18.75" customHeight="1">
      <c r="BM6591" s="1025"/>
      <c r="BO6591" s="43"/>
    </row>
    <row r="6592" spans="65:67" ht="18.75" customHeight="1">
      <c r="BM6592" s="1025"/>
      <c r="BO6592" s="43"/>
    </row>
    <row r="6593" spans="65:67" ht="18.75" customHeight="1">
      <c r="BM6593" s="1025"/>
      <c r="BO6593" s="43"/>
    </row>
    <row r="6594" spans="65:67" ht="18.75" customHeight="1">
      <c r="BM6594" s="1025"/>
      <c r="BO6594" s="43"/>
    </row>
    <row r="6595" spans="65:67" ht="18.75" customHeight="1">
      <c r="BM6595" s="1025"/>
      <c r="BO6595" s="43"/>
    </row>
    <row r="6596" spans="65:67" ht="18.75" customHeight="1">
      <c r="BM6596" s="1025"/>
      <c r="BO6596" s="43"/>
    </row>
    <row r="6597" spans="65:67" ht="18.75" customHeight="1">
      <c r="BM6597" s="1025"/>
      <c r="BO6597" s="43"/>
    </row>
    <row r="6598" spans="65:67" ht="18.75" customHeight="1">
      <c r="BM6598" s="1025"/>
      <c r="BO6598" s="43"/>
    </row>
    <row r="6599" spans="65:67" ht="18.75" customHeight="1">
      <c r="BM6599" s="1025"/>
      <c r="BO6599" s="43"/>
    </row>
    <row r="6600" spans="65:67" ht="18.75" customHeight="1">
      <c r="BM6600" s="1025"/>
      <c r="BO6600" s="43"/>
    </row>
    <row r="6601" spans="65:67" ht="18.75" customHeight="1">
      <c r="BM6601" s="1025"/>
      <c r="BO6601" s="43"/>
    </row>
    <row r="6602" spans="65:67" ht="18.75" customHeight="1">
      <c r="BM6602" s="1025"/>
      <c r="BO6602" s="43"/>
    </row>
    <row r="6603" spans="65:67" ht="18.75" customHeight="1">
      <c r="BM6603" s="1025"/>
      <c r="BO6603" s="43"/>
    </row>
    <row r="6604" spans="65:67" ht="18.75" customHeight="1">
      <c r="BM6604" s="1025"/>
      <c r="BO6604" s="43"/>
    </row>
    <row r="6605" spans="65:67" ht="18.75" customHeight="1">
      <c r="BM6605" s="1025"/>
      <c r="BO6605" s="43"/>
    </row>
    <row r="6606" spans="65:67" ht="18.75" customHeight="1">
      <c r="BM6606" s="1025"/>
      <c r="BO6606" s="43"/>
    </row>
    <row r="6607" spans="65:67" ht="18.75" customHeight="1">
      <c r="BM6607" s="1025"/>
      <c r="BO6607" s="43"/>
    </row>
    <row r="6608" spans="65:67" ht="18.75" customHeight="1">
      <c r="BM6608" s="1025"/>
      <c r="BO6608" s="43"/>
    </row>
    <row r="6609" spans="65:67" ht="18.75" customHeight="1">
      <c r="BM6609" s="1025"/>
      <c r="BO6609" s="43"/>
    </row>
    <row r="6610" spans="65:67" ht="18.75" customHeight="1">
      <c r="BM6610" s="1025"/>
      <c r="BO6610" s="43"/>
    </row>
    <row r="6611" spans="65:67" ht="18.75" customHeight="1">
      <c r="BM6611" s="1025"/>
      <c r="BO6611" s="43"/>
    </row>
    <row r="6612" spans="65:67" ht="18.75" customHeight="1">
      <c r="BM6612" s="1025"/>
      <c r="BO6612" s="43"/>
    </row>
    <row r="6613" spans="65:67" ht="18.75" customHeight="1">
      <c r="BM6613" s="1025"/>
      <c r="BO6613" s="43"/>
    </row>
    <row r="6614" spans="65:67" ht="18.75" customHeight="1">
      <c r="BM6614" s="1025"/>
      <c r="BO6614" s="43"/>
    </row>
    <row r="6615" spans="65:67" ht="18.75" customHeight="1">
      <c r="BM6615" s="1025"/>
      <c r="BO6615" s="43"/>
    </row>
    <row r="6616" spans="65:67" ht="18.75" customHeight="1">
      <c r="BM6616" s="1025"/>
      <c r="BO6616" s="43"/>
    </row>
    <row r="6617" spans="65:67" ht="18.75" customHeight="1">
      <c r="BM6617" s="1025"/>
      <c r="BO6617" s="43"/>
    </row>
    <row r="6618" spans="65:67" ht="18.75" customHeight="1">
      <c r="BM6618" s="1025"/>
      <c r="BO6618" s="43"/>
    </row>
    <row r="6619" spans="65:67" ht="18.75" customHeight="1">
      <c r="BM6619" s="1025"/>
      <c r="BO6619" s="43"/>
    </row>
    <row r="6620" spans="65:67" ht="18.75" customHeight="1">
      <c r="BM6620" s="1025"/>
      <c r="BO6620" s="43"/>
    </row>
    <row r="6621" spans="65:67" ht="18.75" customHeight="1">
      <c r="BM6621" s="1025"/>
      <c r="BO6621" s="43"/>
    </row>
    <row r="6622" spans="65:67" ht="18.75" customHeight="1">
      <c r="BM6622" s="1025"/>
      <c r="BO6622" s="43"/>
    </row>
    <row r="6623" spans="65:67" ht="18.75" customHeight="1">
      <c r="BM6623" s="1025"/>
      <c r="BO6623" s="43"/>
    </row>
    <row r="6624" spans="65:67" ht="18.75" customHeight="1">
      <c r="BM6624" s="1025"/>
      <c r="BO6624" s="43"/>
    </row>
    <row r="6625" spans="65:67" ht="18.75" customHeight="1">
      <c r="BM6625" s="1025"/>
      <c r="BO6625" s="43"/>
    </row>
    <row r="6626" spans="65:67" ht="18.75" customHeight="1">
      <c r="BM6626" s="1025"/>
      <c r="BO6626" s="43"/>
    </row>
    <row r="6627" spans="65:67" ht="18.75" customHeight="1">
      <c r="BM6627" s="1025"/>
      <c r="BO6627" s="43"/>
    </row>
    <row r="6628" spans="65:67" ht="18.75" customHeight="1">
      <c r="BM6628" s="1025"/>
      <c r="BO6628" s="43"/>
    </row>
    <row r="6629" spans="65:67" ht="18.75" customHeight="1">
      <c r="BM6629" s="1025"/>
      <c r="BO6629" s="43"/>
    </row>
    <row r="6630" spans="65:67" ht="18.75" customHeight="1">
      <c r="BM6630" s="1025"/>
      <c r="BO6630" s="43"/>
    </row>
    <row r="6631" spans="65:67" ht="18.75" customHeight="1">
      <c r="BM6631" s="1025"/>
      <c r="BO6631" s="43"/>
    </row>
    <row r="6632" spans="65:67" ht="18.75" customHeight="1">
      <c r="BM6632" s="1025"/>
      <c r="BO6632" s="43"/>
    </row>
    <row r="6633" spans="65:67" ht="18.75" customHeight="1">
      <c r="BM6633" s="1025"/>
      <c r="BO6633" s="43"/>
    </row>
    <row r="6634" spans="65:67" ht="18.75" customHeight="1">
      <c r="BM6634" s="1025"/>
      <c r="BO6634" s="43"/>
    </row>
    <row r="6635" spans="65:67" ht="18.75" customHeight="1">
      <c r="BM6635" s="1025"/>
      <c r="BO6635" s="43"/>
    </row>
    <row r="6636" spans="65:67" ht="18.75" customHeight="1">
      <c r="BM6636" s="1025"/>
      <c r="BO6636" s="43"/>
    </row>
    <row r="6637" spans="65:67" ht="18.75" customHeight="1">
      <c r="BM6637" s="1025"/>
      <c r="BO6637" s="43"/>
    </row>
    <row r="6638" spans="65:67" ht="18.75" customHeight="1">
      <c r="BM6638" s="1025"/>
      <c r="BO6638" s="43"/>
    </row>
    <row r="6639" spans="65:67" ht="18.75" customHeight="1">
      <c r="BM6639" s="1025"/>
      <c r="BO6639" s="43"/>
    </row>
    <row r="6640" spans="65:67" ht="18.75" customHeight="1">
      <c r="BM6640" s="1025"/>
      <c r="BO6640" s="43"/>
    </row>
    <row r="6641" spans="65:67" ht="18.75" customHeight="1">
      <c r="BM6641" s="1025"/>
      <c r="BO6641" s="43"/>
    </row>
    <row r="6642" spans="65:67" ht="18.75" customHeight="1">
      <c r="BM6642" s="1025"/>
      <c r="BO6642" s="43"/>
    </row>
    <row r="6643" spans="65:67" ht="18.75" customHeight="1">
      <c r="BM6643" s="1025"/>
      <c r="BO6643" s="43"/>
    </row>
    <row r="6644" spans="65:67" ht="18.75" customHeight="1">
      <c r="BM6644" s="1025"/>
      <c r="BO6644" s="43"/>
    </row>
    <row r="6645" spans="65:67" ht="18.75" customHeight="1">
      <c r="BM6645" s="1025"/>
      <c r="BO6645" s="43"/>
    </row>
    <row r="6646" spans="65:67" ht="18.75" customHeight="1">
      <c r="BM6646" s="1025"/>
      <c r="BO6646" s="43"/>
    </row>
    <row r="6647" spans="65:67" ht="18.75" customHeight="1">
      <c r="BM6647" s="1025"/>
      <c r="BO6647" s="43"/>
    </row>
    <row r="6648" spans="65:67" ht="18.75" customHeight="1">
      <c r="BM6648" s="1025"/>
      <c r="BO6648" s="43"/>
    </row>
    <row r="6649" spans="65:67" ht="18.75" customHeight="1">
      <c r="BM6649" s="1025"/>
      <c r="BO6649" s="43"/>
    </row>
    <row r="6650" spans="65:67" ht="18.75" customHeight="1">
      <c r="BM6650" s="1025"/>
      <c r="BO6650" s="43"/>
    </row>
    <row r="6651" spans="65:67" ht="18.75" customHeight="1">
      <c r="BM6651" s="1025"/>
      <c r="BO6651" s="43"/>
    </row>
    <row r="6652" spans="65:67" ht="18.75" customHeight="1">
      <c r="BM6652" s="1025"/>
      <c r="BO6652" s="43"/>
    </row>
    <row r="6653" spans="65:67" ht="18.75" customHeight="1">
      <c r="BM6653" s="1025"/>
      <c r="BO6653" s="43"/>
    </row>
    <row r="6654" spans="65:67" ht="18.75" customHeight="1">
      <c r="BM6654" s="1025"/>
      <c r="BO6654" s="43"/>
    </row>
    <row r="6655" spans="65:67" ht="18.75" customHeight="1">
      <c r="BM6655" s="1025"/>
      <c r="BO6655" s="43"/>
    </row>
    <row r="6656" spans="65:67" ht="18.75" customHeight="1">
      <c r="BM6656" s="1025"/>
      <c r="BO6656" s="43"/>
    </row>
    <row r="6657" spans="65:67" ht="18.75" customHeight="1">
      <c r="BM6657" s="1025"/>
      <c r="BO6657" s="43"/>
    </row>
    <row r="6658" spans="65:67" ht="18.75" customHeight="1">
      <c r="BM6658" s="1025"/>
      <c r="BO6658" s="43"/>
    </row>
    <row r="6659" spans="65:67" ht="18.75" customHeight="1">
      <c r="BM6659" s="1025"/>
      <c r="BO6659" s="43"/>
    </row>
    <row r="6660" spans="65:67" ht="18.75" customHeight="1">
      <c r="BM6660" s="1025"/>
      <c r="BO6660" s="43"/>
    </row>
    <row r="6661" spans="65:67" ht="18.75" customHeight="1">
      <c r="BM6661" s="1025"/>
      <c r="BO6661" s="43"/>
    </row>
    <row r="6662" spans="65:67" ht="18.75" customHeight="1">
      <c r="BM6662" s="1025"/>
      <c r="BO6662" s="43"/>
    </row>
    <row r="6663" spans="65:67" ht="18.75" customHeight="1">
      <c r="BM6663" s="1025"/>
      <c r="BO6663" s="43"/>
    </row>
    <row r="6664" spans="65:67" ht="18.75" customHeight="1">
      <c r="BM6664" s="1025"/>
      <c r="BO6664" s="43"/>
    </row>
    <row r="6665" spans="65:67" ht="18.75" customHeight="1">
      <c r="BM6665" s="1025"/>
      <c r="BO6665" s="43"/>
    </row>
    <row r="6666" spans="65:67" ht="18.75" customHeight="1">
      <c r="BM6666" s="1025"/>
      <c r="BO6666" s="43"/>
    </row>
    <row r="6667" spans="65:67" ht="18.75" customHeight="1">
      <c r="BM6667" s="1025"/>
      <c r="BO6667" s="43"/>
    </row>
    <row r="6668" spans="65:67" ht="18.75" customHeight="1">
      <c r="BM6668" s="1025"/>
      <c r="BO6668" s="43"/>
    </row>
    <row r="6669" spans="65:67" ht="18.75" customHeight="1">
      <c r="BM6669" s="1025"/>
      <c r="BO6669" s="43"/>
    </row>
    <row r="6670" spans="65:67" ht="18.75" customHeight="1">
      <c r="BM6670" s="1025"/>
      <c r="BO6670" s="43"/>
    </row>
    <row r="6671" spans="65:67" ht="18.75" customHeight="1">
      <c r="BM6671" s="1025"/>
      <c r="BO6671" s="43"/>
    </row>
    <row r="6672" spans="65:67" ht="18.75" customHeight="1">
      <c r="BM6672" s="1025"/>
      <c r="BO6672" s="43"/>
    </row>
    <row r="6673" spans="65:67" ht="18.75" customHeight="1">
      <c r="BM6673" s="1025"/>
      <c r="BO6673" s="43"/>
    </row>
    <row r="6674" spans="65:67" ht="18.75" customHeight="1">
      <c r="BM6674" s="1025"/>
      <c r="BO6674" s="43"/>
    </row>
    <row r="6675" spans="65:67" ht="18.75" customHeight="1">
      <c r="BM6675" s="1025"/>
      <c r="BO6675" s="43"/>
    </row>
    <row r="6676" spans="65:67" ht="18.75" customHeight="1">
      <c r="BM6676" s="1025"/>
      <c r="BO6676" s="43"/>
    </row>
    <row r="6677" spans="65:67" ht="18.75" customHeight="1">
      <c r="BM6677" s="1025"/>
      <c r="BO6677" s="43"/>
    </row>
    <row r="6678" spans="65:67" ht="18.75" customHeight="1">
      <c r="BM6678" s="1025"/>
      <c r="BO6678" s="43"/>
    </row>
    <row r="6679" spans="65:67" ht="18.75" customHeight="1">
      <c r="BM6679" s="1025"/>
      <c r="BO6679" s="43"/>
    </row>
    <row r="6680" spans="65:67" ht="18.75" customHeight="1">
      <c r="BM6680" s="1025"/>
      <c r="BO6680" s="43"/>
    </row>
    <row r="6681" spans="65:67" ht="18.75" customHeight="1">
      <c r="BM6681" s="1025"/>
      <c r="BO6681" s="43"/>
    </row>
    <row r="6682" spans="65:67" ht="18.75" customHeight="1">
      <c r="BM6682" s="1025"/>
      <c r="BO6682" s="43"/>
    </row>
    <row r="6683" spans="65:67" ht="18.75" customHeight="1">
      <c r="BM6683" s="1025"/>
      <c r="BO6683" s="43"/>
    </row>
    <row r="6684" spans="65:67" ht="18.75" customHeight="1">
      <c r="BM6684" s="1025"/>
      <c r="BO6684" s="43"/>
    </row>
    <row r="6685" spans="65:67" ht="18.75" customHeight="1">
      <c r="BM6685" s="1025"/>
      <c r="BO6685" s="43"/>
    </row>
    <row r="6686" spans="65:67" ht="18.75" customHeight="1">
      <c r="BM6686" s="1025"/>
      <c r="BO6686" s="43"/>
    </row>
    <row r="6687" spans="65:67" ht="18.75" customHeight="1">
      <c r="BM6687" s="1025"/>
      <c r="BO6687" s="43"/>
    </row>
    <row r="6688" spans="65:67" ht="18.75" customHeight="1">
      <c r="BM6688" s="1025"/>
      <c r="BO6688" s="43"/>
    </row>
    <row r="6689" spans="65:67" ht="18.75" customHeight="1">
      <c r="BM6689" s="1025"/>
      <c r="BO6689" s="43"/>
    </row>
    <row r="6690" spans="65:67" ht="18.75" customHeight="1">
      <c r="BM6690" s="1025"/>
      <c r="BO6690" s="43"/>
    </row>
    <row r="6691" spans="65:67" ht="18.75" customHeight="1">
      <c r="BM6691" s="1025"/>
      <c r="BO6691" s="43"/>
    </row>
    <row r="6692" spans="65:67" ht="18.75" customHeight="1">
      <c r="BM6692" s="1025"/>
      <c r="BO6692" s="43"/>
    </row>
    <row r="6693" spans="65:67" ht="18.75" customHeight="1">
      <c r="BM6693" s="1025"/>
      <c r="BO6693" s="43"/>
    </row>
    <row r="6694" spans="65:67" ht="18.75" customHeight="1">
      <c r="BM6694" s="1025"/>
      <c r="BO6694" s="43"/>
    </row>
    <row r="6695" spans="65:67" ht="18.75" customHeight="1">
      <c r="BM6695" s="1025"/>
      <c r="BO6695" s="43"/>
    </row>
    <row r="6696" spans="65:67" ht="18.75" customHeight="1">
      <c r="BM6696" s="1025"/>
      <c r="BO6696" s="43"/>
    </row>
    <row r="6697" spans="65:67" ht="18.75" customHeight="1">
      <c r="BM6697" s="1025"/>
      <c r="BO6697" s="43"/>
    </row>
    <row r="6698" spans="65:67" ht="18.75" customHeight="1">
      <c r="BM6698" s="1025"/>
      <c r="BO6698" s="43"/>
    </row>
    <row r="6699" spans="65:67" ht="18.75" customHeight="1">
      <c r="BM6699" s="1025"/>
      <c r="BO6699" s="43"/>
    </row>
    <row r="6700" spans="65:67" ht="18.75" customHeight="1">
      <c r="BM6700" s="1025"/>
      <c r="BO6700" s="43"/>
    </row>
    <row r="6701" spans="65:67" ht="18.75" customHeight="1">
      <c r="BM6701" s="1025"/>
      <c r="BO6701" s="43"/>
    </row>
    <row r="6702" spans="65:67" ht="18.75" customHeight="1">
      <c r="BM6702" s="1025"/>
      <c r="BO6702" s="43"/>
    </row>
    <row r="6703" spans="65:67" ht="18.75" customHeight="1">
      <c r="BM6703" s="1025"/>
      <c r="BO6703" s="43"/>
    </row>
    <row r="6704" spans="65:67" ht="18.75" customHeight="1">
      <c r="BM6704" s="1025"/>
      <c r="BO6704" s="43"/>
    </row>
    <row r="6705" spans="65:67" ht="18.75" customHeight="1">
      <c r="BM6705" s="1025"/>
      <c r="BO6705" s="43"/>
    </row>
    <row r="6706" spans="65:67" ht="18.75" customHeight="1">
      <c r="BM6706" s="1025"/>
      <c r="BO6706" s="43"/>
    </row>
    <row r="6707" spans="65:67" ht="18.75" customHeight="1">
      <c r="BM6707" s="1025"/>
      <c r="BO6707" s="43"/>
    </row>
    <row r="6708" spans="65:67" ht="18.75" customHeight="1">
      <c r="BM6708" s="1025"/>
      <c r="BO6708" s="43"/>
    </row>
    <row r="6709" spans="65:67" ht="18.75" customHeight="1">
      <c r="BM6709" s="1025"/>
      <c r="BO6709" s="43"/>
    </row>
    <row r="6710" spans="65:67" ht="18.75" customHeight="1">
      <c r="BM6710" s="1025"/>
      <c r="BO6710" s="43"/>
    </row>
    <row r="6711" spans="65:67" ht="18.75" customHeight="1">
      <c r="BM6711" s="1025"/>
      <c r="BO6711" s="43"/>
    </row>
    <row r="6712" spans="65:67" ht="18.75" customHeight="1">
      <c r="BM6712" s="1025"/>
      <c r="BO6712" s="43"/>
    </row>
    <row r="6713" spans="65:67" ht="18.75" customHeight="1">
      <c r="BM6713" s="1025"/>
      <c r="BO6713" s="43"/>
    </row>
    <row r="6714" spans="65:67" ht="18.75" customHeight="1">
      <c r="BM6714" s="1025"/>
      <c r="BO6714" s="43"/>
    </row>
    <row r="6715" spans="65:67" ht="18.75" customHeight="1">
      <c r="BM6715" s="1025"/>
      <c r="BO6715" s="43"/>
    </row>
    <row r="6716" spans="65:67" ht="18.75" customHeight="1">
      <c r="BM6716" s="1025"/>
      <c r="BO6716" s="43"/>
    </row>
    <row r="6717" spans="65:67" ht="18.75" customHeight="1">
      <c r="BM6717" s="1025"/>
      <c r="BO6717" s="43"/>
    </row>
    <row r="6718" spans="65:67" ht="18.75" customHeight="1">
      <c r="BM6718" s="1025"/>
      <c r="BO6718" s="43"/>
    </row>
    <row r="6719" spans="65:67" ht="18.75" customHeight="1">
      <c r="BM6719" s="1025"/>
      <c r="BO6719" s="43"/>
    </row>
    <row r="6720" spans="65:67" ht="18.75" customHeight="1">
      <c r="BM6720" s="1025"/>
      <c r="BO6720" s="43"/>
    </row>
    <row r="6721" spans="65:67" ht="18.75" customHeight="1">
      <c r="BM6721" s="1025"/>
      <c r="BO6721" s="43"/>
    </row>
    <row r="6722" spans="65:67" ht="18.75" customHeight="1">
      <c r="BM6722" s="1025"/>
      <c r="BO6722" s="43"/>
    </row>
    <row r="6723" spans="65:67" ht="18.75" customHeight="1">
      <c r="BM6723" s="1025"/>
      <c r="BO6723" s="43"/>
    </row>
    <row r="6724" spans="65:67" ht="18.75" customHeight="1">
      <c r="BM6724" s="1025"/>
      <c r="BO6724" s="43"/>
    </row>
    <row r="6725" spans="65:67" ht="18.75" customHeight="1">
      <c r="BM6725" s="1025"/>
      <c r="BO6725" s="43"/>
    </row>
    <row r="6726" spans="65:67" ht="18.75" customHeight="1">
      <c r="BM6726" s="1025"/>
      <c r="BO6726" s="43"/>
    </row>
    <row r="6727" spans="65:67" ht="18.75" customHeight="1">
      <c r="BM6727" s="1025"/>
      <c r="BO6727" s="43"/>
    </row>
    <row r="6728" spans="65:67" ht="18.75" customHeight="1">
      <c r="BM6728" s="1025"/>
      <c r="BO6728" s="43"/>
    </row>
    <row r="6729" spans="65:67" ht="18.75" customHeight="1">
      <c r="BM6729" s="1025"/>
      <c r="BO6729" s="43"/>
    </row>
    <row r="6730" spans="65:67" ht="18.75" customHeight="1">
      <c r="BM6730" s="1025"/>
      <c r="BO6730" s="43"/>
    </row>
    <row r="6731" spans="65:67" ht="18.75" customHeight="1">
      <c r="BM6731" s="1025"/>
      <c r="BO6731" s="43"/>
    </row>
    <row r="6732" spans="65:67" ht="18.75" customHeight="1">
      <c r="BM6732" s="1025"/>
      <c r="BO6732" s="43"/>
    </row>
    <row r="6733" spans="65:67" ht="18.75" customHeight="1">
      <c r="BM6733" s="1025"/>
      <c r="BO6733" s="43"/>
    </row>
    <row r="6734" spans="65:67" ht="18.75" customHeight="1">
      <c r="BM6734" s="1025"/>
      <c r="BO6734" s="43"/>
    </row>
    <row r="6735" spans="65:67" ht="18.75" customHeight="1">
      <c r="BM6735" s="1025"/>
      <c r="BO6735" s="43"/>
    </row>
    <row r="6736" spans="65:67" ht="18.75" customHeight="1">
      <c r="BM6736" s="1025"/>
      <c r="BO6736" s="43"/>
    </row>
    <row r="6737" spans="65:67" ht="18.75" customHeight="1">
      <c r="BM6737" s="1025"/>
      <c r="BO6737" s="43"/>
    </row>
    <row r="6738" spans="65:67" ht="18.75" customHeight="1">
      <c r="BM6738" s="1025"/>
      <c r="BO6738" s="43"/>
    </row>
    <row r="6739" spans="65:67" ht="18.75" customHeight="1">
      <c r="BM6739" s="1025"/>
      <c r="BO6739" s="43"/>
    </row>
    <row r="6740" spans="65:67" ht="18.75" customHeight="1">
      <c r="BM6740" s="1025"/>
      <c r="BO6740" s="43"/>
    </row>
    <row r="6741" spans="65:67" ht="18.75" customHeight="1">
      <c r="BM6741" s="1025"/>
      <c r="BO6741" s="43"/>
    </row>
    <row r="6742" spans="65:67" ht="18.75" customHeight="1">
      <c r="BM6742" s="1025"/>
      <c r="BO6742" s="43"/>
    </row>
    <row r="6743" spans="65:67" ht="18.75" customHeight="1">
      <c r="BM6743" s="1025"/>
      <c r="BO6743" s="43"/>
    </row>
    <row r="6744" spans="65:67" ht="18.75" customHeight="1">
      <c r="BM6744" s="1025"/>
      <c r="BO6744" s="43"/>
    </row>
    <row r="6745" spans="65:67" ht="18.75" customHeight="1">
      <c r="BM6745" s="1025"/>
      <c r="BO6745" s="43"/>
    </row>
    <row r="6746" spans="65:67" ht="18.75" customHeight="1">
      <c r="BM6746" s="1025"/>
      <c r="BO6746" s="43"/>
    </row>
    <row r="6747" spans="65:67" ht="18.75" customHeight="1">
      <c r="BM6747" s="1025"/>
      <c r="BO6747" s="43"/>
    </row>
    <row r="6748" spans="65:67" ht="18.75" customHeight="1">
      <c r="BM6748" s="1025"/>
      <c r="BO6748" s="43"/>
    </row>
    <row r="6749" spans="65:67" ht="18.75" customHeight="1">
      <c r="BM6749" s="1025"/>
      <c r="BO6749" s="43"/>
    </row>
    <row r="6750" spans="65:67" ht="18.75" customHeight="1">
      <c r="BM6750" s="1025"/>
      <c r="BO6750" s="43"/>
    </row>
    <row r="6751" spans="65:67" ht="18.75" customHeight="1">
      <c r="BM6751" s="1025"/>
      <c r="BO6751" s="43"/>
    </row>
    <row r="6752" spans="65:67" ht="18.75" customHeight="1">
      <c r="BM6752" s="1025"/>
      <c r="BO6752" s="43"/>
    </row>
    <row r="6753" spans="65:67" ht="18.75" customHeight="1">
      <c r="BM6753" s="1025"/>
      <c r="BO6753" s="43"/>
    </row>
    <row r="6754" spans="65:67" ht="18.75" customHeight="1">
      <c r="BM6754" s="1025"/>
      <c r="BO6754" s="43"/>
    </row>
    <row r="6755" spans="65:67" ht="18.75" customHeight="1">
      <c r="BM6755" s="1025"/>
      <c r="BO6755" s="43"/>
    </row>
    <row r="6756" spans="65:67" ht="18.75" customHeight="1">
      <c r="BM6756" s="1025"/>
      <c r="BO6756" s="43"/>
    </row>
    <row r="6757" spans="65:67" ht="18.75" customHeight="1">
      <c r="BM6757" s="1025"/>
      <c r="BO6757" s="43"/>
    </row>
    <row r="6758" spans="65:67" ht="18.75" customHeight="1">
      <c r="BM6758" s="1025"/>
      <c r="BO6758" s="43"/>
    </row>
    <row r="6759" spans="65:67" ht="18.75" customHeight="1">
      <c r="BM6759" s="1025"/>
      <c r="BO6759" s="43"/>
    </row>
    <row r="6760" spans="65:67" ht="18.75" customHeight="1">
      <c r="BM6760" s="1025"/>
      <c r="BO6760" s="43"/>
    </row>
    <row r="6761" spans="65:67" ht="18.75" customHeight="1">
      <c r="BM6761" s="1025"/>
      <c r="BO6761" s="43"/>
    </row>
    <row r="6762" spans="65:67" ht="18.75" customHeight="1">
      <c r="BM6762" s="1025"/>
      <c r="BO6762" s="43"/>
    </row>
    <row r="6763" spans="65:67" ht="18.75" customHeight="1">
      <c r="BM6763" s="1025"/>
      <c r="BO6763" s="43"/>
    </row>
    <row r="6764" spans="65:67" ht="18.75" customHeight="1">
      <c r="BM6764" s="1025"/>
      <c r="BO6764" s="43"/>
    </row>
    <row r="6765" spans="65:67" ht="18.75" customHeight="1">
      <c r="BM6765" s="1025"/>
      <c r="BO6765" s="43"/>
    </row>
    <row r="6766" spans="65:67" ht="18.75" customHeight="1">
      <c r="BM6766" s="1025"/>
      <c r="BO6766" s="43"/>
    </row>
    <row r="6767" spans="65:67" ht="18.75" customHeight="1">
      <c r="BM6767" s="1025"/>
      <c r="BO6767" s="43"/>
    </row>
    <row r="6768" spans="65:67" ht="18.75" customHeight="1">
      <c r="BM6768" s="1025"/>
      <c r="BO6768" s="43"/>
    </row>
    <row r="6769" spans="65:67" ht="18.75" customHeight="1">
      <c r="BM6769" s="1025"/>
      <c r="BO6769" s="43"/>
    </row>
    <row r="6770" spans="65:67" ht="18.75" customHeight="1">
      <c r="BM6770" s="1025"/>
      <c r="BO6770" s="43"/>
    </row>
    <row r="6771" spans="65:67" ht="18.75" customHeight="1">
      <c r="BM6771" s="1025"/>
      <c r="BO6771" s="43"/>
    </row>
    <row r="6772" spans="65:67" ht="18.75" customHeight="1">
      <c r="BM6772" s="1025"/>
      <c r="BO6772" s="43"/>
    </row>
    <row r="6773" spans="65:67" ht="18.75" customHeight="1">
      <c r="BM6773" s="1025"/>
      <c r="BO6773" s="43"/>
    </row>
    <row r="6774" spans="65:67" ht="18.75" customHeight="1">
      <c r="BM6774" s="1025"/>
      <c r="BO6774" s="43"/>
    </row>
    <row r="6775" spans="65:67" ht="18.75" customHeight="1">
      <c r="BM6775" s="1025"/>
      <c r="BO6775" s="43"/>
    </row>
    <row r="6776" spans="65:67" ht="18.75" customHeight="1">
      <c r="BM6776" s="1025"/>
      <c r="BO6776" s="43"/>
    </row>
    <row r="6777" spans="65:67" ht="18.75" customHeight="1">
      <c r="BM6777" s="1025"/>
      <c r="BO6777" s="43"/>
    </row>
    <row r="6778" spans="65:67" ht="18.75" customHeight="1">
      <c r="BM6778" s="1025"/>
      <c r="BO6778" s="43"/>
    </row>
    <row r="6779" spans="65:67" ht="18.75" customHeight="1">
      <c r="BM6779" s="1025"/>
      <c r="BO6779" s="43"/>
    </row>
    <row r="6780" spans="65:67" ht="18.75" customHeight="1">
      <c r="BM6780" s="1025"/>
      <c r="BO6780" s="43"/>
    </row>
    <row r="6781" spans="65:67" ht="18.75" customHeight="1">
      <c r="BM6781" s="1025"/>
      <c r="BO6781" s="43"/>
    </row>
    <row r="6782" spans="65:67" ht="18.75" customHeight="1">
      <c r="BM6782" s="1025"/>
      <c r="BO6782" s="43"/>
    </row>
    <row r="6783" spans="65:67" ht="18.75" customHeight="1">
      <c r="BM6783" s="1025"/>
      <c r="BO6783" s="43"/>
    </row>
    <row r="6784" spans="65:67" ht="18.75" customHeight="1">
      <c r="BM6784" s="1025"/>
      <c r="BO6784" s="43"/>
    </row>
    <row r="6785" spans="65:67" ht="18.75" customHeight="1">
      <c r="BM6785" s="1025"/>
      <c r="BO6785" s="43"/>
    </row>
    <row r="6786" spans="65:67" ht="18.75" customHeight="1">
      <c r="BM6786" s="1025"/>
      <c r="BO6786" s="43"/>
    </row>
    <row r="6787" spans="65:67" ht="18.75" customHeight="1">
      <c r="BM6787" s="1025"/>
      <c r="BO6787" s="43"/>
    </row>
    <row r="6788" spans="65:67" ht="18.75" customHeight="1">
      <c r="BM6788" s="1025"/>
      <c r="BO6788" s="43"/>
    </row>
    <row r="6789" spans="65:67" ht="18.75" customHeight="1">
      <c r="BM6789" s="1025"/>
      <c r="BO6789" s="43"/>
    </row>
    <row r="6790" spans="65:67" ht="18.75" customHeight="1">
      <c r="BM6790" s="1025"/>
      <c r="BO6790" s="43"/>
    </row>
    <row r="6791" spans="65:67" ht="18.75" customHeight="1">
      <c r="BM6791" s="1025"/>
      <c r="BO6791" s="43"/>
    </row>
    <row r="6792" spans="65:67" ht="18.75" customHeight="1">
      <c r="BM6792" s="1025"/>
      <c r="BO6792" s="43"/>
    </row>
    <row r="6793" spans="65:67" ht="18.75" customHeight="1">
      <c r="BM6793" s="1025"/>
      <c r="BO6793" s="43"/>
    </row>
    <row r="6794" spans="65:67" ht="18.75" customHeight="1">
      <c r="BM6794" s="1025"/>
      <c r="BO6794" s="43"/>
    </row>
    <row r="6795" spans="65:67" ht="18.75" customHeight="1">
      <c r="BM6795" s="1025"/>
      <c r="BO6795" s="43"/>
    </row>
    <row r="6796" spans="65:67" ht="18.75" customHeight="1">
      <c r="BM6796" s="1025"/>
      <c r="BO6796" s="43"/>
    </row>
    <row r="6797" spans="65:67" ht="18.75" customHeight="1">
      <c r="BM6797" s="1025"/>
      <c r="BO6797" s="43"/>
    </row>
    <row r="6798" spans="65:67" ht="18.75" customHeight="1">
      <c r="BM6798" s="1025"/>
      <c r="BO6798" s="43"/>
    </row>
    <row r="6799" spans="65:67" ht="18.75" customHeight="1">
      <c r="BM6799" s="1025"/>
      <c r="BO6799" s="43"/>
    </row>
    <row r="6800" spans="65:67" ht="18.75" customHeight="1">
      <c r="BM6800" s="1025"/>
      <c r="BO6800" s="43"/>
    </row>
    <row r="6801" spans="65:67" ht="18.75" customHeight="1">
      <c r="BM6801" s="1025"/>
      <c r="BO6801" s="43"/>
    </row>
    <row r="6802" spans="65:67" ht="18.75" customHeight="1">
      <c r="BM6802" s="1025"/>
      <c r="BO6802" s="43"/>
    </row>
    <row r="6803" spans="65:67" ht="18.75" customHeight="1">
      <c r="BM6803" s="1025"/>
      <c r="BO6803" s="43"/>
    </row>
    <row r="6804" spans="65:67" ht="18.75" customHeight="1">
      <c r="BM6804" s="1025"/>
      <c r="BO6804" s="43"/>
    </row>
    <row r="6805" spans="65:67" ht="18.75" customHeight="1">
      <c r="BM6805" s="1025"/>
      <c r="BO6805" s="43"/>
    </row>
    <row r="6806" spans="65:67" ht="18.75" customHeight="1">
      <c r="BM6806" s="1025"/>
      <c r="BO6806" s="43"/>
    </row>
    <row r="6807" spans="65:67" ht="18.75" customHeight="1">
      <c r="BM6807" s="1025"/>
      <c r="BO6807" s="43"/>
    </row>
    <row r="6808" spans="65:67" ht="18.75" customHeight="1">
      <c r="BM6808" s="1025"/>
      <c r="BO6808" s="43"/>
    </row>
    <row r="6809" spans="65:67" ht="18.75" customHeight="1">
      <c r="BM6809" s="1025"/>
      <c r="BO6809" s="43"/>
    </row>
    <row r="6810" spans="65:67" ht="18.75" customHeight="1">
      <c r="BM6810" s="1025"/>
      <c r="BO6810" s="43"/>
    </row>
    <row r="6811" spans="65:67" ht="18.75" customHeight="1">
      <c r="BM6811" s="1025"/>
      <c r="BO6811" s="43"/>
    </row>
    <row r="6812" spans="65:67" ht="18.75" customHeight="1">
      <c r="BM6812" s="1025"/>
      <c r="BO6812" s="43"/>
    </row>
    <row r="6813" spans="65:67" ht="18.75" customHeight="1">
      <c r="BM6813" s="1025"/>
      <c r="BO6813" s="43"/>
    </row>
    <row r="6814" spans="65:67" ht="18.75" customHeight="1">
      <c r="BM6814" s="1025"/>
      <c r="BO6814" s="43"/>
    </row>
    <row r="6815" spans="65:67" ht="18.75" customHeight="1">
      <c r="BM6815" s="1025"/>
      <c r="BO6815" s="43"/>
    </row>
    <row r="6816" spans="65:67" ht="18.75" customHeight="1">
      <c r="BM6816" s="1025"/>
      <c r="BO6816" s="43"/>
    </row>
    <row r="6817" spans="65:67" ht="18.75" customHeight="1">
      <c r="BM6817" s="1025"/>
      <c r="BO6817" s="43"/>
    </row>
    <row r="6818" spans="65:67" ht="18.75" customHeight="1">
      <c r="BM6818" s="1025"/>
      <c r="BO6818" s="43"/>
    </row>
    <row r="6819" spans="65:67" ht="18.75" customHeight="1">
      <c r="BM6819" s="1025"/>
      <c r="BO6819" s="43"/>
    </row>
    <row r="6820" spans="65:67" ht="18.75" customHeight="1">
      <c r="BM6820" s="1025"/>
      <c r="BO6820" s="43"/>
    </row>
    <row r="6821" spans="65:67" ht="18.75" customHeight="1">
      <c r="BM6821" s="1025"/>
      <c r="BO6821" s="43"/>
    </row>
    <row r="6822" spans="65:67" ht="18.75" customHeight="1">
      <c r="BM6822" s="1025"/>
      <c r="BO6822" s="43"/>
    </row>
    <row r="6823" spans="65:67" ht="18.75" customHeight="1">
      <c r="BM6823" s="1025"/>
      <c r="BO6823" s="43"/>
    </row>
    <row r="6824" spans="65:67" ht="18.75" customHeight="1">
      <c r="BM6824" s="1025"/>
      <c r="BO6824" s="43"/>
    </row>
    <row r="6825" spans="65:67" ht="18.75" customHeight="1">
      <c r="BM6825" s="1025"/>
      <c r="BO6825" s="43"/>
    </row>
    <row r="6826" spans="65:67" ht="18.75" customHeight="1">
      <c r="BM6826" s="1025"/>
      <c r="BO6826" s="43"/>
    </row>
    <row r="6827" spans="65:67" ht="18.75" customHeight="1">
      <c r="BM6827" s="1025"/>
      <c r="BO6827" s="43"/>
    </row>
    <row r="6828" spans="65:67" ht="18.75" customHeight="1">
      <c r="BM6828" s="1025"/>
      <c r="BO6828" s="43"/>
    </row>
    <row r="6829" spans="65:67" ht="18.75" customHeight="1">
      <c r="BM6829" s="1025"/>
      <c r="BO6829" s="43"/>
    </row>
    <row r="6830" spans="65:67" ht="18.75" customHeight="1">
      <c r="BM6830" s="1025"/>
      <c r="BO6830" s="43"/>
    </row>
    <row r="6831" spans="65:67" ht="18.75" customHeight="1">
      <c r="BM6831" s="1025"/>
      <c r="BO6831" s="43"/>
    </row>
    <row r="6832" spans="65:67" ht="18.75" customHeight="1">
      <c r="BM6832" s="1025"/>
      <c r="BO6832" s="43"/>
    </row>
    <row r="6833" spans="65:67" ht="18.75" customHeight="1">
      <c r="BM6833" s="1025"/>
      <c r="BO6833" s="43"/>
    </row>
    <row r="6834" spans="65:67" ht="18.75" customHeight="1">
      <c r="BM6834" s="1025"/>
      <c r="BO6834" s="43"/>
    </row>
    <row r="6835" spans="65:67" ht="18.75" customHeight="1">
      <c r="BM6835" s="1025"/>
      <c r="BO6835" s="43"/>
    </row>
    <row r="6836" spans="65:67" ht="18.75" customHeight="1">
      <c r="BM6836" s="1025"/>
      <c r="BO6836" s="43"/>
    </row>
    <row r="6837" spans="65:67" ht="18.75" customHeight="1">
      <c r="BM6837" s="1025"/>
      <c r="BO6837" s="43"/>
    </row>
    <row r="6838" spans="65:67" ht="18.75" customHeight="1">
      <c r="BM6838" s="1025"/>
      <c r="BO6838" s="43"/>
    </row>
    <row r="6839" spans="65:67" ht="18.75" customHeight="1">
      <c r="BM6839" s="1025"/>
      <c r="BO6839" s="43"/>
    </row>
    <row r="6840" spans="65:67" ht="18.75" customHeight="1">
      <c r="BM6840" s="1025"/>
      <c r="BO6840" s="43"/>
    </row>
    <row r="6841" spans="65:67" ht="18.75" customHeight="1">
      <c r="BM6841" s="1025"/>
      <c r="BO6841" s="43"/>
    </row>
    <row r="6842" spans="65:67" ht="18.75" customHeight="1">
      <c r="BM6842" s="1025"/>
      <c r="BO6842" s="43"/>
    </row>
    <row r="6843" spans="65:67" ht="18.75" customHeight="1">
      <c r="BM6843" s="1025"/>
      <c r="BO6843" s="43"/>
    </row>
    <row r="6844" spans="65:67" ht="18.75" customHeight="1">
      <c r="BM6844" s="1025"/>
      <c r="BO6844" s="43"/>
    </row>
    <row r="6845" spans="65:67" ht="18.75" customHeight="1">
      <c r="BM6845" s="1025"/>
      <c r="BO6845" s="43"/>
    </row>
    <row r="6846" spans="65:67" ht="18.75" customHeight="1">
      <c r="BM6846" s="1025"/>
      <c r="BO6846" s="43"/>
    </row>
    <row r="6847" spans="65:67" ht="18.75" customHeight="1">
      <c r="BM6847" s="1025"/>
      <c r="BO6847" s="43"/>
    </row>
    <row r="6848" spans="65:67" ht="18.75" customHeight="1">
      <c r="BM6848" s="1025"/>
      <c r="BO6848" s="43"/>
    </row>
    <row r="6849" spans="65:67" ht="18.75" customHeight="1">
      <c r="BM6849" s="1025"/>
      <c r="BO6849" s="43"/>
    </row>
    <row r="6850" spans="65:67" ht="18.75" customHeight="1">
      <c r="BM6850" s="1025"/>
      <c r="BO6850" s="43"/>
    </row>
    <row r="6851" spans="65:67" ht="18.75" customHeight="1">
      <c r="BM6851" s="1025"/>
      <c r="BO6851" s="43"/>
    </row>
    <row r="6852" spans="65:67" ht="18.75" customHeight="1">
      <c r="BM6852" s="1025"/>
      <c r="BO6852" s="43"/>
    </row>
    <row r="6853" spans="65:67" ht="18.75" customHeight="1">
      <c r="BM6853" s="1025"/>
      <c r="BO6853" s="43"/>
    </row>
    <row r="6854" spans="65:67" ht="18.75" customHeight="1">
      <c r="BM6854" s="1025"/>
      <c r="BO6854" s="43"/>
    </row>
    <row r="6855" spans="65:67" ht="18.75" customHeight="1">
      <c r="BM6855" s="1025"/>
      <c r="BO6855" s="43"/>
    </row>
    <row r="6856" spans="65:67" ht="18.75" customHeight="1">
      <c r="BM6856" s="1025"/>
      <c r="BO6856" s="43"/>
    </row>
    <row r="6857" spans="65:67" ht="18.75" customHeight="1">
      <c r="BM6857" s="1025"/>
      <c r="BO6857" s="43"/>
    </row>
    <row r="6858" spans="65:67" ht="18.75" customHeight="1">
      <c r="BM6858" s="1025"/>
      <c r="BO6858" s="43"/>
    </row>
    <row r="6859" spans="65:67" ht="18.75" customHeight="1">
      <c r="BM6859" s="1025"/>
      <c r="BO6859" s="43"/>
    </row>
    <row r="6860" spans="65:67" ht="18.75" customHeight="1">
      <c r="BM6860" s="1025"/>
      <c r="BO6860" s="43"/>
    </row>
    <row r="6861" spans="65:67" ht="18.75" customHeight="1">
      <c r="BM6861" s="1025"/>
      <c r="BO6861" s="43"/>
    </row>
    <row r="6862" spans="65:67" ht="18.75" customHeight="1">
      <c r="BM6862" s="1025"/>
      <c r="BO6862" s="43"/>
    </row>
    <row r="6863" spans="65:67" ht="18.75" customHeight="1">
      <c r="BM6863" s="1025"/>
      <c r="BO6863" s="43"/>
    </row>
    <row r="6864" spans="65:67" ht="18.75" customHeight="1">
      <c r="BM6864" s="1025"/>
      <c r="BO6864" s="43"/>
    </row>
    <row r="6865" spans="65:67" ht="18.75" customHeight="1">
      <c r="BM6865" s="1025"/>
      <c r="BO6865" s="43"/>
    </row>
    <row r="6866" spans="65:67" ht="18.75" customHeight="1">
      <c r="BM6866" s="1025"/>
      <c r="BO6866" s="43"/>
    </row>
    <row r="6867" spans="65:67" ht="18.75" customHeight="1">
      <c r="BM6867" s="1025"/>
      <c r="BO6867" s="43"/>
    </row>
    <row r="6868" spans="65:67" ht="18.75" customHeight="1">
      <c r="BM6868" s="1025"/>
      <c r="BO6868" s="43"/>
    </row>
    <row r="6869" spans="65:67" ht="18.75" customHeight="1">
      <c r="BM6869" s="1025"/>
      <c r="BO6869" s="43"/>
    </row>
    <row r="6870" spans="65:67" ht="18.75" customHeight="1">
      <c r="BM6870" s="1025"/>
      <c r="BO6870" s="43"/>
    </row>
    <row r="6871" spans="65:67" ht="18.75" customHeight="1">
      <c r="BM6871" s="1025"/>
      <c r="BO6871" s="43"/>
    </row>
    <row r="6872" spans="65:67" ht="18.75" customHeight="1">
      <c r="BM6872" s="1025"/>
      <c r="BO6872" s="43"/>
    </row>
    <row r="6873" spans="65:67" ht="18.75" customHeight="1">
      <c r="BM6873" s="1025"/>
      <c r="BO6873" s="43"/>
    </row>
    <row r="6874" spans="65:67" ht="18.75" customHeight="1">
      <c r="BM6874" s="1025"/>
      <c r="BO6874" s="43"/>
    </row>
    <row r="6875" spans="65:67" ht="18.75" customHeight="1">
      <c r="BM6875" s="1025"/>
      <c r="BO6875" s="43"/>
    </row>
    <row r="6876" spans="65:67" ht="18.75" customHeight="1">
      <c r="BM6876" s="1025"/>
      <c r="BO6876" s="43"/>
    </row>
    <row r="6877" spans="65:67" ht="18.75" customHeight="1">
      <c r="BM6877" s="1025"/>
      <c r="BO6877" s="43"/>
    </row>
    <row r="6878" spans="65:67" ht="18.75" customHeight="1">
      <c r="BM6878" s="1025"/>
      <c r="BO6878" s="43"/>
    </row>
    <row r="6879" spans="65:67" ht="18.75" customHeight="1">
      <c r="BM6879" s="1025"/>
      <c r="BO6879" s="43"/>
    </row>
    <row r="6880" spans="65:67" ht="18.75" customHeight="1">
      <c r="BM6880" s="1025"/>
      <c r="BO6880" s="43"/>
    </row>
    <row r="6881" spans="65:67" ht="18.75" customHeight="1">
      <c r="BM6881" s="1025"/>
      <c r="BO6881" s="43"/>
    </row>
    <row r="6882" spans="65:67" ht="18.75" customHeight="1">
      <c r="BM6882" s="1025"/>
      <c r="BO6882" s="43"/>
    </row>
    <row r="6883" spans="65:67" ht="18.75" customHeight="1">
      <c r="BM6883" s="1025"/>
      <c r="BO6883" s="43"/>
    </row>
    <row r="6884" spans="65:67" ht="18.75" customHeight="1">
      <c r="BM6884" s="1025"/>
      <c r="BO6884" s="43"/>
    </row>
    <row r="6885" spans="65:67" ht="18.75" customHeight="1">
      <c r="BM6885" s="1025"/>
      <c r="BO6885" s="43"/>
    </row>
    <row r="6886" spans="65:67" ht="18.75" customHeight="1">
      <c r="BM6886" s="1025"/>
      <c r="BO6886" s="43"/>
    </row>
    <row r="6887" spans="65:67" ht="18.75" customHeight="1">
      <c r="BM6887" s="1025"/>
      <c r="BO6887" s="43"/>
    </row>
    <row r="6888" spans="65:67" ht="18.75" customHeight="1">
      <c r="BM6888" s="1025"/>
      <c r="BO6888" s="43"/>
    </row>
    <row r="6889" spans="65:67" ht="18.75" customHeight="1">
      <c r="BM6889" s="1025"/>
      <c r="BO6889" s="43"/>
    </row>
    <row r="6890" spans="65:67" ht="18.75" customHeight="1">
      <c r="BM6890" s="1025"/>
      <c r="BO6890" s="43"/>
    </row>
    <row r="6891" spans="65:67" ht="18.75" customHeight="1">
      <c r="BM6891" s="1025"/>
      <c r="BO6891" s="43"/>
    </row>
    <row r="6892" spans="65:67" ht="18.75" customHeight="1">
      <c r="BM6892" s="1025"/>
      <c r="BO6892" s="43"/>
    </row>
    <row r="6893" spans="65:67" ht="18.75" customHeight="1">
      <c r="BM6893" s="1025"/>
      <c r="BO6893" s="43"/>
    </row>
    <row r="6894" spans="65:67" ht="18.75" customHeight="1">
      <c r="BM6894" s="1025"/>
      <c r="BO6894" s="43"/>
    </row>
    <row r="6895" spans="65:67" ht="18.75" customHeight="1">
      <c r="BM6895" s="1025"/>
      <c r="BO6895" s="43"/>
    </row>
    <row r="6896" spans="65:67" ht="18.75" customHeight="1">
      <c r="BM6896" s="1025"/>
      <c r="BO6896" s="43"/>
    </row>
    <row r="6897" spans="65:67" ht="18.75" customHeight="1">
      <c r="BM6897" s="1025"/>
      <c r="BO6897" s="43"/>
    </row>
    <row r="6898" spans="65:67" ht="18.75" customHeight="1">
      <c r="BM6898" s="1025"/>
      <c r="BO6898" s="43"/>
    </row>
    <row r="6899" spans="65:67" ht="18.75" customHeight="1">
      <c r="BM6899" s="1025"/>
      <c r="BO6899" s="43"/>
    </row>
    <row r="6900" spans="65:67" ht="18.75" customHeight="1">
      <c r="BM6900" s="1025"/>
      <c r="BO6900" s="43"/>
    </row>
    <row r="6901" spans="65:67" ht="18.75" customHeight="1">
      <c r="BM6901" s="1025"/>
      <c r="BO6901" s="43"/>
    </row>
    <row r="6902" spans="65:67" ht="18.75" customHeight="1">
      <c r="BM6902" s="1025"/>
      <c r="BO6902" s="43"/>
    </row>
    <row r="6903" spans="65:67" ht="18.75" customHeight="1">
      <c r="BM6903" s="1025"/>
      <c r="BO6903" s="43"/>
    </row>
    <row r="6904" spans="65:67" ht="18.75" customHeight="1">
      <c r="BM6904" s="1025"/>
      <c r="BO6904" s="43"/>
    </row>
    <row r="6905" spans="65:67" ht="18.75" customHeight="1">
      <c r="BM6905" s="1025"/>
      <c r="BO6905" s="43"/>
    </row>
    <row r="6906" spans="65:67" ht="18.75" customHeight="1">
      <c r="BM6906" s="1025"/>
      <c r="BO6906" s="43"/>
    </row>
    <row r="6907" spans="65:67" ht="18.75" customHeight="1">
      <c r="BM6907" s="1025"/>
      <c r="BO6907" s="43"/>
    </row>
    <row r="6908" spans="65:67" ht="18.75" customHeight="1">
      <c r="BM6908" s="1025"/>
      <c r="BO6908" s="43"/>
    </row>
    <row r="6909" spans="65:67" ht="18.75" customHeight="1">
      <c r="BM6909" s="1025"/>
      <c r="BO6909" s="43"/>
    </row>
    <row r="6910" spans="65:67" ht="18.75" customHeight="1">
      <c r="BM6910" s="1025"/>
      <c r="BO6910" s="43"/>
    </row>
    <row r="6911" spans="65:67" ht="18.75" customHeight="1">
      <c r="BM6911" s="1025"/>
      <c r="BO6911" s="43"/>
    </row>
    <row r="6912" spans="65:67" ht="18.75" customHeight="1">
      <c r="BM6912" s="1025"/>
      <c r="BO6912" s="43"/>
    </row>
    <row r="6913" spans="65:67" ht="18.75" customHeight="1">
      <c r="BM6913" s="1025"/>
      <c r="BO6913" s="43"/>
    </row>
    <row r="6914" spans="65:67" ht="18.75" customHeight="1">
      <c r="BM6914" s="1025"/>
      <c r="BO6914" s="43"/>
    </row>
    <row r="6915" spans="65:67" ht="18.75" customHeight="1">
      <c r="BM6915" s="1025"/>
      <c r="BO6915" s="43"/>
    </row>
    <row r="6916" spans="65:67" ht="18.75" customHeight="1">
      <c r="BM6916" s="1025"/>
      <c r="BO6916" s="43"/>
    </row>
    <row r="6917" spans="65:67" ht="18.75" customHeight="1">
      <c r="BM6917" s="1025"/>
      <c r="BO6917" s="43"/>
    </row>
    <row r="6918" spans="65:67" ht="18.75" customHeight="1">
      <c r="BM6918" s="1025"/>
      <c r="BO6918" s="43"/>
    </row>
    <row r="6919" spans="65:67" ht="18.75" customHeight="1">
      <c r="BM6919" s="1025"/>
      <c r="BO6919" s="43"/>
    </row>
    <row r="6920" spans="65:67" ht="18.75" customHeight="1">
      <c r="BM6920" s="1025"/>
      <c r="BO6920" s="43"/>
    </row>
    <row r="6921" spans="65:67" ht="18.75" customHeight="1">
      <c r="BM6921" s="1025"/>
      <c r="BO6921" s="43"/>
    </row>
    <row r="6922" spans="65:67" ht="18.75" customHeight="1">
      <c r="BM6922" s="1025"/>
      <c r="BO6922" s="43"/>
    </row>
    <row r="6923" spans="65:67" ht="18.75" customHeight="1">
      <c r="BM6923" s="1025"/>
      <c r="BO6923" s="43"/>
    </row>
    <row r="6924" spans="65:67" ht="18.75" customHeight="1">
      <c r="BM6924" s="1025"/>
      <c r="BO6924" s="43"/>
    </row>
    <row r="6925" spans="65:67" ht="18.75" customHeight="1">
      <c r="BM6925" s="1025"/>
      <c r="BO6925" s="43"/>
    </row>
    <row r="6926" spans="65:67" ht="18.75" customHeight="1">
      <c r="BM6926" s="1025"/>
      <c r="BO6926" s="43"/>
    </row>
    <row r="6927" spans="65:67" ht="18.75" customHeight="1">
      <c r="BM6927" s="1025"/>
      <c r="BO6927" s="43"/>
    </row>
    <row r="6928" spans="65:67" ht="18.75" customHeight="1">
      <c r="BM6928" s="1025"/>
      <c r="BO6928" s="43"/>
    </row>
    <row r="6929" spans="65:67" ht="18.75" customHeight="1">
      <c r="BM6929" s="1025"/>
      <c r="BO6929" s="43"/>
    </row>
    <row r="6930" spans="65:67" ht="18.75" customHeight="1">
      <c r="BM6930" s="1025"/>
      <c r="BO6930" s="43"/>
    </row>
    <row r="6931" spans="65:67" ht="18.75" customHeight="1">
      <c r="BM6931" s="1025"/>
      <c r="BO6931" s="43"/>
    </row>
    <row r="6932" spans="65:67" ht="18.75" customHeight="1">
      <c r="BM6932" s="1025"/>
      <c r="BO6932" s="43"/>
    </row>
    <row r="6933" spans="65:67" ht="18.75" customHeight="1">
      <c r="BM6933" s="1025"/>
      <c r="BO6933" s="43"/>
    </row>
    <row r="6934" spans="65:67" ht="18.75" customHeight="1">
      <c r="BM6934" s="1025"/>
      <c r="BO6934" s="43"/>
    </row>
    <row r="6935" spans="65:67" ht="18.75" customHeight="1">
      <c r="BM6935" s="1025"/>
      <c r="BO6935" s="43"/>
    </row>
    <row r="6936" spans="65:67" ht="18.75" customHeight="1">
      <c r="BM6936" s="1025"/>
      <c r="BO6936" s="43"/>
    </row>
    <row r="6937" spans="65:67" ht="18.75" customHeight="1">
      <c r="BM6937" s="1025"/>
      <c r="BO6937" s="43"/>
    </row>
    <row r="6938" spans="65:67" ht="18.75" customHeight="1">
      <c r="BM6938" s="1025"/>
      <c r="BO6938" s="43"/>
    </row>
    <row r="6939" spans="65:67" ht="18.75" customHeight="1">
      <c r="BM6939" s="1025"/>
      <c r="BO6939" s="43"/>
    </row>
    <row r="6940" spans="65:67" ht="18.75" customHeight="1">
      <c r="BM6940" s="1025"/>
      <c r="BO6940" s="43"/>
    </row>
    <row r="6941" spans="65:67" ht="18.75" customHeight="1">
      <c r="BM6941" s="1025"/>
      <c r="BO6941" s="43"/>
    </row>
    <row r="6942" spans="65:67" ht="18.75" customHeight="1">
      <c r="BM6942" s="1025"/>
      <c r="BO6942" s="43"/>
    </row>
    <row r="6943" spans="65:67" ht="18.75" customHeight="1">
      <c r="BM6943" s="1025"/>
      <c r="BO6943" s="43"/>
    </row>
    <row r="6944" spans="65:67" ht="18.75" customHeight="1">
      <c r="BM6944" s="1025"/>
      <c r="BO6944" s="43"/>
    </row>
    <row r="6945" spans="65:67" ht="18.75" customHeight="1">
      <c r="BM6945" s="1025"/>
      <c r="BO6945" s="43"/>
    </row>
    <row r="6946" spans="65:67" ht="18.75" customHeight="1">
      <c r="BM6946" s="1025"/>
      <c r="BO6946" s="43"/>
    </row>
    <row r="6947" spans="65:67" ht="18.75" customHeight="1">
      <c r="BM6947" s="1025"/>
      <c r="BO6947" s="43"/>
    </row>
    <row r="6948" spans="65:67" ht="18.75" customHeight="1">
      <c r="BM6948" s="1025"/>
      <c r="BO6948" s="43"/>
    </row>
    <row r="6949" spans="65:67" ht="18.75" customHeight="1">
      <c r="BM6949" s="1025"/>
      <c r="BO6949" s="43"/>
    </row>
    <row r="6950" spans="65:67" ht="18.75" customHeight="1">
      <c r="BM6950" s="1025"/>
      <c r="BO6950" s="43"/>
    </row>
    <row r="6951" spans="65:67" ht="18.75" customHeight="1">
      <c r="BM6951" s="1025"/>
      <c r="BO6951" s="43"/>
    </row>
    <row r="6952" spans="65:67" ht="18.75" customHeight="1">
      <c r="BM6952" s="1025"/>
      <c r="BO6952" s="43"/>
    </row>
    <row r="6953" spans="65:67" ht="18.75" customHeight="1">
      <c r="BM6953" s="1025"/>
      <c r="BO6953" s="43"/>
    </row>
    <row r="6954" spans="65:67" ht="18.75" customHeight="1">
      <c r="BM6954" s="1025"/>
      <c r="BO6954" s="43"/>
    </row>
    <row r="6955" spans="65:67" ht="18.75" customHeight="1">
      <c r="BM6955" s="1025"/>
      <c r="BO6955" s="43"/>
    </row>
    <row r="6956" spans="65:67" ht="18.75" customHeight="1">
      <c r="BM6956" s="1025"/>
      <c r="BO6956" s="43"/>
    </row>
    <row r="6957" spans="65:67" ht="18.75" customHeight="1">
      <c r="BM6957" s="1025"/>
      <c r="BO6957" s="43"/>
    </row>
    <row r="6958" spans="65:67" ht="18.75" customHeight="1">
      <c r="BM6958" s="1025"/>
      <c r="BO6958" s="43"/>
    </row>
    <row r="6959" spans="65:67" ht="18.75" customHeight="1">
      <c r="BM6959" s="1025"/>
      <c r="BO6959" s="43"/>
    </row>
    <row r="6960" spans="65:67" ht="18.75" customHeight="1">
      <c r="BM6960" s="1025"/>
      <c r="BO6960" s="43"/>
    </row>
    <row r="6961" spans="65:67" ht="18.75" customHeight="1">
      <c r="BM6961" s="1025"/>
      <c r="BO6961" s="43"/>
    </row>
    <row r="6962" spans="65:67" ht="18.75" customHeight="1">
      <c r="BM6962" s="1025"/>
      <c r="BO6962" s="43"/>
    </row>
    <row r="6963" spans="65:67" ht="18.75" customHeight="1">
      <c r="BM6963" s="1025"/>
      <c r="BO6963" s="43"/>
    </row>
    <row r="6964" spans="65:67" ht="18.75" customHeight="1">
      <c r="BM6964" s="1025"/>
      <c r="BO6964" s="43"/>
    </row>
    <row r="6965" spans="65:67" ht="18.75" customHeight="1">
      <c r="BM6965" s="1025"/>
      <c r="BO6965" s="43"/>
    </row>
    <row r="6966" spans="65:67" ht="18.75" customHeight="1">
      <c r="BM6966" s="1025"/>
      <c r="BO6966" s="43"/>
    </row>
    <row r="6967" spans="65:67" ht="18.75" customHeight="1">
      <c r="BM6967" s="1025"/>
      <c r="BO6967" s="43"/>
    </row>
    <row r="6968" spans="65:67" ht="18.75" customHeight="1">
      <c r="BM6968" s="1025"/>
      <c r="BO6968" s="43"/>
    </row>
    <row r="6969" spans="65:67" ht="18.75" customHeight="1">
      <c r="BM6969" s="1025"/>
      <c r="BO6969" s="43"/>
    </row>
    <row r="6970" spans="65:67" ht="18.75" customHeight="1">
      <c r="BM6970" s="1025"/>
      <c r="BO6970" s="43"/>
    </row>
    <row r="6971" spans="65:67" ht="18.75" customHeight="1">
      <c r="BM6971" s="1025"/>
      <c r="BO6971" s="43"/>
    </row>
    <row r="6972" spans="65:67" ht="18.75" customHeight="1">
      <c r="BM6972" s="1025"/>
      <c r="BO6972" s="43"/>
    </row>
    <row r="6973" spans="65:67" ht="18.75" customHeight="1">
      <c r="BM6973" s="1025"/>
      <c r="BO6973" s="43"/>
    </row>
    <row r="6974" spans="65:67" ht="18.75" customHeight="1">
      <c r="BM6974" s="1025"/>
      <c r="BO6974" s="43"/>
    </row>
    <row r="6975" spans="65:67" ht="18.75" customHeight="1">
      <c r="BM6975" s="1025"/>
      <c r="BO6975" s="43"/>
    </row>
    <row r="6976" spans="65:67" ht="18.75" customHeight="1">
      <c r="BM6976" s="1025"/>
      <c r="BO6976" s="43"/>
    </row>
    <row r="6977" spans="65:67" ht="18.75" customHeight="1">
      <c r="BM6977" s="1025"/>
      <c r="BO6977" s="43"/>
    </row>
    <row r="6978" spans="65:67" ht="18.75" customHeight="1">
      <c r="BM6978" s="1025"/>
      <c r="BO6978" s="43"/>
    </row>
    <row r="6979" spans="65:67" ht="18.75" customHeight="1">
      <c r="BM6979" s="1025"/>
      <c r="BO6979" s="43"/>
    </row>
    <row r="6980" spans="65:67" ht="18.75" customHeight="1">
      <c r="BM6980" s="1025"/>
      <c r="BO6980" s="43"/>
    </row>
    <row r="6981" spans="65:67" ht="18.75" customHeight="1">
      <c r="BM6981" s="1025"/>
      <c r="BO6981" s="43"/>
    </row>
    <row r="6982" spans="65:67" ht="18.75" customHeight="1">
      <c r="BM6982" s="1025"/>
      <c r="BO6982" s="43"/>
    </row>
    <row r="6983" spans="65:67" ht="18.75" customHeight="1">
      <c r="BM6983" s="1025"/>
      <c r="BO6983" s="43"/>
    </row>
    <row r="6984" spans="65:67" ht="18.75" customHeight="1">
      <c r="BM6984" s="1025"/>
      <c r="BO6984" s="43"/>
    </row>
    <row r="6985" spans="65:67" ht="18.75" customHeight="1">
      <c r="BM6985" s="1025"/>
      <c r="BO6985" s="43"/>
    </row>
    <row r="6986" spans="65:67" ht="18.75" customHeight="1">
      <c r="BM6986" s="1025"/>
      <c r="BO6986" s="43"/>
    </row>
    <row r="6987" spans="65:67" ht="18.75" customHeight="1">
      <c r="BM6987" s="1025"/>
      <c r="BO6987" s="43"/>
    </row>
    <row r="6988" spans="65:67" ht="18.75" customHeight="1">
      <c r="BM6988" s="1025"/>
      <c r="BO6988" s="43"/>
    </row>
    <row r="6989" spans="65:67" ht="18.75" customHeight="1">
      <c r="BM6989" s="1025"/>
      <c r="BO6989" s="43"/>
    </row>
    <row r="6990" spans="65:67" ht="18.75" customHeight="1">
      <c r="BM6990" s="1025"/>
      <c r="BO6990" s="43"/>
    </row>
    <row r="6991" spans="65:67" ht="18.75" customHeight="1">
      <c r="BM6991" s="1025"/>
      <c r="BO6991" s="43"/>
    </row>
    <row r="6992" spans="65:67" ht="18.75" customHeight="1">
      <c r="BM6992" s="1025"/>
      <c r="BO6992" s="43"/>
    </row>
    <row r="6993" spans="65:67" ht="18.75" customHeight="1">
      <c r="BM6993" s="1025"/>
      <c r="BO6993" s="43"/>
    </row>
    <row r="6994" spans="65:67" ht="18.75" customHeight="1">
      <c r="BM6994" s="1025"/>
      <c r="BO6994" s="43"/>
    </row>
    <row r="6995" spans="65:67" ht="18.75" customHeight="1">
      <c r="BM6995" s="1025"/>
      <c r="BO6995" s="43"/>
    </row>
    <row r="6996" spans="65:67" ht="18.75" customHeight="1">
      <c r="BM6996" s="1025"/>
      <c r="BO6996" s="43"/>
    </row>
    <row r="6997" spans="65:67" ht="18.75" customHeight="1">
      <c r="BM6997" s="1025"/>
      <c r="BO6997" s="43"/>
    </row>
    <row r="6998" spans="65:67" ht="18.75" customHeight="1">
      <c r="BM6998" s="1025"/>
      <c r="BO6998" s="43"/>
    </row>
    <row r="6999" spans="65:67" ht="18.75" customHeight="1">
      <c r="BM6999" s="1025"/>
      <c r="BO6999" s="43"/>
    </row>
    <row r="7000" spans="65:67" ht="18.75" customHeight="1">
      <c r="BM7000" s="1025"/>
      <c r="BO7000" s="43"/>
    </row>
    <row r="7001" spans="65:67" ht="18.75" customHeight="1">
      <c r="BM7001" s="1025"/>
      <c r="BO7001" s="43"/>
    </row>
    <row r="7002" spans="65:67" ht="18.75" customHeight="1">
      <c r="BM7002" s="1025"/>
      <c r="BO7002" s="43"/>
    </row>
    <row r="7003" spans="65:67" ht="18.75" customHeight="1">
      <c r="BM7003" s="1025"/>
      <c r="BO7003" s="43"/>
    </row>
    <row r="7004" spans="65:67" ht="18.75" customHeight="1">
      <c r="BM7004" s="1025"/>
      <c r="BO7004" s="43"/>
    </row>
    <row r="7005" spans="65:67" ht="18.75" customHeight="1">
      <c r="BM7005" s="1025"/>
      <c r="BO7005" s="43"/>
    </row>
    <row r="7006" spans="65:67" ht="18.75" customHeight="1">
      <c r="BM7006" s="1025"/>
      <c r="BO7006" s="43"/>
    </row>
    <row r="7007" spans="65:67" ht="18.75" customHeight="1">
      <c r="BM7007" s="1025"/>
      <c r="BO7007" s="43"/>
    </row>
    <row r="7008" spans="65:67" ht="18.75" customHeight="1">
      <c r="BM7008" s="1025"/>
      <c r="BO7008" s="43"/>
    </row>
    <row r="7009" spans="65:67" ht="18.75" customHeight="1">
      <c r="BM7009" s="1025"/>
      <c r="BO7009" s="43"/>
    </row>
    <row r="7010" spans="65:67" ht="18.75" customHeight="1">
      <c r="BM7010" s="1025"/>
      <c r="BO7010" s="43"/>
    </row>
    <row r="7011" spans="65:67" ht="18.75" customHeight="1">
      <c r="BM7011" s="1025"/>
      <c r="BO7011" s="43"/>
    </row>
    <row r="7012" spans="65:67" ht="18.75" customHeight="1">
      <c r="BM7012" s="1025"/>
      <c r="BO7012" s="43"/>
    </row>
    <row r="7013" spans="65:67" ht="18.75" customHeight="1">
      <c r="BM7013" s="1025"/>
      <c r="BO7013" s="43"/>
    </row>
    <row r="7014" spans="65:67" ht="18.75" customHeight="1">
      <c r="BM7014" s="1025"/>
      <c r="BO7014" s="43"/>
    </row>
    <row r="7015" spans="65:67" ht="18.75" customHeight="1">
      <c r="BM7015" s="1025"/>
      <c r="BO7015" s="43"/>
    </row>
    <row r="7016" spans="65:67" ht="18.75" customHeight="1">
      <c r="BM7016" s="1025"/>
      <c r="BO7016" s="43"/>
    </row>
    <row r="7017" spans="65:67" ht="18.75" customHeight="1">
      <c r="BM7017" s="1025"/>
      <c r="BO7017" s="43"/>
    </row>
    <row r="7018" spans="65:67" ht="18.75" customHeight="1">
      <c r="BM7018" s="1025"/>
      <c r="BO7018" s="43"/>
    </row>
    <row r="7019" spans="65:67" ht="18.75" customHeight="1">
      <c r="BM7019" s="1025"/>
      <c r="BO7019" s="43"/>
    </row>
    <row r="7020" spans="65:67" ht="18.75" customHeight="1">
      <c r="BM7020" s="1025"/>
      <c r="BO7020" s="43"/>
    </row>
    <row r="7021" spans="65:67" ht="18.75" customHeight="1">
      <c r="BM7021" s="1025"/>
      <c r="BO7021" s="43"/>
    </row>
    <row r="7022" spans="65:67" ht="18.75" customHeight="1">
      <c r="BM7022" s="1025"/>
      <c r="BO7022" s="43"/>
    </row>
    <row r="7023" spans="65:67" ht="18.75" customHeight="1">
      <c r="BM7023" s="1025"/>
      <c r="BO7023" s="43"/>
    </row>
    <row r="7024" spans="65:67" ht="18.75" customHeight="1">
      <c r="BM7024" s="1025"/>
      <c r="BO7024" s="43"/>
    </row>
    <row r="7025" spans="65:67" ht="18.75" customHeight="1">
      <c r="BM7025" s="1025"/>
      <c r="BO7025" s="43"/>
    </row>
    <row r="7026" spans="65:67" ht="18.75" customHeight="1">
      <c r="BM7026" s="1025"/>
      <c r="BO7026" s="43"/>
    </row>
    <row r="7027" spans="65:67" ht="18.75" customHeight="1">
      <c r="BM7027" s="1025"/>
      <c r="BO7027" s="43"/>
    </row>
    <row r="7028" spans="65:67" ht="18.75" customHeight="1">
      <c r="BM7028" s="1025"/>
      <c r="BO7028" s="43"/>
    </row>
    <row r="7029" spans="65:67" ht="18.75" customHeight="1">
      <c r="BM7029" s="1025"/>
      <c r="BO7029" s="43"/>
    </row>
    <row r="7030" spans="65:67" ht="18.75" customHeight="1">
      <c r="BM7030" s="1025"/>
      <c r="BO7030" s="43"/>
    </row>
    <row r="7031" spans="65:67" ht="18.75" customHeight="1">
      <c r="BM7031" s="1025"/>
      <c r="BO7031" s="43"/>
    </row>
    <row r="7032" spans="65:67" ht="18.75" customHeight="1">
      <c r="BM7032" s="1025"/>
      <c r="BO7032" s="43"/>
    </row>
    <row r="7033" spans="65:67" ht="18.75" customHeight="1">
      <c r="BM7033" s="1025"/>
      <c r="BO7033" s="43"/>
    </row>
    <row r="7034" spans="65:67" ht="18.75" customHeight="1">
      <c r="BM7034" s="1025"/>
      <c r="BO7034" s="43"/>
    </row>
    <row r="7035" spans="65:67" ht="18.75" customHeight="1">
      <c r="BM7035" s="1025"/>
      <c r="BO7035" s="43"/>
    </row>
    <row r="7036" spans="65:67" ht="18.75" customHeight="1">
      <c r="BM7036" s="1025"/>
      <c r="BO7036" s="43"/>
    </row>
    <row r="7037" spans="65:67" ht="18.75" customHeight="1">
      <c r="BM7037" s="1025"/>
      <c r="BO7037" s="43"/>
    </row>
    <row r="7038" spans="65:67" ht="18.75" customHeight="1">
      <c r="BM7038" s="1025"/>
      <c r="BO7038" s="43"/>
    </row>
    <row r="7039" spans="65:67" ht="18.75" customHeight="1">
      <c r="BM7039" s="1025"/>
      <c r="BO7039" s="43"/>
    </row>
    <row r="7040" spans="65:67" ht="18.75" customHeight="1">
      <c r="BM7040" s="1025"/>
      <c r="BO7040" s="43"/>
    </row>
    <row r="7041" spans="65:67" ht="18.75" customHeight="1">
      <c r="BM7041" s="1025"/>
      <c r="BO7041" s="43"/>
    </row>
    <row r="7042" spans="65:67" ht="18.75" customHeight="1">
      <c r="BM7042" s="1025"/>
      <c r="BO7042" s="43"/>
    </row>
    <row r="7043" spans="65:67" ht="18.75" customHeight="1">
      <c r="BM7043" s="1025"/>
      <c r="BO7043" s="43"/>
    </row>
    <row r="7044" spans="65:67" ht="18.75" customHeight="1">
      <c r="BM7044" s="1025"/>
      <c r="BO7044" s="43"/>
    </row>
    <row r="7045" spans="65:67" ht="18.75" customHeight="1">
      <c r="BM7045" s="1025"/>
      <c r="BO7045" s="43"/>
    </row>
    <row r="7046" spans="65:67" ht="18.75" customHeight="1">
      <c r="BM7046" s="1025"/>
      <c r="BO7046" s="43"/>
    </row>
    <row r="7047" spans="65:67" ht="18.75" customHeight="1">
      <c r="BM7047" s="1025"/>
      <c r="BO7047" s="43"/>
    </row>
    <row r="7048" spans="65:67" ht="18.75" customHeight="1">
      <c r="BM7048" s="1025"/>
      <c r="BO7048" s="43"/>
    </row>
    <row r="7049" spans="65:67" ht="18.75" customHeight="1">
      <c r="BM7049" s="1025"/>
      <c r="BO7049" s="43"/>
    </row>
    <row r="7050" spans="65:67" ht="18.75" customHeight="1">
      <c r="BM7050" s="1025"/>
      <c r="BO7050" s="43"/>
    </row>
    <row r="7051" spans="65:67" ht="18.75" customHeight="1">
      <c r="BM7051" s="1025"/>
      <c r="BO7051" s="43"/>
    </row>
    <row r="7052" spans="65:67" ht="18.75" customHeight="1">
      <c r="BM7052" s="1025"/>
      <c r="BO7052" s="43"/>
    </row>
    <row r="7053" spans="65:67" ht="18.75" customHeight="1">
      <c r="BM7053" s="1025"/>
      <c r="BO7053" s="43"/>
    </row>
    <row r="7054" spans="65:67" ht="18.75" customHeight="1">
      <c r="BM7054" s="1025"/>
      <c r="BO7054" s="43"/>
    </row>
    <row r="7055" spans="65:67" ht="18.75" customHeight="1">
      <c r="BM7055" s="1025"/>
      <c r="BO7055" s="43"/>
    </row>
    <row r="7056" spans="65:67" ht="18.75" customHeight="1">
      <c r="BM7056" s="1025"/>
      <c r="BO7056" s="43"/>
    </row>
    <row r="7057" spans="65:67" ht="18.75" customHeight="1">
      <c r="BM7057" s="1025"/>
      <c r="BO7057" s="43"/>
    </row>
    <row r="7058" spans="65:67" ht="18.75" customHeight="1">
      <c r="BM7058" s="1025"/>
      <c r="BO7058" s="43"/>
    </row>
    <row r="7059" spans="65:67" ht="18.75" customHeight="1">
      <c r="BM7059" s="1025"/>
      <c r="BO7059" s="43"/>
    </row>
    <row r="7060" spans="65:67" ht="18.75" customHeight="1">
      <c r="BM7060" s="1025"/>
      <c r="BO7060" s="43"/>
    </row>
    <row r="7061" spans="65:67" ht="18.75" customHeight="1">
      <c r="BM7061" s="1025"/>
      <c r="BO7061" s="43"/>
    </row>
    <row r="7062" spans="65:67" ht="18.75" customHeight="1">
      <c r="BM7062" s="1025"/>
      <c r="BO7062" s="43"/>
    </row>
    <row r="7063" spans="65:67" ht="18.75" customHeight="1">
      <c r="BM7063" s="1025"/>
      <c r="BO7063" s="43"/>
    </row>
    <row r="7064" spans="65:67" ht="18.75" customHeight="1">
      <c r="BM7064" s="1025"/>
      <c r="BO7064" s="43"/>
    </row>
    <row r="7065" spans="65:67" ht="18.75" customHeight="1">
      <c r="BM7065" s="1025"/>
      <c r="BO7065" s="43"/>
    </row>
    <row r="7066" spans="65:67" ht="18.75" customHeight="1">
      <c r="BM7066" s="1025"/>
      <c r="BO7066" s="43"/>
    </row>
    <row r="7067" spans="65:67" ht="18.75" customHeight="1">
      <c r="BM7067" s="1025"/>
      <c r="BO7067" s="43"/>
    </row>
    <row r="7068" spans="65:67" ht="18.75" customHeight="1">
      <c r="BM7068" s="1025"/>
      <c r="BO7068" s="43"/>
    </row>
    <row r="7069" spans="65:67" ht="18.75" customHeight="1">
      <c r="BM7069" s="1025"/>
      <c r="BO7069" s="43"/>
    </row>
    <row r="7070" spans="65:67" ht="18.75" customHeight="1">
      <c r="BM7070" s="1025"/>
      <c r="BO7070" s="43"/>
    </row>
    <row r="7071" spans="65:67" ht="18.75" customHeight="1">
      <c r="BM7071" s="1025"/>
      <c r="BO7071" s="43"/>
    </row>
    <row r="7072" spans="65:67" ht="18.75" customHeight="1">
      <c r="BM7072" s="1025"/>
      <c r="BO7072" s="43"/>
    </row>
    <row r="7073" spans="65:67" ht="18.75" customHeight="1">
      <c r="BM7073" s="1025"/>
      <c r="BO7073" s="43"/>
    </row>
    <row r="7074" spans="65:67" ht="18.75" customHeight="1">
      <c r="BM7074" s="1025"/>
      <c r="BO7074" s="43"/>
    </row>
    <row r="7075" spans="65:67" ht="18.75" customHeight="1">
      <c r="BM7075" s="1025"/>
      <c r="BO7075" s="43"/>
    </row>
    <row r="7076" spans="65:67" ht="18.75" customHeight="1">
      <c r="BM7076" s="1025"/>
      <c r="BO7076" s="43"/>
    </row>
    <row r="7077" spans="65:67" ht="18.75" customHeight="1">
      <c r="BM7077" s="1025"/>
      <c r="BO7077" s="43"/>
    </row>
    <row r="7078" spans="65:67" ht="18.75" customHeight="1">
      <c r="BM7078" s="1025"/>
      <c r="BO7078" s="43"/>
    </row>
    <row r="7079" spans="65:67" ht="18.75" customHeight="1">
      <c r="BM7079" s="1025"/>
      <c r="BO7079" s="43"/>
    </row>
    <row r="7080" spans="65:67" ht="18.75" customHeight="1">
      <c r="BM7080" s="1025"/>
      <c r="BO7080" s="43"/>
    </row>
    <row r="7081" spans="65:67" ht="18.75" customHeight="1">
      <c r="BM7081" s="1025"/>
      <c r="BO7081" s="43"/>
    </row>
    <row r="7082" spans="65:67" ht="18.75" customHeight="1">
      <c r="BM7082" s="1025"/>
      <c r="BO7082" s="43"/>
    </row>
    <row r="7083" spans="65:67" ht="18.75" customHeight="1">
      <c r="BM7083" s="1025"/>
      <c r="BO7083" s="43"/>
    </row>
    <row r="7084" spans="65:67" ht="18.75" customHeight="1">
      <c r="BM7084" s="1025"/>
      <c r="BO7084" s="43"/>
    </row>
    <row r="7085" spans="65:67" ht="18.75" customHeight="1">
      <c r="BM7085" s="1025"/>
      <c r="BO7085" s="43"/>
    </row>
    <row r="7086" spans="65:67" ht="18.75" customHeight="1">
      <c r="BM7086" s="1025"/>
      <c r="BO7086" s="43"/>
    </row>
    <row r="7087" spans="65:67" ht="18.75" customHeight="1">
      <c r="BM7087" s="1025"/>
      <c r="BO7087" s="43"/>
    </row>
    <row r="7088" spans="65:67" ht="18.75" customHeight="1">
      <c r="BM7088" s="1025"/>
      <c r="BO7088" s="43"/>
    </row>
    <row r="7089" spans="65:67" ht="18.75" customHeight="1">
      <c r="BM7089" s="1025"/>
      <c r="BO7089" s="43"/>
    </row>
    <row r="7090" spans="65:67" ht="18.75" customHeight="1">
      <c r="BM7090" s="1025"/>
      <c r="BO7090" s="43"/>
    </row>
    <row r="7091" spans="65:67" ht="18.75" customHeight="1">
      <c r="BM7091" s="1025"/>
      <c r="BO7091" s="43"/>
    </row>
    <row r="7092" spans="65:67" ht="18.75" customHeight="1">
      <c r="BM7092" s="1025"/>
      <c r="BO7092" s="43"/>
    </row>
    <row r="7093" spans="65:67" ht="18.75" customHeight="1">
      <c r="BM7093" s="1025"/>
      <c r="BO7093" s="43"/>
    </row>
    <row r="7094" spans="65:67" ht="18.75" customHeight="1">
      <c r="BM7094" s="1025"/>
      <c r="BO7094" s="43"/>
    </row>
    <row r="7095" spans="65:67" ht="18.75" customHeight="1">
      <c r="BM7095" s="1025"/>
      <c r="BO7095" s="43"/>
    </row>
    <row r="7096" spans="65:67" ht="18.75" customHeight="1">
      <c r="BM7096" s="1025"/>
      <c r="BO7096" s="43"/>
    </row>
    <row r="7097" spans="65:67" ht="18.75" customHeight="1">
      <c r="BM7097" s="1025"/>
      <c r="BO7097" s="43"/>
    </row>
    <row r="7098" spans="65:67" ht="18.75" customHeight="1">
      <c r="BM7098" s="1025"/>
      <c r="BO7098" s="43"/>
    </row>
    <row r="7099" spans="65:67" ht="18.75" customHeight="1">
      <c r="BM7099" s="1025"/>
      <c r="BO7099" s="43"/>
    </row>
    <row r="7100" spans="65:67" ht="18.75" customHeight="1">
      <c r="BM7100" s="1025"/>
      <c r="BO7100" s="43"/>
    </row>
    <row r="7101" spans="65:67" ht="18.75" customHeight="1">
      <c r="BM7101" s="1025"/>
      <c r="BO7101" s="43"/>
    </row>
    <row r="7102" spans="65:67" ht="18.75" customHeight="1">
      <c r="BM7102" s="1025"/>
      <c r="BO7102" s="43"/>
    </row>
    <row r="7103" spans="65:67" ht="18.75" customHeight="1">
      <c r="BM7103" s="1025"/>
      <c r="BO7103" s="43"/>
    </row>
    <row r="7104" spans="65:67" ht="18.75" customHeight="1">
      <c r="BM7104" s="1025"/>
      <c r="BO7104" s="43"/>
    </row>
    <row r="7105" spans="65:67" ht="18.75" customHeight="1">
      <c r="BM7105" s="1025"/>
      <c r="BO7105" s="43"/>
    </row>
    <row r="7106" spans="65:67" ht="18.75" customHeight="1">
      <c r="BM7106" s="1025"/>
      <c r="BO7106" s="43"/>
    </row>
    <row r="7107" spans="65:67" ht="18.75" customHeight="1">
      <c r="BM7107" s="1025"/>
      <c r="BO7107" s="43"/>
    </row>
    <row r="7108" spans="65:67" ht="18.75" customHeight="1">
      <c r="BM7108" s="1025"/>
      <c r="BO7108" s="43"/>
    </row>
    <row r="7109" spans="65:67" ht="18.75" customHeight="1">
      <c r="BM7109" s="1025"/>
      <c r="BO7109" s="43"/>
    </row>
    <row r="7110" spans="65:67" ht="18.75" customHeight="1">
      <c r="BM7110" s="1025"/>
      <c r="BO7110" s="43"/>
    </row>
    <row r="7111" spans="65:67" ht="18.75" customHeight="1">
      <c r="BM7111" s="1025"/>
      <c r="BO7111" s="43"/>
    </row>
    <row r="7112" spans="65:67" ht="18.75" customHeight="1">
      <c r="BM7112" s="1025"/>
      <c r="BO7112" s="43"/>
    </row>
    <row r="7113" spans="65:67" ht="18.75" customHeight="1">
      <c r="BM7113" s="1025"/>
      <c r="BO7113" s="43"/>
    </row>
    <row r="7114" spans="65:67" ht="18.75" customHeight="1">
      <c r="BM7114" s="1025"/>
      <c r="BO7114" s="43"/>
    </row>
    <row r="7115" spans="65:67" ht="18.75" customHeight="1">
      <c r="BM7115" s="1025"/>
      <c r="BO7115" s="43"/>
    </row>
    <row r="7116" spans="65:67" ht="18.75" customHeight="1">
      <c r="BM7116" s="1025"/>
      <c r="BO7116" s="43"/>
    </row>
    <row r="7117" spans="65:67" ht="18.75" customHeight="1">
      <c r="BM7117" s="1025"/>
      <c r="BO7117" s="43"/>
    </row>
    <row r="7118" spans="65:67" ht="18.75" customHeight="1">
      <c r="BM7118" s="1025"/>
      <c r="BO7118" s="43"/>
    </row>
    <row r="7119" spans="65:67" ht="18.75" customHeight="1">
      <c r="BM7119" s="1025"/>
      <c r="BO7119" s="43"/>
    </row>
    <row r="7120" spans="65:67" ht="18.75" customHeight="1">
      <c r="BM7120" s="1025"/>
      <c r="BO7120" s="43"/>
    </row>
    <row r="7121" spans="65:67" ht="18.75" customHeight="1">
      <c r="BM7121" s="1025"/>
      <c r="BO7121" s="43"/>
    </row>
    <row r="7122" spans="65:67" ht="18.75" customHeight="1">
      <c r="BM7122" s="1025"/>
      <c r="BO7122" s="43"/>
    </row>
    <row r="7123" spans="65:67" ht="18.75" customHeight="1">
      <c r="BM7123" s="1025"/>
      <c r="BO7123" s="43"/>
    </row>
    <row r="7124" spans="65:67" ht="18.75" customHeight="1">
      <c r="BM7124" s="1025"/>
      <c r="BO7124" s="43"/>
    </row>
    <row r="7125" spans="65:67" ht="18.75" customHeight="1">
      <c r="BM7125" s="1025"/>
      <c r="BO7125" s="43"/>
    </row>
    <row r="7126" spans="65:67" ht="18.75" customHeight="1">
      <c r="BM7126" s="1025"/>
      <c r="BO7126" s="43"/>
    </row>
    <row r="7127" spans="65:67" ht="18.75" customHeight="1">
      <c r="BM7127" s="1025"/>
      <c r="BO7127" s="43"/>
    </row>
    <row r="7128" spans="65:67" ht="18.75" customHeight="1">
      <c r="BM7128" s="1025"/>
      <c r="BO7128" s="43"/>
    </row>
    <row r="7129" spans="65:67" ht="18.75" customHeight="1">
      <c r="BM7129" s="1025"/>
      <c r="BO7129" s="43"/>
    </row>
    <row r="7130" spans="65:67" ht="18.75" customHeight="1">
      <c r="BM7130" s="1025"/>
      <c r="BO7130" s="43"/>
    </row>
    <row r="7131" spans="65:67" ht="18.75" customHeight="1">
      <c r="BM7131" s="1025"/>
      <c r="BO7131" s="43"/>
    </row>
    <row r="7132" spans="65:67" ht="18.75" customHeight="1">
      <c r="BM7132" s="1025"/>
      <c r="BO7132" s="43"/>
    </row>
    <row r="7133" spans="65:67" ht="18.75" customHeight="1">
      <c r="BM7133" s="1025"/>
      <c r="BO7133" s="43"/>
    </row>
    <row r="7134" spans="65:67" ht="18.75" customHeight="1">
      <c r="BM7134" s="1025"/>
      <c r="BO7134" s="43"/>
    </row>
    <row r="7135" spans="65:67" ht="18.75" customHeight="1">
      <c r="BM7135" s="1025"/>
      <c r="BO7135" s="43"/>
    </row>
    <row r="7136" spans="65:67" ht="18.75" customHeight="1">
      <c r="BM7136" s="1025"/>
      <c r="BO7136" s="43"/>
    </row>
    <row r="7137" spans="65:67" ht="18.75" customHeight="1">
      <c r="BM7137" s="1025"/>
      <c r="BO7137" s="43"/>
    </row>
    <row r="7138" spans="65:67" ht="18.75" customHeight="1">
      <c r="BM7138" s="1025"/>
      <c r="BO7138" s="43"/>
    </row>
    <row r="7139" spans="65:67" ht="18.75" customHeight="1">
      <c r="BM7139" s="1025"/>
      <c r="BO7139" s="43"/>
    </row>
    <row r="7140" spans="65:67" ht="18.75" customHeight="1">
      <c r="BM7140" s="1025"/>
      <c r="BO7140" s="43"/>
    </row>
    <row r="7141" spans="65:67" ht="18.75" customHeight="1">
      <c r="BM7141" s="1025"/>
      <c r="BO7141" s="43"/>
    </row>
    <row r="7142" spans="65:67" ht="18.75" customHeight="1">
      <c r="BM7142" s="1025"/>
      <c r="BO7142" s="43"/>
    </row>
    <row r="7143" spans="65:67" ht="18.75" customHeight="1">
      <c r="BM7143" s="1025"/>
      <c r="BO7143" s="43"/>
    </row>
    <row r="7144" spans="65:67" ht="18.75" customHeight="1">
      <c r="BM7144" s="1025"/>
      <c r="BO7144" s="43"/>
    </row>
    <row r="7145" spans="65:67" ht="18.75" customHeight="1">
      <c r="BM7145" s="1025"/>
      <c r="BO7145" s="43"/>
    </row>
    <row r="7146" spans="65:67" ht="18.75" customHeight="1">
      <c r="BM7146" s="1025"/>
      <c r="BO7146" s="43"/>
    </row>
    <row r="7147" spans="65:67" ht="18.75" customHeight="1">
      <c r="BM7147" s="1025"/>
      <c r="BO7147" s="43"/>
    </row>
    <row r="7148" spans="65:67" ht="18.75" customHeight="1">
      <c r="BM7148" s="1025"/>
      <c r="BO7148" s="43"/>
    </row>
    <row r="7149" spans="65:67" ht="18.75" customHeight="1">
      <c r="BM7149" s="1025"/>
      <c r="BO7149" s="43"/>
    </row>
    <row r="7150" spans="65:67" ht="18.75" customHeight="1">
      <c r="BM7150" s="1025"/>
      <c r="BO7150" s="43"/>
    </row>
    <row r="7151" spans="65:67" ht="18.75" customHeight="1">
      <c r="BM7151" s="1025"/>
      <c r="BO7151" s="43"/>
    </row>
    <row r="7152" spans="65:67" ht="18.75" customHeight="1">
      <c r="BM7152" s="1025"/>
      <c r="BO7152" s="43"/>
    </row>
    <row r="7153" spans="65:67" ht="18.75" customHeight="1">
      <c r="BM7153" s="1025"/>
      <c r="BO7153" s="43"/>
    </row>
    <row r="7154" spans="65:67" ht="18.75" customHeight="1">
      <c r="BM7154" s="1025"/>
      <c r="BO7154" s="43"/>
    </row>
    <row r="7155" spans="65:67" ht="18.75" customHeight="1">
      <c r="BM7155" s="1025"/>
      <c r="BO7155" s="43"/>
    </row>
    <row r="7156" spans="65:67" ht="18.75" customHeight="1">
      <c r="BM7156" s="1025"/>
      <c r="BO7156" s="43"/>
    </row>
    <row r="7157" spans="65:67" ht="18.75" customHeight="1">
      <c r="BM7157" s="1025"/>
      <c r="BO7157" s="43"/>
    </row>
    <row r="7158" spans="65:67" ht="18.75" customHeight="1">
      <c r="BM7158" s="1025"/>
      <c r="BO7158" s="43"/>
    </row>
    <row r="7159" spans="65:67" ht="18.75" customHeight="1">
      <c r="BM7159" s="1025"/>
      <c r="BO7159" s="43"/>
    </row>
    <row r="7160" spans="65:67" ht="18.75" customHeight="1">
      <c r="BM7160" s="1025"/>
      <c r="BO7160" s="43"/>
    </row>
    <row r="7161" spans="65:67" ht="18.75" customHeight="1">
      <c r="BM7161" s="1025"/>
      <c r="BO7161" s="43"/>
    </row>
    <row r="7162" spans="65:67" ht="18.75" customHeight="1">
      <c r="BM7162" s="1025"/>
      <c r="BO7162" s="43"/>
    </row>
    <row r="7163" spans="65:67" ht="18.75" customHeight="1">
      <c r="BM7163" s="1025"/>
      <c r="BO7163" s="43"/>
    </row>
    <row r="7164" spans="65:67" ht="18.75" customHeight="1">
      <c r="BM7164" s="1025"/>
      <c r="BO7164" s="43"/>
    </row>
    <row r="7165" spans="65:67" ht="18.75" customHeight="1">
      <c r="BM7165" s="1025"/>
      <c r="BO7165" s="43"/>
    </row>
    <row r="7166" spans="65:67" ht="18.75" customHeight="1">
      <c r="BM7166" s="1025"/>
      <c r="BO7166" s="43"/>
    </row>
    <row r="7167" spans="65:67" ht="18.75" customHeight="1">
      <c r="BM7167" s="1025"/>
      <c r="BO7167" s="43"/>
    </row>
    <row r="7168" spans="65:67" ht="18.75" customHeight="1">
      <c r="BM7168" s="1025"/>
      <c r="BO7168" s="43"/>
    </row>
    <row r="7169" spans="65:67" ht="18.75" customHeight="1">
      <c r="BM7169" s="1025"/>
      <c r="BO7169" s="43"/>
    </row>
    <row r="7170" spans="65:67" ht="18.75" customHeight="1">
      <c r="BM7170" s="1025"/>
      <c r="BO7170" s="43"/>
    </row>
    <row r="7171" spans="65:67" ht="18.75" customHeight="1">
      <c r="BM7171" s="1025"/>
      <c r="BO7171" s="43"/>
    </row>
    <row r="7172" spans="65:67" ht="18.75" customHeight="1">
      <c r="BM7172" s="1025"/>
      <c r="BO7172" s="43"/>
    </row>
    <row r="7173" spans="65:67" ht="18.75" customHeight="1">
      <c r="BM7173" s="1025"/>
      <c r="BO7173" s="43"/>
    </row>
    <row r="7174" spans="65:67" ht="18.75" customHeight="1">
      <c r="BM7174" s="1025"/>
      <c r="BO7174" s="43"/>
    </row>
    <row r="7175" spans="65:67" ht="18.75" customHeight="1">
      <c r="BM7175" s="1025"/>
      <c r="BO7175" s="43"/>
    </row>
    <row r="7176" spans="65:67" ht="18.75" customHeight="1">
      <c r="BM7176" s="1025"/>
      <c r="BO7176" s="43"/>
    </row>
    <row r="7177" spans="65:67" ht="18.75" customHeight="1">
      <c r="BM7177" s="1025"/>
      <c r="BO7177" s="43"/>
    </row>
    <row r="7178" spans="65:67" ht="18.75" customHeight="1">
      <c r="BM7178" s="1025"/>
      <c r="BO7178" s="43"/>
    </row>
    <row r="7179" spans="65:67" ht="18.75" customHeight="1">
      <c r="BM7179" s="1025"/>
      <c r="BO7179" s="43"/>
    </row>
    <row r="7180" spans="65:67" ht="18.75" customHeight="1">
      <c r="BM7180" s="1025"/>
      <c r="BO7180" s="43"/>
    </row>
    <row r="7181" spans="65:67" ht="18.75" customHeight="1">
      <c r="BM7181" s="1025"/>
      <c r="BO7181" s="43"/>
    </row>
    <row r="7182" spans="65:67" ht="18.75" customHeight="1">
      <c r="BM7182" s="1025"/>
      <c r="BO7182" s="43"/>
    </row>
    <row r="7183" spans="65:67" ht="18.75" customHeight="1">
      <c r="BM7183" s="1025"/>
      <c r="BO7183" s="43"/>
    </row>
    <row r="7184" spans="65:67" ht="18.75" customHeight="1">
      <c r="BM7184" s="1025"/>
      <c r="BO7184" s="43"/>
    </row>
    <row r="7185" spans="65:67" ht="18.75" customHeight="1">
      <c r="BM7185" s="1025"/>
      <c r="BO7185" s="43"/>
    </row>
    <row r="7186" spans="65:67" ht="18.75" customHeight="1">
      <c r="BM7186" s="1025"/>
      <c r="BO7186" s="43"/>
    </row>
    <row r="7187" spans="65:67" ht="18.75" customHeight="1">
      <c r="BM7187" s="1025"/>
      <c r="BO7187" s="43"/>
    </row>
    <row r="7188" spans="65:67" ht="18.75" customHeight="1">
      <c r="BM7188" s="1025"/>
      <c r="BO7188" s="43"/>
    </row>
    <row r="7189" spans="65:67" ht="18.75" customHeight="1">
      <c r="BM7189" s="1025"/>
      <c r="BO7189" s="43"/>
    </row>
    <row r="7190" spans="65:67" ht="18.75" customHeight="1">
      <c r="BM7190" s="1025"/>
      <c r="BO7190" s="43"/>
    </row>
    <row r="7191" spans="65:67" ht="18.75" customHeight="1">
      <c r="BM7191" s="1025"/>
      <c r="BO7191" s="43"/>
    </row>
    <row r="7192" spans="65:67" ht="18.75" customHeight="1">
      <c r="BM7192" s="1025"/>
      <c r="BO7192" s="43"/>
    </row>
    <row r="7193" spans="65:67" ht="18.75" customHeight="1">
      <c r="BM7193" s="1025"/>
      <c r="BO7193" s="43"/>
    </row>
    <row r="7194" spans="65:67" ht="18.75" customHeight="1">
      <c r="BM7194" s="1025"/>
      <c r="BO7194" s="43"/>
    </row>
    <row r="7195" spans="65:67" ht="18.75" customHeight="1">
      <c r="BM7195" s="1025"/>
      <c r="BO7195" s="43"/>
    </row>
    <row r="7196" spans="65:67" ht="18.75" customHeight="1">
      <c r="BM7196" s="1025"/>
      <c r="BO7196" s="43"/>
    </row>
    <row r="7197" spans="65:67" ht="18.75" customHeight="1">
      <c r="BM7197" s="1025"/>
      <c r="BO7197" s="43"/>
    </row>
    <row r="7198" spans="65:67" ht="18.75" customHeight="1">
      <c r="BM7198" s="1025"/>
      <c r="BO7198" s="43"/>
    </row>
    <row r="7199" spans="65:67" ht="18.75" customHeight="1">
      <c r="BM7199" s="1025"/>
      <c r="BO7199" s="43"/>
    </row>
    <row r="7200" spans="65:67" ht="18.75" customHeight="1">
      <c r="BM7200" s="1025"/>
      <c r="BO7200" s="43"/>
    </row>
    <row r="7201" spans="65:67" ht="18.75" customHeight="1">
      <c r="BM7201" s="1025"/>
      <c r="BO7201" s="43"/>
    </row>
    <row r="7202" spans="65:67" ht="18.75" customHeight="1">
      <c r="BM7202" s="1025"/>
      <c r="BO7202" s="43"/>
    </row>
    <row r="7203" spans="65:67" ht="18.75" customHeight="1">
      <c r="BM7203" s="1025"/>
      <c r="BO7203" s="43"/>
    </row>
    <row r="7204" spans="65:67" ht="18.75" customHeight="1">
      <c r="BM7204" s="1025"/>
      <c r="BO7204" s="43"/>
    </row>
    <row r="7205" spans="65:67" ht="18.75" customHeight="1">
      <c r="BM7205" s="1025"/>
      <c r="BO7205" s="43"/>
    </row>
    <row r="7206" spans="65:67" ht="18.75" customHeight="1">
      <c r="BM7206" s="1025"/>
      <c r="BO7206" s="43"/>
    </row>
    <row r="7207" spans="65:67" ht="18.75" customHeight="1">
      <c r="BM7207" s="1025"/>
      <c r="BO7207" s="43"/>
    </row>
    <row r="7208" spans="65:67" ht="18.75" customHeight="1">
      <c r="BM7208" s="1025"/>
      <c r="BO7208" s="43"/>
    </row>
    <row r="7209" spans="65:67" ht="18.75" customHeight="1">
      <c r="BM7209" s="1025"/>
      <c r="BO7209" s="43"/>
    </row>
    <row r="7210" spans="65:67" ht="18.75" customHeight="1">
      <c r="BM7210" s="1025"/>
      <c r="BO7210" s="43"/>
    </row>
    <row r="7211" spans="65:67" ht="18.75" customHeight="1">
      <c r="BM7211" s="1025"/>
      <c r="BO7211" s="43"/>
    </row>
    <row r="7212" spans="65:67" ht="18.75" customHeight="1">
      <c r="BM7212" s="1025"/>
      <c r="BO7212" s="43"/>
    </row>
    <row r="7213" spans="65:67" ht="18.75" customHeight="1">
      <c r="BM7213" s="1025"/>
      <c r="BO7213" s="43"/>
    </row>
    <row r="7214" spans="65:67" ht="18.75" customHeight="1">
      <c r="BM7214" s="1025"/>
      <c r="BO7214" s="43"/>
    </row>
    <row r="7215" spans="65:67" ht="18.75" customHeight="1">
      <c r="BM7215" s="1025"/>
      <c r="BO7215" s="43"/>
    </row>
    <row r="7216" spans="65:67" ht="18.75" customHeight="1">
      <c r="BM7216" s="1025"/>
      <c r="BO7216" s="43"/>
    </row>
    <row r="7217" spans="65:67" ht="18.75" customHeight="1">
      <c r="BM7217" s="1025"/>
      <c r="BO7217" s="43"/>
    </row>
    <row r="7218" spans="65:67" ht="18.75" customHeight="1">
      <c r="BM7218" s="1025"/>
      <c r="BO7218" s="43"/>
    </row>
    <row r="7219" spans="65:67" ht="18.75" customHeight="1">
      <c r="BM7219" s="1025"/>
      <c r="BO7219" s="43"/>
    </row>
    <row r="7220" spans="65:67" ht="18.75" customHeight="1">
      <c r="BM7220" s="1025"/>
      <c r="BO7220" s="43"/>
    </row>
    <row r="7221" spans="65:67" ht="18.75" customHeight="1">
      <c r="BM7221" s="1025"/>
      <c r="BO7221" s="43"/>
    </row>
    <row r="7222" spans="65:67" ht="18.75" customHeight="1">
      <c r="BM7222" s="1025"/>
      <c r="BO7222" s="43"/>
    </row>
    <row r="7223" spans="65:67" ht="18.75" customHeight="1">
      <c r="BM7223" s="1025"/>
      <c r="BO7223" s="43"/>
    </row>
    <row r="7224" spans="65:67" ht="18.75" customHeight="1">
      <c r="BM7224" s="1025"/>
      <c r="BO7224" s="43"/>
    </row>
    <row r="7225" spans="65:67" ht="18.75" customHeight="1">
      <c r="BM7225" s="1025"/>
      <c r="BO7225" s="43"/>
    </row>
    <row r="7226" spans="65:67" ht="18.75" customHeight="1">
      <c r="BM7226" s="1025"/>
      <c r="BO7226" s="43"/>
    </row>
    <row r="7227" spans="65:67" ht="18.75" customHeight="1">
      <c r="BM7227" s="1025"/>
      <c r="BO7227" s="43"/>
    </row>
    <row r="7228" spans="65:67" ht="18.75" customHeight="1">
      <c r="BM7228" s="1025"/>
      <c r="BO7228" s="43"/>
    </row>
    <row r="7229" spans="65:67" ht="18.75" customHeight="1">
      <c r="BM7229" s="1025"/>
      <c r="BO7229" s="43"/>
    </row>
    <row r="7230" spans="65:67" ht="18.75" customHeight="1">
      <c r="BM7230" s="1025"/>
      <c r="BO7230" s="43"/>
    </row>
    <row r="7231" spans="65:67" ht="18.75" customHeight="1">
      <c r="BM7231" s="1025"/>
      <c r="BO7231" s="43"/>
    </row>
    <row r="7232" spans="65:67" ht="18.75" customHeight="1">
      <c r="BM7232" s="1025"/>
      <c r="BO7232" s="43"/>
    </row>
    <row r="7233" spans="65:67" ht="18.75" customHeight="1">
      <c r="BM7233" s="1025"/>
      <c r="BO7233" s="43"/>
    </row>
    <row r="7234" spans="65:67" ht="18.75" customHeight="1">
      <c r="BM7234" s="1025"/>
      <c r="BO7234" s="43"/>
    </row>
    <row r="7235" spans="65:67" ht="18.75" customHeight="1">
      <c r="BM7235" s="1025"/>
      <c r="BO7235" s="43"/>
    </row>
    <row r="7236" spans="65:67" ht="18.75" customHeight="1">
      <c r="BM7236" s="1025"/>
      <c r="BO7236" s="43"/>
    </row>
    <row r="7237" spans="65:67" ht="18.75" customHeight="1">
      <c r="BM7237" s="1025"/>
      <c r="BO7237" s="43"/>
    </row>
    <row r="7238" spans="65:67" ht="18.75" customHeight="1">
      <c r="BM7238" s="1025"/>
      <c r="BO7238" s="43"/>
    </row>
    <row r="7239" spans="65:67" ht="18.75" customHeight="1">
      <c r="BM7239" s="1025"/>
      <c r="BO7239" s="43"/>
    </row>
    <row r="7240" spans="65:67" ht="18.75" customHeight="1">
      <c r="BM7240" s="1025"/>
      <c r="BO7240" s="43"/>
    </row>
    <row r="7241" spans="65:67" ht="18.75" customHeight="1">
      <c r="BM7241" s="1025"/>
      <c r="BO7241" s="43"/>
    </row>
    <row r="7242" spans="65:67" ht="18.75" customHeight="1">
      <c r="BM7242" s="1025"/>
      <c r="BO7242" s="43"/>
    </row>
    <row r="7243" spans="65:67" ht="18.75" customHeight="1">
      <c r="BM7243" s="1025"/>
      <c r="BO7243" s="43"/>
    </row>
    <row r="7244" spans="65:67" ht="18.75" customHeight="1">
      <c r="BM7244" s="1025"/>
      <c r="BO7244" s="43"/>
    </row>
    <row r="7245" spans="65:67" ht="18.75" customHeight="1">
      <c r="BM7245" s="1025"/>
      <c r="BO7245" s="43"/>
    </row>
    <row r="7246" spans="65:67" ht="18.75" customHeight="1">
      <c r="BM7246" s="1025"/>
      <c r="BO7246" s="43"/>
    </row>
    <row r="7247" spans="65:67" ht="18.75" customHeight="1">
      <c r="BM7247" s="1025"/>
      <c r="BO7247" s="43"/>
    </row>
    <row r="7248" spans="65:67" ht="18.75" customHeight="1">
      <c r="BM7248" s="1025"/>
      <c r="BO7248" s="43"/>
    </row>
    <row r="7249" spans="65:67" ht="18.75" customHeight="1">
      <c r="BM7249" s="1025"/>
      <c r="BO7249" s="43"/>
    </row>
    <row r="7250" spans="65:67" ht="18.75" customHeight="1">
      <c r="BM7250" s="1025"/>
      <c r="BO7250" s="43"/>
    </row>
    <row r="7251" spans="65:67" ht="18.75" customHeight="1">
      <c r="BM7251" s="1025"/>
      <c r="BO7251" s="43"/>
    </row>
    <row r="7252" spans="65:67" ht="18.75" customHeight="1">
      <c r="BM7252" s="1025"/>
      <c r="BO7252" s="43"/>
    </row>
    <row r="7253" spans="65:67" ht="18.75" customHeight="1">
      <c r="BM7253" s="1025"/>
      <c r="BO7253" s="43"/>
    </row>
    <row r="7254" spans="65:67" ht="18.75" customHeight="1">
      <c r="BM7254" s="1025"/>
      <c r="BO7254" s="43"/>
    </row>
    <row r="7255" spans="65:67" ht="18.75" customHeight="1">
      <c r="BM7255" s="1025"/>
      <c r="BO7255" s="43"/>
    </row>
    <row r="7256" spans="65:67" ht="18.75" customHeight="1">
      <c r="BM7256" s="1025"/>
      <c r="BO7256" s="43"/>
    </row>
    <row r="7257" spans="65:67" ht="18.75" customHeight="1">
      <c r="BM7257" s="1025"/>
      <c r="BO7257" s="43"/>
    </row>
    <row r="7258" spans="65:67" ht="18.75" customHeight="1">
      <c r="BM7258" s="1025"/>
      <c r="BO7258" s="43"/>
    </row>
    <row r="7259" spans="65:67" ht="18.75" customHeight="1">
      <c r="BM7259" s="1025"/>
      <c r="BO7259" s="43"/>
    </row>
    <row r="7260" spans="65:67" ht="18.75" customHeight="1">
      <c r="BM7260" s="1025"/>
      <c r="BO7260" s="43"/>
    </row>
    <row r="7261" spans="65:67" ht="18.75" customHeight="1">
      <c r="BM7261" s="1025"/>
      <c r="BO7261" s="43"/>
    </row>
    <row r="7262" spans="65:67" ht="18.75" customHeight="1">
      <c r="BM7262" s="1025"/>
      <c r="BO7262" s="43"/>
    </row>
    <row r="7263" spans="65:67" ht="18.75" customHeight="1">
      <c r="BM7263" s="1025"/>
      <c r="BO7263" s="43"/>
    </row>
    <row r="7264" spans="65:67" ht="18.75" customHeight="1">
      <c r="BM7264" s="1025"/>
      <c r="BO7264" s="43"/>
    </row>
    <row r="7265" spans="65:67" ht="18.75" customHeight="1">
      <c r="BM7265" s="1025"/>
      <c r="BO7265" s="43"/>
    </row>
    <row r="7266" spans="65:67" ht="18.75" customHeight="1">
      <c r="BM7266" s="1025"/>
      <c r="BO7266" s="43"/>
    </row>
    <row r="7267" spans="65:67" ht="18.75" customHeight="1">
      <c r="BM7267" s="1025"/>
      <c r="BO7267" s="43"/>
    </row>
    <row r="7268" spans="65:67" ht="18.75" customHeight="1">
      <c r="BM7268" s="1025"/>
      <c r="BO7268" s="43"/>
    </row>
    <row r="7269" spans="65:67" ht="18.75" customHeight="1">
      <c r="BM7269" s="1025"/>
      <c r="BO7269" s="43"/>
    </row>
    <row r="7270" spans="65:67" ht="18.75" customHeight="1">
      <c r="BM7270" s="1025"/>
      <c r="BO7270" s="43"/>
    </row>
    <row r="7271" spans="65:67" ht="18.75" customHeight="1">
      <c r="BM7271" s="1025"/>
      <c r="BO7271" s="43"/>
    </row>
    <row r="7272" spans="65:67" ht="18.75" customHeight="1">
      <c r="BM7272" s="1025"/>
      <c r="BO7272" s="43"/>
    </row>
    <row r="7273" spans="65:67" ht="18.75" customHeight="1">
      <c r="BM7273" s="1025"/>
      <c r="BO7273" s="43"/>
    </row>
    <row r="7274" spans="65:67" ht="18.75" customHeight="1">
      <c r="BM7274" s="1025"/>
      <c r="BO7274" s="43"/>
    </row>
    <row r="7275" spans="65:67" ht="18.75" customHeight="1">
      <c r="BM7275" s="1025"/>
      <c r="BO7275" s="43"/>
    </row>
    <row r="7276" spans="65:67" ht="18.75" customHeight="1">
      <c r="BM7276" s="1025"/>
      <c r="BO7276" s="43"/>
    </row>
    <row r="7277" spans="65:67" ht="18.75" customHeight="1">
      <c r="BM7277" s="1025"/>
      <c r="BO7277" s="43"/>
    </row>
    <row r="7278" spans="65:67" ht="18.75" customHeight="1">
      <c r="BM7278" s="1025"/>
      <c r="BO7278" s="43"/>
    </row>
    <row r="7279" spans="65:67" ht="18.75" customHeight="1">
      <c r="BM7279" s="1025"/>
      <c r="BO7279" s="43"/>
    </row>
    <row r="7280" spans="65:67" ht="18.75" customHeight="1">
      <c r="BM7280" s="1025"/>
      <c r="BO7280" s="43"/>
    </row>
    <row r="7281" spans="65:67" ht="18.75" customHeight="1">
      <c r="BM7281" s="1025"/>
      <c r="BO7281" s="43"/>
    </row>
    <row r="7282" spans="65:67" ht="18.75" customHeight="1">
      <c r="BM7282" s="1025"/>
      <c r="BO7282" s="43"/>
    </row>
    <row r="7283" spans="65:67" ht="18.75" customHeight="1">
      <c r="BM7283" s="1025"/>
      <c r="BO7283" s="43"/>
    </row>
    <row r="7284" spans="65:67" ht="18.75" customHeight="1">
      <c r="BM7284" s="1025"/>
      <c r="BO7284" s="43"/>
    </row>
    <row r="7285" spans="65:67" ht="18.75" customHeight="1">
      <c r="BM7285" s="1025"/>
      <c r="BO7285" s="43"/>
    </row>
    <row r="7286" spans="65:67" ht="18.75" customHeight="1">
      <c r="BM7286" s="1025"/>
      <c r="BO7286" s="43"/>
    </row>
    <row r="7287" spans="65:67" ht="18.75" customHeight="1">
      <c r="BM7287" s="1025"/>
      <c r="BO7287" s="43"/>
    </row>
    <row r="7288" spans="65:67" ht="18.75" customHeight="1">
      <c r="BM7288" s="1025"/>
      <c r="BO7288" s="43"/>
    </row>
    <row r="7289" spans="65:67" ht="18.75" customHeight="1">
      <c r="BM7289" s="1025"/>
      <c r="BO7289" s="43"/>
    </row>
    <row r="7290" spans="65:67" ht="18.75" customHeight="1">
      <c r="BM7290" s="1025"/>
      <c r="BO7290" s="43"/>
    </row>
    <row r="7291" spans="65:67" ht="18.75" customHeight="1">
      <c r="BM7291" s="1025"/>
      <c r="BO7291" s="43"/>
    </row>
    <row r="7292" spans="65:67" ht="18.75" customHeight="1">
      <c r="BM7292" s="1025"/>
      <c r="BO7292" s="43"/>
    </row>
    <row r="7293" spans="65:67" ht="18.75" customHeight="1">
      <c r="BM7293" s="1025"/>
      <c r="BO7293" s="43"/>
    </row>
    <row r="7294" spans="65:67" ht="18.75" customHeight="1">
      <c r="BM7294" s="1025"/>
      <c r="BO7294" s="43"/>
    </row>
    <row r="7295" spans="65:67" ht="18.75" customHeight="1">
      <c r="BM7295" s="1025"/>
      <c r="BO7295" s="43"/>
    </row>
    <row r="7296" spans="65:67" ht="18.75" customHeight="1">
      <c r="BM7296" s="1025"/>
      <c r="BO7296" s="43"/>
    </row>
    <row r="7297" spans="65:67" ht="18.75" customHeight="1">
      <c r="BM7297" s="1025"/>
      <c r="BO7297" s="43"/>
    </row>
    <row r="7298" spans="65:67" ht="18.75" customHeight="1">
      <c r="BM7298" s="1025"/>
      <c r="BO7298" s="43"/>
    </row>
    <row r="7299" spans="65:67" ht="18.75" customHeight="1">
      <c r="BM7299" s="1025"/>
      <c r="BO7299" s="43"/>
    </row>
    <row r="7300" spans="65:67" ht="18.75" customHeight="1">
      <c r="BM7300" s="1025"/>
      <c r="BO7300" s="43"/>
    </row>
    <row r="7301" spans="65:67" ht="18.75" customHeight="1">
      <c r="BM7301" s="1025"/>
      <c r="BO7301" s="43"/>
    </row>
    <row r="7302" spans="65:67" ht="18.75" customHeight="1">
      <c r="BM7302" s="1025"/>
      <c r="BO7302" s="43"/>
    </row>
    <row r="7303" spans="65:67" ht="18.75" customHeight="1">
      <c r="BM7303" s="1025"/>
      <c r="BO7303" s="43"/>
    </row>
    <row r="7304" spans="65:67" ht="18.75" customHeight="1">
      <c r="BM7304" s="1025"/>
      <c r="BO7304" s="43"/>
    </row>
    <row r="7305" spans="65:67" ht="18.75" customHeight="1">
      <c r="BM7305" s="1025"/>
      <c r="BO7305" s="43"/>
    </row>
    <row r="7306" spans="65:67" ht="18.75" customHeight="1">
      <c r="BM7306" s="1025"/>
      <c r="BO7306" s="43"/>
    </row>
    <row r="7307" spans="65:67" ht="18.75" customHeight="1">
      <c r="BM7307" s="1025"/>
      <c r="BO7307" s="43"/>
    </row>
    <row r="7308" spans="65:67" ht="18.75" customHeight="1">
      <c r="BM7308" s="1025"/>
      <c r="BO7308" s="43"/>
    </row>
    <row r="7309" spans="65:67" ht="18.75" customHeight="1">
      <c r="BM7309" s="1025"/>
      <c r="BO7309" s="43"/>
    </row>
    <row r="7310" spans="65:67" ht="18.75" customHeight="1">
      <c r="BM7310" s="1025"/>
      <c r="BO7310" s="43"/>
    </row>
    <row r="7311" spans="65:67" ht="18.75" customHeight="1">
      <c r="BM7311" s="1025"/>
      <c r="BO7311" s="43"/>
    </row>
    <row r="7312" spans="65:67" ht="18.75" customHeight="1">
      <c r="BM7312" s="1025"/>
      <c r="BO7312" s="43"/>
    </row>
    <row r="7313" spans="65:67" ht="18.75" customHeight="1">
      <c r="BM7313" s="1025"/>
      <c r="BO7313" s="43"/>
    </row>
    <row r="7314" spans="65:67" ht="18.75" customHeight="1">
      <c r="BM7314" s="1025"/>
      <c r="BO7314" s="43"/>
    </row>
    <row r="7315" spans="65:67" ht="18.75" customHeight="1">
      <c r="BM7315" s="1025"/>
      <c r="BO7315" s="43"/>
    </row>
    <row r="7316" spans="65:67" ht="18.75" customHeight="1">
      <c r="BM7316" s="1025"/>
      <c r="BO7316" s="43"/>
    </row>
    <row r="7317" spans="65:67" ht="18.75" customHeight="1">
      <c r="BM7317" s="1025"/>
      <c r="BO7317" s="43"/>
    </row>
    <row r="7318" spans="65:67" ht="18.75" customHeight="1">
      <c r="BM7318" s="1025"/>
      <c r="BO7318" s="43"/>
    </row>
    <row r="7319" spans="65:67" ht="18.75" customHeight="1">
      <c r="BM7319" s="1025"/>
      <c r="BO7319" s="43"/>
    </row>
    <row r="7320" spans="65:67" ht="18.75" customHeight="1">
      <c r="BM7320" s="1025"/>
      <c r="BO7320" s="43"/>
    </row>
    <row r="7321" spans="65:67" ht="18.75" customHeight="1">
      <c r="BM7321" s="1025"/>
      <c r="BO7321" s="43"/>
    </row>
    <row r="7322" spans="65:67" ht="18.75" customHeight="1">
      <c r="BM7322" s="1025"/>
      <c r="BO7322" s="43"/>
    </row>
    <row r="7323" spans="65:67" ht="18.75" customHeight="1">
      <c r="BM7323" s="1025"/>
      <c r="BO7323" s="43"/>
    </row>
    <row r="7324" spans="65:67" ht="18.75" customHeight="1">
      <c r="BM7324" s="1025"/>
      <c r="BO7324" s="43"/>
    </row>
    <row r="7325" spans="65:67" ht="18.75" customHeight="1">
      <c r="BM7325" s="1025"/>
      <c r="BO7325" s="43"/>
    </row>
    <row r="7326" spans="65:67" ht="18.75" customHeight="1">
      <c r="BM7326" s="1025"/>
      <c r="BO7326" s="43"/>
    </row>
    <row r="7327" spans="65:67" ht="18.75" customHeight="1">
      <c r="BM7327" s="1025"/>
      <c r="BO7327" s="43"/>
    </row>
    <row r="7328" spans="65:67" ht="18.75" customHeight="1">
      <c r="BM7328" s="1025"/>
      <c r="BO7328" s="43"/>
    </row>
    <row r="7329" spans="65:67" ht="18.75" customHeight="1">
      <c r="BM7329" s="1025"/>
      <c r="BO7329" s="43"/>
    </row>
    <row r="7330" spans="65:67" ht="18.75" customHeight="1">
      <c r="BM7330" s="1025"/>
      <c r="BO7330" s="43"/>
    </row>
    <row r="7331" spans="65:67" ht="18.75" customHeight="1">
      <c r="BM7331" s="1025"/>
      <c r="BO7331" s="43"/>
    </row>
    <row r="7332" spans="65:67" ht="18.75" customHeight="1">
      <c r="BM7332" s="1025"/>
      <c r="BO7332" s="43"/>
    </row>
    <row r="7333" spans="65:67" ht="18.75" customHeight="1">
      <c r="BM7333" s="1025"/>
      <c r="BO7333" s="43"/>
    </row>
    <row r="7334" spans="65:67" ht="18.75" customHeight="1">
      <c r="BM7334" s="1025"/>
      <c r="BO7334" s="43"/>
    </row>
    <row r="7335" spans="65:67" ht="18.75" customHeight="1">
      <c r="BM7335" s="1025"/>
      <c r="BO7335" s="43"/>
    </row>
    <row r="7336" spans="65:67" ht="18.75" customHeight="1">
      <c r="BM7336" s="1025"/>
      <c r="BO7336" s="43"/>
    </row>
    <row r="7337" spans="65:67" ht="18.75" customHeight="1">
      <c r="BM7337" s="1025"/>
      <c r="BO7337" s="43"/>
    </row>
    <row r="7338" spans="65:67" ht="18.75" customHeight="1">
      <c r="BM7338" s="1025"/>
      <c r="BO7338" s="43"/>
    </row>
    <row r="7339" spans="65:67" ht="18.75" customHeight="1">
      <c r="BM7339" s="1025"/>
      <c r="BO7339" s="43"/>
    </row>
    <row r="7340" spans="65:67" ht="18.75" customHeight="1">
      <c r="BM7340" s="1025"/>
      <c r="BO7340" s="43"/>
    </row>
    <row r="7341" spans="65:67" ht="18.75" customHeight="1">
      <c r="BM7341" s="1025"/>
      <c r="BO7341" s="43"/>
    </row>
    <row r="7342" spans="65:67" ht="18.75" customHeight="1">
      <c r="BM7342" s="1025"/>
      <c r="BO7342" s="43"/>
    </row>
    <row r="7343" spans="65:67" ht="18.75" customHeight="1">
      <c r="BM7343" s="1025"/>
      <c r="BO7343" s="43"/>
    </row>
    <row r="7344" spans="65:67" ht="18.75" customHeight="1">
      <c r="BM7344" s="1025"/>
      <c r="BO7344" s="43"/>
    </row>
    <row r="7345" spans="65:67" ht="18.75" customHeight="1">
      <c r="BM7345" s="1025"/>
      <c r="BO7345" s="43"/>
    </row>
    <row r="7346" spans="65:67" ht="18.75" customHeight="1">
      <c r="BM7346" s="1025"/>
      <c r="BO7346" s="43"/>
    </row>
    <row r="7347" spans="65:67" ht="18.75" customHeight="1">
      <c r="BM7347" s="1025"/>
      <c r="BO7347" s="43"/>
    </row>
    <row r="7348" spans="65:67" ht="18.75" customHeight="1">
      <c r="BM7348" s="1025"/>
      <c r="BO7348" s="43"/>
    </row>
    <row r="7349" spans="65:67" ht="18.75" customHeight="1">
      <c r="BM7349" s="1025"/>
      <c r="BO7349" s="43"/>
    </row>
    <row r="7350" spans="65:67" ht="18.75" customHeight="1">
      <c r="BM7350" s="1025"/>
      <c r="BO7350" s="43"/>
    </row>
    <row r="7351" spans="65:67" ht="18.75" customHeight="1">
      <c r="BM7351" s="1025"/>
      <c r="BO7351" s="43"/>
    </row>
    <row r="7352" spans="65:67" ht="18.75" customHeight="1">
      <c r="BM7352" s="1025"/>
      <c r="BO7352" s="43"/>
    </row>
    <row r="7353" spans="65:67" ht="18.75" customHeight="1">
      <c r="BM7353" s="1025"/>
      <c r="BO7353" s="43"/>
    </row>
    <row r="7354" spans="65:67" ht="18.75" customHeight="1">
      <c r="BM7354" s="1025"/>
      <c r="BO7354" s="43"/>
    </row>
    <row r="7355" spans="65:67" ht="18.75" customHeight="1">
      <c r="BM7355" s="1025"/>
      <c r="BO7355" s="43"/>
    </row>
    <row r="7356" spans="65:67" ht="18.75" customHeight="1">
      <c r="BM7356" s="1025"/>
      <c r="BO7356" s="43"/>
    </row>
    <row r="7357" spans="65:67" ht="18.75" customHeight="1">
      <c r="BM7357" s="1025"/>
      <c r="BO7357" s="43"/>
    </row>
    <row r="7358" spans="65:67" ht="18.75" customHeight="1">
      <c r="BM7358" s="1025"/>
      <c r="BO7358" s="43"/>
    </row>
    <row r="7359" spans="65:67" ht="18.75" customHeight="1">
      <c r="BM7359" s="1025"/>
      <c r="BO7359" s="43"/>
    </row>
    <row r="7360" spans="65:67" ht="18.75" customHeight="1">
      <c r="BM7360" s="1025"/>
      <c r="BO7360" s="43"/>
    </row>
    <row r="7361" spans="65:67" ht="18.75" customHeight="1">
      <c r="BM7361" s="1025"/>
      <c r="BO7361" s="43"/>
    </row>
    <row r="7362" spans="65:67" ht="18.75" customHeight="1">
      <c r="BM7362" s="1025"/>
      <c r="BO7362" s="43"/>
    </row>
    <row r="7363" spans="65:67" ht="18.75" customHeight="1">
      <c r="BM7363" s="1025"/>
      <c r="BO7363" s="43"/>
    </row>
    <row r="7364" spans="65:67" ht="18.75" customHeight="1">
      <c r="BM7364" s="1025"/>
      <c r="BO7364" s="43"/>
    </row>
    <row r="7365" spans="65:67" ht="18.75" customHeight="1">
      <c r="BM7365" s="1025"/>
      <c r="BO7365" s="43"/>
    </row>
    <row r="7366" spans="65:67" ht="18.75" customHeight="1">
      <c r="BM7366" s="1025"/>
      <c r="BO7366" s="43"/>
    </row>
    <row r="7367" spans="65:67" ht="18.75" customHeight="1">
      <c r="BM7367" s="1025"/>
      <c r="BO7367" s="43"/>
    </row>
    <row r="7368" spans="65:67" ht="18.75" customHeight="1">
      <c r="BM7368" s="1025"/>
      <c r="BO7368" s="43"/>
    </row>
    <row r="7369" spans="65:67" ht="18.75" customHeight="1">
      <c r="BM7369" s="1025"/>
      <c r="BO7369" s="43"/>
    </row>
    <row r="7370" spans="65:67" ht="18.75" customHeight="1">
      <c r="BM7370" s="1025"/>
      <c r="BO7370" s="43"/>
    </row>
    <row r="7371" spans="65:67" ht="18.75" customHeight="1">
      <c r="BM7371" s="1025"/>
      <c r="BO7371" s="43"/>
    </row>
    <row r="7372" spans="65:67" ht="18.75" customHeight="1">
      <c r="BM7372" s="1025"/>
      <c r="BO7372" s="43"/>
    </row>
    <row r="7373" spans="65:67" ht="18.75" customHeight="1">
      <c r="BM7373" s="1025"/>
      <c r="BO7373" s="43"/>
    </row>
    <row r="7374" spans="65:67" ht="18.75" customHeight="1">
      <c r="BM7374" s="1025"/>
      <c r="BO7374" s="43"/>
    </row>
    <row r="7375" spans="65:67" ht="18.75" customHeight="1">
      <c r="BM7375" s="1025"/>
      <c r="BO7375" s="43"/>
    </row>
    <row r="7376" spans="65:67" ht="18.75" customHeight="1">
      <c r="BM7376" s="1025"/>
      <c r="BO7376" s="43"/>
    </row>
    <row r="7377" spans="65:67" ht="18.75" customHeight="1">
      <c r="BM7377" s="1025"/>
      <c r="BO7377" s="43"/>
    </row>
    <row r="7378" spans="65:67" ht="18.75" customHeight="1">
      <c r="BM7378" s="1025"/>
      <c r="BO7378" s="43"/>
    </row>
    <row r="7379" spans="65:67" ht="18.75" customHeight="1">
      <c r="BM7379" s="1025"/>
      <c r="BO7379" s="43"/>
    </row>
    <row r="7380" spans="65:67" ht="18.75" customHeight="1">
      <c r="BM7380" s="1025"/>
      <c r="BO7380" s="43"/>
    </row>
    <row r="7381" spans="65:67" ht="18.75" customHeight="1">
      <c r="BM7381" s="1025"/>
      <c r="BO7381" s="43"/>
    </row>
    <row r="7382" spans="65:67" ht="18.75" customHeight="1">
      <c r="BM7382" s="1025"/>
      <c r="BO7382" s="43"/>
    </row>
    <row r="7383" spans="65:67" ht="18.75" customHeight="1">
      <c r="BM7383" s="1025"/>
      <c r="BO7383" s="43"/>
    </row>
    <row r="7384" spans="65:67" ht="18.75" customHeight="1">
      <c r="BM7384" s="1025"/>
      <c r="BO7384" s="43"/>
    </row>
    <row r="7385" spans="65:67" ht="18.75" customHeight="1">
      <c r="BM7385" s="1025"/>
      <c r="BO7385" s="43"/>
    </row>
    <row r="7386" spans="65:67" ht="18.75" customHeight="1">
      <c r="BM7386" s="1025"/>
      <c r="BO7386" s="43"/>
    </row>
    <row r="7387" spans="65:67" ht="18.75" customHeight="1">
      <c r="BM7387" s="1025"/>
      <c r="BO7387" s="43"/>
    </row>
    <row r="7388" spans="65:67" ht="18.75" customHeight="1">
      <c r="BM7388" s="1025"/>
      <c r="BO7388" s="43"/>
    </row>
    <row r="7389" spans="65:67" ht="18.75" customHeight="1">
      <c r="BM7389" s="1025"/>
      <c r="BO7389" s="43"/>
    </row>
    <row r="7390" spans="65:67" ht="18.75" customHeight="1">
      <c r="BM7390" s="1025"/>
      <c r="BO7390" s="43"/>
    </row>
    <row r="7391" spans="65:67" ht="18.75" customHeight="1">
      <c r="BM7391" s="1025"/>
      <c r="BO7391" s="43"/>
    </row>
    <row r="7392" spans="65:67" ht="18.75" customHeight="1">
      <c r="BM7392" s="1025"/>
      <c r="BO7392" s="43"/>
    </row>
    <row r="7393" spans="65:67" ht="18.75" customHeight="1">
      <c r="BM7393" s="1025"/>
      <c r="BO7393" s="43"/>
    </row>
    <row r="7394" spans="65:67" ht="18.75" customHeight="1">
      <c r="BM7394" s="1025"/>
      <c r="BO7394" s="43"/>
    </row>
    <row r="7395" spans="65:67" ht="18.75" customHeight="1">
      <c r="BM7395" s="1025"/>
      <c r="BO7395" s="43"/>
    </row>
    <row r="7396" spans="65:67" ht="18.75" customHeight="1">
      <c r="BM7396" s="1025"/>
      <c r="BO7396" s="43"/>
    </row>
    <row r="7397" spans="65:67" ht="18.75" customHeight="1">
      <c r="BM7397" s="1025"/>
      <c r="BO7397" s="43"/>
    </row>
    <row r="7398" spans="65:67" ht="18.75" customHeight="1">
      <c r="BM7398" s="1025"/>
      <c r="BO7398" s="43"/>
    </row>
    <row r="7399" spans="65:67" ht="18.75" customHeight="1">
      <c r="BM7399" s="1025"/>
      <c r="BO7399" s="43"/>
    </row>
    <row r="7400" spans="65:67" ht="18.75" customHeight="1">
      <c r="BM7400" s="1025"/>
      <c r="BO7400" s="43"/>
    </row>
    <row r="7401" spans="65:67" ht="18.75" customHeight="1">
      <c r="BM7401" s="1025"/>
      <c r="BO7401" s="43"/>
    </row>
    <row r="7402" spans="65:67" ht="18.75" customHeight="1">
      <c r="BM7402" s="1025"/>
      <c r="BO7402" s="43"/>
    </row>
    <row r="7403" spans="65:67" ht="18.75" customHeight="1">
      <c r="BM7403" s="1025"/>
      <c r="BO7403" s="43"/>
    </row>
    <row r="7404" spans="65:67" ht="18.75" customHeight="1">
      <c r="BM7404" s="1025"/>
      <c r="BO7404" s="43"/>
    </row>
    <row r="7405" spans="65:67" ht="18.75" customHeight="1">
      <c r="BM7405" s="1025"/>
      <c r="BO7405" s="43"/>
    </row>
    <row r="7406" spans="65:67" ht="18.75" customHeight="1">
      <c r="BM7406" s="1025"/>
      <c r="BO7406" s="43"/>
    </row>
    <row r="7407" spans="65:67" ht="18.75" customHeight="1">
      <c r="BM7407" s="1025"/>
      <c r="BO7407" s="43"/>
    </row>
    <row r="7408" spans="65:67" ht="18.75" customHeight="1">
      <c r="BM7408" s="1025"/>
      <c r="BO7408" s="43"/>
    </row>
    <row r="7409" spans="65:67" ht="18.75" customHeight="1">
      <c r="BM7409" s="1025"/>
      <c r="BO7409" s="43"/>
    </row>
    <row r="7410" spans="65:67" ht="18.75" customHeight="1">
      <c r="BM7410" s="1025"/>
      <c r="BO7410" s="43"/>
    </row>
    <row r="7411" spans="65:67" ht="18.75" customHeight="1">
      <c r="BM7411" s="1025"/>
      <c r="BO7411" s="43"/>
    </row>
    <row r="7412" spans="65:67" ht="18.75" customHeight="1">
      <c r="BM7412" s="1025"/>
      <c r="BO7412" s="43"/>
    </row>
    <row r="7413" spans="65:67" ht="18.75" customHeight="1">
      <c r="BM7413" s="1025"/>
      <c r="BO7413" s="43"/>
    </row>
    <row r="7414" spans="65:67" ht="18.75" customHeight="1">
      <c r="BM7414" s="1025"/>
      <c r="BO7414" s="43"/>
    </row>
    <row r="7415" spans="65:67" ht="18.75" customHeight="1">
      <c r="BM7415" s="1025"/>
      <c r="BO7415" s="43"/>
    </row>
    <row r="7416" spans="65:67" ht="18.75" customHeight="1">
      <c r="BM7416" s="1025"/>
      <c r="BO7416" s="43"/>
    </row>
    <row r="7417" spans="65:67" ht="18.75" customHeight="1">
      <c r="BM7417" s="1025"/>
      <c r="BO7417" s="43"/>
    </row>
    <row r="7418" spans="65:67" ht="18.75" customHeight="1">
      <c r="BM7418" s="1025"/>
      <c r="BO7418" s="43"/>
    </row>
    <row r="7419" spans="65:67" ht="18.75" customHeight="1">
      <c r="BM7419" s="1025"/>
      <c r="BO7419" s="43"/>
    </row>
    <row r="7420" spans="65:67" ht="18.75" customHeight="1">
      <c r="BM7420" s="1025"/>
      <c r="BO7420" s="43"/>
    </row>
    <row r="7421" spans="65:67" ht="18.75" customHeight="1">
      <c r="BM7421" s="1025"/>
      <c r="BO7421" s="43"/>
    </row>
    <row r="7422" spans="65:67" ht="18.75" customHeight="1">
      <c r="BM7422" s="1025"/>
      <c r="BO7422" s="43"/>
    </row>
    <row r="7423" spans="65:67" ht="18.75" customHeight="1">
      <c r="BM7423" s="1025"/>
      <c r="BO7423" s="43"/>
    </row>
    <row r="7424" spans="65:67" ht="18.75" customHeight="1">
      <c r="BM7424" s="1025"/>
      <c r="BO7424" s="43"/>
    </row>
    <row r="7425" spans="65:67" ht="18.75" customHeight="1">
      <c r="BM7425" s="1025"/>
      <c r="BO7425" s="43"/>
    </row>
    <row r="7426" spans="65:67" ht="18.75" customHeight="1">
      <c r="BM7426" s="1025"/>
      <c r="BO7426" s="43"/>
    </row>
    <row r="7427" spans="65:67" ht="18.75" customHeight="1">
      <c r="BM7427" s="1025"/>
      <c r="BO7427" s="43"/>
    </row>
    <row r="7428" spans="65:67" ht="18.75" customHeight="1">
      <c r="BM7428" s="1025"/>
      <c r="BO7428" s="43"/>
    </row>
    <row r="7429" spans="65:67" ht="18.75" customHeight="1">
      <c r="BM7429" s="1025"/>
      <c r="BO7429" s="43"/>
    </row>
    <row r="7430" spans="65:67" ht="18.75" customHeight="1">
      <c r="BM7430" s="1025"/>
      <c r="BO7430" s="43"/>
    </row>
    <row r="7431" spans="65:67" ht="18.75" customHeight="1">
      <c r="BM7431" s="1025"/>
      <c r="BO7431" s="43"/>
    </row>
    <row r="7432" spans="65:67" ht="18.75" customHeight="1">
      <c r="BM7432" s="1025"/>
      <c r="BO7432" s="43"/>
    </row>
    <row r="7433" spans="65:67" ht="18.75" customHeight="1">
      <c r="BM7433" s="1025"/>
      <c r="BO7433" s="43"/>
    </row>
    <row r="7434" spans="65:67" ht="18.75" customHeight="1">
      <c r="BM7434" s="1025"/>
      <c r="BO7434" s="43"/>
    </row>
    <row r="7435" spans="65:67" ht="18.75" customHeight="1">
      <c r="BM7435" s="1025"/>
      <c r="BO7435" s="43"/>
    </row>
    <row r="7436" spans="65:67" ht="18.75" customHeight="1">
      <c r="BM7436" s="1025"/>
      <c r="BO7436" s="43"/>
    </row>
    <row r="7437" spans="65:67" ht="18.75" customHeight="1">
      <c r="BM7437" s="1025"/>
      <c r="BO7437" s="43"/>
    </row>
    <row r="7438" spans="65:67" ht="18.75" customHeight="1">
      <c r="BM7438" s="1025"/>
      <c r="BO7438" s="43"/>
    </row>
    <row r="7439" spans="65:67" ht="18.75" customHeight="1">
      <c r="BM7439" s="1025"/>
      <c r="BO7439" s="43"/>
    </row>
    <row r="7440" spans="65:67" ht="18.75" customHeight="1">
      <c r="BM7440" s="1025"/>
      <c r="BO7440" s="43"/>
    </row>
    <row r="7441" spans="65:67" ht="18.75" customHeight="1">
      <c r="BM7441" s="1025"/>
      <c r="BO7441" s="43"/>
    </row>
    <row r="7442" spans="65:67" ht="18.75" customHeight="1">
      <c r="BM7442" s="1025"/>
      <c r="BO7442" s="43"/>
    </row>
    <row r="7443" spans="65:67" ht="18.75" customHeight="1">
      <c r="BM7443" s="1025"/>
      <c r="BO7443" s="43"/>
    </row>
    <row r="7444" spans="65:67" ht="18.75" customHeight="1">
      <c r="BM7444" s="1025"/>
      <c r="BO7444" s="43"/>
    </row>
    <row r="7445" spans="65:67" ht="18.75" customHeight="1">
      <c r="BM7445" s="1025"/>
      <c r="BO7445" s="43"/>
    </row>
    <row r="7446" spans="65:67" ht="18.75" customHeight="1">
      <c r="BM7446" s="1025"/>
      <c r="BO7446" s="43"/>
    </row>
    <row r="7447" spans="65:67" ht="18.75" customHeight="1">
      <c r="BM7447" s="1025"/>
      <c r="BO7447" s="43"/>
    </row>
    <row r="7448" spans="65:67" ht="18.75" customHeight="1">
      <c r="BM7448" s="1025"/>
      <c r="BO7448" s="43"/>
    </row>
    <row r="7449" spans="65:67" ht="18.75" customHeight="1">
      <c r="BM7449" s="1025"/>
      <c r="BO7449" s="43"/>
    </row>
    <row r="7450" spans="65:67" ht="18.75" customHeight="1">
      <c r="BM7450" s="1025"/>
      <c r="BO7450" s="43"/>
    </row>
    <row r="7451" spans="65:67" ht="18.75" customHeight="1">
      <c r="BM7451" s="1025"/>
      <c r="BO7451" s="43"/>
    </row>
    <row r="7452" spans="65:67" ht="18.75" customHeight="1">
      <c r="BM7452" s="1025"/>
      <c r="BO7452" s="43"/>
    </row>
    <row r="7453" spans="65:67" ht="18.75" customHeight="1">
      <c r="BM7453" s="1025"/>
      <c r="BO7453" s="43"/>
    </row>
    <row r="7454" spans="65:67" ht="18.75" customHeight="1">
      <c r="BM7454" s="1025"/>
      <c r="BO7454" s="43"/>
    </row>
    <row r="7455" spans="65:67" ht="18.75" customHeight="1">
      <c r="BM7455" s="1025"/>
      <c r="BO7455" s="43"/>
    </row>
    <row r="7456" spans="65:67" ht="18.75" customHeight="1">
      <c r="BM7456" s="1025"/>
      <c r="BO7456" s="43"/>
    </row>
    <row r="7457" spans="65:67" ht="18.75" customHeight="1">
      <c r="BM7457" s="1025"/>
      <c r="BO7457" s="43"/>
    </row>
    <row r="7458" spans="65:67" ht="18.75" customHeight="1">
      <c r="BM7458" s="1025"/>
      <c r="BO7458" s="43"/>
    </row>
    <row r="7459" spans="65:67" ht="18.75" customHeight="1">
      <c r="BM7459" s="1025"/>
      <c r="BO7459" s="43"/>
    </row>
    <row r="7460" spans="65:67" ht="18.75" customHeight="1">
      <c r="BM7460" s="1025"/>
      <c r="BO7460" s="43"/>
    </row>
    <row r="7461" spans="65:67" ht="18.75" customHeight="1">
      <c r="BM7461" s="1025"/>
      <c r="BO7461" s="43"/>
    </row>
    <row r="7462" spans="65:67" ht="18.75" customHeight="1">
      <c r="BM7462" s="1025"/>
      <c r="BO7462" s="43"/>
    </row>
    <row r="7463" spans="65:67" ht="18.75" customHeight="1">
      <c r="BM7463" s="1025"/>
      <c r="BO7463" s="43"/>
    </row>
    <row r="7464" spans="65:67" ht="18.75" customHeight="1">
      <c r="BM7464" s="1025"/>
      <c r="BO7464" s="43"/>
    </row>
    <row r="7465" spans="65:67" ht="18.75" customHeight="1">
      <c r="BM7465" s="1025"/>
      <c r="BO7465" s="43"/>
    </row>
    <row r="7466" spans="65:67" ht="18.75" customHeight="1">
      <c r="BM7466" s="1025"/>
      <c r="BO7466" s="43"/>
    </row>
    <row r="7467" spans="65:67" ht="18.75" customHeight="1">
      <c r="BM7467" s="1025"/>
      <c r="BO7467" s="43"/>
    </row>
    <row r="7468" spans="65:67" ht="18.75" customHeight="1">
      <c r="BM7468" s="1025"/>
      <c r="BO7468" s="43"/>
    </row>
    <row r="7469" spans="65:67" ht="18.75" customHeight="1">
      <c r="BM7469" s="1025"/>
      <c r="BO7469" s="43"/>
    </row>
    <row r="7470" spans="65:67" ht="18.75" customHeight="1">
      <c r="BM7470" s="1025"/>
      <c r="BO7470" s="43"/>
    </row>
    <row r="7471" spans="65:67" ht="18.75" customHeight="1">
      <c r="BM7471" s="1025"/>
      <c r="BO7471" s="43"/>
    </row>
    <row r="7472" spans="65:67" ht="18.75" customHeight="1">
      <c r="BM7472" s="1025"/>
      <c r="BO7472" s="43"/>
    </row>
    <row r="7473" spans="65:67" ht="18.75" customHeight="1">
      <c r="BM7473" s="1025"/>
      <c r="BO7473" s="43"/>
    </row>
    <row r="7474" spans="65:67" ht="18.75" customHeight="1">
      <c r="BM7474" s="1025"/>
      <c r="BO7474" s="43"/>
    </row>
    <row r="7475" spans="65:67" ht="18.75" customHeight="1">
      <c r="BM7475" s="1025"/>
      <c r="BO7475" s="43"/>
    </row>
    <row r="7476" spans="65:67" ht="18.75" customHeight="1">
      <c r="BM7476" s="1025"/>
      <c r="BO7476" s="43"/>
    </row>
    <row r="7477" spans="65:67" ht="18.75" customHeight="1">
      <c r="BM7477" s="1025"/>
      <c r="BO7477" s="43"/>
    </row>
    <row r="7478" spans="65:67" ht="18.75" customHeight="1">
      <c r="BM7478" s="1025"/>
      <c r="BO7478" s="43"/>
    </row>
    <row r="7479" spans="65:67" ht="18.75" customHeight="1">
      <c r="BM7479" s="1025"/>
      <c r="BO7479" s="43"/>
    </row>
    <row r="7480" spans="65:67" ht="18.75" customHeight="1">
      <c r="BM7480" s="1025"/>
      <c r="BO7480" s="43"/>
    </row>
    <row r="7481" spans="65:67" ht="18.75" customHeight="1">
      <c r="BM7481" s="1025"/>
      <c r="BO7481" s="43"/>
    </row>
    <row r="7482" spans="65:67" ht="18.75" customHeight="1">
      <c r="BM7482" s="1025"/>
      <c r="BO7482" s="43"/>
    </row>
    <row r="7483" spans="65:67" ht="18.75" customHeight="1">
      <c r="BM7483" s="1025"/>
      <c r="BO7483" s="43"/>
    </row>
    <row r="7484" spans="65:67" ht="18.75" customHeight="1">
      <c r="BM7484" s="1025"/>
      <c r="BO7484" s="43"/>
    </row>
    <row r="7485" spans="65:67" ht="18.75" customHeight="1">
      <c r="BM7485" s="1025"/>
      <c r="BO7485" s="43"/>
    </row>
    <row r="7486" spans="65:67" ht="18.75" customHeight="1">
      <c r="BM7486" s="1025"/>
      <c r="BO7486" s="43"/>
    </row>
    <row r="7487" spans="65:67" ht="18.75" customHeight="1">
      <c r="BM7487" s="1025"/>
      <c r="BO7487" s="43"/>
    </row>
    <row r="7488" spans="65:67" ht="18.75" customHeight="1">
      <c r="BM7488" s="1025"/>
      <c r="BO7488" s="43"/>
    </row>
    <row r="7489" spans="65:67" ht="18.75" customHeight="1">
      <c r="BM7489" s="1025"/>
      <c r="BO7489" s="43"/>
    </row>
    <row r="7490" spans="65:67" ht="18.75" customHeight="1">
      <c r="BM7490" s="1025"/>
      <c r="BO7490" s="43"/>
    </row>
    <row r="7491" spans="65:67" ht="18.75" customHeight="1">
      <c r="BM7491" s="1025"/>
      <c r="BO7491" s="43"/>
    </row>
    <row r="7492" spans="65:67" ht="18.75" customHeight="1">
      <c r="BM7492" s="1025"/>
      <c r="BO7492" s="43"/>
    </row>
    <row r="7493" spans="65:67" ht="18.75" customHeight="1">
      <c r="BM7493" s="1025"/>
      <c r="BO7493" s="43"/>
    </row>
    <row r="7494" spans="65:67" ht="18.75" customHeight="1">
      <c r="BM7494" s="1025"/>
      <c r="BO7494" s="43"/>
    </row>
    <row r="7495" spans="65:67" ht="18.75" customHeight="1">
      <c r="BM7495" s="1025"/>
      <c r="BO7495" s="43"/>
    </row>
    <row r="7496" spans="65:67" ht="18.75" customHeight="1">
      <c r="BM7496" s="1025"/>
      <c r="BO7496" s="43"/>
    </row>
    <row r="7497" spans="65:67" ht="18.75" customHeight="1">
      <c r="BM7497" s="1025"/>
      <c r="BO7497" s="43"/>
    </row>
    <row r="7498" spans="65:67" ht="18.75" customHeight="1">
      <c r="BM7498" s="1025"/>
      <c r="BO7498" s="43"/>
    </row>
    <row r="7499" spans="65:67" ht="18.75" customHeight="1">
      <c r="BM7499" s="1025"/>
      <c r="BO7499" s="43"/>
    </row>
    <row r="7500" spans="65:67" ht="18.75" customHeight="1">
      <c r="BM7500" s="1025"/>
      <c r="BO7500" s="43"/>
    </row>
    <row r="7501" spans="65:67" ht="18.75" customHeight="1">
      <c r="BM7501" s="1025"/>
      <c r="BO7501" s="43"/>
    </row>
    <row r="7502" spans="65:67" ht="18.75" customHeight="1">
      <c r="BM7502" s="1025"/>
      <c r="BO7502" s="43"/>
    </row>
    <row r="7503" spans="65:67" ht="18.75" customHeight="1">
      <c r="BM7503" s="1025"/>
      <c r="BO7503" s="43"/>
    </row>
    <row r="7504" spans="65:67" ht="18.75" customHeight="1">
      <c r="BM7504" s="1025"/>
      <c r="BO7504" s="43"/>
    </row>
    <row r="7505" spans="65:67" ht="18.75" customHeight="1">
      <c r="BM7505" s="1025"/>
      <c r="BO7505" s="43"/>
    </row>
    <row r="7506" spans="65:67" ht="18.75" customHeight="1">
      <c r="BM7506" s="1025"/>
      <c r="BO7506" s="43"/>
    </row>
    <row r="7507" spans="65:67" ht="18.75" customHeight="1">
      <c r="BM7507" s="1025"/>
      <c r="BO7507" s="43"/>
    </row>
    <row r="7508" spans="65:67" ht="18.75" customHeight="1">
      <c r="BM7508" s="1025"/>
      <c r="BO7508" s="43"/>
    </row>
    <row r="7509" spans="65:67" ht="18.75" customHeight="1">
      <c r="BM7509" s="1025"/>
      <c r="BO7509" s="43"/>
    </row>
    <row r="7510" spans="65:67" ht="18.75" customHeight="1">
      <c r="BM7510" s="1025"/>
      <c r="BO7510" s="43"/>
    </row>
    <row r="7511" spans="65:67" ht="18.75" customHeight="1">
      <c r="BM7511" s="1025"/>
      <c r="BO7511" s="43"/>
    </row>
    <row r="7512" spans="65:67" ht="18.75" customHeight="1">
      <c r="BM7512" s="1025"/>
      <c r="BO7512" s="43"/>
    </row>
    <row r="7513" spans="65:67" ht="18.75" customHeight="1">
      <c r="BM7513" s="1025"/>
      <c r="BO7513" s="43"/>
    </row>
    <row r="7514" spans="65:67" ht="18.75" customHeight="1">
      <c r="BM7514" s="1025"/>
      <c r="BO7514" s="43"/>
    </row>
    <row r="7515" spans="65:67" ht="18.75" customHeight="1">
      <c r="BM7515" s="1025"/>
      <c r="BO7515" s="43"/>
    </row>
    <row r="7516" spans="65:67" ht="18.75" customHeight="1">
      <c r="BM7516" s="1025"/>
      <c r="BO7516" s="43"/>
    </row>
    <row r="7517" spans="65:67" ht="18.75" customHeight="1">
      <c r="BM7517" s="1025"/>
      <c r="BO7517" s="43"/>
    </row>
    <row r="7518" spans="65:67" ht="18.75" customHeight="1">
      <c r="BM7518" s="1025"/>
      <c r="BO7518" s="43"/>
    </row>
    <row r="7519" spans="65:67" ht="18.75" customHeight="1">
      <c r="BM7519" s="1025"/>
      <c r="BO7519" s="43"/>
    </row>
    <row r="7520" spans="65:67" ht="18.75" customHeight="1">
      <c r="BM7520" s="1025"/>
      <c r="BO7520" s="43"/>
    </row>
    <row r="7521" spans="65:67" ht="18.75" customHeight="1">
      <c r="BM7521" s="1025"/>
      <c r="BO7521" s="43"/>
    </row>
    <row r="7522" spans="65:67" ht="18.75" customHeight="1">
      <c r="BM7522" s="1025"/>
      <c r="BO7522" s="43"/>
    </row>
    <row r="7523" spans="65:67" ht="18.75" customHeight="1">
      <c r="BM7523" s="1025"/>
      <c r="BO7523" s="43"/>
    </row>
    <row r="7524" spans="65:67" ht="18.75" customHeight="1">
      <c r="BM7524" s="1025"/>
      <c r="BO7524" s="43"/>
    </row>
    <row r="7525" spans="65:67" ht="18.75" customHeight="1">
      <c r="BM7525" s="1025"/>
      <c r="BO7525" s="43"/>
    </row>
    <row r="7526" spans="65:67" ht="18.75" customHeight="1">
      <c r="BM7526" s="1025"/>
      <c r="BO7526" s="43"/>
    </row>
    <row r="7527" spans="65:67" ht="18.75" customHeight="1">
      <c r="BM7527" s="1025"/>
      <c r="BO7527" s="43"/>
    </row>
    <row r="7528" spans="65:67" ht="18.75" customHeight="1">
      <c r="BM7528" s="1025"/>
      <c r="BO7528" s="43"/>
    </row>
    <row r="7529" spans="65:67" ht="18.75" customHeight="1">
      <c r="BM7529" s="1025"/>
      <c r="BO7529" s="43"/>
    </row>
    <row r="7530" spans="65:67" ht="18.75" customHeight="1">
      <c r="BM7530" s="1025"/>
      <c r="BO7530" s="43"/>
    </row>
    <row r="7531" spans="65:67" ht="18.75" customHeight="1">
      <c r="BM7531" s="1025"/>
      <c r="BO7531" s="43"/>
    </row>
    <row r="7532" spans="65:67" ht="18.75" customHeight="1">
      <c r="BM7532" s="1025"/>
      <c r="BO7532" s="43"/>
    </row>
    <row r="7533" spans="65:67" ht="18.75" customHeight="1">
      <c r="BM7533" s="1025"/>
      <c r="BO7533" s="43"/>
    </row>
    <row r="7534" spans="65:67" ht="18.75" customHeight="1">
      <c r="BM7534" s="1025"/>
      <c r="BO7534" s="43"/>
    </row>
    <row r="7535" spans="65:67" ht="18.75" customHeight="1">
      <c r="BM7535" s="1025"/>
      <c r="BO7535" s="43"/>
    </row>
    <row r="7536" spans="65:67" ht="18.75" customHeight="1">
      <c r="BM7536" s="1025"/>
      <c r="BO7536" s="43"/>
    </row>
    <row r="7537" spans="65:67" ht="18.75" customHeight="1">
      <c r="BM7537" s="1025"/>
      <c r="BO7537" s="43"/>
    </row>
    <row r="7538" spans="65:67" ht="18.75" customHeight="1">
      <c r="BM7538" s="1025"/>
      <c r="BO7538" s="43"/>
    </row>
    <row r="7539" spans="65:67" ht="18.75" customHeight="1">
      <c r="BM7539" s="1025"/>
      <c r="BO7539" s="43"/>
    </row>
    <row r="7540" spans="65:67" ht="18.75" customHeight="1">
      <c r="BM7540" s="1025"/>
      <c r="BO7540" s="43"/>
    </row>
    <row r="7541" spans="65:67" ht="18.75" customHeight="1">
      <c r="BM7541" s="1025"/>
      <c r="BO7541" s="43"/>
    </row>
    <row r="7542" spans="65:67" ht="18.75" customHeight="1">
      <c r="BM7542" s="1025"/>
      <c r="BO7542" s="43"/>
    </row>
    <row r="7543" spans="65:67" ht="18.75" customHeight="1">
      <c r="BM7543" s="1025"/>
      <c r="BO7543" s="43"/>
    </row>
    <row r="7544" spans="65:67" ht="18.75" customHeight="1">
      <c r="BM7544" s="1025"/>
      <c r="BO7544" s="43"/>
    </row>
    <row r="7545" spans="65:67" ht="18.75" customHeight="1">
      <c r="BM7545" s="1025"/>
      <c r="BO7545" s="43"/>
    </row>
    <row r="7546" spans="65:67" ht="18.75" customHeight="1">
      <c r="BM7546" s="1025"/>
      <c r="BO7546" s="43"/>
    </row>
    <row r="7547" spans="65:67" ht="18.75" customHeight="1">
      <c r="BM7547" s="1025"/>
      <c r="BO7547" s="43"/>
    </row>
    <row r="7548" spans="65:67" ht="18.75" customHeight="1">
      <c r="BM7548" s="1025"/>
      <c r="BO7548" s="43"/>
    </row>
    <row r="7549" spans="65:67" ht="18.75" customHeight="1">
      <c r="BM7549" s="1025"/>
      <c r="BO7549" s="43"/>
    </row>
    <row r="7550" spans="65:67" ht="18.75" customHeight="1">
      <c r="BM7550" s="1025"/>
      <c r="BO7550" s="43"/>
    </row>
    <row r="7551" spans="65:67" ht="18.75" customHeight="1">
      <c r="BM7551" s="1025"/>
      <c r="BO7551" s="43"/>
    </row>
    <row r="7552" spans="65:67" ht="18.75" customHeight="1">
      <c r="BM7552" s="1025"/>
      <c r="BO7552" s="43"/>
    </row>
    <row r="7553" spans="65:67" ht="18.75" customHeight="1">
      <c r="BM7553" s="1025"/>
      <c r="BO7553" s="43"/>
    </row>
    <row r="7554" spans="65:67" ht="18.75" customHeight="1">
      <c r="BM7554" s="1025"/>
      <c r="BO7554" s="43"/>
    </row>
    <row r="7555" spans="65:67" ht="18.75" customHeight="1">
      <c r="BM7555" s="1025"/>
      <c r="BO7555" s="43"/>
    </row>
    <row r="7556" spans="65:67" ht="18.75" customHeight="1">
      <c r="BM7556" s="1025"/>
      <c r="BO7556" s="43"/>
    </row>
    <row r="7557" spans="65:67" ht="18.75" customHeight="1">
      <c r="BM7557" s="1025"/>
      <c r="BO7557" s="43"/>
    </row>
    <row r="7558" spans="65:67" ht="18.75" customHeight="1">
      <c r="BM7558" s="1025"/>
      <c r="BO7558" s="43"/>
    </row>
    <row r="7559" spans="65:67" ht="18.75" customHeight="1">
      <c r="BM7559" s="1025"/>
      <c r="BO7559" s="43"/>
    </row>
    <row r="7560" spans="65:67" ht="18.75" customHeight="1">
      <c r="BM7560" s="1025"/>
      <c r="BO7560" s="43"/>
    </row>
    <row r="7561" spans="65:67" ht="18.75" customHeight="1">
      <c r="BM7561" s="1025"/>
      <c r="BO7561" s="43"/>
    </row>
    <row r="7562" spans="65:67" ht="18.75" customHeight="1">
      <c r="BM7562" s="1025"/>
      <c r="BO7562" s="43"/>
    </row>
    <row r="7563" spans="65:67" ht="18.75" customHeight="1">
      <c r="BM7563" s="1025"/>
      <c r="BO7563" s="43"/>
    </row>
    <row r="7564" spans="65:67" ht="18.75" customHeight="1">
      <c r="BM7564" s="1025"/>
      <c r="BO7564" s="43"/>
    </row>
    <row r="7565" spans="65:67" ht="18.75" customHeight="1">
      <c r="BM7565" s="1025"/>
      <c r="BO7565" s="43"/>
    </row>
    <row r="7566" spans="65:67" ht="18.75" customHeight="1">
      <c r="BM7566" s="1025"/>
      <c r="BO7566" s="43"/>
    </row>
    <row r="7567" spans="65:67" ht="18.75" customHeight="1">
      <c r="BM7567" s="1025"/>
      <c r="BO7567" s="43"/>
    </row>
    <row r="7568" spans="65:67" ht="18.75" customHeight="1">
      <c r="BM7568" s="1025"/>
      <c r="BO7568" s="43"/>
    </row>
    <row r="7569" spans="65:67" ht="18.75" customHeight="1">
      <c r="BM7569" s="1025"/>
      <c r="BO7569" s="43"/>
    </row>
    <row r="7570" spans="65:67" ht="18.75" customHeight="1">
      <c r="BM7570" s="1025"/>
      <c r="BO7570" s="43"/>
    </row>
    <row r="7571" spans="65:67" ht="18.75" customHeight="1">
      <c r="BM7571" s="1025"/>
      <c r="BO7571" s="43"/>
    </row>
    <row r="7572" spans="65:67" ht="18.75" customHeight="1">
      <c r="BM7572" s="1025"/>
      <c r="BO7572" s="43"/>
    </row>
    <row r="7573" spans="65:67" ht="18.75" customHeight="1">
      <c r="BM7573" s="1025"/>
      <c r="BO7573" s="43"/>
    </row>
    <row r="7574" spans="65:67" ht="18.75" customHeight="1">
      <c r="BM7574" s="1025"/>
      <c r="BO7574" s="43"/>
    </row>
    <row r="7575" spans="65:67" ht="18.75" customHeight="1">
      <c r="BM7575" s="1025"/>
      <c r="BO7575" s="43"/>
    </row>
    <row r="7576" spans="65:67" ht="18.75" customHeight="1">
      <c r="BM7576" s="1025"/>
      <c r="BO7576" s="43"/>
    </row>
    <row r="7577" spans="65:67" ht="18.75" customHeight="1">
      <c r="BM7577" s="1025"/>
      <c r="BO7577" s="43"/>
    </row>
    <row r="7578" spans="65:67" ht="18.75" customHeight="1">
      <c r="BM7578" s="1025"/>
      <c r="BO7578" s="43"/>
    </row>
    <row r="7579" spans="65:67" ht="18.75" customHeight="1">
      <c r="BM7579" s="1025"/>
      <c r="BO7579" s="43"/>
    </row>
    <row r="7580" spans="65:67" ht="18.75" customHeight="1">
      <c r="BM7580" s="1025"/>
      <c r="BO7580" s="43"/>
    </row>
    <row r="7581" spans="65:67" ht="18.75" customHeight="1">
      <c r="BM7581" s="1025"/>
      <c r="BO7581" s="43"/>
    </row>
    <row r="7582" spans="65:67" ht="18.75" customHeight="1">
      <c r="BM7582" s="1025"/>
      <c r="BO7582" s="43"/>
    </row>
    <row r="7583" spans="65:67" ht="18.75" customHeight="1">
      <c r="BM7583" s="1025"/>
      <c r="BO7583" s="43"/>
    </row>
    <row r="7584" spans="65:67" ht="18.75" customHeight="1">
      <c r="BM7584" s="1025"/>
      <c r="BO7584" s="43"/>
    </row>
    <row r="7585" spans="65:67" ht="18.75" customHeight="1">
      <c r="BM7585" s="1025"/>
      <c r="BO7585" s="43"/>
    </row>
    <row r="7586" spans="65:67" ht="18.75" customHeight="1">
      <c r="BM7586" s="1025"/>
      <c r="BO7586" s="43"/>
    </row>
    <row r="7587" spans="65:67" ht="18.75" customHeight="1">
      <c r="BM7587" s="1025"/>
      <c r="BO7587" s="43"/>
    </row>
    <row r="7588" spans="65:67" ht="18.75" customHeight="1">
      <c r="BM7588" s="1025"/>
      <c r="BO7588" s="43"/>
    </row>
    <row r="7589" spans="65:67" ht="18.75" customHeight="1">
      <c r="BM7589" s="1025"/>
      <c r="BO7589" s="43"/>
    </row>
    <row r="7590" spans="65:67" ht="18.75" customHeight="1">
      <c r="BM7590" s="1025"/>
      <c r="BO7590" s="43"/>
    </row>
    <row r="7591" spans="65:67" ht="18.75" customHeight="1">
      <c r="BM7591" s="1025"/>
      <c r="BO7591" s="43"/>
    </row>
    <row r="7592" spans="65:67" ht="18.75" customHeight="1">
      <c r="BM7592" s="1025"/>
      <c r="BO7592" s="43"/>
    </row>
    <row r="7593" spans="65:67" ht="18.75" customHeight="1">
      <c r="BM7593" s="1025"/>
      <c r="BO7593" s="43"/>
    </row>
    <row r="7594" spans="65:67" ht="18.75" customHeight="1">
      <c r="BM7594" s="1025"/>
      <c r="BO7594" s="43"/>
    </row>
    <row r="7595" spans="65:67" ht="18.75" customHeight="1">
      <c r="BM7595" s="1025"/>
      <c r="BO7595" s="43"/>
    </row>
    <row r="7596" spans="65:67" ht="18.75" customHeight="1">
      <c r="BM7596" s="1025"/>
      <c r="BO7596" s="43"/>
    </row>
    <row r="7597" spans="65:67" ht="18.75" customHeight="1">
      <c r="BM7597" s="1025"/>
      <c r="BO7597" s="43"/>
    </row>
    <row r="7598" spans="65:67" ht="18.75" customHeight="1">
      <c r="BM7598" s="1025"/>
      <c r="BO7598" s="43"/>
    </row>
    <row r="7599" spans="65:67" ht="18.75" customHeight="1">
      <c r="BM7599" s="1025"/>
      <c r="BO7599" s="43"/>
    </row>
    <row r="7600" spans="65:67" ht="18.75" customHeight="1">
      <c r="BM7600" s="1025"/>
      <c r="BO7600" s="43"/>
    </row>
    <row r="7601" spans="65:67" ht="18.75" customHeight="1">
      <c r="BM7601" s="1025"/>
      <c r="BO7601" s="43"/>
    </row>
    <row r="7602" spans="65:67" ht="18.75" customHeight="1">
      <c r="BM7602" s="1025"/>
      <c r="BO7602" s="43"/>
    </row>
    <row r="7603" spans="65:67" ht="18.75" customHeight="1">
      <c r="BM7603" s="1025"/>
      <c r="BO7603" s="43"/>
    </row>
    <row r="7604" spans="65:67" ht="18.75" customHeight="1">
      <c r="BM7604" s="1025"/>
      <c r="BO7604" s="43"/>
    </row>
    <row r="7605" spans="65:67" ht="18.75" customHeight="1">
      <c r="BM7605" s="1025"/>
      <c r="BO7605" s="43"/>
    </row>
    <row r="7606" spans="65:67" ht="18.75" customHeight="1">
      <c r="BM7606" s="1025"/>
      <c r="BO7606" s="43"/>
    </row>
    <row r="7607" spans="65:67" ht="18.75" customHeight="1">
      <c r="BM7607" s="1025"/>
      <c r="BO7607" s="43"/>
    </row>
    <row r="7608" spans="65:67" ht="18.75" customHeight="1">
      <c r="BM7608" s="1025"/>
      <c r="BO7608" s="43"/>
    </row>
    <row r="7609" spans="65:67" ht="18.75" customHeight="1">
      <c r="BM7609" s="1025"/>
      <c r="BO7609" s="43"/>
    </row>
    <row r="7610" spans="65:67" ht="18.75" customHeight="1">
      <c r="BM7610" s="1025"/>
      <c r="BO7610" s="43"/>
    </row>
    <row r="7611" spans="65:67" ht="18.75" customHeight="1">
      <c r="BM7611" s="1025"/>
      <c r="BO7611" s="43"/>
    </row>
    <row r="7612" spans="65:67" ht="18.75" customHeight="1">
      <c r="BM7612" s="1025"/>
      <c r="BO7612" s="43"/>
    </row>
    <row r="7613" spans="65:67" ht="18.75" customHeight="1">
      <c r="BM7613" s="1025"/>
      <c r="BO7613" s="43"/>
    </row>
    <row r="7614" spans="65:67" ht="18.75" customHeight="1">
      <c r="BM7614" s="1025"/>
      <c r="BO7614" s="43"/>
    </row>
    <row r="7615" spans="65:67" ht="18.75" customHeight="1">
      <c r="BM7615" s="1025"/>
      <c r="BO7615" s="43"/>
    </row>
    <row r="7616" spans="65:67" ht="18.75" customHeight="1">
      <c r="BM7616" s="1025"/>
      <c r="BO7616" s="43"/>
    </row>
    <row r="7617" spans="65:67" ht="18.75" customHeight="1">
      <c r="BM7617" s="1025"/>
      <c r="BO7617" s="43"/>
    </row>
    <row r="7618" spans="65:67" ht="18.75" customHeight="1">
      <c r="BM7618" s="1025"/>
      <c r="BO7618" s="43"/>
    </row>
    <row r="7619" spans="65:67" ht="18.75" customHeight="1">
      <c r="BM7619" s="1025"/>
      <c r="BO7619" s="43"/>
    </row>
    <row r="7620" spans="65:67" ht="18.75" customHeight="1">
      <c r="BM7620" s="1025"/>
      <c r="BO7620" s="43"/>
    </row>
    <row r="7621" spans="65:67" ht="18.75" customHeight="1">
      <c r="BM7621" s="1025"/>
      <c r="BO7621" s="43"/>
    </row>
    <row r="7622" spans="65:67" ht="18.75" customHeight="1">
      <c r="BM7622" s="1025"/>
      <c r="BO7622" s="43"/>
    </row>
    <row r="7623" spans="65:67" ht="18.75" customHeight="1">
      <c r="BM7623" s="1025"/>
      <c r="BO7623" s="43"/>
    </row>
    <row r="7624" spans="65:67" ht="18.75" customHeight="1">
      <c r="BM7624" s="1025"/>
      <c r="BO7624" s="43"/>
    </row>
    <row r="7625" spans="65:67" ht="18.75" customHeight="1">
      <c r="BM7625" s="1025"/>
      <c r="BO7625" s="43"/>
    </row>
    <row r="7626" spans="65:67" ht="18.75" customHeight="1">
      <c r="BM7626" s="1025"/>
      <c r="BO7626" s="43"/>
    </row>
    <row r="7627" spans="65:67" ht="18.75" customHeight="1">
      <c r="BM7627" s="1025"/>
      <c r="BO7627" s="43"/>
    </row>
    <row r="7628" spans="65:67" ht="18.75" customHeight="1">
      <c r="BM7628" s="1025"/>
      <c r="BO7628" s="43"/>
    </row>
    <row r="7629" spans="65:67" ht="18.75" customHeight="1">
      <c r="BM7629" s="1025"/>
      <c r="BO7629" s="43"/>
    </row>
    <row r="7630" spans="65:67" ht="18.75" customHeight="1">
      <c r="BM7630" s="1025"/>
      <c r="BO7630" s="43"/>
    </row>
    <row r="7631" spans="65:67" ht="18.75" customHeight="1">
      <c r="BM7631" s="1025"/>
      <c r="BO7631" s="43"/>
    </row>
    <row r="7632" spans="65:67" ht="18.75" customHeight="1">
      <c r="BM7632" s="1025"/>
      <c r="BO7632" s="43"/>
    </row>
    <row r="7633" spans="65:67" ht="18.75" customHeight="1">
      <c r="BM7633" s="1025"/>
      <c r="BO7633" s="43"/>
    </row>
    <row r="7634" spans="65:67" ht="18.75" customHeight="1">
      <c r="BM7634" s="1025"/>
      <c r="BO7634" s="43"/>
    </row>
    <row r="7635" spans="65:67" ht="18.75" customHeight="1">
      <c r="BM7635" s="1025"/>
      <c r="BO7635" s="43"/>
    </row>
    <row r="7636" spans="65:67" ht="18.75" customHeight="1">
      <c r="BM7636" s="1025"/>
      <c r="BO7636" s="43"/>
    </row>
    <row r="7637" spans="65:67" ht="18.75" customHeight="1">
      <c r="BM7637" s="1025"/>
      <c r="BO7637" s="43"/>
    </row>
    <row r="7638" spans="65:67" ht="18.75" customHeight="1">
      <c r="BM7638" s="1025"/>
      <c r="BO7638" s="43"/>
    </row>
    <row r="7639" spans="65:67" ht="18.75" customHeight="1">
      <c r="BM7639" s="1025"/>
      <c r="BO7639" s="43"/>
    </row>
    <row r="7640" spans="65:67" ht="18.75" customHeight="1">
      <c r="BM7640" s="1025"/>
      <c r="BO7640" s="43"/>
    </row>
    <row r="7641" spans="65:67" ht="18.75" customHeight="1">
      <c r="BM7641" s="1025"/>
      <c r="BO7641" s="43"/>
    </row>
    <row r="7642" spans="65:67" ht="18.75" customHeight="1">
      <c r="BM7642" s="1025"/>
      <c r="BO7642" s="43"/>
    </row>
    <row r="7643" spans="65:67" ht="18.75" customHeight="1">
      <c r="BM7643" s="1025"/>
      <c r="BO7643" s="43"/>
    </row>
    <row r="7644" spans="65:67" ht="18.75" customHeight="1">
      <c r="BM7644" s="1025"/>
      <c r="BO7644" s="43"/>
    </row>
    <row r="7645" spans="65:67" ht="18.75" customHeight="1">
      <c r="BM7645" s="1025"/>
      <c r="BO7645" s="43"/>
    </row>
    <row r="7646" spans="65:67" ht="18.75" customHeight="1">
      <c r="BM7646" s="1025"/>
      <c r="BO7646" s="43"/>
    </row>
    <row r="7647" spans="65:67" ht="18.75" customHeight="1">
      <c r="BM7647" s="1025"/>
      <c r="BO7647" s="43"/>
    </row>
    <row r="7648" spans="65:67" ht="18.75" customHeight="1">
      <c r="BM7648" s="1025"/>
      <c r="BO7648" s="43"/>
    </row>
    <row r="7649" spans="65:67" ht="18.75" customHeight="1">
      <c r="BM7649" s="1025"/>
      <c r="BO7649" s="43"/>
    </row>
    <row r="7650" spans="65:67" ht="18.75" customHeight="1">
      <c r="BM7650" s="1025"/>
      <c r="BO7650" s="43"/>
    </row>
    <row r="7651" spans="65:67" ht="18.75" customHeight="1">
      <c r="BM7651" s="1025"/>
      <c r="BO7651" s="43"/>
    </row>
    <row r="7652" spans="65:67" ht="18.75" customHeight="1">
      <c r="BM7652" s="1025"/>
      <c r="BO7652" s="43"/>
    </row>
    <row r="7653" spans="65:67" ht="18.75" customHeight="1">
      <c r="BM7653" s="1025"/>
      <c r="BO7653" s="43"/>
    </row>
    <row r="7654" spans="65:67" ht="18.75" customHeight="1">
      <c r="BM7654" s="1025"/>
      <c r="BO7654" s="43"/>
    </row>
    <row r="7655" spans="65:67" ht="18.75" customHeight="1">
      <c r="BM7655" s="1025"/>
      <c r="BO7655" s="43"/>
    </row>
    <row r="7656" spans="65:67" ht="18.75" customHeight="1">
      <c r="BM7656" s="1025"/>
      <c r="BO7656" s="43"/>
    </row>
    <row r="7657" spans="65:67" ht="18.75" customHeight="1">
      <c r="BM7657" s="1025"/>
      <c r="BO7657" s="43"/>
    </row>
    <row r="7658" spans="65:67" ht="18.75" customHeight="1">
      <c r="BM7658" s="1025"/>
      <c r="BO7658" s="43"/>
    </row>
    <row r="7659" spans="65:67" ht="18.75" customHeight="1">
      <c r="BM7659" s="1025"/>
      <c r="BO7659" s="43"/>
    </row>
    <row r="7660" spans="65:67" ht="18.75" customHeight="1">
      <c r="BM7660" s="1025"/>
      <c r="BO7660" s="43"/>
    </row>
    <row r="7661" spans="65:67" ht="18.75" customHeight="1">
      <c r="BM7661" s="1025"/>
      <c r="BO7661" s="43"/>
    </row>
    <row r="7662" spans="65:67" ht="18.75" customHeight="1">
      <c r="BM7662" s="1025"/>
      <c r="BO7662" s="43"/>
    </row>
    <row r="7663" spans="65:67" ht="18.75" customHeight="1">
      <c r="BM7663" s="1025"/>
      <c r="BO7663" s="43"/>
    </row>
    <row r="7664" spans="65:67" ht="18.75" customHeight="1">
      <c r="BM7664" s="1025"/>
      <c r="BO7664" s="43"/>
    </row>
    <row r="7665" spans="65:67" ht="18.75" customHeight="1">
      <c r="BM7665" s="1025"/>
      <c r="BO7665" s="43"/>
    </row>
    <row r="7666" spans="65:67" ht="18.75" customHeight="1">
      <c r="BM7666" s="1025"/>
      <c r="BO7666" s="43"/>
    </row>
    <row r="7667" spans="65:67" ht="18.75" customHeight="1">
      <c r="BM7667" s="1025"/>
      <c r="BO7667" s="43"/>
    </row>
    <row r="7668" spans="65:67" ht="18.75" customHeight="1">
      <c r="BM7668" s="1025"/>
      <c r="BO7668" s="43"/>
    </row>
    <row r="7669" spans="65:67" ht="18.75" customHeight="1">
      <c r="BM7669" s="1025"/>
      <c r="BO7669" s="43"/>
    </row>
    <row r="7670" spans="65:67" ht="18.75" customHeight="1">
      <c r="BM7670" s="1025"/>
      <c r="BO7670" s="43"/>
    </row>
    <row r="7671" spans="65:67" ht="18.75" customHeight="1">
      <c r="BM7671" s="1025"/>
      <c r="BO7671" s="43"/>
    </row>
    <row r="7672" spans="65:67" ht="18.75" customHeight="1">
      <c r="BM7672" s="1025"/>
      <c r="BO7672" s="43"/>
    </row>
    <row r="7673" spans="65:67" ht="18.75" customHeight="1">
      <c r="BM7673" s="1025"/>
      <c r="BO7673" s="43"/>
    </row>
    <row r="7674" spans="65:67" ht="18.75" customHeight="1">
      <c r="BM7674" s="1025"/>
      <c r="BO7674" s="43"/>
    </row>
    <row r="7675" spans="65:67" ht="18.75" customHeight="1">
      <c r="BM7675" s="1025"/>
      <c r="BO7675" s="43"/>
    </row>
    <row r="7676" spans="65:67" ht="18.75" customHeight="1">
      <c r="BM7676" s="1025"/>
      <c r="BO7676" s="43"/>
    </row>
    <row r="7677" spans="65:67" ht="18.75" customHeight="1">
      <c r="BM7677" s="1025"/>
      <c r="BO7677" s="43"/>
    </row>
    <row r="7678" spans="65:67" ht="18.75" customHeight="1">
      <c r="BM7678" s="1025"/>
      <c r="BO7678" s="43"/>
    </row>
    <row r="7679" spans="65:67" ht="18.75" customHeight="1">
      <c r="BM7679" s="1025"/>
      <c r="BO7679" s="43"/>
    </row>
    <row r="7680" spans="65:67" ht="18.75" customHeight="1">
      <c r="BM7680" s="1025"/>
      <c r="BO7680" s="43"/>
    </row>
    <row r="7681" spans="65:67" ht="18.75" customHeight="1">
      <c r="BM7681" s="1025"/>
      <c r="BO7681" s="43"/>
    </row>
    <row r="7682" spans="65:67" ht="18.75" customHeight="1">
      <c r="BM7682" s="1025"/>
      <c r="BO7682" s="43"/>
    </row>
    <row r="7683" spans="65:67" ht="18.75" customHeight="1">
      <c r="BM7683" s="1025"/>
      <c r="BO7683" s="43"/>
    </row>
    <row r="7684" spans="65:67" ht="18.75" customHeight="1">
      <c r="BM7684" s="1025"/>
      <c r="BO7684" s="43"/>
    </row>
    <row r="7685" spans="65:67" ht="18.75" customHeight="1">
      <c r="BM7685" s="1025"/>
      <c r="BO7685" s="43"/>
    </row>
    <row r="7686" spans="65:67" ht="18.75" customHeight="1">
      <c r="BM7686" s="1025"/>
      <c r="BO7686" s="43"/>
    </row>
    <row r="7687" spans="65:67" ht="18.75" customHeight="1">
      <c r="BM7687" s="1025"/>
      <c r="BO7687" s="43"/>
    </row>
    <row r="7688" spans="65:67" ht="18.75" customHeight="1">
      <c r="BM7688" s="1025"/>
      <c r="BO7688" s="43"/>
    </row>
    <row r="7689" spans="65:67" ht="18.75" customHeight="1">
      <c r="BM7689" s="1025"/>
      <c r="BO7689" s="43"/>
    </row>
    <row r="7690" spans="65:67" ht="18.75" customHeight="1">
      <c r="BM7690" s="1025"/>
      <c r="BO7690" s="43"/>
    </row>
    <row r="7691" spans="65:67" ht="18.75" customHeight="1">
      <c r="BM7691" s="1025"/>
      <c r="BO7691" s="43"/>
    </row>
    <row r="7692" spans="65:67" ht="18.75" customHeight="1">
      <c r="BM7692" s="1025"/>
      <c r="BO7692" s="43"/>
    </row>
    <row r="7693" spans="65:67" ht="18.75" customHeight="1">
      <c r="BM7693" s="1025"/>
      <c r="BO7693" s="43"/>
    </row>
    <row r="7694" spans="65:67" ht="18.75" customHeight="1">
      <c r="BM7694" s="1025"/>
      <c r="BO7694" s="43"/>
    </row>
    <row r="7695" spans="65:67" ht="18.75" customHeight="1">
      <c r="BM7695" s="1025"/>
      <c r="BO7695" s="43"/>
    </row>
    <row r="7696" spans="65:67" ht="18.75" customHeight="1">
      <c r="BM7696" s="1025"/>
      <c r="BO7696" s="43"/>
    </row>
    <row r="7697" spans="65:67" ht="18.75" customHeight="1">
      <c r="BM7697" s="1025"/>
      <c r="BO7697" s="43"/>
    </row>
    <row r="7698" spans="65:67" ht="18.75" customHeight="1">
      <c r="BM7698" s="1025"/>
      <c r="BO7698" s="43"/>
    </row>
    <row r="7699" spans="65:67" ht="18.75" customHeight="1">
      <c r="BM7699" s="1025"/>
      <c r="BO7699" s="43"/>
    </row>
    <row r="7700" spans="65:67" ht="18.75" customHeight="1">
      <c r="BM7700" s="1025"/>
      <c r="BO7700" s="43"/>
    </row>
    <row r="7701" spans="65:67" ht="18.75" customHeight="1">
      <c r="BM7701" s="1025"/>
      <c r="BO7701" s="43"/>
    </row>
    <row r="7702" spans="65:67" ht="18.75" customHeight="1">
      <c r="BM7702" s="1025"/>
      <c r="BO7702" s="43"/>
    </row>
    <row r="7703" spans="65:67" ht="18.75" customHeight="1">
      <c r="BM7703" s="1025"/>
      <c r="BO7703" s="43"/>
    </row>
    <row r="7704" spans="65:67" ht="18.75" customHeight="1">
      <c r="BM7704" s="1025"/>
      <c r="BO7704" s="43"/>
    </row>
    <row r="7705" spans="65:67" ht="18.75" customHeight="1">
      <c r="BM7705" s="1025"/>
      <c r="BO7705" s="43"/>
    </row>
    <row r="7706" spans="65:67" ht="18.75" customHeight="1">
      <c r="BM7706" s="1025"/>
      <c r="BO7706" s="43"/>
    </row>
    <row r="7707" spans="65:67" ht="18.75" customHeight="1">
      <c r="BM7707" s="1025"/>
      <c r="BO7707" s="43"/>
    </row>
    <row r="7708" spans="65:67" ht="18.75" customHeight="1">
      <c r="BM7708" s="1025"/>
      <c r="BO7708" s="43"/>
    </row>
    <row r="7709" spans="65:67" ht="18.75" customHeight="1">
      <c r="BM7709" s="1025"/>
      <c r="BO7709" s="43"/>
    </row>
    <row r="7710" spans="65:67" ht="18.75" customHeight="1">
      <c r="BM7710" s="1025"/>
      <c r="BO7710" s="43"/>
    </row>
    <row r="7711" spans="65:67" ht="18.75" customHeight="1">
      <c r="BM7711" s="1025"/>
      <c r="BO7711" s="43"/>
    </row>
    <row r="7712" spans="65:67" ht="18.75" customHeight="1">
      <c r="BM7712" s="1025"/>
      <c r="BO7712" s="43"/>
    </row>
    <row r="7713" spans="65:67" ht="18.75" customHeight="1">
      <c r="BM7713" s="1025"/>
      <c r="BO7713" s="43"/>
    </row>
    <row r="7714" spans="65:67" ht="18.75" customHeight="1">
      <c r="BM7714" s="1025"/>
      <c r="BO7714" s="43"/>
    </row>
    <row r="7715" spans="65:67" ht="18.75" customHeight="1">
      <c r="BM7715" s="1025"/>
      <c r="BO7715" s="43"/>
    </row>
    <row r="7716" spans="65:67" ht="18.75" customHeight="1">
      <c r="BM7716" s="1025"/>
      <c r="BO7716" s="43"/>
    </row>
    <row r="7717" spans="65:67" ht="18.75" customHeight="1">
      <c r="BM7717" s="1025"/>
      <c r="BO7717" s="43"/>
    </row>
    <row r="7718" spans="65:67" ht="18.75" customHeight="1">
      <c r="BM7718" s="1025"/>
      <c r="BO7718" s="43"/>
    </row>
    <row r="7719" spans="65:67" ht="18.75" customHeight="1">
      <c r="BM7719" s="1025"/>
      <c r="BO7719" s="43"/>
    </row>
    <row r="7720" spans="65:67" ht="18.75" customHeight="1">
      <c r="BM7720" s="1025"/>
      <c r="BO7720" s="43"/>
    </row>
    <row r="7721" spans="65:67" ht="18.75" customHeight="1">
      <c r="BM7721" s="1025"/>
      <c r="BO7721" s="43"/>
    </row>
    <row r="7722" spans="65:67" ht="18.75" customHeight="1">
      <c r="BM7722" s="1025"/>
      <c r="BO7722" s="43"/>
    </row>
    <row r="7723" spans="65:67" ht="18.75" customHeight="1">
      <c r="BM7723" s="1025"/>
      <c r="BO7723" s="43"/>
    </row>
    <row r="7724" spans="65:67" ht="18.75" customHeight="1">
      <c r="BM7724" s="1025"/>
      <c r="BO7724" s="43"/>
    </row>
    <row r="7725" spans="65:67" ht="18.75" customHeight="1">
      <c r="BM7725" s="1025"/>
      <c r="BO7725" s="43"/>
    </row>
    <row r="7726" spans="65:67" ht="18.75" customHeight="1">
      <c r="BM7726" s="1025"/>
      <c r="BO7726" s="43"/>
    </row>
    <row r="7727" spans="65:67" ht="18.75" customHeight="1">
      <c r="BM7727" s="1025"/>
      <c r="BO7727" s="43"/>
    </row>
    <row r="7728" spans="65:67" ht="18.75" customHeight="1">
      <c r="BM7728" s="1025"/>
      <c r="BO7728" s="43"/>
    </row>
    <row r="7729" spans="65:67" ht="18.75" customHeight="1">
      <c r="BM7729" s="1025"/>
      <c r="BO7729" s="43"/>
    </row>
    <row r="7730" spans="65:67" ht="18.75" customHeight="1">
      <c r="BM7730" s="1025"/>
      <c r="BO7730" s="43"/>
    </row>
    <row r="7731" spans="65:67" ht="18.75" customHeight="1">
      <c r="BM7731" s="1025"/>
      <c r="BO7731" s="43"/>
    </row>
    <row r="7732" spans="65:67" ht="18.75" customHeight="1">
      <c r="BM7732" s="1025"/>
      <c r="BO7732" s="43"/>
    </row>
    <row r="7733" spans="65:67" ht="18.75" customHeight="1">
      <c r="BM7733" s="1025"/>
      <c r="BO7733" s="43"/>
    </row>
    <row r="7734" spans="65:67" ht="18.75" customHeight="1">
      <c r="BM7734" s="1025"/>
      <c r="BO7734" s="43"/>
    </row>
    <row r="7735" spans="65:67" ht="18.75" customHeight="1">
      <c r="BM7735" s="1025"/>
      <c r="BO7735" s="43"/>
    </row>
    <row r="7736" spans="65:67" ht="18.75" customHeight="1">
      <c r="BM7736" s="1025"/>
      <c r="BO7736" s="43"/>
    </row>
    <row r="7737" spans="65:67" ht="18.75" customHeight="1">
      <c r="BM7737" s="1025"/>
      <c r="BO7737" s="43"/>
    </row>
    <row r="7738" spans="65:67" ht="18.75" customHeight="1">
      <c r="BM7738" s="1025"/>
      <c r="BO7738" s="43"/>
    </row>
    <row r="7739" spans="65:67" ht="18.75" customHeight="1">
      <c r="BM7739" s="1025"/>
      <c r="BO7739" s="43"/>
    </row>
    <row r="7740" spans="65:67" ht="18.75" customHeight="1">
      <c r="BM7740" s="1025"/>
      <c r="BO7740" s="43"/>
    </row>
    <row r="7741" spans="65:67" ht="18.75" customHeight="1">
      <c r="BM7741" s="1025"/>
      <c r="BO7741" s="43"/>
    </row>
    <row r="7742" spans="65:67" ht="18.75" customHeight="1">
      <c r="BM7742" s="1025"/>
      <c r="BO7742" s="43"/>
    </row>
    <row r="7743" spans="65:67" ht="18.75" customHeight="1">
      <c r="BM7743" s="1025"/>
      <c r="BO7743" s="43"/>
    </row>
    <row r="7744" spans="65:67" ht="18.75" customHeight="1">
      <c r="BM7744" s="1025"/>
      <c r="BO7744" s="43"/>
    </row>
    <row r="7745" spans="65:67" ht="18.75" customHeight="1">
      <c r="BM7745" s="1025"/>
      <c r="BO7745" s="43"/>
    </row>
    <row r="7746" spans="65:67" ht="18.75" customHeight="1">
      <c r="BM7746" s="1025"/>
      <c r="BO7746" s="43"/>
    </row>
    <row r="7747" spans="65:67" ht="18.75" customHeight="1">
      <c r="BM7747" s="1025"/>
      <c r="BO7747" s="43"/>
    </row>
    <row r="7748" spans="65:67" ht="18.75" customHeight="1">
      <c r="BM7748" s="1025"/>
      <c r="BO7748" s="43"/>
    </row>
    <row r="7749" spans="65:67" ht="18.75" customHeight="1">
      <c r="BM7749" s="1025"/>
      <c r="BO7749" s="43"/>
    </row>
    <row r="7750" spans="65:67" ht="18.75" customHeight="1">
      <c r="BM7750" s="1025"/>
      <c r="BO7750" s="43"/>
    </row>
    <row r="7751" spans="65:67" ht="18.75" customHeight="1">
      <c r="BM7751" s="1025"/>
      <c r="BO7751" s="43"/>
    </row>
    <row r="7752" spans="65:67" ht="18.75" customHeight="1">
      <c r="BM7752" s="1025"/>
      <c r="BO7752" s="43"/>
    </row>
    <row r="7753" spans="65:67" ht="18.75" customHeight="1">
      <c r="BM7753" s="1025"/>
      <c r="BO7753" s="43"/>
    </row>
    <row r="7754" spans="65:67" ht="18.75" customHeight="1">
      <c r="BM7754" s="1025"/>
      <c r="BO7754" s="43"/>
    </row>
    <row r="7755" spans="65:67" ht="18.75" customHeight="1">
      <c r="BM7755" s="1025"/>
      <c r="BO7755" s="43"/>
    </row>
    <row r="7756" spans="65:67" ht="18.75" customHeight="1">
      <c r="BM7756" s="1025"/>
      <c r="BO7756" s="43"/>
    </row>
    <row r="7757" spans="65:67" ht="18.75" customHeight="1">
      <c r="BM7757" s="1025"/>
      <c r="BO7757" s="43"/>
    </row>
    <row r="7758" spans="65:67" ht="18.75" customHeight="1">
      <c r="BM7758" s="1025"/>
      <c r="BO7758" s="43"/>
    </row>
    <row r="7759" spans="65:67" ht="18.75" customHeight="1">
      <c r="BM7759" s="1025"/>
      <c r="BO7759" s="43"/>
    </row>
    <row r="7760" spans="65:67" ht="18.75" customHeight="1">
      <c r="BM7760" s="1025"/>
      <c r="BO7760" s="43"/>
    </row>
    <row r="7761" spans="65:67" ht="18.75" customHeight="1">
      <c r="BM7761" s="1025"/>
      <c r="BO7761" s="43"/>
    </row>
    <row r="7762" spans="65:67" ht="18.75" customHeight="1">
      <c r="BM7762" s="1025"/>
      <c r="BO7762" s="43"/>
    </row>
    <row r="7763" spans="65:67" ht="18.75" customHeight="1">
      <c r="BM7763" s="1025"/>
      <c r="BO7763" s="43"/>
    </row>
    <row r="7764" spans="65:67" ht="18.75" customHeight="1">
      <c r="BM7764" s="1025"/>
      <c r="BO7764" s="43"/>
    </row>
    <row r="7765" spans="65:67" ht="18.75" customHeight="1">
      <c r="BM7765" s="1025"/>
      <c r="BO7765" s="43"/>
    </row>
    <row r="7766" spans="65:67" ht="18.75" customHeight="1">
      <c r="BM7766" s="1025"/>
      <c r="BO7766" s="43"/>
    </row>
    <row r="7767" spans="65:67" ht="18.75" customHeight="1">
      <c r="BM7767" s="1025"/>
      <c r="BO7767" s="43"/>
    </row>
    <row r="7768" spans="65:67" ht="18.75" customHeight="1">
      <c r="BM7768" s="1025"/>
      <c r="BO7768" s="43"/>
    </row>
    <row r="7769" spans="65:67" ht="18.75" customHeight="1">
      <c r="BM7769" s="1025"/>
      <c r="BO7769" s="43"/>
    </row>
    <row r="7770" spans="65:67" ht="18.75" customHeight="1">
      <c r="BM7770" s="1025"/>
      <c r="BO7770" s="43"/>
    </row>
    <row r="7771" spans="65:67" ht="18.75" customHeight="1">
      <c r="BM7771" s="1025"/>
      <c r="BO7771" s="43"/>
    </row>
    <row r="7772" spans="65:67" ht="18.75" customHeight="1">
      <c r="BM7772" s="1025"/>
      <c r="BO7772" s="43"/>
    </row>
    <row r="7773" spans="65:67" ht="18.75" customHeight="1">
      <c r="BM7773" s="1025"/>
      <c r="BO7773" s="43"/>
    </row>
    <row r="7774" spans="65:67" ht="18.75" customHeight="1">
      <c r="BM7774" s="1025"/>
      <c r="BO7774" s="43"/>
    </row>
    <row r="7775" spans="65:67" ht="18.75" customHeight="1">
      <c r="BM7775" s="1025"/>
      <c r="BO7775" s="43"/>
    </row>
    <row r="7776" spans="65:67" ht="18.75" customHeight="1">
      <c r="BM7776" s="1025"/>
      <c r="BO7776" s="43"/>
    </row>
    <row r="7777" spans="65:67" ht="18.75" customHeight="1">
      <c r="BM7777" s="1025"/>
      <c r="BO7777" s="43"/>
    </row>
    <row r="7778" spans="65:67" ht="18.75" customHeight="1">
      <c r="BM7778" s="1025"/>
      <c r="BO7778" s="43"/>
    </row>
    <row r="7779" spans="65:67" ht="18.75" customHeight="1">
      <c r="BM7779" s="1025"/>
      <c r="BO7779" s="43"/>
    </row>
    <row r="7780" spans="65:67" ht="18.75" customHeight="1">
      <c r="BM7780" s="1025"/>
      <c r="BO7780" s="43"/>
    </row>
    <row r="7781" spans="65:67" ht="18.75" customHeight="1">
      <c r="BM7781" s="1025"/>
      <c r="BO7781" s="43"/>
    </row>
    <row r="7782" spans="65:67" ht="18.75" customHeight="1">
      <c r="BM7782" s="1025"/>
      <c r="BO7782" s="43"/>
    </row>
    <row r="7783" spans="65:67" ht="18.75" customHeight="1">
      <c r="BM7783" s="1025"/>
      <c r="BO7783" s="43"/>
    </row>
    <row r="7784" spans="65:67" ht="18.75" customHeight="1">
      <c r="BM7784" s="1025"/>
      <c r="BO7784" s="43"/>
    </row>
    <row r="7785" spans="65:67" ht="18.75" customHeight="1">
      <c r="BM7785" s="1025"/>
      <c r="BO7785" s="43"/>
    </row>
    <row r="7786" spans="65:67" ht="18.75" customHeight="1">
      <c r="BM7786" s="1025"/>
      <c r="BO7786" s="43"/>
    </row>
    <row r="7787" spans="65:67" ht="18.75" customHeight="1">
      <c r="BM7787" s="1025"/>
      <c r="BO7787" s="43"/>
    </row>
    <row r="7788" spans="65:67" ht="18.75" customHeight="1">
      <c r="BM7788" s="1025"/>
      <c r="BO7788" s="43"/>
    </row>
    <row r="7789" spans="65:67" ht="18.75" customHeight="1">
      <c r="BM7789" s="1025"/>
      <c r="BO7789" s="43"/>
    </row>
    <row r="7790" spans="65:67" ht="18.75" customHeight="1">
      <c r="BM7790" s="1025"/>
      <c r="BO7790" s="43"/>
    </row>
    <row r="7791" spans="65:67" ht="18.75" customHeight="1">
      <c r="BM7791" s="1025"/>
      <c r="BO7791" s="43"/>
    </row>
    <row r="7792" spans="65:67" ht="18.75" customHeight="1">
      <c r="BM7792" s="1025"/>
      <c r="BO7792" s="43"/>
    </row>
    <row r="7793" spans="65:67" ht="18.75" customHeight="1">
      <c r="BM7793" s="1025"/>
      <c r="BO7793" s="43"/>
    </row>
    <row r="7794" spans="65:67" ht="18.75" customHeight="1">
      <c r="BM7794" s="1025"/>
      <c r="BO7794" s="43"/>
    </row>
    <row r="7795" spans="65:67" ht="18.75" customHeight="1">
      <c r="BM7795" s="1025"/>
      <c r="BO7795" s="43"/>
    </row>
    <row r="7796" spans="65:67" ht="18.75" customHeight="1">
      <c r="BM7796" s="1025"/>
      <c r="BO7796" s="43"/>
    </row>
    <row r="7797" spans="65:67" ht="18.75" customHeight="1">
      <c r="BM7797" s="1025"/>
      <c r="BO7797" s="43"/>
    </row>
    <row r="7798" spans="65:67" ht="18.75" customHeight="1">
      <c r="BM7798" s="1025"/>
      <c r="BO7798" s="43"/>
    </row>
    <row r="7799" spans="65:67" ht="18.75" customHeight="1">
      <c r="BM7799" s="1025"/>
      <c r="BO7799" s="43"/>
    </row>
    <row r="7800" spans="65:67" ht="18.75" customHeight="1">
      <c r="BM7800" s="1025"/>
      <c r="BO7800" s="43"/>
    </row>
    <row r="7801" spans="65:67" ht="18.75" customHeight="1">
      <c r="BM7801" s="1025"/>
      <c r="BO7801" s="43"/>
    </row>
    <row r="7802" spans="65:67" ht="18.75" customHeight="1">
      <c r="BM7802" s="1025"/>
      <c r="BO7802" s="43"/>
    </row>
    <row r="7803" spans="65:67" ht="18.75" customHeight="1">
      <c r="BM7803" s="1025"/>
      <c r="BO7803" s="43"/>
    </row>
    <row r="7804" spans="65:67" ht="18.75" customHeight="1">
      <c r="BM7804" s="1025"/>
      <c r="BO7804" s="43"/>
    </row>
    <row r="7805" spans="65:67" ht="18.75" customHeight="1">
      <c r="BM7805" s="1025"/>
      <c r="BO7805" s="43"/>
    </row>
    <row r="7806" spans="65:67" ht="18.75" customHeight="1">
      <c r="BM7806" s="1025"/>
      <c r="BO7806" s="43"/>
    </row>
    <row r="7807" spans="65:67" ht="18.75" customHeight="1">
      <c r="BM7807" s="1025"/>
      <c r="BO7807" s="43"/>
    </row>
    <row r="7808" spans="65:67" ht="18.75" customHeight="1">
      <c r="BM7808" s="1025"/>
      <c r="BO7808" s="43"/>
    </row>
    <row r="7809" spans="65:67" ht="18.75" customHeight="1">
      <c r="BM7809" s="1025"/>
      <c r="BO7809" s="43"/>
    </row>
    <row r="7810" spans="65:67" ht="18.75" customHeight="1">
      <c r="BM7810" s="1025"/>
      <c r="BO7810" s="43"/>
    </row>
    <row r="7811" spans="65:67" ht="18.75" customHeight="1">
      <c r="BM7811" s="1025"/>
      <c r="BO7811" s="43"/>
    </row>
    <row r="7812" spans="65:67" ht="18.75" customHeight="1">
      <c r="BM7812" s="1025"/>
      <c r="BO7812" s="43"/>
    </row>
    <row r="7813" spans="65:67" ht="18.75" customHeight="1">
      <c r="BM7813" s="1025"/>
      <c r="BO7813" s="43"/>
    </row>
    <row r="7814" spans="65:67" ht="18.75" customHeight="1">
      <c r="BM7814" s="1025"/>
      <c r="BO7814" s="43"/>
    </row>
    <row r="7815" spans="65:67" ht="18.75" customHeight="1">
      <c r="BM7815" s="1025"/>
      <c r="BO7815" s="43"/>
    </row>
    <row r="7816" spans="65:67" ht="18.75" customHeight="1">
      <c r="BM7816" s="1025"/>
      <c r="BO7816" s="43"/>
    </row>
    <row r="7817" spans="65:67" ht="18.75" customHeight="1">
      <c r="BM7817" s="1025"/>
      <c r="BO7817" s="43"/>
    </row>
    <row r="7818" spans="65:67" ht="18.75" customHeight="1">
      <c r="BM7818" s="1025"/>
      <c r="BO7818" s="43"/>
    </row>
    <row r="7819" spans="65:67" ht="18.75" customHeight="1">
      <c r="BM7819" s="1025"/>
      <c r="BO7819" s="43"/>
    </row>
    <row r="7820" spans="65:67" ht="18.75" customHeight="1">
      <c r="BM7820" s="1025"/>
      <c r="BO7820" s="43"/>
    </row>
    <row r="7821" spans="65:67" ht="18.75" customHeight="1">
      <c r="BM7821" s="1025"/>
      <c r="BO7821" s="43"/>
    </row>
    <row r="7822" spans="65:67" ht="18.75" customHeight="1">
      <c r="BM7822" s="1025"/>
      <c r="BO7822" s="43"/>
    </row>
    <row r="7823" spans="65:67" ht="18.75" customHeight="1">
      <c r="BM7823" s="1025"/>
      <c r="BO7823" s="43"/>
    </row>
    <row r="7824" spans="65:67" ht="18.75" customHeight="1">
      <c r="BM7824" s="1025"/>
      <c r="BO7824" s="43"/>
    </row>
    <row r="7825" spans="65:67" ht="18.75" customHeight="1">
      <c r="BM7825" s="1025"/>
      <c r="BO7825" s="43"/>
    </row>
    <row r="7826" spans="65:67" ht="18.75" customHeight="1">
      <c r="BM7826" s="1025"/>
      <c r="BO7826" s="43"/>
    </row>
    <row r="7827" spans="65:67" ht="18.75" customHeight="1">
      <c r="BM7827" s="1025"/>
      <c r="BO7827" s="43"/>
    </row>
    <row r="7828" spans="65:67" ht="18.75" customHeight="1">
      <c r="BM7828" s="1025"/>
      <c r="BO7828" s="43"/>
    </row>
    <row r="7829" spans="65:67" ht="18.75" customHeight="1">
      <c r="BM7829" s="1025"/>
      <c r="BO7829" s="43"/>
    </row>
    <row r="7830" spans="65:67" ht="18.75" customHeight="1">
      <c r="BM7830" s="1025"/>
      <c r="BO7830" s="43"/>
    </row>
    <row r="7831" spans="65:67" ht="18.75" customHeight="1">
      <c r="BM7831" s="1025"/>
      <c r="BO7831" s="43"/>
    </row>
    <row r="7832" spans="65:67" ht="18.75" customHeight="1">
      <c r="BM7832" s="1025"/>
      <c r="BO7832" s="43"/>
    </row>
    <row r="7833" spans="65:67" ht="18.75" customHeight="1">
      <c r="BM7833" s="1025"/>
      <c r="BO7833" s="43"/>
    </row>
    <row r="7834" spans="65:67" ht="18.75" customHeight="1">
      <c r="BM7834" s="1025"/>
      <c r="BO7834" s="43"/>
    </row>
    <row r="7835" spans="65:67" ht="18.75" customHeight="1">
      <c r="BM7835" s="1025"/>
      <c r="BO7835" s="43"/>
    </row>
    <row r="7836" spans="65:67" ht="18.75" customHeight="1">
      <c r="BM7836" s="1025"/>
      <c r="BO7836" s="43"/>
    </row>
    <row r="7837" spans="65:67" ht="18.75" customHeight="1">
      <c r="BM7837" s="1025"/>
      <c r="BO7837" s="43"/>
    </row>
    <row r="7838" spans="65:67" ht="18.75" customHeight="1">
      <c r="BM7838" s="1025"/>
      <c r="BO7838" s="43"/>
    </row>
    <row r="7839" spans="65:67" ht="18.75" customHeight="1">
      <c r="BM7839" s="1025"/>
      <c r="BO7839" s="43"/>
    </row>
    <row r="7840" spans="65:67" ht="18.75" customHeight="1">
      <c r="BM7840" s="1025"/>
      <c r="BO7840" s="43"/>
    </row>
    <row r="7841" spans="65:67" ht="18.75" customHeight="1">
      <c r="BM7841" s="1025"/>
      <c r="BO7841" s="43"/>
    </row>
    <row r="7842" spans="65:67" ht="18.75" customHeight="1">
      <c r="BM7842" s="1025"/>
      <c r="BO7842" s="43"/>
    </row>
    <row r="7843" spans="65:67" ht="18.75" customHeight="1">
      <c r="BM7843" s="1025"/>
      <c r="BO7843" s="43"/>
    </row>
    <row r="7844" spans="65:67" ht="18.75" customHeight="1">
      <c r="BM7844" s="1025"/>
      <c r="BO7844" s="43"/>
    </row>
    <row r="7845" spans="65:67" ht="18.75" customHeight="1">
      <c r="BM7845" s="1025"/>
      <c r="BO7845" s="43"/>
    </row>
    <row r="7846" spans="65:67" ht="18.75" customHeight="1">
      <c r="BM7846" s="1025"/>
      <c r="BO7846" s="43"/>
    </row>
    <row r="7847" spans="65:67" ht="18.75" customHeight="1">
      <c r="BM7847" s="1025"/>
      <c r="BO7847" s="43"/>
    </row>
    <row r="7848" spans="65:67" ht="18.75" customHeight="1">
      <c r="BM7848" s="1025"/>
      <c r="BO7848" s="43"/>
    </row>
    <row r="7849" spans="65:67" ht="18.75" customHeight="1">
      <c r="BM7849" s="1025"/>
      <c r="BO7849" s="43"/>
    </row>
    <row r="7850" spans="65:67" ht="18.75" customHeight="1">
      <c r="BM7850" s="1025"/>
      <c r="BO7850" s="43"/>
    </row>
    <row r="7851" spans="65:67" ht="18.75" customHeight="1">
      <c r="BM7851" s="1025"/>
      <c r="BO7851" s="43"/>
    </row>
    <row r="7852" spans="65:67" ht="18.75" customHeight="1">
      <c r="BM7852" s="1025"/>
      <c r="BO7852" s="43"/>
    </row>
    <row r="7853" spans="65:67" ht="18.75" customHeight="1">
      <c r="BM7853" s="1025"/>
      <c r="BO7853" s="43"/>
    </row>
    <row r="7854" spans="65:67" ht="18.75" customHeight="1">
      <c r="BM7854" s="1025"/>
      <c r="BO7854" s="43"/>
    </row>
    <row r="7855" spans="65:67" ht="18.75" customHeight="1">
      <c r="BM7855" s="1025"/>
      <c r="BO7855" s="43"/>
    </row>
    <row r="7856" spans="65:67" ht="18.75" customHeight="1">
      <c r="BM7856" s="1025"/>
      <c r="BO7856" s="43"/>
    </row>
    <row r="7857" spans="65:67" ht="18.75" customHeight="1">
      <c r="BM7857" s="1025"/>
      <c r="BO7857" s="43"/>
    </row>
    <row r="7858" spans="65:67" ht="18.75" customHeight="1">
      <c r="BM7858" s="1025"/>
      <c r="BO7858" s="43"/>
    </row>
    <row r="7859" spans="65:67" ht="18.75" customHeight="1">
      <c r="BM7859" s="1025"/>
      <c r="BO7859" s="43"/>
    </row>
    <row r="7860" spans="65:67" ht="18.75" customHeight="1">
      <c r="BM7860" s="1025"/>
      <c r="BO7860" s="43"/>
    </row>
    <row r="7861" spans="65:67" ht="18.75" customHeight="1">
      <c r="BM7861" s="1025"/>
      <c r="BO7861" s="43"/>
    </row>
    <row r="7862" spans="65:67" ht="18.75" customHeight="1">
      <c r="BM7862" s="1025"/>
      <c r="BO7862" s="43"/>
    </row>
    <row r="7863" spans="65:67" ht="18.75" customHeight="1">
      <c r="BM7863" s="1025"/>
      <c r="BO7863" s="43"/>
    </row>
    <row r="7864" spans="65:67" ht="18.75" customHeight="1">
      <c r="BM7864" s="1025"/>
      <c r="BO7864" s="43"/>
    </row>
    <row r="7865" spans="65:67" ht="18.75" customHeight="1">
      <c r="BM7865" s="1025"/>
      <c r="BO7865" s="43"/>
    </row>
    <row r="7866" spans="65:67" ht="18.75" customHeight="1">
      <c r="BM7866" s="1025"/>
      <c r="BO7866" s="43"/>
    </row>
    <row r="7867" spans="65:67" ht="18.75" customHeight="1">
      <c r="BM7867" s="1025"/>
      <c r="BO7867" s="43"/>
    </row>
    <row r="7868" spans="65:67" ht="18.75" customHeight="1">
      <c r="BM7868" s="1025"/>
      <c r="BO7868" s="43"/>
    </row>
    <row r="7869" spans="65:67" ht="18.75" customHeight="1">
      <c r="BM7869" s="1025"/>
      <c r="BO7869" s="43"/>
    </row>
    <row r="7870" spans="65:67" ht="18.75" customHeight="1">
      <c r="BM7870" s="1025"/>
      <c r="BO7870" s="43"/>
    </row>
    <row r="7871" spans="65:67" ht="18.75" customHeight="1">
      <c r="BM7871" s="1025"/>
      <c r="BO7871" s="43"/>
    </row>
    <row r="7872" spans="65:67" ht="18.75" customHeight="1">
      <c r="BM7872" s="1025"/>
      <c r="BO7872" s="43"/>
    </row>
    <row r="7873" spans="65:67" ht="18.75" customHeight="1">
      <c r="BM7873" s="1025"/>
      <c r="BO7873" s="43"/>
    </row>
    <row r="7874" spans="65:67" ht="18.75" customHeight="1">
      <c r="BM7874" s="1025"/>
      <c r="BO7874" s="43"/>
    </row>
    <row r="7875" spans="65:67" ht="18.75" customHeight="1">
      <c r="BM7875" s="1025"/>
      <c r="BO7875" s="43"/>
    </row>
    <row r="7876" spans="65:67" ht="18.75" customHeight="1">
      <c r="BM7876" s="1025"/>
      <c r="BO7876" s="43"/>
    </row>
    <row r="7877" spans="65:67" ht="18.75" customHeight="1">
      <c r="BM7877" s="1025"/>
      <c r="BO7877" s="43"/>
    </row>
    <row r="7878" spans="65:67" ht="18.75" customHeight="1">
      <c r="BM7878" s="1025"/>
      <c r="BO7878" s="43"/>
    </row>
    <row r="7879" spans="65:67" ht="18.75" customHeight="1">
      <c r="BM7879" s="1025"/>
      <c r="BO7879" s="43"/>
    </row>
    <row r="7880" spans="65:67" ht="18.75" customHeight="1">
      <c r="BM7880" s="1025"/>
      <c r="BO7880" s="43"/>
    </row>
    <row r="7881" spans="65:67" ht="18.75" customHeight="1">
      <c r="BM7881" s="1025"/>
      <c r="BO7881" s="43"/>
    </row>
    <row r="7882" spans="65:67" ht="18.75" customHeight="1">
      <c r="BM7882" s="1025"/>
      <c r="BO7882" s="43"/>
    </row>
    <row r="7883" spans="65:67" ht="18.75" customHeight="1">
      <c r="BM7883" s="1025"/>
      <c r="BO7883" s="43"/>
    </row>
    <row r="7884" spans="65:67" ht="18.75" customHeight="1">
      <c r="BM7884" s="1025"/>
      <c r="BO7884" s="43"/>
    </row>
    <row r="7885" spans="65:67" ht="18.75" customHeight="1">
      <c r="BM7885" s="1025"/>
      <c r="BO7885" s="43"/>
    </row>
    <row r="7886" spans="65:67" ht="18.75" customHeight="1">
      <c r="BM7886" s="1025"/>
      <c r="BO7886" s="43"/>
    </row>
    <row r="7887" spans="65:67" ht="18.75" customHeight="1">
      <c r="BM7887" s="1025"/>
      <c r="BO7887" s="43"/>
    </row>
    <row r="7888" spans="65:67" ht="18.75" customHeight="1">
      <c r="BM7888" s="1025"/>
      <c r="BO7888" s="43"/>
    </row>
    <row r="7889" spans="65:67" ht="18.75" customHeight="1">
      <c r="BM7889" s="1025"/>
      <c r="BO7889" s="43"/>
    </row>
    <row r="7890" spans="65:67" ht="18.75" customHeight="1">
      <c r="BM7890" s="1025"/>
      <c r="BO7890" s="43"/>
    </row>
    <row r="7891" spans="65:67" ht="18.75" customHeight="1">
      <c r="BM7891" s="1025"/>
      <c r="BO7891" s="43"/>
    </row>
    <row r="7892" spans="65:67" ht="18.75" customHeight="1">
      <c r="BM7892" s="1025"/>
      <c r="BO7892" s="43"/>
    </row>
    <row r="7893" spans="65:67" ht="18.75" customHeight="1">
      <c r="BM7893" s="1025"/>
      <c r="BO7893" s="43"/>
    </row>
    <row r="7894" spans="65:67" ht="18.75" customHeight="1">
      <c r="BM7894" s="1025"/>
      <c r="BO7894" s="43"/>
    </row>
    <row r="7895" spans="65:67" ht="18.75" customHeight="1">
      <c r="BM7895" s="1025"/>
      <c r="BO7895" s="43"/>
    </row>
    <row r="7896" spans="65:67" ht="18.75" customHeight="1">
      <c r="BM7896" s="1025"/>
      <c r="BO7896" s="43"/>
    </row>
    <row r="7897" spans="65:67" ht="18.75" customHeight="1">
      <c r="BM7897" s="1025"/>
      <c r="BO7897" s="43"/>
    </row>
    <row r="7898" spans="65:67" ht="18.75" customHeight="1">
      <c r="BM7898" s="1025"/>
      <c r="BO7898" s="43"/>
    </row>
    <row r="7899" spans="65:67" ht="18.75" customHeight="1">
      <c r="BM7899" s="1025"/>
      <c r="BO7899" s="43"/>
    </row>
    <row r="7900" spans="65:67" ht="18.75" customHeight="1">
      <c r="BM7900" s="1025"/>
      <c r="BO7900" s="43"/>
    </row>
    <row r="7901" spans="65:67" ht="18.75" customHeight="1">
      <c r="BM7901" s="1025"/>
      <c r="BO7901" s="43"/>
    </row>
    <row r="7902" spans="65:67" ht="18.75" customHeight="1">
      <c r="BM7902" s="1025"/>
      <c r="BO7902" s="43"/>
    </row>
    <row r="7903" spans="65:67" ht="18.75" customHeight="1">
      <c r="BM7903" s="1025"/>
      <c r="BO7903" s="43"/>
    </row>
    <row r="7904" spans="65:67" ht="18.75" customHeight="1">
      <c r="BM7904" s="1025"/>
      <c r="BO7904" s="43"/>
    </row>
    <row r="7905" spans="65:67" ht="18.75" customHeight="1">
      <c r="BM7905" s="1025"/>
      <c r="BO7905" s="43"/>
    </row>
    <row r="7906" spans="65:67" ht="18.75" customHeight="1">
      <c r="BM7906" s="1025"/>
      <c r="BO7906" s="43"/>
    </row>
    <row r="7907" spans="65:67" ht="18.75" customHeight="1">
      <c r="BM7907" s="1025"/>
      <c r="BO7907" s="43"/>
    </row>
    <row r="7908" spans="65:67" ht="18.75" customHeight="1">
      <c r="BM7908" s="1025"/>
      <c r="BO7908" s="43"/>
    </row>
    <row r="7909" spans="65:67" ht="18.75" customHeight="1">
      <c r="BM7909" s="1025"/>
      <c r="BO7909" s="43"/>
    </row>
    <row r="7910" spans="65:67" ht="18.75" customHeight="1">
      <c r="BM7910" s="1025"/>
      <c r="BO7910" s="43"/>
    </row>
    <row r="7911" spans="65:67" ht="18.75" customHeight="1">
      <c r="BM7911" s="1025"/>
      <c r="BO7911" s="43"/>
    </row>
    <row r="7912" spans="65:67" ht="18.75" customHeight="1">
      <c r="BM7912" s="1025"/>
      <c r="BO7912" s="43"/>
    </row>
    <row r="7913" spans="65:67" ht="18.75" customHeight="1">
      <c r="BM7913" s="1025"/>
      <c r="BO7913" s="43"/>
    </row>
    <row r="7914" spans="65:67" ht="18.75" customHeight="1">
      <c r="BM7914" s="1025"/>
      <c r="BO7914" s="43"/>
    </row>
    <row r="7915" spans="65:67" ht="18.75" customHeight="1">
      <c r="BM7915" s="1025"/>
      <c r="BO7915" s="43"/>
    </row>
    <row r="7916" spans="65:67" ht="18.75" customHeight="1">
      <c r="BM7916" s="1025"/>
      <c r="BO7916" s="43"/>
    </row>
    <row r="7917" spans="65:67" ht="18.75" customHeight="1">
      <c r="BM7917" s="1025"/>
      <c r="BO7917" s="43"/>
    </row>
    <row r="7918" spans="65:67" ht="18.75" customHeight="1">
      <c r="BM7918" s="1025"/>
      <c r="BO7918" s="43"/>
    </row>
    <row r="7919" spans="65:67" ht="18.75" customHeight="1">
      <c r="BM7919" s="1025"/>
      <c r="BO7919" s="43"/>
    </row>
    <row r="7920" spans="65:67" ht="18.75" customHeight="1">
      <c r="BM7920" s="1025"/>
      <c r="BO7920" s="43"/>
    </row>
    <row r="7921" spans="65:67" ht="18.75" customHeight="1">
      <c r="BM7921" s="1025"/>
      <c r="BO7921" s="43"/>
    </row>
    <row r="7922" spans="65:67" ht="18.75" customHeight="1">
      <c r="BM7922" s="1025"/>
      <c r="BO7922" s="43"/>
    </row>
    <row r="7923" spans="65:67" ht="18.75" customHeight="1">
      <c r="BM7923" s="1025"/>
      <c r="BO7923" s="43"/>
    </row>
    <row r="7924" spans="65:67" ht="18.75" customHeight="1">
      <c r="BM7924" s="1025"/>
      <c r="BO7924" s="43"/>
    </row>
    <row r="7925" spans="65:67" ht="18.75" customHeight="1">
      <c r="BM7925" s="1025"/>
      <c r="BO7925" s="43"/>
    </row>
    <row r="7926" spans="65:67" ht="18.75" customHeight="1">
      <c r="BM7926" s="1025"/>
      <c r="BO7926" s="43"/>
    </row>
    <row r="7927" spans="65:67" ht="18.75" customHeight="1">
      <c r="BM7927" s="1025"/>
      <c r="BO7927" s="43"/>
    </row>
    <row r="7928" spans="65:67" ht="18.75" customHeight="1">
      <c r="BM7928" s="1025"/>
      <c r="BO7928" s="43"/>
    </row>
    <row r="7929" spans="65:67" ht="18.75" customHeight="1">
      <c r="BM7929" s="1025"/>
      <c r="BO7929" s="43"/>
    </row>
    <row r="7930" spans="65:67" ht="18.75" customHeight="1">
      <c r="BM7930" s="1025"/>
      <c r="BO7930" s="43"/>
    </row>
    <row r="7931" spans="65:67" ht="18.75" customHeight="1">
      <c r="BM7931" s="1025"/>
      <c r="BO7931" s="43"/>
    </row>
    <row r="7932" spans="65:67" ht="18.75" customHeight="1">
      <c r="BM7932" s="1025"/>
      <c r="BO7932" s="43"/>
    </row>
    <row r="7933" spans="65:67" ht="18.75" customHeight="1">
      <c r="BM7933" s="1025"/>
      <c r="BO7933" s="43"/>
    </row>
    <row r="7934" spans="65:67" ht="18.75" customHeight="1">
      <c r="BM7934" s="1025"/>
      <c r="BO7934" s="43"/>
    </row>
    <row r="7935" spans="65:67" ht="18.75" customHeight="1">
      <c r="BM7935" s="1025"/>
      <c r="BO7935" s="43"/>
    </row>
    <row r="7936" spans="65:67" ht="18.75" customHeight="1">
      <c r="BM7936" s="1025"/>
      <c r="BO7936" s="43"/>
    </row>
    <row r="7937" spans="65:67" ht="18.75" customHeight="1">
      <c r="BM7937" s="1025"/>
      <c r="BO7937" s="43"/>
    </row>
    <row r="7938" spans="65:67" ht="18.75" customHeight="1">
      <c r="BM7938" s="1025"/>
      <c r="BO7938" s="43"/>
    </row>
    <row r="7939" spans="65:67" ht="18.75" customHeight="1">
      <c r="BM7939" s="1025"/>
      <c r="BO7939" s="43"/>
    </row>
    <row r="7940" spans="65:67" ht="18.75" customHeight="1">
      <c r="BM7940" s="1025"/>
      <c r="BO7940" s="43"/>
    </row>
    <row r="7941" spans="65:67" ht="18.75" customHeight="1">
      <c r="BM7941" s="1025"/>
      <c r="BO7941" s="43"/>
    </row>
    <row r="7942" spans="65:67" ht="18.75" customHeight="1">
      <c r="BM7942" s="1025"/>
      <c r="BO7942" s="43"/>
    </row>
    <row r="7943" spans="65:67" ht="18.75" customHeight="1">
      <c r="BM7943" s="1025"/>
      <c r="BO7943" s="43"/>
    </row>
    <row r="7944" spans="65:67" ht="18.75" customHeight="1">
      <c r="BM7944" s="1025"/>
      <c r="BO7944" s="43"/>
    </row>
    <row r="7945" spans="65:67" ht="18.75" customHeight="1">
      <c r="BM7945" s="1025"/>
      <c r="BO7945" s="43"/>
    </row>
    <row r="7946" spans="65:67" ht="18.75" customHeight="1">
      <c r="BM7946" s="1025"/>
      <c r="BO7946" s="43"/>
    </row>
    <row r="7947" spans="65:67" ht="18.75" customHeight="1">
      <c r="BM7947" s="1025"/>
      <c r="BO7947" s="43"/>
    </row>
    <row r="7948" spans="65:67" ht="18.75" customHeight="1">
      <c r="BM7948" s="1025"/>
      <c r="BO7948" s="43"/>
    </row>
    <row r="7949" spans="65:67" ht="18.75" customHeight="1">
      <c r="BM7949" s="1025"/>
      <c r="BO7949" s="43"/>
    </row>
    <row r="7950" spans="65:67" ht="18.75" customHeight="1">
      <c r="BM7950" s="1025"/>
      <c r="BO7950" s="43"/>
    </row>
    <row r="7951" spans="65:67" ht="18.75" customHeight="1">
      <c r="BM7951" s="1025"/>
      <c r="BO7951" s="43"/>
    </row>
    <row r="7952" spans="65:67" ht="18.75" customHeight="1">
      <c r="BM7952" s="1025"/>
      <c r="BO7952" s="43"/>
    </row>
    <row r="7953" spans="65:67" ht="18.75" customHeight="1">
      <c r="BM7953" s="1025"/>
      <c r="BO7953" s="43"/>
    </row>
    <row r="7954" spans="65:67" ht="18.75" customHeight="1">
      <c r="BM7954" s="1025"/>
      <c r="BO7954" s="43"/>
    </row>
    <row r="7955" spans="65:67" ht="18.75" customHeight="1">
      <c r="BM7955" s="1025"/>
      <c r="BO7955" s="43"/>
    </row>
    <row r="7956" spans="65:67" ht="18.75" customHeight="1">
      <c r="BM7956" s="1025"/>
      <c r="BO7956" s="43"/>
    </row>
    <row r="7957" spans="65:67" ht="18.75" customHeight="1">
      <c r="BM7957" s="1025"/>
      <c r="BO7957" s="43"/>
    </row>
    <row r="7958" spans="65:67" ht="18.75" customHeight="1">
      <c r="BM7958" s="1025"/>
      <c r="BO7958" s="43"/>
    </row>
    <row r="7959" spans="65:67" ht="18.75" customHeight="1">
      <c r="BM7959" s="1025"/>
      <c r="BO7959" s="43"/>
    </row>
    <row r="7960" spans="65:67" ht="18.75" customHeight="1">
      <c r="BM7960" s="1025"/>
      <c r="BO7960" s="43"/>
    </row>
    <row r="7961" spans="65:67" ht="18.75" customHeight="1">
      <c r="BM7961" s="1025"/>
      <c r="BO7961" s="43"/>
    </row>
    <row r="7962" spans="65:67" ht="18.75" customHeight="1">
      <c r="BM7962" s="1025"/>
      <c r="BO7962" s="43"/>
    </row>
    <row r="7963" spans="65:67" ht="18.75" customHeight="1">
      <c r="BM7963" s="1025"/>
      <c r="BO7963" s="43"/>
    </row>
    <row r="7964" spans="65:67" ht="18.75" customHeight="1">
      <c r="BM7964" s="1025"/>
      <c r="BO7964" s="43"/>
    </row>
    <row r="7965" spans="65:67" ht="18.75" customHeight="1">
      <c r="BM7965" s="1025"/>
      <c r="BO7965" s="43"/>
    </row>
    <row r="7966" spans="65:67" ht="18.75" customHeight="1">
      <c r="BM7966" s="1025"/>
      <c r="BO7966" s="43"/>
    </row>
    <row r="7967" spans="65:67" ht="18.75" customHeight="1">
      <c r="BM7967" s="1025"/>
      <c r="BO7967" s="43"/>
    </row>
    <row r="7968" spans="65:67" ht="18.75" customHeight="1">
      <c r="BM7968" s="1025"/>
      <c r="BO7968" s="43"/>
    </row>
    <row r="7969" spans="65:67" ht="18.75" customHeight="1">
      <c r="BM7969" s="1025"/>
      <c r="BO7969" s="43"/>
    </row>
    <row r="7970" spans="65:67" ht="18.75" customHeight="1">
      <c r="BM7970" s="1025"/>
      <c r="BO7970" s="43"/>
    </row>
    <row r="7971" spans="65:67" ht="18.75" customHeight="1">
      <c r="BM7971" s="1025"/>
      <c r="BO7971" s="43"/>
    </row>
    <row r="7972" spans="65:67" ht="18.75" customHeight="1">
      <c r="BM7972" s="1025"/>
      <c r="BO7972" s="43"/>
    </row>
    <row r="7973" spans="65:67" ht="18.75" customHeight="1">
      <c r="BM7973" s="1025"/>
      <c r="BO7973" s="43"/>
    </row>
    <row r="7974" spans="65:67" ht="18.75" customHeight="1">
      <c r="BM7974" s="1025"/>
      <c r="BO7974" s="43"/>
    </row>
    <row r="7975" spans="65:67" ht="18.75" customHeight="1">
      <c r="BM7975" s="1025"/>
      <c r="BO7975" s="43"/>
    </row>
    <row r="7976" spans="65:67" ht="18.75" customHeight="1">
      <c r="BM7976" s="1025"/>
      <c r="BO7976" s="43"/>
    </row>
    <row r="7977" spans="65:67" ht="18.75" customHeight="1">
      <c r="BM7977" s="1025"/>
      <c r="BO7977" s="43"/>
    </row>
    <row r="7978" spans="65:67" ht="18.75" customHeight="1">
      <c r="BM7978" s="1025"/>
      <c r="BO7978" s="43"/>
    </row>
    <row r="7979" spans="65:67" ht="18.75" customHeight="1">
      <c r="BM7979" s="1025"/>
      <c r="BO7979" s="43"/>
    </row>
    <row r="7980" spans="65:67" ht="18.75" customHeight="1">
      <c r="BM7980" s="1025"/>
      <c r="BO7980" s="43"/>
    </row>
    <row r="7981" spans="65:67" ht="18.75" customHeight="1">
      <c r="BM7981" s="1025"/>
      <c r="BO7981" s="43"/>
    </row>
    <row r="7982" spans="65:67" ht="18.75" customHeight="1">
      <c r="BM7982" s="1025"/>
      <c r="BO7982" s="43"/>
    </row>
    <row r="7983" spans="65:67" ht="18.75" customHeight="1">
      <c r="BM7983" s="1025"/>
      <c r="BO7983" s="43"/>
    </row>
    <row r="7984" spans="65:67" ht="18.75" customHeight="1">
      <c r="BM7984" s="1025"/>
      <c r="BO7984" s="43"/>
    </row>
    <row r="7985" spans="65:67" ht="18.75" customHeight="1">
      <c r="BM7985" s="1025"/>
      <c r="BO7985" s="43"/>
    </row>
    <row r="7986" spans="65:67" ht="18.75" customHeight="1">
      <c r="BM7986" s="1025"/>
      <c r="BO7986" s="43"/>
    </row>
    <row r="7987" spans="65:67" ht="18.75" customHeight="1">
      <c r="BM7987" s="1025"/>
      <c r="BO7987" s="43"/>
    </row>
    <row r="7988" spans="65:67" ht="18.75" customHeight="1">
      <c r="BM7988" s="1025"/>
      <c r="BO7988" s="43"/>
    </row>
    <row r="7989" spans="65:67" ht="18.75" customHeight="1">
      <c r="BM7989" s="1025"/>
      <c r="BO7989" s="43"/>
    </row>
    <row r="7990" spans="65:67" ht="18.75" customHeight="1">
      <c r="BM7990" s="1025"/>
      <c r="BO7990" s="43"/>
    </row>
    <row r="7991" spans="65:67" ht="18.75" customHeight="1">
      <c r="BM7991" s="1025"/>
      <c r="BO7991" s="43"/>
    </row>
    <row r="7992" spans="65:67" ht="18.75" customHeight="1">
      <c r="BM7992" s="1025"/>
      <c r="BO7992" s="43"/>
    </row>
    <row r="7993" spans="65:67" ht="18.75" customHeight="1">
      <c r="BM7993" s="1025"/>
      <c r="BO7993" s="43"/>
    </row>
    <row r="7994" spans="65:67" ht="18.75" customHeight="1">
      <c r="BM7994" s="1025"/>
      <c r="BO7994" s="43"/>
    </row>
    <row r="7995" spans="65:67" ht="18.75" customHeight="1">
      <c r="BM7995" s="1025"/>
      <c r="BO7995" s="43"/>
    </row>
    <row r="7996" spans="65:67" ht="18.75" customHeight="1">
      <c r="BM7996" s="1025"/>
      <c r="BO7996" s="43"/>
    </row>
    <row r="7997" spans="65:67" ht="18.75" customHeight="1">
      <c r="BM7997" s="1025"/>
      <c r="BO7997" s="43"/>
    </row>
    <row r="7998" spans="65:67" ht="18.75" customHeight="1">
      <c r="BM7998" s="1025"/>
      <c r="BO7998" s="43"/>
    </row>
    <row r="7999" spans="65:67" ht="18.75" customHeight="1">
      <c r="BM7999" s="1025"/>
      <c r="BO7999" s="43"/>
    </row>
    <row r="8000" spans="65:67" ht="18.75" customHeight="1">
      <c r="BM8000" s="1025"/>
      <c r="BO8000" s="43"/>
    </row>
    <row r="8001" spans="65:67" ht="18.75" customHeight="1">
      <c r="BM8001" s="1025"/>
      <c r="BO8001" s="43"/>
    </row>
    <row r="8002" spans="65:67" ht="18.75" customHeight="1">
      <c r="BM8002" s="1025"/>
      <c r="BO8002" s="43"/>
    </row>
    <row r="8003" spans="65:67" ht="18.75" customHeight="1">
      <c r="BM8003" s="1025"/>
      <c r="BO8003" s="43"/>
    </row>
    <row r="8004" spans="65:67" ht="18.75" customHeight="1">
      <c r="BM8004" s="1025"/>
      <c r="BO8004" s="43"/>
    </row>
    <row r="8005" spans="65:67" ht="18.75" customHeight="1">
      <c r="BM8005" s="1025"/>
      <c r="BO8005" s="43"/>
    </row>
    <row r="8006" spans="65:67" ht="18.75" customHeight="1">
      <c r="BM8006" s="1025"/>
      <c r="BO8006" s="43"/>
    </row>
    <row r="8007" spans="65:67" ht="18.75" customHeight="1">
      <c r="BM8007" s="1025"/>
      <c r="BO8007" s="43"/>
    </row>
    <row r="8008" spans="65:67" ht="18.75" customHeight="1">
      <c r="BM8008" s="1025"/>
      <c r="BO8008" s="43"/>
    </row>
    <row r="8009" spans="65:67" ht="18.75" customHeight="1">
      <c r="BM8009" s="1025"/>
      <c r="BO8009" s="43"/>
    </row>
    <row r="8010" spans="65:67" ht="18.75" customHeight="1">
      <c r="BM8010" s="1025"/>
      <c r="BO8010" s="43"/>
    </row>
    <row r="8011" spans="65:67" ht="18.75" customHeight="1">
      <c r="BM8011" s="1025"/>
      <c r="BO8011" s="43"/>
    </row>
    <row r="8012" spans="65:67" ht="18.75" customHeight="1">
      <c r="BM8012" s="1025"/>
      <c r="BO8012" s="43"/>
    </row>
    <row r="8013" spans="65:67" ht="18.75" customHeight="1">
      <c r="BM8013" s="1025"/>
      <c r="BO8013" s="43"/>
    </row>
    <row r="8014" spans="65:67" ht="18.75" customHeight="1">
      <c r="BM8014" s="1025"/>
      <c r="BO8014" s="43"/>
    </row>
    <row r="8015" spans="65:67" ht="18.75" customHeight="1">
      <c r="BM8015" s="1025"/>
      <c r="BO8015" s="43"/>
    </row>
    <row r="8016" spans="65:67" ht="18.75" customHeight="1">
      <c r="BM8016" s="1025"/>
      <c r="BO8016" s="43"/>
    </row>
    <row r="8017" spans="65:67" ht="18.75" customHeight="1">
      <c r="BM8017" s="1025"/>
      <c r="BO8017" s="43"/>
    </row>
    <row r="8018" spans="65:67" ht="18.75" customHeight="1">
      <c r="BM8018" s="1025"/>
      <c r="BO8018" s="43"/>
    </row>
    <row r="8019" spans="65:67" ht="18.75" customHeight="1">
      <c r="BM8019" s="1025"/>
      <c r="BO8019" s="43"/>
    </row>
    <row r="8020" spans="65:67" ht="18.75" customHeight="1">
      <c r="BM8020" s="1025"/>
      <c r="BO8020" s="43"/>
    </row>
    <row r="8021" spans="65:67" ht="18.75" customHeight="1">
      <c r="BM8021" s="1025"/>
      <c r="BO8021" s="43"/>
    </row>
    <row r="8022" spans="65:67" ht="18.75" customHeight="1">
      <c r="BM8022" s="1025"/>
      <c r="BO8022" s="43"/>
    </row>
    <row r="8023" spans="65:67" ht="18.75" customHeight="1">
      <c r="BM8023" s="1025"/>
      <c r="BO8023" s="43"/>
    </row>
    <row r="8024" spans="65:67" ht="18.75" customHeight="1">
      <c r="BM8024" s="1025"/>
      <c r="BO8024" s="43"/>
    </row>
    <row r="8025" spans="65:67" ht="18.75" customHeight="1">
      <c r="BM8025" s="1025"/>
      <c r="BO8025" s="43"/>
    </row>
    <row r="8026" spans="65:67" ht="18.75" customHeight="1">
      <c r="BM8026" s="1025"/>
      <c r="BO8026" s="43"/>
    </row>
    <row r="8027" spans="65:67" ht="18.75" customHeight="1">
      <c r="BM8027" s="1025"/>
      <c r="BO8027" s="43"/>
    </row>
    <row r="8028" spans="65:67" ht="18.75" customHeight="1">
      <c r="BM8028" s="1025"/>
      <c r="BO8028" s="43"/>
    </row>
    <row r="8029" spans="65:67" ht="18.75" customHeight="1">
      <c r="BM8029" s="1025"/>
      <c r="BO8029" s="43"/>
    </row>
    <row r="8030" spans="65:67" ht="18.75" customHeight="1">
      <c r="BM8030" s="1025"/>
      <c r="BO8030" s="43"/>
    </row>
    <row r="8031" spans="65:67" ht="18.75" customHeight="1">
      <c r="BM8031" s="1025"/>
      <c r="BO8031" s="43"/>
    </row>
    <row r="8032" spans="65:67" ht="18.75" customHeight="1">
      <c r="BM8032" s="1025"/>
      <c r="BO8032" s="43"/>
    </row>
    <row r="8033" spans="65:67" ht="18.75" customHeight="1">
      <c r="BM8033" s="1025"/>
      <c r="BO8033" s="43"/>
    </row>
    <row r="8034" spans="65:67" ht="18.75" customHeight="1">
      <c r="BM8034" s="1025"/>
      <c r="BO8034" s="43"/>
    </row>
    <row r="8035" spans="65:67" ht="18.75" customHeight="1">
      <c r="BM8035" s="1025"/>
      <c r="BO8035" s="43"/>
    </row>
    <row r="8036" spans="65:67" ht="18.75" customHeight="1">
      <c r="BM8036" s="1025"/>
      <c r="BO8036" s="43"/>
    </row>
    <row r="8037" spans="65:67" ht="18.75" customHeight="1">
      <c r="BM8037" s="1025"/>
      <c r="BO8037" s="43"/>
    </row>
    <row r="8038" spans="65:67" ht="18.75" customHeight="1">
      <c r="BM8038" s="1025"/>
      <c r="BO8038" s="43"/>
    </row>
    <row r="8039" spans="65:67" ht="18.75" customHeight="1">
      <c r="BM8039" s="1025"/>
      <c r="BO8039" s="43"/>
    </row>
    <row r="8040" spans="65:67" ht="18.75" customHeight="1">
      <c r="BM8040" s="1025"/>
      <c r="BO8040" s="43"/>
    </row>
    <row r="8041" spans="65:67" ht="18.75" customHeight="1">
      <c r="BM8041" s="1025"/>
      <c r="BO8041" s="43"/>
    </row>
    <row r="8042" spans="65:67" ht="18.75" customHeight="1">
      <c r="BM8042" s="1025"/>
      <c r="BO8042" s="43"/>
    </row>
    <row r="8043" spans="65:67" ht="18.75" customHeight="1">
      <c r="BM8043" s="1025"/>
      <c r="BO8043" s="43"/>
    </row>
    <row r="8044" spans="65:67" ht="18.75" customHeight="1">
      <c r="BM8044" s="1025"/>
      <c r="BO8044" s="43"/>
    </row>
    <row r="8045" spans="65:67" ht="18.75" customHeight="1">
      <c r="BM8045" s="1025"/>
      <c r="BO8045" s="43"/>
    </row>
    <row r="8046" spans="65:67" ht="18.75" customHeight="1">
      <c r="BM8046" s="1025"/>
      <c r="BO8046" s="43"/>
    </row>
    <row r="8047" spans="65:67" ht="18.75" customHeight="1">
      <c r="BM8047" s="1025"/>
      <c r="BO8047" s="43"/>
    </row>
    <row r="8048" spans="65:67" ht="18.75" customHeight="1">
      <c r="BM8048" s="1025"/>
      <c r="BO8048" s="43"/>
    </row>
    <row r="8049" spans="65:67" ht="18.75" customHeight="1">
      <c r="BM8049" s="1025"/>
      <c r="BO8049" s="43"/>
    </row>
    <row r="8050" spans="65:67" ht="18.75" customHeight="1">
      <c r="BM8050" s="1025"/>
      <c r="BO8050" s="43"/>
    </row>
    <row r="8051" spans="65:67" ht="18.75" customHeight="1">
      <c r="BM8051" s="1025"/>
      <c r="BO8051" s="43"/>
    </row>
    <row r="8052" spans="65:67" ht="18.75" customHeight="1">
      <c r="BM8052" s="1025"/>
      <c r="BO8052" s="43"/>
    </row>
    <row r="8053" spans="65:67" ht="18.75" customHeight="1">
      <c r="BM8053" s="1025"/>
      <c r="BO8053" s="43"/>
    </row>
    <row r="8054" spans="65:67" ht="18.75" customHeight="1">
      <c r="BM8054" s="1025"/>
      <c r="BO8054" s="43"/>
    </row>
    <row r="8055" spans="65:67" ht="18.75" customHeight="1">
      <c r="BM8055" s="1025"/>
      <c r="BO8055" s="43"/>
    </row>
    <row r="8056" spans="65:67" ht="18.75" customHeight="1">
      <c r="BM8056" s="1025"/>
      <c r="BO8056" s="43"/>
    </row>
    <row r="8057" spans="65:67" ht="18.75" customHeight="1">
      <c r="BM8057" s="1025"/>
      <c r="BO8057" s="43"/>
    </row>
    <row r="8058" spans="65:67" ht="18.75" customHeight="1">
      <c r="BM8058" s="1025"/>
      <c r="BO8058" s="43"/>
    </row>
    <row r="8059" spans="65:67" ht="18.75" customHeight="1">
      <c r="BM8059" s="1025"/>
      <c r="BO8059" s="43"/>
    </row>
    <row r="8060" spans="65:67" ht="18.75" customHeight="1">
      <c r="BM8060" s="1025"/>
      <c r="BO8060" s="43"/>
    </row>
    <row r="8061" spans="65:67" ht="18.75" customHeight="1">
      <c r="BM8061" s="1025"/>
      <c r="BO8061" s="43"/>
    </row>
    <row r="8062" spans="65:67" ht="18.75" customHeight="1">
      <c r="BM8062" s="1025"/>
      <c r="BO8062" s="43"/>
    </row>
    <row r="8063" spans="65:67" ht="18.75" customHeight="1">
      <c r="BM8063" s="1025"/>
      <c r="BO8063" s="43"/>
    </row>
    <row r="8064" spans="65:67" ht="18.75" customHeight="1">
      <c r="BM8064" s="1025"/>
      <c r="BO8064" s="43"/>
    </row>
    <row r="8065" spans="65:67" ht="18.75" customHeight="1">
      <c r="BM8065" s="1025"/>
      <c r="BO8065" s="43"/>
    </row>
    <row r="8066" spans="65:67" ht="18.75" customHeight="1">
      <c r="BM8066" s="1025"/>
      <c r="BO8066" s="43"/>
    </row>
    <row r="8067" spans="65:67" ht="18.75" customHeight="1">
      <c r="BM8067" s="1025"/>
      <c r="BO8067" s="43"/>
    </row>
    <row r="8068" spans="65:67" ht="18.75" customHeight="1">
      <c r="BM8068" s="1025"/>
      <c r="BO8068" s="43"/>
    </row>
    <row r="8069" spans="65:67" ht="18.75" customHeight="1">
      <c r="BM8069" s="1025"/>
      <c r="BO8069" s="43"/>
    </row>
    <row r="8070" spans="65:67" ht="18.75" customHeight="1">
      <c r="BM8070" s="1025"/>
      <c r="BO8070" s="43"/>
    </row>
    <row r="8071" spans="65:67" ht="18.75" customHeight="1">
      <c r="BM8071" s="1025"/>
      <c r="BO8071" s="43"/>
    </row>
    <row r="8072" spans="65:67" ht="18.75" customHeight="1">
      <c r="BM8072" s="1025"/>
      <c r="BO8072" s="43"/>
    </row>
    <row r="8073" spans="65:67" ht="18.75" customHeight="1">
      <c r="BM8073" s="1025"/>
      <c r="BO8073" s="43"/>
    </row>
    <row r="8074" spans="65:67" ht="18.75" customHeight="1">
      <c r="BM8074" s="1025"/>
      <c r="BO8074" s="43"/>
    </row>
    <row r="8075" spans="65:67" ht="18.75" customHeight="1">
      <c r="BM8075" s="1025"/>
      <c r="BO8075" s="43"/>
    </row>
    <row r="8076" spans="65:67" ht="18.75" customHeight="1">
      <c r="BM8076" s="1025"/>
      <c r="BO8076" s="43"/>
    </row>
    <row r="8077" spans="65:67" ht="18.75" customHeight="1">
      <c r="BM8077" s="1025"/>
      <c r="BO8077" s="43"/>
    </row>
    <row r="8078" spans="65:67" ht="18.75" customHeight="1">
      <c r="BM8078" s="1025"/>
      <c r="BO8078" s="43"/>
    </row>
    <row r="8079" spans="65:67" ht="18.75" customHeight="1">
      <c r="BM8079" s="1025"/>
      <c r="BO8079" s="43"/>
    </row>
    <row r="8080" spans="65:67" ht="18.75" customHeight="1">
      <c r="BM8080" s="1025"/>
      <c r="BO8080" s="43"/>
    </row>
    <row r="8081" spans="65:67" ht="18.75" customHeight="1">
      <c r="BM8081" s="1025"/>
      <c r="BO8081" s="43"/>
    </row>
    <row r="8082" spans="65:67" ht="18.75" customHeight="1">
      <c r="BM8082" s="1025"/>
      <c r="BO8082" s="43"/>
    </row>
    <row r="8083" spans="65:67" ht="18.75" customHeight="1">
      <c r="BM8083" s="1025"/>
      <c r="BO8083" s="43"/>
    </row>
    <row r="8084" spans="65:67" ht="18.75" customHeight="1">
      <c r="BM8084" s="1025"/>
      <c r="BO8084" s="43"/>
    </row>
    <row r="8085" spans="65:67" ht="18.75" customHeight="1">
      <c r="BM8085" s="1025"/>
      <c r="BO8085" s="43"/>
    </row>
    <row r="8086" spans="65:67" ht="18.75" customHeight="1">
      <c r="BM8086" s="1025"/>
      <c r="BO8086" s="43"/>
    </row>
    <row r="8087" spans="65:67" ht="18.75" customHeight="1">
      <c r="BM8087" s="1025"/>
      <c r="BO8087" s="43"/>
    </row>
    <row r="8088" spans="65:67" ht="18.75" customHeight="1">
      <c r="BM8088" s="1025"/>
      <c r="BO8088" s="43"/>
    </row>
    <row r="8089" spans="65:67" ht="18.75" customHeight="1">
      <c r="BM8089" s="1025"/>
      <c r="BO8089" s="43"/>
    </row>
    <row r="8090" spans="65:67" ht="18.75" customHeight="1">
      <c r="BM8090" s="1025"/>
      <c r="BO8090" s="43"/>
    </row>
    <row r="8091" spans="65:67" ht="18.75" customHeight="1">
      <c r="BM8091" s="1025"/>
      <c r="BO8091" s="43"/>
    </row>
    <row r="8092" spans="65:67" ht="18.75" customHeight="1">
      <c r="BM8092" s="1025"/>
      <c r="BO8092" s="43"/>
    </row>
    <row r="8093" spans="65:67" ht="18.75" customHeight="1">
      <c r="BM8093" s="1025"/>
      <c r="BO8093" s="43"/>
    </row>
    <row r="8094" spans="65:67" ht="18.75" customHeight="1">
      <c r="BM8094" s="1025"/>
      <c r="BO8094" s="43"/>
    </row>
    <row r="8095" spans="65:67" ht="18.75" customHeight="1">
      <c r="BM8095" s="1025"/>
      <c r="BO8095" s="43"/>
    </row>
    <row r="8096" spans="65:67" ht="18.75" customHeight="1">
      <c r="BM8096" s="1025"/>
      <c r="BO8096" s="43"/>
    </row>
    <row r="8097" spans="65:67" ht="18.75" customHeight="1">
      <c r="BM8097" s="1025"/>
      <c r="BO8097" s="43"/>
    </row>
    <row r="8098" spans="65:67" ht="18.75" customHeight="1">
      <c r="BM8098" s="1025"/>
      <c r="BO8098" s="43"/>
    </row>
    <row r="8099" spans="65:67" ht="18.75" customHeight="1">
      <c r="BM8099" s="1025"/>
      <c r="BO8099" s="43"/>
    </row>
    <row r="8100" spans="65:67" ht="18.75" customHeight="1">
      <c r="BM8100" s="1025"/>
      <c r="BO8100" s="43"/>
    </row>
    <row r="8101" spans="65:67" ht="18.75" customHeight="1">
      <c r="BM8101" s="1025"/>
      <c r="BO8101" s="43"/>
    </row>
    <row r="8102" spans="65:67" ht="18.75" customHeight="1">
      <c r="BM8102" s="1025"/>
      <c r="BO8102" s="43"/>
    </row>
    <row r="8103" spans="65:67" ht="18.75" customHeight="1">
      <c r="BM8103" s="1025"/>
      <c r="BO8103" s="43"/>
    </row>
    <row r="8104" spans="65:67" ht="18.75" customHeight="1">
      <c r="BM8104" s="1025"/>
      <c r="BO8104" s="43"/>
    </row>
    <row r="8105" spans="65:67" ht="18.75" customHeight="1">
      <c r="BM8105" s="1025"/>
      <c r="BO8105" s="43"/>
    </row>
    <row r="8106" spans="65:67" ht="18.75" customHeight="1">
      <c r="BM8106" s="1025"/>
      <c r="BO8106" s="43"/>
    </row>
    <row r="8107" spans="65:67" ht="18.75" customHeight="1">
      <c r="BM8107" s="1025"/>
      <c r="BO8107" s="43"/>
    </row>
    <row r="8108" spans="65:67" ht="18.75" customHeight="1">
      <c r="BM8108" s="1025"/>
      <c r="BO8108" s="43"/>
    </row>
    <row r="8109" spans="65:67" ht="18.75" customHeight="1">
      <c r="BM8109" s="1025"/>
      <c r="BO8109" s="43"/>
    </row>
    <row r="8110" spans="65:67" ht="18.75" customHeight="1">
      <c r="BM8110" s="1025"/>
      <c r="BO8110" s="43"/>
    </row>
    <row r="8111" spans="65:67" ht="18.75" customHeight="1">
      <c r="BM8111" s="1025"/>
      <c r="BO8111" s="43"/>
    </row>
    <row r="8112" spans="65:67" ht="18.75" customHeight="1">
      <c r="BM8112" s="1025"/>
      <c r="BO8112" s="43"/>
    </row>
    <row r="8113" spans="65:67" ht="18.75" customHeight="1">
      <c r="BM8113" s="1025"/>
      <c r="BO8113" s="43"/>
    </row>
    <row r="8114" spans="65:67" ht="18.75" customHeight="1">
      <c r="BM8114" s="1025"/>
      <c r="BO8114" s="43"/>
    </row>
    <row r="8115" spans="65:67" ht="18.75" customHeight="1">
      <c r="BM8115" s="1025"/>
      <c r="BO8115" s="43"/>
    </row>
    <row r="8116" spans="65:67" ht="18.75" customHeight="1">
      <c r="BM8116" s="1025"/>
      <c r="BO8116" s="43"/>
    </row>
    <row r="8117" spans="65:67" ht="18.75" customHeight="1">
      <c r="BM8117" s="1025"/>
      <c r="BO8117" s="43"/>
    </row>
    <row r="8118" spans="65:67" ht="18.75" customHeight="1">
      <c r="BM8118" s="1025"/>
      <c r="BO8118" s="43"/>
    </row>
    <row r="8119" spans="65:67" ht="18.75" customHeight="1">
      <c r="BM8119" s="1025"/>
      <c r="BO8119" s="43"/>
    </row>
    <row r="8120" spans="65:67" ht="18.75" customHeight="1">
      <c r="BM8120" s="1025"/>
      <c r="BO8120" s="43"/>
    </row>
    <row r="8121" spans="65:67" ht="18.75" customHeight="1">
      <c r="BM8121" s="1025"/>
      <c r="BO8121" s="43"/>
    </row>
    <row r="8122" spans="65:67" ht="18.75" customHeight="1">
      <c r="BM8122" s="1025"/>
      <c r="BO8122" s="43"/>
    </row>
    <row r="8123" spans="65:67" ht="18.75" customHeight="1">
      <c r="BM8123" s="1025"/>
      <c r="BO8123" s="43"/>
    </row>
    <row r="8124" spans="65:67" ht="18.75" customHeight="1">
      <c r="BM8124" s="1025"/>
      <c r="BO8124" s="43"/>
    </row>
    <row r="8125" spans="65:67" ht="18.75" customHeight="1">
      <c r="BM8125" s="1025"/>
      <c r="BO8125" s="43"/>
    </row>
    <row r="8126" spans="65:67" ht="18.75" customHeight="1">
      <c r="BM8126" s="1025"/>
      <c r="BO8126" s="43"/>
    </row>
    <row r="8127" spans="65:67" ht="18.75" customHeight="1">
      <c r="BM8127" s="1025"/>
      <c r="BO8127" s="43"/>
    </row>
    <row r="8128" spans="65:67" ht="18.75" customHeight="1">
      <c r="BM8128" s="1025"/>
      <c r="BO8128" s="43"/>
    </row>
    <row r="8129" spans="65:67" ht="18.75" customHeight="1">
      <c r="BM8129" s="1025"/>
      <c r="BO8129" s="43"/>
    </row>
    <row r="8130" spans="65:67" ht="18.75" customHeight="1">
      <c r="BM8130" s="1025"/>
      <c r="BO8130" s="43"/>
    </row>
    <row r="8131" spans="65:67" ht="18.75" customHeight="1">
      <c r="BM8131" s="1025"/>
      <c r="BO8131" s="43"/>
    </row>
    <row r="8132" spans="65:67" ht="18.75" customHeight="1">
      <c r="BM8132" s="1025"/>
      <c r="BO8132" s="43"/>
    </row>
    <row r="8133" spans="65:67" ht="18.75" customHeight="1">
      <c r="BM8133" s="1025"/>
      <c r="BO8133" s="43"/>
    </row>
    <row r="8134" spans="65:67" ht="18.75" customHeight="1">
      <c r="BM8134" s="1025"/>
      <c r="BO8134" s="43"/>
    </row>
    <row r="8135" spans="65:67" ht="18.75" customHeight="1">
      <c r="BM8135" s="1025"/>
      <c r="BO8135" s="43"/>
    </row>
    <row r="8136" spans="65:67" ht="18.75" customHeight="1">
      <c r="BM8136" s="1025"/>
      <c r="BO8136" s="43"/>
    </row>
    <row r="8137" spans="65:67" ht="18.75" customHeight="1">
      <c r="BM8137" s="1025"/>
      <c r="BO8137" s="43"/>
    </row>
    <row r="8138" spans="65:67" ht="18.75" customHeight="1">
      <c r="BM8138" s="1025"/>
      <c r="BO8138" s="43"/>
    </row>
    <row r="8139" spans="65:67" ht="18.75" customHeight="1">
      <c r="BM8139" s="1025"/>
      <c r="BO8139" s="43"/>
    </row>
    <row r="8140" spans="65:67" ht="18.75" customHeight="1">
      <c r="BM8140" s="1025"/>
      <c r="BO8140" s="43"/>
    </row>
    <row r="8141" spans="65:67" ht="18.75" customHeight="1">
      <c r="BM8141" s="1025"/>
      <c r="BO8141" s="43"/>
    </row>
    <row r="8142" spans="65:67" ht="18.75" customHeight="1">
      <c r="BM8142" s="1025"/>
      <c r="BO8142" s="43"/>
    </row>
    <row r="8143" spans="65:67" ht="18.75" customHeight="1">
      <c r="BM8143" s="1025"/>
      <c r="BO8143" s="43"/>
    </row>
    <row r="8144" spans="65:67" ht="18.75" customHeight="1">
      <c r="BM8144" s="1025"/>
      <c r="BO8144" s="43"/>
    </row>
    <row r="8145" spans="65:67" ht="18.75" customHeight="1">
      <c r="BM8145" s="1025"/>
      <c r="BO8145" s="43"/>
    </row>
    <row r="8146" spans="65:67" ht="18.75" customHeight="1">
      <c r="BM8146" s="1025"/>
      <c r="BO8146" s="43"/>
    </row>
    <row r="8147" spans="65:67" ht="18.75" customHeight="1">
      <c r="BM8147" s="1025"/>
      <c r="BO8147" s="43"/>
    </row>
    <row r="8148" spans="65:67" ht="18.75" customHeight="1">
      <c r="BM8148" s="1025"/>
      <c r="BO8148" s="43"/>
    </row>
    <row r="8149" spans="65:67" ht="18.75" customHeight="1">
      <c r="BM8149" s="1025"/>
      <c r="BO8149" s="43"/>
    </row>
    <row r="8150" spans="65:67" ht="18.75" customHeight="1">
      <c r="BM8150" s="1025"/>
      <c r="BO8150" s="43"/>
    </row>
    <row r="8151" spans="65:67" ht="18.75" customHeight="1">
      <c r="BM8151" s="1025"/>
      <c r="BO8151" s="43"/>
    </row>
    <row r="8152" spans="65:67" ht="18.75" customHeight="1">
      <c r="BM8152" s="1025"/>
      <c r="BO8152" s="43"/>
    </row>
    <row r="8153" spans="65:67" ht="18.75" customHeight="1">
      <c r="BM8153" s="1025"/>
      <c r="BO8153" s="43"/>
    </row>
    <row r="8154" spans="65:67" ht="18.75" customHeight="1">
      <c r="BM8154" s="1025"/>
      <c r="BO8154" s="43"/>
    </row>
    <row r="8155" spans="65:67" ht="18.75" customHeight="1">
      <c r="BM8155" s="1025"/>
      <c r="BO8155" s="43"/>
    </row>
    <row r="8156" spans="65:67" ht="18.75" customHeight="1">
      <c r="BM8156" s="1025"/>
      <c r="BO8156" s="43"/>
    </row>
    <row r="8157" spans="65:67" ht="18.75" customHeight="1">
      <c r="BM8157" s="1025"/>
      <c r="BO8157" s="43"/>
    </row>
    <row r="8158" spans="65:67" ht="18.75" customHeight="1">
      <c r="BM8158" s="1025"/>
      <c r="BO8158" s="43"/>
    </row>
    <row r="8159" spans="65:67" ht="18.75" customHeight="1">
      <c r="BM8159" s="1025"/>
      <c r="BO8159" s="43"/>
    </row>
    <row r="8160" spans="65:67" ht="18.75" customHeight="1">
      <c r="BM8160" s="1025"/>
      <c r="BO8160" s="43"/>
    </row>
    <row r="8161" spans="65:67" ht="18.75" customHeight="1">
      <c r="BM8161" s="1025"/>
      <c r="BO8161" s="43"/>
    </row>
    <row r="8162" spans="65:67" ht="18.75" customHeight="1">
      <c r="BM8162" s="1025"/>
      <c r="BO8162" s="43"/>
    </row>
    <row r="8163" spans="65:67" ht="18.75" customHeight="1">
      <c r="BM8163" s="1025"/>
      <c r="BO8163" s="43"/>
    </row>
    <row r="8164" spans="65:67" ht="18.75" customHeight="1">
      <c r="BM8164" s="1025"/>
      <c r="BO8164" s="43"/>
    </row>
    <row r="8165" spans="65:67" ht="18.75" customHeight="1">
      <c r="BM8165" s="1025"/>
      <c r="BO8165" s="43"/>
    </row>
    <row r="8166" spans="65:67" ht="18.75" customHeight="1">
      <c r="BM8166" s="1025"/>
      <c r="BO8166" s="43"/>
    </row>
    <row r="8167" spans="65:67" ht="18.75" customHeight="1">
      <c r="BM8167" s="1025"/>
      <c r="BO8167" s="43"/>
    </row>
    <row r="8168" spans="65:67" ht="18.75" customHeight="1">
      <c r="BM8168" s="1025"/>
      <c r="BO8168" s="43"/>
    </row>
    <row r="8169" spans="65:67" ht="18.75" customHeight="1">
      <c r="BM8169" s="1025"/>
      <c r="BO8169" s="43"/>
    </row>
    <row r="8170" spans="65:67" ht="18.75" customHeight="1">
      <c r="BM8170" s="1025"/>
      <c r="BO8170" s="43"/>
    </row>
    <row r="8171" spans="65:67" ht="18.75" customHeight="1">
      <c r="BM8171" s="1025"/>
      <c r="BO8171" s="43"/>
    </row>
    <row r="8172" spans="65:67" ht="18.75" customHeight="1">
      <c r="BM8172" s="1025"/>
      <c r="BO8172" s="43"/>
    </row>
    <row r="8173" spans="65:67" ht="18.75" customHeight="1">
      <c r="BM8173" s="1025"/>
      <c r="BO8173" s="43"/>
    </row>
    <row r="8174" spans="65:67" ht="18.75" customHeight="1">
      <c r="BM8174" s="1025"/>
      <c r="BO8174" s="43"/>
    </row>
    <row r="8175" spans="65:67" ht="18.75" customHeight="1">
      <c r="BM8175" s="1025"/>
      <c r="BO8175" s="43"/>
    </row>
    <row r="8176" spans="65:67" ht="18.75" customHeight="1">
      <c r="BM8176" s="1025"/>
      <c r="BO8176" s="43"/>
    </row>
    <row r="8177" spans="65:67" ht="18.75" customHeight="1">
      <c r="BM8177" s="1025"/>
      <c r="BO8177" s="43"/>
    </row>
    <row r="8178" spans="65:67" ht="18.75" customHeight="1">
      <c r="BM8178" s="1025"/>
      <c r="BO8178" s="43"/>
    </row>
    <row r="8179" spans="65:67" ht="18.75" customHeight="1">
      <c r="BM8179" s="1025"/>
      <c r="BO8179" s="43"/>
    </row>
    <row r="8180" spans="65:67" ht="18.75" customHeight="1">
      <c r="BM8180" s="1025"/>
      <c r="BO8180" s="43"/>
    </row>
    <row r="8181" spans="65:67" ht="18.75" customHeight="1">
      <c r="BM8181" s="1025"/>
      <c r="BO8181" s="43"/>
    </row>
    <row r="8182" spans="65:67" ht="18.75" customHeight="1">
      <c r="BM8182" s="1025"/>
      <c r="BO8182" s="43"/>
    </row>
    <row r="8183" spans="65:67" ht="18.75" customHeight="1">
      <c r="BM8183" s="1025"/>
      <c r="BO8183" s="43"/>
    </row>
    <row r="8184" spans="65:67" ht="18.75" customHeight="1">
      <c r="BM8184" s="1025"/>
      <c r="BO8184" s="43"/>
    </row>
    <row r="8185" spans="65:67" ht="18.75" customHeight="1">
      <c r="BM8185" s="1025"/>
      <c r="BO8185" s="43"/>
    </row>
    <row r="8186" spans="65:67" ht="18.75" customHeight="1">
      <c r="BM8186" s="1025"/>
      <c r="BO8186" s="43"/>
    </row>
    <row r="8187" spans="65:67" ht="18.75" customHeight="1">
      <c r="BM8187" s="1025"/>
      <c r="BO8187" s="43"/>
    </row>
    <row r="8188" spans="65:67" ht="18.75" customHeight="1">
      <c r="BM8188" s="1025"/>
      <c r="BO8188" s="43"/>
    </row>
    <row r="8189" spans="65:67" ht="18.75" customHeight="1">
      <c r="BM8189" s="1025"/>
      <c r="BO8189" s="43"/>
    </row>
    <row r="8190" spans="65:67" ht="18.75" customHeight="1">
      <c r="BM8190" s="1025"/>
      <c r="BO8190" s="43"/>
    </row>
    <row r="8191" spans="65:67" ht="18.75" customHeight="1">
      <c r="BM8191" s="1025"/>
      <c r="BO8191" s="43"/>
    </row>
    <row r="8192" spans="65:67" ht="18.75" customHeight="1">
      <c r="BM8192" s="1025"/>
      <c r="BO8192" s="43"/>
    </row>
    <row r="8193" spans="65:67" ht="18.75" customHeight="1">
      <c r="BM8193" s="1025"/>
      <c r="BO8193" s="43"/>
    </row>
    <row r="8194" spans="65:67" ht="18.75" customHeight="1">
      <c r="BM8194" s="1025"/>
      <c r="BO8194" s="43"/>
    </row>
    <row r="8195" spans="65:67" ht="18.75" customHeight="1">
      <c r="BM8195" s="1025"/>
      <c r="BO8195" s="43"/>
    </row>
    <row r="8196" spans="65:67" ht="18.75" customHeight="1">
      <c r="BM8196" s="1025"/>
      <c r="BO8196" s="43"/>
    </row>
    <row r="8197" spans="65:67" ht="18.75" customHeight="1">
      <c r="BM8197" s="1025"/>
      <c r="BO8197" s="43"/>
    </row>
    <row r="8198" spans="65:67" ht="18.75" customHeight="1">
      <c r="BM8198" s="1025"/>
      <c r="BO8198" s="43"/>
    </row>
    <row r="8199" spans="65:67" ht="18.75" customHeight="1">
      <c r="BM8199" s="1025"/>
      <c r="BO8199" s="43"/>
    </row>
    <row r="8200" spans="65:67" ht="18.75" customHeight="1">
      <c r="BM8200" s="1025"/>
      <c r="BO8200" s="43"/>
    </row>
    <row r="8201" spans="65:67" ht="18.75" customHeight="1">
      <c r="BM8201" s="1025"/>
      <c r="BO8201" s="43"/>
    </row>
    <row r="8202" spans="65:67" ht="18.75" customHeight="1">
      <c r="BM8202" s="1025"/>
      <c r="BO8202" s="43"/>
    </row>
    <row r="8203" spans="65:67" ht="18.75" customHeight="1">
      <c r="BM8203" s="1025"/>
      <c r="BO8203" s="43"/>
    </row>
    <row r="8204" spans="65:67" ht="18.75" customHeight="1">
      <c r="BM8204" s="1025"/>
      <c r="BO8204" s="43"/>
    </row>
    <row r="8205" spans="65:67" ht="18.75" customHeight="1">
      <c r="BM8205" s="1025"/>
      <c r="BO8205" s="43"/>
    </row>
    <row r="8206" spans="65:67" ht="18.75" customHeight="1">
      <c r="BM8206" s="1025"/>
      <c r="BO8206" s="43"/>
    </row>
    <row r="8207" spans="65:67" ht="18.75" customHeight="1">
      <c r="BM8207" s="1025"/>
      <c r="BO8207" s="43"/>
    </row>
    <row r="8208" spans="65:67" ht="18.75" customHeight="1">
      <c r="BM8208" s="1025"/>
      <c r="BO8208" s="43"/>
    </row>
    <row r="8209" spans="65:67" ht="18.75" customHeight="1">
      <c r="BM8209" s="1025"/>
      <c r="BO8209" s="43"/>
    </row>
    <row r="8210" spans="65:67" ht="18.75" customHeight="1">
      <c r="BM8210" s="1025"/>
      <c r="BO8210" s="43"/>
    </row>
    <row r="8211" spans="65:67" ht="18.75" customHeight="1">
      <c r="BM8211" s="1025"/>
      <c r="BO8211" s="43"/>
    </row>
    <row r="8212" spans="65:67" ht="18.75" customHeight="1">
      <c r="BM8212" s="1025"/>
      <c r="BO8212" s="43"/>
    </row>
    <row r="8213" spans="65:67" ht="18.75" customHeight="1">
      <c r="BM8213" s="1025"/>
      <c r="BO8213" s="43"/>
    </row>
    <row r="8214" spans="65:67" ht="18.75" customHeight="1">
      <c r="BM8214" s="1025"/>
      <c r="BO8214" s="43"/>
    </row>
    <row r="8215" spans="65:67" ht="18.75" customHeight="1">
      <c r="BM8215" s="1025"/>
      <c r="BO8215" s="43"/>
    </row>
    <row r="8216" spans="65:67" ht="18.75" customHeight="1">
      <c r="BM8216" s="1025"/>
      <c r="BO8216" s="43"/>
    </row>
    <row r="8217" spans="65:67" ht="18.75" customHeight="1">
      <c r="BM8217" s="1025"/>
      <c r="BO8217" s="43"/>
    </row>
    <row r="8218" spans="65:67" ht="18.75" customHeight="1">
      <c r="BM8218" s="1025"/>
      <c r="BO8218" s="43"/>
    </row>
    <row r="8219" spans="65:67" ht="18.75" customHeight="1">
      <c r="BM8219" s="1025"/>
      <c r="BO8219" s="43"/>
    </row>
    <row r="8220" spans="65:67" ht="18.75" customHeight="1">
      <c r="BM8220" s="1025"/>
      <c r="BO8220" s="43"/>
    </row>
    <row r="8221" spans="65:67" ht="18.75" customHeight="1">
      <c r="BM8221" s="1025"/>
      <c r="BO8221" s="43"/>
    </row>
    <row r="8222" spans="65:67" ht="18.75" customHeight="1">
      <c r="BM8222" s="1025"/>
      <c r="BO8222" s="43"/>
    </row>
    <row r="8223" spans="65:67" ht="18.75" customHeight="1">
      <c r="BM8223" s="1025"/>
      <c r="BO8223" s="43"/>
    </row>
    <row r="8224" spans="65:67" ht="18.75" customHeight="1">
      <c r="BM8224" s="1025"/>
      <c r="BO8224" s="43"/>
    </row>
    <row r="8225" spans="65:67" ht="18.75" customHeight="1">
      <c r="BM8225" s="1025"/>
      <c r="BO8225" s="43"/>
    </row>
    <row r="8226" spans="65:67" ht="18.75" customHeight="1">
      <c r="BM8226" s="1025"/>
      <c r="BO8226" s="43"/>
    </row>
    <row r="8227" spans="65:67" ht="18.75" customHeight="1">
      <c r="BM8227" s="1025"/>
      <c r="BO8227" s="43"/>
    </row>
    <row r="8228" spans="65:67" ht="18.75" customHeight="1">
      <c r="BM8228" s="1025"/>
      <c r="BO8228" s="43"/>
    </row>
    <row r="8229" spans="65:67" ht="18.75" customHeight="1">
      <c r="BM8229" s="1025"/>
      <c r="BO8229" s="43"/>
    </row>
    <row r="8230" spans="65:67" ht="18.75" customHeight="1">
      <c r="BM8230" s="1025"/>
      <c r="BO8230" s="43"/>
    </row>
    <row r="8231" spans="65:67" ht="18.75" customHeight="1">
      <c r="BM8231" s="1025"/>
      <c r="BO8231" s="43"/>
    </row>
    <row r="8232" spans="65:67" ht="18.75" customHeight="1">
      <c r="BM8232" s="1025"/>
      <c r="BO8232" s="43"/>
    </row>
    <row r="8233" spans="65:67" ht="18.75" customHeight="1">
      <c r="BM8233" s="1025"/>
      <c r="BO8233" s="43"/>
    </row>
    <row r="8234" spans="65:67" ht="18.75" customHeight="1">
      <c r="BM8234" s="1025"/>
      <c r="BO8234" s="43"/>
    </row>
    <row r="8235" spans="65:67" ht="18.75" customHeight="1">
      <c r="BM8235" s="1025"/>
      <c r="BO8235" s="43"/>
    </row>
    <row r="8236" spans="65:67" ht="18.75" customHeight="1">
      <c r="BM8236" s="1025"/>
      <c r="BO8236" s="43"/>
    </row>
    <row r="8237" spans="65:67" ht="18.75" customHeight="1">
      <c r="BM8237" s="1025"/>
      <c r="BO8237" s="43"/>
    </row>
    <row r="8238" spans="65:67" ht="18.75" customHeight="1">
      <c r="BM8238" s="1025"/>
      <c r="BO8238" s="43"/>
    </row>
    <row r="8239" spans="65:67" ht="18.75" customHeight="1">
      <c r="BM8239" s="1025"/>
      <c r="BO8239" s="43"/>
    </row>
    <row r="8240" spans="65:67" ht="18.75" customHeight="1">
      <c r="BM8240" s="1025"/>
      <c r="BO8240" s="43"/>
    </row>
    <row r="8241" spans="65:67" ht="18.75" customHeight="1">
      <c r="BM8241" s="1025"/>
      <c r="BO8241" s="43"/>
    </row>
    <row r="8242" spans="65:67" ht="18.75" customHeight="1">
      <c r="BM8242" s="1025"/>
      <c r="BO8242" s="43"/>
    </row>
    <row r="8243" spans="65:67" ht="18.75" customHeight="1">
      <c r="BM8243" s="1025"/>
      <c r="BO8243" s="43"/>
    </row>
    <row r="8244" spans="65:67" ht="18.75" customHeight="1">
      <c r="BM8244" s="1025"/>
      <c r="BO8244" s="43"/>
    </row>
    <row r="8245" spans="65:67" ht="18.75" customHeight="1">
      <c r="BM8245" s="1025"/>
      <c r="BO8245" s="43"/>
    </row>
    <row r="8246" spans="65:67" ht="18.75" customHeight="1">
      <c r="BM8246" s="1025"/>
      <c r="BO8246" s="43"/>
    </row>
    <row r="8247" spans="65:67" ht="18.75" customHeight="1">
      <c r="BM8247" s="1025"/>
      <c r="BO8247" s="43"/>
    </row>
    <row r="8248" spans="65:67" ht="18.75" customHeight="1">
      <c r="BM8248" s="1025"/>
      <c r="BO8248" s="43"/>
    </row>
    <row r="8249" spans="65:67" ht="18.75" customHeight="1">
      <c r="BM8249" s="1025"/>
      <c r="BO8249" s="43"/>
    </row>
    <row r="8250" spans="65:67" ht="18.75" customHeight="1">
      <c r="BM8250" s="1025"/>
      <c r="BO8250" s="43"/>
    </row>
    <row r="8251" spans="65:67" ht="18.75" customHeight="1">
      <c r="BM8251" s="1025"/>
      <c r="BO8251" s="43"/>
    </row>
    <row r="8252" spans="65:67" ht="18.75" customHeight="1">
      <c r="BM8252" s="1025"/>
      <c r="BO8252" s="43"/>
    </row>
    <row r="8253" spans="65:67" ht="18.75" customHeight="1">
      <c r="BM8253" s="1025"/>
      <c r="BO8253" s="43"/>
    </row>
    <row r="8254" spans="65:67" ht="18.75" customHeight="1">
      <c r="BM8254" s="1025"/>
      <c r="BO8254" s="43"/>
    </row>
    <row r="8255" spans="65:67" ht="18.75" customHeight="1">
      <c r="BM8255" s="1025"/>
      <c r="BO8255" s="43"/>
    </row>
    <row r="8256" spans="65:67" ht="18.75" customHeight="1">
      <c r="BM8256" s="1025"/>
      <c r="BO8256" s="43"/>
    </row>
    <row r="8257" spans="65:67" ht="18.75" customHeight="1">
      <c r="BM8257" s="1025"/>
      <c r="BO8257" s="43"/>
    </row>
    <row r="8258" spans="65:67" ht="18.75" customHeight="1">
      <c r="BM8258" s="1025"/>
      <c r="BO8258" s="43"/>
    </row>
    <row r="8259" spans="65:67" ht="18.75" customHeight="1">
      <c r="BM8259" s="1025"/>
      <c r="BO8259" s="43"/>
    </row>
    <row r="8260" spans="65:67" ht="18.75" customHeight="1">
      <c r="BM8260" s="1025"/>
      <c r="BO8260" s="43"/>
    </row>
    <row r="8261" spans="65:67" ht="18.75" customHeight="1">
      <c r="BM8261" s="1025"/>
      <c r="BO8261" s="43"/>
    </row>
    <row r="8262" spans="65:67" ht="18.75" customHeight="1">
      <c r="BM8262" s="1025"/>
      <c r="BO8262" s="43"/>
    </row>
    <row r="8263" spans="65:67" ht="18.75" customHeight="1">
      <c r="BM8263" s="1025"/>
      <c r="BO8263" s="43"/>
    </row>
    <row r="8264" spans="65:67" ht="18.75" customHeight="1">
      <c r="BM8264" s="1025"/>
      <c r="BO8264" s="43"/>
    </row>
    <row r="8265" spans="65:67" ht="18.75" customHeight="1">
      <c r="BM8265" s="1025"/>
      <c r="BO8265" s="43"/>
    </row>
    <row r="8266" spans="65:67" ht="18.75" customHeight="1">
      <c r="BM8266" s="1025"/>
      <c r="BO8266" s="43"/>
    </row>
    <row r="8267" spans="65:67" ht="18.75" customHeight="1">
      <c r="BM8267" s="1025"/>
      <c r="BO8267" s="43"/>
    </row>
    <row r="8268" spans="65:67" ht="18.75" customHeight="1">
      <c r="BM8268" s="1025"/>
      <c r="BO8268" s="43"/>
    </row>
    <row r="8269" spans="65:67" ht="18.75" customHeight="1">
      <c r="BM8269" s="1025"/>
      <c r="BO8269" s="43"/>
    </row>
    <row r="8270" spans="65:67" ht="18.75" customHeight="1">
      <c r="BM8270" s="1025"/>
      <c r="BO8270" s="43"/>
    </row>
    <row r="8271" spans="65:67" ht="18.75" customHeight="1">
      <c r="BM8271" s="1025"/>
      <c r="BO8271" s="43"/>
    </row>
    <row r="8272" spans="65:67" ht="18.75" customHeight="1">
      <c r="BM8272" s="1025"/>
      <c r="BO8272" s="43"/>
    </row>
    <row r="8273" spans="65:67" ht="18.75" customHeight="1">
      <c r="BM8273" s="1025"/>
      <c r="BO8273" s="43"/>
    </row>
    <row r="8274" spans="65:67" ht="18.75" customHeight="1">
      <c r="BM8274" s="1025"/>
      <c r="BO8274" s="43"/>
    </row>
    <row r="8275" spans="65:67" ht="18.75" customHeight="1">
      <c r="BM8275" s="1025"/>
      <c r="BO8275" s="43"/>
    </row>
    <row r="8276" spans="65:67" ht="18.75" customHeight="1">
      <c r="BM8276" s="1025"/>
      <c r="BO8276" s="43"/>
    </row>
    <row r="8277" spans="65:67" ht="18.75" customHeight="1">
      <c r="BM8277" s="1025"/>
      <c r="BO8277" s="43"/>
    </row>
    <row r="8278" spans="65:67" ht="18.75" customHeight="1">
      <c r="BM8278" s="1025"/>
      <c r="BO8278" s="43"/>
    </row>
    <row r="8279" spans="65:67" ht="18.75" customHeight="1">
      <c r="BM8279" s="1025"/>
      <c r="BO8279" s="43"/>
    </row>
    <row r="8280" spans="65:67" ht="18.75" customHeight="1">
      <c r="BM8280" s="1025"/>
      <c r="BO8280" s="43"/>
    </row>
    <row r="8281" spans="65:67" ht="18.75" customHeight="1">
      <c r="BM8281" s="1025"/>
      <c r="BO8281" s="43"/>
    </row>
    <row r="8282" spans="65:67" ht="18.75" customHeight="1">
      <c r="BM8282" s="1025"/>
      <c r="BO8282" s="43"/>
    </row>
    <row r="8283" spans="65:67" ht="18.75" customHeight="1">
      <c r="BM8283" s="1025"/>
      <c r="BO8283" s="43"/>
    </row>
    <row r="8284" spans="65:67" ht="18.75" customHeight="1">
      <c r="BM8284" s="1025"/>
      <c r="BO8284" s="43"/>
    </row>
    <row r="8285" spans="65:67" ht="18.75" customHeight="1">
      <c r="BM8285" s="1025"/>
      <c r="BO8285" s="43"/>
    </row>
    <row r="8286" spans="65:67" ht="18.75" customHeight="1">
      <c r="BM8286" s="1025"/>
      <c r="BO8286" s="43"/>
    </row>
    <row r="8287" spans="65:67" ht="18.75" customHeight="1">
      <c r="BM8287" s="1025"/>
      <c r="BO8287" s="43"/>
    </row>
    <row r="8288" spans="65:67" ht="18.75" customHeight="1">
      <c r="BM8288" s="1025"/>
      <c r="BO8288" s="43"/>
    </row>
    <row r="8289" spans="65:67" ht="18.75" customHeight="1">
      <c r="BM8289" s="1025"/>
      <c r="BO8289" s="43"/>
    </row>
    <row r="8290" spans="65:67" ht="18.75" customHeight="1">
      <c r="BM8290" s="1025"/>
      <c r="BO8290" s="43"/>
    </row>
    <row r="8291" spans="65:67" ht="18.75" customHeight="1">
      <c r="BM8291" s="1025"/>
      <c r="BO8291" s="43"/>
    </row>
    <row r="8292" spans="65:67" ht="18.75" customHeight="1">
      <c r="BM8292" s="1025"/>
      <c r="BO8292" s="43"/>
    </row>
    <row r="8293" spans="65:67" ht="18.75" customHeight="1">
      <c r="BM8293" s="1025"/>
      <c r="BO8293" s="43"/>
    </row>
    <row r="8294" spans="65:67" ht="18.75" customHeight="1">
      <c r="BM8294" s="1025"/>
      <c r="BO8294" s="43"/>
    </row>
    <row r="8295" spans="65:67" ht="18.75" customHeight="1">
      <c r="BM8295" s="1025"/>
      <c r="BO8295" s="43"/>
    </row>
    <row r="8296" spans="65:67" ht="18.75" customHeight="1">
      <c r="BM8296" s="1025"/>
      <c r="BO8296" s="43"/>
    </row>
    <row r="8297" spans="65:67" ht="18.75" customHeight="1">
      <c r="BM8297" s="1025"/>
      <c r="BO8297" s="43"/>
    </row>
    <row r="8298" spans="65:67" ht="18.75" customHeight="1">
      <c r="BM8298" s="1025"/>
      <c r="BO8298" s="43"/>
    </row>
    <row r="8299" spans="65:67" ht="18.75" customHeight="1">
      <c r="BM8299" s="1025"/>
      <c r="BO8299" s="43"/>
    </row>
    <row r="8300" spans="65:67" ht="18.75" customHeight="1">
      <c r="BM8300" s="1025"/>
      <c r="BO8300" s="43"/>
    </row>
    <row r="8301" spans="65:67" ht="18.75" customHeight="1">
      <c r="BM8301" s="1025"/>
      <c r="BO8301" s="43"/>
    </row>
    <row r="8302" spans="65:67" ht="18.75" customHeight="1">
      <c r="BM8302" s="1025"/>
      <c r="BO8302" s="43"/>
    </row>
    <row r="8303" spans="65:67" ht="18.75" customHeight="1">
      <c r="BM8303" s="1025"/>
      <c r="BO8303" s="43"/>
    </row>
    <row r="8304" spans="65:67" ht="18.75" customHeight="1">
      <c r="BM8304" s="1025"/>
      <c r="BO8304" s="43"/>
    </row>
    <row r="8305" spans="65:67" ht="18.75" customHeight="1">
      <c r="BM8305" s="1025"/>
      <c r="BO8305" s="43"/>
    </row>
    <row r="8306" spans="65:67" ht="18.75" customHeight="1">
      <c r="BM8306" s="1025"/>
      <c r="BO8306" s="43"/>
    </row>
    <row r="8307" spans="65:67" ht="18.75" customHeight="1">
      <c r="BM8307" s="1025"/>
      <c r="BO8307" s="43"/>
    </row>
    <row r="8308" spans="65:67" ht="18.75" customHeight="1">
      <c r="BM8308" s="1025"/>
      <c r="BO8308" s="43"/>
    </row>
    <row r="8309" spans="65:67" ht="18.75" customHeight="1">
      <c r="BM8309" s="1025"/>
      <c r="BO8309" s="43"/>
    </row>
    <row r="8310" spans="65:67" ht="18.75" customHeight="1">
      <c r="BM8310" s="1025"/>
      <c r="BO8310" s="43"/>
    </row>
    <row r="8311" spans="65:67" ht="18.75" customHeight="1">
      <c r="BM8311" s="1025"/>
      <c r="BO8311" s="43"/>
    </row>
    <row r="8312" spans="65:67" ht="18.75" customHeight="1">
      <c r="BM8312" s="1025"/>
      <c r="BO8312" s="43"/>
    </row>
    <row r="8313" spans="65:67" ht="18.75" customHeight="1">
      <c r="BM8313" s="1025"/>
      <c r="BO8313" s="43"/>
    </row>
    <row r="8314" spans="65:67" ht="18.75" customHeight="1">
      <c r="BM8314" s="1025"/>
      <c r="BO8314" s="43"/>
    </row>
    <row r="8315" spans="65:67" ht="18.75" customHeight="1">
      <c r="BM8315" s="1025"/>
      <c r="BO8315" s="43"/>
    </row>
    <row r="8316" spans="65:67" ht="18.75" customHeight="1">
      <c r="BM8316" s="1025"/>
      <c r="BO8316" s="43"/>
    </row>
    <row r="8317" spans="65:67" ht="18.75" customHeight="1">
      <c r="BM8317" s="1025"/>
      <c r="BO8317" s="43"/>
    </row>
    <row r="8318" spans="65:67" ht="18.75" customHeight="1">
      <c r="BM8318" s="1025"/>
      <c r="BO8318" s="43"/>
    </row>
    <row r="8319" spans="65:67" ht="18.75" customHeight="1">
      <c r="BM8319" s="1025"/>
      <c r="BO8319" s="43"/>
    </row>
    <row r="8320" spans="65:67" ht="18.75" customHeight="1">
      <c r="BM8320" s="1025"/>
      <c r="BO8320" s="43"/>
    </row>
    <row r="8321" spans="65:67" ht="18.75" customHeight="1">
      <c r="BM8321" s="1025"/>
      <c r="BO8321" s="43"/>
    </row>
    <row r="8322" spans="65:67" ht="18.75" customHeight="1">
      <c r="BM8322" s="1025"/>
      <c r="BO8322" s="43"/>
    </row>
    <row r="8323" spans="65:67" ht="18.75" customHeight="1">
      <c r="BM8323" s="1025"/>
      <c r="BO8323" s="43"/>
    </row>
    <row r="8324" spans="65:67" ht="18.75" customHeight="1">
      <c r="BM8324" s="1025"/>
      <c r="BO8324" s="43"/>
    </row>
    <row r="8325" spans="65:67" ht="18.75" customHeight="1">
      <c r="BM8325" s="1025"/>
      <c r="BO8325" s="43"/>
    </row>
    <row r="8326" spans="65:67" ht="18.75" customHeight="1">
      <c r="BM8326" s="1025"/>
      <c r="BO8326" s="43"/>
    </row>
    <row r="8327" spans="65:67" ht="18.75" customHeight="1">
      <c r="BM8327" s="1025"/>
      <c r="BO8327" s="43"/>
    </row>
    <row r="8328" spans="65:67" ht="18.75" customHeight="1">
      <c r="BM8328" s="1025"/>
      <c r="BO8328" s="43"/>
    </row>
    <row r="8329" spans="65:67" ht="18.75" customHeight="1">
      <c r="BM8329" s="1025"/>
      <c r="BO8329" s="43"/>
    </row>
    <row r="8330" spans="65:67" ht="18.75" customHeight="1">
      <c r="BM8330" s="1025"/>
      <c r="BO8330" s="43"/>
    </row>
    <row r="8331" spans="65:67" ht="18.75" customHeight="1">
      <c r="BM8331" s="1025"/>
      <c r="BO8331" s="43"/>
    </row>
    <row r="8332" spans="65:67" ht="18.75" customHeight="1">
      <c r="BM8332" s="1025"/>
      <c r="BO8332" s="43"/>
    </row>
    <row r="8333" spans="65:67" ht="18.75" customHeight="1">
      <c r="BM8333" s="1025"/>
      <c r="BO8333" s="43"/>
    </row>
    <row r="8334" spans="65:67" ht="18.75" customHeight="1">
      <c r="BM8334" s="1025"/>
      <c r="BO8334" s="43"/>
    </row>
    <row r="8335" spans="65:67" ht="18.75" customHeight="1">
      <c r="BM8335" s="1025"/>
      <c r="BO8335" s="43"/>
    </row>
    <row r="8336" spans="65:67" ht="18.75" customHeight="1">
      <c r="BM8336" s="1025"/>
      <c r="BO8336" s="43"/>
    </row>
    <row r="8337" spans="65:67" ht="18.75" customHeight="1">
      <c r="BM8337" s="1025"/>
      <c r="BO8337" s="43"/>
    </row>
    <row r="8338" spans="65:67" ht="18.75" customHeight="1">
      <c r="BM8338" s="1025"/>
      <c r="BO8338" s="43"/>
    </row>
    <row r="8339" spans="65:67" ht="18.75" customHeight="1">
      <c r="BM8339" s="1025"/>
      <c r="BO8339" s="43"/>
    </row>
    <row r="8340" spans="65:67" ht="18.75" customHeight="1">
      <c r="BM8340" s="1025"/>
      <c r="BO8340" s="43"/>
    </row>
    <row r="8341" spans="65:67" ht="18.75" customHeight="1">
      <c r="BM8341" s="1025"/>
      <c r="BO8341" s="43"/>
    </row>
    <row r="8342" spans="65:67" ht="18.75" customHeight="1">
      <c r="BM8342" s="1025"/>
      <c r="BO8342" s="43"/>
    </row>
    <row r="8343" spans="65:67" ht="18.75" customHeight="1">
      <c r="BM8343" s="1025"/>
      <c r="BO8343" s="43"/>
    </row>
    <row r="8344" spans="65:67" ht="18.75" customHeight="1">
      <c r="BM8344" s="1025"/>
      <c r="BO8344" s="43"/>
    </row>
    <row r="8345" spans="65:67" ht="18.75" customHeight="1">
      <c r="BM8345" s="1025"/>
      <c r="BO8345" s="43"/>
    </row>
    <row r="8346" spans="65:67" ht="18.75" customHeight="1">
      <c r="BM8346" s="1025"/>
      <c r="BO8346" s="43"/>
    </row>
    <row r="8347" spans="65:67" ht="18.75" customHeight="1">
      <c r="BM8347" s="1025"/>
      <c r="BO8347" s="43"/>
    </row>
    <row r="8348" spans="65:67" ht="18.75" customHeight="1">
      <c r="BM8348" s="1025"/>
      <c r="BO8348" s="43"/>
    </row>
    <row r="8349" spans="65:67" ht="18.75" customHeight="1">
      <c r="BM8349" s="1025"/>
      <c r="BO8349" s="43"/>
    </row>
    <row r="8350" spans="65:67" ht="18.75" customHeight="1">
      <c r="BM8350" s="1025"/>
      <c r="BO8350" s="43"/>
    </row>
    <row r="8351" spans="65:67" ht="18.75" customHeight="1">
      <c r="BM8351" s="1025"/>
      <c r="BO8351" s="43"/>
    </row>
    <row r="8352" spans="65:67" ht="18.75" customHeight="1">
      <c r="BM8352" s="1025"/>
      <c r="BO8352" s="43"/>
    </row>
    <row r="8353" spans="65:67" ht="18.75" customHeight="1">
      <c r="BM8353" s="1025"/>
      <c r="BO8353" s="43"/>
    </row>
    <row r="8354" spans="65:67" ht="18.75" customHeight="1">
      <c r="BM8354" s="1025"/>
      <c r="BO8354" s="43"/>
    </row>
    <row r="8355" spans="65:67" ht="18.75" customHeight="1">
      <c r="BM8355" s="1025"/>
      <c r="BO8355" s="43"/>
    </row>
    <row r="8356" spans="65:67" ht="18.75" customHeight="1">
      <c r="BM8356" s="1025"/>
      <c r="BO8356" s="43"/>
    </row>
    <row r="8357" spans="65:67" ht="18.75" customHeight="1">
      <c r="BM8357" s="1025"/>
      <c r="BO8357" s="43"/>
    </row>
    <row r="8358" spans="65:67" ht="18.75" customHeight="1">
      <c r="BM8358" s="1025"/>
      <c r="BO8358" s="43"/>
    </row>
    <row r="8359" spans="65:67" ht="18.75" customHeight="1">
      <c r="BM8359" s="1025"/>
      <c r="BO8359" s="43"/>
    </row>
    <row r="8360" spans="65:67" ht="18.75" customHeight="1">
      <c r="BM8360" s="1025"/>
      <c r="BO8360" s="43"/>
    </row>
    <row r="8361" spans="65:67" ht="18.75" customHeight="1">
      <c r="BM8361" s="1025"/>
      <c r="BO8361" s="43"/>
    </row>
    <row r="8362" spans="65:67" ht="18.75" customHeight="1">
      <c r="BM8362" s="1025"/>
      <c r="BO8362" s="43"/>
    </row>
    <row r="8363" spans="65:67" ht="18.75" customHeight="1">
      <c r="BM8363" s="1025"/>
      <c r="BO8363" s="43"/>
    </row>
    <row r="8364" spans="65:67" ht="18.75" customHeight="1">
      <c r="BM8364" s="1025"/>
      <c r="BO8364" s="43"/>
    </row>
    <row r="8365" spans="65:67" ht="18.75" customHeight="1">
      <c r="BM8365" s="1025"/>
      <c r="BO8365" s="43"/>
    </row>
    <row r="8366" spans="65:67" ht="18.75" customHeight="1">
      <c r="BM8366" s="1025"/>
      <c r="BO8366" s="43"/>
    </row>
    <row r="8367" spans="65:67" ht="18.75" customHeight="1">
      <c r="BM8367" s="1025"/>
      <c r="BO8367" s="43"/>
    </row>
    <row r="8368" spans="65:67" ht="18.75" customHeight="1">
      <c r="BM8368" s="1025"/>
      <c r="BO8368" s="43"/>
    </row>
    <row r="8369" spans="65:67" ht="18.75" customHeight="1">
      <c r="BM8369" s="1025"/>
      <c r="BO8369" s="43"/>
    </row>
    <row r="8370" spans="65:67" ht="18.75" customHeight="1">
      <c r="BM8370" s="1025"/>
      <c r="BO8370" s="43"/>
    </row>
    <row r="8371" spans="65:67" ht="18.75" customHeight="1">
      <c r="BM8371" s="1025"/>
      <c r="BO8371" s="43"/>
    </row>
    <row r="8372" spans="65:67" ht="18.75" customHeight="1">
      <c r="BM8372" s="1025"/>
      <c r="BO8372" s="43"/>
    </row>
    <row r="8373" spans="65:67" ht="18.75" customHeight="1">
      <c r="BM8373" s="1025"/>
      <c r="BO8373" s="43"/>
    </row>
    <row r="8374" spans="65:67" ht="18.75" customHeight="1">
      <c r="BM8374" s="1025"/>
      <c r="BO8374" s="43"/>
    </row>
    <row r="8375" spans="65:67" ht="18.75" customHeight="1">
      <c r="BM8375" s="1025"/>
      <c r="BO8375" s="43"/>
    </row>
    <row r="8376" spans="65:67" ht="18.75" customHeight="1">
      <c r="BM8376" s="1025"/>
      <c r="BO8376" s="43"/>
    </row>
    <row r="8377" spans="65:67" ht="18.75" customHeight="1">
      <c r="BM8377" s="1025"/>
      <c r="BO8377" s="43"/>
    </row>
    <row r="8378" spans="65:67" ht="18.75" customHeight="1">
      <c r="BM8378" s="1025"/>
      <c r="BO8378" s="43"/>
    </row>
    <row r="8379" spans="65:67" ht="18.75" customHeight="1">
      <c r="BM8379" s="1025"/>
      <c r="BO8379" s="43"/>
    </row>
    <row r="8380" spans="65:67" ht="18.75" customHeight="1">
      <c r="BM8380" s="1025"/>
      <c r="BO8380" s="43"/>
    </row>
    <row r="8381" spans="65:67" ht="18.75" customHeight="1">
      <c r="BM8381" s="1025"/>
      <c r="BO8381" s="43"/>
    </row>
    <row r="8382" spans="65:67" ht="18.75" customHeight="1">
      <c r="BM8382" s="1025"/>
      <c r="BO8382" s="43"/>
    </row>
    <row r="8383" spans="65:67" ht="18.75" customHeight="1">
      <c r="BM8383" s="1025"/>
      <c r="BO8383" s="43"/>
    </row>
    <row r="8384" spans="65:67" ht="18.75" customHeight="1">
      <c r="BM8384" s="1025"/>
      <c r="BO8384" s="43"/>
    </row>
    <row r="8385" spans="65:67" ht="18.75" customHeight="1">
      <c r="BM8385" s="1025"/>
      <c r="BO8385" s="43"/>
    </row>
    <row r="8386" spans="65:67" ht="18.75" customHeight="1">
      <c r="BM8386" s="1025"/>
      <c r="BO8386" s="43"/>
    </row>
    <row r="8387" spans="65:67" ht="18.75" customHeight="1">
      <c r="BM8387" s="1025"/>
      <c r="BO8387" s="43"/>
    </row>
    <row r="8388" spans="65:67" ht="18.75" customHeight="1">
      <c r="BM8388" s="1025"/>
      <c r="BO8388" s="43"/>
    </row>
    <row r="8389" spans="65:67" ht="18.75" customHeight="1">
      <c r="BM8389" s="1025"/>
      <c r="BO8389" s="43"/>
    </row>
    <row r="8390" spans="65:67" ht="18.75" customHeight="1">
      <c r="BM8390" s="1025"/>
      <c r="BO8390" s="43"/>
    </row>
    <row r="8391" spans="65:67" ht="18.75" customHeight="1">
      <c r="BM8391" s="1025"/>
      <c r="BO8391" s="43"/>
    </row>
    <row r="8392" spans="65:67" ht="18.75" customHeight="1">
      <c r="BM8392" s="1025"/>
      <c r="BO8392" s="43"/>
    </row>
    <row r="8393" spans="65:67" ht="18.75" customHeight="1">
      <c r="BM8393" s="1025"/>
      <c r="BO8393" s="43"/>
    </row>
    <row r="8394" spans="65:67" ht="18.75" customHeight="1">
      <c r="BM8394" s="1025"/>
      <c r="BO8394" s="43"/>
    </row>
    <row r="8395" spans="65:67" ht="18.75" customHeight="1">
      <c r="BM8395" s="1025"/>
      <c r="BO8395" s="43"/>
    </row>
    <row r="8396" spans="65:67" ht="18.75" customHeight="1">
      <c r="BM8396" s="1025"/>
      <c r="BO8396" s="43"/>
    </row>
    <row r="8397" spans="65:67" ht="18.75" customHeight="1">
      <c r="BM8397" s="1025"/>
      <c r="BO8397" s="43"/>
    </row>
    <row r="8398" spans="65:67" ht="18.75" customHeight="1">
      <c r="BM8398" s="1025"/>
      <c r="BO8398" s="43"/>
    </row>
    <row r="8399" spans="65:67" ht="18.75" customHeight="1">
      <c r="BM8399" s="1025"/>
      <c r="BO8399" s="43"/>
    </row>
    <row r="8400" spans="65:67" ht="18.75" customHeight="1">
      <c r="BM8400" s="1025"/>
      <c r="BO8400" s="43"/>
    </row>
    <row r="8401" spans="65:67" ht="18.75" customHeight="1">
      <c r="BM8401" s="1025"/>
      <c r="BO8401" s="43"/>
    </row>
    <row r="8402" spans="65:67" ht="18.75" customHeight="1">
      <c r="BM8402" s="1025"/>
      <c r="BO8402" s="43"/>
    </row>
    <row r="8403" spans="65:67" ht="18.75" customHeight="1">
      <c r="BM8403" s="1025"/>
      <c r="BO8403" s="43"/>
    </row>
    <row r="8404" spans="65:67" ht="18.75" customHeight="1">
      <c r="BM8404" s="1025"/>
      <c r="BO8404" s="43"/>
    </row>
    <row r="8405" spans="65:67" ht="18.75" customHeight="1">
      <c r="BM8405" s="1025"/>
      <c r="BO8405" s="43"/>
    </row>
    <row r="8406" spans="65:67" ht="18.75" customHeight="1">
      <c r="BM8406" s="1025"/>
      <c r="BO8406" s="43"/>
    </row>
    <row r="8407" spans="65:67" ht="18.75" customHeight="1">
      <c r="BM8407" s="1025"/>
      <c r="BO8407" s="43"/>
    </row>
    <row r="8408" spans="65:67" ht="18.75" customHeight="1">
      <c r="BM8408" s="1025"/>
      <c r="BO8408" s="43"/>
    </row>
    <row r="8409" spans="65:67" ht="18.75" customHeight="1">
      <c r="BM8409" s="1025"/>
      <c r="BO8409" s="43"/>
    </row>
    <row r="8410" spans="65:67" ht="18.75" customHeight="1">
      <c r="BM8410" s="1025"/>
      <c r="BO8410" s="43"/>
    </row>
    <row r="8411" spans="65:67" ht="18.75" customHeight="1">
      <c r="BM8411" s="1025"/>
      <c r="BO8411" s="43"/>
    </row>
    <row r="8412" spans="65:67" ht="18.75" customHeight="1">
      <c r="BM8412" s="1025"/>
      <c r="BO8412" s="43"/>
    </row>
    <row r="8413" spans="65:67" ht="18.75" customHeight="1">
      <c r="BM8413" s="1025"/>
      <c r="BO8413" s="43"/>
    </row>
    <row r="8414" spans="65:67" ht="18.75" customHeight="1">
      <c r="BM8414" s="1025"/>
      <c r="BO8414" s="43"/>
    </row>
    <row r="8415" spans="65:67" ht="18.75" customHeight="1">
      <c r="BM8415" s="1025"/>
      <c r="BO8415" s="43"/>
    </row>
    <row r="8416" spans="65:67" ht="18.75" customHeight="1">
      <c r="BM8416" s="1025"/>
      <c r="BO8416" s="43"/>
    </row>
    <row r="8417" spans="65:67" ht="18.75" customHeight="1">
      <c r="BM8417" s="1025"/>
      <c r="BO8417" s="43"/>
    </row>
    <row r="8418" spans="65:67" ht="18.75" customHeight="1">
      <c r="BM8418" s="1025"/>
      <c r="BO8418" s="43"/>
    </row>
    <row r="8419" spans="65:67" ht="18.75" customHeight="1">
      <c r="BM8419" s="1025"/>
      <c r="BO8419" s="43"/>
    </row>
    <row r="8420" spans="65:67" ht="18.75" customHeight="1">
      <c r="BM8420" s="1025"/>
      <c r="BO8420" s="43"/>
    </row>
    <row r="8421" spans="65:67" ht="18.75" customHeight="1">
      <c r="BM8421" s="1025"/>
      <c r="BO8421" s="43"/>
    </row>
    <row r="8422" spans="65:67" ht="18.75" customHeight="1">
      <c r="BM8422" s="1025"/>
      <c r="BO8422" s="43"/>
    </row>
    <row r="8423" spans="65:67" ht="18.75" customHeight="1">
      <c r="BM8423" s="1025"/>
      <c r="BO8423" s="43"/>
    </row>
    <row r="8424" spans="65:67" ht="18.75" customHeight="1">
      <c r="BM8424" s="1025"/>
      <c r="BO8424" s="43"/>
    </row>
    <row r="8425" spans="65:67" ht="18.75" customHeight="1">
      <c r="BM8425" s="1025"/>
      <c r="BO8425" s="43"/>
    </row>
    <row r="8426" spans="65:67" ht="18.75" customHeight="1">
      <c r="BM8426" s="1025"/>
      <c r="BO8426" s="43"/>
    </row>
    <row r="8427" spans="65:67" ht="18.75" customHeight="1">
      <c r="BM8427" s="1025"/>
      <c r="BO8427" s="43"/>
    </row>
    <row r="8428" spans="65:67" ht="18.75" customHeight="1">
      <c r="BM8428" s="1025"/>
      <c r="BO8428" s="43"/>
    </row>
    <row r="8429" spans="65:67" ht="18.75" customHeight="1">
      <c r="BM8429" s="1025"/>
      <c r="BO8429" s="43"/>
    </row>
    <row r="8430" spans="65:67" ht="18.75" customHeight="1">
      <c r="BM8430" s="1025"/>
      <c r="BO8430" s="43"/>
    </row>
    <row r="8431" spans="65:67" ht="18.75" customHeight="1">
      <c r="BM8431" s="1025"/>
      <c r="BO8431" s="43"/>
    </row>
    <row r="8432" spans="65:67" ht="18.75" customHeight="1">
      <c r="BM8432" s="1025"/>
      <c r="BO8432" s="43"/>
    </row>
    <row r="8433" spans="65:67" ht="18.75" customHeight="1">
      <c r="BM8433" s="1025"/>
      <c r="BO8433" s="43"/>
    </row>
    <row r="8434" spans="65:67" ht="18.75" customHeight="1">
      <c r="BM8434" s="1025"/>
      <c r="BO8434" s="43"/>
    </row>
    <row r="8435" spans="65:67" ht="18.75" customHeight="1">
      <c r="BM8435" s="1025"/>
      <c r="BO8435" s="43"/>
    </row>
    <row r="8436" spans="65:67" ht="18.75" customHeight="1">
      <c r="BM8436" s="1025"/>
      <c r="BO8436" s="43"/>
    </row>
    <row r="8437" spans="65:67" ht="18.75" customHeight="1">
      <c r="BM8437" s="1025"/>
      <c r="BO8437" s="43"/>
    </row>
    <row r="8438" spans="65:67" ht="18.75" customHeight="1">
      <c r="BM8438" s="1025"/>
      <c r="BO8438" s="43"/>
    </row>
    <row r="8439" spans="65:67" ht="18.75" customHeight="1">
      <c r="BM8439" s="1025"/>
      <c r="BO8439" s="43"/>
    </row>
    <row r="8440" spans="65:67" ht="18.75" customHeight="1">
      <c r="BM8440" s="1025"/>
      <c r="BO8440" s="43"/>
    </row>
    <row r="8441" spans="65:67" ht="18.75" customHeight="1">
      <c r="BM8441" s="1025"/>
      <c r="BO8441" s="43"/>
    </row>
    <row r="8442" spans="65:67" ht="18.75" customHeight="1">
      <c r="BM8442" s="1025"/>
      <c r="BO8442" s="43"/>
    </row>
    <row r="8443" spans="65:67" ht="18.75" customHeight="1">
      <c r="BM8443" s="1025"/>
      <c r="BO8443" s="43"/>
    </row>
    <row r="8444" spans="65:67" ht="18.75" customHeight="1">
      <c r="BM8444" s="1025"/>
      <c r="BO8444" s="43"/>
    </row>
    <row r="8445" spans="65:67" ht="18.75" customHeight="1">
      <c r="BM8445" s="1025"/>
      <c r="BO8445" s="43"/>
    </row>
    <row r="8446" spans="65:67" ht="18.75" customHeight="1">
      <c r="BM8446" s="1025"/>
      <c r="BO8446" s="43"/>
    </row>
    <row r="8447" spans="65:67" ht="18.75" customHeight="1">
      <c r="BM8447" s="1025"/>
      <c r="BO8447" s="43"/>
    </row>
    <row r="8448" spans="65:67" ht="18.75" customHeight="1">
      <c r="BM8448" s="1025"/>
      <c r="BO8448" s="43"/>
    </row>
    <row r="8449" spans="65:67" ht="18.75" customHeight="1">
      <c r="BM8449" s="1025"/>
      <c r="BO8449" s="43"/>
    </row>
    <row r="8450" spans="65:67" ht="18.75" customHeight="1">
      <c r="BM8450" s="1025"/>
      <c r="BO8450" s="43"/>
    </row>
    <row r="8451" spans="65:67" ht="18.75" customHeight="1">
      <c r="BM8451" s="1025"/>
      <c r="BO8451" s="43"/>
    </row>
    <row r="8452" spans="65:67" ht="18.75" customHeight="1">
      <c r="BM8452" s="1025"/>
      <c r="BO8452" s="43"/>
    </row>
    <row r="8453" spans="65:67" ht="18.75" customHeight="1">
      <c r="BM8453" s="1025"/>
      <c r="BO8453" s="43"/>
    </row>
    <row r="8454" spans="65:67" ht="18.75" customHeight="1">
      <c r="BM8454" s="1025"/>
      <c r="BO8454" s="43"/>
    </row>
    <row r="8455" spans="65:67" ht="18.75" customHeight="1">
      <c r="BM8455" s="1025"/>
      <c r="BO8455" s="43"/>
    </row>
    <row r="8456" spans="65:67" ht="18.75" customHeight="1">
      <c r="BM8456" s="1025"/>
      <c r="BO8456" s="43"/>
    </row>
    <row r="8457" spans="65:67" ht="18.75" customHeight="1">
      <c r="BM8457" s="1025"/>
      <c r="BO8457" s="43"/>
    </row>
    <row r="8458" spans="65:67" ht="18.75" customHeight="1">
      <c r="BM8458" s="1025"/>
      <c r="BO8458" s="43"/>
    </row>
    <row r="8459" spans="65:67" ht="18.75" customHeight="1">
      <c r="BM8459" s="1025"/>
      <c r="BO8459" s="43"/>
    </row>
    <row r="8460" spans="65:67" ht="18.75" customHeight="1">
      <c r="BM8460" s="1025"/>
      <c r="BO8460" s="43"/>
    </row>
    <row r="8461" spans="65:67" ht="18.75" customHeight="1">
      <c r="BM8461" s="1025"/>
      <c r="BO8461" s="43"/>
    </row>
    <row r="8462" spans="65:67" ht="18.75" customHeight="1">
      <c r="BM8462" s="1025"/>
      <c r="BO8462" s="43"/>
    </row>
    <row r="8463" spans="65:67" ht="18.75" customHeight="1">
      <c r="BM8463" s="1025"/>
      <c r="BO8463" s="43"/>
    </row>
    <row r="8464" spans="65:67" ht="18.75" customHeight="1">
      <c r="BM8464" s="1025"/>
      <c r="BO8464" s="43"/>
    </row>
    <row r="8465" spans="65:67" ht="18.75" customHeight="1">
      <c r="BM8465" s="1025"/>
      <c r="BO8465" s="43"/>
    </row>
    <row r="8466" spans="65:67" ht="18.75" customHeight="1">
      <c r="BM8466" s="1025"/>
      <c r="BO8466" s="43"/>
    </row>
    <row r="8467" spans="65:67" ht="18.75" customHeight="1">
      <c r="BM8467" s="1025"/>
      <c r="BO8467" s="43"/>
    </row>
    <row r="8468" spans="65:67" ht="18.75" customHeight="1">
      <c r="BM8468" s="1025"/>
      <c r="BO8468" s="43"/>
    </row>
    <row r="8469" spans="65:67" ht="18.75" customHeight="1">
      <c r="BM8469" s="1025"/>
      <c r="BO8469" s="43"/>
    </row>
    <row r="8470" spans="65:67" ht="18.75" customHeight="1">
      <c r="BM8470" s="1025"/>
      <c r="BO8470" s="43"/>
    </row>
    <row r="8471" spans="65:67" ht="18.75" customHeight="1">
      <c r="BM8471" s="1025"/>
      <c r="BO8471" s="43"/>
    </row>
    <row r="8472" spans="65:67" ht="18.75" customHeight="1">
      <c r="BM8472" s="1025"/>
      <c r="BO8472" s="43"/>
    </row>
    <row r="8473" spans="65:67" ht="18.75" customHeight="1">
      <c r="BM8473" s="1025"/>
      <c r="BO8473" s="43"/>
    </row>
    <row r="8474" spans="65:67" ht="18.75" customHeight="1">
      <c r="BM8474" s="1025"/>
      <c r="BO8474" s="43"/>
    </row>
    <row r="8475" spans="65:67" ht="18.75" customHeight="1">
      <c r="BM8475" s="1025"/>
      <c r="BO8475" s="43"/>
    </row>
    <row r="8476" spans="65:67" ht="18.75" customHeight="1">
      <c r="BM8476" s="1025"/>
      <c r="BO8476" s="43"/>
    </row>
    <row r="8477" spans="65:67" ht="18.75" customHeight="1">
      <c r="BM8477" s="1025"/>
      <c r="BO8477" s="43"/>
    </row>
    <row r="8478" spans="65:67" ht="18.75" customHeight="1">
      <c r="BM8478" s="1025"/>
      <c r="BO8478" s="43"/>
    </row>
    <row r="8479" spans="65:67" ht="18.75" customHeight="1">
      <c r="BM8479" s="1025"/>
      <c r="BO8479" s="43"/>
    </row>
    <row r="8480" spans="65:67" ht="18.75" customHeight="1">
      <c r="BM8480" s="1025"/>
      <c r="BO8480" s="43"/>
    </row>
    <row r="8481" spans="65:67" ht="18.75" customHeight="1">
      <c r="BM8481" s="1025"/>
      <c r="BO8481" s="43"/>
    </row>
    <row r="8482" spans="65:67" ht="18.75" customHeight="1">
      <c r="BM8482" s="1025"/>
      <c r="BO8482" s="43"/>
    </row>
    <row r="8483" spans="65:67" ht="18.75" customHeight="1">
      <c r="BM8483" s="1025"/>
      <c r="BO8483" s="43"/>
    </row>
    <row r="8484" spans="65:67" ht="18.75" customHeight="1">
      <c r="BM8484" s="1025"/>
      <c r="BO8484" s="43"/>
    </row>
    <row r="8485" spans="65:67" ht="18.75" customHeight="1">
      <c r="BM8485" s="1025"/>
      <c r="BO8485" s="43"/>
    </row>
    <row r="8486" spans="65:67" ht="18.75" customHeight="1">
      <c r="BM8486" s="1025"/>
      <c r="BO8486" s="43"/>
    </row>
    <row r="8487" spans="65:67" ht="18.75" customHeight="1">
      <c r="BM8487" s="1025"/>
      <c r="BO8487" s="43"/>
    </row>
    <row r="8488" spans="65:67" ht="18.75" customHeight="1">
      <c r="BM8488" s="1025"/>
      <c r="BO8488" s="43"/>
    </row>
    <row r="8489" spans="65:67" ht="18.75" customHeight="1">
      <c r="BM8489" s="1025"/>
      <c r="BO8489" s="43"/>
    </row>
    <row r="8490" spans="65:67" ht="18.75" customHeight="1">
      <c r="BM8490" s="1025"/>
      <c r="BO8490" s="43"/>
    </row>
    <row r="8491" spans="65:67" ht="18.75" customHeight="1">
      <c r="BM8491" s="1025"/>
      <c r="BO8491" s="43"/>
    </row>
    <row r="8492" spans="65:67" ht="18.75" customHeight="1">
      <c r="BM8492" s="1025"/>
      <c r="BO8492" s="43"/>
    </row>
    <row r="8493" spans="65:67" ht="18.75" customHeight="1">
      <c r="BM8493" s="1025"/>
      <c r="BO8493" s="43"/>
    </row>
    <row r="8494" spans="65:67" ht="18.75" customHeight="1">
      <c r="BM8494" s="1025"/>
      <c r="BO8494" s="43"/>
    </row>
    <row r="8495" spans="65:67" ht="18.75" customHeight="1">
      <c r="BM8495" s="1025"/>
      <c r="BO8495" s="43"/>
    </row>
    <row r="8496" spans="65:67" ht="18.75" customHeight="1">
      <c r="BM8496" s="1025"/>
      <c r="BO8496" s="43"/>
    </row>
    <row r="8497" spans="65:67" ht="18.75" customHeight="1">
      <c r="BM8497" s="1025"/>
      <c r="BO8497" s="43"/>
    </row>
    <row r="8498" spans="65:67" ht="18.75" customHeight="1">
      <c r="BM8498" s="1025"/>
      <c r="BO8498" s="43"/>
    </row>
    <row r="8499" spans="65:67" ht="18.75" customHeight="1">
      <c r="BM8499" s="1025"/>
      <c r="BO8499" s="43"/>
    </row>
    <row r="8500" spans="65:67" ht="18.75" customHeight="1">
      <c r="BM8500" s="1025"/>
      <c r="BO8500" s="43"/>
    </row>
    <row r="8501" spans="65:67" ht="18.75" customHeight="1">
      <c r="BM8501" s="1025"/>
      <c r="BO8501" s="43"/>
    </row>
    <row r="8502" spans="65:67" ht="18.75" customHeight="1">
      <c r="BM8502" s="1025"/>
      <c r="BO8502" s="43"/>
    </row>
    <row r="8503" spans="65:67" ht="18.75" customHeight="1">
      <c r="BM8503" s="1025"/>
      <c r="BO8503" s="43"/>
    </row>
    <row r="8504" spans="65:67" ht="18.75" customHeight="1">
      <c r="BM8504" s="1025"/>
      <c r="BO8504" s="43"/>
    </row>
    <row r="8505" spans="65:67" ht="18.75" customHeight="1">
      <c r="BM8505" s="1025"/>
      <c r="BO8505" s="43"/>
    </row>
    <row r="8506" spans="65:67" ht="18.75" customHeight="1">
      <c r="BM8506" s="1025"/>
      <c r="BO8506" s="43"/>
    </row>
    <row r="8507" spans="65:67" ht="18.75" customHeight="1">
      <c r="BM8507" s="1025"/>
      <c r="BO8507" s="43"/>
    </row>
    <row r="8508" spans="65:67" ht="18.75" customHeight="1">
      <c r="BM8508" s="1025"/>
      <c r="BO8508" s="43"/>
    </row>
    <row r="8509" spans="65:67" ht="18.75" customHeight="1">
      <c r="BM8509" s="1025"/>
      <c r="BO8509" s="43"/>
    </row>
    <row r="8510" spans="65:67" ht="18.75" customHeight="1">
      <c r="BM8510" s="1025"/>
      <c r="BO8510" s="43"/>
    </row>
    <row r="8511" spans="65:67" ht="18.75" customHeight="1">
      <c r="BM8511" s="1025"/>
      <c r="BO8511" s="43"/>
    </row>
    <row r="8512" spans="65:67" ht="18.75" customHeight="1">
      <c r="BM8512" s="1025"/>
      <c r="BO8512" s="43"/>
    </row>
    <row r="8513" spans="65:67" ht="18.75" customHeight="1">
      <c r="BM8513" s="1025"/>
      <c r="BO8513" s="43"/>
    </row>
    <row r="8514" spans="65:67" ht="18.75" customHeight="1">
      <c r="BM8514" s="1025"/>
      <c r="BO8514" s="43"/>
    </row>
    <row r="8515" spans="65:67" ht="18.75" customHeight="1">
      <c r="BM8515" s="1025"/>
      <c r="BO8515" s="43"/>
    </row>
    <row r="8516" spans="65:67" ht="18.75" customHeight="1">
      <c r="BM8516" s="1025"/>
      <c r="BO8516" s="43"/>
    </row>
    <row r="8517" spans="65:67" ht="18.75" customHeight="1">
      <c r="BM8517" s="1025"/>
      <c r="BO8517" s="43"/>
    </row>
    <row r="8518" spans="65:67" ht="18.75" customHeight="1">
      <c r="BM8518" s="1025"/>
      <c r="BO8518" s="43"/>
    </row>
    <row r="8519" spans="65:67" ht="18.75" customHeight="1">
      <c r="BM8519" s="1025"/>
      <c r="BO8519" s="43"/>
    </row>
    <row r="8520" spans="65:67" ht="18.75" customHeight="1">
      <c r="BM8520" s="1025"/>
      <c r="BO8520" s="43"/>
    </row>
    <row r="8521" spans="65:67" ht="18.75" customHeight="1">
      <c r="BM8521" s="1025"/>
      <c r="BO8521" s="43"/>
    </row>
    <row r="8522" spans="65:67" ht="18.75" customHeight="1">
      <c r="BM8522" s="1025"/>
      <c r="BO8522" s="43"/>
    </row>
    <row r="8523" spans="65:67" ht="18.75" customHeight="1">
      <c r="BM8523" s="1025"/>
      <c r="BO8523" s="43"/>
    </row>
    <row r="8524" spans="65:67" ht="18.75" customHeight="1">
      <c r="BM8524" s="1025"/>
      <c r="BO8524" s="43"/>
    </row>
    <row r="8525" spans="65:67" ht="18.75" customHeight="1">
      <c r="BM8525" s="1025"/>
      <c r="BO8525" s="43"/>
    </row>
    <row r="8526" spans="65:67" ht="18.75" customHeight="1">
      <c r="BM8526" s="1025"/>
      <c r="BO8526" s="43"/>
    </row>
    <row r="8527" spans="65:67" ht="18.75" customHeight="1">
      <c r="BM8527" s="1025"/>
      <c r="BO8527" s="43"/>
    </row>
    <row r="8528" spans="65:67" ht="18.75" customHeight="1">
      <c r="BM8528" s="1025"/>
      <c r="BO8528" s="43"/>
    </row>
    <row r="8529" spans="65:67" ht="18.75" customHeight="1">
      <c r="BM8529" s="1025"/>
      <c r="BO8529" s="43"/>
    </row>
    <row r="8530" spans="65:67" ht="18.75" customHeight="1">
      <c r="BM8530" s="1025"/>
      <c r="BO8530" s="43"/>
    </row>
    <row r="8531" spans="65:67" ht="18.75" customHeight="1">
      <c r="BM8531" s="1025"/>
      <c r="BO8531" s="43"/>
    </row>
    <row r="8532" spans="65:67" ht="18.75" customHeight="1">
      <c r="BM8532" s="1025"/>
      <c r="BO8532" s="43"/>
    </row>
    <row r="8533" spans="65:67" ht="18.75" customHeight="1">
      <c r="BM8533" s="1025"/>
      <c r="BO8533" s="43"/>
    </row>
    <row r="8534" spans="65:67" ht="18.75" customHeight="1">
      <c r="BM8534" s="1025"/>
      <c r="BO8534" s="43"/>
    </row>
    <row r="8535" spans="65:67" ht="18.75" customHeight="1">
      <c r="BM8535" s="1025"/>
      <c r="BO8535" s="43"/>
    </row>
    <row r="8536" spans="65:67" ht="18.75" customHeight="1">
      <c r="BM8536" s="1025"/>
      <c r="BO8536" s="43"/>
    </row>
    <row r="8537" spans="65:67" ht="18.75" customHeight="1">
      <c r="BM8537" s="1025"/>
      <c r="BO8537" s="43"/>
    </row>
    <row r="8538" spans="65:67" ht="18.75" customHeight="1">
      <c r="BM8538" s="1025"/>
      <c r="BO8538" s="43"/>
    </row>
    <row r="8539" spans="65:67" ht="18.75" customHeight="1">
      <c r="BM8539" s="1025"/>
      <c r="BO8539" s="43"/>
    </row>
    <row r="8540" spans="65:67" ht="18.75" customHeight="1">
      <c r="BM8540" s="1025"/>
      <c r="BO8540" s="43"/>
    </row>
    <row r="8541" spans="65:67" ht="18.75" customHeight="1">
      <c r="BM8541" s="1025"/>
      <c r="BO8541" s="43"/>
    </row>
    <row r="8542" spans="65:67" ht="18.75" customHeight="1">
      <c r="BM8542" s="1025"/>
      <c r="BO8542" s="43"/>
    </row>
    <row r="8543" spans="65:67" ht="18.75" customHeight="1">
      <c r="BM8543" s="1025"/>
      <c r="BO8543" s="43"/>
    </row>
    <row r="8544" spans="65:67" ht="18.75" customHeight="1">
      <c r="BM8544" s="1025"/>
      <c r="BO8544" s="43"/>
    </row>
    <row r="8545" spans="65:67" ht="18.75" customHeight="1">
      <c r="BM8545" s="1025"/>
      <c r="BO8545" s="43"/>
    </row>
    <row r="8546" spans="65:67" ht="18.75" customHeight="1">
      <c r="BM8546" s="1025"/>
      <c r="BO8546" s="43"/>
    </row>
    <row r="8547" spans="65:67" ht="18.75" customHeight="1">
      <c r="BM8547" s="1025"/>
      <c r="BO8547" s="43"/>
    </row>
    <row r="8548" spans="65:67" ht="18.75" customHeight="1">
      <c r="BM8548" s="1025"/>
      <c r="BO8548" s="43"/>
    </row>
    <row r="8549" spans="65:67" ht="18.75" customHeight="1">
      <c r="BM8549" s="1025"/>
      <c r="BO8549" s="43"/>
    </row>
    <row r="8550" spans="65:67" ht="18.75" customHeight="1">
      <c r="BM8550" s="1025"/>
      <c r="BO8550" s="43"/>
    </row>
    <row r="8551" spans="65:67" ht="18.75" customHeight="1">
      <c r="BM8551" s="1025"/>
      <c r="BO8551" s="43"/>
    </row>
    <row r="8552" spans="65:67" ht="18.75" customHeight="1">
      <c r="BM8552" s="1025"/>
      <c r="BO8552" s="43"/>
    </row>
    <row r="8553" spans="65:67" ht="18.75" customHeight="1">
      <c r="BM8553" s="1025"/>
      <c r="BO8553" s="43"/>
    </row>
    <row r="8554" spans="65:67" ht="18.75" customHeight="1">
      <c r="BM8554" s="1025"/>
      <c r="BO8554" s="43"/>
    </row>
    <row r="8555" spans="65:67" ht="18.75" customHeight="1">
      <c r="BM8555" s="1025"/>
      <c r="BO8555" s="43"/>
    </row>
    <row r="8556" spans="65:67" ht="18.75" customHeight="1">
      <c r="BM8556" s="1025"/>
      <c r="BO8556" s="43"/>
    </row>
    <row r="8557" spans="65:67" ht="18.75" customHeight="1">
      <c r="BM8557" s="1025"/>
      <c r="BO8557" s="43"/>
    </row>
    <row r="8558" spans="65:67" ht="18.75" customHeight="1">
      <c r="BM8558" s="1025"/>
      <c r="BO8558" s="43"/>
    </row>
    <row r="8559" spans="65:67" ht="18.75" customHeight="1">
      <c r="BM8559" s="1025"/>
      <c r="BO8559" s="43"/>
    </row>
    <row r="8560" spans="65:67" ht="18.75" customHeight="1">
      <c r="BM8560" s="1025"/>
      <c r="BO8560" s="43"/>
    </row>
    <row r="8561" spans="65:67" ht="18.75" customHeight="1">
      <c r="BM8561" s="1025"/>
      <c r="BO8561" s="43"/>
    </row>
    <row r="8562" spans="65:67" ht="18.75" customHeight="1">
      <c r="BM8562" s="1025"/>
      <c r="BO8562" s="43"/>
    </row>
    <row r="8563" spans="65:67" ht="18.75" customHeight="1">
      <c r="BM8563" s="1025"/>
      <c r="BO8563" s="43"/>
    </row>
    <row r="8564" spans="65:67" ht="18.75" customHeight="1">
      <c r="BM8564" s="1025"/>
      <c r="BO8564" s="43"/>
    </row>
    <row r="8565" spans="65:67" ht="18.75" customHeight="1">
      <c r="BM8565" s="1025"/>
      <c r="BO8565" s="43"/>
    </row>
    <row r="8566" spans="65:67" ht="18.75" customHeight="1">
      <c r="BM8566" s="1025"/>
      <c r="BO8566" s="43"/>
    </row>
    <row r="8567" spans="65:67" ht="18.75" customHeight="1">
      <c r="BM8567" s="1025"/>
      <c r="BO8567" s="43"/>
    </row>
    <row r="8568" spans="65:67" ht="18.75" customHeight="1">
      <c r="BM8568" s="1025"/>
      <c r="BO8568" s="43"/>
    </row>
    <row r="8569" spans="65:67" ht="18.75" customHeight="1">
      <c r="BM8569" s="1025"/>
      <c r="BO8569" s="43"/>
    </row>
    <row r="8570" spans="65:67" ht="18.75" customHeight="1">
      <c r="BM8570" s="1025"/>
      <c r="BO8570" s="43"/>
    </row>
    <row r="8571" spans="65:67" ht="18.75" customHeight="1">
      <c r="BM8571" s="1025"/>
      <c r="BO8571" s="43"/>
    </row>
    <row r="8572" spans="65:67" ht="18.75" customHeight="1">
      <c r="BM8572" s="1025"/>
      <c r="BO8572" s="43"/>
    </row>
    <row r="8573" spans="65:67" ht="18.75" customHeight="1">
      <c r="BM8573" s="1025"/>
      <c r="BO8573" s="43"/>
    </row>
    <row r="8574" spans="65:67" ht="18.75" customHeight="1">
      <c r="BM8574" s="1025"/>
      <c r="BO8574" s="43"/>
    </row>
    <row r="8575" spans="65:67" ht="18.75" customHeight="1">
      <c r="BM8575" s="1025"/>
      <c r="BO8575" s="43"/>
    </row>
    <row r="8576" spans="65:67" ht="18.75" customHeight="1">
      <c r="BM8576" s="1025"/>
      <c r="BO8576" s="43"/>
    </row>
    <row r="8577" spans="65:67" ht="18.75" customHeight="1">
      <c r="BM8577" s="1025"/>
      <c r="BO8577" s="43"/>
    </row>
    <row r="8578" spans="65:67" ht="18.75" customHeight="1">
      <c r="BM8578" s="1025"/>
      <c r="BO8578" s="43"/>
    </row>
    <row r="8579" spans="65:67" ht="18.75" customHeight="1">
      <c r="BM8579" s="1025"/>
      <c r="BO8579" s="43"/>
    </row>
    <row r="8580" spans="65:67" ht="18.75" customHeight="1">
      <c r="BM8580" s="1025"/>
      <c r="BO8580" s="43"/>
    </row>
    <row r="8581" spans="65:67" ht="18.75" customHeight="1">
      <c r="BM8581" s="1025"/>
      <c r="BO8581" s="43"/>
    </row>
    <row r="8582" spans="65:67" ht="18.75" customHeight="1">
      <c r="BM8582" s="1025"/>
      <c r="BO8582" s="43"/>
    </row>
    <row r="8583" spans="65:67" ht="18.75" customHeight="1">
      <c r="BM8583" s="1025"/>
      <c r="BO8583" s="43"/>
    </row>
    <row r="8584" spans="65:67" ht="18.75" customHeight="1">
      <c r="BM8584" s="1025"/>
      <c r="BO8584" s="43"/>
    </row>
    <row r="8585" spans="65:67" ht="18.75" customHeight="1">
      <c r="BM8585" s="1025"/>
      <c r="BO8585" s="43"/>
    </row>
    <row r="8586" spans="65:67" ht="18.75" customHeight="1">
      <c r="BM8586" s="1025"/>
      <c r="BO8586" s="43"/>
    </row>
    <row r="8587" spans="65:67" ht="18.75" customHeight="1">
      <c r="BM8587" s="1025"/>
      <c r="BO8587" s="43"/>
    </row>
    <row r="8588" spans="65:67" ht="18.75" customHeight="1">
      <c r="BM8588" s="1025"/>
      <c r="BO8588" s="43"/>
    </row>
    <row r="8589" spans="65:67" ht="18.75" customHeight="1">
      <c r="BM8589" s="1025"/>
      <c r="BO8589" s="43"/>
    </row>
    <row r="8590" spans="65:67" ht="18.75" customHeight="1">
      <c r="BM8590" s="1025"/>
      <c r="BO8590" s="43"/>
    </row>
    <row r="8591" spans="65:67" ht="18.75" customHeight="1">
      <c r="BM8591" s="1025"/>
      <c r="BO8591" s="43"/>
    </row>
    <row r="8592" spans="65:67" ht="18.75" customHeight="1">
      <c r="BM8592" s="1025"/>
      <c r="BO8592" s="43"/>
    </row>
    <row r="8593" spans="65:67" ht="18.75" customHeight="1">
      <c r="BM8593" s="1025"/>
      <c r="BO8593" s="43"/>
    </row>
    <row r="8594" spans="65:67" ht="18.75" customHeight="1">
      <c r="BM8594" s="1025"/>
      <c r="BO8594" s="43"/>
    </row>
    <row r="8595" spans="65:67" ht="18.75" customHeight="1">
      <c r="BM8595" s="1025"/>
      <c r="BO8595" s="43"/>
    </row>
    <row r="8596" spans="65:67" ht="18.75" customHeight="1">
      <c r="BM8596" s="1025"/>
      <c r="BO8596" s="43"/>
    </row>
    <row r="8597" spans="65:67" ht="18.75" customHeight="1">
      <c r="BM8597" s="1025"/>
      <c r="BO8597" s="43"/>
    </row>
    <row r="8598" spans="65:67" ht="18.75" customHeight="1">
      <c r="BM8598" s="1025"/>
      <c r="BO8598" s="43"/>
    </row>
    <row r="8599" spans="65:67" ht="18.75" customHeight="1">
      <c r="BM8599" s="1025"/>
      <c r="BO8599" s="43"/>
    </row>
    <row r="8600" spans="65:67" ht="18.75" customHeight="1">
      <c r="BM8600" s="1025"/>
      <c r="BO8600" s="43"/>
    </row>
    <row r="8601" spans="65:67" ht="18.75" customHeight="1">
      <c r="BM8601" s="1025"/>
      <c r="BO8601" s="43"/>
    </row>
    <row r="8602" spans="65:67" ht="18.75" customHeight="1">
      <c r="BM8602" s="1025"/>
      <c r="BO8602" s="43"/>
    </row>
    <row r="8603" spans="65:67" ht="18.75" customHeight="1">
      <c r="BM8603" s="1025"/>
      <c r="BO8603" s="43"/>
    </row>
    <row r="8604" spans="65:67" ht="18.75" customHeight="1">
      <c r="BM8604" s="1025"/>
      <c r="BO8604" s="43"/>
    </row>
    <row r="8605" spans="65:67" ht="18.75" customHeight="1">
      <c r="BM8605" s="1025"/>
      <c r="BO8605" s="43"/>
    </row>
    <row r="8606" spans="65:67" ht="18.75" customHeight="1">
      <c r="BM8606" s="1025"/>
      <c r="BO8606" s="43"/>
    </row>
    <row r="8607" spans="65:67" ht="18.75" customHeight="1">
      <c r="BM8607" s="1025"/>
      <c r="BO8607" s="43"/>
    </row>
    <row r="8608" spans="65:67" ht="18.75" customHeight="1">
      <c r="BM8608" s="1025"/>
      <c r="BO8608" s="43"/>
    </row>
    <row r="8609" spans="65:67" ht="18.75" customHeight="1">
      <c r="BM8609" s="1025"/>
      <c r="BO8609" s="43"/>
    </row>
    <row r="8610" spans="65:67" ht="18.75" customHeight="1">
      <c r="BM8610" s="1025"/>
      <c r="BO8610" s="43"/>
    </row>
    <row r="8611" spans="65:67" ht="18.75" customHeight="1">
      <c r="BM8611" s="1025"/>
      <c r="BO8611" s="43"/>
    </row>
    <row r="8612" spans="65:67" ht="18.75" customHeight="1">
      <c r="BM8612" s="1025"/>
      <c r="BO8612" s="43"/>
    </row>
    <row r="8613" spans="65:67" ht="18.75" customHeight="1">
      <c r="BM8613" s="1025"/>
      <c r="BO8613" s="43"/>
    </row>
    <row r="8614" spans="65:67" ht="18.75" customHeight="1">
      <c r="BM8614" s="1025"/>
      <c r="BO8614" s="43"/>
    </row>
    <row r="8615" spans="65:67" ht="18.75" customHeight="1">
      <c r="BM8615" s="1025"/>
      <c r="BO8615" s="43"/>
    </row>
    <row r="8616" spans="65:67" ht="18.75" customHeight="1">
      <c r="BM8616" s="1025"/>
      <c r="BO8616" s="43"/>
    </row>
    <row r="8617" spans="65:67" ht="18.75" customHeight="1">
      <c r="BM8617" s="1025"/>
      <c r="BO8617" s="43"/>
    </row>
    <row r="8618" spans="65:67" ht="18.75" customHeight="1">
      <c r="BM8618" s="1025"/>
      <c r="BO8618" s="43"/>
    </row>
    <row r="8619" spans="65:67" ht="18.75" customHeight="1">
      <c r="BM8619" s="1025"/>
      <c r="BO8619" s="43"/>
    </row>
    <row r="8620" spans="65:67" ht="18.75" customHeight="1">
      <c r="BM8620" s="1025"/>
      <c r="BO8620" s="43"/>
    </row>
    <row r="8621" spans="65:67" ht="18.75" customHeight="1">
      <c r="BM8621" s="1025"/>
      <c r="BO8621" s="43"/>
    </row>
    <row r="8622" spans="65:67" ht="18.75" customHeight="1">
      <c r="BM8622" s="1025"/>
      <c r="BO8622" s="43"/>
    </row>
    <row r="8623" spans="65:67" ht="18.75" customHeight="1">
      <c r="BM8623" s="1025"/>
      <c r="BO8623" s="43"/>
    </row>
    <row r="8624" spans="65:67" ht="18.75" customHeight="1">
      <c r="BM8624" s="1025"/>
      <c r="BO8624" s="43"/>
    </row>
    <row r="8625" spans="65:67" ht="18.75" customHeight="1">
      <c r="BM8625" s="1025"/>
      <c r="BO8625" s="43"/>
    </row>
    <row r="8626" spans="65:67" ht="18.75" customHeight="1">
      <c r="BM8626" s="1025"/>
      <c r="BO8626" s="43"/>
    </row>
    <row r="8627" spans="65:67" ht="18.75" customHeight="1">
      <c r="BM8627" s="1025"/>
      <c r="BO8627" s="43"/>
    </row>
    <row r="8628" spans="65:67" ht="18.75" customHeight="1">
      <c r="BM8628" s="1025"/>
      <c r="BO8628" s="43"/>
    </row>
    <row r="8629" spans="65:67" ht="18.75" customHeight="1">
      <c r="BM8629" s="1025"/>
      <c r="BO8629" s="43"/>
    </row>
    <row r="8630" spans="65:67" ht="18.75" customHeight="1">
      <c r="BM8630" s="1025"/>
      <c r="BO8630" s="43"/>
    </row>
    <row r="8631" spans="65:67" ht="18.75" customHeight="1">
      <c r="BM8631" s="1025"/>
      <c r="BO8631" s="43"/>
    </row>
    <row r="8632" spans="65:67" ht="18.75" customHeight="1">
      <c r="BM8632" s="1025"/>
      <c r="BO8632" s="43"/>
    </row>
    <row r="8633" spans="65:67" ht="18.75" customHeight="1">
      <c r="BM8633" s="1025"/>
      <c r="BO8633" s="43"/>
    </row>
    <row r="8634" spans="65:67" ht="18.75" customHeight="1">
      <c r="BM8634" s="1025"/>
      <c r="BO8634" s="43"/>
    </row>
    <row r="8635" spans="65:67" ht="18.75" customHeight="1">
      <c r="BM8635" s="1025"/>
      <c r="BO8635" s="43"/>
    </row>
    <row r="8636" spans="65:67" ht="18.75" customHeight="1">
      <c r="BM8636" s="1025"/>
      <c r="BO8636" s="43"/>
    </row>
    <row r="8637" spans="65:67" ht="18.75" customHeight="1">
      <c r="BM8637" s="1025"/>
      <c r="BO8637" s="43"/>
    </row>
    <row r="8638" spans="65:67" ht="18.75" customHeight="1">
      <c r="BM8638" s="1025"/>
      <c r="BO8638" s="43"/>
    </row>
    <row r="8639" spans="65:67" ht="18.75" customHeight="1">
      <c r="BM8639" s="1025"/>
      <c r="BO8639" s="43"/>
    </row>
    <row r="8640" spans="65:67" ht="18.75" customHeight="1">
      <c r="BM8640" s="1025"/>
      <c r="BO8640" s="43"/>
    </row>
    <row r="8641" spans="65:67" ht="18.75" customHeight="1">
      <c r="BM8641" s="1025"/>
      <c r="BO8641" s="43"/>
    </row>
    <row r="8642" spans="65:67" ht="18.75" customHeight="1">
      <c r="BM8642" s="1025"/>
      <c r="BO8642" s="43"/>
    </row>
    <row r="8643" spans="65:67" ht="18.75" customHeight="1">
      <c r="BM8643" s="1025"/>
      <c r="BO8643" s="43"/>
    </row>
    <row r="8644" spans="65:67" ht="18.75" customHeight="1">
      <c r="BM8644" s="1025"/>
      <c r="BO8644" s="43"/>
    </row>
    <row r="8645" spans="65:67" ht="18.75" customHeight="1">
      <c r="BM8645" s="1025"/>
      <c r="BO8645" s="43"/>
    </row>
    <row r="8646" spans="65:67" ht="18.75" customHeight="1">
      <c r="BM8646" s="1025"/>
      <c r="BO8646" s="43"/>
    </row>
    <row r="8647" spans="65:67" ht="18.75" customHeight="1">
      <c r="BM8647" s="1025"/>
      <c r="BO8647" s="43"/>
    </row>
    <row r="8648" spans="65:67" ht="18.75" customHeight="1">
      <c r="BM8648" s="1025"/>
      <c r="BO8648" s="43"/>
    </row>
    <row r="8649" spans="65:67" ht="18.75" customHeight="1">
      <c r="BM8649" s="1025"/>
      <c r="BO8649" s="43"/>
    </row>
    <row r="8650" spans="65:67" ht="18.75" customHeight="1">
      <c r="BM8650" s="1025"/>
      <c r="BO8650" s="43"/>
    </row>
    <row r="8651" spans="65:67" ht="18.75" customHeight="1">
      <c r="BM8651" s="1025"/>
      <c r="BO8651" s="43"/>
    </row>
    <row r="8652" spans="65:67" ht="18.75" customHeight="1">
      <c r="BM8652" s="1025"/>
      <c r="BO8652" s="43"/>
    </row>
    <row r="8653" spans="65:67" ht="18.75" customHeight="1">
      <c r="BM8653" s="1025"/>
      <c r="BO8653" s="43"/>
    </row>
    <row r="8654" spans="65:67" ht="18.75" customHeight="1">
      <c r="BM8654" s="1025"/>
      <c r="BO8654" s="43"/>
    </row>
    <row r="8655" spans="65:67" ht="18.75" customHeight="1">
      <c r="BM8655" s="1025"/>
      <c r="BO8655" s="43"/>
    </row>
    <row r="8656" spans="65:67" ht="18.75" customHeight="1">
      <c r="BM8656" s="1025"/>
      <c r="BO8656" s="43"/>
    </row>
    <row r="8657" spans="65:67" ht="18.75" customHeight="1">
      <c r="BM8657" s="1025"/>
      <c r="BO8657" s="43"/>
    </row>
    <row r="8658" spans="65:67" ht="18.75" customHeight="1">
      <c r="BM8658" s="1025"/>
      <c r="BO8658" s="43"/>
    </row>
    <row r="8659" spans="65:67" ht="18.75" customHeight="1">
      <c r="BM8659" s="1025"/>
      <c r="BO8659" s="43"/>
    </row>
    <row r="8660" spans="65:67" ht="18.75" customHeight="1">
      <c r="BM8660" s="1025"/>
      <c r="BO8660" s="43"/>
    </row>
    <row r="8661" spans="65:67" ht="18.75" customHeight="1">
      <c r="BM8661" s="1025"/>
      <c r="BO8661" s="43"/>
    </row>
    <row r="8662" spans="65:67" ht="18.75" customHeight="1">
      <c r="BM8662" s="1025"/>
      <c r="BO8662" s="43"/>
    </row>
    <row r="8663" spans="65:67" ht="18.75" customHeight="1">
      <c r="BM8663" s="1025"/>
      <c r="BO8663" s="43"/>
    </row>
    <row r="8664" spans="65:67" ht="18.75" customHeight="1">
      <c r="BM8664" s="1025"/>
      <c r="BO8664" s="43"/>
    </row>
    <row r="8665" spans="65:67" ht="18.75" customHeight="1">
      <c r="BM8665" s="1025"/>
      <c r="BO8665" s="43"/>
    </row>
    <row r="8666" spans="65:67" ht="18.75" customHeight="1">
      <c r="BM8666" s="1025"/>
      <c r="BO8666" s="43"/>
    </row>
    <row r="8667" spans="65:67" ht="18.75" customHeight="1">
      <c r="BM8667" s="1025"/>
      <c r="BO8667" s="43"/>
    </row>
    <row r="8668" spans="65:67" ht="18.75" customHeight="1">
      <c r="BM8668" s="1025"/>
      <c r="BO8668" s="43"/>
    </row>
    <row r="8669" spans="65:67" ht="18.75" customHeight="1">
      <c r="BM8669" s="1025"/>
      <c r="BO8669" s="43"/>
    </row>
    <row r="8670" spans="65:67" ht="18.75" customHeight="1">
      <c r="BM8670" s="1025"/>
      <c r="BO8670" s="43"/>
    </row>
    <row r="8671" spans="65:67" ht="18.75" customHeight="1">
      <c r="BM8671" s="1025"/>
      <c r="BO8671" s="43"/>
    </row>
    <row r="8672" spans="65:67" ht="18.75" customHeight="1">
      <c r="BM8672" s="1025"/>
      <c r="BO8672" s="43"/>
    </row>
    <row r="8673" spans="65:67" ht="18.75" customHeight="1">
      <c r="BM8673" s="1025"/>
      <c r="BO8673" s="43"/>
    </row>
    <row r="8674" spans="65:67" ht="18.75" customHeight="1">
      <c r="BM8674" s="1025"/>
      <c r="BO8674" s="43"/>
    </row>
    <row r="8675" spans="65:67" ht="18.75" customHeight="1">
      <c r="BM8675" s="1025"/>
      <c r="BO8675" s="43"/>
    </row>
    <row r="8676" spans="65:67" ht="18.75" customHeight="1">
      <c r="BM8676" s="1025"/>
      <c r="BO8676" s="43"/>
    </row>
    <row r="8677" spans="65:67" ht="18.75" customHeight="1">
      <c r="BM8677" s="1025"/>
      <c r="BO8677" s="43"/>
    </row>
    <row r="8678" spans="65:67" ht="18.75" customHeight="1">
      <c r="BM8678" s="1025"/>
      <c r="BO8678" s="43"/>
    </row>
    <row r="8679" spans="65:67" ht="18.75" customHeight="1">
      <c r="BM8679" s="1025"/>
      <c r="BO8679" s="43"/>
    </row>
    <row r="8680" spans="65:67" ht="18.75" customHeight="1">
      <c r="BM8680" s="1025"/>
      <c r="BO8680" s="43"/>
    </row>
    <row r="8681" spans="65:67" ht="18.75" customHeight="1">
      <c r="BM8681" s="1025"/>
      <c r="BO8681" s="43"/>
    </row>
    <row r="8682" spans="65:67" ht="18.75" customHeight="1">
      <c r="BM8682" s="1025"/>
      <c r="BO8682" s="43"/>
    </row>
    <row r="8683" spans="65:67" ht="18.75" customHeight="1">
      <c r="BM8683" s="1025"/>
      <c r="BO8683" s="43"/>
    </row>
    <row r="8684" spans="65:67" ht="18.75" customHeight="1">
      <c r="BM8684" s="1025"/>
      <c r="BO8684" s="43"/>
    </row>
    <row r="8685" spans="65:67" ht="18.75" customHeight="1">
      <c r="BM8685" s="1025"/>
      <c r="BO8685" s="43"/>
    </row>
    <row r="8686" spans="65:67" ht="18.75" customHeight="1">
      <c r="BM8686" s="1025"/>
      <c r="BO8686" s="43"/>
    </row>
    <row r="8687" spans="65:67" ht="18.75" customHeight="1">
      <c r="BM8687" s="1025"/>
      <c r="BO8687" s="43"/>
    </row>
    <row r="8688" spans="65:67" ht="18.75" customHeight="1">
      <c r="BM8688" s="1025"/>
      <c r="BO8688" s="43"/>
    </row>
    <row r="8689" spans="65:67" ht="18.75" customHeight="1">
      <c r="BM8689" s="1025"/>
      <c r="BO8689" s="43"/>
    </row>
    <row r="8690" spans="65:67" ht="18.75" customHeight="1">
      <c r="BM8690" s="1025"/>
      <c r="BO8690" s="43"/>
    </row>
    <row r="8691" spans="65:67" ht="18.75" customHeight="1">
      <c r="BM8691" s="1025"/>
      <c r="BO8691" s="43"/>
    </row>
    <row r="8692" spans="65:67" ht="18.75" customHeight="1">
      <c r="BM8692" s="1025"/>
      <c r="BO8692" s="43"/>
    </row>
    <row r="8693" spans="65:67" ht="18.75" customHeight="1">
      <c r="BM8693" s="1025"/>
      <c r="BO8693" s="43"/>
    </row>
    <row r="8694" spans="65:67" ht="18.75" customHeight="1">
      <c r="BM8694" s="1025"/>
      <c r="BO8694" s="43"/>
    </row>
    <row r="8695" spans="65:67" ht="18.75" customHeight="1">
      <c r="BM8695" s="1025"/>
      <c r="BO8695" s="43"/>
    </row>
    <row r="8696" spans="65:67" ht="18.75" customHeight="1">
      <c r="BM8696" s="1025"/>
      <c r="BO8696" s="43"/>
    </row>
    <row r="8697" spans="65:67" ht="18.75" customHeight="1">
      <c r="BM8697" s="1025"/>
      <c r="BO8697" s="43"/>
    </row>
    <row r="8698" spans="65:67" ht="18.75" customHeight="1">
      <c r="BM8698" s="1025"/>
      <c r="BO8698" s="43"/>
    </row>
    <row r="8699" spans="65:67" ht="18.75" customHeight="1">
      <c r="BM8699" s="1025"/>
      <c r="BO8699" s="43"/>
    </row>
    <row r="8700" spans="65:67" ht="18.75" customHeight="1">
      <c r="BM8700" s="1025"/>
      <c r="BO8700" s="43"/>
    </row>
    <row r="8701" spans="65:67" ht="18.75" customHeight="1">
      <c r="BM8701" s="1025"/>
      <c r="BO8701" s="43"/>
    </row>
    <row r="8702" spans="65:67" ht="18.75" customHeight="1">
      <c r="BM8702" s="1025"/>
      <c r="BO8702" s="43"/>
    </row>
    <row r="8703" spans="65:67" ht="18.75" customHeight="1">
      <c r="BM8703" s="1025"/>
      <c r="BO8703" s="43"/>
    </row>
    <row r="8704" spans="65:67" ht="18.75" customHeight="1">
      <c r="BM8704" s="1025"/>
      <c r="BO8704" s="43"/>
    </row>
    <row r="8705" spans="65:67" ht="18.75" customHeight="1">
      <c r="BM8705" s="1025"/>
      <c r="BO8705" s="43"/>
    </row>
    <row r="8706" spans="65:67" ht="18.75" customHeight="1">
      <c r="BM8706" s="1025"/>
      <c r="BO8706" s="43"/>
    </row>
    <row r="8707" spans="65:67" ht="18.75" customHeight="1">
      <c r="BM8707" s="1025"/>
      <c r="BO8707" s="43"/>
    </row>
    <row r="8708" spans="65:67" ht="18.75" customHeight="1">
      <c r="BM8708" s="1025"/>
      <c r="BO8708" s="43"/>
    </row>
    <row r="8709" spans="65:67" ht="18.75" customHeight="1">
      <c r="BM8709" s="1025"/>
      <c r="BO8709" s="43"/>
    </row>
    <row r="8710" spans="65:67" ht="18.75" customHeight="1">
      <c r="BM8710" s="1025"/>
      <c r="BO8710" s="43"/>
    </row>
    <row r="8711" spans="65:67" ht="18.75" customHeight="1">
      <c r="BM8711" s="1025"/>
      <c r="BO8711" s="43"/>
    </row>
    <row r="8712" spans="65:67" ht="18.75" customHeight="1">
      <c r="BM8712" s="1025"/>
      <c r="BO8712" s="43"/>
    </row>
    <row r="8713" spans="65:67" ht="18.75" customHeight="1">
      <c r="BM8713" s="1025"/>
      <c r="BO8713" s="43"/>
    </row>
    <row r="8714" spans="65:67" ht="18.75" customHeight="1">
      <c r="BM8714" s="1025"/>
      <c r="BO8714" s="43"/>
    </row>
    <row r="8715" spans="65:67" ht="18.75" customHeight="1">
      <c r="BM8715" s="1025"/>
      <c r="BO8715" s="43"/>
    </row>
    <row r="8716" spans="65:67" ht="18.75" customHeight="1">
      <c r="BM8716" s="1025"/>
      <c r="BO8716" s="43"/>
    </row>
    <row r="8717" spans="65:67" ht="18.75" customHeight="1">
      <c r="BM8717" s="1025"/>
      <c r="BO8717" s="43"/>
    </row>
    <row r="8718" spans="65:67" ht="18.75" customHeight="1">
      <c r="BM8718" s="1025"/>
      <c r="BO8718" s="43"/>
    </row>
    <row r="8719" spans="65:67" ht="18.75" customHeight="1">
      <c r="BM8719" s="1025"/>
      <c r="BO8719" s="43"/>
    </row>
    <row r="8720" spans="65:67" ht="18.75" customHeight="1">
      <c r="BM8720" s="1025"/>
      <c r="BO8720" s="43"/>
    </row>
    <row r="8721" spans="65:67" ht="18.75" customHeight="1">
      <c r="BM8721" s="1025"/>
      <c r="BO8721" s="43"/>
    </row>
    <row r="8722" spans="65:67" ht="18.75" customHeight="1">
      <c r="BM8722" s="1025"/>
      <c r="BO8722" s="43"/>
    </row>
    <row r="8723" spans="65:67" ht="18.75" customHeight="1">
      <c r="BM8723" s="1025"/>
      <c r="BO8723" s="43"/>
    </row>
    <row r="8724" spans="65:67" ht="18.75" customHeight="1">
      <c r="BM8724" s="1025"/>
      <c r="BO8724" s="43"/>
    </row>
    <row r="8725" spans="65:67" ht="18.75" customHeight="1">
      <c r="BM8725" s="1025"/>
      <c r="BO8725" s="43"/>
    </row>
    <row r="8726" spans="65:67" ht="18.75" customHeight="1">
      <c r="BM8726" s="1025"/>
      <c r="BO8726" s="43"/>
    </row>
    <row r="8727" spans="65:67" ht="18.75" customHeight="1">
      <c r="BM8727" s="1025"/>
      <c r="BO8727" s="43"/>
    </row>
    <row r="8728" spans="65:67" ht="18.75" customHeight="1">
      <c r="BM8728" s="1025"/>
      <c r="BO8728" s="43"/>
    </row>
    <row r="8729" spans="65:67" ht="18.75" customHeight="1">
      <c r="BM8729" s="1025"/>
      <c r="BO8729" s="43"/>
    </row>
    <row r="8730" spans="65:67" ht="18.75" customHeight="1">
      <c r="BM8730" s="1025"/>
      <c r="BO8730" s="43"/>
    </row>
    <row r="8731" spans="65:67" ht="18.75" customHeight="1">
      <c r="BM8731" s="1025"/>
      <c r="BO8731" s="43"/>
    </row>
    <row r="8732" spans="65:67" ht="18.75" customHeight="1">
      <c r="BM8732" s="1025"/>
      <c r="BO8732" s="43"/>
    </row>
    <row r="8733" spans="65:67" ht="18.75" customHeight="1">
      <c r="BM8733" s="1025"/>
      <c r="BO8733" s="43"/>
    </row>
    <row r="8734" spans="65:67" ht="18.75" customHeight="1">
      <c r="BM8734" s="1025"/>
      <c r="BO8734" s="43"/>
    </row>
    <row r="8735" spans="65:67" ht="18.75" customHeight="1">
      <c r="BM8735" s="1025"/>
      <c r="BO8735" s="43"/>
    </row>
    <row r="8736" spans="65:67" ht="18.75" customHeight="1">
      <c r="BM8736" s="1025"/>
      <c r="BO8736" s="43"/>
    </row>
    <row r="8737" spans="65:67" ht="18.75" customHeight="1">
      <c r="BM8737" s="1025"/>
      <c r="BO8737" s="43"/>
    </row>
    <row r="8738" spans="65:67" ht="18.75" customHeight="1">
      <c r="BM8738" s="1025"/>
      <c r="BO8738" s="43"/>
    </row>
    <row r="8739" spans="65:67" ht="18.75" customHeight="1">
      <c r="BM8739" s="1025"/>
      <c r="BO8739" s="43"/>
    </row>
    <row r="8740" spans="65:67" ht="18.75" customHeight="1">
      <c r="BM8740" s="1025"/>
      <c r="BO8740" s="43"/>
    </row>
    <row r="8741" spans="65:67" ht="18.75" customHeight="1">
      <c r="BM8741" s="1025"/>
      <c r="BO8741" s="43"/>
    </row>
    <row r="8742" spans="65:67" ht="18.75" customHeight="1">
      <c r="BM8742" s="1025"/>
      <c r="BO8742" s="43"/>
    </row>
    <row r="8743" spans="65:67" ht="18.75" customHeight="1">
      <c r="BM8743" s="1025"/>
      <c r="BO8743" s="43"/>
    </row>
    <row r="8744" spans="65:67" ht="18.75" customHeight="1">
      <c r="BM8744" s="1025"/>
      <c r="BO8744" s="43"/>
    </row>
    <row r="8745" spans="65:67" ht="18.75" customHeight="1">
      <c r="BM8745" s="1025"/>
      <c r="BO8745" s="43"/>
    </row>
    <row r="8746" spans="65:67" ht="18.75" customHeight="1">
      <c r="BM8746" s="1025"/>
      <c r="BO8746" s="43"/>
    </row>
    <row r="8747" spans="65:67" ht="18.75" customHeight="1">
      <c r="BM8747" s="1025"/>
      <c r="BO8747" s="43"/>
    </row>
    <row r="8748" spans="65:67" ht="18.75" customHeight="1">
      <c r="BM8748" s="1025"/>
      <c r="BO8748" s="43"/>
    </row>
    <row r="8749" spans="65:67" ht="18.75" customHeight="1">
      <c r="BM8749" s="1025"/>
      <c r="BO8749" s="43"/>
    </row>
    <row r="8750" spans="65:67" ht="18.75" customHeight="1">
      <c r="BM8750" s="1025"/>
      <c r="BO8750" s="43"/>
    </row>
    <row r="8751" spans="65:67" ht="18.75" customHeight="1">
      <c r="BM8751" s="1025"/>
      <c r="BO8751" s="43"/>
    </row>
    <row r="8752" spans="65:67" ht="18.75" customHeight="1">
      <c r="BM8752" s="1025"/>
      <c r="BO8752" s="43"/>
    </row>
    <row r="8753" spans="65:67" ht="18.75" customHeight="1">
      <c r="BM8753" s="1025"/>
      <c r="BO8753" s="43"/>
    </row>
    <row r="8754" spans="65:67" ht="18.75" customHeight="1">
      <c r="BM8754" s="1025"/>
      <c r="BO8754" s="43"/>
    </row>
    <row r="8755" spans="65:67" ht="18.75" customHeight="1">
      <c r="BM8755" s="1025"/>
      <c r="BO8755" s="43"/>
    </row>
    <row r="8756" spans="65:67" ht="18.75" customHeight="1">
      <c r="BM8756" s="1025"/>
      <c r="BO8756" s="43"/>
    </row>
    <row r="8757" spans="65:67" ht="18.75" customHeight="1">
      <c r="BM8757" s="1025"/>
      <c r="BO8757" s="43"/>
    </row>
    <row r="8758" spans="65:67" ht="18.75" customHeight="1">
      <c r="BM8758" s="1025"/>
      <c r="BO8758" s="43"/>
    </row>
    <row r="8759" spans="65:67" ht="18.75" customHeight="1">
      <c r="BM8759" s="1025"/>
      <c r="BO8759" s="43"/>
    </row>
    <row r="8760" spans="65:67" ht="18.75" customHeight="1">
      <c r="BM8760" s="1025"/>
      <c r="BO8760" s="43"/>
    </row>
    <row r="8761" spans="65:67" ht="18.75" customHeight="1">
      <c r="BM8761" s="1025"/>
      <c r="BO8761" s="43"/>
    </row>
    <row r="8762" spans="65:67" ht="18.75" customHeight="1">
      <c r="BM8762" s="1025"/>
      <c r="BO8762" s="43"/>
    </row>
    <row r="8763" spans="65:67" ht="18.75" customHeight="1">
      <c r="BM8763" s="1025"/>
      <c r="BO8763" s="43"/>
    </row>
    <row r="8764" spans="65:67" ht="18.75" customHeight="1">
      <c r="BM8764" s="1025"/>
      <c r="BO8764" s="43"/>
    </row>
    <row r="8765" spans="65:67" ht="18.75" customHeight="1">
      <c r="BM8765" s="1025"/>
      <c r="BO8765" s="43"/>
    </row>
    <row r="8766" spans="65:67" ht="18.75" customHeight="1">
      <c r="BM8766" s="1025"/>
      <c r="BO8766" s="43"/>
    </row>
    <row r="8767" spans="65:67" ht="18.75" customHeight="1">
      <c r="BM8767" s="1025"/>
      <c r="BO8767" s="43"/>
    </row>
    <row r="8768" spans="65:67" ht="18.75" customHeight="1">
      <c r="BM8768" s="1025"/>
      <c r="BO8768" s="43"/>
    </row>
    <row r="8769" spans="65:67" ht="18.75" customHeight="1">
      <c r="BM8769" s="1025"/>
      <c r="BO8769" s="43"/>
    </row>
    <row r="8770" spans="65:67" ht="18.75" customHeight="1">
      <c r="BM8770" s="1025"/>
      <c r="BO8770" s="43"/>
    </row>
    <row r="8771" spans="65:67" ht="18.75" customHeight="1">
      <c r="BM8771" s="1025"/>
      <c r="BO8771" s="43"/>
    </row>
    <row r="8772" spans="65:67" ht="18.75" customHeight="1">
      <c r="BM8772" s="1025"/>
      <c r="BO8772" s="43"/>
    </row>
    <row r="8773" spans="65:67" ht="18.75" customHeight="1">
      <c r="BM8773" s="1025"/>
      <c r="BO8773" s="43"/>
    </row>
    <row r="8774" spans="65:67" ht="18.75" customHeight="1">
      <c r="BM8774" s="1025"/>
      <c r="BO8774" s="43"/>
    </row>
    <row r="8775" spans="65:67" ht="18.75" customHeight="1">
      <c r="BM8775" s="1025"/>
      <c r="BO8775" s="43"/>
    </row>
    <row r="8776" spans="65:67" ht="18.75" customHeight="1">
      <c r="BM8776" s="1025"/>
      <c r="BO8776" s="43"/>
    </row>
    <row r="8777" spans="65:67" ht="18.75" customHeight="1">
      <c r="BM8777" s="1025"/>
      <c r="BO8777" s="43"/>
    </row>
    <row r="8778" spans="65:67" ht="18.75" customHeight="1">
      <c r="BM8778" s="1025"/>
      <c r="BO8778" s="43"/>
    </row>
    <row r="8779" spans="65:67" ht="18.75" customHeight="1">
      <c r="BM8779" s="1025"/>
      <c r="BO8779" s="43"/>
    </row>
    <row r="8780" spans="65:67" ht="18.75" customHeight="1">
      <c r="BM8780" s="1025"/>
      <c r="BO8780" s="43"/>
    </row>
    <row r="8781" spans="65:67" ht="18.75" customHeight="1">
      <c r="BM8781" s="1025"/>
      <c r="BO8781" s="43"/>
    </row>
    <row r="8782" spans="65:67" ht="18.75" customHeight="1">
      <c r="BM8782" s="1025"/>
      <c r="BO8782" s="43"/>
    </row>
    <row r="8783" spans="65:67" ht="18.75" customHeight="1">
      <c r="BM8783" s="1025"/>
      <c r="BO8783" s="43"/>
    </row>
    <row r="8784" spans="65:67" ht="18.75" customHeight="1">
      <c r="BM8784" s="1025"/>
      <c r="BO8784" s="43"/>
    </row>
    <row r="8785" spans="65:67" ht="18.75" customHeight="1">
      <c r="BM8785" s="1025"/>
      <c r="BO8785" s="43"/>
    </row>
    <row r="8786" spans="65:67" ht="18.75" customHeight="1">
      <c r="BM8786" s="1025"/>
      <c r="BO8786" s="43"/>
    </row>
    <row r="8787" spans="65:67" ht="18.75" customHeight="1">
      <c r="BM8787" s="1025"/>
      <c r="BO8787" s="43"/>
    </row>
    <row r="8788" spans="65:67" ht="18.75" customHeight="1">
      <c r="BM8788" s="1025"/>
      <c r="BO8788" s="43"/>
    </row>
    <row r="8789" spans="65:67" ht="18.75" customHeight="1">
      <c r="BM8789" s="1025"/>
      <c r="BO8789" s="43"/>
    </row>
    <row r="8790" spans="65:67" ht="18.75" customHeight="1">
      <c r="BM8790" s="1025"/>
      <c r="BO8790" s="43"/>
    </row>
    <row r="8791" spans="65:67" ht="18.75" customHeight="1">
      <c r="BM8791" s="1025"/>
      <c r="BO8791" s="43"/>
    </row>
    <row r="8792" spans="65:67" ht="18.75" customHeight="1">
      <c r="BM8792" s="1025"/>
      <c r="BO8792" s="43"/>
    </row>
    <row r="8793" spans="65:67" ht="18.75" customHeight="1">
      <c r="BM8793" s="1025"/>
      <c r="BO8793" s="43"/>
    </row>
    <row r="8794" spans="65:67" ht="18.75" customHeight="1">
      <c r="BM8794" s="1025"/>
      <c r="BO8794" s="43"/>
    </row>
    <row r="8795" spans="65:67" ht="18.75" customHeight="1">
      <c r="BM8795" s="1025"/>
      <c r="BO8795" s="43"/>
    </row>
    <row r="8796" spans="65:67" ht="18.75" customHeight="1">
      <c r="BM8796" s="1025"/>
      <c r="BO8796" s="43"/>
    </row>
    <row r="8797" spans="65:67" ht="18.75" customHeight="1">
      <c r="BM8797" s="1025"/>
      <c r="BO8797" s="43"/>
    </row>
    <row r="8798" spans="65:67" ht="18.75" customHeight="1">
      <c r="BM8798" s="1025"/>
      <c r="BO8798" s="43"/>
    </row>
    <row r="8799" spans="65:67" ht="18.75" customHeight="1">
      <c r="BM8799" s="1025"/>
      <c r="BO8799" s="43"/>
    </row>
    <row r="8800" spans="65:67" ht="18.75" customHeight="1">
      <c r="BM8800" s="1025"/>
      <c r="BO8800" s="43"/>
    </row>
    <row r="8801" spans="65:67" ht="18.75" customHeight="1">
      <c r="BM8801" s="1025"/>
      <c r="BO8801" s="43"/>
    </row>
    <row r="8802" spans="65:67" ht="18.75" customHeight="1">
      <c r="BM8802" s="1025"/>
      <c r="BO8802" s="43"/>
    </row>
    <row r="8803" spans="65:67" ht="18.75" customHeight="1">
      <c r="BM8803" s="1025"/>
      <c r="BO8803" s="43"/>
    </row>
    <row r="8804" spans="65:67" ht="18.75" customHeight="1">
      <c r="BM8804" s="1025"/>
      <c r="BO8804" s="43"/>
    </row>
    <row r="8805" spans="65:67" ht="18.75" customHeight="1">
      <c r="BM8805" s="1025"/>
      <c r="BO8805" s="43"/>
    </row>
    <row r="8806" spans="65:67" ht="18.75" customHeight="1">
      <c r="BM8806" s="1025"/>
      <c r="BO8806" s="43"/>
    </row>
    <row r="8807" spans="65:67" ht="18.75" customHeight="1">
      <c r="BM8807" s="1025"/>
      <c r="BO8807" s="43"/>
    </row>
    <row r="8808" spans="65:67" ht="18.75" customHeight="1">
      <c r="BM8808" s="1025"/>
      <c r="BO8808" s="43"/>
    </row>
    <row r="8809" spans="65:67" ht="18.75" customHeight="1">
      <c r="BM8809" s="1025"/>
      <c r="BO8809" s="43"/>
    </row>
    <row r="8810" spans="65:67" ht="18.75" customHeight="1">
      <c r="BM8810" s="1025"/>
      <c r="BO8810" s="43"/>
    </row>
    <row r="8811" spans="65:67" ht="18.75" customHeight="1">
      <c r="BM8811" s="1025"/>
      <c r="BO8811" s="43"/>
    </row>
    <row r="8812" spans="65:67" ht="18.75" customHeight="1">
      <c r="BM8812" s="1025"/>
      <c r="BO8812" s="43"/>
    </row>
    <row r="8813" spans="65:67" ht="18.75" customHeight="1">
      <c r="BM8813" s="1025"/>
      <c r="BO8813" s="43"/>
    </row>
    <row r="8814" spans="65:67" ht="18.75" customHeight="1">
      <c r="BM8814" s="1025"/>
      <c r="BO8814" s="43"/>
    </row>
    <row r="8815" spans="65:67" ht="18.75" customHeight="1">
      <c r="BM8815" s="1025"/>
      <c r="BO8815" s="43"/>
    </row>
    <row r="8816" spans="65:67" ht="18.75" customHeight="1">
      <c r="BM8816" s="1025"/>
      <c r="BO8816" s="43"/>
    </row>
    <row r="8817" spans="65:67" ht="18.75" customHeight="1">
      <c r="BM8817" s="1025"/>
      <c r="BO8817" s="43"/>
    </row>
    <row r="8818" spans="65:67" ht="18.75" customHeight="1">
      <c r="BM8818" s="1025"/>
      <c r="BO8818" s="43"/>
    </row>
    <row r="8819" spans="65:67" ht="18.75" customHeight="1">
      <c r="BM8819" s="1025"/>
      <c r="BO8819" s="43"/>
    </row>
    <row r="8820" spans="65:67" ht="18.75" customHeight="1">
      <c r="BM8820" s="1025"/>
      <c r="BO8820" s="43"/>
    </row>
    <row r="8821" spans="65:67" ht="18.75" customHeight="1">
      <c r="BM8821" s="1025"/>
      <c r="BO8821" s="43"/>
    </row>
    <row r="8822" spans="65:67" ht="18.75" customHeight="1">
      <c r="BM8822" s="1025"/>
      <c r="BO8822" s="43"/>
    </row>
    <row r="8823" spans="65:67" ht="18.75" customHeight="1">
      <c r="BM8823" s="1025"/>
      <c r="BO8823" s="43"/>
    </row>
    <row r="8824" spans="65:67" ht="18.75" customHeight="1">
      <c r="BM8824" s="1025"/>
      <c r="BO8824" s="43"/>
    </row>
    <row r="8825" spans="65:67" ht="18.75" customHeight="1">
      <c r="BM8825" s="1025"/>
      <c r="BO8825" s="43"/>
    </row>
    <row r="8826" spans="65:67" ht="18.75" customHeight="1">
      <c r="BM8826" s="1025"/>
      <c r="BO8826" s="43"/>
    </row>
    <row r="8827" spans="65:67" ht="18.75" customHeight="1">
      <c r="BM8827" s="1025"/>
      <c r="BO8827" s="43"/>
    </row>
    <row r="8828" spans="65:67" ht="18.75" customHeight="1">
      <c r="BM8828" s="1025"/>
      <c r="BO8828" s="43"/>
    </row>
    <row r="8829" spans="65:67" ht="18.75" customHeight="1">
      <c r="BM8829" s="1025"/>
      <c r="BO8829" s="43"/>
    </row>
    <row r="8830" spans="65:67" ht="18.75" customHeight="1">
      <c r="BM8830" s="1025"/>
      <c r="BO8830" s="43"/>
    </row>
    <row r="8831" spans="65:67" ht="18.75" customHeight="1">
      <c r="BM8831" s="1025"/>
      <c r="BO8831" s="43"/>
    </row>
    <row r="8832" spans="65:67" ht="18.75" customHeight="1">
      <c r="BM8832" s="1025"/>
      <c r="BO8832" s="43"/>
    </row>
    <row r="8833" spans="65:67" ht="18.75" customHeight="1">
      <c r="BM8833" s="1025"/>
      <c r="BO8833" s="43"/>
    </row>
    <row r="8834" spans="65:67" ht="18.75" customHeight="1">
      <c r="BM8834" s="1025"/>
      <c r="BO8834" s="43"/>
    </row>
    <row r="8835" spans="65:67" ht="18.75" customHeight="1">
      <c r="BM8835" s="1025"/>
      <c r="BO8835" s="43"/>
    </row>
    <row r="8836" spans="65:67" ht="18.75" customHeight="1">
      <c r="BM8836" s="1025"/>
      <c r="BO8836" s="43"/>
    </row>
    <row r="8837" spans="65:67" ht="18.75" customHeight="1">
      <c r="BM8837" s="1025"/>
      <c r="BO8837" s="43"/>
    </row>
    <row r="8838" spans="65:67" ht="18.75" customHeight="1">
      <c r="BM8838" s="1025"/>
      <c r="BO8838" s="43"/>
    </row>
    <row r="8839" spans="65:67" ht="18.75" customHeight="1">
      <c r="BM8839" s="1025"/>
      <c r="BO8839" s="43"/>
    </row>
    <row r="8840" spans="65:67" ht="18.75" customHeight="1">
      <c r="BM8840" s="1025"/>
      <c r="BO8840" s="43"/>
    </row>
    <row r="8841" spans="65:67" ht="18.75" customHeight="1">
      <c r="BM8841" s="1025"/>
      <c r="BO8841" s="43"/>
    </row>
    <row r="8842" spans="65:67" ht="18.75" customHeight="1">
      <c r="BM8842" s="1025"/>
      <c r="BO8842" s="43"/>
    </row>
    <row r="8843" spans="65:67" ht="18.75" customHeight="1">
      <c r="BM8843" s="1025"/>
      <c r="BO8843" s="43"/>
    </row>
    <row r="8844" spans="65:67" ht="18.75" customHeight="1">
      <c r="BM8844" s="1025"/>
      <c r="BO8844" s="43"/>
    </row>
    <row r="8845" spans="65:67" ht="18.75" customHeight="1">
      <c r="BM8845" s="1025"/>
      <c r="BO8845" s="43"/>
    </row>
    <row r="8846" spans="65:67" ht="18.75" customHeight="1">
      <c r="BM8846" s="1025"/>
      <c r="BO8846" s="43"/>
    </row>
    <row r="8847" spans="65:67" ht="18.75" customHeight="1">
      <c r="BM8847" s="1025"/>
      <c r="BO8847" s="43"/>
    </row>
    <row r="8848" spans="65:67" ht="18.75" customHeight="1">
      <c r="BM8848" s="1025"/>
      <c r="BO8848" s="43"/>
    </row>
    <row r="8849" spans="65:67" ht="18.75" customHeight="1">
      <c r="BM8849" s="1025"/>
      <c r="BO8849" s="43"/>
    </row>
    <row r="8850" spans="65:67" ht="18.75" customHeight="1">
      <c r="BM8850" s="1025"/>
      <c r="BO8850" s="43"/>
    </row>
    <row r="8851" spans="65:67" ht="18.75" customHeight="1">
      <c r="BM8851" s="1025"/>
      <c r="BO8851" s="43"/>
    </row>
    <row r="8852" spans="65:67" ht="18.75" customHeight="1">
      <c r="BM8852" s="1025"/>
      <c r="BO8852" s="43"/>
    </row>
    <row r="8853" spans="65:67" ht="18.75" customHeight="1">
      <c r="BM8853" s="1025"/>
      <c r="BO8853" s="43"/>
    </row>
    <row r="8854" spans="65:67" ht="18.75" customHeight="1">
      <c r="BM8854" s="1025"/>
      <c r="BO8854" s="43"/>
    </row>
    <row r="8855" spans="65:67" ht="18.75" customHeight="1">
      <c r="BM8855" s="1025"/>
      <c r="BO8855" s="43"/>
    </row>
    <row r="8856" spans="65:67" ht="18.75" customHeight="1">
      <c r="BM8856" s="1025"/>
      <c r="BO8856" s="43"/>
    </row>
    <row r="8857" spans="65:67" ht="18.75" customHeight="1">
      <c r="BM8857" s="1025"/>
      <c r="BO8857" s="43"/>
    </row>
    <row r="8858" spans="65:67" ht="18.75" customHeight="1">
      <c r="BM8858" s="1025"/>
      <c r="BO8858" s="43"/>
    </row>
    <row r="8859" spans="65:67" ht="18.75" customHeight="1">
      <c r="BM8859" s="1025"/>
      <c r="BO8859" s="43"/>
    </row>
    <row r="8860" spans="65:67" ht="18.75" customHeight="1">
      <c r="BM8860" s="1025"/>
      <c r="BO8860" s="43"/>
    </row>
    <row r="8861" spans="65:67" ht="18.75" customHeight="1">
      <c r="BM8861" s="1025"/>
      <c r="BO8861" s="43"/>
    </row>
    <row r="8862" spans="65:67" ht="18.75" customHeight="1">
      <c r="BM8862" s="1025"/>
      <c r="BO8862" s="43"/>
    </row>
    <row r="8863" spans="65:67" ht="18.75" customHeight="1">
      <c r="BM8863" s="1025"/>
      <c r="BO8863" s="43"/>
    </row>
    <row r="8864" spans="65:67" ht="18.75" customHeight="1">
      <c r="BM8864" s="1025"/>
      <c r="BO8864" s="43"/>
    </row>
    <row r="8865" spans="65:67" ht="18.75" customHeight="1">
      <c r="BM8865" s="1025"/>
      <c r="BO8865" s="43"/>
    </row>
    <row r="8866" spans="65:67" ht="18.75" customHeight="1">
      <c r="BM8866" s="1025"/>
      <c r="BO8866" s="43"/>
    </row>
    <row r="8867" spans="65:67" ht="18.75" customHeight="1">
      <c r="BM8867" s="1025"/>
      <c r="BO8867" s="43"/>
    </row>
    <row r="8868" spans="65:67" ht="18.75" customHeight="1">
      <c r="BM8868" s="1025"/>
      <c r="BO8868" s="43"/>
    </row>
    <row r="8869" spans="65:67" ht="18.75" customHeight="1">
      <c r="BM8869" s="1025"/>
      <c r="BO8869" s="43"/>
    </row>
    <row r="8870" spans="65:67" ht="18.75" customHeight="1">
      <c r="BM8870" s="1025"/>
      <c r="BO8870" s="43"/>
    </row>
    <row r="8871" spans="65:67" ht="18.75" customHeight="1">
      <c r="BM8871" s="1025"/>
      <c r="BO8871" s="43"/>
    </row>
    <row r="8872" spans="65:67" ht="18.75" customHeight="1">
      <c r="BM8872" s="1025"/>
      <c r="BO8872" s="43"/>
    </row>
    <row r="8873" spans="65:67" ht="18.75" customHeight="1">
      <c r="BM8873" s="1025"/>
      <c r="BO8873" s="43"/>
    </row>
    <row r="8874" spans="65:67" ht="18.75" customHeight="1">
      <c r="BM8874" s="1025"/>
      <c r="BO8874" s="43"/>
    </row>
    <row r="8875" spans="65:67" ht="18.75" customHeight="1">
      <c r="BM8875" s="1025"/>
      <c r="BO8875" s="43"/>
    </row>
    <row r="8876" spans="65:67" ht="18.75" customHeight="1">
      <c r="BM8876" s="1025"/>
      <c r="BO8876" s="43"/>
    </row>
    <row r="8877" spans="65:67" ht="18.75" customHeight="1">
      <c r="BM8877" s="1025"/>
      <c r="BO8877" s="43"/>
    </row>
    <row r="8878" spans="65:67" ht="18.75" customHeight="1">
      <c r="BM8878" s="1025"/>
      <c r="BO8878" s="43"/>
    </row>
    <row r="8879" spans="65:67" ht="18.75" customHeight="1">
      <c r="BM8879" s="1025"/>
      <c r="BO8879" s="43"/>
    </row>
    <row r="8880" spans="65:67" ht="18.75" customHeight="1">
      <c r="BM8880" s="1025"/>
      <c r="BO8880" s="43"/>
    </row>
    <row r="8881" spans="65:67" ht="18.75" customHeight="1">
      <c r="BM8881" s="1025"/>
      <c r="BO8881" s="43"/>
    </row>
    <row r="8882" spans="65:67" ht="18.75" customHeight="1">
      <c r="BM8882" s="1025"/>
      <c r="BO8882" s="43"/>
    </row>
    <row r="8883" spans="65:67" ht="18.75" customHeight="1">
      <c r="BM8883" s="1025"/>
      <c r="BO8883" s="43"/>
    </row>
    <row r="8884" spans="65:67" ht="18.75" customHeight="1">
      <c r="BM8884" s="1025"/>
      <c r="BO8884" s="43"/>
    </row>
    <row r="8885" spans="65:67" ht="18.75" customHeight="1">
      <c r="BM8885" s="1025"/>
      <c r="BO8885" s="43"/>
    </row>
    <row r="8886" spans="65:67" ht="18.75" customHeight="1">
      <c r="BM8886" s="1025"/>
      <c r="BO8886" s="43"/>
    </row>
    <row r="8887" spans="65:67" ht="18.75" customHeight="1">
      <c r="BM8887" s="1025"/>
      <c r="BO8887" s="43"/>
    </row>
    <row r="8888" spans="65:67" ht="18.75" customHeight="1">
      <c r="BM8888" s="1025"/>
      <c r="BO8888" s="43"/>
    </row>
    <row r="8889" spans="65:67" ht="18.75" customHeight="1">
      <c r="BM8889" s="1025"/>
      <c r="BO8889" s="43"/>
    </row>
    <row r="8890" spans="65:67" ht="18.75" customHeight="1">
      <c r="BM8890" s="1025"/>
      <c r="BO8890" s="43"/>
    </row>
    <row r="8891" spans="65:67" ht="18.75" customHeight="1">
      <c r="BM8891" s="1025"/>
      <c r="BO8891" s="43"/>
    </row>
    <row r="8892" spans="65:67" ht="18.75" customHeight="1">
      <c r="BM8892" s="1025"/>
      <c r="BO8892" s="43"/>
    </row>
    <row r="8893" spans="65:67" ht="18.75" customHeight="1">
      <c r="BM8893" s="1025"/>
      <c r="BO8893" s="43"/>
    </row>
    <row r="8894" spans="65:67" ht="18.75" customHeight="1">
      <c r="BM8894" s="1025"/>
      <c r="BO8894" s="43"/>
    </row>
    <row r="8895" spans="65:67" ht="18.75" customHeight="1">
      <c r="BM8895" s="1025"/>
      <c r="BO8895" s="43"/>
    </row>
    <row r="8896" spans="65:67" ht="18.75" customHeight="1">
      <c r="BM8896" s="1025"/>
      <c r="BO8896" s="43"/>
    </row>
    <row r="8897" spans="65:67" ht="18.75" customHeight="1">
      <c r="BM8897" s="1025"/>
      <c r="BO8897" s="43"/>
    </row>
    <row r="8898" spans="65:67" ht="18.75" customHeight="1">
      <c r="BM8898" s="1025"/>
      <c r="BO8898" s="43"/>
    </row>
    <row r="8899" spans="65:67" ht="18.75" customHeight="1">
      <c r="BM8899" s="1025"/>
      <c r="BO8899" s="43"/>
    </row>
    <row r="8900" spans="65:67" ht="18.75" customHeight="1">
      <c r="BM8900" s="1025"/>
      <c r="BO8900" s="43"/>
    </row>
    <row r="8901" spans="65:67" ht="18.75" customHeight="1">
      <c r="BM8901" s="1025"/>
      <c r="BO8901" s="43"/>
    </row>
    <row r="8902" spans="65:67" ht="18.75" customHeight="1">
      <c r="BM8902" s="1025"/>
      <c r="BO8902" s="43"/>
    </row>
    <row r="8903" spans="65:67" ht="18.75" customHeight="1">
      <c r="BM8903" s="1025"/>
      <c r="BO8903" s="43"/>
    </row>
    <row r="8904" spans="65:67" ht="18.75" customHeight="1">
      <c r="BM8904" s="1025"/>
      <c r="BO8904" s="43"/>
    </row>
    <row r="8905" spans="65:67" ht="18.75" customHeight="1">
      <c r="BM8905" s="1025"/>
      <c r="BO8905" s="43"/>
    </row>
    <row r="8906" spans="65:67" ht="18.75" customHeight="1">
      <c r="BM8906" s="1025"/>
      <c r="BO8906" s="43"/>
    </row>
    <row r="8907" spans="65:67" ht="18.75" customHeight="1">
      <c r="BM8907" s="1025"/>
      <c r="BO8907" s="43"/>
    </row>
    <row r="8908" spans="65:67" ht="18.75" customHeight="1">
      <c r="BM8908" s="1025"/>
      <c r="BO8908" s="43"/>
    </row>
    <row r="8909" spans="65:67" ht="18.75" customHeight="1">
      <c r="BM8909" s="1025"/>
      <c r="BO8909" s="43"/>
    </row>
    <row r="8910" spans="65:67" ht="18.75" customHeight="1">
      <c r="BM8910" s="1025"/>
      <c r="BO8910" s="43"/>
    </row>
    <row r="8911" spans="65:67" ht="18.75" customHeight="1">
      <c r="BM8911" s="1025"/>
      <c r="BO8911" s="43"/>
    </row>
    <row r="8912" spans="65:67" ht="18.75" customHeight="1">
      <c r="BM8912" s="1025"/>
      <c r="BO8912" s="43"/>
    </row>
    <row r="8913" spans="65:67" ht="18.75" customHeight="1">
      <c r="BM8913" s="1025"/>
      <c r="BO8913" s="43"/>
    </row>
    <row r="8914" spans="65:67" ht="18.75" customHeight="1">
      <c r="BM8914" s="1025"/>
      <c r="BO8914" s="43"/>
    </row>
    <row r="8915" spans="65:67" ht="18.75" customHeight="1">
      <c r="BM8915" s="1025"/>
      <c r="BO8915" s="43"/>
    </row>
    <row r="8916" spans="65:67" ht="18.75" customHeight="1">
      <c r="BM8916" s="1025"/>
      <c r="BO8916" s="43"/>
    </row>
    <row r="8917" spans="65:67" ht="18.75" customHeight="1">
      <c r="BM8917" s="1025"/>
      <c r="BO8917" s="43"/>
    </row>
    <row r="8918" spans="65:67" ht="18.75" customHeight="1">
      <c r="BM8918" s="1025"/>
      <c r="BO8918" s="43"/>
    </row>
    <row r="8919" spans="65:67" ht="18.75" customHeight="1">
      <c r="BM8919" s="1025"/>
      <c r="BO8919" s="43"/>
    </row>
    <row r="8920" spans="65:67" ht="18.75" customHeight="1">
      <c r="BM8920" s="1025"/>
      <c r="BO8920" s="43"/>
    </row>
    <row r="8921" spans="65:67" ht="18.75" customHeight="1">
      <c r="BM8921" s="1025"/>
      <c r="BO8921" s="43"/>
    </row>
    <row r="8922" spans="65:67" ht="18.75" customHeight="1">
      <c r="BM8922" s="1025"/>
      <c r="BO8922" s="43"/>
    </row>
    <row r="8923" spans="65:67" ht="18.75" customHeight="1">
      <c r="BM8923" s="1025"/>
      <c r="BO8923" s="43"/>
    </row>
    <row r="8924" spans="65:67" ht="18.75" customHeight="1">
      <c r="BM8924" s="1025"/>
      <c r="BO8924" s="43"/>
    </row>
    <row r="8925" spans="65:67" ht="18.75" customHeight="1">
      <c r="BM8925" s="1025"/>
      <c r="BO8925" s="43"/>
    </row>
    <row r="8926" spans="65:67" ht="18.75" customHeight="1">
      <c r="BM8926" s="1025"/>
      <c r="BO8926" s="43"/>
    </row>
    <row r="8927" spans="65:67" ht="18.75" customHeight="1">
      <c r="BM8927" s="1025"/>
      <c r="BO8927" s="43"/>
    </row>
    <row r="8928" spans="65:67" ht="18.75" customHeight="1">
      <c r="BM8928" s="1025"/>
      <c r="BO8928" s="43"/>
    </row>
    <row r="8929" spans="65:67" ht="18.75" customHeight="1">
      <c r="BM8929" s="1025"/>
      <c r="BO8929" s="43"/>
    </row>
    <row r="8930" spans="65:67" ht="18.75" customHeight="1">
      <c r="BM8930" s="1025"/>
      <c r="BO8930" s="43"/>
    </row>
    <row r="8931" spans="65:67" ht="18.75" customHeight="1">
      <c r="BM8931" s="1025"/>
      <c r="BO8931" s="43"/>
    </row>
    <row r="8932" spans="65:67" ht="18.75" customHeight="1">
      <c r="BM8932" s="1025"/>
      <c r="BO8932" s="43"/>
    </row>
    <row r="8933" spans="65:67" ht="18.75" customHeight="1">
      <c r="BM8933" s="1025"/>
      <c r="BO8933" s="43"/>
    </row>
    <row r="8934" spans="65:67" ht="18.75" customHeight="1">
      <c r="BM8934" s="1025"/>
      <c r="BO8934" s="43"/>
    </row>
    <row r="8935" spans="65:67" ht="18.75" customHeight="1">
      <c r="BM8935" s="1025"/>
      <c r="BO8935" s="43"/>
    </row>
    <row r="8936" spans="65:67" ht="18.75" customHeight="1">
      <c r="BM8936" s="1025"/>
      <c r="BO8936" s="43"/>
    </row>
    <row r="8937" spans="65:67" ht="18.75" customHeight="1">
      <c r="BM8937" s="1025"/>
      <c r="BO8937" s="43"/>
    </row>
    <row r="8938" spans="65:67" ht="18.75" customHeight="1">
      <c r="BM8938" s="1025"/>
      <c r="BO8938" s="43"/>
    </row>
    <row r="8939" spans="65:67" ht="18.75" customHeight="1">
      <c r="BM8939" s="1025"/>
      <c r="BO8939" s="43"/>
    </row>
    <row r="8940" spans="65:67" ht="18.75" customHeight="1">
      <c r="BM8940" s="1025"/>
      <c r="BO8940" s="43"/>
    </row>
    <row r="8941" spans="65:67" ht="18.75" customHeight="1">
      <c r="BM8941" s="1025"/>
      <c r="BO8941" s="43"/>
    </row>
    <row r="8942" spans="65:67" ht="18.75" customHeight="1">
      <c r="BM8942" s="1025"/>
      <c r="BO8942" s="43"/>
    </row>
    <row r="8943" spans="65:67" ht="18.75" customHeight="1">
      <c r="BM8943" s="1025"/>
      <c r="BO8943" s="43"/>
    </row>
    <row r="8944" spans="65:67" ht="18.75" customHeight="1">
      <c r="BM8944" s="1025"/>
      <c r="BO8944" s="43"/>
    </row>
    <row r="8945" spans="65:67" ht="18.75" customHeight="1">
      <c r="BM8945" s="1025"/>
      <c r="BO8945" s="43"/>
    </row>
    <row r="8946" spans="65:67" ht="18.75" customHeight="1">
      <c r="BM8946" s="1025"/>
      <c r="BO8946" s="43"/>
    </row>
    <row r="8947" spans="65:67" ht="18.75" customHeight="1">
      <c r="BM8947" s="1025"/>
      <c r="BO8947" s="43"/>
    </row>
    <row r="8948" spans="65:67" ht="18.75" customHeight="1">
      <c r="BM8948" s="1025"/>
      <c r="BO8948" s="43"/>
    </row>
    <row r="8949" spans="65:67" ht="18.75" customHeight="1">
      <c r="BM8949" s="1025"/>
      <c r="BO8949" s="43"/>
    </row>
    <row r="8950" spans="65:67" ht="18.75" customHeight="1">
      <c r="BM8950" s="1025"/>
      <c r="BO8950" s="43"/>
    </row>
    <row r="8951" spans="65:67" ht="18.75" customHeight="1">
      <c r="BM8951" s="1025"/>
      <c r="BO8951" s="43"/>
    </row>
    <row r="8952" spans="65:67" ht="18.75" customHeight="1">
      <c r="BM8952" s="1025"/>
      <c r="BO8952" s="43"/>
    </row>
    <row r="8953" spans="65:67" ht="18.75" customHeight="1">
      <c r="BM8953" s="1025"/>
      <c r="BO8953" s="43"/>
    </row>
    <row r="8954" spans="65:67" ht="18.75" customHeight="1">
      <c r="BM8954" s="1025"/>
      <c r="BO8954" s="43"/>
    </row>
    <row r="8955" spans="65:67" ht="18.75" customHeight="1">
      <c r="BM8955" s="1025"/>
      <c r="BO8955" s="43"/>
    </row>
    <row r="8956" spans="65:67" ht="18.75" customHeight="1">
      <c r="BM8956" s="1025"/>
      <c r="BO8956" s="43"/>
    </row>
    <row r="8957" spans="65:67" ht="18.75" customHeight="1">
      <c r="BM8957" s="1025"/>
      <c r="BO8957" s="43"/>
    </row>
    <row r="8958" spans="65:67" ht="18.75" customHeight="1">
      <c r="BM8958" s="1025"/>
      <c r="BO8958" s="43"/>
    </row>
    <row r="8959" spans="65:67" ht="18.75" customHeight="1">
      <c r="BM8959" s="1025"/>
      <c r="BO8959" s="43"/>
    </row>
    <row r="8960" spans="65:67" ht="18.75" customHeight="1">
      <c r="BM8960" s="1025"/>
      <c r="BO8960" s="43"/>
    </row>
    <row r="8961" spans="65:67" ht="18.75" customHeight="1">
      <c r="BM8961" s="1025"/>
      <c r="BO8961" s="43"/>
    </row>
    <row r="8962" spans="65:67" ht="18.75" customHeight="1">
      <c r="BM8962" s="1025"/>
      <c r="BO8962" s="43"/>
    </row>
    <row r="8963" spans="65:67" ht="18.75" customHeight="1">
      <c r="BM8963" s="1025"/>
      <c r="BO8963" s="43"/>
    </row>
    <row r="8964" spans="65:67" ht="18.75" customHeight="1">
      <c r="BM8964" s="1025"/>
      <c r="BO8964" s="43"/>
    </row>
    <row r="8965" spans="65:67" ht="18.75" customHeight="1">
      <c r="BM8965" s="1025"/>
      <c r="BO8965" s="43"/>
    </row>
    <row r="8966" spans="65:67" ht="18.75" customHeight="1">
      <c r="BM8966" s="1025"/>
      <c r="BO8966" s="43"/>
    </row>
    <row r="8967" spans="65:67" ht="18.75" customHeight="1">
      <c r="BM8967" s="1025"/>
      <c r="BO8967" s="43"/>
    </row>
    <row r="8968" spans="65:67" ht="18.75" customHeight="1">
      <c r="BM8968" s="1025"/>
      <c r="BO8968" s="43"/>
    </row>
    <row r="8969" spans="65:67" ht="18.75" customHeight="1">
      <c r="BM8969" s="1025"/>
      <c r="BO8969" s="43"/>
    </row>
    <row r="8970" spans="65:67" ht="18.75" customHeight="1">
      <c r="BM8970" s="1025"/>
      <c r="BO8970" s="43"/>
    </row>
    <row r="8971" spans="65:67" ht="18.75" customHeight="1">
      <c r="BM8971" s="1025"/>
      <c r="BO8971" s="43"/>
    </row>
    <row r="8972" spans="65:67" ht="18.75" customHeight="1">
      <c r="BM8972" s="1025"/>
      <c r="BO8972" s="43"/>
    </row>
    <row r="8973" spans="65:67" ht="18.75" customHeight="1">
      <c r="BM8973" s="1025"/>
      <c r="BO8973" s="43"/>
    </row>
    <row r="8974" spans="65:67" ht="18.75" customHeight="1">
      <c r="BM8974" s="1025"/>
      <c r="BO8974" s="43"/>
    </row>
    <row r="8975" spans="65:67" ht="18.75" customHeight="1">
      <c r="BM8975" s="1025"/>
      <c r="BO8975" s="43"/>
    </row>
    <row r="8976" spans="65:67" ht="18.75" customHeight="1">
      <c r="BM8976" s="1025"/>
      <c r="BO8976" s="43"/>
    </row>
    <row r="8977" spans="65:67" ht="18.75" customHeight="1">
      <c r="BM8977" s="1025"/>
      <c r="BO8977" s="43"/>
    </row>
    <row r="8978" spans="65:67" ht="18.75" customHeight="1">
      <c r="BM8978" s="1025"/>
      <c r="BO8978" s="43"/>
    </row>
    <row r="8979" spans="65:67" ht="18.75" customHeight="1">
      <c r="BM8979" s="1025"/>
      <c r="BO8979" s="43"/>
    </row>
    <row r="8980" spans="65:67" ht="18.75" customHeight="1">
      <c r="BM8980" s="1025"/>
      <c r="BO8980" s="43"/>
    </row>
    <row r="8981" spans="65:67" ht="18.75" customHeight="1">
      <c r="BM8981" s="1025"/>
      <c r="BO8981" s="43"/>
    </row>
    <row r="8982" spans="65:67" ht="18.75" customHeight="1">
      <c r="BM8982" s="1025"/>
      <c r="BO8982" s="43"/>
    </row>
    <row r="8983" spans="65:67" ht="18.75" customHeight="1">
      <c r="BM8983" s="1025"/>
      <c r="BO8983" s="43"/>
    </row>
    <row r="8984" spans="65:67" ht="18.75" customHeight="1">
      <c r="BM8984" s="1025"/>
      <c r="BO8984" s="43"/>
    </row>
    <row r="8985" spans="65:67" ht="18.75" customHeight="1">
      <c r="BM8985" s="1025"/>
      <c r="BO8985" s="43"/>
    </row>
    <row r="8986" spans="65:67" ht="18.75" customHeight="1">
      <c r="BM8986" s="1025"/>
      <c r="BO8986" s="43"/>
    </row>
    <row r="8987" spans="65:67" ht="18.75" customHeight="1">
      <c r="BM8987" s="1025"/>
      <c r="BO8987" s="43"/>
    </row>
    <row r="8988" spans="65:67" ht="18.75" customHeight="1">
      <c r="BM8988" s="1025"/>
      <c r="BO8988" s="43"/>
    </row>
    <row r="8989" spans="65:67" ht="18.75" customHeight="1">
      <c r="BM8989" s="1025"/>
      <c r="BO8989" s="43"/>
    </row>
    <row r="8990" spans="65:67" ht="18.75" customHeight="1">
      <c r="BM8990" s="1025"/>
      <c r="BO8990" s="43"/>
    </row>
    <row r="8991" spans="65:67" ht="18.75" customHeight="1">
      <c r="BM8991" s="1025"/>
      <c r="BO8991" s="43"/>
    </row>
    <row r="8992" spans="65:67" ht="18.75" customHeight="1">
      <c r="BM8992" s="1025"/>
      <c r="BO8992" s="43"/>
    </row>
    <row r="8993" spans="65:67" ht="18.75" customHeight="1">
      <c r="BM8993" s="1025"/>
      <c r="BO8993" s="43"/>
    </row>
    <row r="8994" spans="65:67" ht="18.75" customHeight="1">
      <c r="BM8994" s="1025"/>
      <c r="BO8994" s="43"/>
    </row>
    <row r="8995" spans="65:67" ht="18.75" customHeight="1">
      <c r="BM8995" s="1025"/>
      <c r="BO8995" s="43"/>
    </row>
    <row r="8996" spans="65:67" ht="18.75" customHeight="1">
      <c r="BM8996" s="1025"/>
      <c r="BO8996" s="43"/>
    </row>
    <row r="8997" spans="65:67" ht="18.75" customHeight="1">
      <c r="BM8997" s="1025"/>
      <c r="BO8997" s="43"/>
    </row>
    <row r="8998" spans="65:67" ht="18.75" customHeight="1">
      <c r="BM8998" s="1025"/>
      <c r="BO8998" s="43"/>
    </row>
    <row r="8999" spans="65:67" ht="18.75" customHeight="1">
      <c r="BM8999" s="1025"/>
      <c r="BO8999" s="43"/>
    </row>
    <row r="9000" spans="65:67" ht="18.75" customHeight="1">
      <c r="BM9000" s="1025"/>
      <c r="BO9000" s="43"/>
    </row>
    <row r="9001" spans="65:67" ht="18.75" customHeight="1">
      <c r="BM9001" s="1025"/>
      <c r="BO9001" s="43"/>
    </row>
    <row r="9002" spans="65:67" ht="18.75" customHeight="1">
      <c r="BM9002" s="1025"/>
      <c r="BO9002" s="43"/>
    </row>
    <row r="9003" spans="65:67" ht="18.75" customHeight="1">
      <c r="BM9003" s="1025"/>
      <c r="BO9003" s="43"/>
    </row>
    <row r="9004" spans="65:67" ht="18.75" customHeight="1">
      <c r="BM9004" s="1025"/>
      <c r="BO9004" s="43"/>
    </row>
    <row r="9005" spans="65:67" ht="18.75" customHeight="1">
      <c r="BM9005" s="1025"/>
      <c r="BO9005" s="43"/>
    </row>
    <row r="9006" spans="65:67" ht="18.75" customHeight="1">
      <c r="BM9006" s="1025"/>
      <c r="BO9006" s="43"/>
    </row>
    <row r="9007" spans="65:67" ht="18.75" customHeight="1">
      <c r="BM9007" s="1025"/>
      <c r="BO9007" s="43"/>
    </row>
    <row r="9008" spans="65:67" ht="18.75" customHeight="1">
      <c r="BM9008" s="1025"/>
      <c r="BO9008" s="43"/>
    </row>
    <row r="9009" spans="65:67" ht="18.75" customHeight="1">
      <c r="BM9009" s="1025"/>
      <c r="BO9009" s="43"/>
    </row>
    <row r="9010" spans="65:67" ht="18.75" customHeight="1">
      <c r="BM9010" s="1025"/>
      <c r="BO9010" s="43"/>
    </row>
    <row r="9011" spans="65:67" ht="18.75" customHeight="1">
      <c r="BM9011" s="1025"/>
      <c r="BO9011" s="43"/>
    </row>
    <row r="9012" spans="65:67" ht="18.75" customHeight="1">
      <c r="BM9012" s="1025"/>
      <c r="BO9012" s="43"/>
    </row>
    <row r="9013" spans="65:67" ht="18.75" customHeight="1">
      <c r="BM9013" s="1025"/>
      <c r="BO9013" s="43"/>
    </row>
    <row r="9014" spans="65:67" ht="18.75" customHeight="1">
      <c r="BM9014" s="1025"/>
      <c r="BO9014" s="43"/>
    </row>
    <row r="9015" spans="65:67" ht="18.75" customHeight="1">
      <c r="BM9015" s="1025"/>
      <c r="BO9015" s="43"/>
    </row>
    <row r="9016" spans="65:67" ht="18.75" customHeight="1">
      <c r="BM9016" s="1025"/>
      <c r="BO9016" s="43"/>
    </row>
    <row r="9017" spans="65:67" ht="18.75" customHeight="1">
      <c r="BM9017" s="1025"/>
      <c r="BO9017" s="43"/>
    </row>
    <row r="9018" spans="65:67" ht="18.75" customHeight="1">
      <c r="BM9018" s="1025"/>
      <c r="BO9018" s="43"/>
    </row>
    <row r="9019" spans="65:67" ht="18.75" customHeight="1">
      <c r="BM9019" s="1025"/>
      <c r="BO9019" s="43"/>
    </row>
    <row r="9020" spans="65:67" ht="18.75" customHeight="1">
      <c r="BM9020" s="1025"/>
      <c r="BO9020" s="43"/>
    </row>
    <row r="9021" spans="65:67" ht="18.75" customHeight="1">
      <c r="BM9021" s="1025"/>
      <c r="BO9021" s="43"/>
    </row>
    <row r="9022" spans="65:67" ht="18.75" customHeight="1">
      <c r="BM9022" s="1025"/>
      <c r="BO9022" s="43"/>
    </row>
    <row r="9023" spans="65:67" ht="18.75" customHeight="1">
      <c r="BM9023" s="1025"/>
      <c r="BO9023" s="43"/>
    </row>
    <row r="9024" spans="65:67" ht="18.75" customHeight="1">
      <c r="BM9024" s="1025"/>
      <c r="BO9024" s="43"/>
    </row>
    <row r="9025" spans="65:67" ht="18.75" customHeight="1">
      <c r="BM9025" s="1025"/>
      <c r="BO9025" s="43"/>
    </row>
    <row r="9026" spans="65:67" ht="18.75" customHeight="1">
      <c r="BM9026" s="1025"/>
      <c r="BO9026" s="43"/>
    </row>
    <row r="9027" spans="65:67" ht="18.75" customHeight="1">
      <c r="BM9027" s="1025"/>
      <c r="BO9027" s="43"/>
    </row>
    <row r="9028" spans="65:67" ht="18.75" customHeight="1">
      <c r="BM9028" s="1025"/>
      <c r="BO9028" s="43"/>
    </row>
    <row r="9029" spans="65:67" ht="18.75" customHeight="1">
      <c r="BM9029" s="1025"/>
      <c r="BO9029" s="43"/>
    </row>
    <row r="9030" spans="65:67" ht="18.75" customHeight="1">
      <c r="BM9030" s="1025"/>
      <c r="BO9030" s="43"/>
    </row>
    <row r="9031" spans="65:67" ht="18.75" customHeight="1">
      <c r="BM9031" s="1025"/>
      <c r="BO9031" s="43"/>
    </row>
    <row r="9032" spans="65:67" ht="18.75" customHeight="1">
      <c r="BM9032" s="1025"/>
      <c r="BO9032" s="43"/>
    </row>
    <row r="9033" spans="65:67" ht="18.75" customHeight="1">
      <c r="BM9033" s="1025"/>
      <c r="BO9033" s="43"/>
    </row>
    <row r="9034" spans="65:67" ht="18.75" customHeight="1">
      <c r="BM9034" s="1025"/>
      <c r="BO9034" s="43"/>
    </row>
    <row r="9035" spans="65:67" ht="18.75" customHeight="1">
      <c r="BM9035" s="1025"/>
      <c r="BO9035" s="43"/>
    </row>
    <row r="9036" spans="65:67" ht="18.75" customHeight="1">
      <c r="BM9036" s="1025"/>
      <c r="BO9036" s="43"/>
    </row>
    <row r="9037" spans="65:67" ht="18.75" customHeight="1">
      <c r="BM9037" s="1025"/>
      <c r="BO9037" s="43"/>
    </row>
    <row r="9038" spans="65:67" ht="18.75" customHeight="1">
      <c r="BM9038" s="1025"/>
      <c r="BO9038" s="43"/>
    </row>
    <row r="9039" spans="65:67" ht="18.75" customHeight="1">
      <c r="BM9039" s="1025"/>
      <c r="BO9039" s="43"/>
    </row>
    <row r="9040" spans="65:67" ht="18.75" customHeight="1">
      <c r="BM9040" s="1025"/>
      <c r="BO9040" s="43"/>
    </row>
    <row r="9041" spans="65:67" ht="18.75" customHeight="1">
      <c r="BM9041" s="1025"/>
      <c r="BO9041" s="43"/>
    </row>
    <row r="9042" spans="65:67" ht="18.75" customHeight="1">
      <c r="BM9042" s="1025"/>
      <c r="BO9042" s="43"/>
    </row>
    <row r="9043" spans="65:67" ht="18.75" customHeight="1">
      <c r="BM9043" s="1025"/>
      <c r="BO9043" s="43"/>
    </row>
    <row r="9044" spans="65:67" ht="18.75" customHeight="1">
      <c r="BM9044" s="1025"/>
      <c r="BO9044" s="43"/>
    </row>
    <row r="9045" spans="65:67" ht="18.75" customHeight="1">
      <c r="BM9045" s="1025"/>
      <c r="BO9045" s="43"/>
    </row>
    <row r="9046" spans="65:67" ht="18.75" customHeight="1">
      <c r="BM9046" s="1025"/>
      <c r="BO9046" s="43"/>
    </row>
    <row r="9047" spans="65:67" ht="18.75" customHeight="1">
      <c r="BM9047" s="1025"/>
      <c r="BO9047" s="43"/>
    </row>
    <row r="9048" spans="65:67" ht="18.75" customHeight="1">
      <c r="BM9048" s="1025"/>
      <c r="BO9048" s="43"/>
    </row>
    <row r="9049" spans="65:67" ht="18.75" customHeight="1">
      <c r="BM9049" s="1025"/>
      <c r="BO9049" s="43"/>
    </row>
    <row r="9050" spans="65:67" ht="18.75" customHeight="1">
      <c r="BM9050" s="1025"/>
      <c r="BO9050" s="43"/>
    </row>
    <row r="9051" spans="65:67" ht="18.75" customHeight="1">
      <c r="BM9051" s="1025"/>
      <c r="BO9051" s="43"/>
    </row>
    <row r="9052" spans="65:67" ht="18.75" customHeight="1">
      <c r="BM9052" s="1025"/>
      <c r="BO9052" s="43"/>
    </row>
    <row r="9053" spans="65:67" ht="18.75" customHeight="1">
      <c r="BM9053" s="1025"/>
      <c r="BO9053" s="43"/>
    </row>
    <row r="9054" spans="65:67" ht="18.75" customHeight="1">
      <c r="BM9054" s="1025"/>
      <c r="BO9054" s="43"/>
    </row>
    <row r="9055" spans="65:67" ht="18.75" customHeight="1">
      <c r="BM9055" s="1025"/>
      <c r="BO9055" s="43"/>
    </row>
    <row r="9056" spans="65:67" ht="18.75" customHeight="1">
      <c r="BM9056" s="1025"/>
      <c r="BO9056" s="43"/>
    </row>
    <row r="9057" spans="65:67" ht="18.75" customHeight="1">
      <c r="BM9057" s="1025"/>
      <c r="BO9057" s="43"/>
    </row>
    <row r="9058" spans="65:67" ht="18.75" customHeight="1">
      <c r="BM9058" s="1025"/>
      <c r="BO9058" s="43"/>
    </row>
    <row r="9059" spans="65:67" ht="18.75" customHeight="1">
      <c r="BM9059" s="1025"/>
      <c r="BO9059" s="43"/>
    </row>
    <row r="9060" spans="65:67" ht="18.75" customHeight="1">
      <c r="BM9060" s="1025"/>
      <c r="BO9060" s="43"/>
    </row>
    <row r="9061" spans="65:67" ht="18.75" customHeight="1">
      <c r="BM9061" s="1025"/>
      <c r="BO9061" s="43"/>
    </row>
    <row r="9062" spans="65:67" ht="18.75" customHeight="1">
      <c r="BM9062" s="1025"/>
      <c r="BO9062" s="43"/>
    </row>
    <row r="9063" spans="65:67" ht="18.75" customHeight="1">
      <c r="BM9063" s="1025"/>
      <c r="BO9063" s="43"/>
    </row>
    <row r="9064" spans="65:67" ht="18.75" customHeight="1">
      <c r="BM9064" s="1025"/>
      <c r="BO9064" s="43"/>
    </row>
    <row r="9065" spans="65:67" ht="18.75" customHeight="1">
      <c r="BM9065" s="1025"/>
      <c r="BO9065" s="43"/>
    </row>
    <row r="9066" spans="65:67" ht="18.75" customHeight="1">
      <c r="BM9066" s="1025"/>
      <c r="BO9066" s="43"/>
    </row>
    <row r="9067" spans="65:67" ht="18.75" customHeight="1">
      <c r="BM9067" s="1025"/>
      <c r="BO9067" s="43"/>
    </row>
    <row r="9068" spans="65:67" ht="18.75" customHeight="1">
      <c r="BM9068" s="1025"/>
      <c r="BO9068" s="43"/>
    </row>
    <row r="9069" spans="65:67" ht="18.75" customHeight="1">
      <c r="BM9069" s="1025"/>
      <c r="BO9069" s="43"/>
    </row>
    <row r="9070" spans="65:67" ht="18.75" customHeight="1">
      <c r="BM9070" s="1025"/>
      <c r="BO9070" s="43"/>
    </row>
    <row r="9071" spans="65:67" ht="18.75" customHeight="1">
      <c r="BM9071" s="1025"/>
      <c r="BO9071" s="43"/>
    </row>
    <row r="9072" spans="65:67" ht="18.75" customHeight="1">
      <c r="BM9072" s="1025"/>
      <c r="BO9072" s="43"/>
    </row>
    <row r="9073" spans="65:67" ht="18.75" customHeight="1">
      <c r="BM9073" s="1025"/>
      <c r="BO9073" s="43"/>
    </row>
    <row r="9074" spans="65:67" ht="18.75" customHeight="1">
      <c r="BM9074" s="1025"/>
      <c r="BO9074" s="43"/>
    </row>
    <row r="9075" spans="65:67" ht="18.75" customHeight="1">
      <c r="BM9075" s="1025"/>
      <c r="BO9075" s="43"/>
    </row>
    <row r="9076" spans="65:67" ht="18.75" customHeight="1">
      <c r="BM9076" s="1025"/>
      <c r="BO9076" s="43"/>
    </row>
    <row r="9077" spans="65:67" ht="18.75" customHeight="1">
      <c r="BM9077" s="1025"/>
      <c r="BO9077" s="43"/>
    </row>
    <row r="9078" spans="65:67" ht="18.75" customHeight="1">
      <c r="BM9078" s="1025"/>
      <c r="BO9078" s="43"/>
    </row>
    <row r="9079" spans="65:67" ht="18.75" customHeight="1">
      <c r="BM9079" s="1025"/>
      <c r="BO9079" s="43"/>
    </row>
    <row r="9080" spans="65:67" ht="18.75" customHeight="1">
      <c r="BM9080" s="1025"/>
      <c r="BO9080" s="43"/>
    </row>
    <row r="9081" spans="65:67" ht="18.75" customHeight="1">
      <c r="BM9081" s="1025"/>
      <c r="BO9081" s="43"/>
    </row>
    <row r="9082" spans="65:67" ht="18.75" customHeight="1">
      <c r="BM9082" s="1025"/>
      <c r="BO9082" s="43"/>
    </row>
    <row r="9083" spans="65:67" ht="18.75" customHeight="1">
      <c r="BM9083" s="1025"/>
      <c r="BO9083" s="43"/>
    </row>
    <row r="9084" spans="65:67" ht="18.75" customHeight="1">
      <c r="BM9084" s="1025"/>
      <c r="BO9084" s="43"/>
    </row>
    <row r="9085" spans="65:67" ht="18.75" customHeight="1">
      <c r="BM9085" s="1025"/>
      <c r="BO9085" s="43"/>
    </row>
    <row r="9086" spans="65:67" ht="18.75" customHeight="1">
      <c r="BM9086" s="1025"/>
      <c r="BO9086" s="43"/>
    </row>
    <row r="9087" spans="65:67" ht="18.75" customHeight="1">
      <c r="BM9087" s="1025"/>
      <c r="BO9087" s="43"/>
    </row>
    <row r="9088" spans="65:67" ht="18.75" customHeight="1">
      <c r="BM9088" s="1025"/>
      <c r="BO9088" s="43"/>
    </row>
    <row r="9089" spans="65:67" ht="18.75" customHeight="1">
      <c r="BM9089" s="1025"/>
      <c r="BO9089" s="43"/>
    </row>
    <row r="9090" spans="65:67" ht="18.75" customHeight="1">
      <c r="BM9090" s="1025"/>
      <c r="BO9090" s="43"/>
    </row>
    <row r="9091" spans="65:67" ht="18.75" customHeight="1">
      <c r="BM9091" s="1025"/>
      <c r="BO9091" s="43"/>
    </row>
    <row r="9092" spans="65:67" ht="18.75" customHeight="1">
      <c r="BM9092" s="1025"/>
      <c r="BO9092" s="43"/>
    </row>
    <row r="9093" spans="65:67" ht="18.75" customHeight="1">
      <c r="BM9093" s="1025"/>
      <c r="BO9093" s="43"/>
    </row>
    <row r="9094" spans="65:67" ht="18.75" customHeight="1">
      <c r="BM9094" s="1025"/>
      <c r="BO9094" s="43"/>
    </row>
    <row r="9095" spans="65:67" ht="18.75" customHeight="1">
      <c r="BM9095" s="1025"/>
      <c r="BO9095" s="43"/>
    </row>
    <row r="9096" spans="65:67" ht="18.75" customHeight="1">
      <c r="BM9096" s="1025"/>
      <c r="BO9096" s="43"/>
    </row>
    <row r="9097" spans="65:67" ht="18.75" customHeight="1">
      <c r="BM9097" s="1025"/>
      <c r="BO9097" s="43"/>
    </row>
    <row r="9098" spans="65:67" ht="18.75" customHeight="1">
      <c r="BM9098" s="1025"/>
      <c r="BO9098" s="43"/>
    </row>
    <row r="9099" spans="65:67" ht="18.75" customHeight="1">
      <c r="BM9099" s="1025"/>
      <c r="BO9099" s="43"/>
    </row>
    <row r="9100" spans="65:67" ht="18.75" customHeight="1">
      <c r="BM9100" s="1025"/>
      <c r="BO9100" s="43"/>
    </row>
    <row r="9101" spans="65:67" ht="18.75" customHeight="1">
      <c r="BM9101" s="1025"/>
      <c r="BO9101" s="43"/>
    </row>
    <row r="9102" spans="65:67" ht="18.75" customHeight="1">
      <c r="BM9102" s="1025"/>
      <c r="BO9102" s="43"/>
    </row>
    <row r="9103" spans="65:67" ht="18.75" customHeight="1">
      <c r="BM9103" s="1025"/>
      <c r="BO9103" s="43"/>
    </row>
    <row r="9104" spans="65:67" ht="18.75" customHeight="1">
      <c r="BM9104" s="1025"/>
      <c r="BO9104" s="43"/>
    </row>
    <row r="9105" spans="65:67" ht="18.75" customHeight="1">
      <c r="BM9105" s="1025"/>
      <c r="BO9105" s="43"/>
    </row>
    <row r="9106" spans="65:67" ht="18.75" customHeight="1">
      <c r="BM9106" s="1025"/>
      <c r="BO9106" s="43"/>
    </row>
    <row r="9107" spans="65:67" ht="18.75" customHeight="1">
      <c r="BM9107" s="1025"/>
      <c r="BO9107" s="43"/>
    </row>
    <row r="9108" spans="65:67" ht="18.75" customHeight="1">
      <c r="BM9108" s="1025"/>
      <c r="BO9108" s="43"/>
    </row>
    <row r="9109" spans="65:67" ht="18.75" customHeight="1">
      <c r="BM9109" s="1025"/>
      <c r="BO9109" s="43"/>
    </row>
    <row r="9110" spans="65:67" ht="18.75" customHeight="1">
      <c r="BM9110" s="1025"/>
      <c r="BO9110" s="43"/>
    </row>
    <row r="9111" spans="65:67" ht="18.75" customHeight="1">
      <c r="BM9111" s="1025"/>
      <c r="BO9111" s="43"/>
    </row>
    <row r="9112" spans="65:67" ht="18.75" customHeight="1">
      <c r="BM9112" s="1025"/>
      <c r="BO9112" s="43"/>
    </row>
    <row r="9113" spans="65:67" ht="18.75" customHeight="1">
      <c r="BM9113" s="1025"/>
      <c r="BO9113" s="43"/>
    </row>
    <row r="9114" spans="65:67" ht="18.75" customHeight="1">
      <c r="BM9114" s="1025"/>
      <c r="BO9114" s="43"/>
    </row>
    <row r="9115" spans="65:67" ht="18.75" customHeight="1">
      <c r="BM9115" s="1025"/>
      <c r="BO9115" s="43"/>
    </row>
    <row r="9116" spans="65:67" ht="18.75" customHeight="1">
      <c r="BM9116" s="1025"/>
      <c r="BO9116" s="43"/>
    </row>
    <row r="9117" spans="65:67" ht="18.75" customHeight="1">
      <c r="BM9117" s="1025"/>
      <c r="BO9117" s="43"/>
    </row>
    <row r="9118" spans="65:67" ht="18.75" customHeight="1">
      <c r="BM9118" s="1025"/>
      <c r="BO9118" s="43"/>
    </row>
    <row r="9119" spans="65:67" ht="18.75" customHeight="1">
      <c r="BM9119" s="1025"/>
      <c r="BO9119" s="43"/>
    </row>
    <row r="9120" spans="65:67" ht="18.75" customHeight="1">
      <c r="BM9120" s="1025"/>
      <c r="BO9120" s="43"/>
    </row>
    <row r="9121" spans="65:67" ht="18.75" customHeight="1">
      <c r="BM9121" s="1025"/>
      <c r="BO9121" s="43"/>
    </row>
    <row r="9122" spans="65:67" ht="18.75" customHeight="1">
      <c r="BM9122" s="1025"/>
      <c r="BO9122" s="43"/>
    </row>
    <row r="9123" spans="65:67" ht="18.75" customHeight="1">
      <c r="BM9123" s="1025"/>
      <c r="BO9123" s="43"/>
    </row>
    <row r="9124" spans="65:67" ht="18.75" customHeight="1">
      <c r="BM9124" s="1025"/>
      <c r="BO9124" s="43"/>
    </row>
    <row r="9125" spans="65:67" ht="18.75" customHeight="1">
      <c r="BM9125" s="1025"/>
      <c r="BO9125" s="43"/>
    </row>
    <row r="9126" spans="65:67" ht="18.75" customHeight="1">
      <c r="BM9126" s="1025"/>
      <c r="BO9126" s="43"/>
    </row>
    <row r="9127" spans="65:67" ht="18.75" customHeight="1">
      <c r="BM9127" s="1025"/>
      <c r="BO9127" s="43"/>
    </row>
    <row r="9128" spans="65:67" ht="18.75" customHeight="1">
      <c r="BM9128" s="1025"/>
      <c r="BO9128" s="43"/>
    </row>
    <row r="9129" spans="65:67" ht="18.75" customHeight="1">
      <c r="BM9129" s="1025"/>
      <c r="BO9129" s="43"/>
    </row>
    <row r="9130" spans="65:67" ht="18.75" customHeight="1">
      <c r="BM9130" s="1025"/>
      <c r="BO9130" s="43"/>
    </row>
    <row r="9131" spans="65:67" ht="18.75" customHeight="1">
      <c r="BM9131" s="1025"/>
      <c r="BO9131" s="43"/>
    </row>
    <row r="9132" spans="65:67" ht="18.75" customHeight="1">
      <c r="BM9132" s="1025"/>
      <c r="BO9132" s="43"/>
    </row>
    <row r="9133" spans="65:67" ht="18.75" customHeight="1">
      <c r="BM9133" s="1025"/>
      <c r="BO9133" s="43"/>
    </row>
    <row r="9134" spans="65:67" ht="18.75" customHeight="1">
      <c r="BM9134" s="1025"/>
      <c r="BO9134" s="43"/>
    </row>
    <row r="9135" spans="65:67" ht="18.75" customHeight="1">
      <c r="BM9135" s="1025"/>
      <c r="BO9135" s="43"/>
    </row>
    <row r="9136" spans="65:67" ht="18.75" customHeight="1">
      <c r="BM9136" s="1025"/>
      <c r="BO9136" s="43"/>
    </row>
    <row r="9137" spans="65:67" ht="18.75" customHeight="1">
      <c r="BM9137" s="1025"/>
      <c r="BO9137" s="43"/>
    </row>
    <row r="9138" spans="65:67" ht="18.75" customHeight="1">
      <c r="BM9138" s="1025"/>
      <c r="BO9138" s="43"/>
    </row>
    <row r="9139" spans="65:67" ht="18.75" customHeight="1">
      <c r="BM9139" s="1025"/>
      <c r="BO9139" s="43"/>
    </row>
    <row r="9140" spans="65:67" ht="18.75" customHeight="1">
      <c r="BM9140" s="1025"/>
      <c r="BO9140" s="43"/>
    </row>
    <row r="9141" spans="65:67" ht="18.75" customHeight="1">
      <c r="BM9141" s="1025"/>
      <c r="BO9141" s="43"/>
    </row>
    <row r="9142" spans="65:67" ht="18.75" customHeight="1">
      <c r="BM9142" s="1025"/>
      <c r="BO9142" s="43"/>
    </row>
    <row r="9143" spans="65:67" ht="18.75" customHeight="1">
      <c r="BM9143" s="1025"/>
      <c r="BO9143" s="43"/>
    </row>
    <row r="9144" spans="65:67" ht="18.75" customHeight="1">
      <c r="BM9144" s="1025"/>
      <c r="BO9144" s="43"/>
    </row>
    <row r="9145" spans="65:67" ht="18.75" customHeight="1">
      <c r="BM9145" s="1025"/>
      <c r="BO9145" s="43"/>
    </row>
    <row r="9146" spans="65:67" ht="18.75" customHeight="1">
      <c r="BM9146" s="1025"/>
      <c r="BO9146" s="43"/>
    </row>
    <row r="9147" spans="65:67" ht="18.75" customHeight="1">
      <c r="BM9147" s="1025"/>
      <c r="BO9147" s="43"/>
    </row>
    <row r="9148" spans="65:67" ht="18.75" customHeight="1">
      <c r="BM9148" s="1025"/>
      <c r="BO9148" s="43"/>
    </row>
    <row r="9149" spans="65:67" ht="18.75" customHeight="1">
      <c r="BM9149" s="1025"/>
      <c r="BO9149" s="43"/>
    </row>
    <row r="9150" spans="65:67" ht="18.75" customHeight="1">
      <c r="BM9150" s="1025"/>
      <c r="BO9150" s="43"/>
    </row>
    <row r="9151" spans="65:67" ht="18.75" customHeight="1">
      <c r="BM9151" s="1025"/>
      <c r="BO9151" s="43"/>
    </row>
    <row r="9152" spans="65:67" ht="18.75" customHeight="1">
      <c r="BM9152" s="1025"/>
      <c r="BO9152" s="43"/>
    </row>
    <row r="9153" spans="65:67" ht="18.75" customHeight="1">
      <c r="BM9153" s="1025"/>
      <c r="BO9153" s="43"/>
    </row>
    <row r="9154" spans="65:67" ht="18.75" customHeight="1">
      <c r="BM9154" s="1025"/>
      <c r="BO9154" s="43"/>
    </row>
    <row r="9155" spans="65:67" ht="18.75" customHeight="1">
      <c r="BM9155" s="1025"/>
      <c r="BO9155" s="43"/>
    </row>
    <row r="9156" spans="65:67" ht="18.75" customHeight="1">
      <c r="BM9156" s="1025"/>
      <c r="BO9156" s="43"/>
    </row>
    <row r="9157" spans="65:67" ht="18.75" customHeight="1">
      <c r="BM9157" s="1025"/>
      <c r="BO9157" s="43"/>
    </row>
    <row r="9158" spans="65:67" ht="18.75" customHeight="1">
      <c r="BM9158" s="1025"/>
      <c r="BO9158" s="43"/>
    </row>
    <row r="9159" spans="65:67" ht="18.75" customHeight="1">
      <c r="BM9159" s="1025"/>
      <c r="BO9159" s="43"/>
    </row>
    <row r="9160" spans="65:67" ht="18.75" customHeight="1">
      <c r="BM9160" s="1025"/>
      <c r="BO9160" s="43"/>
    </row>
    <row r="9161" spans="65:67" ht="18.75" customHeight="1">
      <c r="BM9161" s="1025"/>
      <c r="BO9161" s="43"/>
    </row>
    <row r="9162" spans="65:67" ht="18.75" customHeight="1">
      <c r="BM9162" s="1025"/>
      <c r="BO9162" s="43"/>
    </row>
    <row r="9163" spans="65:67" ht="18.75" customHeight="1">
      <c r="BM9163" s="1025"/>
      <c r="BO9163" s="43"/>
    </row>
    <row r="9164" spans="65:67" ht="18.75" customHeight="1">
      <c r="BM9164" s="1025"/>
      <c r="BO9164" s="43"/>
    </row>
    <row r="9165" spans="65:67" ht="18.75" customHeight="1">
      <c r="BM9165" s="1025"/>
      <c r="BO9165" s="43"/>
    </row>
    <row r="9166" spans="65:67" ht="18.75" customHeight="1">
      <c r="BM9166" s="1025"/>
      <c r="BO9166" s="43"/>
    </row>
    <row r="9167" spans="65:67" ht="18.75" customHeight="1">
      <c r="BM9167" s="1025"/>
      <c r="BO9167" s="43"/>
    </row>
    <row r="9168" spans="65:67" ht="18.75" customHeight="1">
      <c r="BM9168" s="1025"/>
      <c r="BO9168" s="43"/>
    </row>
    <row r="9169" spans="65:67" ht="18.75" customHeight="1">
      <c r="BM9169" s="1025"/>
      <c r="BO9169" s="43"/>
    </row>
    <row r="9170" spans="65:67" ht="18.75" customHeight="1">
      <c r="BM9170" s="1025"/>
      <c r="BO9170" s="43"/>
    </row>
    <row r="9171" spans="65:67" ht="18.75" customHeight="1">
      <c r="BM9171" s="1025"/>
      <c r="BO9171" s="43"/>
    </row>
    <row r="9172" spans="65:67" ht="18.75" customHeight="1">
      <c r="BM9172" s="1025"/>
      <c r="BO9172" s="43"/>
    </row>
    <row r="9173" spans="65:67" ht="18.75" customHeight="1">
      <c r="BM9173" s="1025"/>
      <c r="BO9173" s="43"/>
    </row>
    <row r="9174" spans="65:67" ht="18.75" customHeight="1">
      <c r="BM9174" s="1025"/>
      <c r="BO9174" s="43"/>
    </row>
    <row r="9175" spans="65:67" ht="18.75" customHeight="1">
      <c r="BM9175" s="1025"/>
      <c r="BO9175" s="43"/>
    </row>
    <row r="9176" spans="65:67" ht="18.75" customHeight="1">
      <c r="BM9176" s="1025"/>
      <c r="BO9176" s="43"/>
    </row>
    <row r="9177" spans="65:67" ht="18.75" customHeight="1">
      <c r="BM9177" s="1025"/>
      <c r="BO9177" s="43"/>
    </row>
    <row r="9178" spans="65:67" ht="18.75" customHeight="1">
      <c r="BM9178" s="1025"/>
      <c r="BO9178" s="43"/>
    </row>
    <row r="9179" spans="65:67" ht="18.75" customHeight="1">
      <c r="BM9179" s="1025"/>
      <c r="BO9179" s="43"/>
    </row>
    <row r="9180" spans="65:67" ht="18.75" customHeight="1">
      <c r="BM9180" s="1025"/>
      <c r="BO9180" s="43"/>
    </row>
    <row r="9181" spans="65:67" ht="18.75" customHeight="1">
      <c r="BM9181" s="1025"/>
      <c r="BO9181" s="43"/>
    </row>
    <row r="9182" spans="65:67" ht="18.75" customHeight="1">
      <c r="BM9182" s="1025"/>
      <c r="BO9182" s="43"/>
    </row>
    <row r="9183" spans="65:67" ht="18.75" customHeight="1">
      <c r="BM9183" s="1025"/>
      <c r="BO9183" s="43"/>
    </row>
    <row r="9184" spans="65:67" ht="18.75" customHeight="1">
      <c r="BM9184" s="1025"/>
      <c r="BO9184" s="43"/>
    </row>
    <row r="9185" spans="65:67" ht="18.75" customHeight="1">
      <c r="BM9185" s="1025"/>
      <c r="BO9185" s="43"/>
    </row>
    <row r="9186" spans="65:67" ht="18.75" customHeight="1">
      <c r="BM9186" s="1025"/>
      <c r="BO9186" s="43"/>
    </row>
    <row r="9187" spans="65:67" ht="18.75" customHeight="1">
      <c r="BM9187" s="1025"/>
      <c r="BO9187" s="43"/>
    </row>
    <row r="9188" spans="65:67" ht="18.75" customHeight="1">
      <c r="BM9188" s="1025"/>
      <c r="BO9188" s="43"/>
    </row>
    <row r="9189" spans="65:67" ht="18.75" customHeight="1">
      <c r="BM9189" s="1025"/>
      <c r="BO9189" s="43"/>
    </row>
    <row r="9190" spans="65:67" ht="18.75" customHeight="1">
      <c r="BM9190" s="1025"/>
      <c r="BO9190" s="43"/>
    </row>
    <row r="9191" spans="65:67" ht="18.75" customHeight="1">
      <c r="BM9191" s="1025"/>
      <c r="BO9191" s="43"/>
    </row>
    <row r="9192" spans="65:67" ht="18.75" customHeight="1">
      <c r="BM9192" s="1025"/>
      <c r="BO9192" s="43"/>
    </row>
    <row r="9193" spans="65:67" ht="18.75" customHeight="1">
      <c r="BM9193" s="1025"/>
      <c r="BO9193" s="43"/>
    </row>
    <row r="9194" spans="65:67" ht="18.75" customHeight="1">
      <c r="BM9194" s="1025"/>
      <c r="BO9194" s="43"/>
    </row>
    <row r="9195" spans="65:67" ht="18.75" customHeight="1">
      <c r="BM9195" s="1025"/>
      <c r="BO9195" s="43"/>
    </row>
    <row r="9196" spans="65:67" ht="18.75" customHeight="1">
      <c r="BM9196" s="1025"/>
      <c r="BO9196" s="43"/>
    </row>
    <row r="9197" spans="65:67" ht="18.75" customHeight="1">
      <c r="BM9197" s="1025"/>
      <c r="BO9197" s="43"/>
    </row>
    <row r="9198" spans="65:67" ht="18.75" customHeight="1">
      <c r="BM9198" s="1025"/>
      <c r="BO9198" s="43"/>
    </row>
    <row r="9199" spans="65:67" ht="18.75" customHeight="1">
      <c r="BM9199" s="1025"/>
      <c r="BO9199" s="43"/>
    </row>
    <row r="9200" spans="65:67" ht="18.75" customHeight="1">
      <c r="BM9200" s="1025"/>
      <c r="BO9200" s="43"/>
    </row>
    <row r="9201" spans="65:67" ht="18.75" customHeight="1">
      <c r="BM9201" s="1025"/>
      <c r="BO9201" s="43"/>
    </row>
    <row r="9202" spans="65:67" ht="18.75" customHeight="1">
      <c r="BM9202" s="1025"/>
      <c r="BO9202" s="43"/>
    </row>
    <row r="9203" spans="65:67" ht="18.75" customHeight="1">
      <c r="BM9203" s="1025"/>
      <c r="BO9203" s="43"/>
    </row>
    <row r="9204" spans="65:67" ht="18.75" customHeight="1">
      <c r="BM9204" s="1025"/>
      <c r="BO9204" s="43"/>
    </row>
    <row r="9205" spans="65:67" ht="18.75" customHeight="1">
      <c r="BM9205" s="1025"/>
      <c r="BO9205" s="43"/>
    </row>
    <row r="9206" spans="65:67" ht="18.75" customHeight="1">
      <c r="BM9206" s="1025"/>
      <c r="BO9206" s="43"/>
    </row>
    <row r="9207" spans="65:67" ht="18.75" customHeight="1">
      <c r="BM9207" s="1025"/>
      <c r="BO9207" s="43"/>
    </row>
    <row r="9208" spans="65:67" ht="18.75" customHeight="1">
      <c r="BM9208" s="1025"/>
      <c r="BO9208" s="43"/>
    </row>
    <row r="9209" spans="65:67" ht="18.75" customHeight="1">
      <c r="BM9209" s="1025"/>
      <c r="BO9209" s="43"/>
    </row>
    <row r="9210" spans="65:67" ht="18.75" customHeight="1">
      <c r="BM9210" s="1025"/>
      <c r="BO9210" s="43"/>
    </row>
    <row r="9211" spans="65:67" ht="18.75" customHeight="1">
      <c r="BM9211" s="1025"/>
      <c r="BO9211" s="43"/>
    </row>
    <row r="9212" spans="65:67" ht="18.75" customHeight="1">
      <c r="BM9212" s="1025"/>
      <c r="BO9212" s="43"/>
    </row>
    <row r="9213" spans="65:67" ht="18.75" customHeight="1">
      <c r="BM9213" s="1025"/>
      <c r="BO9213" s="43"/>
    </row>
    <row r="9214" spans="65:67" ht="18.75" customHeight="1">
      <c r="BM9214" s="1025"/>
      <c r="BO9214" s="43"/>
    </row>
    <row r="9215" spans="65:67" ht="18.75" customHeight="1">
      <c r="BM9215" s="1025"/>
      <c r="BO9215" s="43"/>
    </row>
    <row r="9216" spans="65:67" ht="18.75" customHeight="1">
      <c r="BM9216" s="1025"/>
      <c r="BO9216" s="43"/>
    </row>
    <row r="9217" spans="65:67" ht="18.75" customHeight="1">
      <c r="BM9217" s="1025"/>
      <c r="BO9217" s="43"/>
    </row>
    <row r="9218" spans="65:67" ht="18.75" customHeight="1">
      <c r="BM9218" s="1025"/>
      <c r="BO9218" s="43"/>
    </row>
    <row r="9219" spans="65:67" ht="18.75" customHeight="1">
      <c r="BM9219" s="1025"/>
      <c r="BO9219" s="43"/>
    </row>
    <row r="9220" spans="65:67" ht="18.75" customHeight="1">
      <c r="BM9220" s="1025"/>
      <c r="BO9220" s="43"/>
    </row>
    <row r="9221" spans="65:67" ht="18.75" customHeight="1">
      <c r="BM9221" s="1025"/>
      <c r="BO9221" s="43"/>
    </row>
    <row r="9222" spans="65:67" ht="18.75" customHeight="1">
      <c r="BM9222" s="1025"/>
      <c r="BO9222" s="43"/>
    </row>
    <row r="9223" spans="65:67" ht="18.75" customHeight="1">
      <c r="BM9223" s="1025"/>
      <c r="BO9223" s="43"/>
    </row>
    <row r="9224" spans="65:67" ht="18.75" customHeight="1">
      <c r="BM9224" s="1025"/>
      <c r="BO9224" s="43"/>
    </row>
    <row r="9225" spans="65:67" ht="18.75" customHeight="1">
      <c r="BM9225" s="1025"/>
      <c r="BO9225" s="43"/>
    </row>
    <row r="9226" spans="65:67" ht="18.75" customHeight="1">
      <c r="BM9226" s="1025"/>
      <c r="BO9226" s="43"/>
    </row>
    <row r="9227" spans="65:67" ht="18.75" customHeight="1">
      <c r="BM9227" s="1025"/>
      <c r="BO9227" s="43"/>
    </row>
    <row r="9228" spans="65:67" ht="18.75" customHeight="1">
      <c r="BM9228" s="1025"/>
      <c r="BO9228" s="43"/>
    </row>
    <row r="9229" spans="65:67" ht="18.75" customHeight="1">
      <c r="BM9229" s="1025"/>
      <c r="BO9229" s="43"/>
    </row>
    <row r="9230" spans="65:67" ht="18.75" customHeight="1">
      <c r="BM9230" s="1025"/>
      <c r="BO9230" s="43"/>
    </row>
    <row r="9231" spans="65:67" ht="18.75" customHeight="1">
      <c r="BM9231" s="1025"/>
      <c r="BO9231" s="43"/>
    </row>
    <row r="9232" spans="65:67" ht="18.75" customHeight="1">
      <c r="BM9232" s="1025"/>
      <c r="BO9232" s="43"/>
    </row>
    <row r="9233" spans="65:67" ht="18.75" customHeight="1">
      <c r="BM9233" s="1025"/>
      <c r="BO9233" s="43"/>
    </row>
    <row r="9234" spans="65:67" ht="18.75" customHeight="1">
      <c r="BM9234" s="1025"/>
      <c r="BO9234" s="43"/>
    </row>
    <row r="9235" spans="65:67" ht="18.75" customHeight="1">
      <c r="BM9235" s="1025"/>
      <c r="BO9235" s="43"/>
    </row>
    <row r="9236" spans="65:67" ht="18.75" customHeight="1">
      <c r="BM9236" s="1025"/>
      <c r="BO9236" s="43"/>
    </row>
    <row r="9237" spans="65:67" ht="18.75" customHeight="1">
      <c r="BM9237" s="1025"/>
      <c r="BO9237" s="43"/>
    </row>
    <row r="9238" spans="65:67" ht="18.75" customHeight="1">
      <c r="BM9238" s="1025"/>
      <c r="BO9238" s="43"/>
    </row>
    <row r="9239" spans="65:67" ht="18.75" customHeight="1">
      <c r="BM9239" s="1025"/>
      <c r="BO9239" s="43"/>
    </row>
    <row r="9240" spans="65:67" ht="18.75" customHeight="1">
      <c r="BM9240" s="1025"/>
      <c r="BO9240" s="43"/>
    </row>
    <row r="9241" spans="65:67" ht="18.75" customHeight="1">
      <c r="BM9241" s="1025"/>
      <c r="BO9241" s="43"/>
    </row>
    <row r="9242" spans="65:67" ht="18.75" customHeight="1">
      <c r="BM9242" s="1025"/>
      <c r="BO9242" s="43"/>
    </row>
    <row r="9243" spans="65:67" ht="18.75" customHeight="1">
      <c r="BM9243" s="1025"/>
      <c r="BO9243" s="43"/>
    </row>
    <row r="9244" spans="65:67" ht="18.75" customHeight="1">
      <c r="BM9244" s="1025"/>
      <c r="BO9244" s="43"/>
    </row>
    <row r="9245" spans="65:67" ht="18.75" customHeight="1">
      <c r="BM9245" s="1025"/>
      <c r="BO9245" s="43"/>
    </row>
    <row r="9246" spans="65:67" ht="18.75" customHeight="1">
      <c r="BM9246" s="1025"/>
      <c r="BO9246" s="43"/>
    </row>
    <row r="9247" spans="65:67" ht="18.75" customHeight="1">
      <c r="BM9247" s="1025"/>
      <c r="BO9247" s="43"/>
    </row>
    <row r="9248" spans="65:67" ht="18.75" customHeight="1">
      <c r="BM9248" s="1025"/>
      <c r="BO9248" s="43"/>
    </row>
    <row r="9249" spans="65:67" ht="18.75" customHeight="1">
      <c r="BM9249" s="1025"/>
      <c r="BO9249" s="43"/>
    </row>
    <row r="9250" spans="65:67" ht="18.75" customHeight="1">
      <c r="BM9250" s="1025"/>
      <c r="BO9250" s="43"/>
    </row>
    <row r="9251" spans="65:67" ht="18.75" customHeight="1">
      <c r="BM9251" s="1025"/>
      <c r="BO9251" s="43"/>
    </row>
    <row r="9252" spans="65:67" ht="18.75" customHeight="1">
      <c r="BM9252" s="1025"/>
      <c r="BO9252" s="43"/>
    </row>
    <row r="9253" spans="65:67" ht="18.75" customHeight="1">
      <c r="BM9253" s="1025"/>
      <c r="BO9253" s="43"/>
    </row>
    <row r="9254" spans="65:67" ht="18.75" customHeight="1">
      <c r="BM9254" s="1025"/>
      <c r="BO9254" s="43"/>
    </row>
    <row r="9255" spans="65:67" ht="18.75" customHeight="1">
      <c r="BM9255" s="1025"/>
      <c r="BO9255" s="43"/>
    </row>
    <row r="9256" spans="65:67" ht="18.75" customHeight="1">
      <c r="BM9256" s="1025"/>
      <c r="BO9256" s="43"/>
    </row>
    <row r="9257" spans="65:67" ht="18.75" customHeight="1">
      <c r="BM9257" s="1025"/>
      <c r="BO9257" s="43"/>
    </row>
    <row r="9258" spans="65:67" ht="18.75" customHeight="1">
      <c r="BM9258" s="1025"/>
      <c r="BO9258" s="43"/>
    </row>
    <row r="9259" spans="65:67" ht="18.75" customHeight="1">
      <c r="BM9259" s="1025"/>
      <c r="BO9259" s="43"/>
    </row>
    <row r="9260" spans="65:67" ht="18.75" customHeight="1">
      <c r="BM9260" s="1025"/>
      <c r="BO9260" s="43"/>
    </row>
    <row r="9261" spans="65:67" ht="18.75" customHeight="1">
      <c r="BM9261" s="1025"/>
      <c r="BO9261" s="43"/>
    </row>
    <row r="9262" spans="65:67" ht="18.75" customHeight="1">
      <c r="BM9262" s="1025"/>
      <c r="BO9262" s="43"/>
    </row>
    <row r="9263" spans="65:67" ht="18.75" customHeight="1">
      <c r="BM9263" s="1025"/>
      <c r="BO9263" s="43"/>
    </row>
    <row r="9264" spans="65:67" ht="18.75" customHeight="1">
      <c r="BM9264" s="1025"/>
      <c r="BO9264" s="43"/>
    </row>
    <row r="9265" spans="65:67" ht="18.75" customHeight="1">
      <c r="BM9265" s="1025"/>
      <c r="BO9265" s="43"/>
    </row>
    <row r="9266" spans="65:67" ht="18.75" customHeight="1">
      <c r="BM9266" s="1025"/>
      <c r="BO9266" s="43"/>
    </row>
    <row r="9267" spans="65:67" ht="18.75" customHeight="1">
      <c r="BM9267" s="1025"/>
      <c r="BO9267" s="43"/>
    </row>
    <row r="9268" spans="65:67" ht="18.75" customHeight="1">
      <c r="BM9268" s="1025"/>
      <c r="BO9268" s="43"/>
    </row>
    <row r="9269" spans="65:67" ht="18.75" customHeight="1">
      <c r="BM9269" s="1025"/>
      <c r="BO9269" s="43"/>
    </row>
    <row r="9270" spans="65:67" ht="18.75" customHeight="1">
      <c r="BM9270" s="1025"/>
      <c r="BO9270" s="43"/>
    </row>
    <row r="9271" spans="65:67" ht="18.75" customHeight="1">
      <c r="BM9271" s="1025"/>
      <c r="BO9271" s="43"/>
    </row>
    <row r="9272" spans="65:67" ht="18.75" customHeight="1">
      <c r="BM9272" s="1025"/>
      <c r="BO9272" s="43"/>
    </row>
    <row r="9273" spans="65:67" ht="18.75" customHeight="1">
      <c r="BM9273" s="1025"/>
      <c r="BO9273" s="43"/>
    </row>
    <row r="9274" spans="65:67" ht="18.75" customHeight="1">
      <c r="BM9274" s="1025"/>
      <c r="BO9274" s="43"/>
    </row>
    <row r="9275" spans="65:67" ht="18.75" customHeight="1">
      <c r="BM9275" s="1025"/>
      <c r="BO9275" s="43"/>
    </row>
    <row r="9276" spans="65:67" ht="18.75" customHeight="1">
      <c r="BM9276" s="1025"/>
      <c r="BO9276" s="43"/>
    </row>
    <row r="9277" spans="65:67" ht="18.75" customHeight="1">
      <c r="BM9277" s="1025"/>
      <c r="BO9277" s="43"/>
    </row>
    <row r="9278" spans="65:67" ht="18.75" customHeight="1">
      <c r="BM9278" s="1025"/>
      <c r="BO9278" s="43"/>
    </row>
    <row r="9279" spans="65:67" ht="18.75" customHeight="1">
      <c r="BM9279" s="1025"/>
      <c r="BO9279" s="43"/>
    </row>
    <row r="9280" spans="65:67" ht="18.75" customHeight="1">
      <c r="BM9280" s="1025"/>
      <c r="BO9280" s="43"/>
    </row>
    <row r="9281" spans="65:67" ht="18.75" customHeight="1">
      <c r="BM9281" s="1025"/>
      <c r="BO9281" s="43"/>
    </row>
    <row r="9282" spans="65:67" ht="18.75" customHeight="1">
      <c r="BM9282" s="1025"/>
      <c r="BO9282" s="43"/>
    </row>
    <row r="9283" spans="65:67" ht="18.75" customHeight="1">
      <c r="BM9283" s="1025"/>
      <c r="BO9283" s="43"/>
    </row>
    <row r="9284" spans="65:67" ht="18.75" customHeight="1">
      <c r="BM9284" s="1025"/>
      <c r="BO9284" s="43"/>
    </row>
    <row r="9285" spans="65:67" ht="18.75" customHeight="1">
      <c r="BM9285" s="1025"/>
      <c r="BO9285" s="43"/>
    </row>
    <row r="9286" spans="65:67" ht="18.75" customHeight="1">
      <c r="BM9286" s="1025"/>
      <c r="BO9286" s="43"/>
    </row>
    <row r="9287" spans="65:67" ht="18.75" customHeight="1">
      <c r="BM9287" s="1025"/>
      <c r="BO9287" s="43"/>
    </row>
    <row r="9288" spans="65:67" ht="18.75" customHeight="1">
      <c r="BM9288" s="1025"/>
      <c r="BO9288" s="43"/>
    </row>
    <row r="9289" spans="65:67" ht="18.75" customHeight="1">
      <c r="BM9289" s="1025"/>
      <c r="BO9289" s="43"/>
    </row>
    <row r="9290" spans="65:67" ht="18.75" customHeight="1">
      <c r="BM9290" s="1025"/>
      <c r="BO9290" s="43"/>
    </row>
    <row r="9291" spans="65:67" ht="18.75" customHeight="1">
      <c r="BM9291" s="1025"/>
      <c r="BO9291" s="43"/>
    </row>
    <row r="9292" spans="65:67" ht="18.75" customHeight="1">
      <c r="BM9292" s="1025"/>
      <c r="BO9292" s="43"/>
    </row>
    <row r="9293" spans="65:67" ht="18.75" customHeight="1">
      <c r="BM9293" s="1025"/>
      <c r="BO9293" s="43"/>
    </row>
    <row r="9294" spans="65:67" ht="18.75" customHeight="1">
      <c r="BM9294" s="1025"/>
      <c r="BO9294" s="43"/>
    </row>
    <row r="9295" spans="65:67" ht="18.75" customHeight="1">
      <c r="BM9295" s="1025"/>
      <c r="BO9295" s="43"/>
    </row>
    <row r="9296" spans="65:67" ht="18.75" customHeight="1">
      <c r="BM9296" s="1025"/>
      <c r="BO9296" s="43"/>
    </row>
    <row r="9297" spans="65:67" ht="18.75" customHeight="1">
      <c r="BM9297" s="1025"/>
      <c r="BO9297" s="43"/>
    </row>
    <row r="9298" spans="65:67" ht="18.75" customHeight="1">
      <c r="BM9298" s="1025"/>
      <c r="BO9298" s="43"/>
    </row>
    <row r="9299" spans="65:67" ht="18.75" customHeight="1">
      <c r="BM9299" s="1025"/>
      <c r="BO9299" s="43"/>
    </row>
    <row r="9300" spans="65:67" ht="18.75" customHeight="1">
      <c r="BM9300" s="1025"/>
      <c r="BO9300" s="43"/>
    </row>
    <row r="9301" spans="65:67" ht="18.75" customHeight="1">
      <c r="BM9301" s="1025"/>
      <c r="BO9301" s="43"/>
    </row>
    <row r="9302" spans="65:67" ht="18.75" customHeight="1">
      <c r="BM9302" s="1025"/>
      <c r="BO9302" s="43"/>
    </row>
    <row r="9303" spans="65:67" ht="18.75" customHeight="1">
      <c r="BM9303" s="1025"/>
      <c r="BO9303" s="43"/>
    </row>
    <row r="9304" spans="65:67" ht="18.75" customHeight="1">
      <c r="BM9304" s="1025"/>
      <c r="BO9304" s="43"/>
    </row>
    <row r="9305" spans="65:67" ht="18.75" customHeight="1">
      <c r="BM9305" s="1025"/>
      <c r="BO9305" s="43"/>
    </row>
    <row r="9306" spans="65:67" ht="18.75" customHeight="1">
      <c r="BM9306" s="1025"/>
      <c r="BO9306" s="43"/>
    </row>
    <row r="9307" spans="65:67" ht="18.75" customHeight="1">
      <c r="BM9307" s="1025"/>
      <c r="BO9307" s="43"/>
    </row>
    <row r="9308" spans="65:67" ht="18.75" customHeight="1">
      <c r="BM9308" s="1025"/>
      <c r="BO9308" s="43"/>
    </row>
    <row r="9309" spans="65:67" ht="18.75" customHeight="1">
      <c r="BM9309" s="1025"/>
      <c r="BO9309" s="43"/>
    </row>
    <row r="9310" spans="65:67" ht="18.75" customHeight="1">
      <c r="BM9310" s="1025"/>
      <c r="BO9310" s="43"/>
    </row>
    <row r="9311" spans="65:67" ht="18.75" customHeight="1">
      <c r="BM9311" s="1025"/>
      <c r="BO9311" s="43"/>
    </row>
    <row r="9312" spans="65:67" ht="18.75" customHeight="1">
      <c r="BM9312" s="1025"/>
      <c r="BO9312" s="43"/>
    </row>
    <row r="9313" spans="65:67" ht="18.75" customHeight="1">
      <c r="BM9313" s="1025"/>
      <c r="BO9313" s="43"/>
    </row>
    <row r="9314" spans="65:67" ht="18.75" customHeight="1">
      <c r="BM9314" s="1025"/>
      <c r="BO9314" s="43"/>
    </row>
    <row r="9315" spans="65:67" ht="18.75" customHeight="1">
      <c r="BM9315" s="1025"/>
      <c r="BO9315" s="43"/>
    </row>
    <row r="9316" spans="65:67" ht="18.75" customHeight="1">
      <c r="BM9316" s="1025"/>
      <c r="BO9316" s="43"/>
    </row>
    <row r="9317" spans="65:67" ht="18.75" customHeight="1">
      <c r="BM9317" s="1025"/>
      <c r="BO9317" s="43"/>
    </row>
    <row r="9318" spans="65:67" ht="18.75" customHeight="1">
      <c r="BM9318" s="1025"/>
      <c r="BO9318" s="43"/>
    </row>
    <row r="9319" spans="65:67" ht="18.75" customHeight="1">
      <c r="BM9319" s="1025"/>
      <c r="BO9319" s="43"/>
    </row>
    <row r="9320" spans="65:67" ht="18.75" customHeight="1">
      <c r="BM9320" s="1025"/>
      <c r="BO9320" s="43"/>
    </row>
    <row r="9321" spans="65:67" ht="18.75" customHeight="1">
      <c r="BM9321" s="1025"/>
      <c r="BO9321" s="43"/>
    </row>
    <row r="9322" spans="65:67" ht="18.75" customHeight="1">
      <c r="BM9322" s="1025"/>
      <c r="BO9322" s="43"/>
    </row>
    <row r="9323" spans="65:67" ht="18.75" customHeight="1">
      <c r="BM9323" s="1025"/>
      <c r="BO9323" s="43"/>
    </row>
    <row r="9324" spans="65:67" ht="18.75" customHeight="1">
      <c r="BM9324" s="1025"/>
      <c r="BO9324" s="43"/>
    </row>
    <row r="9325" spans="65:67" ht="18.75" customHeight="1">
      <c r="BM9325" s="1025"/>
      <c r="BO9325" s="43"/>
    </row>
    <row r="9326" spans="65:67" ht="18.75" customHeight="1">
      <c r="BM9326" s="1025"/>
      <c r="BO9326" s="43"/>
    </row>
    <row r="9327" spans="65:67" ht="18.75" customHeight="1">
      <c r="BM9327" s="1025"/>
      <c r="BO9327" s="43"/>
    </row>
    <row r="9328" spans="65:67" ht="18.75" customHeight="1">
      <c r="BM9328" s="1025"/>
      <c r="BO9328" s="43"/>
    </row>
    <row r="9329" spans="65:67" ht="18.75" customHeight="1">
      <c r="BM9329" s="1025"/>
      <c r="BO9329" s="43"/>
    </row>
    <row r="9330" spans="65:67" ht="18.75" customHeight="1">
      <c r="BM9330" s="1025"/>
      <c r="BO9330" s="43"/>
    </row>
    <row r="9331" spans="65:67" ht="18.75" customHeight="1">
      <c r="BM9331" s="1025"/>
      <c r="BO9331" s="43"/>
    </row>
    <row r="9332" spans="65:67" ht="18.75" customHeight="1">
      <c r="BM9332" s="1025"/>
      <c r="BO9332" s="43"/>
    </row>
    <row r="9333" spans="65:67" ht="18.75" customHeight="1">
      <c r="BM9333" s="1025"/>
      <c r="BO9333" s="43"/>
    </row>
    <row r="9334" spans="65:67" ht="18.75" customHeight="1">
      <c r="BM9334" s="1025"/>
      <c r="BO9334" s="43"/>
    </row>
    <row r="9335" spans="65:67" ht="18.75" customHeight="1">
      <c r="BM9335" s="1025"/>
      <c r="BO9335" s="43"/>
    </row>
    <row r="9336" spans="65:67" ht="18.75" customHeight="1">
      <c r="BM9336" s="1025"/>
      <c r="BO9336" s="43"/>
    </row>
    <row r="9337" spans="65:67" ht="18.75" customHeight="1">
      <c r="BM9337" s="1025"/>
      <c r="BO9337" s="43"/>
    </row>
    <row r="9338" spans="65:67" ht="18.75" customHeight="1">
      <c r="BM9338" s="1025"/>
      <c r="BO9338" s="43"/>
    </row>
    <row r="9339" spans="65:67" ht="18.75" customHeight="1">
      <c r="BM9339" s="1025"/>
      <c r="BO9339" s="43"/>
    </row>
    <row r="9340" spans="65:67" ht="18.75" customHeight="1">
      <c r="BM9340" s="1025"/>
      <c r="BO9340" s="43"/>
    </row>
    <row r="9341" spans="65:67" ht="18.75" customHeight="1">
      <c r="BM9341" s="1025"/>
      <c r="BO9341" s="43"/>
    </row>
    <row r="9342" spans="65:67" ht="18.75" customHeight="1">
      <c r="BM9342" s="1025"/>
      <c r="BO9342" s="43"/>
    </row>
    <row r="9343" spans="65:67" ht="18.75" customHeight="1">
      <c r="BM9343" s="1025"/>
      <c r="BO9343" s="43"/>
    </row>
    <row r="9344" spans="65:67" ht="18.75" customHeight="1">
      <c r="BM9344" s="1025"/>
      <c r="BO9344" s="43"/>
    </row>
    <row r="9345" spans="65:67" ht="18.75" customHeight="1">
      <c r="BM9345" s="1025"/>
      <c r="BO9345" s="43"/>
    </row>
    <row r="9346" spans="65:67" ht="18.75" customHeight="1">
      <c r="BM9346" s="1025"/>
      <c r="BO9346" s="43"/>
    </row>
    <row r="9347" spans="65:67" ht="18.75" customHeight="1">
      <c r="BM9347" s="1025"/>
      <c r="BO9347" s="43"/>
    </row>
    <row r="9348" spans="65:67" ht="18.75" customHeight="1">
      <c r="BM9348" s="1025"/>
      <c r="BO9348" s="43"/>
    </row>
    <row r="9349" spans="65:67" ht="18.75" customHeight="1">
      <c r="BM9349" s="1025"/>
      <c r="BO9349" s="43"/>
    </row>
    <row r="9350" spans="65:67" ht="18.75" customHeight="1">
      <c r="BM9350" s="1025"/>
      <c r="BO9350" s="43"/>
    </row>
    <row r="9351" spans="65:67" ht="18.75" customHeight="1">
      <c r="BM9351" s="1025"/>
      <c r="BO9351" s="43"/>
    </row>
    <row r="9352" spans="65:67" ht="18.75" customHeight="1">
      <c r="BM9352" s="1025"/>
      <c r="BO9352" s="43"/>
    </row>
    <row r="9353" spans="65:67" ht="18.75" customHeight="1">
      <c r="BM9353" s="1025"/>
      <c r="BO9353" s="43"/>
    </row>
    <row r="9354" spans="65:67" ht="18.75" customHeight="1">
      <c r="BM9354" s="1025"/>
      <c r="BO9354" s="43"/>
    </row>
    <row r="9355" spans="65:67" ht="18.75" customHeight="1">
      <c r="BM9355" s="1025"/>
      <c r="BO9355" s="43"/>
    </row>
    <row r="9356" spans="65:67" ht="18.75" customHeight="1">
      <c r="BM9356" s="1025"/>
      <c r="BO9356" s="43"/>
    </row>
    <row r="9357" spans="65:67" ht="18.75" customHeight="1">
      <c r="BM9357" s="1025"/>
      <c r="BO9357" s="43"/>
    </row>
    <row r="9358" spans="65:67" ht="18.75" customHeight="1">
      <c r="BM9358" s="1025"/>
      <c r="BO9358" s="43"/>
    </row>
    <row r="9359" spans="65:67" ht="18.75" customHeight="1">
      <c r="BM9359" s="1025"/>
      <c r="BO9359" s="43"/>
    </row>
    <row r="9360" spans="65:67" ht="18.75" customHeight="1">
      <c r="BM9360" s="1025"/>
      <c r="BO9360" s="43"/>
    </row>
    <row r="9361" spans="65:67" ht="18.75" customHeight="1">
      <c r="BM9361" s="1025"/>
      <c r="BO9361" s="43"/>
    </row>
    <row r="9362" spans="65:67" ht="18.75" customHeight="1">
      <c r="BM9362" s="1025"/>
      <c r="BO9362" s="43"/>
    </row>
    <row r="9363" spans="65:67" ht="18.75" customHeight="1">
      <c r="BM9363" s="1025"/>
      <c r="BO9363" s="43"/>
    </row>
    <row r="9364" spans="65:67" ht="18.75" customHeight="1">
      <c r="BM9364" s="1025"/>
      <c r="BO9364" s="43"/>
    </row>
    <row r="9365" spans="65:67" ht="18.75" customHeight="1">
      <c r="BM9365" s="1025"/>
      <c r="BO9365" s="43"/>
    </row>
    <row r="9366" spans="65:67" ht="18.75" customHeight="1">
      <c r="BM9366" s="1025"/>
      <c r="BO9366" s="43"/>
    </row>
    <row r="9367" spans="65:67" ht="18.75" customHeight="1">
      <c r="BM9367" s="1025"/>
      <c r="BO9367" s="43"/>
    </row>
    <row r="9368" spans="65:67" ht="18.75" customHeight="1">
      <c r="BM9368" s="1025"/>
      <c r="BO9368" s="43"/>
    </row>
    <row r="9369" spans="65:67" ht="18.75" customHeight="1">
      <c r="BM9369" s="1025"/>
      <c r="BO9369" s="43"/>
    </row>
    <row r="9370" spans="65:67" ht="18.75" customHeight="1">
      <c r="BM9370" s="1025"/>
      <c r="BO9370" s="43"/>
    </row>
    <row r="9371" spans="65:67" ht="18.75" customHeight="1">
      <c r="BM9371" s="1025"/>
      <c r="BO9371" s="43"/>
    </row>
    <row r="9372" spans="65:67" ht="18.75" customHeight="1">
      <c r="BM9372" s="1025"/>
      <c r="BO9372" s="43"/>
    </row>
    <row r="9373" spans="65:67" ht="18.75" customHeight="1">
      <c r="BM9373" s="1025"/>
      <c r="BO9373" s="43"/>
    </row>
    <row r="9374" spans="65:67" ht="18.75" customHeight="1">
      <c r="BM9374" s="1025"/>
      <c r="BO9374" s="43"/>
    </row>
    <row r="9375" spans="65:67" ht="18.75" customHeight="1">
      <c r="BM9375" s="1025"/>
      <c r="BO9375" s="43"/>
    </row>
    <row r="9376" spans="65:67" ht="18.75" customHeight="1">
      <c r="BM9376" s="1025"/>
      <c r="BO9376" s="43"/>
    </row>
    <row r="9377" spans="65:67" ht="18.75" customHeight="1">
      <c r="BM9377" s="1025"/>
      <c r="BO9377" s="43"/>
    </row>
    <row r="9378" spans="65:67" ht="18.75" customHeight="1">
      <c r="BM9378" s="1025"/>
      <c r="BO9378" s="43"/>
    </row>
    <row r="9379" spans="65:67" ht="18.75" customHeight="1">
      <c r="BM9379" s="1025"/>
      <c r="BO9379" s="43"/>
    </row>
    <row r="9380" spans="65:67" ht="18.75" customHeight="1">
      <c r="BM9380" s="1025"/>
      <c r="BO9380" s="43"/>
    </row>
    <row r="9381" spans="65:67" ht="18.75" customHeight="1">
      <c r="BM9381" s="1025"/>
      <c r="BO9381" s="43"/>
    </row>
    <row r="9382" spans="65:67" ht="18.75" customHeight="1">
      <c r="BM9382" s="1025"/>
      <c r="BO9382" s="43"/>
    </row>
    <row r="9383" spans="65:67" ht="18.75" customHeight="1">
      <c r="BM9383" s="1025"/>
      <c r="BO9383" s="43"/>
    </row>
    <row r="9384" spans="65:67" ht="18.75" customHeight="1">
      <c r="BM9384" s="1025"/>
      <c r="BO9384" s="43"/>
    </row>
    <row r="9385" spans="65:67" ht="18.75" customHeight="1">
      <c r="BM9385" s="1025"/>
      <c r="BO9385" s="43"/>
    </row>
    <row r="9386" spans="65:67" ht="18.75" customHeight="1">
      <c r="BM9386" s="1025"/>
      <c r="BO9386" s="43"/>
    </row>
    <row r="9387" spans="65:67" ht="18.75" customHeight="1">
      <c r="BM9387" s="1025"/>
      <c r="BO9387" s="43"/>
    </row>
    <row r="9388" spans="65:67" ht="18.75" customHeight="1">
      <c r="BM9388" s="1025"/>
      <c r="BO9388" s="43"/>
    </row>
    <row r="9389" spans="65:67" ht="18.75" customHeight="1">
      <c r="BM9389" s="1025"/>
      <c r="BO9389" s="43"/>
    </row>
    <row r="9390" spans="65:67" ht="18.75" customHeight="1">
      <c r="BM9390" s="1025"/>
      <c r="BO9390" s="43"/>
    </row>
    <row r="9391" spans="65:67" ht="18.75" customHeight="1">
      <c r="BM9391" s="1025"/>
      <c r="BO9391" s="43"/>
    </row>
    <row r="9392" spans="65:67" ht="18.75" customHeight="1">
      <c r="BM9392" s="1025"/>
      <c r="BO9392" s="43"/>
    </row>
    <row r="9393" spans="65:67" ht="18.75" customHeight="1">
      <c r="BM9393" s="1025"/>
      <c r="BO9393" s="43"/>
    </row>
    <row r="9394" spans="65:67" ht="18.75" customHeight="1">
      <c r="BM9394" s="1025"/>
      <c r="BO9394" s="43"/>
    </row>
    <row r="9395" spans="65:67" ht="18.75" customHeight="1">
      <c r="BM9395" s="1025"/>
      <c r="BO9395" s="43"/>
    </row>
    <row r="9396" spans="65:67" ht="18.75" customHeight="1">
      <c r="BM9396" s="1025"/>
      <c r="BO9396" s="43"/>
    </row>
    <row r="9397" spans="65:67" ht="18.75" customHeight="1">
      <c r="BM9397" s="1025"/>
      <c r="BO9397" s="43"/>
    </row>
    <row r="9398" spans="65:67" ht="18.75" customHeight="1">
      <c r="BM9398" s="1025"/>
      <c r="BO9398" s="43"/>
    </row>
    <row r="9399" spans="65:67" ht="18.75" customHeight="1">
      <c r="BM9399" s="1025"/>
      <c r="BO9399" s="43"/>
    </row>
    <row r="9400" spans="65:67" ht="18.75" customHeight="1">
      <c r="BM9400" s="1025"/>
      <c r="BO9400" s="43"/>
    </row>
    <row r="9401" spans="65:67" ht="18.75" customHeight="1">
      <c r="BM9401" s="1025"/>
      <c r="BO9401" s="43"/>
    </row>
    <row r="9402" spans="65:67" ht="18.75" customHeight="1">
      <c r="BM9402" s="1025"/>
      <c r="BO9402" s="43"/>
    </row>
    <row r="9403" spans="65:67" ht="18.75" customHeight="1">
      <c r="BM9403" s="1025"/>
      <c r="BO9403" s="43"/>
    </row>
    <row r="9404" spans="65:67" ht="18.75" customHeight="1">
      <c r="BM9404" s="1025"/>
      <c r="BO9404" s="43"/>
    </row>
    <row r="9405" spans="65:67" ht="18.75" customHeight="1">
      <c r="BM9405" s="1025"/>
      <c r="BO9405" s="43"/>
    </row>
    <row r="9406" spans="65:67" ht="18.75" customHeight="1">
      <c r="BM9406" s="1025"/>
      <c r="BO9406" s="43"/>
    </row>
    <row r="9407" spans="65:67" ht="18.75" customHeight="1">
      <c r="BM9407" s="1025"/>
      <c r="BO9407" s="43"/>
    </row>
    <row r="9408" spans="65:67" ht="18.75" customHeight="1">
      <c r="BM9408" s="1025"/>
      <c r="BO9408" s="43"/>
    </row>
    <row r="9409" spans="65:67" ht="18.75" customHeight="1">
      <c r="BM9409" s="1025"/>
      <c r="BO9409" s="43"/>
    </row>
    <row r="9410" spans="65:67" ht="18.75" customHeight="1">
      <c r="BM9410" s="1025"/>
      <c r="BO9410" s="43"/>
    </row>
    <row r="9411" spans="65:67" ht="18.75" customHeight="1">
      <c r="BM9411" s="1025"/>
      <c r="BO9411" s="43"/>
    </row>
    <row r="9412" spans="65:67" ht="18.75" customHeight="1">
      <c r="BM9412" s="1025"/>
      <c r="BO9412" s="43"/>
    </row>
    <row r="9413" spans="65:67" ht="18.75" customHeight="1">
      <c r="BM9413" s="1025"/>
      <c r="BO9413" s="43"/>
    </row>
    <row r="9414" spans="65:67" ht="18.75" customHeight="1">
      <c r="BM9414" s="1025"/>
      <c r="BO9414" s="43"/>
    </row>
    <row r="9415" spans="65:67" ht="18.75" customHeight="1">
      <c r="BM9415" s="1025"/>
      <c r="BO9415" s="43"/>
    </row>
    <row r="9416" spans="65:67" ht="18.75" customHeight="1">
      <c r="BM9416" s="1025"/>
      <c r="BO9416" s="43"/>
    </row>
    <row r="9417" spans="65:67" ht="18.75" customHeight="1">
      <c r="BM9417" s="1025"/>
      <c r="BO9417" s="43"/>
    </row>
    <row r="9418" spans="65:67" ht="18.75" customHeight="1">
      <c r="BM9418" s="1025"/>
      <c r="BO9418" s="43"/>
    </row>
    <row r="9419" spans="65:67" ht="18.75" customHeight="1">
      <c r="BM9419" s="1025"/>
      <c r="BO9419" s="43"/>
    </row>
    <row r="9420" spans="65:67" ht="18.75" customHeight="1">
      <c r="BM9420" s="1025"/>
      <c r="BO9420" s="43"/>
    </row>
    <row r="9421" spans="65:67" ht="18.75" customHeight="1">
      <c r="BM9421" s="1025"/>
      <c r="BO9421" s="43"/>
    </row>
    <row r="9422" spans="65:67" ht="18.75" customHeight="1">
      <c r="BM9422" s="1025"/>
      <c r="BO9422" s="43"/>
    </row>
    <row r="9423" spans="65:67" ht="18.75" customHeight="1">
      <c r="BM9423" s="1025"/>
      <c r="BO9423" s="43"/>
    </row>
    <row r="9424" spans="65:67" ht="18.75" customHeight="1">
      <c r="BM9424" s="1025"/>
      <c r="BO9424" s="43"/>
    </row>
    <row r="9425" spans="65:67" ht="18.75" customHeight="1">
      <c r="BM9425" s="1025"/>
      <c r="BO9425" s="43"/>
    </row>
    <row r="9426" spans="65:67" ht="18.75" customHeight="1">
      <c r="BM9426" s="1025"/>
      <c r="BO9426" s="43"/>
    </row>
    <row r="9427" spans="65:67" ht="18.75" customHeight="1">
      <c r="BM9427" s="1025"/>
      <c r="BO9427" s="43"/>
    </row>
    <row r="9428" spans="65:67" ht="18.75" customHeight="1">
      <c r="BM9428" s="1025"/>
      <c r="BO9428" s="43"/>
    </row>
    <row r="9429" spans="65:67" ht="18.75" customHeight="1">
      <c r="BM9429" s="1025"/>
      <c r="BO9429" s="43"/>
    </row>
    <row r="9430" spans="65:67" ht="18.75" customHeight="1">
      <c r="BM9430" s="1025"/>
      <c r="BO9430" s="43"/>
    </row>
    <row r="9431" spans="65:67" ht="18.75" customHeight="1">
      <c r="BM9431" s="1025"/>
      <c r="BO9431" s="43"/>
    </row>
    <row r="9432" spans="65:67" ht="18.75" customHeight="1">
      <c r="BM9432" s="1025"/>
      <c r="BO9432" s="43"/>
    </row>
    <row r="9433" spans="65:67" ht="18.75" customHeight="1">
      <c r="BM9433" s="1025"/>
      <c r="BO9433" s="43"/>
    </row>
    <row r="9434" spans="65:67" ht="18.75" customHeight="1">
      <c r="BM9434" s="1025"/>
      <c r="BO9434" s="43"/>
    </row>
    <row r="9435" spans="65:67" ht="18.75" customHeight="1">
      <c r="BM9435" s="1025"/>
      <c r="BO9435" s="43"/>
    </row>
    <row r="9436" spans="65:67" ht="18.75" customHeight="1">
      <c r="BM9436" s="1025"/>
      <c r="BO9436" s="43"/>
    </row>
    <row r="9437" spans="65:67" ht="18.75" customHeight="1">
      <c r="BM9437" s="1025"/>
      <c r="BO9437" s="43"/>
    </row>
    <row r="9438" spans="65:67" ht="18.75" customHeight="1">
      <c r="BM9438" s="1025"/>
      <c r="BO9438" s="43"/>
    </row>
    <row r="9439" spans="65:67" ht="18.75" customHeight="1">
      <c r="BM9439" s="1025"/>
      <c r="BO9439" s="43"/>
    </row>
    <row r="9440" spans="65:67" ht="18.75" customHeight="1">
      <c r="BM9440" s="1025"/>
      <c r="BO9440" s="43"/>
    </row>
    <row r="9441" spans="65:67" ht="18.75" customHeight="1">
      <c r="BM9441" s="1025"/>
      <c r="BO9441" s="43"/>
    </row>
    <row r="9442" spans="65:67" ht="18.75" customHeight="1">
      <c r="BM9442" s="1025"/>
      <c r="BO9442" s="43"/>
    </row>
    <row r="9443" spans="65:67" ht="18.75" customHeight="1">
      <c r="BM9443" s="1025"/>
      <c r="BO9443" s="43"/>
    </row>
    <row r="9444" spans="65:67" ht="18.75" customHeight="1">
      <c r="BM9444" s="1025"/>
      <c r="BO9444" s="43"/>
    </row>
    <row r="9445" spans="65:67" ht="18.75" customHeight="1">
      <c r="BM9445" s="1025"/>
      <c r="BO9445" s="43"/>
    </row>
    <row r="9446" spans="65:67" ht="18.75" customHeight="1">
      <c r="BM9446" s="1025"/>
      <c r="BO9446" s="43"/>
    </row>
    <row r="9447" spans="65:67" ht="18.75" customHeight="1">
      <c r="BM9447" s="1025"/>
      <c r="BO9447" s="43"/>
    </row>
    <row r="9448" spans="65:67" ht="18.75" customHeight="1">
      <c r="BM9448" s="1025"/>
      <c r="BO9448" s="43"/>
    </row>
    <row r="9449" spans="65:67" ht="18.75" customHeight="1">
      <c r="BM9449" s="1025"/>
      <c r="BO9449" s="43"/>
    </row>
    <row r="9450" spans="65:67" ht="18.75" customHeight="1">
      <c r="BM9450" s="1025"/>
      <c r="BO9450" s="43"/>
    </row>
    <row r="9451" spans="65:67" ht="18.75" customHeight="1">
      <c r="BM9451" s="1025"/>
      <c r="BO9451" s="43"/>
    </row>
    <row r="9452" spans="65:67" ht="18.75" customHeight="1">
      <c r="BM9452" s="1025"/>
      <c r="BO9452" s="43"/>
    </row>
    <row r="9453" spans="65:67" ht="18.75" customHeight="1">
      <c r="BM9453" s="1025"/>
      <c r="BO9453" s="43"/>
    </row>
    <row r="9454" spans="65:67" ht="18.75" customHeight="1">
      <c r="BM9454" s="1025"/>
      <c r="BO9454" s="43"/>
    </row>
    <row r="9455" spans="65:67" ht="18.75" customHeight="1">
      <c r="BM9455" s="1025"/>
      <c r="BO9455" s="43"/>
    </row>
    <row r="9456" spans="65:67" ht="18.75" customHeight="1">
      <c r="BM9456" s="1025"/>
      <c r="BO9456" s="43"/>
    </row>
    <row r="9457" spans="65:67" ht="18.75" customHeight="1">
      <c r="BM9457" s="1025"/>
      <c r="BO9457" s="43"/>
    </row>
    <row r="9458" spans="65:67" ht="18.75" customHeight="1">
      <c r="BM9458" s="1025"/>
      <c r="BO9458" s="43"/>
    </row>
    <row r="9459" spans="65:67" ht="18.75" customHeight="1">
      <c r="BM9459" s="1025"/>
      <c r="BO9459" s="43"/>
    </row>
    <row r="9460" spans="65:67" ht="18.75" customHeight="1">
      <c r="BM9460" s="1025"/>
      <c r="BO9460" s="43"/>
    </row>
    <row r="9461" spans="65:67" ht="18.75" customHeight="1">
      <c r="BM9461" s="1025"/>
      <c r="BO9461" s="43"/>
    </row>
    <row r="9462" spans="65:67" ht="18.75" customHeight="1">
      <c r="BM9462" s="1025"/>
      <c r="BO9462" s="43"/>
    </row>
    <row r="9463" spans="65:67" ht="18.75" customHeight="1">
      <c r="BM9463" s="1025"/>
      <c r="BO9463" s="43"/>
    </row>
    <row r="9464" spans="65:67" ht="18.75" customHeight="1">
      <c r="BM9464" s="1025"/>
      <c r="BO9464" s="43"/>
    </row>
    <row r="9465" spans="65:67" ht="18.75" customHeight="1">
      <c r="BM9465" s="1025"/>
      <c r="BO9465" s="43"/>
    </row>
    <row r="9466" spans="65:67" ht="18.75" customHeight="1">
      <c r="BM9466" s="1025"/>
      <c r="BO9466" s="43"/>
    </row>
    <row r="9467" spans="65:67" ht="18.75" customHeight="1">
      <c r="BM9467" s="1025"/>
      <c r="BO9467" s="43"/>
    </row>
    <row r="9468" spans="65:67" ht="18.75" customHeight="1">
      <c r="BM9468" s="1025"/>
      <c r="BO9468" s="43"/>
    </row>
    <row r="9469" spans="65:67" ht="18.75" customHeight="1">
      <c r="BM9469" s="1025"/>
      <c r="BO9469" s="43"/>
    </row>
    <row r="9470" spans="65:67" ht="18.75" customHeight="1">
      <c r="BM9470" s="1025"/>
      <c r="BO9470" s="43"/>
    </row>
    <row r="9471" spans="65:67" ht="18.75" customHeight="1">
      <c r="BM9471" s="1025"/>
      <c r="BO9471" s="43"/>
    </row>
    <row r="9472" spans="65:67" ht="18.75" customHeight="1">
      <c r="BM9472" s="1025"/>
      <c r="BO9472" s="43"/>
    </row>
    <row r="9473" spans="65:67" ht="18.75" customHeight="1">
      <c r="BM9473" s="1025"/>
      <c r="BO9473" s="43"/>
    </row>
    <row r="9474" spans="65:67" ht="18.75" customHeight="1">
      <c r="BM9474" s="1025"/>
      <c r="BO9474" s="43"/>
    </row>
    <row r="9475" spans="65:67" ht="18.75" customHeight="1">
      <c r="BM9475" s="1025"/>
      <c r="BO9475" s="43"/>
    </row>
    <row r="9476" spans="65:67" ht="18.75" customHeight="1">
      <c r="BM9476" s="1025"/>
      <c r="BO9476" s="43"/>
    </row>
    <row r="9477" spans="65:67" ht="18.75" customHeight="1">
      <c r="BM9477" s="1025"/>
      <c r="BO9477" s="43"/>
    </row>
    <row r="9478" spans="65:67" ht="18.75" customHeight="1">
      <c r="BM9478" s="1025"/>
      <c r="BO9478" s="43"/>
    </row>
    <row r="9479" spans="65:67" ht="18.75" customHeight="1">
      <c r="BM9479" s="1025"/>
      <c r="BO9479" s="43"/>
    </row>
    <row r="9480" spans="65:67" ht="18.75" customHeight="1">
      <c r="BM9480" s="1025"/>
      <c r="BO9480" s="43"/>
    </row>
    <row r="9481" spans="65:67" ht="18.75" customHeight="1">
      <c r="BM9481" s="1025"/>
      <c r="BO9481" s="43"/>
    </row>
    <row r="9482" spans="65:67" ht="18.75" customHeight="1">
      <c r="BM9482" s="1025"/>
      <c r="BO9482" s="43"/>
    </row>
    <row r="9483" spans="65:67" ht="18.75" customHeight="1">
      <c r="BM9483" s="1025"/>
      <c r="BO9483" s="43"/>
    </row>
    <row r="9484" spans="65:67" ht="18.75" customHeight="1">
      <c r="BM9484" s="1025"/>
      <c r="BO9484" s="43"/>
    </row>
    <row r="9485" spans="65:67" ht="18.75" customHeight="1">
      <c r="BM9485" s="1025"/>
      <c r="BO9485" s="43"/>
    </row>
    <row r="9486" spans="65:67" ht="18.75" customHeight="1">
      <c r="BM9486" s="1025"/>
      <c r="BO9486" s="43"/>
    </row>
    <row r="9487" spans="65:67" ht="18.75" customHeight="1">
      <c r="BM9487" s="1025"/>
      <c r="BO9487" s="43"/>
    </row>
    <row r="9488" spans="65:67" ht="18.75" customHeight="1">
      <c r="BM9488" s="1025"/>
      <c r="BO9488" s="43"/>
    </row>
    <row r="9489" spans="65:67" ht="18.75" customHeight="1">
      <c r="BM9489" s="1025"/>
      <c r="BO9489" s="43"/>
    </row>
    <row r="9490" spans="65:67" ht="18.75" customHeight="1">
      <c r="BM9490" s="1025"/>
      <c r="BO9490" s="43"/>
    </row>
    <row r="9491" spans="65:67" ht="18.75" customHeight="1">
      <c r="BM9491" s="1025"/>
      <c r="BO9491" s="43"/>
    </row>
    <row r="9492" spans="65:67" ht="18.75" customHeight="1">
      <c r="BM9492" s="1025"/>
      <c r="BO9492" s="43"/>
    </row>
    <row r="9493" spans="65:67" ht="18.75" customHeight="1">
      <c r="BM9493" s="1025"/>
      <c r="BO9493" s="43"/>
    </row>
    <row r="9494" spans="65:67" ht="18.75" customHeight="1">
      <c r="BM9494" s="1025"/>
      <c r="BO9494" s="43"/>
    </row>
    <row r="9495" spans="65:67" ht="18.75" customHeight="1">
      <c r="BM9495" s="1025"/>
      <c r="BO9495" s="43"/>
    </row>
    <row r="9496" spans="65:67" ht="18.75" customHeight="1">
      <c r="BM9496" s="1025"/>
      <c r="BO9496" s="43"/>
    </row>
    <row r="9497" spans="65:67" ht="18.75" customHeight="1">
      <c r="BM9497" s="1025"/>
      <c r="BO9497" s="43"/>
    </row>
    <row r="9498" spans="65:67" ht="18.75" customHeight="1">
      <c r="BM9498" s="1025"/>
      <c r="BO9498" s="43"/>
    </row>
    <row r="9499" spans="65:67" ht="18.75" customHeight="1">
      <c r="BM9499" s="1025"/>
      <c r="BO9499" s="43"/>
    </row>
    <row r="9500" spans="65:67" ht="18.75" customHeight="1">
      <c r="BM9500" s="1025"/>
      <c r="BO9500" s="43"/>
    </row>
    <row r="9501" spans="65:67" ht="18.75" customHeight="1">
      <c r="BM9501" s="1025"/>
      <c r="BO9501" s="43"/>
    </row>
    <row r="9502" spans="65:67" ht="18.75" customHeight="1">
      <c r="BM9502" s="1025"/>
      <c r="BO9502" s="43"/>
    </row>
    <row r="9503" spans="65:67" ht="18.75" customHeight="1">
      <c r="BM9503" s="1025"/>
      <c r="BO9503" s="43"/>
    </row>
    <row r="9504" spans="65:67" ht="18.75" customHeight="1">
      <c r="BM9504" s="1025"/>
      <c r="BO9504" s="43"/>
    </row>
    <row r="9505" spans="65:67" ht="18.75" customHeight="1">
      <c r="BM9505" s="1025"/>
      <c r="BO9505" s="43"/>
    </row>
    <row r="9506" spans="65:67" ht="18.75" customHeight="1">
      <c r="BM9506" s="1025"/>
      <c r="BO9506" s="43"/>
    </row>
    <row r="9507" spans="65:67" ht="18.75" customHeight="1">
      <c r="BM9507" s="1025"/>
      <c r="BO9507" s="43"/>
    </row>
    <row r="9508" spans="65:67" ht="18.75" customHeight="1">
      <c r="BM9508" s="1025"/>
      <c r="BO9508" s="43"/>
    </row>
    <row r="9509" spans="65:67" ht="18.75" customHeight="1">
      <c r="BM9509" s="1025"/>
      <c r="BO9509" s="43"/>
    </row>
    <row r="9510" spans="65:67" ht="18.75" customHeight="1">
      <c r="BM9510" s="1025"/>
      <c r="BO9510" s="43"/>
    </row>
    <row r="9511" spans="65:67" ht="18.75" customHeight="1">
      <c r="BM9511" s="1025"/>
      <c r="BO9511" s="43"/>
    </row>
    <row r="9512" spans="65:67" ht="18.75" customHeight="1">
      <c r="BM9512" s="1025"/>
      <c r="BO9512" s="43"/>
    </row>
    <row r="9513" spans="65:67" ht="18.75" customHeight="1">
      <c r="BM9513" s="1025"/>
      <c r="BO9513" s="43"/>
    </row>
    <row r="9514" spans="65:67" ht="18.75" customHeight="1">
      <c r="BM9514" s="1025"/>
      <c r="BO9514" s="43"/>
    </row>
    <row r="9515" spans="65:67" ht="18.75" customHeight="1">
      <c r="BM9515" s="1025"/>
      <c r="BO9515" s="43"/>
    </row>
    <row r="9516" spans="65:67" ht="18.75" customHeight="1">
      <c r="BM9516" s="1025"/>
      <c r="BO9516" s="43"/>
    </row>
    <row r="9517" spans="65:67" ht="18.75" customHeight="1">
      <c r="BM9517" s="1025"/>
      <c r="BO9517" s="43"/>
    </row>
    <row r="9518" spans="65:67" ht="18.75" customHeight="1">
      <c r="BM9518" s="1025"/>
      <c r="BO9518" s="43"/>
    </row>
    <row r="9519" spans="65:67" ht="18.75" customHeight="1">
      <c r="BM9519" s="1025"/>
      <c r="BO9519" s="43"/>
    </row>
    <row r="9520" spans="65:67" ht="18.75" customHeight="1">
      <c r="BM9520" s="1025"/>
      <c r="BO9520" s="43"/>
    </row>
    <row r="9521" spans="65:67" ht="18.75" customHeight="1">
      <c r="BM9521" s="1025"/>
      <c r="BO9521" s="43"/>
    </row>
    <row r="9522" spans="65:67" ht="18.75" customHeight="1">
      <c r="BM9522" s="1025"/>
      <c r="BO9522" s="43"/>
    </row>
    <row r="9523" spans="65:67" ht="18.75" customHeight="1">
      <c r="BM9523" s="1025"/>
      <c r="BO9523" s="43"/>
    </row>
    <row r="9524" spans="65:67" ht="18.75" customHeight="1">
      <c r="BM9524" s="1025"/>
      <c r="BO9524" s="43"/>
    </row>
    <row r="9525" spans="65:67" ht="18.75" customHeight="1">
      <c r="BM9525" s="1025"/>
      <c r="BO9525" s="43"/>
    </row>
    <row r="9526" spans="65:67" ht="18.75" customHeight="1">
      <c r="BM9526" s="1025"/>
      <c r="BO9526" s="43"/>
    </row>
    <row r="9527" spans="65:67" ht="18.75" customHeight="1">
      <c r="BM9527" s="1025"/>
      <c r="BO9527" s="43"/>
    </row>
    <row r="9528" spans="65:67" ht="18.75" customHeight="1">
      <c r="BM9528" s="1025"/>
      <c r="BO9528" s="43"/>
    </row>
    <row r="9529" spans="65:67" ht="18.75" customHeight="1">
      <c r="BM9529" s="1025"/>
      <c r="BO9529" s="43"/>
    </row>
    <row r="9530" spans="65:67" ht="18.75" customHeight="1">
      <c r="BM9530" s="1025"/>
      <c r="BO9530" s="43"/>
    </row>
    <row r="9531" spans="65:67" ht="18.75" customHeight="1">
      <c r="BM9531" s="1025"/>
      <c r="BO9531" s="43"/>
    </row>
    <row r="9532" spans="65:67" ht="18.75" customHeight="1">
      <c r="BM9532" s="1025"/>
      <c r="BO9532" s="43"/>
    </row>
    <row r="9533" spans="65:67" ht="18.75" customHeight="1">
      <c r="BM9533" s="1025"/>
      <c r="BO9533" s="43"/>
    </row>
    <row r="9534" spans="65:67" ht="18.75" customHeight="1">
      <c r="BM9534" s="1025"/>
      <c r="BO9534" s="43"/>
    </row>
    <row r="9535" spans="65:67" ht="18.75" customHeight="1">
      <c r="BM9535" s="1025"/>
      <c r="BO9535" s="43"/>
    </row>
    <row r="9536" spans="65:67" ht="18.75" customHeight="1">
      <c r="BM9536" s="1025"/>
      <c r="BO9536" s="43"/>
    </row>
    <row r="9537" spans="65:67" ht="18.75" customHeight="1">
      <c r="BM9537" s="1025"/>
      <c r="BO9537" s="43"/>
    </row>
    <row r="9538" spans="65:67" ht="18.75" customHeight="1">
      <c r="BM9538" s="1025"/>
      <c r="BO9538" s="43"/>
    </row>
    <row r="9539" spans="65:67" ht="18.75" customHeight="1">
      <c r="BM9539" s="1025"/>
      <c r="BO9539" s="43"/>
    </row>
    <row r="9540" spans="65:67" ht="18.75" customHeight="1">
      <c r="BM9540" s="1025"/>
      <c r="BO9540" s="43"/>
    </row>
    <row r="9541" spans="65:67" ht="18.75" customHeight="1">
      <c r="BM9541" s="1025"/>
      <c r="BO9541" s="43"/>
    </row>
    <row r="9542" spans="65:67" ht="18.75" customHeight="1">
      <c r="BM9542" s="1025"/>
      <c r="BO9542" s="43"/>
    </row>
    <row r="9543" spans="65:67" ht="18.75" customHeight="1">
      <c r="BM9543" s="1025"/>
      <c r="BO9543" s="43"/>
    </row>
    <row r="9544" spans="65:67" ht="18.75" customHeight="1">
      <c r="BM9544" s="1025"/>
      <c r="BO9544" s="43"/>
    </row>
    <row r="9545" spans="65:67" ht="18.75" customHeight="1">
      <c r="BM9545" s="1025"/>
      <c r="BO9545" s="43"/>
    </row>
    <row r="9546" spans="65:67" ht="18.75" customHeight="1">
      <c r="BM9546" s="1025"/>
      <c r="BO9546" s="43"/>
    </row>
    <row r="9547" spans="65:67" ht="18.75" customHeight="1">
      <c r="BM9547" s="1025"/>
      <c r="BO9547" s="43"/>
    </row>
    <row r="9548" spans="65:67" ht="18.75" customHeight="1">
      <c r="BM9548" s="1025"/>
      <c r="BO9548" s="43"/>
    </row>
    <row r="9549" spans="65:67" ht="18.75" customHeight="1">
      <c r="BM9549" s="1025"/>
      <c r="BO9549" s="43"/>
    </row>
    <row r="9550" spans="65:67" ht="18.75" customHeight="1">
      <c r="BM9550" s="1025"/>
      <c r="BO9550" s="43"/>
    </row>
    <row r="9551" spans="65:67" ht="18.75" customHeight="1">
      <c r="BM9551" s="1025"/>
      <c r="BO9551" s="43"/>
    </row>
    <row r="9552" spans="65:67" ht="18.75" customHeight="1">
      <c r="BM9552" s="1025"/>
      <c r="BO9552" s="43"/>
    </row>
    <row r="9553" spans="65:67" ht="18.75" customHeight="1">
      <c r="BM9553" s="1025"/>
      <c r="BO9553" s="43"/>
    </row>
    <row r="9554" spans="65:67" ht="18.75" customHeight="1">
      <c r="BM9554" s="1025"/>
      <c r="BO9554" s="43"/>
    </row>
    <row r="9555" spans="65:67" ht="18.75" customHeight="1">
      <c r="BM9555" s="1025"/>
      <c r="BO9555" s="43"/>
    </row>
    <row r="9556" spans="65:67" ht="18.75" customHeight="1">
      <c r="BM9556" s="1025"/>
      <c r="BO9556" s="43"/>
    </row>
    <row r="9557" spans="65:67" ht="18.75" customHeight="1">
      <c r="BM9557" s="1025"/>
      <c r="BO9557" s="43"/>
    </row>
    <row r="9558" spans="65:67" ht="18.75" customHeight="1">
      <c r="BM9558" s="1025"/>
      <c r="BO9558" s="43"/>
    </row>
    <row r="9559" spans="65:67" ht="18.75" customHeight="1">
      <c r="BM9559" s="1025"/>
      <c r="BO9559" s="43"/>
    </row>
    <row r="9560" spans="65:67" ht="18.75" customHeight="1">
      <c r="BM9560" s="1025"/>
      <c r="BO9560" s="43"/>
    </row>
    <row r="9561" spans="65:67" ht="18.75" customHeight="1">
      <c r="BM9561" s="1025"/>
      <c r="BO9561" s="43"/>
    </row>
    <row r="9562" spans="65:67" ht="18.75" customHeight="1">
      <c r="BM9562" s="1025"/>
      <c r="BO9562" s="43"/>
    </row>
    <row r="9563" spans="65:67" ht="18.75" customHeight="1">
      <c r="BM9563" s="1025"/>
      <c r="BO9563" s="43"/>
    </row>
    <row r="9564" spans="65:67" ht="18.75" customHeight="1">
      <c r="BM9564" s="1025"/>
      <c r="BO9564" s="43"/>
    </row>
    <row r="9565" spans="65:67" ht="18.75" customHeight="1">
      <c r="BM9565" s="1025"/>
      <c r="BO9565" s="43"/>
    </row>
    <row r="9566" spans="65:67" ht="18.75" customHeight="1">
      <c r="BM9566" s="1025"/>
      <c r="BO9566" s="43"/>
    </row>
    <row r="9567" spans="65:67" ht="18.75" customHeight="1">
      <c r="BM9567" s="1025"/>
      <c r="BO9567" s="43"/>
    </row>
    <row r="9568" spans="65:67" ht="18.75" customHeight="1">
      <c r="BM9568" s="1025"/>
      <c r="BO9568" s="43"/>
    </row>
    <row r="9569" spans="65:67" ht="18.75" customHeight="1">
      <c r="BM9569" s="1025"/>
      <c r="BO9569" s="43"/>
    </row>
    <row r="9570" spans="65:67" ht="18.75" customHeight="1">
      <c r="BM9570" s="1025"/>
      <c r="BO9570" s="43"/>
    </row>
    <row r="9571" spans="65:67" ht="18.75" customHeight="1">
      <c r="BM9571" s="1025"/>
      <c r="BO9571" s="43"/>
    </row>
    <row r="9572" spans="65:67" ht="18.75" customHeight="1">
      <c r="BM9572" s="1025"/>
      <c r="BO9572" s="43"/>
    </row>
    <row r="9573" spans="65:67" ht="18.75" customHeight="1">
      <c r="BM9573" s="1025"/>
      <c r="BO9573" s="43"/>
    </row>
    <row r="9574" spans="65:67" ht="18.75" customHeight="1">
      <c r="BM9574" s="1025"/>
      <c r="BO9574" s="43"/>
    </row>
    <row r="9575" spans="65:67" ht="18.75" customHeight="1">
      <c r="BM9575" s="1025"/>
      <c r="BO9575" s="43"/>
    </row>
    <row r="9576" spans="65:67" ht="18.75" customHeight="1">
      <c r="BM9576" s="1025"/>
      <c r="BO9576" s="43"/>
    </row>
    <row r="9577" spans="65:67" ht="18.75" customHeight="1">
      <c r="BM9577" s="1025"/>
      <c r="BO9577" s="43"/>
    </row>
    <row r="9578" spans="65:67" ht="18.75" customHeight="1">
      <c r="BM9578" s="1025"/>
      <c r="BO9578" s="43"/>
    </row>
    <row r="9579" spans="65:67" ht="18.75" customHeight="1">
      <c r="BM9579" s="1025"/>
      <c r="BO9579" s="43"/>
    </row>
    <row r="9580" spans="65:67" ht="18.75" customHeight="1">
      <c r="BM9580" s="1025"/>
      <c r="BO9580" s="43"/>
    </row>
    <row r="9581" spans="65:67" ht="18.75" customHeight="1">
      <c r="BM9581" s="1025"/>
      <c r="BO9581" s="43"/>
    </row>
    <row r="9582" spans="65:67" ht="18.75" customHeight="1">
      <c r="BM9582" s="1025"/>
      <c r="BO9582" s="43"/>
    </row>
    <row r="9583" spans="65:67" ht="18.75" customHeight="1">
      <c r="BM9583" s="1025"/>
      <c r="BO9583" s="43"/>
    </row>
    <row r="9584" spans="65:67" ht="18.75" customHeight="1">
      <c r="BM9584" s="1025"/>
      <c r="BO9584" s="43"/>
    </row>
    <row r="9585" spans="65:67" ht="18.75" customHeight="1">
      <c r="BM9585" s="1025"/>
      <c r="BO9585" s="43"/>
    </row>
    <row r="9586" spans="65:67" ht="18.75" customHeight="1">
      <c r="BM9586" s="1025"/>
      <c r="BO9586" s="43"/>
    </row>
    <row r="9587" spans="65:67" ht="18.75" customHeight="1">
      <c r="BM9587" s="1025"/>
      <c r="BO9587" s="43"/>
    </row>
    <row r="9588" spans="65:67" ht="18.75" customHeight="1">
      <c r="BM9588" s="1025"/>
      <c r="BO9588" s="43"/>
    </row>
    <row r="9589" spans="65:67" ht="18.75" customHeight="1">
      <c r="BM9589" s="1025"/>
      <c r="BO9589" s="43"/>
    </row>
    <row r="9590" spans="65:67" ht="18.75" customHeight="1">
      <c r="BM9590" s="1025"/>
      <c r="BO9590" s="43"/>
    </row>
    <row r="9591" spans="65:67" ht="18.75" customHeight="1">
      <c r="BM9591" s="1025"/>
      <c r="BO9591" s="43"/>
    </row>
    <row r="9592" spans="65:67" ht="18.75" customHeight="1">
      <c r="BM9592" s="1025"/>
      <c r="BO9592" s="43"/>
    </row>
    <row r="9593" spans="65:67" ht="18.75" customHeight="1">
      <c r="BM9593" s="1025"/>
      <c r="BO9593" s="43"/>
    </row>
    <row r="9594" spans="65:67" ht="18.75" customHeight="1">
      <c r="BM9594" s="1025"/>
      <c r="BO9594" s="43"/>
    </row>
    <row r="9595" spans="65:67" ht="18.75" customHeight="1">
      <c r="BM9595" s="1025"/>
      <c r="BO9595" s="43"/>
    </row>
    <row r="9596" spans="65:67" ht="18.75" customHeight="1">
      <c r="BM9596" s="1025"/>
      <c r="BO9596" s="43"/>
    </row>
    <row r="9597" spans="65:67" ht="18.75" customHeight="1">
      <c r="BM9597" s="1025"/>
      <c r="BO9597" s="43"/>
    </row>
    <row r="9598" spans="65:67" ht="18.75" customHeight="1">
      <c r="BM9598" s="1025"/>
      <c r="BO9598" s="43"/>
    </row>
    <row r="9599" spans="65:67" ht="18.75" customHeight="1">
      <c r="BM9599" s="1025"/>
      <c r="BO9599" s="43"/>
    </row>
    <row r="9600" spans="65:67" ht="18.75" customHeight="1">
      <c r="BM9600" s="1025"/>
      <c r="BO9600" s="43"/>
    </row>
    <row r="9601" spans="65:67" ht="18.75" customHeight="1">
      <c r="BM9601" s="1025"/>
      <c r="BO9601" s="43"/>
    </row>
    <row r="9602" spans="65:67" ht="18.75" customHeight="1">
      <c r="BM9602" s="1025"/>
      <c r="BO9602" s="43"/>
    </row>
    <row r="9603" spans="65:67" ht="18.75" customHeight="1">
      <c r="BM9603" s="1025"/>
      <c r="BO9603" s="43"/>
    </row>
    <row r="9604" spans="65:67" ht="18.75" customHeight="1">
      <c r="BM9604" s="1025"/>
      <c r="BO9604" s="43"/>
    </row>
    <row r="9605" spans="65:67" ht="18.75" customHeight="1">
      <c r="BM9605" s="1025"/>
      <c r="BO9605" s="43"/>
    </row>
    <row r="9606" spans="65:67" ht="18.75" customHeight="1">
      <c r="BM9606" s="1025"/>
      <c r="BO9606" s="43"/>
    </row>
    <row r="9607" spans="65:67" ht="18.75" customHeight="1">
      <c r="BM9607" s="1025"/>
      <c r="BO9607" s="43"/>
    </row>
    <row r="9608" spans="65:67" ht="18.75" customHeight="1">
      <c r="BM9608" s="1025"/>
      <c r="BO9608" s="43"/>
    </row>
    <row r="9609" spans="65:67" ht="18.75" customHeight="1">
      <c r="BM9609" s="1025"/>
      <c r="BO9609" s="43"/>
    </row>
    <row r="9610" spans="65:67" ht="18.75" customHeight="1">
      <c r="BM9610" s="1025"/>
      <c r="BO9610" s="43"/>
    </row>
    <row r="9611" spans="65:67" ht="18.75" customHeight="1">
      <c r="BM9611" s="1025"/>
      <c r="BO9611" s="43"/>
    </row>
    <row r="9612" spans="65:67" ht="18.75" customHeight="1">
      <c r="BM9612" s="1025"/>
      <c r="BO9612" s="43"/>
    </row>
    <row r="9613" spans="65:67" ht="18.75" customHeight="1">
      <c r="BM9613" s="1025"/>
      <c r="BO9613" s="43"/>
    </row>
    <row r="9614" spans="65:67" ht="18.75" customHeight="1">
      <c r="BM9614" s="1025"/>
      <c r="BO9614" s="43"/>
    </row>
    <row r="9615" spans="65:67" ht="18.75" customHeight="1">
      <c r="BM9615" s="1025"/>
      <c r="BO9615" s="43"/>
    </row>
    <row r="9616" spans="65:67" ht="18.75" customHeight="1">
      <c r="BM9616" s="1025"/>
      <c r="BO9616" s="43"/>
    </row>
    <row r="9617" spans="65:67" ht="18.75" customHeight="1">
      <c r="BM9617" s="1025"/>
      <c r="BO9617" s="43"/>
    </row>
    <row r="9618" spans="65:67" ht="18.75" customHeight="1">
      <c r="BM9618" s="1025"/>
      <c r="BO9618" s="43"/>
    </row>
    <row r="9619" spans="65:67" ht="18.75" customHeight="1">
      <c r="BM9619" s="1025"/>
      <c r="BO9619" s="43"/>
    </row>
    <row r="9620" spans="65:67" ht="18.75" customHeight="1">
      <c r="BM9620" s="1025"/>
      <c r="BO9620" s="43"/>
    </row>
    <row r="9621" spans="65:67" ht="18.75" customHeight="1">
      <c r="BM9621" s="1025"/>
      <c r="BO9621" s="43"/>
    </row>
    <row r="9622" spans="65:67" ht="18.75" customHeight="1">
      <c r="BM9622" s="1025"/>
      <c r="BO9622" s="43"/>
    </row>
    <row r="9623" spans="65:67" ht="18.75" customHeight="1">
      <c r="BM9623" s="1025"/>
      <c r="BO9623" s="43"/>
    </row>
    <row r="9624" spans="65:67" ht="18.75" customHeight="1">
      <c r="BM9624" s="1025"/>
      <c r="BO9624" s="43"/>
    </row>
    <row r="9625" spans="65:67" ht="18.75" customHeight="1">
      <c r="BM9625" s="1025"/>
      <c r="BO9625" s="43"/>
    </row>
    <row r="9626" spans="65:67" ht="18.75" customHeight="1">
      <c r="BM9626" s="1025"/>
      <c r="BO9626" s="43"/>
    </row>
    <row r="9627" spans="65:67" ht="18.75" customHeight="1">
      <c r="BM9627" s="1025"/>
      <c r="BO9627" s="43"/>
    </row>
    <row r="9628" spans="65:67" ht="18.75" customHeight="1">
      <c r="BM9628" s="1025"/>
      <c r="BO9628" s="43"/>
    </row>
    <row r="9629" spans="65:67" ht="18.75" customHeight="1">
      <c r="BM9629" s="1025"/>
      <c r="BO9629" s="43"/>
    </row>
    <row r="9630" spans="65:67" ht="18.75" customHeight="1">
      <c r="BM9630" s="1025"/>
      <c r="BO9630" s="43"/>
    </row>
    <row r="9631" spans="65:67" ht="18.75" customHeight="1">
      <c r="BM9631" s="1025"/>
      <c r="BO9631" s="43"/>
    </row>
    <row r="9632" spans="65:67" ht="18.75" customHeight="1">
      <c r="BM9632" s="1025"/>
      <c r="BO9632" s="43"/>
    </row>
    <row r="9633" spans="65:67" ht="18.75" customHeight="1">
      <c r="BM9633" s="1025"/>
      <c r="BO9633" s="43"/>
    </row>
    <row r="9634" spans="65:67" ht="18.75" customHeight="1">
      <c r="BM9634" s="1025"/>
      <c r="BO9634" s="43"/>
    </row>
    <row r="9635" spans="65:67" ht="18.75" customHeight="1">
      <c r="BM9635" s="1025"/>
      <c r="BO9635" s="43"/>
    </row>
    <row r="9636" spans="65:67" ht="18.75" customHeight="1">
      <c r="BM9636" s="1025"/>
      <c r="BO9636" s="43"/>
    </row>
    <row r="9637" spans="65:67" ht="18.75" customHeight="1">
      <c r="BM9637" s="1025"/>
      <c r="BO9637" s="43"/>
    </row>
    <row r="9638" spans="65:67" ht="18.75" customHeight="1">
      <c r="BM9638" s="1025"/>
      <c r="BO9638" s="43"/>
    </row>
    <row r="9639" spans="65:67" ht="18.75" customHeight="1">
      <c r="BM9639" s="1025"/>
      <c r="BO9639" s="43"/>
    </row>
    <row r="9640" spans="65:67" ht="18.75" customHeight="1">
      <c r="BM9640" s="1025"/>
      <c r="BO9640" s="43"/>
    </row>
    <row r="9641" spans="65:67" ht="18.75" customHeight="1">
      <c r="BM9641" s="1025"/>
      <c r="BO9641" s="43"/>
    </row>
    <row r="9642" spans="65:67" ht="18.75" customHeight="1">
      <c r="BM9642" s="1025"/>
      <c r="BO9642" s="43"/>
    </row>
    <row r="9643" spans="65:67" ht="18.75" customHeight="1">
      <c r="BM9643" s="1025"/>
      <c r="BO9643" s="43"/>
    </row>
    <row r="9644" spans="65:67" ht="18.75" customHeight="1">
      <c r="BM9644" s="1025"/>
      <c r="BO9644" s="43"/>
    </row>
    <row r="9645" spans="65:67" ht="18.75" customHeight="1">
      <c r="BM9645" s="1025"/>
      <c r="BO9645" s="43"/>
    </row>
    <row r="9646" spans="65:67" ht="18.75" customHeight="1">
      <c r="BM9646" s="1025"/>
      <c r="BO9646" s="43"/>
    </row>
    <row r="9647" spans="65:67" ht="18.75" customHeight="1">
      <c r="BM9647" s="1025"/>
      <c r="BO9647" s="43"/>
    </row>
    <row r="9648" spans="65:67" ht="18.75" customHeight="1">
      <c r="BM9648" s="1025"/>
      <c r="BO9648" s="43"/>
    </row>
    <row r="9649" spans="65:67" ht="18.75" customHeight="1">
      <c r="BM9649" s="1025"/>
      <c r="BO9649" s="43"/>
    </row>
    <row r="9650" spans="65:67" ht="18.75" customHeight="1">
      <c r="BM9650" s="1025"/>
      <c r="BO9650" s="43"/>
    </row>
    <row r="9651" spans="65:67" ht="18.75" customHeight="1">
      <c r="BM9651" s="1025"/>
      <c r="BO9651" s="43"/>
    </row>
    <row r="9652" spans="65:67" ht="18.75" customHeight="1">
      <c r="BM9652" s="1025"/>
      <c r="BO9652" s="43"/>
    </row>
    <row r="9653" spans="65:67" ht="18.75" customHeight="1">
      <c r="BM9653" s="1025"/>
      <c r="BO9653" s="43"/>
    </row>
    <row r="9654" spans="65:67" ht="18.75" customHeight="1">
      <c r="BM9654" s="1025"/>
      <c r="BO9654" s="43"/>
    </row>
    <row r="9655" spans="65:67" ht="18.75" customHeight="1">
      <c r="BM9655" s="1025"/>
      <c r="BO9655" s="43"/>
    </row>
    <row r="9656" spans="65:67" ht="18.75" customHeight="1">
      <c r="BM9656" s="1025"/>
      <c r="BO9656" s="43"/>
    </row>
    <row r="9657" spans="65:67" ht="18.75" customHeight="1">
      <c r="BM9657" s="1025"/>
      <c r="BO9657" s="43"/>
    </row>
    <row r="9658" spans="65:67" ht="18.75" customHeight="1">
      <c r="BM9658" s="1025"/>
      <c r="BO9658" s="43"/>
    </row>
    <row r="9659" spans="65:67" ht="18.75" customHeight="1">
      <c r="BM9659" s="1025"/>
      <c r="BO9659" s="43"/>
    </row>
    <row r="9660" spans="65:67" ht="18.75" customHeight="1">
      <c r="BM9660" s="1025"/>
      <c r="BO9660" s="43"/>
    </row>
    <row r="9661" spans="65:67" ht="18.75" customHeight="1">
      <c r="BM9661" s="1025"/>
      <c r="BO9661" s="43"/>
    </row>
    <row r="9662" spans="65:67" ht="18.75" customHeight="1">
      <c r="BM9662" s="1025"/>
      <c r="BO9662" s="43"/>
    </row>
    <row r="9663" spans="65:67" ht="18.75" customHeight="1">
      <c r="BM9663" s="1025"/>
      <c r="BO9663" s="43"/>
    </row>
    <row r="9664" spans="65:67" ht="18.75" customHeight="1">
      <c r="BM9664" s="1025"/>
      <c r="BO9664" s="43"/>
    </row>
    <row r="9665" spans="65:67" ht="18.75" customHeight="1">
      <c r="BM9665" s="1025"/>
      <c r="BO9665" s="43"/>
    </row>
    <row r="9666" spans="65:67" ht="18.75" customHeight="1">
      <c r="BM9666" s="1025"/>
      <c r="BO9666" s="43"/>
    </row>
    <row r="9667" spans="65:67" ht="18.75" customHeight="1">
      <c r="BM9667" s="1025"/>
      <c r="BO9667" s="43"/>
    </row>
    <row r="9668" spans="65:67" ht="18.75" customHeight="1">
      <c r="BM9668" s="1025"/>
      <c r="BO9668" s="43"/>
    </row>
    <row r="9669" spans="65:67" ht="18.75" customHeight="1">
      <c r="BM9669" s="1025"/>
      <c r="BO9669" s="43"/>
    </row>
    <row r="9670" spans="65:67" ht="18.75" customHeight="1">
      <c r="BM9670" s="1025"/>
      <c r="BO9670" s="43"/>
    </row>
    <row r="9671" spans="65:67" ht="18.75" customHeight="1">
      <c r="BM9671" s="1025"/>
      <c r="BO9671" s="43"/>
    </row>
    <row r="9672" spans="65:67" ht="18.75" customHeight="1">
      <c r="BM9672" s="1025"/>
      <c r="BO9672" s="43"/>
    </row>
    <row r="9673" spans="65:67" ht="18.75" customHeight="1">
      <c r="BM9673" s="1025"/>
      <c r="BO9673" s="43"/>
    </row>
    <row r="9674" spans="65:67" ht="18.75" customHeight="1">
      <c r="BM9674" s="1025"/>
      <c r="BO9674" s="43"/>
    </row>
    <row r="9675" spans="65:67" ht="18.75" customHeight="1">
      <c r="BM9675" s="1025"/>
      <c r="BO9675" s="43"/>
    </row>
    <row r="9676" spans="65:67" ht="18.75" customHeight="1">
      <c r="BM9676" s="1025"/>
      <c r="BO9676" s="43"/>
    </row>
    <row r="9677" spans="65:67" ht="18.75" customHeight="1">
      <c r="BM9677" s="1025"/>
      <c r="BO9677" s="43"/>
    </row>
    <row r="9678" spans="65:67" ht="18.75" customHeight="1">
      <c r="BM9678" s="1025"/>
      <c r="BO9678" s="43"/>
    </row>
    <row r="9679" spans="65:67" ht="18.75" customHeight="1">
      <c r="BM9679" s="1025"/>
      <c r="BO9679" s="43"/>
    </row>
    <row r="9680" spans="65:67" ht="18.75" customHeight="1">
      <c r="BM9680" s="1025"/>
      <c r="BO9680" s="43"/>
    </row>
    <row r="9681" spans="65:67" ht="18.75" customHeight="1">
      <c r="BM9681" s="1025"/>
      <c r="BO9681" s="43"/>
    </row>
    <row r="9682" spans="65:67" ht="18.75" customHeight="1">
      <c r="BM9682" s="1025"/>
      <c r="BO9682" s="43"/>
    </row>
    <row r="9683" spans="65:67" ht="18.75" customHeight="1">
      <c r="BM9683" s="1025"/>
      <c r="BO9683" s="43"/>
    </row>
    <row r="9684" spans="65:67" ht="18.75" customHeight="1">
      <c r="BM9684" s="1025"/>
      <c r="BO9684" s="43"/>
    </row>
    <row r="9685" spans="65:67" ht="18.75" customHeight="1">
      <c r="BM9685" s="1025"/>
      <c r="BO9685" s="43"/>
    </row>
    <row r="9686" spans="65:67" ht="18.75" customHeight="1">
      <c r="BM9686" s="1025"/>
      <c r="BO9686" s="43"/>
    </row>
    <row r="9687" spans="65:67" ht="18.75" customHeight="1">
      <c r="BM9687" s="1025"/>
      <c r="BO9687" s="43"/>
    </row>
    <row r="9688" spans="65:67" ht="18.75" customHeight="1">
      <c r="BM9688" s="1025"/>
      <c r="BO9688" s="43"/>
    </row>
    <row r="9689" spans="65:67" ht="18.75" customHeight="1">
      <c r="BM9689" s="1025"/>
      <c r="BO9689" s="43"/>
    </row>
    <row r="9690" spans="65:67" ht="18.75" customHeight="1">
      <c r="BM9690" s="1025"/>
      <c r="BO9690" s="43"/>
    </row>
    <row r="9691" spans="65:67" ht="18.75" customHeight="1">
      <c r="BM9691" s="1025"/>
      <c r="BO9691" s="43"/>
    </row>
    <row r="9692" spans="65:67" ht="18.75" customHeight="1">
      <c r="BM9692" s="1025"/>
      <c r="BO9692" s="43"/>
    </row>
    <row r="9693" spans="65:67" ht="18.75" customHeight="1">
      <c r="BM9693" s="1025"/>
      <c r="BO9693" s="43"/>
    </row>
    <row r="9694" spans="65:67" ht="18.75" customHeight="1">
      <c r="BM9694" s="1025"/>
      <c r="BO9694" s="43"/>
    </row>
    <row r="9695" spans="65:67" ht="18.75" customHeight="1">
      <c r="BM9695" s="1025"/>
      <c r="BO9695" s="43"/>
    </row>
    <row r="9696" spans="65:67" ht="18.75" customHeight="1">
      <c r="BM9696" s="1025"/>
      <c r="BO9696" s="43"/>
    </row>
    <row r="9697" spans="65:67" ht="18.75" customHeight="1">
      <c r="BM9697" s="1025"/>
      <c r="BO9697" s="43"/>
    </row>
    <row r="9698" spans="65:67" ht="18.75" customHeight="1">
      <c r="BM9698" s="1025"/>
      <c r="BO9698" s="43"/>
    </row>
    <row r="9699" spans="65:67" ht="18.75" customHeight="1">
      <c r="BM9699" s="1025"/>
      <c r="BO9699" s="43"/>
    </row>
    <row r="9700" spans="65:67" ht="18.75" customHeight="1">
      <c r="BM9700" s="1025"/>
      <c r="BO9700" s="43"/>
    </row>
    <row r="9701" spans="65:67" ht="18.75" customHeight="1">
      <c r="BM9701" s="1025"/>
      <c r="BO9701" s="43"/>
    </row>
    <row r="9702" spans="65:67" ht="18.75" customHeight="1">
      <c r="BM9702" s="1025"/>
      <c r="BO9702" s="43"/>
    </row>
    <row r="9703" spans="65:67" ht="18.75" customHeight="1">
      <c r="BM9703" s="1025"/>
      <c r="BO9703" s="43"/>
    </row>
    <row r="9704" spans="65:67" ht="18.75" customHeight="1">
      <c r="BM9704" s="1025"/>
      <c r="BO9704" s="43"/>
    </row>
    <row r="9705" spans="65:67" ht="18.75" customHeight="1">
      <c r="BM9705" s="1025"/>
      <c r="BO9705" s="43"/>
    </row>
    <row r="9706" spans="65:67" ht="18.75" customHeight="1">
      <c r="BM9706" s="1025"/>
      <c r="BO9706" s="43"/>
    </row>
    <row r="9707" spans="65:67" ht="18.75" customHeight="1">
      <c r="BM9707" s="1025"/>
      <c r="BO9707" s="43"/>
    </row>
    <row r="9708" spans="65:67" ht="18.75" customHeight="1">
      <c r="BM9708" s="1025"/>
      <c r="BO9708" s="43"/>
    </row>
    <row r="9709" spans="65:67" ht="18.75" customHeight="1">
      <c r="BM9709" s="1025"/>
      <c r="BO9709" s="43"/>
    </row>
    <row r="9710" spans="65:67" ht="18.75" customHeight="1">
      <c r="BM9710" s="1025"/>
      <c r="BO9710" s="43"/>
    </row>
    <row r="9711" spans="65:67" ht="18.75" customHeight="1">
      <c r="BM9711" s="1025"/>
      <c r="BO9711" s="43"/>
    </row>
    <row r="9712" spans="65:67" ht="18.75" customHeight="1">
      <c r="BM9712" s="1025"/>
      <c r="BO9712" s="43"/>
    </row>
    <row r="9713" spans="65:67" ht="18.75" customHeight="1">
      <c r="BM9713" s="1025"/>
      <c r="BO9713" s="43"/>
    </row>
    <row r="9714" spans="65:67" ht="18.75" customHeight="1">
      <c r="BM9714" s="1025"/>
      <c r="BO9714" s="43"/>
    </row>
    <row r="9715" spans="65:67" ht="18.75" customHeight="1">
      <c r="BM9715" s="1025"/>
      <c r="BO9715" s="43"/>
    </row>
    <row r="9716" spans="65:67" ht="18.75" customHeight="1">
      <c r="BM9716" s="1025"/>
      <c r="BO9716" s="43"/>
    </row>
    <row r="9717" spans="65:67" ht="18.75" customHeight="1">
      <c r="BM9717" s="1025"/>
      <c r="BO9717" s="43"/>
    </row>
    <row r="9718" spans="65:67" ht="18.75" customHeight="1">
      <c r="BM9718" s="1025"/>
      <c r="BO9718" s="43"/>
    </row>
    <row r="9719" spans="65:67" ht="18.75" customHeight="1">
      <c r="BM9719" s="1025"/>
      <c r="BO9719" s="43"/>
    </row>
    <row r="9720" spans="65:67" ht="18.75" customHeight="1">
      <c r="BM9720" s="1025"/>
      <c r="BO9720" s="43"/>
    </row>
    <row r="9721" spans="65:67" ht="18.75" customHeight="1">
      <c r="BM9721" s="1025"/>
      <c r="BO9721" s="43"/>
    </row>
    <row r="9722" spans="65:67" ht="18.75" customHeight="1">
      <c r="BM9722" s="1025"/>
      <c r="BO9722" s="43"/>
    </row>
    <row r="9723" spans="65:67" ht="18.75" customHeight="1">
      <c r="BM9723" s="1025"/>
      <c r="BO9723" s="43"/>
    </row>
    <row r="9724" spans="65:67" ht="18.75" customHeight="1">
      <c r="BM9724" s="1025"/>
      <c r="BO9724" s="43"/>
    </row>
    <row r="9725" spans="65:67" ht="18.75" customHeight="1">
      <c r="BM9725" s="1025"/>
      <c r="BO9725" s="43"/>
    </row>
    <row r="9726" spans="65:67" ht="18.75" customHeight="1">
      <c r="BM9726" s="1025"/>
      <c r="BO9726" s="43"/>
    </row>
    <row r="9727" spans="65:67" ht="18.75" customHeight="1">
      <c r="BM9727" s="1025"/>
      <c r="BO9727" s="43"/>
    </row>
    <row r="9728" spans="65:67" ht="18.75" customHeight="1">
      <c r="BM9728" s="1025"/>
      <c r="BO9728" s="43"/>
    </row>
    <row r="9729" spans="65:67" ht="18.75" customHeight="1">
      <c r="BM9729" s="1025"/>
      <c r="BO9729" s="43"/>
    </row>
    <row r="9730" spans="65:67" ht="18.75" customHeight="1">
      <c r="BM9730" s="1025"/>
      <c r="BO9730" s="43"/>
    </row>
    <row r="9731" spans="65:67" ht="18.75" customHeight="1">
      <c r="BM9731" s="1025"/>
      <c r="BO9731" s="43"/>
    </row>
    <row r="9732" spans="65:67" ht="18.75" customHeight="1">
      <c r="BM9732" s="1025"/>
      <c r="BO9732" s="43"/>
    </row>
    <row r="9733" spans="65:67" ht="18.75" customHeight="1">
      <c r="BM9733" s="1025"/>
      <c r="BO9733" s="43"/>
    </row>
    <row r="9734" spans="65:67" ht="18.75" customHeight="1">
      <c r="BM9734" s="1025"/>
      <c r="BO9734" s="43"/>
    </row>
    <row r="9735" spans="65:67" ht="18.75" customHeight="1">
      <c r="BM9735" s="1025"/>
      <c r="BO9735" s="43"/>
    </row>
    <row r="9736" spans="65:67" ht="18.75" customHeight="1">
      <c r="BM9736" s="1025"/>
      <c r="BO9736" s="43"/>
    </row>
    <row r="9737" spans="65:67" ht="18.75" customHeight="1">
      <c r="BM9737" s="1025"/>
      <c r="BO9737" s="43"/>
    </row>
    <row r="9738" spans="65:67" ht="18.75" customHeight="1">
      <c r="BM9738" s="1025"/>
      <c r="BO9738" s="43"/>
    </row>
    <row r="9739" spans="65:67" ht="18.75" customHeight="1">
      <c r="BM9739" s="1025"/>
      <c r="BO9739" s="43"/>
    </row>
    <row r="9740" spans="65:67" ht="18.75" customHeight="1">
      <c r="BM9740" s="1025"/>
      <c r="BO9740" s="43"/>
    </row>
    <row r="9741" spans="65:67" ht="18.75" customHeight="1">
      <c r="BM9741" s="1025"/>
      <c r="BO9741" s="43"/>
    </row>
    <row r="9742" spans="65:67" ht="18.75" customHeight="1">
      <c r="BM9742" s="1025"/>
      <c r="BO9742" s="43"/>
    </row>
    <row r="9743" spans="65:67" ht="18.75" customHeight="1">
      <c r="BM9743" s="1025"/>
      <c r="BO9743" s="43"/>
    </row>
    <row r="9744" spans="65:67" ht="18.75" customHeight="1">
      <c r="BM9744" s="1025"/>
      <c r="BO9744" s="43"/>
    </row>
    <row r="9745" spans="65:67" ht="18.75" customHeight="1">
      <c r="BM9745" s="1025"/>
      <c r="BO9745" s="43"/>
    </row>
    <row r="9746" spans="65:67" ht="18.75" customHeight="1">
      <c r="BM9746" s="1025"/>
      <c r="BO9746" s="43"/>
    </row>
    <row r="9747" spans="65:67" ht="18.75" customHeight="1">
      <c r="BM9747" s="1025"/>
      <c r="BO9747" s="43"/>
    </row>
    <row r="9748" spans="65:67" ht="18.75" customHeight="1">
      <c r="BM9748" s="1025"/>
      <c r="BO9748" s="43"/>
    </row>
    <row r="9749" spans="65:67" ht="18.75" customHeight="1">
      <c r="BM9749" s="1025"/>
      <c r="BO9749" s="43"/>
    </row>
    <row r="9750" spans="65:67" ht="18.75" customHeight="1">
      <c r="BM9750" s="1025"/>
      <c r="BO9750" s="43"/>
    </row>
    <row r="9751" spans="65:67" ht="18.75" customHeight="1">
      <c r="BM9751" s="1025"/>
      <c r="BO9751" s="43"/>
    </row>
    <row r="9752" spans="65:67" ht="18.75" customHeight="1">
      <c r="BM9752" s="1025"/>
      <c r="BO9752" s="43"/>
    </row>
    <row r="9753" spans="65:67" ht="18.75" customHeight="1">
      <c r="BM9753" s="1025"/>
      <c r="BO9753" s="43"/>
    </row>
    <row r="9754" spans="65:67" ht="18.75" customHeight="1">
      <c r="BM9754" s="1025"/>
      <c r="BO9754" s="43"/>
    </row>
    <row r="9755" spans="65:67" ht="18.75" customHeight="1">
      <c r="BM9755" s="1025"/>
      <c r="BO9755" s="43"/>
    </row>
    <row r="9756" spans="65:67" ht="18.75" customHeight="1">
      <c r="BM9756" s="1025"/>
      <c r="BO9756" s="43"/>
    </row>
    <row r="9757" spans="65:67" ht="18.75" customHeight="1">
      <c r="BM9757" s="1025"/>
      <c r="BO9757" s="43"/>
    </row>
    <row r="9758" spans="65:67" ht="18.75" customHeight="1">
      <c r="BM9758" s="1025"/>
      <c r="BO9758" s="43"/>
    </row>
    <row r="9759" spans="65:67" ht="18.75" customHeight="1">
      <c r="BM9759" s="1025"/>
      <c r="BO9759" s="43"/>
    </row>
    <row r="9760" spans="65:67" ht="18.75" customHeight="1">
      <c r="BM9760" s="1025"/>
      <c r="BO9760" s="43"/>
    </row>
    <row r="9761" spans="65:67" ht="18.75" customHeight="1">
      <c r="BM9761" s="1025"/>
      <c r="BO9761" s="43"/>
    </row>
    <row r="9762" spans="65:67" ht="18.75" customHeight="1">
      <c r="BM9762" s="1025"/>
      <c r="BO9762" s="43"/>
    </row>
    <row r="9763" spans="65:67" ht="18.75" customHeight="1">
      <c r="BM9763" s="1025"/>
      <c r="BO9763" s="43"/>
    </row>
    <row r="9764" spans="65:67" ht="18.75" customHeight="1">
      <c r="BM9764" s="1025"/>
      <c r="BO9764" s="43"/>
    </row>
    <row r="9765" spans="65:67" ht="18.75" customHeight="1">
      <c r="BM9765" s="1025"/>
      <c r="BO9765" s="43"/>
    </row>
    <row r="9766" spans="65:67" ht="18.75" customHeight="1">
      <c r="BM9766" s="1025"/>
      <c r="BO9766" s="43"/>
    </row>
    <row r="9767" spans="65:67" ht="18.75" customHeight="1">
      <c r="BM9767" s="1025"/>
      <c r="BO9767" s="43"/>
    </row>
    <row r="9768" spans="65:67" ht="18.75" customHeight="1">
      <c r="BM9768" s="1025"/>
      <c r="BO9768" s="43"/>
    </row>
    <row r="9769" spans="65:67" ht="18.75" customHeight="1">
      <c r="BM9769" s="1025"/>
      <c r="BO9769" s="43"/>
    </row>
    <row r="9770" spans="65:67" ht="18.75" customHeight="1">
      <c r="BM9770" s="1025"/>
      <c r="BO9770" s="43"/>
    </row>
    <row r="9771" spans="65:67" ht="18.75" customHeight="1">
      <c r="BM9771" s="1025"/>
      <c r="BO9771" s="43"/>
    </row>
    <row r="9772" spans="65:67" ht="18.75" customHeight="1">
      <c r="BM9772" s="1025"/>
      <c r="BO9772" s="43"/>
    </row>
    <row r="9773" spans="65:67" ht="18.75" customHeight="1">
      <c r="BM9773" s="1025"/>
      <c r="BO9773" s="43"/>
    </row>
    <row r="9774" spans="65:67" ht="18.75" customHeight="1">
      <c r="BM9774" s="1025"/>
      <c r="BO9774" s="43"/>
    </row>
    <row r="9775" spans="65:67" ht="18.75" customHeight="1">
      <c r="BM9775" s="1025"/>
      <c r="BO9775" s="43"/>
    </row>
    <row r="9776" spans="65:67" ht="18.75" customHeight="1">
      <c r="BM9776" s="1025"/>
      <c r="BO9776" s="43"/>
    </row>
    <row r="9777" spans="65:67" ht="18.75" customHeight="1">
      <c r="BM9777" s="1025"/>
      <c r="BO9777" s="43"/>
    </row>
    <row r="9778" spans="65:67" ht="18.75" customHeight="1">
      <c r="BM9778" s="1025"/>
      <c r="BO9778" s="43"/>
    </row>
    <row r="9779" spans="65:67" ht="18.75" customHeight="1">
      <c r="BM9779" s="1025"/>
      <c r="BO9779" s="43"/>
    </row>
    <row r="9780" spans="65:67" ht="18.75" customHeight="1">
      <c r="BM9780" s="1025"/>
      <c r="BO9780" s="43"/>
    </row>
    <row r="9781" spans="65:67" ht="18.75" customHeight="1">
      <c r="BM9781" s="1025"/>
      <c r="BO9781" s="43"/>
    </row>
    <row r="9782" spans="65:67" ht="18.75" customHeight="1">
      <c r="BM9782" s="1025"/>
      <c r="BO9782" s="43"/>
    </row>
    <row r="9783" spans="65:67" ht="18.75" customHeight="1">
      <c r="BM9783" s="1025"/>
      <c r="BO9783" s="43"/>
    </row>
    <row r="9784" spans="65:67" ht="18.75" customHeight="1">
      <c r="BM9784" s="1025"/>
      <c r="BO9784" s="43"/>
    </row>
    <row r="9785" spans="65:67" ht="18.75" customHeight="1">
      <c r="BM9785" s="1025"/>
      <c r="BO9785" s="43"/>
    </row>
    <row r="9786" spans="65:67" ht="18.75" customHeight="1">
      <c r="BM9786" s="1025"/>
      <c r="BO9786" s="43"/>
    </row>
    <row r="9787" spans="65:67" ht="18.75" customHeight="1">
      <c r="BM9787" s="1025"/>
      <c r="BO9787" s="43"/>
    </row>
    <row r="9788" spans="65:67" ht="18.75" customHeight="1">
      <c r="BM9788" s="1025"/>
      <c r="BO9788" s="43"/>
    </row>
    <row r="9789" spans="65:67" ht="18.75" customHeight="1">
      <c r="BM9789" s="1025"/>
      <c r="BO9789" s="43"/>
    </row>
    <row r="9790" spans="65:67" ht="18.75" customHeight="1">
      <c r="BM9790" s="1025"/>
      <c r="BO9790" s="43"/>
    </row>
    <row r="9791" spans="65:67" ht="18.75" customHeight="1">
      <c r="BM9791" s="1025"/>
      <c r="BO9791" s="43"/>
    </row>
    <row r="9792" spans="65:67" ht="18.75" customHeight="1">
      <c r="BM9792" s="1025"/>
      <c r="BO9792" s="43"/>
    </row>
    <row r="9793" spans="65:67" ht="18.75" customHeight="1">
      <c r="BM9793" s="1025"/>
      <c r="BO9793" s="43"/>
    </row>
    <row r="9794" spans="65:67" ht="18.75" customHeight="1">
      <c r="BM9794" s="1025"/>
      <c r="BO9794" s="43"/>
    </row>
    <row r="9795" spans="65:67" ht="18.75" customHeight="1">
      <c r="BM9795" s="1025"/>
      <c r="BO9795" s="43"/>
    </row>
    <row r="9796" spans="65:67" ht="18.75" customHeight="1">
      <c r="BM9796" s="1025"/>
      <c r="BO9796" s="43"/>
    </row>
    <row r="9797" spans="65:67" ht="18.75" customHeight="1">
      <c r="BM9797" s="1025"/>
      <c r="BO9797" s="43"/>
    </row>
    <row r="9798" spans="65:67" ht="18.75" customHeight="1">
      <c r="BM9798" s="1025"/>
      <c r="BO9798" s="43"/>
    </row>
    <row r="9799" spans="65:67" ht="18.75" customHeight="1">
      <c r="BM9799" s="1025"/>
      <c r="BO9799" s="43"/>
    </row>
    <row r="9800" spans="65:67" ht="18.75" customHeight="1">
      <c r="BM9800" s="1025"/>
      <c r="BO9800" s="43"/>
    </row>
    <row r="9801" spans="65:67" ht="18.75" customHeight="1">
      <c r="BM9801" s="1025"/>
      <c r="BO9801" s="43"/>
    </row>
    <row r="9802" spans="65:67" ht="18.75" customHeight="1">
      <c r="BM9802" s="1025"/>
      <c r="BO9802" s="43"/>
    </row>
    <row r="9803" spans="65:67" ht="18.75" customHeight="1">
      <c r="BM9803" s="1025"/>
      <c r="BO9803" s="43"/>
    </row>
    <row r="9804" spans="65:67" ht="18.75" customHeight="1">
      <c r="BM9804" s="1025"/>
      <c r="BO9804" s="43"/>
    </row>
    <row r="9805" spans="65:67" ht="18.75" customHeight="1">
      <c r="BM9805" s="1025"/>
      <c r="BO9805" s="43"/>
    </row>
    <row r="9806" spans="65:67" ht="18.75" customHeight="1">
      <c r="BM9806" s="1025"/>
      <c r="BO9806" s="43"/>
    </row>
    <row r="9807" spans="65:67" ht="18.75" customHeight="1">
      <c r="BM9807" s="1025"/>
      <c r="BO9807" s="43"/>
    </row>
    <row r="9808" spans="65:67" ht="18.75" customHeight="1">
      <c r="BM9808" s="1025"/>
      <c r="BO9808" s="43"/>
    </row>
    <row r="9809" spans="65:67" ht="18.75" customHeight="1">
      <c r="BM9809" s="1025"/>
      <c r="BO9809" s="43"/>
    </row>
    <row r="9810" spans="65:67" ht="18.75" customHeight="1">
      <c r="BM9810" s="1025"/>
      <c r="BO9810" s="43"/>
    </row>
    <row r="9811" spans="65:67" ht="18.75" customHeight="1">
      <c r="BM9811" s="1025"/>
      <c r="BO9811" s="43"/>
    </row>
    <row r="9812" spans="65:67" ht="18.75" customHeight="1">
      <c r="BM9812" s="1025"/>
      <c r="BO9812" s="43"/>
    </row>
    <row r="9813" spans="65:67" ht="18.75" customHeight="1">
      <c r="BM9813" s="1025"/>
      <c r="BO9813" s="43"/>
    </row>
    <row r="9814" spans="65:67" ht="18.75" customHeight="1">
      <c r="BM9814" s="1025"/>
      <c r="BO9814" s="43"/>
    </row>
    <row r="9815" spans="65:67" ht="18.75" customHeight="1">
      <c r="BM9815" s="1025"/>
      <c r="BO9815" s="43"/>
    </row>
    <row r="9816" spans="65:67" ht="18.75" customHeight="1">
      <c r="BM9816" s="1025"/>
      <c r="BO9816" s="43"/>
    </row>
    <row r="9817" spans="65:67" ht="18.75" customHeight="1">
      <c r="BM9817" s="1025"/>
      <c r="BO9817" s="43"/>
    </row>
    <row r="9818" spans="65:67" ht="18.75" customHeight="1">
      <c r="BM9818" s="1025"/>
      <c r="BO9818" s="43"/>
    </row>
    <row r="9819" spans="65:67" ht="18.75" customHeight="1">
      <c r="BM9819" s="1025"/>
      <c r="BO9819" s="43"/>
    </row>
    <row r="9820" spans="65:67" ht="18.75" customHeight="1">
      <c r="BM9820" s="1025"/>
      <c r="BO9820" s="43"/>
    </row>
    <row r="9821" spans="65:67" ht="18.75" customHeight="1">
      <c r="BM9821" s="1025"/>
      <c r="BO9821" s="43"/>
    </row>
    <row r="9822" spans="65:67" ht="18.75" customHeight="1">
      <c r="BM9822" s="1025"/>
      <c r="BO9822" s="43"/>
    </row>
    <row r="9823" spans="65:67" ht="18.75" customHeight="1">
      <c r="BM9823" s="1025"/>
      <c r="BO9823" s="43"/>
    </row>
    <row r="9824" spans="65:67" ht="18.75" customHeight="1">
      <c r="BM9824" s="1025"/>
      <c r="BO9824" s="43"/>
    </row>
    <row r="9825" spans="65:67" ht="18.75" customHeight="1">
      <c r="BM9825" s="1025"/>
      <c r="BO9825" s="43"/>
    </row>
    <row r="9826" spans="65:67" ht="18.75" customHeight="1">
      <c r="BM9826" s="1025"/>
      <c r="BO9826" s="43"/>
    </row>
    <row r="9827" spans="65:67" ht="18.75" customHeight="1">
      <c r="BM9827" s="1025"/>
      <c r="BO9827" s="43"/>
    </row>
    <row r="9828" spans="65:67" ht="18.75" customHeight="1">
      <c r="BM9828" s="1025"/>
      <c r="BO9828" s="43"/>
    </row>
    <row r="9829" spans="65:67" ht="18.75" customHeight="1">
      <c r="BM9829" s="1025"/>
      <c r="BO9829" s="43"/>
    </row>
    <row r="9830" spans="65:67" ht="18.75" customHeight="1">
      <c r="BM9830" s="1025"/>
      <c r="BO9830" s="43"/>
    </row>
    <row r="9831" spans="65:67" ht="18.75" customHeight="1">
      <c r="BM9831" s="1025"/>
      <c r="BO9831" s="43"/>
    </row>
    <row r="9832" spans="65:67" ht="18.75" customHeight="1">
      <c r="BM9832" s="1025"/>
      <c r="BO9832" s="43"/>
    </row>
    <row r="9833" spans="65:67" ht="18.75" customHeight="1">
      <c r="BM9833" s="1025"/>
      <c r="BO9833" s="43"/>
    </row>
    <row r="9834" spans="65:67" ht="18.75" customHeight="1">
      <c r="BM9834" s="1025"/>
      <c r="BO9834" s="43"/>
    </row>
    <row r="9835" spans="65:67" ht="18.75" customHeight="1">
      <c r="BM9835" s="1025"/>
      <c r="BO9835" s="43"/>
    </row>
    <row r="9836" spans="65:67" ht="18.75" customHeight="1">
      <c r="BM9836" s="1025"/>
      <c r="BO9836" s="43"/>
    </row>
    <row r="9837" spans="65:67" ht="18.75" customHeight="1">
      <c r="BM9837" s="1025"/>
      <c r="BO9837" s="43"/>
    </row>
    <row r="9838" spans="65:67" ht="18.75" customHeight="1">
      <c r="BM9838" s="1025"/>
      <c r="BO9838" s="43"/>
    </row>
    <row r="9839" spans="65:67" ht="18.75" customHeight="1">
      <c r="BM9839" s="1025"/>
      <c r="BO9839" s="43"/>
    </row>
    <row r="9840" spans="65:67" ht="18.75" customHeight="1">
      <c r="BM9840" s="1025"/>
      <c r="BO9840" s="43"/>
    </row>
    <row r="9841" spans="65:67" ht="18.75" customHeight="1">
      <c r="BM9841" s="1025"/>
      <c r="BO9841" s="43"/>
    </row>
    <row r="9842" spans="65:67" ht="18.75" customHeight="1">
      <c r="BM9842" s="1025"/>
      <c r="BO9842" s="43"/>
    </row>
    <row r="9843" spans="65:67" ht="18.75" customHeight="1">
      <c r="BM9843" s="1025"/>
      <c r="BO9843" s="43"/>
    </row>
    <row r="9844" spans="65:67" ht="18.75" customHeight="1">
      <c r="BM9844" s="1025"/>
      <c r="BO9844" s="43"/>
    </row>
    <row r="9845" spans="65:67" ht="18.75" customHeight="1">
      <c r="BM9845" s="1025"/>
      <c r="BO9845" s="43"/>
    </row>
    <row r="9846" spans="65:67" ht="18.75" customHeight="1">
      <c r="BM9846" s="1025"/>
      <c r="BO9846" s="43"/>
    </row>
    <row r="9847" spans="65:67" ht="18.75" customHeight="1">
      <c r="BM9847" s="1025"/>
      <c r="BO9847" s="43"/>
    </row>
    <row r="9848" spans="65:67" ht="18.75" customHeight="1">
      <c r="BM9848" s="1025"/>
      <c r="BO9848" s="43"/>
    </row>
    <row r="9849" spans="65:67" ht="18.75" customHeight="1">
      <c r="BM9849" s="1025"/>
      <c r="BO9849" s="43"/>
    </row>
    <row r="9850" spans="65:67" ht="18.75" customHeight="1">
      <c r="BM9850" s="1025"/>
      <c r="BO9850" s="43"/>
    </row>
    <row r="9851" spans="65:67" ht="18.75" customHeight="1">
      <c r="BM9851" s="1025"/>
      <c r="BO9851" s="43"/>
    </row>
    <row r="9852" spans="65:67" ht="18.75" customHeight="1">
      <c r="BM9852" s="1025"/>
      <c r="BO9852" s="43"/>
    </row>
    <row r="9853" spans="65:67" ht="18.75" customHeight="1">
      <c r="BM9853" s="1025"/>
      <c r="BO9853" s="43"/>
    </row>
    <row r="9854" spans="65:67" ht="18.75" customHeight="1">
      <c r="BM9854" s="1025"/>
      <c r="BO9854" s="43"/>
    </row>
    <row r="9855" spans="65:67" ht="18.75" customHeight="1">
      <c r="BM9855" s="1025"/>
      <c r="BO9855" s="43"/>
    </row>
    <row r="9856" spans="65:67" ht="18.75" customHeight="1">
      <c r="BM9856" s="1025"/>
      <c r="BO9856" s="43"/>
    </row>
    <row r="9857" spans="65:67" ht="18.75" customHeight="1">
      <c r="BM9857" s="1025"/>
      <c r="BO9857" s="43"/>
    </row>
    <row r="9858" spans="65:67" ht="18.75" customHeight="1">
      <c r="BM9858" s="1025"/>
      <c r="BO9858" s="43"/>
    </row>
    <row r="9859" spans="65:67" ht="18.75" customHeight="1">
      <c r="BM9859" s="1025"/>
      <c r="BO9859" s="43"/>
    </row>
    <row r="9860" spans="65:67" ht="18.75" customHeight="1">
      <c r="BM9860" s="1025"/>
      <c r="BO9860" s="43"/>
    </row>
    <row r="9861" spans="65:67" ht="18.75" customHeight="1">
      <c r="BM9861" s="1025"/>
      <c r="BO9861" s="43"/>
    </row>
    <row r="9862" spans="65:67" ht="18.75" customHeight="1">
      <c r="BM9862" s="1025"/>
      <c r="BO9862" s="43"/>
    </row>
    <row r="9863" spans="65:67" ht="18.75" customHeight="1">
      <c r="BM9863" s="1025"/>
      <c r="BO9863" s="43"/>
    </row>
    <row r="9864" spans="65:67" ht="18.75" customHeight="1">
      <c r="BM9864" s="1025"/>
      <c r="BO9864" s="43"/>
    </row>
    <row r="9865" spans="65:67" ht="18.75" customHeight="1">
      <c r="BM9865" s="1025"/>
      <c r="BO9865" s="43"/>
    </row>
    <row r="9866" spans="65:67" ht="18.75" customHeight="1">
      <c r="BM9866" s="1025"/>
      <c r="BO9866" s="43"/>
    </row>
    <row r="9867" spans="65:67" ht="18.75" customHeight="1">
      <c r="BM9867" s="1025"/>
      <c r="BO9867" s="43"/>
    </row>
    <row r="9868" spans="65:67" ht="18.75" customHeight="1">
      <c r="BM9868" s="1025"/>
      <c r="BO9868" s="43"/>
    </row>
    <row r="9869" spans="65:67" ht="18.75" customHeight="1">
      <c r="BM9869" s="1025"/>
      <c r="BO9869" s="43"/>
    </row>
    <row r="9870" spans="65:67" ht="18.75" customHeight="1">
      <c r="BM9870" s="1025"/>
      <c r="BO9870" s="43"/>
    </row>
    <row r="9871" spans="65:67" ht="18.75" customHeight="1">
      <c r="BM9871" s="1025"/>
      <c r="BO9871" s="43"/>
    </row>
    <row r="9872" spans="65:67" ht="18.75" customHeight="1">
      <c r="BM9872" s="1025"/>
      <c r="BO9872" s="43"/>
    </row>
    <row r="9873" spans="65:67" ht="18.75" customHeight="1">
      <c r="BM9873" s="1025"/>
      <c r="BO9873" s="43"/>
    </row>
    <row r="9874" spans="65:67" ht="18.75" customHeight="1">
      <c r="BM9874" s="1025"/>
      <c r="BO9874" s="43"/>
    </row>
    <row r="9875" spans="65:67" ht="18.75" customHeight="1">
      <c r="BM9875" s="1025"/>
      <c r="BO9875" s="43"/>
    </row>
    <row r="9876" spans="65:67" ht="18.75" customHeight="1">
      <c r="BM9876" s="1025"/>
      <c r="BO9876" s="43"/>
    </row>
    <row r="9877" spans="65:67" ht="18.75" customHeight="1">
      <c r="BM9877" s="1025"/>
      <c r="BO9877" s="43"/>
    </row>
    <row r="9878" spans="65:67" ht="18.75" customHeight="1">
      <c r="BM9878" s="1025"/>
      <c r="BO9878" s="43"/>
    </row>
    <row r="9879" spans="65:67" ht="18.75" customHeight="1">
      <c r="BM9879" s="1025"/>
      <c r="BO9879" s="43"/>
    </row>
    <row r="9880" spans="65:67" ht="18.75" customHeight="1">
      <c r="BM9880" s="1025"/>
      <c r="BO9880" s="43"/>
    </row>
    <row r="9881" spans="65:67" ht="18.75" customHeight="1">
      <c r="BM9881" s="1025"/>
      <c r="BO9881" s="43"/>
    </row>
    <row r="9882" spans="65:67" ht="18.75" customHeight="1">
      <c r="BM9882" s="1025"/>
      <c r="BO9882" s="43"/>
    </row>
    <row r="9883" spans="65:67" ht="18.75" customHeight="1">
      <c r="BM9883" s="1025"/>
      <c r="BO9883" s="43"/>
    </row>
    <row r="9884" spans="65:67" ht="18.75" customHeight="1">
      <c r="BM9884" s="1025"/>
      <c r="BO9884" s="43"/>
    </row>
    <row r="9885" spans="65:67" ht="18.75" customHeight="1">
      <c r="BM9885" s="1025"/>
      <c r="BO9885" s="43"/>
    </row>
    <row r="9886" spans="65:67" ht="18.75" customHeight="1">
      <c r="BM9886" s="1025"/>
      <c r="BO9886" s="43"/>
    </row>
    <row r="9887" spans="65:67" ht="18.75" customHeight="1">
      <c r="BM9887" s="1025"/>
      <c r="BO9887" s="43"/>
    </row>
    <row r="9888" spans="65:67" ht="18.75" customHeight="1">
      <c r="BM9888" s="1025"/>
      <c r="BO9888" s="43"/>
    </row>
    <row r="9889" spans="65:67" ht="18.75" customHeight="1">
      <c r="BM9889" s="1025"/>
      <c r="BO9889" s="43"/>
    </row>
    <row r="9890" spans="65:67" ht="18.75" customHeight="1">
      <c r="BM9890" s="1025"/>
      <c r="BO9890" s="43"/>
    </row>
    <row r="9891" spans="65:67" ht="18.75" customHeight="1">
      <c r="BM9891" s="1025"/>
      <c r="BO9891" s="43"/>
    </row>
    <row r="9892" spans="65:67" ht="18.75" customHeight="1">
      <c r="BM9892" s="1025"/>
      <c r="BO9892" s="43"/>
    </row>
    <row r="9893" spans="65:67" ht="18.75" customHeight="1">
      <c r="BM9893" s="1025"/>
      <c r="BO9893" s="43"/>
    </row>
    <row r="9894" spans="65:67" ht="18.75" customHeight="1">
      <c r="BM9894" s="1025"/>
      <c r="BO9894" s="43"/>
    </row>
    <row r="9895" spans="65:67" ht="18.75" customHeight="1">
      <c r="BM9895" s="1025"/>
      <c r="BO9895" s="43"/>
    </row>
    <row r="9896" spans="65:67" ht="18.75" customHeight="1">
      <c r="BM9896" s="1025"/>
      <c r="BO9896" s="43"/>
    </row>
    <row r="9897" spans="65:67" ht="18.75" customHeight="1">
      <c r="BM9897" s="1025"/>
      <c r="BO9897" s="43"/>
    </row>
    <row r="9898" spans="65:67" ht="18.75" customHeight="1">
      <c r="BM9898" s="1025"/>
      <c r="BO9898" s="43"/>
    </row>
    <row r="9899" spans="65:67" ht="18.75" customHeight="1">
      <c r="BM9899" s="1025"/>
      <c r="BO9899" s="43"/>
    </row>
    <row r="9900" spans="65:67" ht="18.75" customHeight="1">
      <c r="BM9900" s="1025"/>
      <c r="BO9900" s="43"/>
    </row>
    <row r="9901" spans="65:67" ht="18.75" customHeight="1">
      <c r="BM9901" s="1025"/>
      <c r="BO9901" s="43"/>
    </row>
    <row r="9902" spans="65:67" ht="18.75" customHeight="1">
      <c r="BM9902" s="1025"/>
      <c r="BO9902" s="43"/>
    </row>
    <row r="9903" spans="65:67" ht="18.75" customHeight="1">
      <c r="BM9903" s="1025"/>
      <c r="BO9903" s="43"/>
    </row>
    <row r="9904" spans="65:67" ht="18.75" customHeight="1">
      <c r="BM9904" s="1025"/>
      <c r="BO9904" s="43"/>
    </row>
    <row r="9905" spans="65:67" ht="18.75" customHeight="1">
      <c r="BM9905" s="1025"/>
      <c r="BO9905" s="43"/>
    </row>
    <row r="9906" spans="65:67" ht="18.75" customHeight="1">
      <c r="BM9906" s="1025"/>
      <c r="BO9906" s="43"/>
    </row>
    <row r="9907" spans="65:67" ht="18.75" customHeight="1">
      <c r="BM9907" s="1025"/>
      <c r="BO9907" s="43"/>
    </row>
    <row r="9908" spans="65:67" ht="18.75" customHeight="1">
      <c r="BM9908" s="1025"/>
      <c r="BO9908" s="43"/>
    </row>
    <row r="9909" spans="65:67" ht="18.75" customHeight="1">
      <c r="BM9909" s="1025"/>
      <c r="BO9909" s="43"/>
    </row>
    <row r="9910" spans="65:67" ht="18.75" customHeight="1">
      <c r="BM9910" s="1025"/>
      <c r="BO9910" s="43"/>
    </row>
    <row r="9911" spans="65:67" ht="18.75" customHeight="1">
      <c r="BM9911" s="1025"/>
      <c r="BO9911" s="43"/>
    </row>
    <row r="9912" spans="65:67" ht="18.75" customHeight="1">
      <c r="BM9912" s="1025"/>
      <c r="BO9912" s="43"/>
    </row>
    <row r="9913" spans="65:67" ht="18.75" customHeight="1">
      <c r="BM9913" s="1025"/>
      <c r="BO9913" s="43"/>
    </row>
    <row r="9914" spans="65:67" ht="18.75" customHeight="1">
      <c r="BM9914" s="1025"/>
      <c r="BO9914" s="43"/>
    </row>
    <row r="9915" spans="65:67" ht="18.75" customHeight="1">
      <c r="BM9915" s="1025"/>
      <c r="BO9915" s="43"/>
    </row>
    <row r="9916" spans="65:67" ht="18.75" customHeight="1">
      <c r="BM9916" s="1025"/>
      <c r="BO9916" s="43"/>
    </row>
    <row r="9917" spans="65:67" ht="18.75" customHeight="1">
      <c r="BM9917" s="1025"/>
      <c r="BO9917" s="43"/>
    </row>
    <row r="9918" spans="65:67" ht="18.75" customHeight="1">
      <c r="BM9918" s="1025"/>
      <c r="BO9918" s="43"/>
    </row>
    <row r="9919" spans="65:67" ht="18.75" customHeight="1">
      <c r="BM9919" s="1025"/>
      <c r="BO9919" s="43"/>
    </row>
    <row r="9920" spans="65:67" ht="18.75" customHeight="1">
      <c r="BM9920" s="1025"/>
      <c r="BO9920" s="43"/>
    </row>
    <row r="9921" spans="65:67" ht="18.75" customHeight="1">
      <c r="BM9921" s="1025"/>
      <c r="BO9921" s="43"/>
    </row>
    <row r="9922" spans="65:67" ht="18.75" customHeight="1">
      <c r="BM9922" s="1025"/>
      <c r="BO9922" s="43"/>
    </row>
    <row r="9923" spans="65:67" ht="18.75" customHeight="1">
      <c r="BM9923" s="1025"/>
      <c r="BO9923" s="43"/>
    </row>
    <row r="9924" spans="65:67" ht="18.75" customHeight="1">
      <c r="BM9924" s="1025"/>
      <c r="BO9924" s="43"/>
    </row>
    <row r="9925" spans="65:67" ht="18.75" customHeight="1">
      <c r="BM9925" s="1025"/>
      <c r="BO9925" s="43"/>
    </row>
    <row r="9926" spans="65:67" ht="18.75" customHeight="1">
      <c r="BM9926" s="1025"/>
      <c r="BO9926" s="43"/>
    </row>
    <row r="9927" spans="65:67" ht="18.75" customHeight="1">
      <c r="BM9927" s="1025"/>
      <c r="BO9927" s="43"/>
    </row>
    <row r="9928" spans="65:67" ht="18.75" customHeight="1">
      <c r="BM9928" s="1025"/>
      <c r="BO9928" s="43"/>
    </row>
    <row r="9929" spans="65:67" ht="18.75" customHeight="1">
      <c r="BM9929" s="1025"/>
      <c r="BO9929" s="43"/>
    </row>
    <row r="9930" spans="65:67" ht="18.75" customHeight="1">
      <c r="BM9930" s="1025"/>
      <c r="BO9930" s="43"/>
    </row>
    <row r="9931" spans="65:67" ht="18.75" customHeight="1">
      <c r="BM9931" s="1025"/>
      <c r="BO9931" s="43"/>
    </row>
    <row r="9932" spans="65:67" ht="18.75" customHeight="1">
      <c r="BM9932" s="1025"/>
      <c r="BO9932" s="43"/>
    </row>
    <row r="9933" spans="65:67" ht="18.75" customHeight="1">
      <c r="BM9933" s="1025"/>
      <c r="BO9933" s="43"/>
    </row>
    <row r="9934" spans="65:67" ht="18.75" customHeight="1">
      <c r="BM9934" s="1025"/>
      <c r="BO9934" s="43"/>
    </row>
    <row r="9935" spans="65:67" ht="18.75" customHeight="1">
      <c r="BM9935" s="1025"/>
      <c r="BO9935" s="43"/>
    </row>
    <row r="9936" spans="65:67" ht="18.75" customHeight="1">
      <c r="BM9936" s="1025"/>
      <c r="BO9936" s="43"/>
    </row>
    <row r="9937" spans="65:67" ht="18.75" customHeight="1">
      <c r="BM9937" s="1025"/>
      <c r="BO9937" s="43"/>
    </row>
    <row r="9938" spans="65:67" ht="18.75" customHeight="1">
      <c r="BM9938" s="1025"/>
      <c r="BO9938" s="43"/>
    </row>
    <row r="9939" spans="65:67" ht="18.75" customHeight="1">
      <c r="BM9939" s="1025"/>
      <c r="BO9939" s="43"/>
    </row>
    <row r="9940" spans="65:67" ht="18.75" customHeight="1">
      <c r="BM9940" s="1025"/>
      <c r="BO9940" s="43"/>
    </row>
    <row r="9941" spans="65:67" ht="18.75" customHeight="1">
      <c r="BM9941" s="1025"/>
      <c r="BO9941" s="43"/>
    </row>
    <row r="9942" spans="65:67" ht="18.75" customHeight="1">
      <c r="BM9942" s="1025"/>
      <c r="BO9942" s="43"/>
    </row>
    <row r="9943" spans="65:67" ht="18.75" customHeight="1">
      <c r="BM9943" s="1025"/>
      <c r="BO9943" s="43"/>
    </row>
    <row r="9944" spans="65:67" ht="18.75" customHeight="1">
      <c r="BM9944" s="1025"/>
      <c r="BO9944" s="43"/>
    </row>
    <row r="9945" spans="65:67" ht="18.75" customHeight="1">
      <c r="BM9945" s="1025"/>
      <c r="BO9945" s="43"/>
    </row>
    <row r="9946" spans="65:67" ht="18.75" customHeight="1">
      <c r="BM9946" s="1025"/>
      <c r="BO9946" s="43"/>
    </row>
    <row r="9947" spans="65:67" ht="18.75" customHeight="1">
      <c r="BM9947" s="1025"/>
      <c r="BO9947" s="43"/>
    </row>
    <row r="9948" spans="65:67" ht="18.75" customHeight="1">
      <c r="BM9948" s="1025"/>
      <c r="BO9948" s="43"/>
    </row>
    <row r="9949" spans="65:67" ht="18.75" customHeight="1">
      <c r="BM9949" s="1025"/>
      <c r="BO9949" s="43"/>
    </row>
    <row r="9950" spans="65:67" ht="18.75" customHeight="1">
      <c r="BM9950" s="1025"/>
      <c r="BO9950" s="43"/>
    </row>
    <row r="9951" spans="65:67" ht="18.75" customHeight="1">
      <c r="BM9951" s="1025"/>
      <c r="BO9951" s="43"/>
    </row>
    <row r="9952" spans="65:67" ht="18.75" customHeight="1">
      <c r="BM9952" s="1025"/>
      <c r="BO9952" s="43"/>
    </row>
    <row r="9953" spans="65:67" ht="18.75" customHeight="1">
      <c r="BM9953" s="1025"/>
      <c r="BO9953" s="43"/>
    </row>
    <row r="9954" spans="65:67" ht="18.75" customHeight="1">
      <c r="BM9954" s="1025"/>
      <c r="BO9954" s="43"/>
    </row>
    <row r="9955" spans="65:67" ht="18.75" customHeight="1">
      <c r="BM9955" s="1025"/>
      <c r="BO9955" s="43"/>
    </row>
    <row r="9956" spans="65:67" ht="18.75" customHeight="1">
      <c r="BM9956" s="1025"/>
      <c r="BO9956" s="43"/>
    </row>
    <row r="9957" spans="65:67" ht="18.75" customHeight="1">
      <c r="BM9957" s="1025"/>
      <c r="BO9957" s="43"/>
    </row>
    <row r="9958" spans="65:67" ht="18.75" customHeight="1">
      <c r="BM9958" s="1025"/>
      <c r="BO9958" s="43"/>
    </row>
    <row r="9959" spans="65:67" ht="18.75" customHeight="1">
      <c r="BM9959" s="1025"/>
      <c r="BO9959" s="43"/>
    </row>
    <row r="9960" spans="65:67" ht="18.75" customHeight="1">
      <c r="BM9960" s="1025"/>
      <c r="BO9960" s="43"/>
    </row>
    <row r="9961" spans="65:67" ht="18.75" customHeight="1">
      <c r="BM9961" s="1025"/>
      <c r="BO9961" s="43"/>
    </row>
    <row r="9962" spans="65:67" ht="18.75" customHeight="1">
      <c r="BM9962" s="1025"/>
      <c r="BO9962" s="43"/>
    </row>
    <row r="9963" spans="65:67" ht="18.75" customHeight="1">
      <c r="BM9963" s="1025"/>
      <c r="BO9963" s="43"/>
    </row>
    <row r="9964" spans="65:67" ht="18.75" customHeight="1">
      <c r="BM9964" s="1025"/>
      <c r="BO9964" s="43"/>
    </row>
    <row r="9965" spans="65:67" ht="18.75" customHeight="1">
      <c r="BM9965" s="1025"/>
      <c r="BO9965" s="43"/>
    </row>
    <row r="9966" spans="65:67" ht="18.75" customHeight="1">
      <c r="BM9966" s="1025"/>
      <c r="BO9966" s="43"/>
    </row>
    <row r="9967" spans="65:67" ht="18.75" customHeight="1">
      <c r="BM9967" s="1025"/>
      <c r="BO9967" s="43"/>
    </row>
    <row r="9968" spans="65:67" ht="18.75" customHeight="1">
      <c r="BM9968" s="1025"/>
      <c r="BO9968" s="43"/>
    </row>
    <row r="9969" spans="65:67" ht="18.75" customHeight="1">
      <c r="BM9969" s="1025"/>
      <c r="BO9969" s="43"/>
    </row>
    <row r="9970" spans="65:67" ht="18.75" customHeight="1">
      <c r="BM9970" s="1025"/>
      <c r="BO9970" s="43"/>
    </row>
    <row r="9971" spans="65:67" ht="18.75" customHeight="1">
      <c r="BM9971" s="1025"/>
      <c r="BO9971" s="43"/>
    </row>
    <row r="9972" spans="65:67" ht="18.75" customHeight="1">
      <c r="BM9972" s="1025"/>
      <c r="BO9972" s="43"/>
    </row>
    <row r="9973" spans="65:67" ht="18.75" customHeight="1">
      <c r="BM9973" s="1025"/>
      <c r="BO9973" s="43"/>
    </row>
    <row r="9974" spans="65:67" ht="18.75" customHeight="1">
      <c r="BM9974" s="1025"/>
      <c r="BO9974" s="43"/>
    </row>
    <row r="9975" spans="65:67" ht="18.75" customHeight="1">
      <c r="BM9975" s="1025"/>
      <c r="BO9975" s="43"/>
    </row>
    <row r="9976" spans="65:67" ht="18.75" customHeight="1">
      <c r="BM9976" s="1025"/>
      <c r="BO9976" s="43"/>
    </row>
    <row r="9977" spans="65:67" ht="18.75" customHeight="1">
      <c r="BM9977" s="1025"/>
      <c r="BO9977" s="43"/>
    </row>
    <row r="9978" spans="65:67" ht="18.75" customHeight="1">
      <c r="BM9978" s="1025"/>
      <c r="BO9978" s="43"/>
    </row>
    <row r="9979" spans="65:67" ht="18.75" customHeight="1">
      <c r="BM9979" s="1025"/>
      <c r="BO9979" s="43"/>
    </row>
    <row r="9980" spans="65:67" ht="18.75" customHeight="1">
      <c r="BM9980" s="1025"/>
      <c r="BO9980" s="43"/>
    </row>
    <row r="9981" spans="65:67" ht="18.75" customHeight="1">
      <c r="BM9981" s="1025"/>
      <c r="BO9981" s="43"/>
    </row>
    <row r="9982" spans="65:67" ht="18.75" customHeight="1">
      <c r="BM9982" s="1025"/>
      <c r="BO9982" s="43"/>
    </row>
    <row r="9983" spans="65:67" ht="18.75" customHeight="1">
      <c r="BM9983" s="1025"/>
      <c r="BO9983" s="43"/>
    </row>
    <row r="9984" spans="65:67" ht="18.75" customHeight="1">
      <c r="BM9984" s="1025"/>
      <c r="BO9984" s="43"/>
    </row>
    <row r="9985" spans="65:67" ht="18.75" customHeight="1">
      <c r="BM9985" s="1025"/>
      <c r="BO9985" s="43"/>
    </row>
    <row r="9986" spans="65:67" ht="18.75" customHeight="1">
      <c r="BM9986" s="1025"/>
      <c r="BO9986" s="43"/>
    </row>
    <row r="9987" spans="65:67" ht="18.75" customHeight="1">
      <c r="BM9987" s="1025"/>
      <c r="BO9987" s="43"/>
    </row>
    <row r="9988" spans="65:67" ht="18.75" customHeight="1">
      <c r="BM9988" s="1025"/>
      <c r="BO9988" s="43"/>
    </row>
    <row r="9989" spans="65:67" ht="18.75" customHeight="1">
      <c r="BM9989" s="1025"/>
      <c r="BO9989" s="43"/>
    </row>
    <row r="9990" spans="65:67" ht="18.75" customHeight="1">
      <c r="BM9990" s="1025"/>
      <c r="BO9990" s="43"/>
    </row>
    <row r="9991" spans="65:67" ht="18.75" customHeight="1">
      <c r="BM9991" s="1025"/>
      <c r="BO9991" s="43"/>
    </row>
    <row r="9992" spans="65:67" ht="18.75" customHeight="1">
      <c r="BM9992" s="1025"/>
      <c r="BO9992" s="43"/>
    </row>
    <row r="9993" spans="65:67" ht="18.75" customHeight="1">
      <c r="BM9993" s="1025"/>
      <c r="BO9993" s="43"/>
    </row>
    <row r="9994" spans="65:67" ht="18.75" customHeight="1">
      <c r="BM9994" s="1025"/>
      <c r="BO9994" s="43"/>
    </row>
    <row r="9995" spans="65:67" ht="18.75" customHeight="1">
      <c r="BM9995" s="1025"/>
      <c r="BO9995" s="43"/>
    </row>
    <row r="9996" spans="65:67" ht="18.75" customHeight="1">
      <c r="BM9996" s="1025"/>
      <c r="BO9996" s="43"/>
    </row>
    <row r="9997" spans="65:67" ht="18.75" customHeight="1">
      <c r="BM9997" s="1025"/>
      <c r="BO9997" s="43"/>
    </row>
    <row r="9998" spans="65:67" ht="18.75" customHeight="1">
      <c r="BM9998" s="1025"/>
      <c r="BO9998" s="43"/>
    </row>
    <row r="9999" spans="65:67" ht="18.75" customHeight="1">
      <c r="BM9999" s="1025"/>
      <c r="BO9999" s="43"/>
    </row>
    <row r="10000" spans="65:67" ht="18.75" customHeight="1">
      <c r="BM10000" s="1025"/>
      <c r="BO10000" s="43"/>
    </row>
    <row r="10001" spans="65:67" ht="18.75" customHeight="1">
      <c r="BM10001" s="1025"/>
      <c r="BO10001" s="43"/>
    </row>
    <row r="10002" spans="65:67" ht="18.75" customHeight="1">
      <c r="BM10002" s="1025"/>
      <c r="BO10002" s="43"/>
    </row>
    <row r="10003" spans="65:67" ht="18.75" customHeight="1">
      <c r="BM10003" s="1025"/>
      <c r="BO10003" s="43"/>
    </row>
    <row r="10004" spans="65:67" ht="18.75" customHeight="1">
      <c r="BM10004" s="1025"/>
      <c r="BO10004" s="43"/>
    </row>
    <row r="10005" spans="65:67" ht="18.75" customHeight="1">
      <c r="BM10005" s="1025"/>
      <c r="BO10005" s="43"/>
    </row>
    <row r="10006" spans="65:67" ht="18.75" customHeight="1">
      <c r="BM10006" s="1025"/>
      <c r="BO10006" s="43"/>
    </row>
    <row r="10007" spans="65:67" ht="18.75" customHeight="1">
      <c r="BM10007" s="1025"/>
      <c r="BO10007" s="43"/>
    </row>
    <row r="10008" spans="65:67" ht="18.75" customHeight="1">
      <c r="BM10008" s="1025"/>
      <c r="BO10008" s="43"/>
    </row>
    <row r="10009" spans="65:67" ht="18.75" customHeight="1">
      <c r="BM10009" s="1025"/>
      <c r="BO10009" s="43"/>
    </row>
    <row r="10010" spans="65:67" ht="18.75" customHeight="1">
      <c r="BM10010" s="1025"/>
      <c r="BO10010" s="43"/>
    </row>
    <row r="10011" spans="65:67" ht="18.75" customHeight="1">
      <c r="BM10011" s="1025"/>
      <c r="BO10011" s="43"/>
    </row>
    <row r="10012" spans="65:67" ht="18.75" customHeight="1">
      <c r="BM10012" s="1025"/>
      <c r="BO10012" s="43"/>
    </row>
    <row r="10013" spans="65:67" ht="18.75" customHeight="1">
      <c r="BM10013" s="1025"/>
      <c r="BO10013" s="43"/>
    </row>
    <row r="10014" spans="65:67" ht="18.75" customHeight="1">
      <c r="BM10014" s="1025"/>
      <c r="BO10014" s="43"/>
    </row>
    <row r="10015" spans="65:67" ht="18.75" customHeight="1">
      <c r="BM10015" s="1025"/>
      <c r="BO10015" s="43"/>
    </row>
    <row r="10016" spans="65:67" ht="18.75" customHeight="1">
      <c r="BM10016" s="1025"/>
      <c r="BO10016" s="43"/>
    </row>
    <row r="10017" spans="65:67" ht="18.75" customHeight="1">
      <c r="BM10017" s="1025"/>
      <c r="BO10017" s="43"/>
    </row>
    <row r="10018" spans="65:67" ht="18.75" customHeight="1">
      <c r="BM10018" s="1025"/>
      <c r="BO10018" s="43"/>
    </row>
    <row r="10019" spans="65:67" ht="18.75" customHeight="1">
      <c r="BM10019" s="1025"/>
      <c r="BO10019" s="43"/>
    </row>
    <row r="10020" spans="65:67" ht="18.75" customHeight="1">
      <c r="BM10020" s="1025"/>
      <c r="BO10020" s="43"/>
    </row>
    <row r="10021" spans="65:67" ht="18.75" customHeight="1">
      <c r="BM10021" s="1025"/>
      <c r="BO10021" s="43"/>
    </row>
    <row r="10022" spans="65:67" ht="18.75" customHeight="1">
      <c r="BM10022" s="1025"/>
      <c r="BO10022" s="43"/>
    </row>
    <row r="10023" spans="65:67" ht="18.75" customHeight="1">
      <c r="BM10023" s="1025"/>
      <c r="BO10023" s="43"/>
    </row>
    <row r="10024" spans="65:67" ht="18.75" customHeight="1">
      <c r="BM10024" s="1025"/>
      <c r="BO10024" s="43"/>
    </row>
    <row r="10025" spans="65:67" ht="18.75" customHeight="1">
      <c r="BM10025" s="1025"/>
      <c r="BO10025" s="43"/>
    </row>
    <row r="10026" spans="65:67" ht="18.75" customHeight="1">
      <c r="BM10026" s="1025"/>
      <c r="BO10026" s="43"/>
    </row>
    <row r="10027" spans="65:67" ht="18.75" customHeight="1">
      <c r="BM10027" s="1025"/>
      <c r="BO10027" s="43"/>
    </row>
    <row r="10028" spans="65:67" ht="18.75" customHeight="1">
      <c r="BM10028" s="1025"/>
      <c r="BO10028" s="43"/>
    </row>
    <row r="10029" spans="65:67" ht="18.75" customHeight="1">
      <c r="BM10029" s="1025"/>
      <c r="BO10029" s="43"/>
    </row>
    <row r="10030" spans="65:67" ht="18.75" customHeight="1">
      <c r="BM10030" s="1025"/>
      <c r="BO10030" s="43"/>
    </row>
    <row r="10031" spans="65:67" ht="18.75" customHeight="1">
      <c r="BM10031" s="1025"/>
      <c r="BO10031" s="43"/>
    </row>
    <row r="10032" spans="65:67" ht="18.75" customHeight="1">
      <c r="BM10032" s="1025"/>
      <c r="BO10032" s="43"/>
    </row>
    <row r="10033" spans="65:67" ht="18.75" customHeight="1">
      <c r="BM10033" s="1025"/>
      <c r="BO10033" s="43"/>
    </row>
    <row r="10034" spans="65:67" ht="18.75" customHeight="1">
      <c r="BM10034" s="1025"/>
      <c r="BO10034" s="43"/>
    </row>
    <row r="10035" spans="65:67" ht="18.75" customHeight="1">
      <c r="BM10035" s="1025"/>
      <c r="BO10035" s="43"/>
    </row>
    <row r="10036" spans="65:67" ht="18.75" customHeight="1">
      <c r="BM10036" s="1025"/>
      <c r="BO10036" s="43"/>
    </row>
    <row r="10037" spans="65:67" ht="18.75" customHeight="1">
      <c r="BM10037" s="1025"/>
      <c r="BO10037" s="43"/>
    </row>
    <row r="10038" spans="65:67" ht="18.75" customHeight="1">
      <c r="BM10038" s="1025"/>
      <c r="BO10038" s="43"/>
    </row>
    <row r="10039" spans="65:67" ht="18.75" customHeight="1">
      <c r="BM10039" s="1025"/>
      <c r="BO10039" s="43"/>
    </row>
    <row r="10040" spans="65:67" ht="18.75" customHeight="1">
      <c r="BM10040" s="1025"/>
      <c r="BO10040" s="43"/>
    </row>
    <row r="10041" spans="65:67" ht="18.75" customHeight="1">
      <c r="BM10041" s="1025"/>
      <c r="BO10041" s="43"/>
    </row>
    <row r="10042" spans="65:67" ht="18.75" customHeight="1">
      <c r="BM10042" s="1025"/>
      <c r="BO10042" s="43"/>
    </row>
    <row r="10043" spans="65:67" ht="18.75" customHeight="1">
      <c r="BM10043" s="1025"/>
      <c r="BO10043" s="43"/>
    </row>
    <row r="10044" spans="65:67" ht="18.75" customHeight="1">
      <c r="BM10044" s="1025"/>
      <c r="BO10044" s="43"/>
    </row>
    <row r="10045" spans="65:67" ht="18.75" customHeight="1">
      <c r="BM10045" s="1025"/>
      <c r="BO10045" s="43"/>
    </row>
    <row r="10046" spans="65:67" ht="18.75" customHeight="1">
      <c r="BM10046" s="1025"/>
      <c r="BO10046" s="43"/>
    </row>
    <row r="10047" spans="65:67" ht="18.75" customHeight="1">
      <c r="BM10047" s="1025"/>
      <c r="BO10047" s="43"/>
    </row>
    <row r="10048" spans="65:67" ht="18.75" customHeight="1">
      <c r="BM10048" s="1025"/>
      <c r="BO10048" s="43"/>
    </row>
    <row r="10049" spans="65:67" ht="18.75" customHeight="1">
      <c r="BM10049" s="1025"/>
      <c r="BO10049" s="43"/>
    </row>
    <row r="10050" spans="65:67" ht="18.75" customHeight="1">
      <c r="BM10050" s="1025"/>
      <c r="BO10050" s="43"/>
    </row>
    <row r="10051" spans="65:67" ht="18.75" customHeight="1">
      <c r="BM10051" s="1025"/>
      <c r="BO10051" s="43"/>
    </row>
    <row r="10052" spans="65:67" ht="18.75" customHeight="1">
      <c r="BM10052" s="1025"/>
      <c r="BO10052" s="43"/>
    </row>
    <row r="10053" spans="65:67" ht="18.75" customHeight="1">
      <c r="BM10053" s="1025"/>
      <c r="BO10053" s="43"/>
    </row>
    <row r="10054" spans="65:67" ht="18.75" customHeight="1">
      <c r="BM10054" s="1025"/>
      <c r="BO10054" s="43"/>
    </row>
    <row r="10055" spans="65:67" ht="18.75" customHeight="1">
      <c r="BM10055" s="1025"/>
      <c r="BO10055" s="43"/>
    </row>
    <row r="10056" spans="65:67" ht="18.75" customHeight="1">
      <c r="BM10056" s="1025"/>
      <c r="BO10056" s="43"/>
    </row>
    <row r="10057" spans="65:67" ht="18.75" customHeight="1">
      <c r="BM10057" s="1025"/>
      <c r="BO10057" s="43"/>
    </row>
    <row r="10058" spans="65:67" ht="18.75" customHeight="1">
      <c r="BM10058" s="1025"/>
      <c r="BO10058" s="43"/>
    </row>
    <row r="10059" spans="65:67" ht="18.75" customHeight="1">
      <c r="BM10059" s="1025"/>
      <c r="BO10059" s="43"/>
    </row>
    <row r="10060" spans="65:67" ht="18.75" customHeight="1">
      <c r="BM10060" s="1025"/>
      <c r="BO10060" s="43"/>
    </row>
    <row r="10061" spans="65:67" ht="18.75" customHeight="1">
      <c r="BM10061" s="1025"/>
      <c r="BO10061" s="43"/>
    </row>
    <row r="10062" spans="65:67" ht="18.75" customHeight="1">
      <c r="BM10062" s="1025"/>
      <c r="BO10062" s="43"/>
    </row>
    <row r="10063" spans="65:67" ht="18.75" customHeight="1">
      <c r="BM10063" s="1025"/>
      <c r="BO10063" s="43"/>
    </row>
    <row r="10064" spans="65:67" ht="18.75" customHeight="1">
      <c r="BM10064" s="1025"/>
      <c r="BO10064" s="43"/>
    </row>
    <row r="10065" spans="65:67" ht="18.75" customHeight="1">
      <c r="BM10065" s="1025"/>
      <c r="BO10065" s="43"/>
    </row>
    <row r="10066" spans="65:67" ht="18.75" customHeight="1">
      <c r="BM10066" s="1025"/>
      <c r="BO10066" s="43"/>
    </row>
    <row r="10067" spans="65:67" ht="18.75" customHeight="1">
      <c r="BM10067" s="1025"/>
      <c r="BO10067" s="43"/>
    </row>
    <row r="10068" spans="65:67" ht="18.75" customHeight="1">
      <c r="BM10068" s="1025"/>
      <c r="BO10068" s="43"/>
    </row>
    <row r="10069" spans="65:67" ht="18.75" customHeight="1">
      <c r="BM10069" s="1025"/>
      <c r="BO10069" s="43"/>
    </row>
    <row r="10070" spans="65:67" ht="18.75" customHeight="1">
      <c r="BM10070" s="1025"/>
      <c r="BO10070" s="43"/>
    </row>
    <row r="10071" spans="65:67" ht="18.75" customHeight="1">
      <c r="BM10071" s="1025"/>
      <c r="BO10071" s="43"/>
    </row>
    <row r="10072" spans="65:67" ht="18.75" customHeight="1">
      <c r="BM10072" s="1025"/>
      <c r="BO10072" s="43"/>
    </row>
    <row r="10073" spans="65:67" ht="18.75" customHeight="1">
      <c r="BM10073" s="1025"/>
      <c r="BO10073" s="43"/>
    </row>
    <row r="10074" spans="65:67" ht="18.75" customHeight="1">
      <c r="BM10074" s="1025"/>
      <c r="BO10074" s="43"/>
    </row>
    <row r="10075" spans="65:67" ht="18.75" customHeight="1">
      <c r="BM10075" s="1025"/>
      <c r="BO10075" s="43"/>
    </row>
    <row r="10076" spans="65:67" ht="18.75" customHeight="1">
      <c r="BM10076" s="1025"/>
      <c r="BO10076" s="43"/>
    </row>
    <row r="10077" spans="65:67" ht="18.75" customHeight="1">
      <c r="BM10077" s="1025"/>
      <c r="BO10077" s="43"/>
    </row>
    <row r="10078" spans="65:67" ht="18.75" customHeight="1">
      <c r="BM10078" s="1025"/>
      <c r="BO10078" s="43"/>
    </row>
    <row r="10079" spans="65:67" ht="18.75" customHeight="1">
      <c r="BM10079" s="1025"/>
      <c r="BO10079" s="43"/>
    </row>
    <row r="10080" spans="65:67" ht="18.75" customHeight="1">
      <c r="BM10080" s="1025"/>
      <c r="BO10080" s="43"/>
    </row>
    <row r="10081" spans="65:67" ht="18.75" customHeight="1">
      <c r="BM10081" s="1025"/>
      <c r="BO10081" s="43"/>
    </row>
    <row r="10082" spans="65:67" ht="18.75" customHeight="1">
      <c r="BM10082" s="1025"/>
      <c r="BO10082" s="43"/>
    </row>
    <row r="10083" spans="65:67" ht="18.75" customHeight="1">
      <c r="BM10083" s="1025"/>
      <c r="BO10083" s="43"/>
    </row>
    <row r="10084" spans="65:67" ht="18.75" customHeight="1">
      <c r="BM10084" s="1025"/>
      <c r="BO10084" s="43"/>
    </row>
    <row r="10085" spans="65:67" ht="18.75" customHeight="1">
      <c r="BM10085" s="1025"/>
      <c r="BO10085" s="43"/>
    </row>
    <row r="10086" spans="65:67" ht="18.75" customHeight="1">
      <c r="BM10086" s="1025"/>
      <c r="BO10086" s="43"/>
    </row>
    <row r="10087" spans="65:67" ht="18.75" customHeight="1">
      <c r="BM10087" s="1025"/>
      <c r="BO10087" s="43"/>
    </row>
    <row r="10088" spans="65:67" ht="18.75" customHeight="1">
      <c r="BM10088" s="1025"/>
      <c r="BO10088" s="43"/>
    </row>
    <row r="10089" spans="65:67" ht="18.75" customHeight="1">
      <c r="BM10089" s="1025"/>
      <c r="BO10089" s="43"/>
    </row>
    <row r="10090" spans="65:67" ht="18.75" customHeight="1">
      <c r="BM10090" s="1025"/>
      <c r="BO10090" s="43"/>
    </row>
    <row r="10091" spans="65:67" ht="18.75" customHeight="1">
      <c r="BM10091" s="1025"/>
      <c r="BO10091" s="43"/>
    </row>
    <row r="10092" spans="65:67" ht="18.75" customHeight="1">
      <c r="BM10092" s="1025"/>
      <c r="BO10092" s="43"/>
    </row>
    <row r="10093" spans="65:67" ht="18.75" customHeight="1">
      <c r="BM10093" s="1025"/>
      <c r="BO10093" s="43"/>
    </row>
    <row r="10094" spans="65:67" ht="18.75" customHeight="1">
      <c r="BM10094" s="1025"/>
      <c r="BO10094" s="43"/>
    </row>
    <row r="10095" spans="65:67" ht="18.75" customHeight="1">
      <c r="BM10095" s="1025"/>
      <c r="BO10095" s="43"/>
    </row>
    <row r="10096" spans="65:67" ht="18.75" customHeight="1">
      <c r="BM10096" s="1025"/>
      <c r="BO10096" s="43"/>
    </row>
    <row r="10097" spans="65:67" ht="18.75" customHeight="1">
      <c r="BM10097" s="1025"/>
      <c r="BO10097" s="43"/>
    </row>
    <row r="10098" spans="65:67" ht="18.75" customHeight="1">
      <c r="BM10098" s="1025"/>
      <c r="BO10098" s="43"/>
    </row>
    <row r="10099" spans="65:67" ht="18.75" customHeight="1">
      <c r="BM10099" s="1025"/>
      <c r="BO10099" s="43"/>
    </row>
    <row r="10100" spans="65:67" ht="18.75" customHeight="1">
      <c r="BM10100" s="1025"/>
      <c r="BO10100" s="43"/>
    </row>
    <row r="10101" spans="65:67" ht="18.75" customHeight="1">
      <c r="BM10101" s="1025"/>
      <c r="BO10101" s="43"/>
    </row>
    <row r="10102" spans="65:67" ht="18.75" customHeight="1">
      <c r="BM10102" s="1025"/>
      <c r="BO10102" s="43"/>
    </row>
    <row r="10103" spans="65:67" ht="18.75" customHeight="1">
      <c r="BM10103" s="1025"/>
      <c r="BO10103" s="43"/>
    </row>
    <row r="10104" spans="65:67" ht="18.75" customHeight="1">
      <c r="BM10104" s="1025"/>
      <c r="BO10104" s="43"/>
    </row>
    <row r="10105" spans="65:67" ht="18.75" customHeight="1">
      <c r="BM10105" s="1025"/>
      <c r="BO10105" s="43"/>
    </row>
    <row r="10106" spans="65:67" ht="18.75" customHeight="1">
      <c r="BM10106" s="1025"/>
      <c r="BO10106" s="43"/>
    </row>
    <row r="10107" spans="65:67" ht="18.75" customHeight="1">
      <c r="BM10107" s="1025"/>
      <c r="BO10107" s="43"/>
    </row>
    <row r="10108" spans="65:67" ht="18.75" customHeight="1">
      <c r="BM10108" s="1025"/>
      <c r="BO10108" s="43"/>
    </row>
    <row r="10109" spans="65:67" ht="18.75" customHeight="1">
      <c r="BM10109" s="1025"/>
      <c r="BO10109" s="43"/>
    </row>
    <row r="10110" spans="65:67" ht="18.75" customHeight="1">
      <c r="BM10110" s="1025"/>
      <c r="BO10110" s="43"/>
    </row>
    <row r="10111" spans="65:67" ht="18.75" customHeight="1">
      <c r="BM10111" s="1025"/>
      <c r="BO10111" s="43"/>
    </row>
    <row r="10112" spans="65:67" ht="18.75" customHeight="1">
      <c r="BM10112" s="1025"/>
      <c r="BO10112" s="43"/>
    </row>
    <row r="10113" spans="65:67" ht="18.75" customHeight="1">
      <c r="BM10113" s="1025"/>
      <c r="BO10113" s="43"/>
    </row>
    <row r="10114" spans="65:67" ht="18.75" customHeight="1">
      <c r="BM10114" s="1025"/>
      <c r="BO10114" s="43"/>
    </row>
    <row r="10115" spans="65:67" ht="18.75" customHeight="1">
      <c r="BM10115" s="1025"/>
      <c r="BO10115" s="43"/>
    </row>
    <row r="10116" spans="65:67" ht="18.75" customHeight="1">
      <c r="BM10116" s="1025"/>
      <c r="BO10116" s="43"/>
    </row>
    <row r="10117" spans="65:67" ht="18.75" customHeight="1">
      <c r="BM10117" s="1025"/>
      <c r="BO10117" s="43"/>
    </row>
    <row r="10118" spans="65:67" ht="18.75" customHeight="1">
      <c r="BM10118" s="1025"/>
      <c r="BO10118" s="43"/>
    </row>
    <row r="10119" spans="65:67" ht="18.75" customHeight="1">
      <c r="BM10119" s="1025"/>
      <c r="BO10119" s="43"/>
    </row>
    <row r="10120" spans="65:67" ht="18.75" customHeight="1">
      <c r="BM10120" s="1025"/>
      <c r="BO10120" s="43"/>
    </row>
    <row r="10121" spans="65:67" ht="18.75" customHeight="1">
      <c r="BM10121" s="1025"/>
      <c r="BO10121" s="43"/>
    </row>
    <row r="10122" spans="65:67" ht="18.75" customHeight="1">
      <c r="BM10122" s="1025"/>
      <c r="BO10122" s="43"/>
    </row>
    <row r="10123" spans="65:67" ht="18.75" customHeight="1">
      <c r="BM10123" s="1025"/>
      <c r="BO10123" s="43"/>
    </row>
    <row r="10124" spans="65:67" ht="18.75" customHeight="1">
      <c r="BM10124" s="1025"/>
      <c r="BO10124" s="43"/>
    </row>
    <row r="10125" spans="65:67" ht="18.75" customHeight="1">
      <c r="BM10125" s="1025"/>
      <c r="BO10125" s="43"/>
    </row>
    <row r="10126" spans="65:67" ht="18.75" customHeight="1">
      <c r="BM10126" s="1025"/>
      <c r="BO10126" s="43"/>
    </row>
    <row r="10127" spans="65:67" ht="18.75" customHeight="1">
      <c r="BM10127" s="1025"/>
      <c r="BO10127" s="43"/>
    </row>
    <row r="10128" spans="65:67" ht="18.75" customHeight="1">
      <c r="BM10128" s="1025"/>
      <c r="BO10128" s="43"/>
    </row>
    <row r="10129" spans="65:67" ht="18.75" customHeight="1">
      <c r="BM10129" s="1025"/>
      <c r="BO10129" s="43"/>
    </row>
    <row r="10130" spans="65:67" ht="18.75" customHeight="1">
      <c r="BM10130" s="1025"/>
      <c r="BO10130" s="43"/>
    </row>
    <row r="10131" spans="65:67" ht="18.75" customHeight="1">
      <c r="BM10131" s="1025"/>
      <c r="BO10131" s="43"/>
    </row>
    <row r="10132" spans="65:67" ht="18.75" customHeight="1">
      <c r="BM10132" s="1025"/>
      <c r="BO10132" s="43"/>
    </row>
    <row r="10133" spans="65:67" ht="18.75" customHeight="1">
      <c r="BM10133" s="1025"/>
      <c r="BO10133" s="43"/>
    </row>
    <row r="10134" spans="65:67" ht="18.75" customHeight="1">
      <c r="BM10134" s="1025"/>
      <c r="BO10134" s="43"/>
    </row>
    <row r="10135" spans="65:67" ht="18.75" customHeight="1">
      <c r="BM10135" s="1025"/>
      <c r="BO10135" s="43"/>
    </row>
    <row r="10136" spans="65:67" ht="18.75" customHeight="1">
      <c r="BM10136" s="1025"/>
      <c r="BO10136" s="43"/>
    </row>
    <row r="10137" spans="65:67" ht="18.75" customHeight="1">
      <c r="BM10137" s="1025"/>
      <c r="BO10137" s="43"/>
    </row>
    <row r="10138" spans="65:67" ht="18.75" customHeight="1">
      <c r="BM10138" s="1025"/>
      <c r="BO10138" s="43"/>
    </row>
    <row r="10139" spans="65:67" ht="18.75" customHeight="1">
      <c r="BM10139" s="1025"/>
      <c r="BO10139" s="43"/>
    </row>
    <row r="10140" spans="65:67" ht="18.75" customHeight="1">
      <c r="BM10140" s="1025"/>
      <c r="BO10140" s="43"/>
    </row>
    <row r="10141" spans="65:67" ht="18.75" customHeight="1">
      <c r="BM10141" s="1025"/>
      <c r="BO10141" s="43"/>
    </row>
    <row r="10142" spans="65:67" ht="18.75" customHeight="1">
      <c r="BM10142" s="1025"/>
      <c r="BO10142" s="43"/>
    </row>
    <row r="10143" spans="65:67" ht="18.75" customHeight="1">
      <c r="BM10143" s="1025"/>
      <c r="BO10143" s="43"/>
    </row>
    <row r="10144" spans="65:67" ht="18.75" customHeight="1">
      <c r="BM10144" s="1025"/>
      <c r="BO10144" s="43"/>
    </row>
    <row r="10145" spans="65:67" ht="18.75" customHeight="1">
      <c r="BM10145" s="1025"/>
      <c r="BO10145" s="43"/>
    </row>
    <row r="10146" spans="65:67" ht="18.75" customHeight="1">
      <c r="BM10146" s="1025"/>
      <c r="BO10146" s="43"/>
    </row>
    <row r="10147" spans="65:67" ht="18.75" customHeight="1">
      <c r="BM10147" s="1025"/>
      <c r="BO10147" s="43"/>
    </row>
    <row r="10148" spans="65:67" ht="18.75" customHeight="1">
      <c r="BM10148" s="1025"/>
      <c r="BO10148" s="43"/>
    </row>
    <row r="10149" spans="65:67" ht="18.75" customHeight="1">
      <c r="BM10149" s="1025"/>
      <c r="BO10149" s="43"/>
    </row>
    <row r="10150" spans="65:67" ht="18.75" customHeight="1">
      <c r="BM10150" s="1025"/>
      <c r="BO10150" s="43"/>
    </row>
    <row r="10151" spans="65:67" ht="18.75" customHeight="1">
      <c r="BM10151" s="1025"/>
      <c r="BO10151" s="43"/>
    </row>
    <row r="10152" spans="65:67" ht="18.75" customHeight="1">
      <c r="BM10152" s="1025"/>
      <c r="BO10152" s="43"/>
    </row>
    <row r="10153" spans="65:67" ht="18.75" customHeight="1">
      <c r="BM10153" s="1025"/>
      <c r="BO10153" s="43"/>
    </row>
    <row r="10154" spans="65:67" ht="18.75" customHeight="1">
      <c r="BM10154" s="1025"/>
      <c r="BO10154" s="43"/>
    </row>
    <row r="10155" spans="65:67" ht="18.75" customHeight="1">
      <c r="BM10155" s="1025"/>
      <c r="BO10155" s="43"/>
    </row>
    <row r="10156" spans="65:67" ht="18.75" customHeight="1">
      <c r="BM10156" s="1025"/>
      <c r="BO10156" s="43"/>
    </row>
    <row r="10157" spans="65:67" ht="18.75" customHeight="1">
      <c r="BM10157" s="1025"/>
      <c r="BO10157" s="43"/>
    </row>
    <row r="10158" spans="65:67" ht="18.75" customHeight="1">
      <c r="BM10158" s="1025"/>
      <c r="BO10158" s="43"/>
    </row>
    <row r="10159" spans="65:67" ht="18.75" customHeight="1">
      <c r="BM10159" s="1025"/>
      <c r="BO10159" s="43"/>
    </row>
    <row r="10160" spans="65:67" ht="18.75" customHeight="1">
      <c r="BM10160" s="1025"/>
      <c r="BO10160" s="43"/>
    </row>
    <row r="10161" spans="65:67" ht="18.75" customHeight="1">
      <c r="BM10161" s="1025"/>
      <c r="BO10161" s="43"/>
    </row>
    <row r="10162" spans="65:67" ht="18.75" customHeight="1">
      <c r="BM10162" s="1025"/>
      <c r="BO10162" s="43"/>
    </row>
    <row r="10163" spans="65:67" ht="18.75" customHeight="1">
      <c r="BM10163" s="1025"/>
      <c r="BO10163" s="43"/>
    </row>
    <row r="10164" spans="65:67" ht="18.75" customHeight="1">
      <c r="BM10164" s="1025"/>
      <c r="BO10164" s="43"/>
    </row>
    <row r="10165" spans="65:67" ht="18.75" customHeight="1">
      <c r="BM10165" s="1025"/>
      <c r="BO10165" s="43"/>
    </row>
    <row r="10166" spans="65:67" ht="18.75" customHeight="1">
      <c r="BM10166" s="1025"/>
      <c r="BO10166" s="43"/>
    </row>
    <row r="10167" spans="65:67" ht="18.75" customHeight="1">
      <c r="BM10167" s="1025"/>
      <c r="BO10167" s="43"/>
    </row>
    <row r="10168" spans="65:67" ht="18.75" customHeight="1">
      <c r="BM10168" s="1025"/>
      <c r="BO10168" s="43"/>
    </row>
    <row r="10169" spans="65:67" ht="18.75" customHeight="1">
      <c r="BM10169" s="1025"/>
      <c r="BO10169" s="43"/>
    </row>
    <row r="10170" spans="65:67" ht="18.75" customHeight="1">
      <c r="BM10170" s="1025"/>
      <c r="BO10170" s="43"/>
    </row>
    <row r="10171" spans="65:67" ht="18.75" customHeight="1">
      <c r="BM10171" s="1025"/>
      <c r="BO10171" s="43"/>
    </row>
    <row r="10172" spans="65:67" ht="18.75" customHeight="1">
      <c r="BM10172" s="1025"/>
      <c r="BO10172" s="43"/>
    </row>
    <row r="10173" spans="65:67" ht="18.75" customHeight="1">
      <c r="BM10173" s="1025"/>
      <c r="BO10173" s="43"/>
    </row>
    <row r="10174" spans="65:67" ht="18.75" customHeight="1">
      <c r="BM10174" s="1025"/>
      <c r="BO10174" s="43"/>
    </row>
    <row r="10175" spans="65:67" ht="18.75" customHeight="1">
      <c r="BM10175" s="1025"/>
      <c r="BO10175" s="43"/>
    </row>
    <row r="10176" spans="65:67" ht="18.75" customHeight="1">
      <c r="BM10176" s="1025"/>
      <c r="BO10176" s="43"/>
    </row>
    <row r="10177" spans="65:67" ht="18.75" customHeight="1">
      <c r="BM10177" s="1025"/>
      <c r="BO10177" s="43"/>
    </row>
    <row r="10178" spans="65:67" ht="18.75" customHeight="1">
      <c r="BM10178" s="1025"/>
      <c r="BO10178" s="43"/>
    </row>
    <row r="10179" spans="65:67" ht="18.75" customHeight="1">
      <c r="BM10179" s="1025"/>
      <c r="BO10179" s="43"/>
    </row>
    <row r="10180" spans="65:67" ht="18.75" customHeight="1">
      <c r="BM10180" s="1025"/>
      <c r="BO10180" s="43"/>
    </row>
    <row r="10181" spans="65:67" ht="18.75" customHeight="1">
      <c r="BM10181" s="1025"/>
      <c r="BO10181" s="43"/>
    </row>
    <row r="10182" spans="65:67" ht="18.75" customHeight="1">
      <c r="BM10182" s="1025"/>
      <c r="BO10182" s="43"/>
    </row>
    <row r="10183" spans="65:67" ht="18.75" customHeight="1">
      <c r="BM10183" s="1025"/>
      <c r="BO10183" s="43"/>
    </row>
    <row r="10184" spans="65:67" ht="18.75" customHeight="1">
      <c r="BM10184" s="1025"/>
      <c r="BO10184" s="43"/>
    </row>
    <row r="10185" spans="65:67" ht="18.75" customHeight="1">
      <c r="BM10185" s="1025"/>
      <c r="BO10185" s="43"/>
    </row>
    <row r="10186" spans="65:67" ht="18.75" customHeight="1">
      <c r="BM10186" s="1025"/>
      <c r="BO10186" s="43"/>
    </row>
    <row r="10187" spans="65:67" ht="18.75" customHeight="1">
      <c r="BM10187" s="1025"/>
      <c r="BO10187" s="43"/>
    </row>
    <row r="10188" spans="65:67" ht="18.75" customHeight="1">
      <c r="BM10188" s="1025"/>
      <c r="BO10188" s="43"/>
    </row>
    <row r="10189" spans="65:67" ht="18.75" customHeight="1">
      <c r="BM10189" s="1025"/>
      <c r="BO10189" s="43"/>
    </row>
    <row r="10190" spans="65:67" ht="18.75" customHeight="1">
      <c r="BM10190" s="1025"/>
      <c r="BO10190" s="43"/>
    </row>
    <row r="10191" spans="65:67" ht="18.75" customHeight="1">
      <c r="BM10191" s="1025"/>
      <c r="BO10191" s="43"/>
    </row>
    <row r="10192" spans="65:67" ht="18.75" customHeight="1">
      <c r="BM10192" s="1025"/>
      <c r="BO10192" s="43"/>
    </row>
    <row r="10193" spans="65:67" ht="18.75" customHeight="1">
      <c r="BM10193" s="1025"/>
      <c r="BO10193" s="43"/>
    </row>
    <row r="10194" spans="65:67" ht="18.75" customHeight="1">
      <c r="BM10194" s="1025"/>
      <c r="BO10194" s="43"/>
    </row>
    <row r="10195" spans="65:67" ht="18.75" customHeight="1">
      <c r="BM10195" s="1025"/>
      <c r="BO10195" s="43"/>
    </row>
    <row r="10196" spans="65:67" ht="18.75" customHeight="1">
      <c r="BM10196" s="1025"/>
      <c r="BO10196" s="43"/>
    </row>
    <row r="10197" spans="65:67" ht="18.75" customHeight="1">
      <c r="BM10197" s="1025"/>
      <c r="BO10197" s="43"/>
    </row>
    <row r="10198" spans="65:67" ht="18.75" customHeight="1">
      <c r="BM10198" s="1025"/>
      <c r="BO10198" s="43"/>
    </row>
    <row r="10199" spans="65:67" ht="18.75" customHeight="1">
      <c r="BM10199" s="1025"/>
      <c r="BO10199" s="43"/>
    </row>
    <row r="10200" spans="65:67" ht="18.75" customHeight="1">
      <c r="BM10200" s="1025"/>
      <c r="BO10200" s="43"/>
    </row>
    <row r="10201" spans="65:67" ht="18.75" customHeight="1">
      <c r="BM10201" s="1025"/>
      <c r="BO10201" s="43"/>
    </row>
    <row r="10202" spans="65:67" ht="18.75" customHeight="1">
      <c r="BM10202" s="1025"/>
      <c r="BO10202" s="43"/>
    </row>
    <row r="10203" spans="65:67" ht="18.75" customHeight="1">
      <c r="BM10203" s="1025"/>
      <c r="BO10203" s="43"/>
    </row>
    <row r="10204" spans="65:67" ht="18.75" customHeight="1">
      <c r="BM10204" s="1025"/>
      <c r="BO10204" s="43"/>
    </row>
    <row r="10205" spans="65:67" ht="18.75" customHeight="1">
      <c r="BM10205" s="1025"/>
      <c r="BO10205" s="43"/>
    </row>
    <row r="10206" spans="65:67" ht="18.75" customHeight="1">
      <c r="BM10206" s="1025"/>
      <c r="BO10206" s="43"/>
    </row>
    <row r="10207" spans="65:67" ht="18.75" customHeight="1">
      <c r="BM10207" s="1025"/>
      <c r="BO10207" s="43"/>
    </row>
    <row r="10208" spans="65:67" ht="18.75" customHeight="1">
      <c r="BM10208" s="1025"/>
      <c r="BO10208" s="43"/>
    </row>
    <row r="10209" spans="65:67" ht="18.75" customHeight="1">
      <c r="BM10209" s="1025"/>
      <c r="BO10209" s="43"/>
    </row>
    <row r="10210" spans="65:67" ht="18.75" customHeight="1">
      <c r="BM10210" s="1025"/>
      <c r="BO10210" s="43"/>
    </row>
    <row r="10211" spans="65:67" ht="18.75" customHeight="1">
      <c r="BM10211" s="1025"/>
      <c r="BO10211" s="43"/>
    </row>
    <row r="10212" spans="65:67" ht="18.75" customHeight="1">
      <c r="BM10212" s="1025"/>
      <c r="BO10212" s="43"/>
    </row>
    <row r="10213" spans="65:67" ht="18.75" customHeight="1">
      <c r="BM10213" s="1025"/>
      <c r="BO10213" s="43"/>
    </row>
    <row r="10214" spans="65:67" ht="18.75" customHeight="1">
      <c r="BM10214" s="1025"/>
      <c r="BO10214" s="43"/>
    </row>
    <row r="10215" spans="65:67" ht="18.75" customHeight="1">
      <c r="BM10215" s="1025"/>
      <c r="BO10215" s="43"/>
    </row>
    <row r="10216" spans="65:67" ht="18.75" customHeight="1">
      <c r="BM10216" s="1025"/>
      <c r="BO10216" s="43"/>
    </row>
    <row r="10217" spans="65:67" ht="18.75" customHeight="1">
      <c r="BM10217" s="1025"/>
      <c r="BO10217" s="43"/>
    </row>
    <row r="10218" spans="65:67" ht="18.75" customHeight="1">
      <c r="BM10218" s="1025"/>
      <c r="BO10218" s="43"/>
    </row>
    <row r="10219" spans="65:67" ht="18.75" customHeight="1">
      <c r="BM10219" s="1025"/>
      <c r="BO10219" s="43"/>
    </row>
    <row r="10220" spans="65:67" ht="18.75" customHeight="1">
      <c r="BM10220" s="1025"/>
      <c r="BO10220" s="43"/>
    </row>
    <row r="10221" spans="65:67" ht="18.75" customHeight="1">
      <c r="BM10221" s="1025"/>
      <c r="BO10221" s="43"/>
    </row>
    <row r="10222" spans="65:67" ht="18.75" customHeight="1">
      <c r="BM10222" s="1025"/>
      <c r="BO10222" s="43"/>
    </row>
    <row r="10223" spans="65:67" ht="18.75" customHeight="1">
      <c r="BM10223" s="1025"/>
      <c r="BO10223" s="43"/>
    </row>
    <row r="10224" spans="65:67" ht="18.75" customHeight="1">
      <c r="BM10224" s="1025"/>
      <c r="BO10224" s="43"/>
    </row>
    <row r="10225" spans="65:67" ht="18.75" customHeight="1">
      <c r="BM10225" s="1025"/>
      <c r="BO10225" s="43"/>
    </row>
    <row r="10226" spans="65:67" ht="18.75" customHeight="1">
      <c r="BM10226" s="1025"/>
      <c r="BO10226" s="43"/>
    </row>
    <row r="10227" spans="65:67" ht="18.75" customHeight="1">
      <c r="BM10227" s="1025"/>
      <c r="BO10227" s="43"/>
    </row>
    <row r="10228" spans="65:67" ht="18.75" customHeight="1">
      <c r="BM10228" s="1025"/>
      <c r="BO10228" s="43"/>
    </row>
    <row r="10229" spans="65:67" ht="18.75" customHeight="1">
      <c r="BM10229" s="1025"/>
      <c r="BO10229" s="43"/>
    </row>
    <row r="10230" spans="65:67" ht="18.75" customHeight="1">
      <c r="BM10230" s="1025"/>
      <c r="BO10230" s="43"/>
    </row>
    <row r="10231" spans="65:67" ht="18.75" customHeight="1">
      <c r="BM10231" s="1025"/>
      <c r="BO10231" s="43"/>
    </row>
    <row r="10232" spans="65:67" ht="18.75" customHeight="1">
      <c r="BM10232" s="1025"/>
      <c r="BO10232" s="43"/>
    </row>
    <row r="10233" spans="65:67" ht="18.75" customHeight="1">
      <c r="BM10233" s="1025"/>
      <c r="BO10233" s="43"/>
    </row>
    <row r="10234" spans="65:67" ht="18.75" customHeight="1">
      <c r="BM10234" s="1025"/>
      <c r="BO10234" s="43"/>
    </row>
    <row r="10235" spans="65:67" ht="18.75" customHeight="1">
      <c r="BM10235" s="1025"/>
      <c r="BO10235" s="43"/>
    </row>
    <row r="10236" spans="65:67" ht="18.75" customHeight="1">
      <c r="BM10236" s="1025"/>
      <c r="BO10236" s="43"/>
    </row>
    <row r="10237" spans="65:67" ht="18.75" customHeight="1">
      <c r="BM10237" s="1025"/>
      <c r="BO10237" s="43"/>
    </row>
    <row r="10238" spans="65:67" ht="18.75" customHeight="1">
      <c r="BM10238" s="1025"/>
      <c r="BO10238" s="43"/>
    </row>
    <row r="10239" spans="65:67" ht="18.75" customHeight="1">
      <c r="BM10239" s="1025"/>
      <c r="BO10239" s="43"/>
    </row>
    <row r="10240" spans="65:67" ht="18.75" customHeight="1">
      <c r="BM10240" s="1025"/>
      <c r="BO10240" s="43"/>
    </row>
    <row r="10241" spans="65:67" ht="18.75" customHeight="1">
      <c r="BM10241" s="1025"/>
      <c r="BO10241" s="43"/>
    </row>
    <row r="10242" spans="65:67" ht="18.75" customHeight="1">
      <c r="BM10242" s="1025"/>
      <c r="BO10242" s="43"/>
    </row>
    <row r="10243" spans="65:67" ht="18.75" customHeight="1">
      <c r="BM10243" s="1025"/>
      <c r="BO10243" s="43"/>
    </row>
    <row r="10244" spans="65:67" ht="18.75" customHeight="1">
      <c r="BM10244" s="1025"/>
      <c r="BO10244" s="43"/>
    </row>
    <row r="10245" spans="65:67" ht="18.75" customHeight="1">
      <c r="BM10245" s="1025"/>
      <c r="BO10245" s="43"/>
    </row>
    <row r="10246" spans="65:67" ht="18.75" customHeight="1">
      <c r="BM10246" s="1025"/>
      <c r="BO10246" s="43"/>
    </row>
    <row r="10247" spans="65:67" ht="18.75" customHeight="1">
      <c r="BM10247" s="1025"/>
      <c r="BO10247" s="43"/>
    </row>
    <row r="10248" spans="65:67" ht="18.75" customHeight="1">
      <c r="BM10248" s="1025"/>
      <c r="BO10248" s="43"/>
    </row>
    <row r="10249" spans="65:67" ht="18.75" customHeight="1">
      <c r="BM10249" s="1025"/>
      <c r="BO10249" s="43"/>
    </row>
    <row r="10250" spans="65:67" ht="18.75" customHeight="1">
      <c r="BM10250" s="1025"/>
      <c r="BO10250" s="43"/>
    </row>
    <row r="10251" spans="65:67" ht="18.75" customHeight="1">
      <c r="BM10251" s="1025"/>
      <c r="BO10251" s="43"/>
    </row>
    <row r="10252" spans="65:67" ht="18.75" customHeight="1">
      <c r="BM10252" s="1025"/>
      <c r="BO10252" s="43"/>
    </row>
    <row r="10253" spans="65:67" ht="18.75" customHeight="1">
      <c r="BM10253" s="1025"/>
      <c r="BO10253" s="43"/>
    </row>
    <row r="10254" spans="65:67" ht="18.75" customHeight="1">
      <c r="BM10254" s="1025"/>
      <c r="BO10254" s="43"/>
    </row>
    <row r="10255" spans="65:67" ht="18.75" customHeight="1">
      <c r="BM10255" s="1025"/>
      <c r="BO10255" s="43"/>
    </row>
    <row r="10256" spans="65:67" ht="18.75" customHeight="1">
      <c r="BM10256" s="1025"/>
      <c r="BO10256" s="43"/>
    </row>
    <row r="10257" spans="65:67" ht="18.75" customHeight="1">
      <c r="BM10257" s="1025"/>
      <c r="BO10257" s="43"/>
    </row>
    <row r="10258" spans="65:67" ht="18.75" customHeight="1">
      <c r="BM10258" s="1025"/>
      <c r="BO10258" s="43"/>
    </row>
    <row r="10259" spans="65:67" ht="18.75" customHeight="1">
      <c r="BM10259" s="1025"/>
      <c r="BO10259" s="43"/>
    </row>
    <row r="10260" spans="65:67" ht="18.75" customHeight="1">
      <c r="BM10260" s="1025"/>
      <c r="BO10260" s="43"/>
    </row>
    <row r="10261" spans="65:67" ht="18.75" customHeight="1">
      <c r="BM10261" s="1025"/>
      <c r="BO10261" s="43"/>
    </row>
    <row r="10262" spans="65:67" ht="18.75" customHeight="1">
      <c r="BM10262" s="1025"/>
      <c r="BO10262" s="43"/>
    </row>
    <row r="10263" spans="65:67" ht="18.75" customHeight="1">
      <c r="BM10263" s="1025"/>
      <c r="BO10263" s="43"/>
    </row>
    <row r="10264" spans="65:67" ht="18.75" customHeight="1">
      <c r="BM10264" s="1025"/>
      <c r="BO10264" s="43"/>
    </row>
    <row r="10265" spans="65:67" ht="18.75" customHeight="1">
      <c r="BM10265" s="1025"/>
      <c r="BO10265" s="43"/>
    </row>
    <row r="10266" spans="65:67" ht="18.75" customHeight="1">
      <c r="BM10266" s="1025"/>
      <c r="BO10266" s="43"/>
    </row>
    <row r="10267" spans="65:67" ht="18.75" customHeight="1">
      <c r="BM10267" s="1025"/>
      <c r="BO10267" s="43"/>
    </row>
    <row r="10268" spans="65:67" ht="18.75" customHeight="1">
      <c r="BM10268" s="1025"/>
      <c r="BO10268" s="43"/>
    </row>
    <row r="10269" spans="65:67" ht="18.75" customHeight="1">
      <c r="BM10269" s="1025"/>
      <c r="BO10269" s="43"/>
    </row>
    <row r="10270" spans="65:67" ht="18.75" customHeight="1">
      <c r="BM10270" s="1025"/>
      <c r="BO10270" s="43"/>
    </row>
    <row r="10271" spans="65:67" ht="18.75" customHeight="1">
      <c r="BM10271" s="1025"/>
      <c r="BO10271" s="43"/>
    </row>
    <row r="10272" spans="65:67" ht="18.75" customHeight="1">
      <c r="BM10272" s="1025"/>
      <c r="BO10272" s="43"/>
    </row>
    <row r="10273" spans="65:67" ht="18.75" customHeight="1">
      <c r="BM10273" s="1025"/>
      <c r="BO10273" s="43"/>
    </row>
    <row r="10274" spans="65:67" ht="18.75" customHeight="1">
      <c r="BM10274" s="1025"/>
      <c r="BO10274" s="43"/>
    </row>
    <row r="10275" spans="65:67" ht="18.75" customHeight="1">
      <c r="BM10275" s="1025"/>
      <c r="BO10275" s="43"/>
    </row>
    <row r="10276" spans="65:67" ht="18.75" customHeight="1">
      <c r="BM10276" s="1025"/>
      <c r="BO10276" s="43"/>
    </row>
    <row r="10277" spans="65:67" ht="18.75" customHeight="1">
      <c r="BM10277" s="1025"/>
      <c r="BO10277" s="43"/>
    </row>
    <row r="10278" spans="65:67" ht="18.75" customHeight="1">
      <c r="BM10278" s="1025"/>
      <c r="BO10278" s="43"/>
    </row>
    <row r="10279" spans="65:67" ht="18.75" customHeight="1">
      <c r="BM10279" s="1025"/>
      <c r="BO10279" s="43"/>
    </row>
    <row r="10280" spans="65:67" ht="18.75" customHeight="1">
      <c r="BM10280" s="1025"/>
      <c r="BO10280" s="43"/>
    </row>
    <row r="10281" spans="65:67" ht="18.75" customHeight="1">
      <c r="BM10281" s="1025"/>
      <c r="BO10281" s="43"/>
    </row>
    <row r="10282" spans="65:67" ht="18.75" customHeight="1">
      <c r="BM10282" s="1025"/>
      <c r="BO10282" s="43"/>
    </row>
    <row r="10283" spans="65:67" ht="18.75" customHeight="1">
      <c r="BM10283" s="1025"/>
      <c r="BO10283" s="43"/>
    </row>
    <row r="10284" spans="65:67" ht="18.75" customHeight="1">
      <c r="BM10284" s="1025"/>
      <c r="BO10284" s="43"/>
    </row>
    <row r="10285" spans="65:67" ht="18.75" customHeight="1">
      <c r="BM10285" s="1025"/>
      <c r="BO10285" s="43"/>
    </row>
    <row r="10286" spans="65:67" ht="18.75" customHeight="1">
      <c r="BM10286" s="1025"/>
      <c r="BO10286" s="43"/>
    </row>
    <row r="10287" spans="65:67" ht="18.75" customHeight="1">
      <c r="BM10287" s="1025"/>
      <c r="BO10287" s="43"/>
    </row>
    <row r="10288" spans="65:67" ht="18.75" customHeight="1">
      <c r="BM10288" s="1025"/>
      <c r="BO10288" s="43"/>
    </row>
    <row r="10289" spans="65:67" ht="18.75" customHeight="1">
      <c r="BM10289" s="1025"/>
      <c r="BO10289" s="43"/>
    </row>
    <row r="10290" spans="65:67" ht="18.75" customHeight="1">
      <c r="BM10290" s="1025"/>
      <c r="BO10290" s="43"/>
    </row>
    <row r="10291" spans="65:67" ht="18.75" customHeight="1">
      <c r="BM10291" s="1025"/>
      <c r="BO10291" s="43"/>
    </row>
    <row r="10292" spans="65:67" ht="18.75" customHeight="1">
      <c r="BM10292" s="1025"/>
      <c r="BO10292" s="43"/>
    </row>
    <row r="10293" spans="65:67" ht="18.75" customHeight="1">
      <c r="BM10293" s="1025"/>
      <c r="BO10293" s="43"/>
    </row>
    <row r="10294" spans="65:67" ht="18.75" customHeight="1">
      <c r="BM10294" s="1025"/>
      <c r="BO10294" s="43"/>
    </row>
    <row r="10295" spans="65:67" ht="18.75" customHeight="1">
      <c r="BM10295" s="1025"/>
      <c r="BO10295" s="43"/>
    </row>
    <row r="10296" spans="65:67" ht="18.75" customHeight="1">
      <c r="BM10296" s="1025"/>
      <c r="BO10296" s="43"/>
    </row>
    <row r="10297" spans="65:67" ht="18.75" customHeight="1">
      <c r="BM10297" s="1025"/>
      <c r="BO10297" s="43"/>
    </row>
    <row r="10298" spans="65:67" ht="18.75" customHeight="1">
      <c r="BM10298" s="1025"/>
      <c r="BO10298" s="43"/>
    </row>
    <row r="10299" spans="65:67" ht="18.75" customHeight="1">
      <c r="BM10299" s="1025"/>
      <c r="BO10299" s="43"/>
    </row>
    <row r="10300" spans="65:67" ht="18.75" customHeight="1">
      <c r="BM10300" s="1025"/>
      <c r="BO10300" s="43"/>
    </row>
    <row r="10301" spans="65:67" ht="18.75" customHeight="1">
      <c r="BM10301" s="1025"/>
      <c r="BO10301" s="43"/>
    </row>
    <row r="10302" spans="65:67" ht="18.75" customHeight="1">
      <c r="BM10302" s="1025"/>
      <c r="BO10302" s="43"/>
    </row>
    <row r="10303" spans="65:67" ht="18.75" customHeight="1">
      <c r="BM10303" s="1025"/>
      <c r="BO10303" s="43"/>
    </row>
    <row r="10304" spans="65:67" ht="18.75" customHeight="1">
      <c r="BM10304" s="1025"/>
      <c r="BO10304" s="43"/>
    </row>
    <row r="10305" spans="65:67" ht="18.75" customHeight="1">
      <c r="BM10305" s="1025"/>
      <c r="BO10305" s="43"/>
    </row>
    <row r="10306" spans="65:67" ht="18.75" customHeight="1">
      <c r="BM10306" s="1025"/>
      <c r="BO10306" s="43"/>
    </row>
    <row r="10307" spans="65:67" ht="18.75" customHeight="1">
      <c r="BM10307" s="1025"/>
      <c r="BO10307" s="43"/>
    </row>
    <row r="10308" spans="65:67" ht="18.75" customHeight="1">
      <c r="BM10308" s="1025"/>
      <c r="BO10308" s="43"/>
    </row>
    <row r="10309" spans="65:67" ht="18.75" customHeight="1">
      <c r="BM10309" s="1025"/>
      <c r="BO10309" s="43"/>
    </row>
    <row r="10310" spans="65:67" ht="18.75" customHeight="1">
      <c r="BM10310" s="1025"/>
      <c r="BO10310" s="43"/>
    </row>
    <row r="10311" spans="65:67" ht="18.75" customHeight="1">
      <c r="BM10311" s="1025"/>
      <c r="BO10311" s="43"/>
    </row>
    <row r="10312" spans="65:67" ht="18.75" customHeight="1">
      <c r="BM10312" s="1025"/>
      <c r="BO10312" s="43"/>
    </row>
    <row r="10313" spans="65:67" ht="18.75" customHeight="1">
      <c r="BM10313" s="1025"/>
      <c r="BO10313" s="43"/>
    </row>
    <row r="10314" spans="65:67" ht="18.75" customHeight="1">
      <c r="BM10314" s="1025"/>
      <c r="BO10314" s="43"/>
    </row>
    <row r="10315" spans="65:67" ht="18.75" customHeight="1">
      <c r="BM10315" s="1025"/>
      <c r="BO10315" s="43"/>
    </row>
    <row r="10316" spans="65:67" ht="18.75" customHeight="1">
      <c r="BM10316" s="1025"/>
      <c r="BO10316" s="43"/>
    </row>
    <row r="10317" spans="65:67" ht="18.75" customHeight="1">
      <c r="BM10317" s="1025"/>
      <c r="BO10317" s="43"/>
    </row>
    <row r="10318" spans="65:67" ht="18.75" customHeight="1">
      <c r="BM10318" s="1025"/>
      <c r="BO10318" s="43"/>
    </row>
    <row r="10319" spans="65:67" ht="18.75" customHeight="1">
      <c r="BM10319" s="1025"/>
      <c r="BO10319" s="43"/>
    </row>
    <row r="10320" spans="65:67" ht="18.75" customHeight="1">
      <c r="BM10320" s="1025"/>
      <c r="BO10320" s="43"/>
    </row>
    <row r="10321" spans="65:67" ht="18.75" customHeight="1">
      <c r="BM10321" s="1025"/>
      <c r="BO10321" s="43"/>
    </row>
    <row r="10322" spans="65:67" ht="18.75" customHeight="1">
      <c r="BM10322" s="1025"/>
      <c r="BO10322" s="43"/>
    </row>
    <row r="10323" spans="65:67" ht="18.75" customHeight="1">
      <c r="BM10323" s="1025"/>
      <c r="BO10323" s="43"/>
    </row>
    <row r="10324" spans="65:67" ht="18.75" customHeight="1">
      <c r="BM10324" s="1025"/>
      <c r="BO10324" s="43"/>
    </row>
    <row r="10325" spans="65:67" ht="18.75" customHeight="1">
      <c r="BM10325" s="1025"/>
      <c r="BO10325" s="43"/>
    </row>
    <row r="10326" spans="65:67" ht="18.75" customHeight="1">
      <c r="BM10326" s="1025"/>
      <c r="BO10326" s="43"/>
    </row>
    <row r="10327" spans="65:67" ht="18.75" customHeight="1">
      <c r="BM10327" s="1025"/>
      <c r="BO10327" s="43"/>
    </row>
    <row r="10328" spans="65:67" ht="18.75" customHeight="1">
      <c r="BM10328" s="1025"/>
      <c r="BO10328" s="43"/>
    </row>
    <row r="10329" spans="65:67" ht="18.75" customHeight="1">
      <c r="BM10329" s="1025"/>
      <c r="BO10329" s="43"/>
    </row>
    <row r="10330" spans="65:67" ht="18.75" customHeight="1">
      <c r="BM10330" s="1025"/>
      <c r="BO10330" s="43"/>
    </row>
    <row r="10331" spans="65:67" ht="18.75" customHeight="1">
      <c r="BM10331" s="1025"/>
      <c r="BO10331" s="43"/>
    </row>
    <row r="10332" spans="65:67" ht="18.75" customHeight="1">
      <c r="BM10332" s="1025"/>
      <c r="BO10332" s="43"/>
    </row>
    <row r="10333" spans="65:67" ht="18.75" customHeight="1">
      <c r="BM10333" s="1025"/>
      <c r="BO10333" s="43"/>
    </row>
    <row r="10334" spans="65:67" ht="18.75" customHeight="1">
      <c r="BM10334" s="1025"/>
      <c r="BO10334" s="43"/>
    </row>
    <row r="10335" spans="65:67" ht="18.75" customHeight="1">
      <c r="BM10335" s="1025"/>
      <c r="BO10335" s="43"/>
    </row>
    <row r="10336" spans="65:67" ht="18.75" customHeight="1">
      <c r="BM10336" s="1025"/>
      <c r="BO10336" s="43"/>
    </row>
    <row r="10337" spans="65:67" ht="18.75" customHeight="1">
      <c r="BM10337" s="1025"/>
      <c r="BO10337" s="43"/>
    </row>
    <row r="10338" spans="65:67" ht="18.75" customHeight="1">
      <c r="BM10338" s="1025"/>
      <c r="BO10338" s="43"/>
    </row>
    <row r="10339" spans="65:67" ht="18.75" customHeight="1">
      <c r="BM10339" s="1025"/>
      <c r="BO10339" s="43"/>
    </row>
    <row r="10340" spans="65:67" ht="18.75" customHeight="1">
      <c r="BM10340" s="1025"/>
      <c r="BO10340" s="43"/>
    </row>
    <row r="10341" spans="65:67" ht="18.75" customHeight="1">
      <c r="BM10341" s="1025"/>
      <c r="BO10341" s="43"/>
    </row>
    <row r="10342" spans="65:67" ht="18.75" customHeight="1">
      <c r="BM10342" s="1025"/>
      <c r="BO10342" s="43"/>
    </row>
    <row r="10343" spans="65:67" ht="18.75" customHeight="1">
      <c r="BM10343" s="1025"/>
      <c r="BO10343" s="43"/>
    </row>
    <row r="10344" spans="65:67" ht="18.75" customHeight="1">
      <c r="BM10344" s="1025"/>
      <c r="BO10344" s="43"/>
    </row>
    <row r="10345" spans="65:67" ht="18.75" customHeight="1">
      <c r="BM10345" s="1025"/>
      <c r="BO10345" s="43"/>
    </row>
    <row r="10346" spans="65:67" ht="18.75" customHeight="1">
      <c r="BM10346" s="1025"/>
      <c r="BO10346" s="43"/>
    </row>
    <row r="10347" spans="65:67" ht="18.75" customHeight="1">
      <c r="BM10347" s="1025"/>
      <c r="BO10347" s="43"/>
    </row>
    <row r="10348" spans="65:67" ht="18.75" customHeight="1">
      <c r="BM10348" s="1025"/>
      <c r="BO10348" s="43"/>
    </row>
    <row r="10349" spans="65:67" ht="18.75" customHeight="1">
      <c r="BM10349" s="1025"/>
      <c r="BO10349" s="43"/>
    </row>
    <row r="10350" spans="65:67" ht="18.75" customHeight="1">
      <c r="BM10350" s="1025"/>
      <c r="BO10350" s="43"/>
    </row>
    <row r="10351" spans="65:67" ht="18.75" customHeight="1">
      <c r="BM10351" s="1025"/>
      <c r="BO10351" s="43"/>
    </row>
    <row r="10352" spans="65:67" ht="18.75" customHeight="1">
      <c r="BM10352" s="1025"/>
      <c r="BO10352" s="43"/>
    </row>
    <row r="10353" spans="65:67" ht="18.75" customHeight="1">
      <c r="BM10353" s="1025"/>
      <c r="BO10353" s="43"/>
    </row>
    <row r="10354" spans="65:67" ht="18.75" customHeight="1">
      <c r="BM10354" s="1025"/>
      <c r="BO10354" s="43"/>
    </row>
    <row r="10355" spans="65:67" ht="18.75" customHeight="1">
      <c r="BM10355" s="1025"/>
      <c r="BO10355" s="43"/>
    </row>
    <row r="10356" spans="65:67" ht="18.75" customHeight="1">
      <c r="BM10356" s="1025"/>
      <c r="BO10356" s="43"/>
    </row>
    <row r="10357" spans="65:67" ht="18.75" customHeight="1">
      <c r="BM10357" s="1025"/>
      <c r="BO10357" s="43"/>
    </row>
    <row r="10358" spans="65:67" ht="18.75" customHeight="1">
      <c r="BM10358" s="1025"/>
      <c r="BO10358" s="43"/>
    </row>
    <row r="10359" spans="65:67" ht="18.75" customHeight="1">
      <c r="BM10359" s="1025"/>
      <c r="BO10359" s="43"/>
    </row>
    <row r="10360" spans="65:67" ht="18.75" customHeight="1">
      <c r="BM10360" s="1025"/>
      <c r="BO10360" s="43"/>
    </row>
    <row r="10361" spans="65:67" ht="18.75" customHeight="1">
      <c r="BM10361" s="1025"/>
      <c r="BO10361" s="43"/>
    </row>
    <row r="10362" spans="65:67" ht="18.75" customHeight="1">
      <c r="BM10362" s="1025"/>
      <c r="BO10362" s="43"/>
    </row>
    <row r="10363" spans="65:67" ht="18.75" customHeight="1">
      <c r="BM10363" s="1025"/>
      <c r="BO10363" s="43"/>
    </row>
    <row r="10364" spans="65:67" ht="18.75" customHeight="1">
      <c r="BM10364" s="1025"/>
      <c r="BO10364" s="43"/>
    </row>
    <row r="10365" spans="65:67" ht="18.75" customHeight="1">
      <c r="BM10365" s="1025"/>
      <c r="BO10365" s="43"/>
    </row>
    <row r="10366" spans="65:67" ht="18.75" customHeight="1">
      <c r="BM10366" s="1025"/>
      <c r="BO10366" s="43"/>
    </row>
    <row r="10367" spans="65:67" ht="18.75" customHeight="1">
      <c r="BM10367" s="1025"/>
      <c r="BO10367" s="43"/>
    </row>
    <row r="10368" spans="65:67" ht="18.75" customHeight="1">
      <c r="BM10368" s="1025"/>
      <c r="BO10368" s="43"/>
    </row>
    <row r="10369" spans="65:67" ht="18.75" customHeight="1">
      <c r="BM10369" s="1025"/>
      <c r="BO10369" s="43"/>
    </row>
    <row r="10370" spans="65:67" ht="18.75" customHeight="1">
      <c r="BM10370" s="1025"/>
      <c r="BO10370" s="43"/>
    </row>
    <row r="10371" spans="65:67" ht="18.75" customHeight="1">
      <c r="BM10371" s="1025"/>
      <c r="BO10371" s="43"/>
    </row>
    <row r="10372" spans="65:67" ht="18.75" customHeight="1">
      <c r="BM10372" s="1025"/>
      <c r="BO10372" s="43"/>
    </row>
    <row r="10373" spans="65:67" ht="18.75" customHeight="1">
      <c r="BM10373" s="1025"/>
      <c r="BO10373" s="43"/>
    </row>
    <row r="10374" spans="65:67" ht="18.75" customHeight="1">
      <c r="BM10374" s="1025"/>
      <c r="BO10374" s="43"/>
    </row>
    <row r="10375" spans="65:67" ht="18.75" customHeight="1">
      <c r="BM10375" s="1025"/>
      <c r="BO10375" s="43"/>
    </row>
    <row r="10376" spans="65:67" ht="18.75" customHeight="1">
      <c r="BM10376" s="1025"/>
      <c r="BO10376" s="43"/>
    </row>
    <row r="10377" spans="65:67" ht="18.75" customHeight="1">
      <c r="BM10377" s="1025"/>
      <c r="BO10377" s="43"/>
    </row>
    <row r="10378" spans="65:67" ht="18.75" customHeight="1">
      <c r="BM10378" s="1025"/>
      <c r="BO10378" s="43"/>
    </row>
    <row r="10379" spans="65:67" ht="18.75" customHeight="1">
      <c r="BM10379" s="1025"/>
      <c r="BO10379" s="43"/>
    </row>
    <row r="10380" spans="65:67" ht="18.75" customHeight="1">
      <c r="BM10380" s="1025"/>
      <c r="BO10380" s="43"/>
    </row>
    <row r="10381" spans="65:67" ht="18.75" customHeight="1">
      <c r="BM10381" s="1025"/>
      <c r="BO10381" s="43"/>
    </row>
    <row r="10382" spans="65:67" ht="18.75" customHeight="1">
      <c r="BM10382" s="1025"/>
      <c r="BO10382" s="43"/>
    </row>
    <row r="10383" spans="65:67" ht="18.75" customHeight="1">
      <c r="BM10383" s="1025"/>
      <c r="BO10383" s="43"/>
    </row>
    <row r="10384" spans="65:67" ht="18.75" customHeight="1">
      <c r="BM10384" s="1025"/>
      <c r="BO10384" s="43"/>
    </row>
    <row r="10385" spans="65:67" ht="18.75" customHeight="1">
      <c r="BM10385" s="1025"/>
      <c r="BO10385" s="43"/>
    </row>
    <row r="10386" spans="65:67" ht="18.75" customHeight="1">
      <c r="BM10386" s="1025"/>
      <c r="BO10386" s="43"/>
    </row>
    <row r="10387" spans="65:67" ht="18.75" customHeight="1">
      <c r="BM10387" s="1025"/>
      <c r="BO10387" s="43"/>
    </row>
    <row r="10388" spans="65:67" ht="18.75" customHeight="1">
      <c r="BM10388" s="1025"/>
      <c r="BO10388" s="43"/>
    </row>
    <row r="10389" spans="65:67" ht="18.75" customHeight="1">
      <c r="BM10389" s="1025"/>
      <c r="BO10389" s="43"/>
    </row>
    <row r="10390" spans="65:67" ht="18.75" customHeight="1">
      <c r="BM10390" s="1025"/>
      <c r="BO10390" s="43"/>
    </row>
    <row r="10391" spans="65:67" ht="18.75" customHeight="1">
      <c r="BM10391" s="1025"/>
      <c r="BO10391" s="43"/>
    </row>
    <row r="10392" spans="65:67" ht="18.75" customHeight="1">
      <c r="BM10392" s="1025"/>
      <c r="BO10392" s="43"/>
    </row>
    <row r="10393" spans="65:67" ht="18.75" customHeight="1">
      <c r="BM10393" s="1025"/>
      <c r="BO10393" s="43"/>
    </row>
    <row r="10394" spans="65:67" ht="18.75" customHeight="1">
      <c r="BM10394" s="1025"/>
      <c r="BO10394" s="43"/>
    </row>
    <row r="10395" spans="65:67" ht="18.75" customHeight="1">
      <c r="BM10395" s="1025"/>
      <c r="BO10395" s="43"/>
    </row>
    <row r="10396" spans="65:67" ht="18.75" customHeight="1">
      <c r="BM10396" s="1025"/>
      <c r="BO10396" s="43"/>
    </row>
    <row r="10397" spans="65:67" ht="18.75" customHeight="1">
      <c r="BM10397" s="1025"/>
      <c r="BO10397" s="43"/>
    </row>
    <row r="10398" spans="65:67" ht="18.75" customHeight="1">
      <c r="BM10398" s="1025"/>
      <c r="BO10398" s="43"/>
    </row>
    <row r="10399" spans="65:67" ht="18.75" customHeight="1">
      <c r="BM10399" s="1025"/>
      <c r="BO10399" s="43"/>
    </row>
    <row r="10400" spans="65:67" ht="18.75" customHeight="1">
      <c r="BM10400" s="1025"/>
      <c r="BO10400" s="43"/>
    </row>
    <row r="10401" spans="65:67" ht="18.75" customHeight="1">
      <c r="BM10401" s="1025"/>
      <c r="BO10401" s="43"/>
    </row>
    <row r="10402" spans="65:67" ht="18.75" customHeight="1">
      <c r="BM10402" s="1025"/>
      <c r="BO10402" s="43"/>
    </row>
    <row r="10403" spans="65:67" ht="18.75" customHeight="1">
      <c r="BM10403" s="1025"/>
      <c r="BO10403" s="43"/>
    </row>
    <row r="10404" spans="65:67" ht="18.75" customHeight="1">
      <c r="BM10404" s="1025"/>
      <c r="BO10404" s="43"/>
    </row>
    <row r="10405" spans="65:67" ht="18.75" customHeight="1">
      <c r="BM10405" s="1025"/>
      <c r="BO10405" s="43"/>
    </row>
    <row r="10406" spans="65:67" ht="18.75" customHeight="1">
      <c r="BM10406" s="1025"/>
      <c r="BO10406" s="43"/>
    </row>
    <row r="10407" spans="65:67" ht="18.75" customHeight="1">
      <c r="BM10407" s="1025"/>
      <c r="BO10407" s="43"/>
    </row>
    <row r="10408" spans="65:67" ht="18.75" customHeight="1">
      <c r="BM10408" s="1025"/>
      <c r="BO10408" s="43"/>
    </row>
    <row r="10409" spans="65:67" ht="18.75" customHeight="1">
      <c r="BM10409" s="1025"/>
      <c r="BO10409" s="43"/>
    </row>
    <row r="10410" spans="65:67" ht="18.75" customHeight="1">
      <c r="BM10410" s="1025"/>
      <c r="BO10410" s="43"/>
    </row>
    <row r="10411" spans="65:67" ht="18.75" customHeight="1">
      <c r="BM10411" s="1025"/>
      <c r="BO10411" s="43"/>
    </row>
    <row r="10412" spans="65:67" ht="18.75" customHeight="1">
      <c r="BM10412" s="1025"/>
      <c r="BO10412" s="43"/>
    </row>
    <row r="10413" spans="65:67" ht="18.75" customHeight="1">
      <c r="BM10413" s="1025"/>
      <c r="BO10413" s="43"/>
    </row>
    <row r="10414" spans="65:67" ht="18.75" customHeight="1">
      <c r="BM10414" s="1025"/>
      <c r="BO10414" s="43"/>
    </row>
    <row r="10415" spans="65:67" ht="18.75" customHeight="1">
      <c r="BM10415" s="1025"/>
      <c r="BO10415" s="43"/>
    </row>
    <row r="10416" spans="65:67" ht="18.75" customHeight="1">
      <c r="BM10416" s="1025"/>
      <c r="BO10416" s="43"/>
    </row>
    <row r="10417" spans="65:67" ht="18.75" customHeight="1">
      <c r="BM10417" s="1025"/>
      <c r="BO10417" s="43"/>
    </row>
    <row r="10418" spans="65:67" ht="18.75" customHeight="1">
      <c r="BM10418" s="1025"/>
      <c r="BO10418" s="43"/>
    </row>
    <row r="10419" spans="65:67" ht="18.75" customHeight="1">
      <c r="BM10419" s="1025"/>
      <c r="BO10419" s="43"/>
    </row>
    <row r="10420" spans="65:67" ht="18.75" customHeight="1">
      <c r="BM10420" s="1025"/>
      <c r="BO10420" s="43"/>
    </row>
    <row r="10421" spans="65:67" ht="18.75" customHeight="1">
      <c r="BM10421" s="1025"/>
      <c r="BO10421" s="43"/>
    </row>
    <row r="10422" spans="65:67" ht="18.75" customHeight="1">
      <c r="BM10422" s="1025"/>
      <c r="BO10422" s="43"/>
    </row>
    <row r="10423" spans="65:67" ht="18.75" customHeight="1">
      <c r="BM10423" s="1025"/>
      <c r="BO10423" s="43"/>
    </row>
    <row r="10424" spans="65:67" ht="18.75" customHeight="1">
      <c r="BM10424" s="1025"/>
      <c r="BO10424" s="43"/>
    </row>
    <row r="10425" spans="65:67" ht="18.75" customHeight="1">
      <c r="BM10425" s="1025"/>
      <c r="BO10425" s="43"/>
    </row>
    <row r="10426" spans="65:67" ht="18.75" customHeight="1">
      <c r="BM10426" s="1025"/>
      <c r="BO10426" s="43"/>
    </row>
    <row r="10427" spans="65:67" ht="18.75" customHeight="1">
      <c r="BM10427" s="1025"/>
      <c r="BO10427" s="43"/>
    </row>
    <row r="10428" spans="65:67" ht="18.75" customHeight="1">
      <c r="BM10428" s="1025"/>
      <c r="BO10428" s="43"/>
    </row>
    <row r="10429" spans="65:67" ht="18.75" customHeight="1">
      <c r="BM10429" s="1025"/>
      <c r="BO10429" s="43"/>
    </row>
    <row r="10430" spans="65:67" ht="18.75" customHeight="1">
      <c r="BM10430" s="1025"/>
      <c r="BO10430" s="43"/>
    </row>
    <row r="10431" spans="65:67" ht="18.75" customHeight="1">
      <c r="BM10431" s="1025"/>
      <c r="BO10431" s="43"/>
    </row>
    <row r="10432" spans="65:67" ht="18.75" customHeight="1">
      <c r="BM10432" s="1025"/>
      <c r="BO10432" s="43"/>
    </row>
    <row r="10433" spans="65:67" ht="18.75" customHeight="1">
      <c r="BM10433" s="1025"/>
      <c r="BO10433" s="43"/>
    </row>
    <row r="10434" spans="65:67" ht="18.75" customHeight="1">
      <c r="BM10434" s="1025"/>
      <c r="BO10434" s="43"/>
    </row>
    <row r="10435" spans="65:67" ht="18.75" customHeight="1">
      <c r="BM10435" s="1025"/>
      <c r="BO10435" s="43"/>
    </row>
    <row r="10436" spans="65:67" ht="18.75" customHeight="1">
      <c r="BM10436" s="1025"/>
      <c r="BO10436" s="43"/>
    </row>
    <row r="10437" spans="65:67" ht="18.75" customHeight="1">
      <c r="BM10437" s="1025"/>
      <c r="BO10437" s="43"/>
    </row>
    <row r="10438" spans="65:67" ht="18.75" customHeight="1">
      <c r="BM10438" s="1025"/>
      <c r="BO10438" s="43"/>
    </row>
    <row r="10439" spans="65:67" ht="18.75" customHeight="1">
      <c r="BM10439" s="1025"/>
      <c r="BO10439" s="43"/>
    </row>
    <row r="10440" spans="65:67" ht="18.75" customHeight="1">
      <c r="BM10440" s="1025"/>
      <c r="BO10440" s="43"/>
    </row>
    <row r="10441" spans="65:67" ht="18.75" customHeight="1">
      <c r="BM10441" s="1025"/>
      <c r="BO10441" s="43"/>
    </row>
    <row r="10442" spans="65:67" ht="18.75" customHeight="1">
      <c r="BM10442" s="1025"/>
      <c r="BO10442" s="43"/>
    </row>
    <row r="10443" spans="65:67" ht="18.75" customHeight="1">
      <c r="BM10443" s="1025"/>
      <c r="BO10443" s="43"/>
    </row>
    <row r="10444" spans="65:67" ht="18.75" customHeight="1">
      <c r="BM10444" s="1025"/>
      <c r="BO10444" s="43"/>
    </row>
    <row r="10445" spans="65:67" ht="18.75" customHeight="1">
      <c r="BM10445" s="1025"/>
      <c r="BO10445" s="43"/>
    </row>
    <row r="10446" spans="65:67" ht="18.75" customHeight="1">
      <c r="BM10446" s="1025"/>
      <c r="BO10446" s="43"/>
    </row>
    <row r="10447" spans="65:67" ht="18.75" customHeight="1">
      <c r="BM10447" s="1025"/>
      <c r="BO10447" s="43"/>
    </row>
    <row r="10448" spans="65:67" ht="18.75" customHeight="1">
      <c r="BM10448" s="1025"/>
      <c r="BO10448" s="43"/>
    </row>
    <row r="10449" spans="65:67" ht="18.75" customHeight="1">
      <c r="BM10449" s="1025"/>
      <c r="BO10449" s="43"/>
    </row>
    <row r="10450" spans="65:67" ht="18.75" customHeight="1">
      <c r="BM10450" s="1025"/>
      <c r="BO10450" s="43"/>
    </row>
    <row r="10451" spans="65:67" ht="18.75" customHeight="1">
      <c r="BM10451" s="1025"/>
      <c r="BO10451" s="43"/>
    </row>
    <row r="10452" spans="65:67" ht="18.75" customHeight="1">
      <c r="BM10452" s="1025"/>
      <c r="BO10452" s="43"/>
    </row>
    <row r="10453" spans="65:67" ht="18.75" customHeight="1">
      <c r="BM10453" s="1025"/>
      <c r="BO10453" s="43"/>
    </row>
    <row r="10454" spans="65:67" ht="18.75" customHeight="1">
      <c r="BM10454" s="1025"/>
      <c r="BO10454" s="43"/>
    </row>
    <row r="10455" spans="65:67" ht="18.75" customHeight="1">
      <c r="BM10455" s="1025"/>
      <c r="BO10455" s="43"/>
    </row>
    <row r="10456" spans="65:67" ht="18.75" customHeight="1">
      <c r="BM10456" s="1025"/>
      <c r="BO10456" s="43"/>
    </row>
    <row r="10457" spans="65:67" ht="18.75" customHeight="1">
      <c r="BM10457" s="1025"/>
      <c r="BO10457" s="43"/>
    </row>
    <row r="10458" spans="65:67" ht="18.75" customHeight="1">
      <c r="BM10458" s="1025"/>
      <c r="BO10458" s="43"/>
    </row>
    <row r="10459" spans="65:67" ht="18.75" customHeight="1">
      <c r="BM10459" s="1025"/>
      <c r="BO10459" s="43"/>
    </row>
    <row r="10460" spans="65:67" ht="18.75" customHeight="1">
      <c r="BM10460" s="1025"/>
      <c r="BO10460" s="43"/>
    </row>
    <row r="10461" spans="65:67" ht="18.75" customHeight="1">
      <c r="BM10461" s="1025"/>
      <c r="BO10461" s="43"/>
    </row>
    <row r="10462" spans="65:67" ht="18.75" customHeight="1">
      <c r="BM10462" s="1025"/>
      <c r="BO10462" s="43"/>
    </row>
    <row r="10463" spans="65:67" ht="18.75" customHeight="1">
      <c r="BM10463" s="1025"/>
      <c r="BO10463" s="43"/>
    </row>
    <row r="10464" spans="65:67" ht="18.75" customHeight="1">
      <c r="BM10464" s="1025"/>
      <c r="BO10464" s="43"/>
    </row>
    <row r="10465" spans="65:67" ht="18.75" customHeight="1">
      <c r="BM10465" s="1025"/>
      <c r="BO10465" s="43"/>
    </row>
    <row r="10466" spans="65:67" ht="18.75" customHeight="1">
      <c r="BM10466" s="1025"/>
      <c r="BO10466" s="43"/>
    </row>
    <row r="10467" spans="65:67" ht="18.75" customHeight="1">
      <c r="BM10467" s="1025"/>
      <c r="BO10467" s="43"/>
    </row>
    <row r="10468" spans="65:67" ht="18.75" customHeight="1">
      <c r="BM10468" s="1025"/>
      <c r="BO10468" s="43"/>
    </row>
    <row r="10469" spans="65:67" ht="18.75" customHeight="1">
      <c r="BM10469" s="1025"/>
      <c r="BO10469" s="43"/>
    </row>
    <row r="10470" spans="65:67" ht="18.75" customHeight="1">
      <c r="BM10470" s="1025"/>
      <c r="BO10470" s="43"/>
    </row>
    <row r="10471" spans="65:67" ht="18.75" customHeight="1">
      <c r="BM10471" s="1025"/>
      <c r="BO10471" s="43"/>
    </row>
    <row r="10472" spans="65:67" ht="18.75" customHeight="1">
      <c r="BM10472" s="1025"/>
      <c r="BO10472" s="43"/>
    </row>
    <row r="10473" spans="65:67" ht="18.75" customHeight="1">
      <c r="BM10473" s="1025"/>
      <c r="BO10473" s="43"/>
    </row>
    <row r="10474" spans="65:67" ht="18.75" customHeight="1">
      <c r="BM10474" s="1025"/>
      <c r="BO10474" s="43"/>
    </row>
    <row r="10475" spans="65:67" ht="18.75" customHeight="1">
      <c r="BM10475" s="1025"/>
      <c r="BO10475" s="43"/>
    </row>
    <row r="10476" spans="65:67" ht="18.75" customHeight="1">
      <c r="BM10476" s="1025"/>
      <c r="BO10476" s="43"/>
    </row>
    <row r="10477" spans="65:67" ht="18.75" customHeight="1">
      <c r="BM10477" s="1025"/>
      <c r="BO10477" s="43"/>
    </row>
    <row r="10478" spans="65:67" ht="18.75" customHeight="1">
      <c r="BM10478" s="1025"/>
      <c r="BO10478" s="43"/>
    </row>
    <row r="10479" spans="65:67" ht="18.75" customHeight="1">
      <c r="BM10479" s="1025"/>
      <c r="BO10479" s="43"/>
    </row>
    <row r="10480" spans="65:67" ht="18.75" customHeight="1">
      <c r="BM10480" s="1025"/>
      <c r="BO10480" s="43"/>
    </row>
    <row r="10481" spans="65:67" ht="18.75" customHeight="1">
      <c r="BM10481" s="1025"/>
      <c r="BO10481" s="43"/>
    </row>
    <row r="10482" spans="65:67" ht="18.75" customHeight="1">
      <c r="BM10482" s="1025"/>
      <c r="BO10482" s="43"/>
    </row>
    <row r="10483" spans="65:67" ht="18.75" customHeight="1">
      <c r="BM10483" s="1025"/>
      <c r="BO10483" s="43"/>
    </row>
    <row r="10484" spans="65:67" ht="18.75" customHeight="1">
      <c r="BM10484" s="1025"/>
      <c r="BO10484" s="43"/>
    </row>
    <row r="10485" spans="65:67" ht="18.75" customHeight="1">
      <c r="BM10485" s="1025"/>
      <c r="BO10485" s="43"/>
    </row>
    <row r="10486" spans="65:67" ht="18.75" customHeight="1">
      <c r="BM10486" s="1025"/>
      <c r="BO10486" s="43"/>
    </row>
    <row r="10487" spans="65:67" ht="18.75" customHeight="1">
      <c r="BM10487" s="1025"/>
      <c r="BO10487" s="43"/>
    </row>
    <row r="10488" spans="65:67" ht="18.75" customHeight="1">
      <c r="BM10488" s="1025"/>
      <c r="BO10488" s="43"/>
    </row>
    <row r="10489" spans="65:67" ht="18.75" customHeight="1">
      <c r="BM10489" s="1025"/>
      <c r="BO10489" s="43"/>
    </row>
    <row r="10490" spans="65:67" ht="18.75" customHeight="1">
      <c r="BM10490" s="1025"/>
      <c r="BO10490" s="43"/>
    </row>
    <row r="10491" spans="65:67" ht="18.75" customHeight="1">
      <c r="BM10491" s="1025"/>
      <c r="BO10491" s="43"/>
    </row>
    <row r="10492" spans="65:67" ht="18.75" customHeight="1">
      <c r="BM10492" s="1025"/>
      <c r="BO10492" s="43"/>
    </row>
    <row r="10493" spans="65:67" ht="18.75" customHeight="1">
      <c r="BM10493" s="1025"/>
      <c r="BO10493" s="43"/>
    </row>
    <row r="10494" spans="65:67" ht="18.75" customHeight="1">
      <c r="BM10494" s="1025"/>
      <c r="BO10494" s="43"/>
    </row>
    <row r="10495" spans="65:67" ht="18.75" customHeight="1">
      <c r="BM10495" s="1025"/>
      <c r="BO10495" s="43"/>
    </row>
    <row r="10496" spans="65:67" ht="18.75" customHeight="1">
      <c r="BM10496" s="1025"/>
      <c r="BO10496" s="43"/>
    </row>
    <row r="10497" spans="65:67" ht="18.75" customHeight="1">
      <c r="BM10497" s="1025"/>
      <c r="BO10497" s="43"/>
    </row>
    <row r="10498" spans="65:67" ht="18.75" customHeight="1">
      <c r="BM10498" s="1025"/>
      <c r="BO10498" s="43"/>
    </row>
    <row r="10499" spans="65:67" ht="18.75" customHeight="1">
      <c r="BM10499" s="1025"/>
      <c r="BO10499" s="43"/>
    </row>
    <row r="10500" spans="65:67" ht="18.75" customHeight="1">
      <c r="BM10500" s="1025"/>
      <c r="BO10500" s="43"/>
    </row>
    <row r="10501" spans="65:67" ht="18.75" customHeight="1">
      <c r="BM10501" s="1025"/>
      <c r="BO10501" s="43"/>
    </row>
    <row r="10502" spans="65:67" ht="18.75" customHeight="1">
      <c r="BM10502" s="1025"/>
      <c r="BO10502" s="43"/>
    </row>
    <row r="10503" spans="65:67" ht="18.75" customHeight="1">
      <c r="BM10503" s="1025"/>
      <c r="BO10503" s="43"/>
    </row>
    <row r="10504" spans="65:67" ht="18.75" customHeight="1">
      <c r="BM10504" s="1025"/>
      <c r="BO10504" s="43"/>
    </row>
    <row r="10505" spans="65:67" ht="18.75" customHeight="1">
      <c r="BM10505" s="1025"/>
      <c r="BO10505" s="43"/>
    </row>
    <row r="10506" spans="65:67" ht="18.75" customHeight="1">
      <c r="BM10506" s="1025"/>
      <c r="BO10506" s="43"/>
    </row>
    <row r="10507" spans="65:67" ht="18.75" customHeight="1">
      <c r="BM10507" s="1025"/>
      <c r="BO10507" s="43"/>
    </row>
    <row r="10508" spans="65:67" ht="18.75" customHeight="1">
      <c r="BM10508" s="1025"/>
      <c r="BO10508" s="43"/>
    </row>
    <row r="10509" spans="65:67" ht="18.75" customHeight="1">
      <c r="BM10509" s="1025"/>
      <c r="BO10509" s="43"/>
    </row>
    <row r="10510" spans="65:67" ht="18.75" customHeight="1">
      <c r="BM10510" s="1025"/>
      <c r="BO10510" s="43"/>
    </row>
    <row r="10511" spans="65:67" ht="18.75" customHeight="1">
      <c r="BM10511" s="1025"/>
      <c r="BO10511" s="43"/>
    </row>
    <row r="10512" spans="65:67" ht="18.75" customHeight="1">
      <c r="BM10512" s="1025"/>
      <c r="BO10512" s="43"/>
    </row>
    <row r="10513" spans="65:67" ht="18.75" customHeight="1">
      <c r="BM10513" s="1025"/>
      <c r="BO10513" s="43"/>
    </row>
    <row r="10514" spans="65:67" ht="18.75" customHeight="1">
      <c r="BM10514" s="1025"/>
      <c r="BO10514" s="43"/>
    </row>
    <row r="10515" spans="65:67" ht="18.75" customHeight="1">
      <c r="BM10515" s="1025"/>
      <c r="BO10515" s="43"/>
    </row>
    <row r="10516" spans="65:67" ht="18.75" customHeight="1">
      <c r="BM10516" s="1025"/>
      <c r="BO10516" s="43"/>
    </row>
    <row r="10517" spans="65:67" ht="18.75" customHeight="1">
      <c r="BM10517" s="1025"/>
      <c r="BO10517" s="43"/>
    </row>
    <row r="10518" spans="65:67" ht="18.75" customHeight="1">
      <c r="BM10518" s="1025"/>
      <c r="BO10518" s="43"/>
    </row>
    <row r="10519" spans="65:67" ht="18.75" customHeight="1">
      <c r="BM10519" s="1025"/>
      <c r="BO10519" s="43"/>
    </row>
    <row r="10520" spans="65:67" ht="18.75" customHeight="1">
      <c r="BM10520" s="1025"/>
      <c r="BO10520" s="43"/>
    </row>
    <row r="10521" spans="65:67" ht="18.75" customHeight="1">
      <c r="BM10521" s="1025"/>
      <c r="BO10521" s="43"/>
    </row>
    <row r="10522" spans="65:67" ht="18.75" customHeight="1">
      <c r="BM10522" s="1025"/>
      <c r="BO10522" s="43"/>
    </row>
    <row r="10523" spans="65:67" ht="18.75" customHeight="1">
      <c r="BM10523" s="1025"/>
      <c r="BO10523" s="43"/>
    </row>
    <row r="10524" spans="65:67" ht="18.75" customHeight="1">
      <c r="BM10524" s="1025"/>
      <c r="BO10524" s="43"/>
    </row>
    <row r="10525" spans="65:67" ht="18.75" customHeight="1">
      <c r="BM10525" s="1025"/>
      <c r="BO10525" s="43"/>
    </row>
    <row r="10526" spans="65:67" ht="18.75" customHeight="1">
      <c r="BM10526" s="1025"/>
      <c r="BO10526" s="43"/>
    </row>
    <row r="10527" spans="65:67" ht="18.75" customHeight="1">
      <c r="BM10527" s="1025"/>
      <c r="BO10527" s="43"/>
    </row>
    <row r="10528" spans="65:67" ht="18.75" customHeight="1">
      <c r="BM10528" s="1025"/>
      <c r="BO10528" s="43"/>
    </row>
    <row r="10529" spans="65:67" ht="18.75" customHeight="1">
      <c r="BM10529" s="1025"/>
      <c r="BO10529" s="43"/>
    </row>
    <row r="10530" spans="65:67" ht="18.75" customHeight="1">
      <c r="BM10530" s="1025"/>
      <c r="BO10530" s="43"/>
    </row>
    <row r="10531" spans="65:67" ht="18.75" customHeight="1">
      <c r="BM10531" s="1025"/>
      <c r="BO10531" s="43"/>
    </row>
    <row r="10532" spans="65:67" ht="18.75" customHeight="1">
      <c r="BM10532" s="1025"/>
      <c r="BO10532" s="43"/>
    </row>
    <row r="10533" spans="65:67" ht="18.75" customHeight="1">
      <c r="BM10533" s="1025"/>
      <c r="BO10533" s="43"/>
    </row>
    <row r="10534" spans="65:67" ht="18.75" customHeight="1">
      <c r="BM10534" s="1025"/>
      <c r="BO10534" s="43"/>
    </row>
    <row r="10535" spans="65:67" ht="18.75" customHeight="1">
      <c r="BM10535" s="1025"/>
      <c r="BO10535" s="43"/>
    </row>
    <row r="10536" spans="65:67" ht="18.75" customHeight="1">
      <c r="BM10536" s="1025"/>
      <c r="BO10536" s="43"/>
    </row>
    <row r="10537" spans="65:67" ht="18.75" customHeight="1">
      <c r="BM10537" s="1025"/>
      <c r="BO10537" s="43"/>
    </row>
    <row r="10538" spans="65:67" ht="18.75" customHeight="1">
      <c r="BM10538" s="1025"/>
      <c r="BO10538" s="43"/>
    </row>
    <row r="10539" spans="65:67" ht="18.75" customHeight="1">
      <c r="BM10539" s="1025"/>
      <c r="BO10539" s="43"/>
    </row>
    <row r="10540" spans="65:67" ht="18.75" customHeight="1">
      <c r="BM10540" s="1025"/>
      <c r="BO10540" s="43"/>
    </row>
    <row r="10541" spans="65:67" ht="18.75" customHeight="1">
      <c r="BM10541" s="1025"/>
      <c r="BO10541" s="43"/>
    </row>
    <row r="10542" spans="65:67" ht="18.75" customHeight="1">
      <c r="BM10542" s="1025"/>
      <c r="BO10542" s="43"/>
    </row>
    <row r="10543" spans="65:67" ht="18.75" customHeight="1">
      <c r="BM10543" s="1025"/>
      <c r="BO10543" s="43"/>
    </row>
    <row r="10544" spans="65:67" ht="18.75" customHeight="1">
      <c r="BM10544" s="1025"/>
      <c r="BO10544" s="43"/>
    </row>
    <row r="10545" spans="65:67" ht="18.75" customHeight="1">
      <c r="BM10545" s="1025"/>
      <c r="BO10545" s="43"/>
    </row>
    <row r="10546" spans="65:67" ht="18.75" customHeight="1">
      <c r="BM10546" s="1025"/>
      <c r="BO10546" s="43"/>
    </row>
    <row r="10547" spans="65:67" ht="18.75" customHeight="1">
      <c r="BM10547" s="1025"/>
      <c r="BO10547" s="43"/>
    </row>
    <row r="10548" spans="65:67" ht="18.75" customHeight="1">
      <c r="BM10548" s="1025"/>
      <c r="BO10548" s="43"/>
    </row>
    <row r="10549" spans="65:67" ht="18.75" customHeight="1">
      <c r="BM10549" s="1025"/>
      <c r="BO10549" s="43"/>
    </row>
    <row r="10550" spans="65:67" ht="18.75" customHeight="1">
      <c r="BM10550" s="1025"/>
      <c r="BO10550" s="43"/>
    </row>
    <row r="10551" spans="65:67" ht="18.75" customHeight="1">
      <c r="BM10551" s="1025"/>
      <c r="BO10551" s="43"/>
    </row>
    <row r="10552" spans="65:67" ht="18.75" customHeight="1">
      <c r="BM10552" s="1025"/>
      <c r="BO10552" s="43"/>
    </row>
    <row r="10553" spans="65:67" ht="18.75" customHeight="1">
      <c r="BM10553" s="1025"/>
      <c r="BO10553" s="43"/>
    </row>
    <row r="10554" spans="65:67" ht="18.75" customHeight="1">
      <c r="BM10554" s="1025"/>
      <c r="BO10554" s="43"/>
    </row>
    <row r="10555" spans="65:67" ht="18.75" customHeight="1">
      <c r="BM10555" s="1025"/>
      <c r="BO10555" s="43"/>
    </row>
    <row r="10556" spans="65:67" ht="18.75" customHeight="1">
      <c r="BM10556" s="1025"/>
      <c r="BO10556" s="43"/>
    </row>
    <row r="10557" spans="65:67" ht="18.75" customHeight="1">
      <c r="BM10557" s="1025"/>
      <c r="BO10557" s="43"/>
    </row>
    <row r="10558" spans="65:67" ht="18.75" customHeight="1">
      <c r="BM10558" s="1025"/>
      <c r="BO10558" s="43"/>
    </row>
    <row r="10559" spans="65:67" ht="18.75" customHeight="1">
      <c r="BM10559" s="1025"/>
      <c r="BO10559" s="43"/>
    </row>
    <row r="10560" spans="65:67" ht="18.75" customHeight="1">
      <c r="BM10560" s="1025"/>
      <c r="BO10560" s="43"/>
    </row>
    <row r="10561" spans="65:67" ht="18.75" customHeight="1">
      <c r="BM10561" s="1025"/>
      <c r="BO10561" s="43"/>
    </row>
    <row r="10562" spans="65:67" ht="18.75" customHeight="1">
      <c r="BM10562" s="1025"/>
      <c r="BO10562" s="43"/>
    </row>
    <row r="10563" spans="65:67" ht="18.75" customHeight="1">
      <c r="BM10563" s="1025"/>
      <c r="BO10563" s="43"/>
    </row>
    <row r="10564" spans="65:67" ht="18.75" customHeight="1">
      <c r="BM10564" s="1025"/>
      <c r="BO10564" s="43"/>
    </row>
    <row r="10565" spans="65:67" ht="18.75" customHeight="1">
      <c r="BM10565" s="1025"/>
      <c r="BO10565" s="43"/>
    </row>
    <row r="10566" spans="65:67" ht="18.75" customHeight="1">
      <c r="BM10566" s="1025"/>
      <c r="BO10566" s="43"/>
    </row>
    <row r="10567" spans="65:67" ht="18.75" customHeight="1">
      <c r="BM10567" s="1025"/>
      <c r="BO10567" s="43"/>
    </row>
    <row r="10568" spans="65:67" ht="18.75" customHeight="1">
      <c r="BM10568" s="1025"/>
      <c r="BO10568" s="43"/>
    </row>
    <row r="10569" spans="65:67" ht="18.75" customHeight="1">
      <c r="BM10569" s="1025"/>
      <c r="BO10569" s="43"/>
    </row>
    <row r="10570" spans="65:67" ht="18.75" customHeight="1">
      <c r="BM10570" s="1025"/>
      <c r="BO10570" s="43"/>
    </row>
    <row r="10571" spans="65:67" ht="18.75" customHeight="1">
      <c r="BM10571" s="1025"/>
      <c r="BO10571" s="43"/>
    </row>
    <row r="10572" spans="65:67" ht="18.75" customHeight="1">
      <c r="BM10572" s="1025"/>
      <c r="BO10572" s="43"/>
    </row>
    <row r="10573" spans="65:67" ht="18.75" customHeight="1">
      <c r="BM10573" s="1025"/>
      <c r="BO10573" s="43"/>
    </row>
    <row r="10574" spans="65:67" ht="18.75" customHeight="1">
      <c r="BM10574" s="1025"/>
      <c r="BO10574" s="43"/>
    </row>
    <row r="10575" spans="65:67" ht="18.75" customHeight="1">
      <c r="BM10575" s="1025"/>
      <c r="BO10575" s="43"/>
    </row>
    <row r="10576" spans="65:67" ht="18.75" customHeight="1">
      <c r="BM10576" s="1025"/>
      <c r="BO10576" s="43"/>
    </row>
    <row r="10577" spans="65:67" ht="18.75" customHeight="1">
      <c r="BM10577" s="1025"/>
      <c r="BO10577" s="43"/>
    </row>
    <row r="10578" spans="65:67" ht="18.75" customHeight="1">
      <c r="BM10578" s="1025"/>
      <c r="BO10578" s="43"/>
    </row>
    <row r="10579" spans="65:67" ht="18.75" customHeight="1">
      <c r="BM10579" s="1025"/>
      <c r="BO10579" s="43"/>
    </row>
    <row r="10580" spans="65:67" ht="18.75" customHeight="1">
      <c r="BM10580" s="1025"/>
      <c r="BO10580" s="43"/>
    </row>
    <row r="10581" spans="65:67" ht="18.75" customHeight="1">
      <c r="BM10581" s="1025"/>
      <c r="BO10581" s="43"/>
    </row>
    <row r="10582" spans="65:67" ht="18.75" customHeight="1">
      <c r="BM10582" s="1025"/>
      <c r="BO10582" s="43"/>
    </row>
    <row r="10583" spans="65:67" ht="18.75" customHeight="1">
      <c r="BM10583" s="1025"/>
      <c r="BO10583" s="43"/>
    </row>
    <row r="10584" spans="65:67" ht="18.75" customHeight="1">
      <c r="BM10584" s="1025"/>
      <c r="BO10584" s="43"/>
    </row>
    <row r="10585" spans="65:67" ht="18.75" customHeight="1">
      <c r="BM10585" s="1025"/>
      <c r="BO10585" s="43"/>
    </row>
    <row r="10586" spans="65:67" ht="18.75" customHeight="1">
      <c r="BM10586" s="1025"/>
      <c r="BO10586" s="43"/>
    </row>
    <row r="10587" spans="65:67" ht="18.75" customHeight="1">
      <c r="BM10587" s="1025"/>
      <c r="BO10587" s="43"/>
    </row>
    <row r="10588" spans="65:67" ht="18.75" customHeight="1">
      <c r="BM10588" s="1025"/>
      <c r="BO10588" s="43"/>
    </row>
    <row r="10589" spans="65:67" ht="18.75" customHeight="1">
      <c r="BM10589" s="1025"/>
      <c r="BO10589" s="43"/>
    </row>
    <row r="10590" spans="65:67" ht="18.75" customHeight="1">
      <c r="BM10590" s="1025"/>
      <c r="BO10590" s="43"/>
    </row>
    <row r="10591" spans="65:67" ht="18.75" customHeight="1">
      <c r="BM10591" s="1025"/>
      <c r="BO10591" s="43"/>
    </row>
    <row r="10592" spans="65:67" ht="18.75" customHeight="1">
      <c r="BM10592" s="1025"/>
      <c r="BO10592" s="43"/>
    </row>
    <row r="10593" spans="65:67" ht="18.75" customHeight="1">
      <c r="BM10593" s="1025"/>
      <c r="BO10593" s="43"/>
    </row>
    <row r="10594" spans="65:67" ht="18.75" customHeight="1">
      <c r="BM10594" s="1025"/>
      <c r="BO10594" s="43"/>
    </row>
    <row r="10595" spans="65:67" ht="18.75" customHeight="1">
      <c r="BM10595" s="1025"/>
      <c r="BO10595" s="43"/>
    </row>
    <row r="10596" spans="65:67" ht="18.75" customHeight="1">
      <c r="BM10596" s="1025"/>
      <c r="BO10596" s="43"/>
    </row>
    <row r="10597" spans="65:67" ht="18.75" customHeight="1">
      <c r="BM10597" s="1025"/>
      <c r="BO10597" s="43"/>
    </row>
    <row r="10598" spans="65:67" ht="18.75" customHeight="1">
      <c r="BM10598" s="1025"/>
      <c r="BO10598" s="43"/>
    </row>
    <row r="10599" spans="65:67" ht="18.75" customHeight="1">
      <c r="BM10599" s="1025"/>
      <c r="BO10599" s="43"/>
    </row>
    <row r="10600" spans="65:67" ht="18.75" customHeight="1">
      <c r="BM10600" s="1025"/>
      <c r="BO10600" s="43"/>
    </row>
    <row r="10601" spans="65:67" ht="18.75" customHeight="1">
      <c r="BM10601" s="1025"/>
      <c r="BO10601" s="43"/>
    </row>
    <row r="10602" spans="65:67" ht="18.75" customHeight="1">
      <c r="BM10602" s="1025"/>
      <c r="BO10602" s="43"/>
    </row>
    <row r="10603" spans="65:67" ht="18.75" customHeight="1">
      <c r="BM10603" s="1025"/>
      <c r="BO10603" s="43"/>
    </row>
    <row r="10604" spans="65:67" ht="18.75" customHeight="1">
      <c r="BM10604" s="1025"/>
      <c r="BO10604" s="43"/>
    </row>
    <row r="10605" spans="65:67" ht="18.75" customHeight="1">
      <c r="BM10605" s="1025"/>
      <c r="BO10605" s="43"/>
    </row>
    <row r="10606" spans="65:67" ht="18.75" customHeight="1">
      <c r="BM10606" s="1025"/>
      <c r="BO10606" s="43"/>
    </row>
    <row r="10607" spans="65:67" ht="18.75" customHeight="1">
      <c r="BM10607" s="1025"/>
      <c r="BO10607" s="43"/>
    </row>
    <row r="10608" spans="65:67" ht="18.75" customHeight="1">
      <c r="BM10608" s="1025"/>
      <c r="BO10608" s="43"/>
    </row>
    <row r="10609" spans="65:67" ht="18.75" customHeight="1">
      <c r="BM10609" s="1025"/>
      <c r="BO10609" s="43"/>
    </row>
    <row r="10610" spans="65:67" ht="18.75" customHeight="1">
      <c r="BM10610" s="1025"/>
      <c r="BO10610" s="43"/>
    </row>
    <row r="10611" spans="65:67" ht="18.75" customHeight="1">
      <c r="BM10611" s="1025"/>
      <c r="BO10611" s="43"/>
    </row>
    <row r="10612" spans="65:67" ht="18.75" customHeight="1">
      <c r="BM10612" s="1025"/>
      <c r="BO10612" s="43"/>
    </row>
    <row r="10613" spans="65:67" ht="18.75" customHeight="1">
      <c r="BM10613" s="1025"/>
      <c r="BO10613" s="43"/>
    </row>
    <row r="10614" spans="65:67" ht="18.75" customHeight="1">
      <c r="BM10614" s="1025"/>
      <c r="BO10614" s="43"/>
    </row>
    <row r="10615" spans="65:67" ht="18.75" customHeight="1">
      <c r="BM10615" s="1025"/>
      <c r="BO10615" s="43"/>
    </row>
    <row r="10616" spans="65:67" ht="18.75" customHeight="1">
      <c r="BM10616" s="1025"/>
      <c r="BO10616" s="43"/>
    </row>
    <row r="10617" spans="65:67" ht="18.75" customHeight="1">
      <c r="BM10617" s="1025"/>
      <c r="BO10617" s="43"/>
    </row>
    <row r="10618" spans="65:67" ht="18.75" customHeight="1">
      <c r="BM10618" s="1025"/>
      <c r="BO10618" s="43"/>
    </row>
    <row r="10619" spans="65:67" ht="18.75" customHeight="1">
      <c r="BM10619" s="1025"/>
      <c r="BO10619" s="43"/>
    </row>
    <row r="10620" spans="65:67" ht="18.75" customHeight="1">
      <c r="BM10620" s="1025"/>
      <c r="BO10620" s="43"/>
    </row>
    <row r="10621" spans="65:67" ht="18.75" customHeight="1">
      <c r="BM10621" s="1025"/>
      <c r="BO10621" s="43"/>
    </row>
    <row r="10622" spans="65:67" ht="18.75" customHeight="1">
      <c r="BM10622" s="1025"/>
      <c r="BO10622" s="43"/>
    </row>
    <row r="10623" spans="65:67" ht="18.75" customHeight="1">
      <c r="BM10623" s="1025"/>
      <c r="BO10623" s="43"/>
    </row>
    <row r="10624" spans="65:67" ht="18.75" customHeight="1">
      <c r="BM10624" s="1025"/>
      <c r="BO10624" s="43"/>
    </row>
    <row r="10625" spans="65:67" ht="18.75" customHeight="1">
      <c r="BM10625" s="1025"/>
      <c r="BO10625" s="43"/>
    </row>
    <row r="10626" spans="65:67" ht="18.75" customHeight="1">
      <c r="BM10626" s="1025"/>
      <c r="BO10626" s="43"/>
    </row>
    <row r="10627" spans="65:67" ht="18.75" customHeight="1">
      <c r="BM10627" s="1025"/>
      <c r="BO10627" s="43"/>
    </row>
    <row r="10628" spans="65:67" ht="18.75" customHeight="1">
      <c r="BM10628" s="1025"/>
      <c r="BO10628" s="43"/>
    </row>
    <row r="10629" spans="65:67" ht="18.75" customHeight="1">
      <c r="BM10629" s="1025"/>
      <c r="BO10629" s="43"/>
    </row>
    <row r="10630" spans="65:67" ht="18.75" customHeight="1">
      <c r="BM10630" s="1025"/>
      <c r="BO10630" s="43"/>
    </row>
    <row r="10631" spans="65:67" ht="18.75" customHeight="1">
      <c r="BM10631" s="1025"/>
      <c r="BO10631" s="43"/>
    </row>
    <row r="10632" spans="65:67" ht="18.75" customHeight="1">
      <c r="BM10632" s="1025"/>
      <c r="BO10632" s="43"/>
    </row>
    <row r="10633" spans="65:67" ht="18.75" customHeight="1">
      <c r="BM10633" s="1025"/>
      <c r="BO10633" s="43"/>
    </row>
    <row r="10634" spans="65:67" ht="18.75" customHeight="1">
      <c r="BM10634" s="1025"/>
      <c r="BO10634" s="43"/>
    </row>
    <row r="10635" spans="65:67" ht="18.75" customHeight="1">
      <c r="BM10635" s="1025"/>
      <c r="BO10635" s="43"/>
    </row>
    <row r="10636" spans="65:67" ht="18.75" customHeight="1">
      <c r="BM10636" s="1025"/>
      <c r="BO10636" s="43"/>
    </row>
    <row r="10637" spans="65:67" ht="18.75" customHeight="1">
      <c r="BM10637" s="1025"/>
      <c r="BO10637" s="43"/>
    </row>
    <row r="10638" spans="65:67" ht="18.75" customHeight="1">
      <c r="BM10638" s="1025"/>
      <c r="BO10638" s="43"/>
    </row>
    <row r="10639" spans="65:67" ht="18.75" customHeight="1">
      <c r="BM10639" s="1025"/>
      <c r="BO10639" s="43"/>
    </row>
    <row r="10640" spans="65:67" ht="18.75" customHeight="1">
      <c r="BM10640" s="1025"/>
      <c r="BO10640" s="43"/>
    </row>
    <row r="10641" spans="65:67" ht="18.75" customHeight="1">
      <c r="BM10641" s="1025"/>
      <c r="BO10641" s="43"/>
    </row>
    <row r="10642" spans="65:67" ht="18.75" customHeight="1">
      <c r="BM10642" s="1025"/>
      <c r="BO10642" s="43"/>
    </row>
    <row r="10643" spans="65:67" ht="18.75" customHeight="1">
      <c r="BM10643" s="1025"/>
      <c r="BO10643" s="43"/>
    </row>
    <row r="10644" spans="65:67" ht="18.75" customHeight="1">
      <c r="BM10644" s="1025"/>
      <c r="BO10644" s="43"/>
    </row>
    <row r="10645" spans="65:67" ht="18.75" customHeight="1">
      <c r="BM10645" s="1025"/>
      <c r="BO10645" s="43"/>
    </row>
    <row r="10646" spans="65:67" ht="18.75" customHeight="1">
      <c r="BM10646" s="1025"/>
      <c r="BO10646" s="43"/>
    </row>
    <row r="10647" spans="65:67" ht="18.75" customHeight="1">
      <c r="BM10647" s="1025"/>
      <c r="BO10647" s="43"/>
    </row>
    <row r="10648" spans="65:67" ht="18.75" customHeight="1">
      <c r="BM10648" s="1025"/>
      <c r="BO10648" s="43"/>
    </row>
    <row r="10649" spans="65:67" ht="18.75" customHeight="1">
      <c r="BM10649" s="1025"/>
      <c r="BO10649" s="43"/>
    </row>
    <row r="10650" spans="65:67" ht="18.75" customHeight="1">
      <c r="BM10650" s="1025"/>
      <c r="BO10650" s="43"/>
    </row>
    <row r="10651" spans="65:67" ht="18.75" customHeight="1">
      <c r="BM10651" s="1025"/>
      <c r="BO10651" s="43"/>
    </row>
    <row r="10652" spans="65:67" ht="18.75" customHeight="1">
      <c r="BM10652" s="1025"/>
      <c r="BO10652" s="43"/>
    </row>
    <row r="10653" spans="65:67" ht="18.75" customHeight="1">
      <c r="BM10653" s="1025"/>
      <c r="BO10653" s="43"/>
    </row>
    <row r="10654" spans="65:67" ht="18.75" customHeight="1">
      <c r="BM10654" s="1025"/>
      <c r="BO10654" s="43"/>
    </row>
    <row r="10655" spans="65:67" ht="18.75" customHeight="1">
      <c r="BM10655" s="1025"/>
      <c r="BO10655" s="43"/>
    </row>
    <row r="10656" spans="65:67" ht="18.75" customHeight="1">
      <c r="BM10656" s="1025"/>
      <c r="BO10656" s="43"/>
    </row>
    <row r="10657" spans="65:67" ht="18.75" customHeight="1">
      <c r="BM10657" s="1025"/>
      <c r="BO10657" s="43"/>
    </row>
    <row r="10658" spans="65:67" ht="18.75" customHeight="1">
      <c r="BM10658" s="1025"/>
      <c r="BO10658" s="43"/>
    </row>
    <row r="10659" spans="65:67" ht="18.75" customHeight="1">
      <c r="BM10659" s="1025"/>
      <c r="BO10659" s="43"/>
    </row>
    <row r="10660" spans="65:67" ht="18.75" customHeight="1">
      <c r="BM10660" s="1025"/>
      <c r="BO10660" s="43"/>
    </row>
    <row r="10661" spans="65:67" ht="18.75" customHeight="1">
      <c r="BM10661" s="1025"/>
      <c r="BO10661" s="43"/>
    </row>
    <row r="10662" spans="65:67" ht="18.75" customHeight="1">
      <c r="BM10662" s="1025"/>
      <c r="BO10662" s="43"/>
    </row>
    <row r="10663" spans="65:67" ht="18.75" customHeight="1">
      <c r="BM10663" s="1025"/>
      <c r="BO10663" s="43"/>
    </row>
    <row r="10664" spans="65:67" ht="18.75" customHeight="1">
      <c r="BM10664" s="1025"/>
      <c r="BO10664" s="43"/>
    </row>
    <row r="10665" spans="65:67" ht="18.75" customHeight="1">
      <c r="BM10665" s="1025"/>
      <c r="BO10665" s="43"/>
    </row>
    <row r="10666" spans="65:67" ht="18.75" customHeight="1">
      <c r="BM10666" s="1025"/>
      <c r="BO10666" s="43"/>
    </row>
    <row r="10667" spans="65:67" ht="18.75" customHeight="1">
      <c r="BM10667" s="1025"/>
      <c r="BO10667" s="43"/>
    </row>
    <row r="10668" spans="65:67" ht="18.75" customHeight="1">
      <c r="BM10668" s="1025"/>
      <c r="BO10668" s="43"/>
    </row>
    <row r="10669" spans="65:67" ht="18.75" customHeight="1">
      <c r="BM10669" s="1025"/>
      <c r="BO10669" s="43"/>
    </row>
    <row r="10670" spans="65:67" ht="18.75" customHeight="1">
      <c r="BM10670" s="1025"/>
      <c r="BO10670" s="43"/>
    </row>
    <row r="10671" spans="65:67" ht="18.75" customHeight="1">
      <c r="BM10671" s="1025"/>
      <c r="BO10671" s="43"/>
    </row>
    <row r="10672" spans="65:67" ht="18.75" customHeight="1">
      <c r="BM10672" s="1025"/>
      <c r="BO10672" s="43"/>
    </row>
    <row r="10673" spans="65:67" ht="18.75" customHeight="1">
      <c r="BM10673" s="1025"/>
      <c r="BO10673" s="43"/>
    </row>
    <row r="10674" spans="65:67" ht="18.75" customHeight="1">
      <c r="BM10674" s="1025"/>
      <c r="BO10674" s="43"/>
    </row>
    <row r="10675" spans="65:67" ht="18.75" customHeight="1">
      <c r="BM10675" s="1025"/>
      <c r="BO10675" s="43"/>
    </row>
    <row r="10676" spans="65:67" ht="18.75" customHeight="1">
      <c r="BM10676" s="1025"/>
      <c r="BO10676" s="43"/>
    </row>
    <row r="10677" spans="65:67" ht="18.75" customHeight="1">
      <c r="BM10677" s="1025"/>
      <c r="BO10677" s="43"/>
    </row>
    <row r="10678" spans="65:67" ht="18.75" customHeight="1">
      <c r="BM10678" s="1025"/>
      <c r="BO10678" s="43"/>
    </row>
    <row r="10679" spans="65:67" ht="18.75" customHeight="1">
      <c r="BM10679" s="1025"/>
      <c r="BO10679" s="43"/>
    </row>
    <row r="10680" spans="65:67" ht="18.75" customHeight="1">
      <c r="BM10680" s="1025"/>
      <c r="BO10680" s="43"/>
    </row>
    <row r="10681" spans="65:67" ht="18.75" customHeight="1">
      <c r="BM10681" s="1025"/>
      <c r="BO10681" s="43"/>
    </row>
    <row r="10682" spans="65:67" ht="18.75" customHeight="1">
      <c r="BM10682" s="1025"/>
      <c r="BO10682" s="43"/>
    </row>
    <row r="10683" spans="65:67" ht="18.75" customHeight="1">
      <c r="BM10683" s="1025"/>
      <c r="BO10683" s="43"/>
    </row>
    <row r="10684" spans="65:67" ht="18.75" customHeight="1">
      <c r="BM10684" s="1025"/>
      <c r="BO10684" s="43"/>
    </row>
    <row r="10685" spans="65:67" ht="18.75" customHeight="1">
      <c r="BM10685" s="1025"/>
      <c r="BO10685" s="43"/>
    </row>
    <row r="10686" spans="65:67" ht="18.75" customHeight="1">
      <c r="BM10686" s="1025"/>
      <c r="BO10686" s="43"/>
    </row>
    <row r="10687" spans="65:67" ht="18.75" customHeight="1">
      <c r="BM10687" s="1025"/>
      <c r="BO10687" s="43"/>
    </row>
    <row r="10688" spans="65:67" ht="18.75" customHeight="1">
      <c r="BM10688" s="1025"/>
      <c r="BO10688" s="43"/>
    </row>
    <row r="10689" spans="65:67" ht="18.75" customHeight="1">
      <c r="BM10689" s="1025"/>
      <c r="BO10689" s="43"/>
    </row>
    <row r="10690" spans="65:67" ht="18.75" customHeight="1">
      <c r="BM10690" s="1025"/>
      <c r="BO10690" s="43"/>
    </row>
    <row r="10691" spans="65:67" ht="18.75" customHeight="1">
      <c r="BM10691" s="1025"/>
      <c r="BO10691" s="43"/>
    </row>
    <row r="10692" spans="65:67" ht="18.75" customHeight="1">
      <c r="BM10692" s="1025"/>
      <c r="BO10692" s="43"/>
    </row>
    <row r="10693" spans="65:67" ht="18.75" customHeight="1">
      <c r="BM10693" s="1025"/>
      <c r="BO10693" s="43"/>
    </row>
    <row r="10694" spans="65:67" ht="18.75" customHeight="1">
      <c r="BM10694" s="1025"/>
      <c r="BO10694" s="43"/>
    </row>
    <row r="10695" spans="65:67" ht="18.75" customHeight="1">
      <c r="BM10695" s="1025"/>
      <c r="BO10695" s="43"/>
    </row>
    <row r="10696" spans="65:67" ht="18.75" customHeight="1">
      <c r="BM10696" s="1025"/>
      <c r="BO10696" s="43"/>
    </row>
    <row r="10697" spans="65:67" ht="18.75" customHeight="1">
      <c r="BM10697" s="1025"/>
      <c r="BO10697" s="43"/>
    </row>
    <row r="10698" spans="65:67" ht="18.75" customHeight="1">
      <c r="BM10698" s="1025"/>
      <c r="BO10698" s="43"/>
    </row>
    <row r="10699" spans="65:67" ht="18.75" customHeight="1">
      <c r="BM10699" s="1025"/>
      <c r="BO10699" s="43"/>
    </row>
    <row r="10700" spans="65:67" ht="18.75" customHeight="1">
      <c r="BM10700" s="1025"/>
      <c r="BO10700" s="43"/>
    </row>
    <row r="10701" spans="65:67" ht="18.75" customHeight="1">
      <c r="BM10701" s="1025"/>
      <c r="BO10701" s="43"/>
    </row>
    <row r="10702" spans="65:67" ht="18.75" customHeight="1">
      <c r="BM10702" s="1025"/>
      <c r="BO10702" s="43"/>
    </row>
    <row r="10703" spans="65:67" ht="18.75" customHeight="1">
      <c r="BM10703" s="1025"/>
      <c r="BO10703" s="43"/>
    </row>
    <row r="10704" spans="65:67" ht="18.75" customHeight="1">
      <c r="BM10704" s="1025"/>
      <c r="BO10704" s="43"/>
    </row>
    <row r="10705" spans="65:67" ht="18.75" customHeight="1">
      <c r="BM10705" s="1025"/>
      <c r="BO10705" s="43"/>
    </row>
    <row r="10706" spans="65:67" ht="18.75" customHeight="1">
      <c r="BM10706" s="1025"/>
      <c r="BO10706" s="43"/>
    </row>
    <row r="10707" spans="65:67" ht="18.75" customHeight="1">
      <c r="BM10707" s="1025"/>
      <c r="BO10707" s="43"/>
    </row>
    <row r="10708" spans="65:67" ht="18.75" customHeight="1">
      <c r="BM10708" s="1025"/>
      <c r="BO10708" s="43"/>
    </row>
    <row r="10709" spans="65:67" ht="18.75" customHeight="1">
      <c r="BM10709" s="1025"/>
      <c r="BO10709" s="43"/>
    </row>
    <row r="10710" spans="65:67" ht="18.75" customHeight="1">
      <c r="BM10710" s="1025"/>
      <c r="BO10710" s="43"/>
    </row>
    <row r="10711" spans="65:67" ht="18.75" customHeight="1">
      <c r="BM10711" s="1025"/>
      <c r="BO10711" s="43"/>
    </row>
    <row r="10712" spans="65:67" ht="18.75" customHeight="1">
      <c r="BM10712" s="1025"/>
      <c r="BO10712" s="43"/>
    </row>
    <row r="10713" spans="65:67" ht="18.75" customHeight="1">
      <c r="BM10713" s="1025"/>
      <c r="BO10713" s="43"/>
    </row>
    <row r="10714" spans="65:67" ht="18.75" customHeight="1">
      <c r="BM10714" s="1025"/>
      <c r="BO10714" s="43"/>
    </row>
    <row r="10715" spans="65:67" ht="18.75" customHeight="1">
      <c r="BM10715" s="1025"/>
      <c r="BO10715" s="43"/>
    </row>
    <row r="10716" spans="65:67" ht="18.75" customHeight="1">
      <c r="BM10716" s="1025"/>
      <c r="BO10716" s="43"/>
    </row>
    <row r="10717" spans="65:67" ht="18.75" customHeight="1">
      <c r="BM10717" s="1025"/>
      <c r="BO10717" s="43"/>
    </row>
    <row r="10718" spans="65:67" ht="18.75" customHeight="1">
      <c r="BM10718" s="1025"/>
      <c r="BO10718" s="43"/>
    </row>
    <row r="10719" spans="65:67" ht="18.75" customHeight="1">
      <c r="BM10719" s="1025"/>
      <c r="BO10719" s="43"/>
    </row>
    <row r="10720" spans="65:67" ht="18.75" customHeight="1">
      <c r="BM10720" s="1025"/>
      <c r="BO10720" s="43"/>
    </row>
    <row r="10721" spans="65:67" ht="18.75" customHeight="1">
      <c r="BM10721" s="1025"/>
      <c r="BO10721" s="43"/>
    </row>
    <row r="10722" spans="65:67" ht="18.75" customHeight="1">
      <c r="BM10722" s="1025"/>
      <c r="BO10722" s="43"/>
    </row>
    <row r="10723" spans="65:67" ht="18.75" customHeight="1">
      <c r="BM10723" s="1025"/>
      <c r="BO10723" s="43"/>
    </row>
    <row r="10724" spans="65:67" ht="18.75" customHeight="1">
      <c r="BM10724" s="1025"/>
      <c r="BO10724" s="43"/>
    </row>
    <row r="10725" spans="65:67" ht="18.75" customHeight="1">
      <c r="BM10725" s="1025"/>
      <c r="BO10725" s="43"/>
    </row>
    <row r="10726" spans="65:67" ht="18.75" customHeight="1">
      <c r="BM10726" s="1025"/>
      <c r="BO10726" s="43"/>
    </row>
    <row r="10727" spans="65:67" ht="18.75" customHeight="1">
      <c r="BM10727" s="1025"/>
      <c r="BO10727" s="43"/>
    </row>
    <row r="10728" spans="65:67" ht="18.75" customHeight="1">
      <c r="BM10728" s="1025"/>
      <c r="BO10728" s="43"/>
    </row>
    <row r="10729" spans="65:67" ht="18.75" customHeight="1">
      <c r="BM10729" s="1025"/>
      <c r="BO10729" s="43"/>
    </row>
    <row r="10730" spans="65:67" ht="18.75" customHeight="1">
      <c r="BM10730" s="1025"/>
      <c r="BO10730" s="43"/>
    </row>
    <row r="10731" spans="65:67" ht="18.75" customHeight="1">
      <c r="BM10731" s="1025"/>
      <c r="BO10731" s="43"/>
    </row>
    <row r="10732" spans="65:67" ht="18.75" customHeight="1">
      <c r="BM10732" s="1025"/>
      <c r="BO10732" s="43"/>
    </row>
    <row r="10733" spans="65:67" ht="18.75" customHeight="1">
      <c r="BM10733" s="1025"/>
      <c r="BO10733" s="43"/>
    </row>
    <row r="10734" spans="65:67" ht="18.75" customHeight="1">
      <c r="BM10734" s="1025"/>
      <c r="BO10734" s="43"/>
    </row>
    <row r="10735" spans="65:67" ht="18.75" customHeight="1">
      <c r="BM10735" s="1025"/>
      <c r="BO10735" s="43"/>
    </row>
    <row r="10736" spans="65:67" ht="18.75" customHeight="1">
      <c r="BM10736" s="1025"/>
      <c r="BO10736" s="43"/>
    </row>
    <row r="10737" spans="65:67" ht="18.75" customHeight="1">
      <c r="BM10737" s="1025"/>
      <c r="BO10737" s="43"/>
    </row>
    <row r="10738" spans="65:67" ht="18.75" customHeight="1">
      <c r="BM10738" s="1025"/>
      <c r="BO10738" s="43"/>
    </row>
    <row r="10739" spans="65:67" ht="18.75" customHeight="1">
      <c r="BM10739" s="1025"/>
      <c r="BO10739" s="43"/>
    </row>
    <row r="10740" spans="65:67" ht="18.75" customHeight="1">
      <c r="BM10740" s="1025"/>
      <c r="BO10740" s="43"/>
    </row>
    <row r="10741" spans="65:67" ht="18.75" customHeight="1">
      <c r="BM10741" s="1025"/>
      <c r="BO10741" s="43"/>
    </row>
    <row r="10742" spans="65:67" ht="18.75" customHeight="1">
      <c r="BM10742" s="1025"/>
      <c r="BO10742" s="43"/>
    </row>
    <row r="10743" spans="65:67" ht="18.75" customHeight="1">
      <c r="BM10743" s="1025"/>
      <c r="BO10743" s="43"/>
    </row>
    <row r="10744" spans="65:67" ht="18.75" customHeight="1">
      <c r="BM10744" s="1025"/>
      <c r="BO10744" s="43"/>
    </row>
    <row r="10745" spans="65:67" ht="18.75" customHeight="1">
      <c r="BM10745" s="1025"/>
      <c r="BO10745" s="43"/>
    </row>
    <row r="10746" spans="65:67" ht="18.75" customHeight="1">
      <c r="BM10746" s="1025"/>
      <c r="BO10746" s="43"/>
    </row>
    <row r="10747" spans="65:67" ht="18.75" customHeight="1">
      <c r="BM10747" s="1025"/>
      <c r="BO10747" s="43"/>
    </row>
    <row r="10748" spans="65:67" ht="18.75" customHeight="1">
      <c r="BM10748" s="1025"/>
      <c r="BO10748" s="43"/>
    </row>
    <row r="10749" spans="65:67" ht="18.75" customHeight="1">
      <c r="BM10749" s="1025"/>
      <c r="BO10749" s="43"/>
    </row>
    <row r="10750" spans="65:67" ht="18.75" customHeight="1">
      <c r="BM10750" s="1025"/>
      <c r="BO10750" s="43"/>
    </row>
    <row r="10751" spans="65:67" ht="18.75" customHeight="1">
      <c r="BM10751" s="1025"/>
      <c r="BO10751" s="43"/>
    </row>
    <row r="10752" spans="65:67" ht="18.75" customHeight="1">
      <c r="BM10752" s="1025"/>
      <c r="BO10752" s="43"/>
    </row>
    <row r="10753" spans="65:67" ht="18.75" customHeight="1">
      <c r="BM10753" s="1025"/>
      <c r="BO10753" s="43"/>
    </row>
    <row r="10754" spans="65:67" ht="18.75" customHeight="1">
      <c r="BM10754" s="1025"/>
      <c r="BO10754" s="43"/>
    </row>
    <row r="10755" spans="65:67" ht="18.75" customHeight="1">
      <c r="BM10755" s="1025"/>
      <c r="BO10755" s="43"/>
    </row>
    <row r="10756" spans="65:67" ht="18.75" customHeight="1">
      <c r="BM10756" s="1025"/>
      <c r="BO10756" s="43"/>
    </row>
    <row r="10757" spans="65:67" ht="18.75" customHeight="1">
      <c r="BM10757" s="1025"/>
      <c r="BO10757" s="43"/>
    </row>
    <row r="10758" spans="65:67" ht="18.75" customHeight="1">
      <c r="BM10758" s="1025"/>
      <c r="BO10758" s="43"/>
    </row>
    <row r="10759" spans="65:67" ht="18.75" customHeight="1">
      <c r="BM10759" s="1025"/>
      <c r="BO10759" s="43"/>
    </row>
    <row r="10760" spans="65:67" ht="18.75" customHeight="1">
      <c r="BM10760" s="1025"/>
      <c r="BO10760" s="43"/>
    </row>
    <row r="10761" spans="65:67" ht="18.75" customHeight="1">
      <c r="BM10761" s="1025"/>
      <c r="BO10761" s="43"/>
    </row>
    <row r="10762" spans="65:67" ht="18.75" customHeight="1">
      <c r="BM10762" s="1025"/>
      <c r="BO10762" s="43"/>
    </row>
    <row r="10763" spans="65:67" ht="18.75" customHeight="1">
      <c r="BM10763" s="1025"/>
      <c r="BO10763" s="43"/>
    </row>
    <row r="10764" spans="65:67" ht="18.75" customHeight="1">
      <c r="BM10764" s="1025"/>
      <c r="BO10764" s="43"/>
    </row>
    <row r="10765" spans="65:67" ht="18.75" customHeight="1">
      <c r="BM10765" s="1025"/>
      <c r="BO10765" s="43"/>
    </row>
    <row r="10766" spans="65:67" ht="18.75" customHeight="1">
      <c r="BM10766" s="1025"/>
      <c r="BO10766" s="43"/>
    </row>
    <row r="10767" spans="65:67" ht="18.75" customHeight="1">
      <c r="BM10767" s="1025"/>
      <c r="BO10767" s="43"/>
    </row>
    <row r="10768" spans="65:67" ht="18.75" customHeight="1">
      <c r="BM10768" s="1025"/>
      <c r="BO10768" s="43"/>
    </row>
    <row r="10769" spans="65:67" ht="18.75" customHeight="1">
      <c r="BM10769" s="1025"/>
      <c r="BO10769" s="43"/>
    </row>
    <row r="10770" spans="65:67" ht="18.75" customHeight="1">
      <c r="BM10770" s="1025"/>
      <c r="BO10770" s="43"/>
    </row>
    <row r="10771" spans="65:67" ht="18.75" customHeight="1">
      <c r="BM10771" s="1025"/>
      <c r="BO10771" s="43"/>
    </row>
    <row r="10772" spans="65:67" ht="18.75" customHeight="1">
      <c r="BM10772" s="1025"/>
      <c r="BO10772" s="43"/>
    </row>
    <row r="10773" spans="65:67" ht="18.75" customHeight="1">
      <c r="BM10773" s="1025"/>
      <c r="BO10773" s="43"/>
    </row>
    <row r="10774" spans="65:67" ht="18.75" customHeight="1">
      <c r="BM10774" s="1025"/>
      <c r="BO10774" s="43"/>
    </row>
    <row r="10775" spans="65:67" ht="18.75" customHeight="1">
      <c r="BM10775" s="1025"/>
      <c r="BO10775" s="43"/>
    </row>
    <row r="10776" spans="65:67" ht="18.75" customHeight="1">
      <c r="BM10776" s="1025"/>
      <c r="BO10776" s="43"/>
    </row>
    <row r="10777" spans="65:67" ht="18.75" customHeight="1">
      <c r="BM10777" s="1025"/>
      <c r="BO10777" s="43"/>
    </row>
    <row r="10778" spans="65:67" ht="18.75" customHeight="1">
      <c r="BM10778" s="1025"/>
      <c r="BO10778" s="43"/>
    </row>
    <row r="10779" spans="65:67" ht="18.75" customHeight="1">
      <c r="BM10779" s="1025"/>
      <c r="BO10779" s="43"/>
    </row>
    <row r="10780" spans="65:67" ht="18.75" customHeight="1">
      <c r="BM10780" s="1025"/>
      <c r="BO10780" s="43"/>
    </row>
    <row r="10781" spans="65:67" ht="18.75" customHeight="1">
      <c r="BM10781" s="1025"/>
      <c r="BO10781" s="43"/>
    </row>
    <row r="10782" spans="65:67" ht="18.75" customHeight="1">
      <c r="BM10782" s="1025"/>
      <c r="BO10782" s="43"/>
    </row>
    <row r="10783" spans="65:67" ht="18.75" customHeight="1">
      <c r="BM10783" s="1025"/>
      <c r="BO10783" s="43"/>
    </row>
    <row r="10784" spans="65:67" ht="18.75" customHeight="1">
      <c r="BM10784" s="1025"/>
      <c r="BO10784" s="43"/>
    </row>
    <row r="10785" spans="65:67" ht="18.75" customHeight="1">
      <c r="BM10785" s="1025"/>
      <c r="BO10785" s="43"/>
    </row>
    <row r="10786" spans="65:67" ht="18.75" customHeight="1">
      <c r="BM10786" s="1025"/>
      <c r="BO10786" s="43"/>
    </row>
    <row r="10787" spans="65:67" ht="18.75" customHeight="1">
      <c r="BM10787" s="1025"/>
      <c r="BO10787" s="43"/>
    </row>
    <row r="10788" spans="65:67" ht="18.75" customHeight="1">
      <c r="BM10788" s="1025"/>
      <c r="BO10788" s="43"/>
    </row>
    <row r="10789" spans="65:67" ht="18.75" customHeight="1">
      <c r="BM10789" s="1025"/>
      <c r="BO10789" s="43"/>
    </row>
    <row r="10790" spans="65:67" ht="18.75" customHeight="1">
      <c r="BM10790" s="1025"/>
      <c r="BO10790" s="43"/>
    </row>
    <row r="10791" spans="65:67" ht="18.75" customHeight="1">
      <c r="BM10791" s="1025"/>
      <c r="BO10791" s="43"/>
    </row>
    <row r="10792" spans="65:67" ht="18.75" customHeight="1">
      <c r="BM10792" s="1025"/>
      <c r="BO10792" s="43"/>
    </row>
    <row r="10793" spans="65:67" ht="18.75" customHeight="1">
      <c r="BM10793" s="1025"/>
      <c r="BO10793" s="43"/>
    </row>
    <row r="10794" spans="65:67" ht="18.75" customHeight="1">
      <c r="BM10794" s="1025"/>
      <c r="BO10794" s="43"/>
    </row>
    <row r="10795" spans="65:67" ht="18.75" customHeight="1">
      <c r="BM10795" s="1025"/>
      <c r="BO10795" s="43"/>
    </row>
    <row r="10796" spans="65:67" ht="18.75" customHeight="1">
      <c r="BM10796" s="1025"/>
      <c r="BO10796" s="43"/>
    </row>
    <row r="10797" spans="65:67" ht="18.75" customHeight="1">
      <c r="BM10797" s="1025"/>
      <c r="BO10797" s="43"/>
    </row>
    <row r="10798" spans="65:67" ht="18.75" customHeight="1">
      <c r="BM10798" s="1025"/>
      <c r="BO10798" s="43"/>
    </row>
    <row r="10799" spans="65:67" ht="18.75" customHeight="1">
      <c r="BM10799" s="1025"/>
      <c r="BO10799" s="43"/>
    </row>
    <row r="10800" spans="65:67" ht="18.75" customHeight="1">
      <c r="BM10800" s="1025"/>
      <c r="BO10800" s="43"/>
    </row>
    <row r="10801" spans="65:67" ht="18.75" customHeight="1">
      <c r="BM10801" s="1025"/>
      <c r="BO10801" s="43"/>
    </row>
    <row r="10802" spans="65:67" ht="18.75" customHeight="1">
      <c r="BM10802" s="1025"/>
      <c r="BO10802" s="43"/>
    </row>
    <row r="10803" spans="65:67" ht="18.75" customHeight="1">
      <c r="BM10803" s="1025"/>
      <c r="BO10803" s="43"/>
    </row>
    <row r="10804" spans="65:67" ht="18.75" customHeight="1">
      <c r="BM10804" s="1025"/>
      <c r="BO10804" s="43"/>
    </row>
    <row r="10805" spans="65:67" ht="18.75" customHeight="1">
      <c r="BM10805" s="1025"/>
      <c r="BO10805" s="43"/>
    </row>
    <row r="10806" spans="65:67" ht="18.75" customHeight="1">
      <c r="BM10806" s="1025"/>
      <c r="BO10806" s="43"/>
    </row>
    <row r="10807" spans="65:67" ht="18.75" customHeight="1">
      <c r="BM10807" s="1025"/>
      <c r="BO10807" s="43"/>
    </row>
    <row r="10808" spans="65:67" ht="18.75" customHeight="1">
      <c r="BM10808" s="1025"/>
      <c r="BO10808" s="43"/>
    </row>
    <row r="10809" spans="65:67" ht="18.75" customHeight="1">
      <c r="BM10809" s="1025"/>
      <c r="BO10809" s="43"/>
    </row>
    <row r="10810" spans="65:67" ht="18.75" customHeight="1">
      <c r="BM10810" s="1025"/>
      <c r="BO10810" s="43"/>
    </row>
    <row r="10811" spans="65:67" ht="18.75" customHeight="1">
      <c r="BM10811" s="1025"/>
      <c r="BO10811" s="43"/>
    </row>
    <row r="10812" spans="65:67" ht="18.75" customHeight="1">
      <c r="BM10812" s="1025"/>
      <c r="BO10812" s="43"/>
    </row>
    <row r="10813" spans="65:67" ht="18.75" customHeight="1">
      <c r="BM10813" s="1025"/>
      <c r="BO10813" s="43"/>
    </row>
    <row r="10814" spans="65:67" ht="18.75" customHeight="1">
      <c r="BM10814" s="1025"/>
      <c r="BO10814" s="43"/>
    </row>
    <row r="10815" spans="65:67" ht="18.75" customHeight="1">
      <c r="BM10815" s="1025"/>
      <c r="BO10815" s="43"/>
    </row>
    <row r="10816" spans="65:67" ht="18.75" customHeight="1">
      <c r="BM10816" s="1025"/>
      <c r="BO10816" s="43"/>
    </row>
    <row r="10817" spans="65:67" ht="18.75" customHeight="1">
      <c r="BM10817" s="1025"/>
      <c r="BO10817" s="43"/>
    </row>
    <row r="10818" spans="65:67" ht="18.75" customHeight="1">
      <c r="BM10818" s="1025"/>
      <c r="BO10818" s="43"/>
    </row>
    <row r="10819" spans="65:67" ht="18.75" customHeight="1">
      <c r="BM10819" s="1025"/>
      <c r="BO10819" s="43"/>
    </row>
    <row r="10820" spans="65:67" ht="18.75" customHeight="1">
      <c r="BM10820" s="1025"/>
      <c r="BO10820" s="43"/>
    </row>
    <row r="10821" spans="65:67" ht="18.75" customHeight="1">
      <c r="BM10821" s="1025"/>
      <c r="BO10821" s="43"/>
    </row>
    <row r="10822" spans="65:67" ht="18.75" customHeight="1">
      <c r="BM10822" s="1025"/>
      <c r="BO10822" s="43"/>
    </row>
    <row r="10823" spans="65:67" ht="18.75" customHeight="1">
      <c r="BM10823" s="1025"/>
      <c r="BO10823" s="43"/>
    </row>
    <row r="10824" spans="65:67" ht="18.75" customHeight="1">
      <c r="BM10824" s="1025"/>
      <c r="BO10824" s="43"/>
    </row>
    <row r="10825" spans="65:67" ht="18.75" customHeight="1">
      <c r="BM10825" s="1025"/>
      <c r="BO10825" s="43"/>
    </row>
    <row r="10826" spans="65:67" ht="18.75" customHeight="1">
      <c r="BM10826" s="1025"/>
      <c r="BO10826" s="43"/>
    </row>
    <row r="10827" spans="65:67" ht="18.75" customHeight="1">
      <c r="BM10827" s="1025"/>
      <c r="BO10827" s="43"/>
    </row>
    <row r="10828" spans="65:67" ht="18.75" customHeight="1">
      <c r="BM10828" s="1025"/>
      <c r="BO10828" s="43"/>
    </row>
    <row r="10829" spans="65:67" ht="18.75" customHeight="1">
      <c r="BM10829" s="1025"/>
      <c r="BO10829" s="43"/>
    </row>
    <row r="10830" spans="65:67" ht="18.75" customHeight="1">
      <c r="BM10830" s="1025"/>
      <c r="BO10830" s="43"/>
    </row>
    <row r="10831" spans="65:67" ht="18.75" customHeight="1">
      <c r="BM10831" s="1025"/>
      <c r="BO10831" s="43"/>
    </row>
    <row r="10832" spans="65:67" ht="18.75" customHeight="1">
      <c r="BM10832" s="1025"/>
      <c r="BO10832" s="43"/>
    </row>
    <row r="10833" spans="65:67" ht="18.75" customHeight="1">
      <c r="BM10833" s="1025"/>
      <c r="BO10833" s="43"/>
    </row>
    <row r="10834" spans="65:67" ht="18.75" customHeight="1">
      <c r="BM10834" s="1025"/>
      <c r="BO10834" s="43"/>
    </row>
    <row r="10835" spans="65:67" ht="18.75" customHeight="1">
      <c r="BM10835" s="1025"/>
      <c r="BO10835" s="43"/>
    </row>
    <row r="10836" spans="65:67" ht="18.75" customHeight="1">
      <c r="BM10836" s="1025"/>
      <c r="BO10836" s="43"/>
    </row>
    <row r="10837" spans="65:67" ht="18.75" customHeight="1">
      <c r="BM10837" s="1025"/>
      <c r="BO10837" s="43"/>
    </row>
    <row r="10838" spans="65:67" ht="18.75" customHeight="1">
      <c r="BM10838" s="1025"/>
      <c r="BO10838" s="43"/>
    </row>
    <row r="10839" spans="65:67" ht="18.75" customHeight="1">
      <c r="BM10839" s="1025"/>
      <c r="BO10839" s="43"/>
    </row>
    <row r="10840" spans="65:67" ht="18.75" customHeight="1">
      <c r="BM10840" s="1025"/>
      <c r="BO10840" s="43"/>
    </row>
    <row r="10841" spans="65:67" ht="18.75" customHeight="1">
      <c r="BM10841" s="1025"/>
      <c r="BO10841" s="43"/>
    </row>
    <row r="10842" spans="65:67" ht="18.75" customHeight="1">
      <c r="BM10842" s="1025"/>
      <c r="BO10842" s="43"/>
    </row>
    <row r="10843" spans="65:67" ht="18.75" customHeight="1">
      <c r="BM10843" s="1025"/>
      <c r="BO10843" s="43"/>
    </row>
    <row r="10844" spans="65:67" ht="18.75" customHeight="1">
      <c r="BM10844" s="1025"/>
      <c r="BO10844" s="43"/>
    </row>
    <row r="10845" spans="65:67" ht="18.75" customHeight="1">
      <c r="BM10845" s="1025"/>
      <c r="BO10845" s="43"/>
    </row>
    <row r="10846" spans="65:67" ht="18.75" customHeight="1">
      <c r="BM10846" s="1025"/>
      <c r="BO10846" s="43"/>
    </row>
    <row r="10847" spans="65:67" ht="18.75" customHeight="1">
      <c r="BM10847" s="1025"/>
      <c r="BO10847" s="43"/>
    </row>
    <row r="10848" spans="65:67" ht="18.75" customHeight="1">
      <c r="BM10848" s="1025"/>
      <c r="BO10848" s="43"/>
    </row>
    <row r="10849" spans="65:67" ht="18.75" customHeight="1">
      <c r="BM10849" s="1025"/>
      <c r="BO10849" s="43"/>
    </row>
    <row r="10850" spans="65:67" ht="18.75" customHeight="1">
      <c r="BM10850" s="1025"/>
      <c r="BO10850" s="43"/>
    </row>
    <row r="10851" spans="65:67" ht="18.75" customHeight="1">
      <c r="BM10851" s="1025"/>
      <c r="BO10851" s="43"/>
    </row>
    <row r="10852" spans="65:67" ht="18.75" customHeight="1">
      <c r="BM10852" s="1025"/>
      <c r="BO10852" s="43"/>
    </row>
    <row r="10853" spans="65:67" ht="18.75" customHeight="1">
      <c r="BM10853" s="1025"/>
      <c r="BO10853" s="43"/>
    </row>
    <row r="10854" spans="65:67" ht="18.75" customHeight="1">
      <c r="BM10854" s="1025"/>
      <c r="BO10854" s="43"/>
    </row>
    <row r="10855" spans="65:67" ht="18.75" customHeight="1">
      <c r="BM10855" s="1025"/>
      <c r="BO10855" s="43"/>
    </row>
    <row r="10856" spans="65:67" ht="18.75" customHeight="1">
      <c r="BM10856" s="1025"/>
      <c r="BO10856" s="43"/>
    </row>
    <row r="10857" spans="65:67" ht="18.75" customHeight="1">
      <c r="BM10857" s="1025"/>
      <c r="BO10857" s="43"/>
    </row>
    <row r="10858" spans="65:67" ht="18.75" customHeight="1">
      <c r="BM10858" s="1025"/>
      <c r="BO10858" s="43"/>
    </row>
    <row r="10859" spans="65:67" ht="18.75" customHeight="1">
      <c r="BM10859" s="1025"/>
      <c r="BO10859" s="43"/>
    </row>
    <row r="10860" spans="65:67" ht="18.75" customHeight="1">
      <c r="BM10860" s="1025"/>
      <c r="BO10860" s="43"/>
    </row>
    <row r="10861" spans="65:67" ht="18.75" customHeight="1">
      <c r="BM10861" s="1025"/>
      <c r="BO10861" s="43"/>
    </row>
    <row r="10862" spans="65:67" ht="18.75" customHeight="1">
      <c r="BM10862" s="1025"/>
      <c r="BO10862" s="43"/>
    </row>
    <row r="10863" spans="65:67" ht="18.75" customHeight="1">
      <c r="BM10863" s="1025"/>
      <c r="BO10863" s="43"/>
    </row>
    <row r="10864" spans="65:67" ht="18.75" customHeight="1">
      <c r="BM10864" s="1025"/>
      <c r="BO10864" s="43"/>
    </row>
    <row r="10865" spans="65:67" ht="18.75" customHeight="1">
      <c r="BM10865" s="1025"/>
      <c r="BO10865" s="43"/>
    </row>
    <row r="10866" spans="65:67" ht="18.75" customHeight="1">
      <c r="BM10866" s="1025"/>
      <c r="BO10866" s="43"/>
    </row>
    <row r="10867" spans="65:67" ht="18.75" customHeight="1">
      <c r="BM10867" s="1025"/>
      <c r="BO10867" s="43"/>
    </row>
    <row r="10868" spans="65:67" ht="18.75" customHeight="1">
      <c r="BM10868" s="1025"/>
      <c r="BO10868" s="43"/>
    </row>
    <row r="10869" spans="65:67" ht="18.75" customHeight="1">
      <c r="BM10869" s="1025"/>
      <c r="BO10869" s="43"/>
    </row>
    <row r="10870" spans="65:67" ht="18.75" customHeight="1">
      <c r="BM10870" s="1025"/>
      <c r="BO10870" s="43"/>
    </row>
    <row r="10871" spans="65:67" ht="18.75" customHeight="1">
      <c r="BM10871" s="1025"/>
      <c r="BO10871" s="43"/>
    </row>
    <row r="10872" spans="65:67" ht="18.75" customHeight="1">
      <c r="BM10872" s="1025"/>
      <c r="BO10872" s="43"/>
    </row>
    <row r="10873" spans="65:67" ht="18.75" customHeight="1">
      <c r="BM10873" s="1025"/>
      <c r="BO10873" s="43"/>
    </row>
    <row r="10874" spans="65:67" ht="18.75" customHeight="1">
      <c r="BM10874" s="1025"/>
      <c r="BO10874" s="43"/>
    </row>
    <row r="10875" spans="65:67" ht="18.75" customHeight="1">
      <c r="BM10875" s="1025"/>
      <c r="BO10875" s="43"/>
    </row>
    <row r="10876" spans="65:67" ht="18.75" customHeight="1">
      <c r="BM10876" s="1025"/>
      <c r="BO10876" s="43"/>
    </row>
    <row r="10877" spans="65:67" ht="18.75" customHeight="1">
      <c r="BM10877" s="1025"/>
      <c r="BO10877" s="43"/>
    </row>
    <row r="10878" spans="65:67" ht="18.75" customHeight="1">
      <c r="BM10878" s="1025"/>
      <c r="BO10878" s="43"/>
    </row>
    <row r="10879" spans="65:67" ht="18.75" customHeight="1">
      <c r="BM10879" s="1025"/>
      <c r="BO10879" s="43"/>
    </row>
    <row r="10880" spans="65:67" ht="18.75" customHeight="1">
      <c r="BM10880" s="1025"/>
      <c r="BO10880" s="43"/>
    </row>
    <row r="10881" spans="65:67" ht="18.75" customHeight="1">
      <c r="BM10881" s="1025"/>
      <c r="BO10881" s="43"/>
    </row>
    <row r="10882" spans="65:67" ht="18.75" customHeight="1">
      <c r="BM10882" s="1025"/>
      <c r="BO10882" s="43"/>
    </row>
    <row r="10883" spans="65:67" ht="18.75" customHeight="1">
      <c r="BM10883" s="1025"/>
      <c r="BO10883" s="43"/>
    </row>
    <row r="10884" spans="65:67" ht="18.75" customHeight="1">
      <c r="BM10884" s="1025"/>
      <c r="BO10884" s="43"/>
    </row>
    <row r="10885" spans="65:67" ht="18.75" customHeight="1">
      <c r="BM10885" s="1025"/>
      <c r="BO10885" s="43"/>
    </row>
    <row r="10886" spans="65:67" ht="18.75" customHeight="1">
      <c r="BM10886" s="1025"/>
      <c r="BO10886" s="43"/>
    </row>
    <row r="10887" spans="65:67" ht="18.75" customHeight="1">
      <c r="BM10887" s="1025"/>
      <c r="BO10887" s="43"/>
    </row>
    <row r="10888" spans="65:67" ht="18.75" customHeight="1">
      <c r="BM10888" s="1025"/>
      <c r="BO10888" s="43"/>
    </row>
    <row r="10889" spans="65:67" ht="18.75" customHeight="1">
      <c r="BM10889" s="1025"/>
      <c r="BO10889" s="43"/>
    </row>
    <row r="10890" spans="65:67" ht="18.75" customHeight="1">
      <c r="BM10890" s="1025"/>
      <c r="BO10890" s="43"/>
    </row>
    <row r="10891" spans="65:67" ht="18.75" customHeight="1">
      <c r="BM10891" s="1025"/>
      <c r="BO10891" s="43"/>
    </row>
    <row r="10892" spans="65:67" ht="18.75" customHeight="1">
      <c r="BM10892" s="1025"/>
      <c r="BO10892" s="43"/>
    </row>
    <row r="10893" spans="65:67" ht="18.75" customHeight="1">
      <c r="BM10893" s="1025"/>
      <c r="BO10893" s="43"/>
    </row>
    <row r="10894" spans="65:67" ht="18.75" customHeight="1">
      <c r="BM10894" s="1025"/>
      <c r="BO10894" s="43"/>
    </row>
    <row r="10895" spans="65:67" ht="18.75" customHeight="1">
      <c r="BM10895" s="1025"/>
      <c r="BO10895" s="43"/>
    </row>
    <row r="10896" spans="65:67" ht="18.75" customHeight="1">
      <c r="BM10896" s="1025"/>
      <c r="BO10896" s="43"/>
    </row>
    <row r="10897" spans="65:67" ht="18.75" customHeight="1">
      <c r="BM10897" s="1025"/>
      <c r="BO10897" s="43"/>
    </row>
    <row r="10898" spans="65:67" ht="18.75" customHeight="1">
      <c r="BM10898" s="1025"/>
      <c r="BO10898" s="43"/>
    </row>
    <row r="10899" spans="65:67" ht="18.75" customHeight="1">
      <c r="BM10899" s="1025"/>
      <c r="BO10899" s="43"/>
    </row>
    <row r="10900" spans="65:67" ht="18.75" customHeight="1">
      <c r="BM10900" s="1025"/>
      <c r="BO10900" s="43"/>
    </row>
    <row r="10901" spans="65:67" ht="18.75" customHeight="1">
      <c r="BM10901" s="1025"/>
      <c r="BO10901" s="43"/>
    </row>
    <row r="10902" spans="65:67" ht="18.75" customHeight="1">
      <c r="BM10902" s="1025"/>
      <c r="BO10902" s="43"/>
    </row>
    <row r="10903" spans="65:67" ht="18.75" customHeight="1">
      <c r="BM10903" s="1025"/>
      <c r="BO10903" s="43"/>
    </row>
    <row r="10904" spans="65:67" ht="18.75" customHeight="1">
      <c r="BM10904" s="1025"/>
      <c r="BO10904" s="43"/>
    </row>
    <row r="10905" spans="65:67" ht="18.75" customHeight="1">
      <c r="BM10905" s="1025"/>
      <c r="BO10905" s="43"/>
    </row>
    <row r="10906" spans="65:67" ht="18.75" customHeight="1">
      <c r="BM10906" s="1025"/>
      <c r="BO10906" s="43"/>
    </row>
    <row r="10907" spans="65:67" ht="18.75" customHeight="1">
      <c r="BM10907" s="1025"/>
      <c r="BO10907" s="43"/>
    </row>
    <row r="10908" spans="65:67" ht="18.75" customHeight="1">
      <c r="BM10908" s="1025"/>
      <c r="BO10908" s="43"/>
    </row>
    <row r="10909" spans="65:67" ht="18.75" customHeight="1">
      <c r="BM10909" s="1025"/>
      <c r="BO10909" s="43"/>
    </row>
    <row r="10910" spans="65:67" ht="18.75" customHeight="1">
      <c r="BM10910" s="1025"/>
      <c r="BO10910" s="43"/>
    </row>
    <row r="10911" spans="65:67" ht="18.75" customHeight="1">
      <c r="BM10911" s="1025"/>
      <c r="BO10911" s="43"/>
    </row>
    <row r="10912" spans="65:67" ht="18.75" customHeight="1">
      <c r="BM10912" s="1025"/>
      <c r="BO10912" s="43"/>
    </row>
    <row r="10913" spans="65:67" ht="18.75" customHeight="1">
      <c r="BM10913" s="1025"/>
      <c r="BO10913" s="43"/>
    </row>
    <row r="10914" spans="65:67" ht="18.75" customHeight="1">
      <c r="BM10914" s="1025"/>
      <c r="BO10914" s="43"/>
    </row>
    <row r="10915" spans="65:67" ht="18.75" customHeight="1">
      <c r="BM10915" s="1025"/>
      <c r="BO10915" s="43"/>
    </row>
    <row r="10916" spans="65:67" ht="18.75" customHeight="1">
      <c r="BM10916" s="1025"/>
      <c r="BO10916" s="43"/>
    </row>
    <row r="10917" spans="65:67" ht="18.75" customHeight="1">
      <c r="BM10917" s="1025"/>
      <c r="BO10917" s="43"/>
    </row>
    <row r="10918" spans="65:67" ht="18.75" customHeight="1">
      <c r="BM10918" s="1025"/>
      <c r="BO10918" s="43"/>
    </row>
    <row r="10919" spans="65:67" ht="18.75" customHeight="1">
      <c r="BM10919" s="1025"/>
      <c r="BO10919" s="43"/>
    </row>
    <row r="10920" spans="65:67" ht="18.75" customHeight="1">
      <c r="BM10920" s="1025"/>
      <c r="BO10920" s="43"/>
    </row>
    <row r="10921" spans="65:67" ht="18.75" customHeight="1">
      <c r="BM10921" s="1025"/>
      <c r="BO10921" s="43"/>
    </row>
    <row r="10922" spans="65:67" ht="18.75" customHeight="1">
      <c r="BM10922" s="1025"/>
      <c r="BO10922" s="43"/>
    </row>
    <row r="10923" spans="65:67" ht="18.75" customHeight="1">
      <c r="BM10923" s="1025"/>
      <c r="BO10923" s="43"/>
    </row>
    <row r="10924" spans="65:67" ht="18.75" customHeight="1">
      <c r="BM10924" s="1025"/>
      <c r="BO10924" s="43"/>
    </row>
    <row r="10925" spans="65:67" ht="18.75" customHeight="1">
      <c r="BM10925" s="1025"/>
      <c r="BO10925" s="43"/>
    </row>
    <row r="10926" spans="65:67" ht="18.75" customHeight="1">
      <c r="BM10926" s="1025"/>
      <c r="BO10926" s="43"/>
    </row>
    <row r="10927" spans="65:67" ht="18.75" customHeight="1">
      <c r="BM10927" s="1025"/>
      <c r="BO10927" s="43"/>
    </row>
    <row r="10928" spans="65:67" ht="18.75" customHeight="1">
      <c r="BM10928" s="1025"/>
      <c r="BO10928" s="43"/>
    </row>
    <row r="10929" spans="65:67" ht="18.75" customHeight="1">
      <c r="BM10929" s="1025"/>
      <c r="BO10929" s="43"/>
    </row>
    <row r="10930" spans="65:67" ht="18.75" customHeight="1">
      <c r="BM10930" s="1025"/>
      <c r="BO10930" s="43"/>
    </row>
    <row r="10931" spans="65:67" ht="18.75" customHeight="1">
      <c r="BM10931" s="1025"/>
      <c r="BO10931" s="43"/>
    </row>
    <row r="10932" spans="65:67" ht="18.75" customHeight="1">
      <c r="BM10932" s="1025"/>
      <c r="BO10932" s="43"/>
    </row>
    <row r="10933" spans="65:67" ht="18.75" customHeight="1">
      <c r="BM10933" s="1025"/>
      <c r="BO10933" s="43"/>
    </row>
    <row r="10934" spans="65:67" ht="18.75" customHeight="1">
      <c r="BM10934" s="1025"/>
      <c r="BO10934" s="43"/>
    </row>
    <row r="10935" spans="65:67" ht="18.75" customHeight="1">
      <c r="BM10935" s="1025"/>
      <c r="BO10935" s="43"/>
    </row>
    <row r="10936" spans="65:67" ht="18.75" customHeight="1">
      <c r="BM10936" s="1025"/>
      <c r="BO10936" s="43"/>
    </row>
    <row r="10937" spans="65:67" ht="18.75" customHeight="1">
      <c r="BM10937" s="1025"/>
      <c r="BO10937" s="43"/>
    </row>
    <row r="10938" spans="65:67" ht="18.75" customHeight="1">
      <c r="BM10938" s="1025"/>
      <c r="BO10938" s="43"/>
    </row>
    <row r="10939" spans="65:67" ht="18.75" customHeight="1">
      <c r="BM10939" s="1025"/>
      <c r="BO10939" s="43"/>
    </row>
    <row r="10940" spans="65:67" ht="18.75" customHeight="1">
      <c r="BM10940" s="1025"/>
      <c r="BO10940" s="43"/>
    </row>
    <row r="10941" spans="65:67" ht="18.75" customHeight="1">
      <c r="BM10941" s="1025"/>
      <c r="BO10941" s="43"/>
    </row>
    <row r="10942" spans="65:67" ht="18.75" customHeight="1">
      <c r="BM10942" s="1025"/>
      <c r="BO10942" s="43"/>
    </row>
    <row r="10943" spans="65:67" ht="18.75" customHeight="1">
      <c r="BM10943" s="1025"/>
      <c r="BO10943" s="43"/>
    </row>
    <row r="10944" spans="65:67" ht="18.75" customHeight="1">
      <c r="BM10944" s="1025"/>
      <c r="BO10944" s="43"/>
    </row>
    <row r="10945" spans="65:67" ht="18.75" customHeight="1">
      <c r="BM10945" s="1025"/>
      <c r="BO10945" s="43"/>
    </row>
    <row r="10946" spans="65:67" ht="18.75" customHeight="1">
      <c r="BM10946" s="1025"/>
      <c r="BO10946" s="43"/>
    </row>
    <row r="10947" spans="65:67" ht="18.75" customHeight="1">
      <c r="BM10947" s="1025"/>
      <c r="BO10947" s="43"/>
    </row>
    <row r="10948" spans="65:67" ht="18.75" customHeight="1">
      <c r="BM10948" s="1025"/>
      <c r="BO10948" s="43"/>
    </row>
    <row r="10949" spans="65:67" ht="18.75" customHeight="1">
      <c r="BM10949" s="1025"/>
      <c r="BO10949" s="43"/>
    </row>
    <row r="10950" spans="65:67" ht="18.75" customHeight="1">
      <c r="BM10950" s="1025"/>
      <c r="BO10950" s="43"/>
    </row>
    <row r="10951" spans="65:67" ht="18.75" customHeight="1">
      <c r="BM10951" s="1025"/>
      <c r="BO10951" s="43"/>
    </row>
    <row r="10952" spans="65:67" ht="18.75" customHeight="1">
      <c r="BM10952" s="1025"/>
      <c r="BO10952" s="43"/>
    </row>
    <row r="10953" spans="65:67" ht="18.75" customHeight="1">
      <c r="BM10953" s="1025"/>
      <c r="BO10953" s="43"/>
    </row>
    <row r="10954" spans="65:67" ht="18.75" customHeight="1">
      <c r="BM10954" s="1025"/>
      <c r="BO10954" s="43"/>
    </row>
    <row r="10955" spans="65:67" ht="18.75" customHeight="1">
      <c r="BM10955" s="1025"/>
      <c r="BO10955" s="43"/>
    </row>
    <row r="10956" spans="65:67" ht="18.75" customHeight="1">
      <c r="BM10956" s="1025"/>
      <c r="BO10956" s="43"/>
    </row>
    <row r="10957" spans="65:67" ht="18.75" customHeight="1">
      <c r="BM10957" s="1025"/>
      <c r="BO10957" s="43"/>
    </row>
    <row r="10958" spans="65:67" ht="18.75" customHeight="1">
      <c r="BM10958" s="1025"/>
      <c r="BO10958" s="43"/>
    </row>
    <row r="10959" spans="65:67" ht="18.75" customHeight="1">
      <c r="BM10959" s="1025"/>
      <c r="BO10959" s="43"/>
    </row>
    <row r="10960" spans="65:67" ht="18.75" customHeight="1">
      <c r="BM10960" s="1025"/>
      <c r="BO10960" s="43"/>
    </row>
    <row r="10961" spans="65:67" ht="18.75" customHeight="1">
      <c r="BM10961" s="1025"/>
      <c r="BO10961" s="43"/>
    </row>
    <row r="10962" spans="65:67" ht="18.75" customHeight="1">
      <c r="BM10962" s="1025"/>
      <c r="BO10962" s="43"/>
    </row>
    <row r="10963" spans="65:67" ht="18.75" customHeight="1">
      <c r="BM10963" s="1025"/>
      <c r="BO10963" s="43"/>
    </row>
    <row r="10964" spans="65:67" ht="18.75" customHeight="1">
      <c r="BM10964" s="1025"/>
      <c r="BO10964" s="43"/>
    </row>
    <row r="10965" spans="65:67" ht="18.75" customHeight="1">
      <c r="BM10965" s="1025"/>
      <c r="BO10965" s="43"/>
    </row>
    <row r="10966" spans="65:67" ht="18.75" customHeight="1">
      <c r="BM10966" s="1025"/>
      <c r="BO10966" s="43"/>
    </row>
    <row r="10967" spans="65:67" ht="18.75" customHeight="1">
      <c r="BM10967" s="1025"/>
      <c r="BO10967" s="43"/>
    </row>
    <row r="10968" spans="65:67" ht="18.75" customHeight="1">
      <c r="BM10968" s="1025"/>
      <c r="BO10968" s="43"/>
    </row>
    <row r="10969" spans="65:67" ht="18.75" customHeight="1">
      <c r="BM10969" s="1025"/>
      <c r="BO10969" s="43"/>
    </row>
    <row r="10970" spans="65:67" ht="18.75" customHeight="1">
      <c r="BM10970" s="1025"/>
      <c r="BO10970" s="43"/>
    </row>
    <row r="10971" spans="65:67" ht="18.75" customHeight="1">
      <c r="BM10971" s="1025"/>
      <c r="BO10971" s="43"/>
    </row>
    <row r="10972" spans="65:67" ht="18.75" customHeight="1">
      <c r="BM10972" s="1025"/>
      <c r="BO10972" s="43"/>
    </row>
    <row r="10973" spans="65:67" ht="18.75" customHeight="1">
      <c r="BM10973" s="1025"/>
      <c r="BO10973" s="43"/>
    </row>
    <row r="10974" spans="65:67" ht="18.75" customHeight="1">
      <c r="BM10974" s="1025"/>
      <c r="BO10974" s="43"/>
    </row>
    <row r="10975" spans="65:67" ht="18.75" customHeight="1">
      <c r="BM10975" s="1025"/>
      <c r="BO10975" s="43"/>
    </row>
    <row r="10976" spans="65:67" ht="18.75" customHeight="1">
      <c r="BM10976" s="1025"/>
      <c r="BO10976" s="43"/>
    </row>
    <row r="10977" spans="65:67" ht="18.75" customHeight="1">
      <c r="BM10977" s="1025"/>
      <c r="BO10977" s="43"/>
    </row>
    <row r="10978" spans="65:67" ht="18.75" customHeight="1">
      <c r="BM10978" s="1025"/>
      <c r="BO10978" s="43"/>
    </row>
    <row r="10979" spans="65:67" ht="18.75" customHeight="1">
      <c r="BM10979" s="1025"/>
      <c r="BO10979" s="43"/>
    </row>
    <row r="10980" spans="65:67" ht="18.75" customHeight="1">
      <c r="BM10980" s="1025"/>
      <c r="BO10980" s="43"/>
    </row>
    <row r="10981" spans="65:67" ht="18.75" customHeight="1">
      <c r="BM10981" s="1025"/>
      <c r="BO10981" s="43"/>
    </row>
    <row r="10982" spans="65:67" ht="18.75" customHeight="1">
      <c r="BM10982" s="1025"/>
      <c r="BO10982" s="43"/>
    </row>
    <row r="10983" spans="65:67" ht="18.75" customHeight="1">
      <c r="BM10983" s="1025"/>
      <c r="BO10983" s="43"/>
    </row>
    <row r="10984" spans="65:67" ht="18.75" customHeight="1">
      <c r="BM10984" s="1025"/>
      <c r="BO10984" s="43"/>
    </row>
    <row r="10985" spans="65:67" ht="18.75" customHeight="1">
      <c r="BM10985" s="1025"/>
      <c r="BO10985" s="43"/>
    </row>
    <row r="10986" spans="65:67" ht="18.75" customHeight="1">
      <c r="BM10986" s="1025"/>
      <c r="BO10986" s="43"/>
    </row>
    <row r="10987" spans="65:67" ht="18.75" customHeight="1">
      <c r="BM10987" s="1025"/>
      <c r="BO10987" s="43"/>
    </row>
    <row r="10988" spans="65:67" ht="18.75" customHeight="1">
      <c r="BM10988" s="1025"/>
      <c r="BO10988" s="43"/>
    </row>
    <row r="10989" spans="65:67" ht="18.75" customHeight="1">
      <c r="BM10989" s="1025"/>
      <c r="BO10989" s="43"/>
    </row>
    <row r="10990" spans="65:67" ht="18.75" customHeight="1">
      <c r="BM10990" s="1025"/>
      <c r="BO10990" s="43"/>
    </row>
    <row r="10991" spans="65:67" ht="18.75" customHeight="1">
      <c r="BM10991" s="1025"/>
      <c r="BO10991" s="43"/>
    </row>
    <row r="10992" spans="65:67" ht="18.75" customHeight="1">
      <c r="BM10992" s="1025"/>
      <c r="BO10992" s="43"/>
    </row>
    <row r="10993" spans="65:67" ht="18.75" customHeight="1">
      <c r="BM10993" s="1025"/>
      <c r="BO10993" s="43"/>
    </row>
    <row r="10994" spans="65:67" ht="18.75" customHeight="1">
      <c r="BM10994" s="1025"/>
      <c r="BO10994" s="43"/>
    </row>
    <row r="10995" spans="65:67" ht="18.75" customHeight="1">
      <c r="BM10995" s="1025"/>
      <c r="BO10995" s="43"/>
    </row>
    <row r="10996" spans="65:67" ht="18.75" customHeight="1">
      <c r="BM10996" s="1025"/>
      <c r="BO10996" s="43"/>
    </row>
    <row r="10997" spans="65:67" ht="18.75" customHeight="1">
      <c r="BM10997" s="1025"/>
      <c r="BO10997" s="43"/>
    </row>
    <row r="10998" spans="65:67" ht="18.75" customHeight="1">
      <c r="BM10998" s="1025"/>
      <c r="BO10998" s="43"/>
    </row>
    <row r="10999" spans="65:67" ht="18.75" customHeight="1">
      <c r="BM10999" s="1025"/>
      <c r="BO10999" s="43"/>
    </row>
    <row r="11000" spans="65:67" ht="18.75" customHeight="1">
      <c r="BM11000" s="1025"/>
      <c r="BO11000" s="43"/>
    </row>
    <row r="11001" spans="65:67" ht="18.75" customHeight="1">
      <c r="BM11001" s="1025"/>
      <c r="BO11001" s="43"/>
    </row>
    <row r="11002" spans="65:67" ht="18.75" customHeight="1">
      <c r="BM11002" s="1025"/>
      <c r="BO11002" s="43"/>
    </row>
    <row r="11003" spans="65:67" ht="18.75" customHeight="1">
      <c r="BM11003" s="1025"/>
      <c r="BO11003" s="43"/>
    </row>
    <row r="11004" spans="65:67" ht="18.75" customHeight="1">
      <c r="BM11004" s="1025"/>
      <c r="BO11004" s="43"/>
    </row>
    <row r="11005" spans="65:67" ht="18.75" customHeight="1">
      <c r="BM11005" s="1025"/>
      <c r="BO11005" s="43"/>
    </row>
    <row r="11006" spans="65:67" ht="18.75" customHeight="1">
      <c r="BM11006" s="1025"/>
      <c r="BO11006" s="43"/>
    </row>
    <row r="11007" spans="65:67" ht="18.75" customHeight="1">
      <c r="BM11007" s="1025"/>
      <c r="BO11007" s="43"/>
    </row>
    <row r="11008" spans="65:67" ht="18.75" customHeight="1">
      <c r="BM11008" s="1025"/>
      <c r="BO11008" s="43"/>
    </row>
    <row r="11009" spans="65:67" ht="18.75" customHeight="1">
      <c r="BM11009" s="1025"/>
      <c r="BO11009" s="43"/>
    </row>
    <row r="11010" spans="65:67" ht="18.75" customHeight="1">
      <c r="BM11010" s="1025"/>
      <c r="BO11010" s="43"/>
    </row>
    <row r="11011" spans="65:67" ht="18.75" customHeight="1">
      <c r="BM11011" s="1025"/>
      <c r="BO11011" s="43"/>
    </row>
    <row r="11012" spans="65:67" ht="18.75" customHeight="1">
      <c r="BM11012" s="1025"/>
      <c r="BO11012" s="43"/>
    </row>
    <row r="11013" spans="65:67" ht="18.75" customHeight="1">
      <c r="BM11013" s="1025"/>
      <c r="BO11013" s="43"/>
    </row>
    <row r="11014" spans="65:67" ht="18.75" customHeight="1">
      <c r="BM11014" s="1025"/>
      <c r="BO11014" s="43"/>
    </row>
    <row r="11015" spans="65:67" ht="18.75" customHeight="1">
      <c r="BM11015" s="1025"/>
      <c r="BO11015" s="43"/>
    </row>
    <row r="11016" spans="65:67" ht="18.75" customHeight="1">
      <c r="BM11016" s="1025"/>
      <c r="BO11016" s="43"/>
    </row>
    <row r="11017" spans="65:67" ht="18.75" customHeight="1">
      <c r="BM11017" s="1025"/>
      <c r="BO11017" s="43"/>
    </row>
    <row r="11018" spans="65:67" ht="18.75" customHeight="1">
      <c r="BM11018" s="1025"/>
      <c r="BO11018" s="43"/>
    </row>
    <row r="11019" spans="65:67" ht="18.75" customHeight="1">
      <c r="BM11019" s="1025"/>
      <c r="BO11019" s="43"/>
    </row>
    <row r="11020" spans="65:67" ht="18.75" customHeight="1">
      <c r="BM11020" s="1025"/>
      <c r="BO11020" s="43"/>
    </row>
    <row r="11021" spans="65:67" ht="18.75" customHeight="1">
      <c r="BM11021" s="1025"/>
      <c r="BO11021" s="43"/>
    </row>
    <row r="11022" spans="65:67" ht="18.75" customHeight="1">
      <c r="BM11022" s="1025"/>
      <c r="BO11022" s="43"/>
    </row>
    <row r="11023" spans="65:67" ht="18.75" customHeight="1">
      <c r="BM11023" s="1025"/>
      <c r="BO11023" s="43"/>
    </row>
    <row r="11024" spans="65:67" ht="18.75" customHeight="1">
      <c r="BM11024" s="1025"/>
      <c r="BO11024" s="43"/>
    </row>
    <row r="11025" spans="65:67" ht="18.75" customHeight="1">
      <c r="BM11025" s="1025"/>
      <c r="BO11025" s="43"/>
    </row>
    <row r="11026" spans="65:67" ht="18.75" customHeight="1">
      <c r="BM11026" s="1025"/>
      <c r="BO11026" s="43"/>
    </row>
    <row r="11027" spans="65:67" ht="18.75" customHeight="1">
      <c r="BM11027" s="1025"/>
      <c r="BO11027" s="43"/>
    </row>
    <row r="11028" spans="65:67" ht="18.75" customHeight="1">
      <c r="BM11028" s="1025"/>
      <c r="BO11028" s="43"/>
    </row>
    <row r="11029" spans="65:67" ht="18.75" customHeight="1">
      <c r="BM11029" s="1025"/>
      <c r="BO11029" s="43"/>
    </row>
    <row r="11030" spans="65:67" ht="18.75" customHeight="1">
      <c r="BM11030" s="1025"/>
      <c r="BO11030" s="43"/>
    </row>
    <row r="11031" spans="65:67" ht="18.75" customHeight="1">
      <c r="BM11031" s="1025"/>
      <c r="BO11031" s="43"/>
    </row>
    <row r="11032" spans="65:67" ht="18.75" customHeight="1">
      <c r="BM11032" s="1025"/>
      <c r="BO11032" s="43"/>
    </row>
    <row r="11033" spans="65:67" ht="18.75" customHeight="1">
      <c r="BM11033" s="1025"/>
      <c r="BO11033" s="43"/>
    </row>
    <row r="11034" spans="65:67" ht="18.75" customHeight="1">
      <c r="BM11034" s="1025"/>
      <c r="BO11034" s="43"/>
    </row>
    <row r="11035" spans="65:67" ht="18.75" customHeight="1">
      <c r="BM11035" s="1025"/>
      <c r="BO11035" s="43"/>
    </row>
    <row r="11036" spans="65:67" ht="18.75" customHeight="1">
      <c r="BM11036" s="1025"/>
      <c r="BO11036" s="43"/>
    </row>
    <row r="11037" spans="65:67" ht="18.75" customHeight="1">
      <c r="BM11037" s="1025"/>
      <c r="BO11037" s="43"/>
    </row>
    <row r="11038" spans="65:67" ht="18.75" customHeight="1">
      <c r="BM11038" s="1025"/>
      <c r="BO11038" s="43"/>
    </row>
    <row r="11039" spans="65:67" ht="18.75" customHeight="1">
      <c r="BM11039" s="1025"/>
      <c r="BO11039" s="43"/>
    </row>
    <row r="11040" spans="65:67" ht="18.75" customHeight="1">
      <c r="BM11040" s="1025"/>
      <c r="BO11040" s="43"/>
    </row>
    <row r="11041" spans="65:67" ht="18.75" customHeight="1">
      <c r="BM11041" s="1025"/>
      <c r="BO11041" s="43"/>
    </row>
    <row r="11042" spans="65:67" ht="18.75" customHeight="1">
      <c r="BM11042" s="1025"/>
      <c r="BO11042" s="43"/>
    </row>
    <row r="11043" spans="65:67" ht="18.75" customHeight="1">
      <c r="BM11043" s="1025"/>
      <c r="BO11043" s="43"/>
    </row>
    <row r="11044" spans="65:67" ht="18.75" customHeight="1">
      <c r="BM11044" s="1025"/>
      <c r="BO11044" s="43"/>
    </row>
    <row r="11045" spans="65:67" ht="18.75" customHeight="1">
      <c r="BM11045" s="1025"/>
      <c r="BO11045" s="43"/>
    </row>
    <row r="11046" spans="65:67" ht="18.75" customHeight="1">
      <c r="BM11046" s="1025"/>
      <c r="BO11046" s="43"/>
    </row>
    <row r="11047" spans="65:67" ht="18.75" customHeight="1">
      <c r="BM11047" s="1025"/>
      <c r="BO11047" s="43"/>
    </row>
    <row r="11048" spans="65:67" ht="18.75" customHeight="1">
      <c r="BM11048" s="1025"/>
      <c r="BO11048" s="43"/>
    </row>
    <row r="11049" spans="65:67" ht="18.75" customHeight="1">
      <c r="BM11049" s="1025"/>
      <c r="BO11049" s="43"/>
    </row>
    <row r="11050" spans="65:67" ht="18.75" customHeight="1">
      <c r="BM11050" s="1025"/>
      <c r="BO11050" s="43"/>
    </row>
    <row r="11051" spans="65:67" ht="18.75" customHeight="1">
      <c r="BM11051" s="1025"/>
      <c r="BO11051" s="43"/>
    </row>
    <row r="11052" spans="65:67" ht="18.75" customHeight="1">
      <c r="BM11052" s="1025"/>
      <c r="BO11052" s="43"/>
    </row>
    <row r="11053" spans="65:67" ht="18.75" customHeight="1">
      <c r="BM11053" s="1025"/>
      <c r="BO11053" s="43"/>
    </row>
    <row r="11054" spans="65:67" ht="18.75" customHeight="1">
      <c r="BM11054" s="1025"/>
      <c r="BO11054" s="43"/>
    </row>
    <row r="11055" spans="65:67" ht="18.75" customHeight="1">
      <c r="BM11055" s="1025"/>
      <c r="BO11055" s="43"/>
    </row>
    <row r="11056" spans="65:67" ht="18.75" customHeight="1">
      <c r="BM11056" s="1025"/>
      <c r="BO11056" s="43"/>
    </row>
    <row r="11057" spans="65:67" ht="18.75" customHeight="1">
      <c r="BM11057" s="1025"/>
      <c r="BO11057" s="43"/>
    </row>
    <row r="11058" spans="65:67" ht="18.75" customHeight="1">
      <c r="BM11058" s="1025"/>
      <c r="BO11058" s="43"/>
    </row>
    <row r="11059" spans="65:67" ht="18.75" customHeight="1">
      <c r="BM11059" s="1025"/>
      <c r="BO11059" s="43"/>
    </row>
    <row r="11060" spans="65:67" ht="18.75" customHeight="1">
      <c r="BM11060" s="1025"/>
      <c r="BO11060" s="43"/>
    </row>
    <row r="11061" spans="65:67" ht="18.75" customHeight="1">
      <c r="BM11061" s="1025"/>
      <c r="BO11061" s="43"/>
    </row>
    <row r="11062" spans="65:67" ht="18.75" customHeight="1">
      <c r="BM11062" s="1025"/>
      <c r="BO11062" s="43"/>
    </row>
    <row r="11063" spans="65:67" ht="18.75" customHeight="1">
      <c r="BM11063" s="1025"/>
      <c r="BO11063" s="43"/>
    </row>
    <row r="11064" spans="65:67" ht="18.75" customHeight="1">
      <c r="BM11064" s="1025"/>
      <c r="BO11064" s="43"/>
    </row>
    <row r="11065" spans="65:67" ht="18.75" customHeight="1">
      <c r="BM11065" s="1025"/>
      <c r="BO11065" s="43"/>
    </row>
    <row r="11066" spans="65:67" ht="18.75" customHeight="1">
      <c r="BM11066" s="1025"/>
      <c r="BO11066" s="43"/>
    </row>
    <row r="11067" spans="65:67" ht="18.75" customHeight="1">
      <c r="BM11067" s="1025"/>
      <c r="BO11067" s="43"/>
    </row>
    <row r="11068" spans="65:67" ht="18.75" customHeight="1">
      <c r="BM11068" s="1025"/>
      <c r="BO11068" s="43"/>
    </row>
    <row r="11069" spans="65:67" ht="18.75" customHeight="1">
      <c r="BM11069" s="1025"/>
      <c r="BO11069" s="43"/>
    </row>
    <row r="11070" spans="65:67" ht="18.75" customHeight="1">
      <c r="BM11070" s="1025"/>
      <c r="BO11070" s="43"/>
    </row>
    <row r="11071" spans="65:67" ht="18.75" customHeight="1">
      <c r="BM11071" s="1025"/>
      <c r="BO11071" s="43"/>
    </row>
    <row r="11072" spans="65:67" ht="18.75" customHeight="1">
      <c r="BM11072" s="1025"/>
      <c r="BO11072" s="43"/>
    </row>
    <row r="11073" spans="65:67" ht="18.75" customHeight="1">
      <c r="BM11073" s="1025"/>
      <c r="BO11073" s="43"/>
    </row>
    <row r="11074" spans="65:67" ht="18.75" customHeight="1">
      <c r="BM11074" s="1025"/>
      <c r="BO11074" s="43"/>
    </row>
    <row r="11075" spans="65:67" ht="18.75" customHeight="1">
      <c r="BM11075" s="1025"/>
      <c r="BO11075" s="43"/>
    </row>
    <row r="11076" spans="65:67" ht="18.75" customHeight="1">
      <c r="BM11076" s="1025"/>
      <c r="BO11076" s="43"/>
    </row>
    <row r="11077" spans="65:67" ht="18.75" customHeight="1">
      <c r="BM11077" s="1025"/>
      <c r="BO11077" s="43"/>
    </row>
    <row r="11078" spans="65:67" ht="18.75" customHeight="1">
      <c r="BM11078" s="1025"/>
      <c r="BO11078" s="43"/>
    </row>
    <row r="11079" spans="65:67" ht="18.75" customHeight="1">
      <c r="BM11079" s="1025"/>
      <c r="BO11079" s="43"/>
    </row>
    <row r="11080" spans="65:67" ht="18.75" customHeight="1">
      <c r="BM11080" s="1025"/>
      <c r="BO11080" s="43"/>
    </row>
    <row r="11081" spans="65:67" ht="18.75" customHeight="1">
      <c r="BM11081" s="1025"/>
      <c r="BO11081" s="43"/>
    </row>
    <row r="11082" spans="65:67" ht="18.75" customHeight="1">
      <c r="BM11082" s="1025"/>
      <c r="BO11082" s="43"/>
    </row>
    <row r="11083" spans="65:67" ht="18.75" customHeight="1">
      <c r="BM11083" s="1025"/>
      <c r="BO11083" s="43"/>
    </row>
    <row r="11084" spans="65:67" ht="18.75" customHeight="1">
      <c r="BM11084" s="1025"/>
      <c r="BO11084" s="43"/>
    </row>
    <row r="11085" spans="65:67" ht="18.75" customHeight="1">
      <c r="BM11085" s="1025"/>
      <c r="BO11085" s="43"/>
    </row>
    <row r="11086" spans="65:67" ht="18.75" customHeight="1">
      <c r="BM11086" s="1025"/>
      <c r="BO11086" s="43"/>
    </row>
    <row r="11087" spans="65:67" ht="18.75" customHeight="1">
      <c r="BM11087" s="1025"/>
      <c r="BO11087" s="43"/>
    </row>
    <row r="11088" spans="65:67" ht="18.75" customHeight="1">
      <c r="BM11088" s="1025"/>
      <c r="BO11088" s="43"/>
    </row>
    <row r="11089" spans="65:67" ht="18.75" customHeight="1">
      <c r="BM11089" s="1025"/>
      <c r="BO11089" s="43"/>
    </row>
    <row r="11090" spans="65:67" ht="18.75" customHeight="1">
      <c r="BM11090" s="1025"/>
      <c r="BO11090" s="43"/>
    </row>
    <row r="11091" spans="65:67" ht="18.75" customHeight="1">
      <c r="BM11091" s="1025"/>
      <c r="BO11091" s="43"/>
    </row>
    <row r="11092" spans="65:67" ht="18.75" customHeight="1">
      <c r="BM11092" s="1025"/>
      <c r="BO11092" s="43"/>
    </row>
    <row r="11093" spans="65:67" ht="18.75" customHeight="1">
      <c r="BM11093" s="1025"/>
      <c r="BO11093" s="43"/>
    </row>
    <row r="11094" spans="65:67" ht="18.75" customHeight="1">
      <c r="BM11094" s="1025"/>
      <c r="BO11094" s="43"/>
    </row>
    <row r="11095" spans="65:67" ht="18.75" customHeight="1">
      <c r="BM11095" s="1025"/>
      <c r="BO11095" s="43"/>
    </row>
    <row r="11096" spans="65:67" ht="18.75" customHeight="1">
      <c r="BM11096" s="1025"/>
      <c r="BO11096" s="43"/>
    </row>
    <row r="11097" spans="65:67" ht="18.75" customHeight="1">
      <c r="BM11097" s="1025"/>
      <c r="BO11097" s="43"/>
    </row>
    <row r="11098" spans="65:67" ht="18.75" customHeight="1">
      <c r="BM11098" s="1025"/>
      <c r="BO11098" s="43"/>
    </row>
    <row r="11099" spans="65:67" ht="18.75" customHeight="1">
      <c r="BM11099" s="1025"/>
      <c r="BO11099" s="43"/>
    </row>
    <row r="11100" spans="65:67" ht="18.75" customHeight="1">
      <c r="BM11100" s="1025"/>
      <c r="BO11100" s="43"/>
    </row>
    <row r="11101" spans="65:67" ht="18.75" customHeight="1">
      <c r="BM11101" s="1025"/>
      <c r="BO11101" s="43"/>
    </row>
    <row r="11102" spans="65:67" ht="18.75" customHeight="1">
      <c r="BM11102" s="1025"/>
      <c r="BO11102" s="43"/>
    </row>
    <row r="11103" spans="65:67" ht="18.75" customHeight="1">
      <c r="BM11103" s="1025"/>
      <c r="BO11103" s="43"/>
    </row>
    <row r="11104" spans="65:67" ht="18.75" customHeight="1">
      <c r="BM11104" s="1025"/>
      <c r="BO11104" s="43"/>
    </row>
    <row r="11105" spans="65:67" ht="18.75" customHeight="1">
      <c r="BM11105" s="1025"/>
      <c r="BO11105" s="43"/>
    </row>
    <row r="11106" spans="65:67" ht="18.75" customHeight="1">
      <c r="BM11106" s="1025"/>
      <c r="BO11106" s="43"/>
    </row>
    <row r="11107" spans="65:67" ht="18.75" customHeight="1">
      <c r="BM11107" s="1025"/>
      <c r="BO11107" s="43"/>
    </row>
    <row r="11108" spans="65:67" ht="18.75" customHeight="1">
      <c r="BM11108" s="1025"/>
      <c r="BO11108" s="43"/>
    </row>
    <row r="11109" spans="65:67" ht="18.75" customHeight="1">
      <c r="BM11109" s="1025"/>
      <c r="BO11109" s="43"/>
    </row>
    <row r="11110" spans="65:67" ht="18.75" customHeight="1">
      <c r="BM11110" s="1025"/>
      <c r="BO11110" s="43"/>
    </row>
    <row r="11111" spans="65:67" ht="18.75" customHeight="1">
      <c r="BM11111" s="1025"/>
      <c r="BO11111" s="43"/>
    </row>
    <row r="11112" spans="65:67" ht="18.75" customHeight="1">
      <c r="BM11112" s="1025"/>
      <c r="BO11112" s="43"/>
    </row>
    <row r="11113" spans="65:67" ht="18.75" customHeight="1">
      <c r="BM11113" s="1025"/>
      <c r="BO11113" s="43"/>
    </row>
    <row r="11114" spans="65:67" ht="18.75" customHeight="1">
      <c r="BM11114" s="1025"/>
      <c r="BO11114" s="43"/>
    </row>
    <row r="11115" spans="65:67" ht="18.75" customHeight="1">
      <c r="BM11115" s="1025"/>
      <c r="BO11115" s="43"/>
    </row>
    <row r="11116" spans="65:67" ht="18.75" customHeight="1">
      <c r="BM11116" s="1025"/>
      <c r="BO11116" s="43"/>
    </row>
    <row r="11117" spans="65:67" ht="18.75" customHeight="1">
      <c r="BM11117" s="1025"/>
      <c r="BO11117" s="43"/>
    </row>
    <row r="11118" spans="65:67" ht="18.75" customHeight="1">
      <c r="BM11118" s="1025"/>
      <c r="BO11118" s="43"/>
    </row>
    <row r="11119" spans="65:67" ht="18.75" customHeight="1">
      <c r="BM11119" s="1025"/>
      <c r="BO11119" s="43"/>
    </row>
    <row r="11120" spans="65:67" ht="18.75" customHeight="1">
      <c r="BM11120" s="1025"/>
      <c r="BO11120" s="43"/>
    </row>
    <row r="11121" spans="65:67" ht="18.75" customHeight="1">
      <c r="BM11121" s="1025"/>
      <c r="BO11121" s="43"/>
    </row>
    <row r="11122" spans="65:67" ht="18.75" customHeight="1">
      <c r="BM11122" s="1025"/>
      <c r="BO11122" s="43"/>
    </row>
    <row r="11123" spans="65:67" ht="18.75" customHeight="1">
      <c r="BM11123" s="1025"/>
      <c r="BO11123" s="43"/>
    </row>
    <row r="11124" spans="65:67" ht="18.75" customHeight="1">
      <c r="BM11124" s="1025"/>
      <c r="BO11124" s="43"/>
    </row>
    <row r="11125" spans="65:67" ht="18.75" customHeight="1">
      <c r="BM11125" s="1025"/>
      <c r="BO11125" s="43"/>
    </row>
    <row r="11126" spans="65:67" ht="18.75" customHeight="1">
      <c r="BM11126" s="1025"/>
      <c r="BO11126" s="43"/>
    </row>
    <row r="11127" spans="65:67" ht="18.75" customHeight="1">
      <c r="BM11127" s="1025"/>
      <c r="BO11127" s="43"/>
    </row>
    <row r="11128" spans="65:67" ht="18.75" customHeight="1">
      <c r="BM11128" s="1025"/>
      <c r="BO11128" s="43"/>
    </row>
    <row r="11129" spans="65:67" ht="18.75" customHeight="1">
      <c r="BM11129" s="1025"/>
      <c r="BO11129" s="43"/>
    </row>
    <row r="11130" spans="65:67" ht="18.75" customHeight="1">
      <c r="BM11130" s="1025"/>
      <c r="BO11130" s="43"/>
    </row>
    <row r="11131" spans="65:67" ht="18.75" customHeight="1">
      <c r="BM11131" s="1025"/>
      <c r="BO11131" s="43"/>
    </row>
    <row r="11132" spans="65:67" ht="18.75" customHeight="1">
      <c r="BM11132" s="1025"/>
      <c r="BO11132" s="43"/>
    </row>
    <row r="11133" spans="65:67" ht="18.75" customHeight="1">
      <c r="BM11133" s="1025"/>
      <c r="BO11133" s="43"/>
    </row>
    <row r="11134" spans="65:67" ht="18.75" customHeight="1">
      <c r="BM11134" s="1025"/>
      <c r="BO11134" s="43"/>
    </row>
    <row r="11135" spans="65:67" ht="18.75" customHeight="1">
      <c r="BM11135" s="1025"/>
      <c r="BO11135" s="43"/>
    </row>
    <row r="11136" spans="65:67" ht="18.75" customHeight="1">
      <c r="BM11136" s="1025"/>
      <c r="BO11136" s="43"/>
    </row>
    <row r="11137" spans="65:67" ht="18.75" customHeight="1">
      <c r="BM11137" s="1025"/>
      <c r="BO11137" s="43"/>
    </row>
    <row r="11138" spans="65:67" ht="18.75" customHeight="1">
      <c r="BM11138" s="1025"/>
      <c r="BO11138" s="43"/>
    </row>
    <row r="11139" spans="65:67" ht="18.75" customHeight="1">
      <c r="BM11139" s="1025"/>
      <c r="BO11139" s="43"/>
    </row>
    <row r="11140" spans="65:67" ht="18.75" customHeight="1">
      <c r="BM11140" s="1025"/>
      <c r="BO11140" s="43"/>
    </row>
    <row r="11141" spans="65:67" ht="18.75" customHeight="1">
      <c r="BM11141" s="1025"/>
      <c r="BO11141" s="43"/>
    </row>
    <row r="11142" spans="65:67" ht="18.75" customHeight="1">
      <c r="BM11142" s="1025"/>
      <c r="BO11142" s="43"/>
    </row>
    <row r="11143" spans="65:67" ht="18.75" customHeight="1">
      <c r="BM11143" s="1025"/>
      <c r="BO11143" s="43"/>
    </row>
    <row r="11144" spans="65:67" ht="18.75" customHeight="1">
      <c r="BM11144" s="1025"/>
      <c r="BO11144" s="43"/>
    </row>
    <row r="11145" spans="65:67" ht="18.75" customHeight="1">
      <c r="BM11145" s="1025"/>
      <c r="BO11145" s="43"/>
    </row>
    <row r="11146" spans="65:67" ht="18.75" customHeight="1">
      <c r="BM11146" s="1025"/>
      <c r="BO11146" s="43"/>
    </row>
    <row r="11147" spans="65:67" ht="18.75" customHeight="1">
      <c r="BM11147" s="1025"/>
      <c r="BO11147" s="43"/>
    </row>
    <row r="11148" spans="65:67" ht="18.75" customHeight="1">
      <c r="BM11148" s="1025"/>
      <c r="BO11148" s="43"/>
    </row>
    <row r="11149" spans="65:67" ht="18.75" customHeight="1">
      <c r="BM11149" s="1025"/>
      <c r="BO11149" s="43"/>
    </row>
    <row r="11150" spans="65:67" ht="18.75" customHeight="1">
      <c r="BM11150" s="1025"/>
      <c r="BO11150" s="43"/>
    </row>
    <row r="11151" spans="65:67" ht="18.75" customHeight="1">
      <c r="BM11151" s="1025"/>
      <c r="BO11151" s="43"/>
    </row>
    <row r="11152" spans="65:67" ht="18.75" customHeight="1">
      <c r="BM11152" s="1025"/>
      <c r="BO11152" s="43"/>
    </row>
    <row r="11153" spans="65:67" ht="18.75" customHeight="1">
      <c r="BM11153" s="1025"/>
      <c r="BO11153" s="43"/>
    </row>
    <row r="11154" spans="65:67" ht="18.75" customHeight="1">
      <c r="BM11154" s="1025"/>
      <c r="BO11154" s="43"/>
    </row>
    <row r="11155" spans="65:67" ht="18.75" customHeight="1">
      <c r="BM11155" s="1025"/>
      <c r="BO11155" s="43"/>
    </row>
    <row r="11156" spans="65:67" ht="18.75" customHeight="1">
      <c r="BM11156" s="1025"/>
      <c r="BO11156" s="43"/>
    </row>
    <row r="11157" spans="65:67" ht="18.75" customHeight="1">
      <c r="BM11157" s="1025"/>
      <c r="BO11157" s="43"/>
    </row>
    <row r="11158" spans="65:67" ht="18.75" customHeight="1">
      <c r="BM11158" s="1025"/>
      <c r="BO11158" s="43"/>
    </row>
    <row r="11159" spans="65:67" ht="18.75" customHeight="1">
      <c r="BM11159" s="1025"/>
      <c r="BO11159" s="43"/>
    </row>
    <row r="11160" spans="65:67" ht="18.75" customHeight="1">
      <c r="BM11160" s="1025"/>
      <c r="BO11160" s="43"/>
    </row>
    <row r="11161" spans="65:67" ht="18.75" customHeight="1">
      <c r="BM11161" s="1025"/>
      <c r="BO11161" s="43"/>
    </row>
    <row r="11162" spans="65:67" ht="18.75" customHeight="1">
      <c r="BM11162" s="1025"/>
      <c r="BO11162" s="43"/>
    </row>
    <row r="11163" spans="65:67" ht="18.75" customHeight="1">
      <c r="BM11163" s="1025"/>
      <c r="BO11163" s="43"/>
    </row>
    <row r="11164" spans="65:67" ht="18.75" customHeight="1">
      <c r="BM11164" s="1025"/>
      <c r="BO11164" s="43"/>
    </row>
    <row r="11165" spans="65:67" ht="18.75" customHeight="1">
      <c r="BM11165" s="1025"/>
      <c r="BO11165" s="43"/>
    </row>
    <row r="11166" spans="65:67" ht="18.75" customHeight="1">
      <c r="BM11166" s="1025"/>
      <c r="BO11166" s="43"/>
    </row>
    <row r="11167" spans="65:67" ht="18.75" customHeight="1">
      <c r="BM11167" s="1025"/>
      <c r="BO11167" s="43"/>
    </row>
    <row r="11168" spans="65:67" ht="18.75" customHeight="1">
      <c r="BM11168" s="1025"/>
      <c r="BO11168" s="43"/>
    </row>
    <row r="11169" spans="65:67" ht="18.75" customHeight="1">
      <c r="BM11169" s="1025"/>
      <c r="BO11169" s="43"/>
    </row>
    <row r="11170" spans="65:67" ht="18.75" customHeight="1">
      <c r="BM11170" s="1025"/>
      <c r="BO11170" s="43"/>
    </row>
    <row r="11171" spans="65:67" ht="18.75" customHeight="1">
      <c r="BM11171" s="1025"/>
      <c r="BO11171" s="43"/>
    </row>
    <row r="11172" spans="65:67" ht="18.75" customHeight="1">
      <c r="BM11172" s="1025"/>
      <c r="BO11172" s="43"/>
    </row>
    <row r="11173" spans="65:67" ht="18.75" customHeight="1">
      <c r="BM11173" s="1025"/>
      <c r="BO11173" s="43"/>
    </row>
    <row r="11174" spans="65:67" ht="18.75" customHeight="1">
      <c r="BM11174" s="1025"/>
      <c r="BO11174" s="43"/>
    </row>
    <row r="11175" spans="65:67" ht="18.75" customHeight="1">
      <c r="BM11175" s="1025"/>
      <c r="BO11175" s="43"/>
    </row>
    <row r="11176" spans="65:67" ht="18.75" customHeight="1">
      <c r="BM11176" s="1025"/>
      <c r="BO11176" s="43"/>
    </row>
    <row r="11177" spans="65:67" ht="18.75" customHeight="1">
      <c r="BM11177" s="1025"/>
      <c r="BO11177" s="43"/>
    </row>
    <row r="11178" spans="65:67" ht="18.75" customHeight="1">
      <c r="BM11178" s="1025"/>
      <c r="BO11178" s="43"/>
    </row>
    <row r="11179" spans="65:67" ht="18.75" customHeight="1">
      <c r="BM11179" s="1025"/>
      <c r="BO11179" s="43"/>
    </row>
    <row r="11180" spans="65:67" ht="18.75" customHeight="1">
      <c r="BM11180" s="1025"/>
      <c r="BO11180" s="43"/>
    </row>
    <row r="11181" spans="65:67" ht="18.75" customHeight="1">
      <c r="BM11181" s="1025"/>
      <c r="BO11181" s="43"/>
    </row>
    <row r="11182" spans="65:67" ht="18.75" customHeight="1">
      <c r="BM11182" s="1025"/>
      <c r="BO11182" s="43"/>
    </row>
    <row r="11183" spans="65:67" ht="18.75" customHeight="1">
      <c r="BM11183" s="1025"/>
      <c r="BO11183" s="43"/>
    </row>
    <row r="11184" spans="65:67" ht="18.75" customHeight="1">
      <c r="BM11184" s="1025"/>
      <c r="BO11184" s="43"/>
    </row>
    <row r="11185" spans="65:67" ht="18.75" customHeight="1">
      <c r="BM11185" s="1025"/>
      <c r="BO11185" s="43"/>
    </row>
    <row r="11186" spans="65:67" ht="18.75" customHeight="1">
      <c r="BM11186" s="1025"/>
      <c r="BO11186" s="43"/>
    </row>
    <row r="11187" spans="65:67" ht="18.75" customHeight="1">
      <c r="BM11187" s="1025"/>
      <c r="BO11187" s="43"/>
    </row>
    <row r="11188" spans="65:67" ht="18.75" customHeight="1">
      <c r="BM11188" s="1025"/>
      <c r="BO11188" s="43"/>
    </row>
    <row r="11189" spans="65:67" ht="18.75" customHeight="1">
      <c r="BM11189" s="1025"/>
      <c r="BO11189" s="43"/>
    </row>
    <row r="11190" spans="65:67" ht="18.75" customHeight="1">
      <c r="BM11190" s="1025"/>
      <c r="BO11190" s="43"/>
    </row>
    <row r="11191" spans="65:67" ht="18.75" customHeight="1">
      <c r="BM11191" s="1025"/>
      <c r="BO11191" s="43"/>
    </row>
    <row r="11192" spans="65:67" ht="18.75" customHeight="1">
      <c r="BM11192" s="1025"/>
      <c r="BO11192" s="43"/>
    </row>
    <row r="11193" spans="65:67" ht="18.75" customHeight="1">
      <c r="BM11193" s="1025"/>
      <c r="BO11193" s="43"/>
    </row>
    <row r="11194" spans="65:67" ht="18.75" customHeight="1">
      <c r="BM11194" s="1025"/>
      <c r="BO11194" s="43"/>
    </row>
    <row r="11195" spans="65:67" ht="18.75" customHeight="1">
      <c r="BM11195" s="1025"/>
      <c r="BO11195" s="43"/>
    </row>
    <row r="11196" spans="65:67" ht="18.75" customHeight="1">
      <c r="BM11196" s="1025"/>
      <c r="BO11196" s="43"/>
    </row>
    <row r="11197" spans="65:67" ht="18.75" customHeight="1">
      <c r="BM11197" s="1025"/>
      <c r="BO11197" s="43"/>
    </row>
    <row r="11198" spans="65:67" ht="18.75" customHeight="1">
      <c r="BM11198" s="1025"/>
      <c r="BO11198" s="43"/>
    </row>
    <row r="11199" spans="65:67" ht="18.75" customHeight="1">
      <c r="BM11199" s="1025"/>
      <c r="BO11199" s="43"/>
    </row>
    <row r="11200" spans="65:67" ht="18.75" customHeight="1">
      <c r="BM11200" s="1025"/>
      <c r="BO11200" s="43"/>
    </row>
    <row r="11201" spans="65:67" ht="18.75" customHeight="1">
      <c r="BM11201" s="1025"/>
      <c r="BO11201" s="43"/>
    </row>
    <row r="11202" spans="65:67" ht="18.75" customHeight="1">
      <c r="BM11202" s="1025"/>
      <c r="BO11202" s="43"/>
    </row>
    <row r="11203" spans="65:67" ht="18.75" customHeight="1">
      <c r="BM11203" s="1025"/>
      <c r="BO11203" s="43"/>
    </row>
    <row r="11204" spans="65:67" ht="18.75" customHeight="1">
      <c r="BM11204" s="1025"/>
      <c r="BO11204" s="43"/>
    </row>
    <row r="11205" spans="65:67" ht="18.75" customHeight="1">
      <c r="BM11205" s="1025"/>
      <c r="BO11205" s="43"/>
    </row>
    <row r="11206" spans="65:67" ht="18.75" customHeight="1">
      <c r="BM11206" s="1025"/>
      <c r="BO11206" s="43"/>
    </row>
    <row r="11207" spans="65:67" ht="18.75" customHeight="1">
      <c r="BM11207" s="1025"/>
      <c r="BO11207" s="43"/>
    </row>
    <row r="11208" spans="65:67" ht="18.75" customHeight="1">
      <c r="BM11208" s="1025"/>
      <c r="BO11208" s="43"/>
    </row>
    <row r="11209" spans="65:67" ht="18.75" customHeight="1">
      <c r="BM11209" s="1025"/>
      <c r="BO11209" s="43"/>
    </row>
    <row r="11210" spans="65:67" ht="18.75" customHeight="1">
      <c r="BM11210" s="1025"/>
      <c r="BO11210" s="43"/>
    </row>
    <row r="11211" spans="65:67" ht="18.75" customHeight="1">
      <c r="BM11211" s="1025"/>
      <c r="BO11211" s="43"/>
    </row>
    <row r="11212" spans="65:67" ht="18.75" customHeight="1">
      <c r="BM11212" s="1025"/>
      <c r="BO11212" s="43"/>
    </row>
    <row r="11213" spans="65:67" ht="18.75" customHeight="1">
      <c r="BM11213" s="1025"/>
      <c r="BO11213" s="43"/>
    </row>
    <row r="11214" spans="65:67" ht="18.75" customHeight="1">
      <c r="BM11214" s="1025"/>
      <c r="BO11214" s="43"/>
    </row>
    <row r="11215" spans="65:67" ht="18.75" customHeight="1">
      <c r="BM11215" s="1025"/>
      <c r="BO11215" s="43"/>
    </row>
    <row r="11216" spans="65:67" ht="18.75" customHeight="1">
      <c r="BM11216" s="1025"/>
      <c r="BO11216" s="43"/>
    </row>
    <row r="11217" spans="65:67" ht="18.75" customHeight="1">
      <c r="BM11217" s="1025"/>
      <c r="BO11217" s="43"/>
    </row>
    <row r="11218" spans="65:67" ht="18.75" customHeight="1">
      <c r="BM11218" s="1025"/>
      <c r="BO11218" s="43"/>
    </row>
    <row r="11219" spans="65:67" ht="18.75" customHeight="1">
      <c r="BM11219" s="1025"/>
      <c r="BO11219" s="43"/>
    </row>
    <row r="11220" spans="65:67" ht="18.75" customHeight="1">
      <c r="BM11220" s="1025"/>
      <c r="BO11220" s="43"/>
    </row>
    <row r="11221" spans="65:67" ht="18.75" customHeight="1">
      <c r="BM11221" s="1025"/>
      <c r="BO11221" s="43"/>
    </row>
    <row r="11222" spans="65:67" ht="18.75" customHeight="1">
      <c r="BM11222" s="1025"/>
      <c r="BO11222" s="43"/>
    </row>
    <row r="11223" spans="65:67" ht="18.75" customHeight="1">
      <c r="BM11223" s="1025"/>
      <c r="BO11223" s="43"/>
    </row>
    <row r="11224" spans="65:67" ht="18.75" customHeight="1">
      <c r="BM11224" s="1025"/>
      <c r="BO11224" s="43"/>
    </row>
    <row r="11225" spans="65:67" ht="18.75" customHeight="1">
      <c r="BM11225" s="1025"/>
      <c r="BO11225" s="43"/>
    </row>
    <row r="11226" spans="65:67" ht="18.75" customHeight="1">
      <c r="BM11226" s="1025"/>
      <c r="BO11226" s="43"/>
    </row>
    <row r="11227" spans="65:67" ht="18.75" customHeight="1">
      <c r="BM11227" s="1025"/>
      <c r="BO11227" s="43"/>
    </row>
    <row r="11228" spans="65:67" ht="18.75" customHeight="1">
      <c r="BM11228" s="1025"/>
      <c r="BO11228" s="43"/>
    </row>
    <row r="11229" spans="65:67" ht="18.75" customHeight="1">
      <c r="BM11229" s="1025"/>
      <c r="BO11229" s="43"/>
    </row>
    <row r="11230" spans="65:67" ht="18.75" customHeight="1">
      <c r="BM11230" s="1025"/>
      <c r="BO11230" s="43"/>
    </row>
    <row r="11231" spans="65:67" ht="18.75" customHeight="1">
      <c r="BM11231" s="1025"/>
      <c r="BO11231" s="43"/>
    </row>
    <row r="11232" spans="65:67" ht="18.75" customHeight="1">
      <c r="BM11232" s="1025"/>
      <c r="BO11232" s="43"/>
    </row>
    <row r="11233" spans="65:67" ht="18.75" customHeight="1">
      <c r="BM11233" s="1025"/>
      <c r="BO11233" s="43"/>
    </row>
    <row r="11234" spans="65:67" ht="18.75" customHeight="1">
      <c r="BM11234" s="1025"/>
      <c r="BO11234" s="43"/>
    </row>
    <row r="11235" spans="65:67" ht="18.75" customHeight="1">
      <c r="BM11235" s="1025"/>
      <c r="BO11235" s="43"/>
    </row>
    <row r="11236" spans="65:67" ht="18.75" customHeight="1">
      <c r="BM11236" s="1025"/>
      <c r="BO11236" s="43"/>
    </row>
    <row r="11237" spans="65:67" ht="18.75" customHeight="1">
      <c r="BM11237" s="1025"/>
      <c r="BO11237" s="43"/>
    </row>
    <row r="11238" spans="65:67" ht="18.75" customHeight="1">
      <c r="BM11238" s="1025"/>
      <c r="BO11238" s="43"/>
    </row>
    <row r="11239" spans="65:67" ht="18.75" customHeight="1">
      <c r="BM11239" s="1025"/>
      <c r="BO11239" s="43"/>
    </row>
    <row r="11240" spans="65:67" ht="18.75" customHeight="1">
      <c r="BM11240" s="1025"/>
      <c r="BO11240" s="43"/>
    </row>
    <row r="11241" spans="65:67" ht="18.75" customHeight="1">
      <c r="BM11241" s="1025"/>
      <c r="BO11241" s="43"/>
    </row>
    <row r="11242" spans="65:67" ht="18.75" customHeight="1">
      <c r="BM11242" s="1025"/>
      <c r="BO11242" s="43"/>
    </row>
    <row r="11243" spans="65:67" ht="18.75" customHeight="1">
      <c r="BM11243" s="1025"/>
      <c r="BO11243" s="43"/>
    </row>
    <row r="11244" spans="65:67" ht="18.75" customHeight="1">
      <c r="BM11244" s="1025"/>
      <c r="BO11244" s="43"/>
    </row>
    <row r="11245" spans="65:67" ht="18.75" customHeight="1">
      <c r="BM11245" s="1025"/>
      <c r="BO11245" s="43"/>
    </row>
    <row r="11246" spans="65:67" ht="18.75" customHeight="1">
      <c r="BM11246" s="1025"/>
      <c r="BO11246" s="43"/>
    </row>
    <row r="11247" spans="65:67" ht="18.75" customHeight="1">
      <c r="BM11247" s="1025"/>
      <c r="BO11247" s="43"/>
    </row>
    <row r="11248" spans="65:67" ht="18.75" customHeight="1">
      <c r="BM11248" s="1025"/>
      <c r="BO11248" s="43"/>
    </row>
    <row r="11249" spans="65:67" ht="18.75" customHeight="1">
      <c r="BM11249" s="1025"/>
      <c r="BO11249" s="43"/>
    </row>
    <row r="11250" spans="65:67" ht="18.75" customHeight="1">
      <c r="BM11250" s="1025"/>
      <c r="BO11250" s="43"/>
    </row>
    <row r="11251" spans="65:67" ht="18.75" customHeight="1">
      <c r="BM11251" s="1025"/>
      <c r="BO11251" s="43"/>
    </row>
    <row r="11252" spans="65:67" ht="18.75" customHeight="1">
      <c r="BM11252" s="1025"/>
      <c r="BO11252" s="43"/>
    </row>
    <row r="11253" spans="65:67" ht="18.75" customHeight="1">
      <c r="BM11253" s="1025"/>
      <c r="BO11253" s="43"/>
    </row>
    <row r="11254" spans="65:67" ht="18.75" customHeight="1">
      <c r="BM11254" s="1025"/>
      <c r="BO11254" s="43"/>
    </row>
    <row r="11255" spans="65:67" ht="18.75" customHeight="1">
      <c r="BM11255" s="1025"/>
      <c r="BO11255" s="43"/>
    </row>
    <row r="11256" spans="65:67" ht="18.75" customHeight="1">
      <c r="BM11256" s="1025"/>
      <c r="BO11256" s="43"/>
    </row>
    <row r="11257" spans="65:67" ht="18.75" customHeight="1">
      <c r="BM11257" s="1025"/>
      <c r="BO11257" s="43"/>
    </row>
    <row r="11258" spans="65:67" ht="18.75" customHeight="1">
      <c r="BM11258" s="1025"/>
      <c r="BO11258" s="43"/>
    </row>
    <row r="11259" spans="65:67" ht="18.75" customHeight="1">
      <c r="BM11259" s="1025"/>
      <c r="BO11259" s="43"/>
    </row>
    <row r="11260" spans="65:67" ht="18.75" customHeight="1">
      <c r="BM11260" s="1025"/>
      <c r="BO11260" s="43"/>
    </row>
    <row r="11261" spans="65:67" ht="18.75" customHeight="1">
      <c r="BM11261" s="1025"/>
      <c r="BO11261" s="43"/>
    </row>
    <row r="11262" spans="65:67" ht="18.75" customHeight="1">
      <c r="BM11262" s="1025"/>
      <c r="BO11262" s="43"/>
    </row>
    <row r="11263" spans="65:67" ht="18.75" customHeight="1">
      <c r="BM11263" s="1025"/>
      <c r="BO11263" s="43"/>
    </row>
    <row r="11264" spans="65:67" ht="18.75" customHeight="1">
      <c r="BM11264" s="1025"/>
      <c r="BO11264" s="43"/>
    </row>
    <row r="11265" spans="65:67" ht="18.75" customHeight="1">
      <c r="BM11265" s="1025"/>
      <c r="BO11265" s="43"/>
    </row>
    <row r="11266" spans="65:67" ht="18.75" customHeight="1">
      <c r="BM11266" s="1025"/>
      <c r="BO11266" s="43"/>
    </row>
    <row r="11267" spans="65:67" ht="18.75" customHeight="1">
      <c r="BM11267" s="1025"/>
      <c r="BO11267" s="43"/>
    </row>
    <row r="11268" spans="65:67" ht="18.75" customHeight="1">
      <c r="BM11268" s="1025"/>
      <c r="BO11268" s="43"/>
    </row>
    <row r="11269" spans="65:67" ht="18.75" customHeight="1">
      <c r="BM11269" s="1025"/>
      <c r="BO11269" s="43"/>
    </row>
    <row r="11270" spans="65:67" ht="18.75" customHeight="1">
      <c r="BM11270" s="1025"/>
      <c r="BO11270" s="43"/>
    </row>
    <row r="11271" spans="65:67" ht="18.75" customHeight="1">
      <c r="BM11271" s="1025"/>
      <c r="BO11271" s="43"/>
    </row>
    <row r="11272" spans="65:67" ht="18.75" customHeight="1">
      <c r="BM11272" s="1025"/>
      <c r="BO11272" s="43"/>
    </row>
    <row r="11273" spans="65:67" ht="18.75" customHeight="1">
      <c r="BM11273" s="1025"/>
      <c r="BO11273" s="43"/>
    </row>
    <row r="11274" spans="65:67" ht="18.75" customHeight="1">
      <c r="BM11274" s="1025"/>
      <c r="BO11274" s="43"/>
    </row>
    <row r="11275" spans="65:67" ht="18.75" customHeight="1">
      <c r="BM11275" s="1025"/>
      <c r="BO11275" s="43"/>
    </row>
    <row r="11276" spans="65:67" ht="18.75" customHeight="1">
      <c r="BM11276" s="1025"/>
      <c r="BO11276" s="43"/>
    </row>
    <row r="11277" spans="65:67" ht="18.75" customHeight="1">
      <c r="BM11277" s="1025"/>
      <c r="BO11277" s="43"/>
    </row>
    <row r="11278" spans="65:67" ht="18.75" customHeight="1">
      <c r="BM11278" s="1025"/>
      <c r="BO11278" s="43"/>
    </row>
    <row r="11279" spans="65:67" ht="18.75" customHeight="1">
      <c r="BM11279" s="1025"/>
      <c r="BO11279" s="43"/>
    </row>
    <row r="11280" spans="65:67" ht="18.75" customHeight="1">
      <c r="BM11280" s="1025"/>
      <c r="BO11280" s="43"/>
    </row>
    <row r="11281" spans="65:67" ht="18.75" customHeight="1">
      <c r="BM11281" s="1025"/>
      <c r="BO11281" s="43"/>
    </row>
    <row r="11282" spans="65:67" ht="18.75" customHeight="1">
      <c r="BM11282" s="1025"/>
      <c r="BO11282" s="43"/>
    </row>
    <row r="11283" spans="65:67" ht="18.75" customHeight="1">
      <c r="BM11283" s="1025"/>
      <c r="BO11283" s="43"/>
    </row>
    <row r="11284" spans="65:67" ht="18.75" customHeight="1">
      <c r="BM11284" s="1025"/>
      <c r="BO11284" s="43"/>
    </row>
    <row r="11285" spans="65:67" ht="18.75" customHeight="1">
      <c r="BM11285" s="1025"/>
      <c r="BO11285" s="43"/>
    </row>
    <row r="11286" spans="65:67" ht="18.75" customHeight="1">
      <c r="BM11286" s="1025"/>
      <c r="BO11286" s="43"/>
    </row>
    <row r="11287" spans="65:67" ht="18.75" customHeight="1">
      <c r="BM11287" s="1025"/>
      <c r="BO11287" s="43"/>
    </row>
    <row r="11288" spans="65:67" ht="18.75" customHeight="1">
      <c r="BM11288" s="1025"/>
      <c r="BO11288" s="43"/>
    </row>
    <row r="11289" spans="65:67" ht="18.75" customHeight="1">
      <c r="BM11289" s="1025"/>
      <c r="BO11289" s="43"/>
    </row>
    <row r="11290" spans="65:67" ht="18.75" customHeight="1">
      <c r="BM11290" s="1025"/>
      <c r="BO11290" s="43"/>
    </row>
    <row r="11291" spans="65:67" ht="18.75" customHeight="1">
      <c r="BM11291" s="1025"/>
      <c r="BO11291" s="43"/>
    </row>
    <row r="11292" spans="65:67" ht="18.75" customHeight="1">
      <c r="BM11292" s="1025"/>
      <c r="BO11292" s="43"/>
    </row>
    <row r="11293" spans="65:67" ht="18.75" customHeight="1">
      <c r="BM11293" s="1025"/>
      <c r="BO11293" s="43"/>
    </row>
    <row r="11294" spans="65:67" ht="18.75" customHeight="1">
      <c r="BM11294" s="1025"/>
      <c r="BO11294" s="43"/>
    </row>
    <row r="11295" spans="65:67" ht="18.75" customHeight="1">
      <c r="BM11295" s="1025"/>
      <c r="BO11295" s="43"/>
    </row>
    <row r="11296" spans="65:67" ht="18.75" customHeight="1">
      <c r="BM11296" s="1025"/>
      <c r="BO11296" s="43"/>
    </row>
    <row r="11297" spans="65:67" ht="18.75" customHeight="1">
      <c r="BM11297" s="1025"/>
      <c r="BO11297" s="43"/>
    </row>
    <row r="11298" spans="65:67" ht="18.75" customHeight="1">
      <c r="BM11298" s="1025"/>
      <c r="BO11298" s="43"/>
    </row>
    <row r="11299" spans="65:67" ht="18.75" customHeight="1">
      <c r="BM11299" s="1025"/>
      <c r="BO11299" s="43"/>
    </row>
    <row r="11300" spans="65:67" ht="18.75" customHeight="1">
      <c r="BM11300" s="1025"/>
      <c r="BO11300" s="43"/>
    </row>
    <row r="11301" spans="65:67" ht="18.75" customHeight="1">
      <c r="BM11301" s="1025"/>
      <c r="BO11301" s="43"/>
    </row>
    <row r="11302" spans="65:67" ht="18.75" customHeight="1">
      <c r="BM11302" s="1025"/>
      <c r="BO11302" s="43"/>
    </row>
    <row r="11303" spans="65:67" ht="18.75" customHeight="1">
      <c r="BM11303" s="1025"/>
      <c r="BO11303" s="43"/>
    </row>
    <row r="11304" spans="65:67" ht="18.75" customHeight="1">
      <c r="BM11304" s="1025"/>
      <c r="BO11304" s="43"/>
    </row>
    <row r="11305" spans="65:67" ht="18.75" customHeight="1">
      <c r="BM11305" s="1025"/>
      <c r="BO11305" s="43"/>
    </row>
    <row r="11306" spans="65:67" ht="18.75" customHeight="1">
      <c r="BM11306" s="1025"/>
      <c r="BO11306" s="43"/>
    </row>
    <row r="11307" spans="65:67" ht="18.75" customHeight="1">
      <c r="BM11307" s="1025"/>
      <c r="BO11307" s="43"/>
    </row>
    <row r="11308" spans="65:67" ht="18.75" customHeight="1">
      <c r="BM11308" s="1025"/>
      <c r="BO11308" s="43"/>
    </row>
    <row r="11309" spans="65:67" ht="18.75" customHeight="1">
      <c r="BM11309" s="1025"/>
      <c r="BO11309" s="43"/>
    </row>
    <row r="11310" spans="65:67" ht="18.75" customHeight="1">
      <c r="BM11310" s="1025"/>
      <c r="BO11310" s="43"/>
    </row>
    <row r="11311" spans="65:67" ht="18.75" customHeight="1">
      <c r="BM11311" s="1025"/>
      <c r="BO11311" s="43"/>
    </row>
    <row r="11312" spans="65:67" ht="18.75" customHeight="1">
      <c r="BM11312" s="1025"/>
      <c r="BO11312" s="43"/>
    </row>
    <row r="11313" spans="65:67" ht="18.75" customHeight="1">
      <c r="BM11313" s="1025"/>
      <c r="BO11313" s="43"/>
    </row>
    <row r="11314" spans="65:67" ht="18.75" customHeight="1">
      <c r="BM11314" s="1025"/>
      <c r="BO11314" s="43"/>
    </row>
    <row r="11315" spans="65:67" ht="18.75" customHeight="1">
      <c r="BM11315" s="1025"/>
      <c r="BO11315" s="43"/>
    </row>
    <row r="11316" spans="65:67" ht="18.75" customHeight="1">
      <c r="BM11316" s="1025"/>
      <c r="BO11316" s="43"/>
    </row>
    <row r="11317" spans="65:67" ht="18.75" customHeight="1">
      <c r="BM11317" s="1025"/>
      <c r="BO11317" s="43"/>
    </row>
    <row r="11318" spans="65:67" ht="18.75" customHeight="1">
      <c r="BM11318" s="1025"/>
      <c r="BO11318" s="43"/>
    </row>
    <row r="11319" spans="65:67" ht="18.75" customHeight="1">
      <c r="BM11319" s="1025"/>
      <c r="BO11319" s="43"/>
    </row>
    <row r="11320" spans="65:67" ht="18.75" customHeight="1">
      <c r="BM11320" s="1025"/>
      <c r="BO11320" s="43"/>
    </row>
    <row r="11321" spans="65:67" ht="18.75" customHeight="1">
      <c r="BM11321" s="1025"/>
      <c r="BO11321" s="43"/>
    </row>
    <row r="11322" spans="65:67" ht="18.75" customHeight="1">
      <c r="BM11322" s="1025"/>
      <c r="BO11322" s="43"/>
    </row>
    <row r="11323" spans="65:67" ht="18.75" customHeight="1">
      <c r="BM11323" s="1025"/>
      <c r="BO11323" s="43"/>
    </row>
    <row r="11324" spans="65:67" ht="18.75" customHeight="1">
      <c r="BM11324" s="1025"/>
      <c r="BO11324" s="43"/>
    </row>
    <row r="11325" spans="65:67" ht="18.75" customHeight="1">
      <c r="BM11325" s="1025"/>
      <c r="BO11325" s="43"/>
    </row>
    <row r="11326" spans="65:67" ht="18.75" customHeight="1">
      <c r="BM11326" s="1025"/>
      <c r="BO11326" s="43"/>
    </row>
    <row r="11327" spans="65:67" ht="18.75" customHeight="1">
      <c r="BM11327" s="1025"/>
      <c r="BO11327" s="43"/>
    </row>
    <row r="11328" spans="65:67" ht="18.75" customHeight="1">
      <c r="BM11328" s="1025"/>
      <c r="BO11328" s="43"/>
    </row>
    <row r="11329" spans="65:67" ht="18.75" customHeight="1">
      <c r="BM11329" s="1025"/>
      <c r="BO11329" s="43"/>
    </row>
    <row r="11330" spans="65:67" ht="18.75" customHeight="1">
      <c r="BM11330" s="1025"/>
      <c r="BO11330" s="43"/>
    </row>
    <row r="11331" spans="65:67" ht="18.75" customHeight="1">
      <c r="BM11331" s="1025"/>
      <c r="BO11331" s="43"/>
    </row>
    <row r="11332" spans="65:67" ht="18.75" customHeight="1">
      <c r="BM11332" s="1025"/>
      <c r="BO11332" s="43"/>
    </row>
    <row r="11333" spans="65:67" ht="18.75" customHeight="1">
      <c r="BM11333" s="1025"/>
      <c r="BO11333" s="43"/>
    </row>
    <row r="11334" spans="65:67" ht="18.75" customHeight="1">
      <c r="BM11334" s="1025"/>
      <c r="BO11334" s="43"/>
    </row>
    <row r="11335" spans="65:67" ht="18.75" customHeight="1">
      <c r="BM11335" s="1025"/>
      <c r="BO11335" s="43"/>
    </row>
    <row r="11336" spans="65:67" ht="18.75" customHeight="1">
      <c r="BM11336" s="1025"/>
      <c r="BO11336" s="43"/>
    </row>
    <row r="11337" spans="65:67" ht="18.75" customHeight="1">
      <c r="BM11337" s="1025"/>
      <c r="BO11337" s="43"/>
    </row>
    <row r="11338" spans="65:67" ht="18.75" customHeight="1">
      <c r="BM11338" s="1025"/>
      <c r="BO11338" s="43"/>
    </row>
    <row r="11339" spans="65:67" ht="18.75" customHeight="1">
      <c r="BM11339" s="1025"/>
      <c r="BO11339" s="43"/>
    </row>
    <row r="11340" spans="65:67" ht="18.75" customHeight="1">
      <c r="BM11340" s="1025"/>
      <c r="BO11340" s="43"/>
    </row>
    <row r="11341" spans="65:67" ht="18.75" customHeight="1">
      <c r="BM11341" s="1025"/>
      <c r="BO11341" s="43"/>
    </row>
    <row r="11342" spans="65:67" ht="18.75" customHeight="1">
      <c r="BM11342" s="1025"/>
      <c r="BO11342" s="43"/>
    </row>
    <row r="11343" spans="65:67" ht="18.75" customHeight="1">
      <c r="BM11343" s="1025"/>
      <c r="BO11343" s="43"/>
    </row>
    <row r="11344" spans="65:67" ht="18.75" customHeight="1">
      <c r="BM11344" s="1025"/>
      <c r="BO11344" s="43"/>
    </row>
    <row r="11345" spans="65:67" ht="18.75" customHeight="1">
      <c r="BM11345" s="1025"/>
      <c r="BO11345" s="43"/>
    </row>
    <row r="11346" spans="65:67" ht="18.75" customHeight="1">
      <c r="BM11346" s="1025"/>
      <c r="BO11346" s="43"/>
    </row>
    <row r="11347" spans="65:67" ht="18.75" customHeight="1">
      <c r="BM11347" s="1025"/>
      <c r="BO11347" s="43"/>
    </row>
    <row r="11348" spans="65:67" ht="18.75" customHeight="1">
      <c r="BM11348" s="1025"/>
      <c r="BO11348" s="43"/>
    </row>
    <row r="11349" spans="65:67" ht="18.75" customHeight="1">
      <c r="BM11349" s="1025"/>
      <c r="BO11349" s="43"/>
    </row>
    <row r="11350" spans="65:67" ht="18.75" customHeight="1">
      <c r="BM11350" s="1025"/>
      <c r="BO11350" s="43"/>
    </row>
    <row r="11351" spans="65:67" ht="18.75" customHeight="1">
      <c r="BM11351" s="1025"/>
      <c r="BO11351" s="43"/>
    </row>
    <row r="11352" spans="65:67" ht="18.75" customHeight="1">
      <c r="BM11352" s="1025"/>
      <c r="BO11352" s="43"/>
    </row>
    <row r="11353" spans="65:67" ht="18.75" customHeight="1">
      <c r="BM11353" s="1025"/>
      <c r="BO11353" s="43"/>
    </row>
    <row r="11354" spans="65:67" ht="18.75" customHeight="1">
      <c r="BM11354" s="1025"/>
      <c r="BO11354" s="43"/>
    </row>
    <row r="11355" spans="65:67" ht="18.75" customHeight="1">
      <c r="BM11355" s="1025"/>
      <c r="BO11355" s="43"/>
    </row>
    <row r="11356" spans="65:67" ht="18.75" customHeight="1">
      <c r="BM11356" s="1025"/>
      <c r="BO11356" s="43"/>
    </row>
    <row r="11357" spans="65:67" ht="18.75" customHeight="1">
      <c r="BM11357" s="1025"/>
      <c r="BO11357" s="43"/>
    </row>
    <row r="11358" spans="65:67" ht="18.75" customHeight="1">
      <c r="BM11358" s="1025"/>
      <c r="BO11358" s="43"/>
    </row>
    <row r="11359" spans="65:67" ht="18.75" customHeight="1">
      <c r="BM11359" s="1025"/>
      <c r="BO11359" s="43"/>
    </row>
    <row r="11360" spans="65:67" ht="18.75" customHeight="1">
      <c r="BM11360" s="1025"/>
      <c r="BO11360" s="43"/>
    </row>
    <row r="11361" spans="65:67" ht="18.75" customHeight="1">
      <c r="BM11361" s="1025"/>
      <c r="BO11361" s="43"/>
    </row>
    <row r="11362" spans="65:67" ht="18.75" customHeight="1">
      <c r="BM11362" s="1025"/>
      <c r="BO11362" s="43"/>
    </row>
    <row r="11363" spans="65:67" ht="18.75" customHeight="1">
      <c r="BM11363" s="1025"/>
      <c r="BO11363" s="43"/>
    </row>
    <row r="11364" spans="65:67" ht="18.75" customHeight="1">
      <c r="BM11364" s="1025"/>
      <c r="BO11364" s="43"/>
    </row>
    <row r="11365" spans="65:67" ht="18.75" customHeight="1">
      <c r="BM11365" s="1025"/>
      <c r="BO11365" s="43"/>
    </row>
    <row r="11366" spans="65:67" ht="18.75" customHeight="1">
      <c r="BM11366" s="1025"/>
      <c r="BO11366" s="43"/>
    </row>
    <row r="11367" spans="65:67" ht="18.75" customHeight="1">
      <c r="BM11367" s="1025"/>
      <c r="BO11367" s="43"/>
    </row>
    <row r="11368" spans="65:67" ht="18.75" customHeight="1">
      <c r="BM11368" s="1025"/>
      <c r="BO11368" s="43"/>
    </row>
    <row r="11369" spans="65:67" ht="18.75" customHeight="1">
      <c r="BM11369" s="1025"/>
      <c r="BO11369" s="43"/>
    </row>
    <row r="11370" spans="65:67" ht="18.75" customHeight="1">
      <c r="BM11370" s="1025"/>
      <c r="BO11370" s="43"/>
    </row>
    <row r="11371" spans="65:67" ht="18.75" customHeight="1">
      <c r="BM11371" s="1025"/>
      <c r="BO11371" s="43"/>
    </row>
    <row r="11372" spans="65:67" ht="18.75" customHeight="1">
      <c r="BM11372" s="1025"/>
      <c r="BO11372" s="43"/>
    </row>
    <row r="11373" spans="65:67" ht="18.75" customHeight="1">
      <c r="BM11373" s="1025"/>
      <c r="BO11373" s="43"/>
    </row>
    <row r="11374" spans="65:67" ht="18.75" customHeight="1">
      <c r="BM11374" s="1025"/>
      <c r="BO11374" s="43"/>
    </row>
    <row r="11375" spans="65:67" ht="18.75" customHeight="1">
      <c r="BM11375" s="1025"/>
      <c r="BO11375" s="43"/>
    </row>
    <row r="11376" spans="65:67" ht="18.75" customHeight="1">
      <c r="BM11376" s="1025"/>
      <c r="BO11376" s="43"/>
    </row>
    <row r="11377" spans="65:67" ht="18.75" customHeight="1">
      <c r="BM11377" s="1025"/>
      <c r="BO11377" s="43"/>
    </row>
    <row r="11378" spans="65:67" ht="18.75" customHeight="1">
      <c r="BM11378" s="1025"/>
      <c r="BO11378" s="43"/>
    </row>
    <row r="11379" spans="65:67" ht="18.75" customHeight="1">
      <c r="BM11379" s="1025"/>
      <c r="BO11379" s="43"/>
    </row>
    <row r="11380" spans="65:67" ht="18.75" customHeight="1">
      <c r="BM11380" s="1025"/>
      <c r="BO11380" s="43"/>
    </row>
    <row r="11381" spans="65:67" ht="18.75" customHeight="1">
      <c r="BM11381" s="1025"/>
      <c r="BO11381" s="43"/>
    </row>
    <row r="11382" spans="65:67" ht="18.75" customHeight="1">
      <c r="BM11382" s="1025"/>
      <c r="BO11382" s="43"/>
    </row>
    <row r="11383" spans="65:67" ht="18.75" customHeight="1">
      <c r="BM11383" s="1025"/>
      <c r="BO11383" s="43"/>
    </row>
    <row r="11384" spans="65:67" ht="18.75" customHeight="1">
      <c r="BM11384" s="1025"/>
      <c r="BO11384" s="43"/>
    </row>
    <row r="11385" spans="65:67" ht="18.75" customHeight="1">
      <c r="BM11385" s="1025"/>
      <c r="BO11385" s="43"/>
    </row>
    <row r="11386" spans="65:67" ht="18.75" customHeight="1">
      <c r="BM11386" s="1025"/>
      <c r="BO11386" s="43"/>
    </row>
    <row r="11387" spans="65:67" ht="18.75" customHeight="1">
      <c r="BM11387" s="1025"/>
      <c r="BO11387" s="43"/>
    </row>
    <row r="11388" spans="65:67" ht="18.75" customHeight="1">
      <c r="BM11388" s="1025"/>
      <c r="BO11388" s="43"/>
    </row>
    <row r="11389" spans="65:67" ht="18.75" customHeight="1">
      <c r="BM11389" s="1025"/>
      <c r="BO11389" s="43"/>
    </row>
    <row r="11390" spans="65:67" ht="18.75" customHeight="1">
      <c r="BM11390" s="1025"/>
      <c r="BO11390" s="43"/>
    </row>
    <row r="11391" spans="65:67" ht="18.75" customHeight="1">
      <c r="BM11391" s="1025"/>
      <c r="BO11391" s="43"/>
    </row>
    <row r="11392" spans="65:67" ht="18.75" customHeight="1">
      <c r="BM11392" s="1025"/>
      <c r="BO11392" s="43"/>
    </row>
    <row r="11393" spans="65:67" ht="18.75" customHeight="1">
      <c r="BM11393" s="1025"/>
      <c r="BO11393" s="43"/>
    </row>
    <row r="11394" spans="65:67" ht="18.75" customHeight="1">
      <c r="BM11394" s="1025"/>
      <c r="BO11394" s="43"/>
    </row>
    <row r="11395" spans="65:67" ht="18.75" customHeight="1">
      <c r="BM11395" s="1025"/>
      <c r="BO11395" s="43"/>
    </row>
    <row r="11396" spans="65:67" ht="18.75" customHeight="1">
      <c r="BM11396" s="1025"/>
      <c r="BO11396" s="43"/>
    </row>
    <row r="11397" spans="65:67" ht="18.75" customHeight="1">
      <c r="BM11397" s="1025"/>
      <c r="BO11397" s="43"/>
    </row>
    <row r="11398" spans="65:67" ht="18.75" customHeight="1">
      <c r="BM11398" s="1025"/>
      <c r="BO11398" s="43"/>
    </row>
    <row r="11399" spans="65:67" ht="18.75" customHeight="1">
      <c r="BM11399" s="1025"/>
      <c r="BO11399" s="43"/>
    </row>
    <row r="11400" spans="65:67" ht="18.75" customHeight="1">
      <c r="BM11400" s="1025"/>
      <c r="BO11400" s="43"/>
    </row>
    <row r="11401" spans="65:67" ht="18.75" customHeight="1">
      <c r="BM11401" s="1025"/>
      <c r="BO11401" s="43"/>
    </row>
    <row r="11402" spans="65:67" ht="18.75" customHeight="1">
      <c r="BM11402" s="1025"/>
      <c r="BO11402" s="43"/>
    </row>
    <row r="11403" spans="65:67" ht="18.75" customHeight="1">
      <c r="BM11403" s="1025"/>
      <c r="BO11403" s="43"/>
    </row>
    <row r="11404" spans="65:67" ht="18.75" customHeight="1">
      <c r="BM11404" s="1025"/>
      <c r="BO11404" s="43"/>
    </row>
    <row r="11405" spans="65:67" ht="18.75" customHeight="1">
      <c r="BM11405" s="1025"/>
      <c r="BO11405" s="43"/>
    </row>
    <row r="11406" spans="65:67" ht="18.75" customHeight="1">
      <c r="BM11406" s="1025"/>
      <c r="BO11406" s="43"/>
    </row>
    <row r="11407" spans="65:67" ht="18.75" customHeight="1">
      <c r="BM11407" s="1025"/>
      <c r="BO11407" s="43"/>
    </row>
    <row r="11408" spans="65:67" ht="18.75" customHeight="1">
      <c r="BM11408" s="1025"/>
      <c r="BO11408" s="43"/>
    </row>
    <row r="11409" spans="65:67" ht="18.75" customHeight="1">
      <c r="BM11409" s="1025"/>
      <c r="BO11409" s="43"/>
    </row>
    <row r="11410" spans="65:67" ht="18.75" customHeight="1">
      <c r="BM11410" s="1025"/>
      <c r="BO11410" s="43"/>
    </row>
    <row r="11411" spans="65:67" ht="18.75" customHeight="1">
      <c r="BM11411" s="1025"/>
      <c r="BO11411" s="43"/>
    </row>
    <row r="11412" spans="65:67" ht="18.75" customHeight="1">
      <c r="BM11412" s="1025"/>
      <c r="BO11412" s="43"/>
    </row>
    <row r="11413" spans="65:67" ht="18.75" customHeight="1">
      <c r="BM11413" s="1025"/>
      <c r="BO11413" s="43"/>
    </row>
    <row r="11414" spans="65:67" ht="18.75" customHeight="1">
      <c r="BM11414" s="1025"/>
      <c r="BO11414" s="43"/>
    </row>
    <row r="11415" spans="65:67" ht="18.75" customHeight="1">
      <c r="BM11415" s="1025"/>
      <c r="BO11415" s="43"/>
    </row>
    <row r="11416" spans="65:67" ht="18.75" customHeight="1">
      <c r="BM11416" s="1025"/>
      <c r="BO11416" s="43"/>
    </row>
    <row r="11417" spans="65:67" ht="18.75" customHeight="1">
      <c r="BM11417" s="1025"/>
      <c r="BO11417" s="43"/>
    </row>
    <row r="11418" spans="65:67" ht="18.75" customHeight="1">
      <c r="BM11418" s="1025"/>
      <c r="BO11418" s="43"/>
    </row>
    <row r="11419" spans="65:67" ht="18.75" customHeight="1">
      <c r="BM11419" s="1025"/>
      <c r="BO11419" s="43"/>
    </row>
    <row r="11420" spans="65:67" ht="18.75" customHeight="1">
      <c r="BM11420" s="1025"/>
      <c r="BO11420" s="43"/>
    </row>
    <row r="11421" spans="65:67" ht="18.75" customHeight="1">
      <c r="BM11421" s="1025"/>
      <c r="BO11421" s="43"/>
    </row>
    <row r="11422" spans="65:67" ht="18.75" customHeight="1">
      <c r="BM11422" s="1025"/>
      <c r="BO11422" s="43"/>
    </row>
    <row r="11423" spans="65:67" ht="18.75" customHeight="1">
      <c r="BM11423" s="1025"/>
      <c r="BO11423" s="43"/>
    </row>
    <row r="11424" spans="65:67" ht="18.75" customHeight="1">
      <c r="BM11424" s="1025"/>
      <c r="BO11424" s="43"/>
    </row>
    <row r="11425" spans="65:67" ht="18.75" customHeight="1">
      <c r="BM11425" s="1025"/>
      <c r="BO11425" s="43"/>
    </row>
    <row r="11426" spans="65:67" ht="18.75" customHeight="1">
      <c r="BM11426" s="1025"/>
      <c r="BO11426" s="43"/>
    </row>
    <row r="11427" spans="65:67" ht="18.75" customHeight="1">
      <c r="BM11427" s="1025"/>
      <c r="BO11427" s="43"/>
    </row>
    <row r="11428" spans="65:67" ht="18.75" customHeight="1">
      <c r="BM11428" s="1025"/>
      <c r="BO11428" s="43"/>
    </row>
    <row r="11429" spans="65:67" ht="18.75" customHeight="1">
      <c r="BM11429" s="1025"/>
      <c r="BO11429" s="43"/>
    </row>
    <row r="11430" spans="65:67" ht="18.75" customHeight="1">
      <c r="BM11430" s="1025"/>
      <c r="BO11430" s="43"/>
    </row>
    <row r="11431" spans="65:67" ht="18.75" customHeight="1">
      <c r="BM11431" s="1025"/>
      <c r="BO11431" s="43"/>
    </row>
    <row r="11432" spans="65:67" ht="18.75" customHeight="1">
      <c r="BM11432" s="1025"/>
      <c r="BO11432" s="43"/>
    </row>
    <row r="11433" spans="65:67" ht="18.75" customHeight="1">
      <c r="BM11433" s="1025"/>
      <c r="BO11433" s="43"/>
    </row>
    <row r="11434" spans="65:67" ht="18.75" customHeight="1">
      <c r="BM11434" s="1025"/>
      <c r="BO11434" s="43"/>
    </row>
    <row r="11435" spans="65:67" ht="18.75" customHeight="1">
      <c r="BM11435" s="1025"/>
      <c r="BO11435" s="43"/>
    </row>
    <row r="11436" spans="65:67" ht="18.75" customHeight="1">
      <c r="BM11436" s="1025"/>
      <c r="BO11436" s="43"/>
    </row>
    <row r="11437" spans="65:67" ht="18.75" customHeight="1">
      <c r="BM11437" s="1025"/>
      <c r="BO11437" s="43"/>
    </row>
    <row r="11438" spans="65:67" ht="18.75" customHeight="1">
      <c r="BM11438" s="1025"/>
      <c r="BO11438" s="43"/>
    </row>
    <row r="11439" spans="65:67" ht="18.75" customHeight="1">
      <c r="BM11439" s="1025"/>
      <c r="BO11439" s="43"/>
    </row>
    <row r="11440" spans="65:67" ht="18.75" customHeight="1">
      <c r="BM11440" s="1025"/>
      <c r="BO11440" s="43"/>
    </row>
    <row r="11441" spans="65:67" ht="18.75" customHeight="1">
      <c r="BM11441" s="1025"/>
      <c r="BO11441" s="43"/>
    </row>
    <row r="11442" spans="65:67" ht="18.75" customHeight="1">
      <c r="BM11442" s="1025"/>
      <c r="BO11442" s="43"/>
    </row>
    <row r="11443" spans="65:67" ht="18.75" customHeight="1">
      <c r="BM11443" s="1025"/>
      <c r="BO11443" s="43"/>
    </row>
    <row r="11444" spans="65:67" ht="18.75" customHeight="1">
      <c r="BM11444" s="1025"/>
      <c r="BO11444" s="43"/>
    </row>
    <row r="11445" spans="65:67" ht="18.75" customHeight="1">
      <c r="BM11445" s="1025"/>
      <c r="BO11445" s="43"/>
    </row>
    <row r="11446" spans="65:67" ht="18.75" customHeight="1">
      <c r="BM11446" s="1025"/>
      <c r="BO11446" s="43"/>
    </row>
    <row r="11447" spans="65:67" ht="18.75" customHeight="1">
      <c r="BM11447" s="1025"/>
      <c r="BO11447" s="43"/>
    </row>
    <row r="11448" spans="65:67" ht="18.75" customHeight="1">
      <c r="BM11448" s="1025"/>
      <c r="BO11448" s="43"/>
    </row>
    <row r="11449" spans="65:67" ht="18.75" customHeight="1">
      <c r="BM11449" s="1025"/>
      <c r="BO11449" s="43"/>
    </row>
    <row r="11450" spans="65:67" ht="18.75" customHeight="1">
      <c r="BM11450" s="1025"/>
      <c r="BO11450" s="43"/>
    </row>
    <row r="11451" spans="65:67" ht="18.75" customHeight="1">
      <c r="BM11451" s="1025"/>
      <c r="BO11451" s="43"/>
    </row>
    <row r="11452" spans="65:67" ht="18.75" customHeight="1">
      <c r="BM11452" s="1025"/>
      <c r="BO11452" s="43"/>
    </row>
    <row r="11453" spans="65:67" ht="18.75" customHeight="1">
      <c r="BM11453" s="1025"/>
      <c r="BO11453" s="43"/>
    </row>
    <row r="11454" spans="65:67" ht="18.75" customHeight="1">
      <c r="BM11454" s="1025"/>
      <c r="BO11454" s="43"/>
    </row>
    <row r="11455" spans="65:67" ht="18.75" customHeight="1">
      <c r="BM11455" s="1025"/>
      <c r="BO11455" s="43"/>
    </row>
    <row r="11456" spans="65:67" ht="18.75" customHeight="1">
      <c r="BM11456" s="1025"/>
      <c r="BO11456" s="43"/>
    </row>
    <row r="11457" spans="65:67" ht="18.75" customHeight="1">
      <c r="BM11457" s="1025"/>
      <c r="BO11457" s="43"/>
    </row>
    <row r="11458" spans="65:67" ht="18.75" customHeight="1">
      <c r="BM11458" s="1025"/>
      <c r="BO11458" s="43"/>
    </row>
    <row r="11459" spans="65:67" ht="18.75" customHeight="1">
      <c r="BM11459" s="1025"/>
      <c r="BO11459" s="43"/>
    </row>
    <row r="11460" spans="65:67" ht="18.75" customHeight="1">
      <c r="BM11460" s="1025"/>
      <c r="BO11460" s="43"/>
    </row>
    <row r="11461" spans="65:67" ht="18.75" customHeight="1">
      <c r="BM11461" s="1025"/>
      <c r="BO11461" s="43"/>
    </row>
    <row r="11462" spans="65:67" ht="18.75" customHeight="1">
      <c r="BM11462" s="1025"/>
      <c r="BO11462" s="43"/>
    </row>
    <row r="11463" spans="65:67" ht="18.75" customHeight="1">
      <c r="BM11463" s="1025"/>
      <c r="BO11463" s="43"/>
    </row>
    <row r="11464" spans="65:67" ht="18.75" customHeight="1">
      <c r="BM11464" s="1025"/>
      <c r="BO11464" s="43"/>
    </row>
    <row r="11465" spans="65:67" ht="18.75" customHeight="1">
      <c r="BM11465" s="1025"/>
      <c r="BO11465" s="43"/>
    </row>
    <row r="11466" spans="65:67" ht="18.75" customHeight="1">
      <c r="BM11466" s="1025"/>
      <c r="BO11466" s="43"/>
    </row>
    <row r="11467" spans="65:67" ht="18.75" customHeight="1">
      <c r="BM11467" s="1025"/>
      <c r="BO11467" s="43"/>
    </row>
    <row r="11468" spans="65:67" ht="18.75" customHeight="1">
      <c r="BM11468" s="1025"/>
      <c r="BO11468" s="43"/>
    </row>
    <row r="11469" spans="65:67" ht="18.75" customHeight="1">
      <c r="BM11469" s="1025"/>
      <c r="BO11469" s="43"/>
    </row>
    <row r="11470" spans="65:67" ht="18.75" customHeight="1">
      <c r="BM11470" s="1025"/>
      <c r="BO11470" s="43"/>
    </row>
    <row r="11471" spans="65:67" ht="18.75" customHeight="1">
      <c r="BM11471" s="1025"/>
      <c r="BO11471" s="43"/>
    </row>
    <row r="11472" spans="65:67" ht="18.75" customHeight="1">
      <c r="BM11472" s="1025"/>
      <c r="BO11472" s="43"/>
    </row>
    <row r="11473" spans="65:67" ht="18.75" customHeight="1">
      <c r="BM11473" s="1025"/>
      <c r="BO11473" s="43"/>
    </row>
    <row r="11474" spans="65:67" ht="18.75" customHeight="1">
      <c r="BM11474" s="1025"/>
      <c r="BO11474" s="43"/>
    </row>
    <row r="11475" spans="65:67" ht="18.75" customHeight="1">
      <c r="BM11475" s="1025"/>
      <c r="BO11475" s="43"/>
    </row>
    <row r="11476" spans="65:67" ht="18.75" customHeight="1">
      <c r="BM11476" s="1025"/>
      <c r="BO11476" s="43"/>
    </row>
    <row r="11477" spans="65:67" ht="18.75" customHeight="1">
      <c r="BM11477" s="1025"/>
      <c r="BO11477" s="43"/>
    </row>
    <row r="11478" spans="65:67" ht="18.75" customHeight="1">
      <c r="BM11478" s="1025"/>
      <c r="BO11478" s="43"/>
    </row>
    <row r="11479" spans="65:67" ht="18.75" customHeight="1">
      <c r="BM11479" s="1025"/>
      <c r="BO11479" s="43"/>
    </row>
    <row r="11480" spans="65:67" ht="18.75" customHeight="1">
      <c r="BM11480" s="1025"/>
      <c r="BO11480" s="43"/>
    </row>
    <row r="11481" spans="65:67" ht="18.75" customHeight="1">
      <c r="BM11481" s="1025"/>
      <c r="BO11481" s="43"/>
    </row>
    <row r="11482" spans="65:67" ht="18.75" customHeight="1">
      <c r="BM11482" s="1025"/>
      <c r="BO11482" s="43"/>
    </row>
    <row r="11483" spans="65:67" ht="18.75" customHeight="1">
      <c r="BM11483" s="1025"/>
      <c r="BO11483" s="43"/>
    </row>
    <row r="11484" spans="65:67" ht="18.75" customHeight="1">
      <c r="BM11484" s="1025"/>
      <c r="BO11484" s="43"/>
    </row>
    <row r="11485" spans="65:67" ht="18.75" customHeight="1">
      <c r="BM11485" s="1025"/>
      <c r="BO11485" s="43"/>
    </row>
    <row r="11486" spans="65:67" ht="18.75" customHeight="1">
      <c r="BM11486" s="1025"/>
      <c r="BO11486" s="43"/>
    </row>
    <row r="11487" spans="65:67" ht="18.75" customHeight="1">
      <c r="BM11487" s="1025"/>
      <c r="BO11487" s="43"/>
    </row>
    <row r="11488" spans="65:67" ht="18.75" customHeight="1">
      <c r="BM11488" s="1025"/>
      <c r="BO11488" s="43"/>
    </row>
    <row r="11489" spans="65:67" ht="18.75" customHeight="1">
      <c r="BM11489" s="1025"/>
      <c r="BO11489" s="43"/>
    </row>
    <row r="11490" spans="65:67" ht="18.75" customHeight="1">
      <c r="BM11490" s="1025"/>
      <c r="BO11490" s="43"/>
    </row>
    <row r="11491" spans="65:67" ht="18.75" customHeight="1">
      <c r="BM11491" s="1025"/>
      <c r="BO11491" s="43"/>
    </row>
    <row r="11492" spans="65:67" ht="18.75" customHeight="1">
      <c r="BM11492" s="1025"/>
      <c r="BO11492" s="43"/>
    </row>
    <row r="11493" spans="65:67" ht="18.75" customHeight="1">
      <c r="BM11493" s="1025"/>
      <c r="BO11493" s="43"/>
    </row>
    <row r="11494" spans="65:67" ht="18.75" customHeight="1">
      <c r="BM11494" s="1025"/>
      <c r="BO11494" s="43"/>
    </row>
    <row r="11495" spans="65:67" ht="18.75" customHeight="1">
      <c r="BM11495" s="1025"/>
      <c r="BO11495" s="43"/>
    </row>
    <row r="11496" spans="65:67" ht="18.75" customHeight="1">
      <c r="BM11496" s="1025"/>
      <c r="BO11496" s="43"/>
    </row>
    <row r="11497" spans="65:67" ht="18.75" customHeight="1">
      <c r="BM11497" s="1025"/>
      <c r="BO11497" s="43"/>
    </row>
    <row r="11498" spans="65:67" ht="18.75" customHeight="1">
      <c r="BM11498" s="1025"/>
      <c r="BO11498" s="43"/>
    </row>
    <row r="11499" spans="65:67" ht="18.75" customHeight="1">
      <c r="BM11499" s="1025"/>
      <c r="BO11499" s="43"/>
    </row>
    <row r="11500" spans="65:67" ht="18.75" customHeight="1">
      <c r="BM11500" s="1025"/>
      <c r="BO11500" s="43"/>
    </row>
    <row r="11501" spans="65:67" ht="18.75" customHeight="1">
      <c r="BM11501" s="1025"/>
      <c r="BO11501" s="43"/>
    </row>
    <row r="11502" spans="65:67" ht="18.75" customHeight="1">
      <c r="BM11502" s="1025"/>
      <c r="BO11502" s="43"/>
    </row>
    <row r="11503" spans="65:67" ht="18.75" customHeight="1">
      <c r="BM11503" s="1025"/>
      <c r="BO11503" s="43"/>
    </row>
    <row r="11504" spans="65:67" ht="18.75" customHeight="1">
      <c r="BM11504" s="1025"/>
      <c r="BO11504" s="43"/>
    </row>
    <row r="11505" spans="65:67" ht="18.75" customHeight="1">
      <c r="BM11505" s="1025"/>
      <c r="BO11505" s="43"/>
    </row>
    <row r="11506" spans="65:67" ht="18.75" customHeight="1">
      <c r="BM11506" s="1025"/>
      <c r="BO11506" s="43"/>
    </row>
    <row r="11507" spans="65:67" ht="18.75" customHeight="1">
      <c r="BM11507" s="1025"/>
      <c r="BO11507" s="43"/>
    </row>
    <row r="11508" spans="65:67" ht="18.75" customHeight="1">
      <c r="BM11508" s="1025"/>
      <c r="BO11508" s="43"/>
    </row>
    <row r="11509" spans="65:67" ht="18.75" customHeight="1">
      <c r="BM11509" s="1025"/>
      <c r="BO11509" s="43"/>
    </row>
    <row r="11510" spans="65:67" ht="18.75" customHeight="1">
      <c r="BM11510" s="1025"/>
      <c r="BO11510" s="43"/>
    </row>
    <row r="11511" spans="65:67" ht="18.75" customHeight="1">
      <c r="BM11511" s="1025"/>
      <c r="BO11511" s="43"/>
    </row>
    <row r="11512" spans="65:67" ht="18.75" customHeight="1">
      <c r="BM11512" s="1025"/>
      <c r="BO11512" s="43"/>
    </row>
    <row r="11513" spans="65:67" ht="18.75" customHeight="1">
      <c r="BM11513" s="1025"/>
      <c r="BO11513" s="43"/>
    </row>
    <row r="11514" spans="65:67" ht="18.75" customHeight="1">
      <c r="BM11514" s="1025"/>
      <c r="BO11514" s="43"/>
    </row>
    <row r="11515" spans="65:67" ht="18.75" customHeight="1">
      <c r="BM11515" s="1025"/>
      <c r="BO11515" s="43"/>
    </row>
    <row r="11516" spans="65:67" ht="18.75" customHeight="1">
      <c r="BM11516" s="1025"/>
      <c r="BO11516" s="43"/>
    </row>
    <row r="11517" spans="65:67" ht="18.75" customHeight="1">
      <c r="BM11517" s="1025"/>
      <c r="BO11517" s="43"/>
    </row>
    <row r="11518" spans="65:67" ht="18.75" customHeight="1">
      <c r="BM11518" s="1025"/>
      <c r="BO11518" s="43"/>
    </row>
    <row r="11519" spans="65:67" ht="18.75" customHeight="1">
      <c r="BM11519" s="1025"/>
      <c r="BO11519" s="43"/>
    </row>
    <row r="11520" spans="65:67" ht="18.75" customHeight="1">
      <c r="BM11520" s="1025"/>
      <c r="BO11520" s="43"/>
    </row>
    <row r="11521" spans="65:67" ht="18.75" customHeight="1">
      <c r="BM11521" s="1025"/>
      <c r="BO11521" s="43"/>
    </row>
    <row r="11522" spans="65:67" ht="18.75" customHeight="1">
      <c r="BM11522" s="1025"/>
      <c r="BO11522" s="43"/>
    </row>
    <row r="11523" spans="65:67" ht="18.75" customHeight="1">
      <c r="BM11523" s="1025"/>
      <c r="BO11523" s="43"/>
    </row>
    <row r="11524" spans="65:67" ht="18.75" customHeight="1">
      <c r="BM11524" s="1025"/>
      <c r="BO11524" s="43"/>
    </row>
    <row r="11525" spans="65:67" ht="18.75" customHeight="1">
      <c r="BM11525" s="1025"/>
      <c r="BO11525" s="43"/>
    </row>
    <row r="11526" spans="65:67" ht="18.75" customHeight="1">
      <c r="BM11526" s="1025"/>
      <c r="BO11526" s="43"/>
    </row>
    <row r="11527" spans="65:67" ht="18.75" customHeight="1">
      <c r="BM11527" s="1025"/>
      <c r="BO11527" s="43"/>
    </row>
    <row r="11528" spans="65:67" ht="18.75" customHeight="1">
      <c r="BM11528" s="1025"/>
      <c r="BO11528" s="43"/>
    </row>
    <row r="11529" spans="65:67" ht="18.75" customHeight="1">
      <c r="BM11529" s="1025"/>
      <c r="BO11529" s="43"/>
    </row>
    <row r="11530" spans="65:67" ht="18.75" customHeight="1">
      <c r="BM11530" s="1025"/>
      <c r="BO11530" s="43"/>
    </row>
    <row r="11531" spans="65:67" ht="18.75" customHeight="1">
      <c r="BM11531" s="1025"/>
      <c r="BO11531" s="43"/>
    </row>
    <row r="11532" spans="65:67" ht="18.75" customHeight="1">
      <c r="BM11532" s="1025"/>
      <c r="BO11532" s="43"/>
    </row>
    <row r="11533" spans="65:67" ht="18.75" customHeight="1">
      <c r="BM11533" s="1025"/>
      <c r="BO11533" s="43"/>
    </row>
    <row r="11534" spans="65:67" ht="18.75" customHeight="1">
      <c r="BM11534" s="1025"/>
      <c r="BO11534" s="43"/>
    </row>
    <row r="11535" spans="65:67" ht="18.75" customHeight="1">
      <c r="BM11535" s="1025"/>
      <c r="BO11535" s="43"/>
    </row>
    <row r="11536" spans="65:67" ht="18.75" customHeight="1">
      <c r="BM11536" s="1025"/>
      <c r="BO11536" s="43"/>
    </row>
    <row r="11537" spans="65:67" ht="18.75" customHeight="1">
      <c r="BM11537" s="1025"/>
      <c r="BO11537" s="43"/>
    </row>
    <row r="11538" spans="65:67" ht="18.75" customHeight="1">
      <c r="BM11538" s="1025"/>
      <c r="BO11538" s="43"/>
    </row>
    <row r="11539" spans="65:67" ht="18.75" customHeight="1">
      <c r="BM11539" s="1025"/>
      <c r="BO11539" s="43"/>
    </row>
    <row r="11540" spans="65:67" ht="18.75" customHeight="1">
      <c r="BM11540" s="1025"/>
      <c r="BO11540" s="43"/>
    </row>
    <row r="11541" spans="65:67" ht="18.75" customHeight="1">
      <c r="BM11541" s="1025"/>
      <c r="BO11541" s="43"/>
    </row>
    <row r="11542" spans="65:67" ht="18.75" customHeight="1">
      <c r="BM11542" s="1025"/>
      <c r="BO11542" s="43"/>
    </row>
    <row r="11543" spans="65:67" ht="18.75" customHeight="1">
      <c r="BM11543" s="1025"/>
      <c r="BO11543" s="43"/>
    </row>
    <row r="11544" spans="65:67" ht="18.75" customHeight="1">
      <c r="BM11544" s="1025"/>
      <c r="BO11544" s="43"/>
    </row>
    <row r="11545" spans="65:67" ht="18.75" customHeight="1">
      <c r="BM11545" s="1025"/>
      <c r="BO11545" s="43"/>
    </row>
    <row r="11546" spans="65:67" ht="18.75" customHeight="1">
      <c r="BM11546" s="1025"/>
      <c r="BO11546" s="43"/>
    </row>
    <row r="11547" spans="65:67" ht="18.75" customHeight="1">
      <c r="BM11547" s="1025"/>
      <c r="BO11547" s="43"/>
    </row>
    <row r="11548" spans="65:67" ht="18.75" customHeight="1">
      <c r="BM11548" s="1025"/>
      <c r="BO11548" s="43"/>
    </row>
    <row r="11549" spans="65:67" ht="18.75" customHeight="1">
      <c r="BM11549" s="1025"/>
      <c r="BO11549" s="43"/>
    </row>
    <row r="11550" spans="65:67" ht="18.75" customHeight="1">
      <c r="BM11550" s="1025"/>
      <c r="BO11550" s="43"/>
    </row>
    <row r="11551" spans="65:67" ht="18.75" customHeight="1">
      <c r="BM11551" s="1025"/>
      <c r="BO11551" s="43"/>
    </row>
    <row r="11552" spans="65:67" ht="18.75" customHeight="1">
      <c r="BM11552" s="1025"/>
      <c r="BO11552" s="43"/>
    </row>
    <row r="11553" spans="65:67" ht="18.75" customHeight="1">
      <c r="BM11553" s="1025"/>
      <c r="BO11553" s="43"/>
    </row>
    <row r="11554" spans="65:67" ht="18.75" customHeight="1">
      <c r="BM11554" s="1025"/>
      <c r="BO11554" s="43"/>
    </row>
    <row r="11555" spans="65:67" ht="18.75" customHeight="1">
      <c r="BM11555" s="1025"/>
      <c r="BO11555" s="43"/>
    </row>
    <row r="11556" spans="65:67" ht="18.75" customHeight="1">
      <c r="BM11556" s="1025"/>
      <c r="BO11556" s="43"/>
    </row>
    <row r="11557" spans="65:67" ht="18.75" customHeight="1">
      <c r="BM11557" s="1025"/>
      <c r="BO11557" s="43"/>
    </row>
    <row r="11558" spans="65:67" ht="18.75" customHeight="1">
      <c r="BM11558" s="1025"/>
      <c r="BO11558" s="43"/>
    </row>
    <row r="11559" spans="65:67" ht="18.75" customHeight="1">
      <c r="BM11559" s="1025"/>
      <c r="BO11559" s="43"/>
    </row>
    <row r="11560" spans="65:67" ht="18.75" customHeight="1">
      <c r="BM11560" s="1025"/>
      <c r="BO11560" s="43"/>
    </row>
    <row r="11561" spans="65:67" ht="18.75" customHeight="1">
      <c r="BM11561" s="1025"/>
      <c r="BO11561" s="43"/>
    </row>
    <row r="11562" spans="65:67" ht="18.75" customHeight="1">
      <c r="BM11562" s="1025"/>
      <c r="BO11562" s="43"/>
    </row>
    <row r="11563" spans="65:67" ht="18.75" customHeight="1">
      <c r="BM11563" s="1025"/>
      <c r="BO11563" s="43"/>
    </row>
    <row r="11564" spans="65:67" ht="18.75" customHeight="1">
      <c r="BM11564" s="1025"/>
      <c r="BO11564" s="43"/>
    </row>
    <row r="11565" spans="65:67" ht="18.75" customHeight="1">
      <c r="BM11565" s="1025"/>
      <c r="BO11565" s="43"/>
    </row>
    <row r="11566" spans="65:67" ht="18.75" customHeight="1">
      <c r="BM11566" s="1025"/>
      <c r="BO11566" s="43"/>
    </row>
    <row r="11567" spans="65:67" ht="18.75" customHeight="1">
      <c r="BM11567" s="1025"/>
      <c r="BO11567" s="43"/>
    </row>
    <row r="11568" spans="65:67" ht="18.75" customHeight="1">
      <c r="BM11568" s="1025"/>
      <c r="BO11568" s="43"/>
    </row>
    <row r="11569" spans="65:67" ht="18.75" customHeight="1">
      <c r="BM11569" s="1025"/>
      <c r="BO11569" s="43"/>
    </row>
    <row r="11570" spans="65:67" ht="18.75" customHeight="1">
      <c r="BM11570" s="1025"/>
      <c r="BO11570" s="43"/>
    </row>
    <row r="11571" spans="65:67" ht="18.75" customHeight="1">
      <c r="BM11571" s="1025"/>
      <c r="BO11571" s="43"/>
    </row>
    <row r="11572" spans="65:67" ht="18.75" customHeight="1">
      <c r="BM11572" s="1025"/>
      <c r="BO11572" s="43"/>
    </row>
    <row r="11573" spans="65:67" ht="18.75" customHeight="1">
      <c r="BM11573" s="1025"/>
      <c r="BO11573" s="43"/>
    </row>
    <row r="11574" spans="65:67" ht="18.75" customHeight="1">
      <c r="BM11574" s="1025"/>
      <c r="BO11574" s="43"/>
    </row>
    <row r="11575" spans="65:67" ht="18.75" customHeight="1">
      <c r="BM11575" s="1025"/>
      <c r="BO11575" s="43"/>
    </row>
    <row r="11576" spans="65:67" ht="18.75" customHeight="1">
      <c r="BM11576" s="1025"/>
      <c r="BO11576" s="43"/>
    </row>
    <row r="11577" spans="65:67" ht="18.75" customHeight="1">
      <c r="BM11577" s="1025"/>
      <c r="BO11577" s="43"/>
    </row>
    <row r="11578" spans="65:67" ht="18.75" customHeight="1">
      <c r="BM11578" s="1025"/>
      <c r="BO11578" s="43"/>
    </row>
    <row r="11579" spans="65:67" ht="18.75" customHeight="1">
      <c r="BM11579" s="1025"/>
      <c r="BO11579" s="43"/>
    </row>
    <row r="11580" spans="65:67" ht="18.75" customHeight="1">
      <c r="BM11580" s="1025"/>
      <c r="BO11580" s="43"/>
    </row>
    <row r="11581" spans="65:67" ht="18.75" customHeight="1">
      <c r="BM11581" s="1025"/>
      <c r="BO11581" s="43"/>
    </row>
    <row r="11582" spans="65:67" ht="18.75" customHeight="1">
      <c r="BM11582" s="1025"/>
      <c r="BO11582" s="43"/>
    </row>
    <row r="11583" spans="65:67" ht="18.75" customHeight="1">
      <c r="BM11583" s="1025"/>
      <c r="BO11583" s="43"/>
    </row>
    <row r="11584" spans="65:67" ht="18.75" customHeight="1">
      <c r="BM11584" s="1025"/>
      <c r="BO11584" s="43"/>
    </row>
    <row r="11585" spans="65:67" ht="18.75" customHeight="1">
      <c r="BM11585" s="1025"/>
      <c r="BO11585" s="43"/>
    </row>
    <row r="11586" spans="65:67" ht="18.75" customHeight="1">
      <c r="BM11586" s="1025"/>
      <c r="BO11586" s="43"/>
    </row>
    <row r="11587" spans="65:67" ht="18.75" customHeight="1">
      <c r="BM11587" s="1025"/>
      <c r="BO11587" s="43"/>
    </row>
    <row r="11588" spans="65:67" ht="18.75" customHeight="1">
      <c r="BM11588" s="1025"/>
      <c r="BO11588" s="43"/>
    </row>
    <row r="11589" spans="65:67" ht="18.75" customHeight="1">
      <c r="BM11589" s="1025"/>
      <c r="BO11589" s="43"/>
    </row>
    <row r="11590" spans="65:67" ht="18.75" customHeight="1">
      <c r="BM11590" s="1025"/>
      <c r="BO11590" s="43"/>
    </row>
    <row r="11591" spans="65:67" ht="18.75" customHeight="1">
      <c r="BM11591" s="1025"/>
      <c r="BO11591" s="43"/>
    </row>
    <row r="11592" spans="65:67" ht="18.75" customHeight="1">
      <c r="BM11592" s="1025"/>
      <c r="BO11592" s="43"/>
    </row>
    <row r="11593" spans="65:67" ht="18.75" customHeight="1">
      <c r="BM11593" s="1025"/>
      <c r="BO11593" s="43"/>
    </row>
    <row r="11594" spans="65:67" ht="18.75" customHeight="1">
      <c r="BM11594" s="1025"/>
      <c r="BO11594" s="43"/>
    </row>
    <row r="11595" spans="65:67" ht="18.75" customHeight="1">
      <c r="BM11595" s="1025"/>
      <c r="BO11595" s="43"/>
    </row>
    <row r="11596" spans="65:67" ht="18.75" customHeight="1">
      <c r="BM11596" s="1025"/>
      <c r="BO11596" s="43"/>
    </row>
    <row r="11597" spans="65:67" ht="18.75" customHeight="1">
      <c r="BM11597" s="1025"/>
      <c r="BO11597" s="43"/>
    </row>
    <row r="11598" spans="65:67" ht="18.75" customHeight="1">
      <c r="BM11598" s="1025"/>
      <c r="BO11598" s="43"/>
    </row>
    <row r="11599" spans="65:67" ht="18.75" customHeight="1">
      <c r="BM11599" s="1025"/>
      <c r="BO11599" s="43"/>
    </row>
    <row r="11600" spans="65:67" ht="18.75" customHeight="1">
      <c r="BM11600" s="1025"/>
      <c r="BO11600" s="43"/>
    </row>
    <row r="11601" spans="65:67" ht="18.75" customHeight="1">
      <c r="BM11601" s="1025"/>
      <c r="BO11601" s="43"/>
    </row>
    <row r="11602" spans="65:67" ht="18.75" customHeight="1">
      <c r="BM11602" s="1025"/>
      <c r="BO11602" s="43"/>
    </row>
    <row r="11603" spans="65:67" ht="18.75" customHeight="1">
      <c r="BM11603" s="1025"/>
      <c r="BO11603" s="43"/>
    </row>
    <row r="11604" spans="65:67" ht="18.75" customHeight="1">
      <c r="BM11604" s="1025"/>
      <c r="BO11604" s="43"/>
    </row>
    <row r="11605" spans="65:67" ht="18.75" customHeight="1">
      <c r="BM11605" s="1025"/>
      <c r="BO11605" s="43"/>
    </row>
    <row r="11606" spans="65:67" ht="18.75" customHeight="1">
      <c r="BM11606" s="1025"/>
      <c r="BO11606" s="43"/>
    </row>
    <row r="11607" spans="65:67" ht="18.75" customHeight="1">
      <c r="BM11607" s="1025"/>
      <c r="BO11607" s="43"/>
    </row>
    <row r="11608" spans="65:67" ht="18.75" customHeight="1">
      <c r="BM11608" s="1025"/>
      <c r="BO11608" s="43"/>
    </row>
    <row r="11609" spans="65:67" ht="18.75" customHeight="1">
      <c r="BM11609" s="1025"/>
      <c r="BO11609" s="43"/>
    </row>
    <row r="11610" spans="65:67" ht="18.75" customHeight="1">
      <c r="BM11610" s="1025"/>
      <c r="BO11610" s="43"/>
    </row>
    <row r="11611" spans="65:67" ht="18.75" customHeight="1">
      <c r="BM11611" s="1025"/>
      <c r="BO11611" s="43"/>
    </row>
    <row r="11612" spans="65:67" ht="18.75" customHeight="1">
      <c r="BM11612" s="1025"/>
      <c r="BO11612" s="43"/>
    </row>
    <row r="11613" spans="65:67" ht="18.75" customHeight="1">
      <c r="BM11613" s="1025"/>
      <c r="BO11613" s="43"/>
    </row>
    <row r="11614" spans="65:67" ht="18.75" customHeight="1">
      <c r="BM11614" s="1025"/>
      <c r="BO11614" s="43"/>
    </row>
    <row r="11615" spans="65:67" ht="18.75" customHeight="1">
      <c r="BM11615" s="1025"/>
      <c r="BO11615" s="43"/>
    </row>
    <row r="11616" spans="65:67" ht="18.75" customHeight="1">
      <c r="BM11616" s="1025"/>
      <c r="BO11616" s="43"/>
    </row>
    <row r="11617" spans="65:67" ht="18.75" customHeight="1">
      <c r="BM11617" s="1025"/>
      <c r="BO11617" s="43"/>
    </row>
    <row r="11618" spans="65:67" ht="18.75" customHeight="1">
      <c r="BM11618" s="1025"/>
      <c r="BO11618" s="43"/>
    </row>
    <row r="11619" spans="65:67" ht="18.75" customHeight="1">
      <c r="BM11619" s="1025"/>
      <c r="BO11619" s="43"/>
    </row>
    <row r="11620" spans="65:67" ht="18.75" customHeight="1">
      <c r="BM11620" s="1025"/>
      <c r="BO11620" s="43"/>
    </row>
    <row r="11621" spans="65:67" ht="18.75" customHeight="1">
      <c r="BM11621" s="1025"/>
      <c r="BO11621" s="43"/>
    </row>
    <row r="11622" spans="65:67" ht="18.75" customHeight="1">
      <c r="BM11622" s="1025"/>
      <c r="BO11622" s="43"/>
    </row>
    <row r="11623" spans="65:67" ht="18.75" customHeight="1">
      <c r="BM11623" s="1025"/>
      <c r="BO11623" s="43"/>
    </row>
    <row r="11624" spans="65:67" ht="18.75" customHeight="1">
      <c r="BM11624" s="1025"/>
      <c r="BO11624" s="43"/>
    </row>
    <row r="11625" spans="65:67" ht="18.75" customHeight="1">
      <c r="BM11625" s="1025"/>
      <c r="BO11625" s="43"/>
    </row>
    <row r="11626" spans="65:67" ht="18.75" customHeight="1">
      <c r="BM11626" s="1025"/>
      <c r="BO11626" s="43"/>
    </row>
    <row r="11627" spans="65:67" ht="18.75" customHeight="1">
      <c r="BM11627" s="1025"/>
      <c r="BO11627" s="43"/>
    </row>
    <row r="11628" spans="65:67" ht="18.75" customHeight="1">
      <c r="BM11628" s="1025"/>
      <c r="BO11628" s="43"/>
    </row>
    <row r="11629" spans="65:67" ht="18.75" customHeight="1">
      <c r="BM11629" s="1025"/>
      <c r="BO11629" s="43"/>
    </row>
    <row r="11630" spans="65:67" ht="18.75" customHeight="1">
      <c r="BM11630" s="1025"/>
      <c r="BO11630" s="43"/>
    </row>
    <row r="11631" spans="65:67" ht="18.75" customHeight="1">
      <c r="BM11631" s="1025"/>
      <c r="BO11631" s="43"/>
    </row>
    <row r="11632" spans="65:67" ht="18.75" customHeight="1">
      <c r="BM11632" s="1025"/>
      <c r="BO11632" s="43"/>
    </row>
    <row r="11633" spans="65:67" ht="18.75" customHeight="1">
      <c r="BM11633" s="1025"/>
      <c r="BO11633" s="43"/>
    </row>
    <row r="11634" spans="65:67" ht="18.75" customHeight="1">
      <c r="BM11634" s="1025"/>
      <c r="BO11634" s="43"/>
    </row>
    <row r="11635" spans="65:67" ht="18.75" customHeight="1">
      <c r="BM11635" s="1025"/>
      <c r="BO11635" s="43"/>
    </row>
    <row r="11636" spans="65:67" ht="18.75" customHeight="1">
      <c r="BM11636" s="1025"/>
      <c r="BO11636" s="43"/>
    </row>
    <row r="11637" spans="65:67" ht="18.75" customHeight="1">
      <c r="BM11637" s="1025"/>
      <c r="BO11637" s="43"/>
    </row>
    <row r="11638" spans="65:67" ht="18.75" customHeight="1">
      <c r="BM11638" s="1025"/>
      <c r="BO11638" s="43"/>
    </row>
    <row r="11639" spans="65:67" ht="18.75" customHeight="1">
      <c r="BM11639" s="1025"/>
      <c r="BO11639" s="43"/>
    </row>
    <row r="11640" spans="65:67" ht="18.75" customHeight="1">
      <c r="BM11640" s="1025"/>
      <c r="BO11640" s="43"/>
    </row>
    <row r="11641" spans="65:67" ht="18.75" customHeight="1">
      <c r="BM11641" s="1025"/>
      <c r="BO11641" s="43"/>
    </row>
    <row r="11642" spans="65:67" ht="18.75" customHeight="1">
      <c r="BM11642" s="1025"/>
      <c r="BO11642" s="43"/>
    </row>
    <row r="11643" spans="65:67" ht="18.75" customHeight="1">
      <c r="BM11643" s="1025"/>
      <c r="BO11643" s="43"/>
    </row>
    <row r="11644" spans="65:67" ht="18.75" customHeight="1">
      <c r="BM11644" s="1025"/>
      <c r="BO11644" s="43"/>
    </row>
    <row r="11645" spans="65:67" ht="18.75" customHeight="1">
      <c r="BM11645" s="1025"/>
      <c r="BO11645" s="43"/>
    </row>
    <row r="11646" spans="65:67" ht="18.75" customHeight="1">
      <c r="BM11646" s="1025"/>
      <c r="BO11646" s="43"/>
    </row>
    <row r="11647" spans="65:67" ht="18.75" customHeight="1">
      <c r="BM11647" s="1025"/>
      <c r="BO11647" s="43"/>
    </row>
    <row r="11648" spans="65:67" ht="18.75" customHeight="1">
      <c r="BM11648" s="1025"/>
      <c r="BO11648" s="43"/>
    </row>
    <row r="11649" spans="65:67" ht="18.75" customHeight="1">
      <c r="BM11649" s="1025"/>
      <c r="BO11649" s="43"/>
    </row>
    <row r="11650" spans="65:67" ht="18.75" customHeight="1">
      <c r="BM11650" s="1025"/>
      <c r="BO11650" s="43"/>
    </row>
    <row r="11651" spans="65:67" ht="18.75" customHeight="1">
      <c r="BM11651" s="1025"/>
      <c r="BO11651" s="43"/>
    </row>
    <row r="11652" spans="65:67" ht="18.75" customHeight="1">
      <c r="BM11652" s="1025"/>
      <c r="BO11652" s="43"/>
    </row>
    <row r="11653" spans="65:67" ht="18.75" customHeight="1">
      <c r="BM11653" s="1025"/>
      <c r="BO11653" s="43"/>
    </row>
    <row r="11654" spans="65:67" ht="18.75" customHeight="1">
      <c r="BM11654" s="1025"/>
      <c r="BO11654" s="43"/>
    </row>
    <row r="11655" spans="65:67" ht="18.75" customHeight="1">
      <c r="BM11655" s="1025"/>
      <c r="BO11655" s="43"/>
    </row>
    <row r="11656" spans="65:67" ht="18.75" customHeight="1">
      <c r="BM11656" s="1025"/>
      <c r="BO11656" s="43"/>
    </row>
    <row r="11657" spans="65:67" ht="18.75" customHeight="1">
      <c r="BM11657" s="1025"/>
      <c r="BO11657" s="43"/>
    </row>
    <row r="11658" spans="65:67" ht="18.75" customHeight="1">
      <c r="BM11658" s="1025"/>
      <c r="BO11658" s="43"/>
    </row>
    <row r="11659" spans="65:67" ht="18.75" customHeight="1">
      <c r="BM11659" s="1025"/>
      <c r="BO11659" s="43"/>
    </row>
    <row r="11660" spans="65:67" ht="18.75" customHeight="1">
      <c r="BM11660" s="1025"/>
      <c r="BO11660" s="43"/>
    </row>
    <row r="11661" spans="65:67" ht="18.75" customHeight="1">
      <c r="BM11661" s="1025"/>
      <c r="BO11661" s="43"/>
    </row>
    <row r="11662" spans="65:67" ht="18.75" customHeight="1">
      <c r="BM11662" s="1025"/>
      <c r="BO11662" s="43"/>
    </row>
    <row r="11663" spans="65:67" ht="18.75" customHeight="1">
      <c r="BM11663" s="1025"/>
      <c r="BO11663" s="43"/>
    </row>
    <row r="11664" spans="65:67" ht="18.75" customHeight="1">
      <c r="BM11664" s="1025"/>
      <c r="BO11664" s="43"/>
    </row>
    <row r="11665" spans="65:67" ht="18.75" customHeight="1">
      <c r="BM11665" s="1025"/>
      <c r="BO11665" s="43"/>
    </row>
    <row r="11666" spans="65:67" ht="18.75" customHeight="1">
      <c r="BM11666" s="1025"/>
      <c r="BO11666" s="43"/>
    </row>
    <row r="11667" spans="65:67" ht="18.75" customHeight="1">
      <c r="BM11667" s="1025"/>
      <c r="BO11667" s="43"/>
    </row>
    <row r="11668" spans="65:67" ht="18.75" customHeight="1">
      <c r="BM11668" s="1025"/>
      <c r="BO11668" s="43"/>
    </row>
    <row r="11669" spans="65:67" ht="18.75" customHeight="1">
      <c r="BM11669" s="1025"/>
      <c r="BO11669" s="43"/>
    </row>
    <row r="11670" spans="65:67" ht="18.75" customHeight="1">
      <c r="BM11670" s="1025"/>
      <c r="BO11670" s="43"/>
    </row>
    <row r="11671" spans="65:67" ht="18.75" customHeight="1">
      <c r="BM11671" s="1025"/>
      <c r="BO11671" s="43"/>
    </row>
    <row r="11672" spans="65:67" ht="18.75" customHeight="1">
      <c r="BM11672" s="1025"/>
      <c r="BO11672" s="43"/>
    </row>
    <row r="11673" spans="65:67" ht="18.75" customHeight="1">
      <c r="BM11673" s="1025"/>
      <c r="BO11673" s="43"/>
    </row>
    <row r="11674" spans="65:67" ht="18.75" customHeight="1">
      <c r="BM11674" s="1025"/>
      <c r="BO11674" s="43"/>
    </row>
    <row r="11675" spans="65:67" ht="18.75" customHeight="1">
      <c r="BM11675" s="1025"/>
      <c r="BO11675" s="43"/>
    </row>
    <row r="11676" spans="65:67" ht="18.75" customHeight="1">
      <c r="BM11676" s="1025"/>
      <c r="BO11676" s="43"/>
    </row>
    <row r="11677" spans="65:67" ht="18.75" customHeight="1">
      <c r="BM11677" s="1025"/>
      <c r="BO11677" s="43"/>
    </row>
    <row r="11678" spans="65:67" ht="18.75" customHeight="1">
      <c r="BM11678" s="1025"/>
      <c r="BO11678" s="43"/>
    </row>
    <row r="11679" spans="65:67" ht="18.75" customHeight="1">
      <c r="BM11679" s="1025"/>
      <c r="BO11679" s="43"/>
    </row>
    <row r="11680" spans="65:67" ht="18.75" customHeight="1">
      <c r="BM11680" s="1025"/>
      <c r="BO11680" s="43"/>
    </row>
    <row r="11681" spans="65:67" ht="18.75" customHeight="1">
      <c r="BM11681" s="1025"/>
      <c r="BO11681" s="43"/>
    </row>
    <row r="11682" spans="65:67" ht="18.75" customHeight="1">
      <c r="BM11682" s="1025"/>
      <c r="BO11682" s="43"/>
    </row>
    <row r="11683" spans="65:67" ht="18.75" customHeight="1">
      <c r="BM11683" s="1025"/>
      <c r="BO11683" s="43"/>
    </row>
    <row r="11684" spans="65:67" ht="18.75" customHeight="1">
      <c r="BM11684" s="1025"/>
      <c r="BO11684" s="43"/>
    </row>
    <row r="11685" spans="65:67" ht="18.75" customHeight="1">
      <c r="BM11685" s="1025"/>
      <c r="BO11685" s="43"/>
    </row>
    <row r="11686" spans="65:67" ht="18.75" customHeight="1">
      <c r="BM11686" s="1025"/>
      <c r="BO11686" s="43"/>
    </row>
    <row r="11687" spans="65:67" ht="18.75" customHeight="1">
      <c r="BM11687" s="1025"/>
      <c r="BO11687" s="43"/>
    </row>
    <row r="11688" spans="65:67" ht="18.75" customHeight="1">
      <c r="BM11688" s="1025"/>
      <c r="BO11688" s="43"/>
    </row>
    <row r="11689" spans="65:67" ht="18.75" customHeight="1">
      <c r="BM11689" s="1025"/>
      <c r="BO11689" s="43"/>
    </row>
    <row r="11690" spans="65:67" ht="18.75" customHeight="1">
      <c r="BM11690" s="1025"/>
      <c r="BO11690" s="43"/>
    </row>
    <row r="11691" spans="65:67" ht="18.75" customHeight="1">
      <c r="BM11691" s="1025"/>
      <c r="BO11691" s="43"/>
    </row>
    <row r="11692" spans="65:67" ht="18.75" customHeight="1">
      <c r="BM11692" s="1025"/>
      <c r="BO11692" s="43"/>
    </row>
    <row r="11693" spans="65:67" ht="18.75" customHeight="1">
      <c r="BM11693" s="1025"/>
      <c r="BO11693" s="43"/>
    </row>
    <row r="11694" spans="65:67" ht="18.75" customHeight="1">
      <c r="BM11694" s="1025"/>
      <c r="BO11694" s="43"/>
    </row>
    <row r="11695" spans="65:67" ht="18.75" customHeight="1">
      <c r="BM11695" s="1025"/>
      <c r="BO11695" s="43"/>
    </row>
    <row r="11696" spans="65:67" ht="18.75" customHeight="1">
      <c r="BM11696" s="1025"/>
      <c r="BO11696" s="43"/>
    </row>
    <row r="11697" spans="65:67" ht="18.75" customHeight="1">
      <c r="BM11697" s="1025"/>
      <c r="BO11697" s="43"/>
    </row>
    <row r="11698" spans="65:67" ht="18.75" customHeight="1">
      <c r="BM11698" s="1025"/>
      <c r="BO11698" s="43"/>
    </row>
    <row r="11699" spans="65:67" ht="18.75" customHeight="1">
      <c r="BM11699" s="1025"/>
      <c r="BO11699" s="43"/>
    </row>
    <row r="11700" spans="65:67" ht="18.75" customHeight="1">
      <c r="BM11700" s="1025"/>
      <c r="BO11700" s="43"/>
    </row>
    <row r="11701" spans="65:67" ht="18.75" customHeight="1">
      <c r="BM11701" s="1025"/>
      <c r="BO11701" s="43"/>
    </row>
    <row r="11702" spans="65:67" ht="18.75" customHeight="1">
      <c r="BM11702" s="1025"/>
      <c r="BO11702" s="43"/>
    </row>
    <row r="11703" spans="65:67" ht="18.75" customHeight="1">
      <c r="BM11703" s="1025"/>
      <c r="BO11703" s="43"/>
    </row>
    <row r="11704" spans="65:67" ht="18.75" customHeight="1">
      <c r="BM11704" s="1025"/>
      <c r="BO11704" s="43"/>
    </row>
    <row r="11705" spans="65:67" ht="18.75" customHeight="1">
      <c r="BM11705" s="1025"/>
      <c r="BO11705" s="43"/>
    </row>
    <row r="11706" spans="65:67" ht="18.75" customHeight="1">
      <c r="BM11706" s="1025"/>
      <c r="BO11706" s="43"/>
    </row>
    <row r="11707" spans="65:67" ht="18.75" customHeight="1">
      <c r="BM11707" s="1025"/>
      <c r="BO11707" s="43"/>
    </row>
    <row r="11708" spans="65:67" ht="18.75" customHeight="1">
      <c r="BM11708" s="1025"/>
      <c r="BO11708" s="43"/>
    </row>
    <row r="11709" spans="65:67" ht="18.75" customHeight="1">
      <c r="BM11709" s="1025"/>
      <c r="BO11709" s="43"/>
    </row>
    <row r="11710" spans="65:67" ht="18.75" customHeight="1">
      <c r="BM11710" s="1025"/>
      <c r="BO11710" s="43"/>
    </row>
    <row r="11711" spans="65:67" ht="18.75" customHeight="1">
      <c r="BM11711" s="1025"/>
      <c r="BO11711" s="43"/>
    </row>
    <row r="11712" spans="65:67" ht="18.75" customHeight="1">
      <c r="BM11712" s="1025"/>
      <c r="BO11712" s="43"/>
    </row>
    <row r="11713" spans="65:67" ht="18.75" customHeight="1">
      <c r="BM11713" s="1025"/>
      <c r="BO11713" s="43"/>
    </row>
    <row r="11714" spans="65:67" ht="18.75" customHeight="1">
      <c r="BM11714" s="1025"/>
      <c r="BO11714" s="43"/>
    </row>
    <row r="11715" spans="65:67" ht="18.75" customHeight="1">
      <c r="BM11715" s="1025"/>
      <c r="BO11715" s="43"/>
    </row>
    <row r="11716" spans="65:67" ht="18.75" customHeight="1">
      <c r="BM11716" s="1025"/>
      <c r="BO11716" s="43"/>
    </row>
    <row r="11717" spans="65:67" ht="18.75" customHeight="1">
      <c r="BM11717" s="1025"/>
      <c r="BO11717" s="43"/>
    </row>
    <row r="11718" spans="65:67" ht="18.75" customHeight="1">
      <c r="BM11718" s="1025"/>
      <c r="BO11718" s="43"/>
    </row>
    <row r="11719" spans="65:67" ht="18.75" customHeight="1">
      <c r="BM11719" s="1025"/>
      <c r="BO11719" s="43"/>
    </row>
    <row r="11720" spans="65:67" ht="18.75" customHeight="1">
      <c r="BM11720" s="1025"/>
      <c r="BO11720" s="43"/>
    </row>
    <row r="11721" spans="65:67" ht="18.75" customHeight="1">
      <c r="BM11721" s="1025"/>
      <c r="BO11721" s="43"/>
    </row>
    <row r="11722" spans="65:67" ht="18.75" customHeight="1">
      <c r="BM11722" s="1025"/>
      <c r="BO11722" s="43"/>
    </row>
    <row r="11723" spans="65:67" ht="18.75" customHeight="1">
      <c r="BM11723" s="1025"/>
      <c r="BO11723" s="43"/>
    </row>
    <row r="11724" spans="65:67" ht="18.75" customHeight="1">
      <c r="BM11724" s="1025"/>
      <c r="BO11724" s="43"/>
    </row>
    <row r="11725" spans="65:67" ht="18.75" customHeight="1">
      <c r="BM11725" s="1025"/>
      <c r="BO11725" s="43"/>
    </row>
    <row r="11726" spans="65:67" ht="18.75" customHeight="1">
      <c r="BM11726" s="1025"/>
      <c r="BO11726" s="43"/>
    </row>
    <row r="11727" spans="65:67" ht="18.75" customHeight="1">
      <c r="BM11727" s="1025"/>
      <c r="BO11727" s="43"/>
    </row>
    <row r="11728" spans="65:67" ht="18.75" customHeight="1">
      <c r="BM11728" s="1025"/>
      <c r="BO11728" s="43"/>
    </row>
    <row r="11729" spans="65:67" ht="18.75" customHeight="1">
      <c r="BM11729" s="1025"/>
      <c r="BO11729" s="43"/>
    </row>
    <row r="11730" spans="65:67" ht="18.75" customHeight="1">
      <c r="BM11730" s="1025"/>
      <c r="BO11730" s="43"/>
    </row>
    <row r="11731" spans="65:67" ht="18.75" customHeight="1">
      <c r="BM11731" s="1025"/>
      <c r="BO11731" s="43"/>
    </row>
    <row r="11732" spans="65:67" ht="18.75" customHeight="1">
      <c r="BM11732" s="1025"/>
      <c r="BO11732" s="43"/>
    </row>
    <row r="11733" spans="65:67" ht="18.75" customHeight="1">
      <c r="BM11733" s="1025"/>
      <c r="BO11733" s="43"/>
    </row>
    <row r="11734" spans="65:67" ht="18.75" customHeight="1">
      <c r="BM11734" s="1025"/>
      <c r="BO11734" s="43"/>
    </row>
    <row r="11735" spans="65:67" ht="18.75" customHeight="1">
      <c r="BM11735" s="1025"/>
      <c r="BO11735" s="43"/>
    </row>
    <row r="11736" spans="65:67" ht="18.75" customHeight="1">
      <c r="BM11736" s="1025"/>
      <c r="BO11736" s="43"/>
    </row>
    <row r="11737" spans="65:67" ht="18.75" customHeight="1">
      <c r="BM11737" s="1025"/>
      <c r="BO11737" s="43"/>
    </row>
    <row r="11738" spans="65:67" ht="18.75" customHeight="1">
      <c r="BM11738" s="1025"/>
      <c r="BO11738" s="43"/>
    </row>
    <row r="11739" spans="65:67" ht="18.75" customHeight="1">
      <c r="BM11739" s="1025"/>
      <c r="BO11739" s="43"/>
    </row>
    <row r="11740" spans="65:67" ht="18.75" customHeight="1">
      <c r="BM11740" s="1025"/>
      <c r="BO11740" s="43"/>
    </row>
    <row r="11741" spans="65:67" ht="18.75" customHeight="1">
      <c r="BM11741" s="1025"/>
      <c r="BO11741" s="43"/>
    </row>
    <row r="11742" spans="65:67" ht="18.75" customHeight="1">
      <c r="BM11742" s="1025"/>
      <c r="BO11742" s="43"/>
    </row>
    <row r="11743" spans="65:67" ht="18.75" customHeight="1">
      <c r="BM11743" s="1025"/>
      <c r="BO11743" s="43"/>
    </row>
    <row r="11744" spans="65:67" ht="18.75" customHeight="1">
      <c r="BM11744" s="1025"/>
      <c r="BO11744" s="43"/>
    </row>
    <row r="11745" spans="65:67" ht="18.75" customHeight="1">
      <c r="BM11745" s="1025"/>
      <c r="BO11745" s="43"/>
    </row>
    <row r="11746" spans="65:67" ht="18.75" customHeight="1">
      <c r="BM11746" s="1025"/>
      <c r="BO11746" s="43"/>
    </row>
    <row r="11747" spans="65:67" ht="18.75" customHeight="1">
      <c r="BM11747" s="1025"/>
      <c r="BO11747" s="43"/>
    </row>
    <row r="11748" spans="65:67" ht="18.75" customHeight="1">
      <c r="BM11748" s="1025"/>
      <c r="BO11748" s="43"/>
    </row>
    <row r="11749" spans="65:67" ht="18.75" customHeight="1">
      <c r="BM11749" s="1025"/>
      <c r="BO11749" s="43"/>
    </row>
    <row r="11750" spans="65:67" ht="18.75" customHeight="1">
      <c r="BM11750" s="1025"/>
      <c r="BO11750" s="43"/>
    </row>
    <row r="11751" spans="65:67" ht="18.75" customHeight="1">
      <c r="BM11751" s="1025"/>
      <c r="BO11751" s="43"/>
    </row>
    <row r="11752" spans="65:67" ht="18.75" customHeight="1">
      <c r="BM11752" s="1025"/>
      <c r="BO11752" s="43"/>
    </row>
    <row r="11753" spans="65:67" ht="18.75" customHeight="1">
      <c r="BM11753" s="1025"/>
      <c r="BO11753" s="43"/>
    </row>
    <row r="11754" spans="65:67" ht="18.75" customHeight="1">
      <c r="BM11754" s="1025"/>
      <c r="BO11754" s="43"/>
    </row>
    <row r="11755" spans="65:67" ht="18.75" customHeight="1">
      <c r="BM11755" s="1025"/>
      <c r="BO11755" s="43"/>
    </row>
    <row r="11756" spans="65:67" ht="18.75" customHeight="1">
      <c r="BM11756" s="1025"/>
      <c r="BO11756" s="43"/>
    </row>
    <row r="11757" spans="65:67" ht="18.75" customHeight="1">
      <c r="BM11757" s="1025"/>
      <c r="BO11757" s="43"/>
    </row>
    <row r="11758" spans="65:67" ht="18.75" customHeight="1">
      <c r="BM11758" s="1025"/>
      <c r="BO11758" s="43"/>
    </row>
    <row r="11759" spans="65:67" ht="18.75" customHeight="1">
      <c r="BM11759" s="1025"/>
      <c r="BO11759" s="43"/>
    </row>
    <row r="11760" spans="65:67" ht="18.75" customHeight="1">
      <c r="BM11760" s="1025"/>
      <c r="BO11760" s="43"/>
    </row>
    <row r="11761" spans="65:67" ht="18.75" customHeight="1">
      <c r="BM11761" s="1025"/>
      <c r="BO11761" s="43"/>
    </row>
    <row r="11762" spans="65:67" ht="18.75" customHeight="1">
      <c r="BM11762" s="1025"/>
      <c r="BO11762" s="43"/>
    </row>
    <row r="11763" spans="65:67" ht="18.75" customHeight="1">
      <c r="BM11763" s="1025"/>
      <c r="BO11763" s="43"/>
    </row>
    <row r="11764" spans="65:67" ht="18.75" customHeight="1">
      <c r="BM11764" s="1025"/>
      <c r="BO11764" s="43"/>
    </row>
    <row r="11765" spans="65:67" ht="18.75" customHeight="1">
      <c r="BM11765" s="1025"/>
      <c r="BO11765" s="43"/>
    </row>
    <row r="11766" spans="65:67" ht="18.75" customHeight="1">
      <c r="BM11766" s="1025"/>
      <c r="BO11766" s="43"/>
    </row>
    <row r="11767" spans="65:67" ht="18.75" customHeight="1">
      <c r="BM11767" s="1025"/>
      <c r="BO11767" s="43"/>
    </row>
    <row r="11768" spans="65:67" ht="18.75" customHeight="1">
      <c r="BM11768" s="1025"/>
      <c r="BO11768" s="43"/>
    </row>
    <row r="11769" spans="65:67" ht="18.75" customHeight="1">
      <c r="BM11769" s="1025"/>
      <c r="BO11769" s="43"/>
    </row>
    <row r="11770" spans="65:67" ht="18.75" customHeight="1">
      <c r="BM11770" s="1025"/>
      <c r="BO11770" s="43"/>
    </row>
    <row r="11771" spans="65:67" ht="18.75" customHeight="1">
      <c r="BM11771" s="1025"/>
      <c r="BO11771" s="43"/>
    </row>
    <row r="11772" spans="65:67" ht="18.75" customHeight="1">
      <c r="BM11772" s="1025"/>
      <c r="BO11772" s="43"/>
    </row>
    <row r="11773" spans="65:67" ht="18.75" customHeight="1">
      <c r="BM11773" s="1025"/>
      <c r="BO11773" s="43"/>
    </row>
    <row r="11774" spans="65:67" ht="18.75" customHeight="1">
      <c r="BM11774" s="1025"/>
      <c r="BO11774" s="43"/>
    </row>
    <row r="11775" spans="65:67" ht="18.75" customHeight="1">
      <c r="BM11775" s="1025"/>
      <c r="BO11775" s="43"/>
    </row>
    <row r="11776" spans="65:67" ht="18.75" customHeight="1">
      <c r="BM11776" s="1025"/>
      <c r="BO11776" s="43"/>
    </row>
    <row r="11777" spans="65:67" ht="18.75" customHeight="1">
      <c r="BM11777" s="1025"/>
      <c r="BO11777" s="43"/>
    </row>
    <row r="11778" spans="65:67" ht="18.75" customHeight="1">
      <c r="BM11778" s="1025"/>
      <c r="BO11778" s="43"/>
    </row>
    <row r="11779" spans="65:67" ht="18.75" customHeight="1">
      <c r="BM11779" s="1025"/>
      <c r="BO11779" s="43"/>
    </row>
    <row r="11780" spans="65:67" ht="18.75" customHeight="1">
      <c r="BM11780" s="1025"/>
      <c r="BO11780" s="43"/>
    </row>
    <row r="11781" spans="65:67" ht="18.75" customHeight="1">
      <c r="BM11781" s="1025"/>
      <c r="BO11781" s="43"/>
    </row>
    <row r="11782" spans="65:67" ht="18.75" customHeight="1">
      <c r="BM11782" s="1025"/>
      <c r="BO11782" s="43"/>
    </row>
    <row r="11783" spans="65:67" ht="18.75" customHeight="1">
      <c r="BM11783" s="1025"/>
      <c r="BO11783" s="43"/>
    </row>
    <row r="11784" spans="65:67" ht="18.75" customHeight="1">
      <c r="BM11784" s="1025"/>
      <c r="BO11784" s="43"/>
    </row>
    <row r="11785" spans="65:67" ht="18.75" customHeight="1">
      <c r="BM11785" s="1025"/>
      <c r="BO11785" s="43"/>
    </row>
    <row r="11786" spans="65:67" ht="18.75" customHeight="1">
      <c r="BM11786" s="1025"/>
      <c r="BO11786" s="43"/>
    </row>
    <row r="11787" spans="65:67" ht="18.75" customHeight="1">
      <c r="BM11787" s="1025"/>
      <c r="BO11787" s="43"/>
    </row>
    <row r="11788" spans="65:67" ht="18.75" customHeight="1">
      <c r="BM11788" s="1025"/>
      <c r="BO11788" s="43"/>
    </row>
    <row r="11789" spans="65:67" ht="18.75" customHeight="1">
      <c r="BM11789" s="1025"/>
      <c r="BO11789" s="43"/>
    </row>
    <row r="11790" spans="65:67" ht="18.75" customHeight="1">
      <c r="BM11790" s="1025"/>
      <c r="BO11790" s="43"/>
    </row>
    <row r="11791" spans="65:67" ht="18.75" customHeight="1">
      <c r="BM11791" s="1025"/>
      <c r="BO11791" s="43"/>
    </row>
    <row r="11792" spans="65:67" ht="18.75" customHeight="1">
      <c r="BM11792" s="1025"/>
      <c r="BO11792" s="43"/>
    </row>
    <row r="11793" spans="65:67" ht="18.75" customHeight="1">
      <c r="BM11793" s="1025"/>
      <c r="BO11793" s="43"/>
    </row>
    <row r="11794" spans="65:67" ht="18.75" customHeight="1">
      <c r="BM11794" s="1025"/>
      <c r="BO11794" s="43"/>
    </row>
    <row r="11795" spans="65:67" ht="18.75" customHeight="1">
      <c r="BM11795" s="1025"/>
      <c r="BO11795" s="43"/>
    </row>
    <row r="11796" spans="65:67" ht="18.75" customHeight="1">
      <c r="BM11796" s="1025"/>
      <c r="BO11796" s="43"/>
    </row>
    <row r="11797" spans="65:67" ht="18.75" customHeight="1">
      <c r="BM11797" s="1025"/>
      <c r="BO11797" s="43"/>
    </row>
    <row r="11798" spans="65:67" ht="18.75" customHeight="1">
      <c r="BM11798" s="1025"/>
      <c r="BO11798" s="43"/>
    </row>
    <row r="11799" spans="65:67" ht="18.75" customHeight="1">
      <c r="BM11799" s="1025"/>
      <c r="BO11799" s="43"/>
    </row>
    <row r="11800" spans="65:67" ht="18.75" customHeight="1">
      <c r="BM11800" s="1025"/>
      <c r="BO11800" s="43"/>
    </row>
    <row r="11801" spans="65:67" ht="18.75" customHeight="1">
      <c r="BM11801" s="1025"/>
      <c r="BO11801" s="43"/>
    </row>
    <row r="11802" spans="65:67" ht="18.75" customHeight="1">
      <c r="BM11802" s="1025"/>
      <c r="BO11802" s="43"/>
    </row>
    <row r="11803" spans="65:67" ht="18.75" customHeight="1">
      <c r="BM11803" s="1025"/>
      <c r="BO11803" s="43"/>
    </row>
    <row r="11804" spans="65:67" ht="18.75" customHeight="1">
      <c r="BM11804" s="1025"/>
      <c r="BO11804" s="43"/>
    </row>
    <row r="11805" spans="65:67" ht="18.75" customHeight="1">
      <c r="BM11805" s="1025"/>
      <c r="BO11805" s="43"/>
    </row>
    <row r="11806" spans="65:67" ht="18.75" customHeight="1">
      <c r="BM11806" s="1025"/>
      <c r="BO11806" s="43"/>
    </row>
    <row r="11807" spans="65:67" ht="18.75" customHeight="1">
      <c r="BM11807" s="1025"/>
      <c r="BO11807" s="43"/>
    </row>
    <row r="11808" spans="65:67" ht="18.75" customHeight="1">
      <c r="BM11808" s="1025"/>
      <c r="BO11808" s="43"/>
    </row>
    <row r="11809" spans="65:67" ht="18.75" customHeight="1">
      <c r="BM11809" s="1025"/>
      <c r="BO11809" s="43"/>
    </row>
    <row r="11810" spans="65:67" ht="18.75" customHeight="1">
      <c r="BM11810" s="1025"/>
      <c r="BO11810" s="43"/>
    </row>
    <row r="11811" spans="65:67" ht="18.75" customHeight="1">
      <c r="BM11811" s="1025"/>
      <c r="BO11811" s="43"/>
    </row>
    <row r="11812" spans="65:67" ht="18.75" customHeight="1">
      <c r="BM11812" s="1025"/>
      <c r="BO11812" s="43"/>
    </row>
    <row r="11813" spans="65:67" ht="18.75" customHeight="1">
      <c r="BM11813" s="1025"/>
      <c r="BO11813" s="43"/>
    </row>
    <row r="11814" spans="65:67" ht="18.75" customHeight="1">
      <c r="BM11814" s="1025"/>
      <c r="BO11814" s="43"/>
    </row>
    <row r="11815" spans="65:67" ht="18.75" customHeight="1">
      <c r="BM11815" s="1025"/>
      <c r="BO11815" s="43"/>
    </row>
    <row r="11816" spans="65:67" ht="18.75" customHeight="1">
      <c r="BM11816" s="1025"/>
      <c r="BO11816" s="43"/>
    </row>
    <row r="11817" spans="65:67" ht="18.75" customHeight="1">
      <c r="BM11817" s="1025"/>
      <c r="BO11817" s="43"/>
    </row>
    <row r="11818" spans="65:67" ht="18.75" customHeight="1">
      <c r="BM11818" s="1025"/>
      <c r="BO11818" s="43"/>
    </row>
    <row r="11819" spans="65:67" ht="18.75" customHeight="1">
      <c r="BM11819" s="1025"/>
      <c r="BO11819" s="43"/>
    </row>
    <row r="11820" spans="65:67" ht="18.75" customHeight="1">
      <c r="BM11820" s="1025"/>
      <c r="BO11820" s="43"/>
    </row>
    <row r="11821" spans="65:67" ht="18.75" customHeight="1">
      <c r="BM11821" s="1025"/>
      <c r="BO11821" s="43"/>
    </row>
    <row r="11822" spans="65:67" ht="18.75" customHeight="1">
      <c r="BM11822" s="1025"/>
      <c r="BO11822" s="43"/>
    </row>
    <row r="11823" spans="65:67" ht="18.75" customHeight="1">
      <c r="BM11823" s="1025"/>
      <c r="BO11823" s="43"/>
    </row>
    <row r="11824" spans="65:67" ht="18.75" customHeight="1">
      <c r="BM11824" s="1025"/>
      <c r="BO11824" s="43"/>
    </row>
    <row r="11825" spans="65:67" ht="18.75" customHeight="1">
      <c r="BM11825" s="1025"/>
      <c r="BO11825" s="43"/>
    </row>
    <row r="11826" spans="65:67" ht="18.75" customHeight="1">
      <c r="BM11826" s="1025"/>
      <c r="BO11826" s="43"/>
    </row>
    <row r="11827" spans="65:67" ht="18.75" customHeight="1">
      <c r="BM11827" s="1025"/>
      <c r="BO11827" s="43"/>
    </row>
    <row r="11828" spans="65:67" ht="18.75" customHeight="1">
      <c r="BM11828" s="1025"/>
      <c r="BO11828" s="43"/>
    </row>
    <row r="11829" spans="65:67" ht="18.75" customHeight="1">
      <c r="BM11829" s="1025"/>
      <c r="BO11829" s="43"/>
    </row>
    <row r="11830" spans="65:67" ht="18.75" customHeight="1">
      <c r="BM11830" s="1025"/>
      <c r="BO11830" s="43"/>
    </row>
    <row r="11831" spans="65:67" ht="18.75" customHeight="1">
      <c r="BM11831" s="1025"/>
      <c r="BO11831" s="43"/>
    </row>
    <row r="11832" spans="65:67" ht="18.75" customHeight="1">
      <c r="BM11832" s="1025"/>
      <c r="BO11832" s="43"/>
    </row>
    <row r="11833" spans="65:67" ht="18.75" customHeight="1">
      <c r="BM11833" s="1025"/>
      <c r="BO11833" s="43"/>
    </row>
    <row r="11834" spans="65:67" ht="18.75" customHeight="1">
      <c r="BM11834" s="1025"/>
      <c r="BO11834" s="43"/>
    </row>
    <row r="11835" spans="65:67" ht="18.75" customHeight="1">
      <c r="BM11835" s="1025"/>
      <c r="BO11835" s="43"/>
    </row>
    <row r="11836" spans="65:67" ht="18.75" customHeight="1">
      <c r="BM11836" s="1025"/>
      <c r="BO11836" s="43"/>
    </row>
    <row r="11837" spans="65:67" ht="18.75" customHeight="1">
      <c r="BM11837" s="1025"/>
      <c r="BO11837" s="43"/>
    </row>
    <row r="11838" spans="65:67" ht="18.75" customHeight="1">
      <c r="BM11838" s="1025"/>
      <c r="BO11838" s="43"/>
    </row>
    <row r="11839" spans="65:67" ht="18.75" customHeight="1">
      <c r="BM11839" s="1025"/>
      <c r="BO11839" s="43"/>
    </row>
    <row r="11840" spans="65:67" ht="18.75" customHeight="1">
      <c r="BM11840" s="1025"/>
      <c r="BO11840" s="43"/>
    </row>
    <row r="11841" spans="65:67" ht="18.75" customHeight="1">
      <c r="BM11841" s="1025"/>
      <c r="BO11841" s="43"/>
    </row>
    <row r="11842" spans="65:67" ht="18.75" customHeight="1">
      <c r="BM11842" s="1025"/>
      <c r="BO11842" s="43"/>
    </row>
    <row r="11843" spans="65:67" ht="18.75" customHeight="1">
      <c r="BM11843" s="1025"/>
      <c r="BO11843" s="43"/>
    </row>
    <row r="11844" spans="65:67" ht="18.75" customHeight="1">
      <c r="BM11844" s="1025"/>
      <c r="BO11844" s="43"/>
    </row>
    <row r="11845" spans="65:67" ht="18.75" customHeight="1">
      <c r="BM11845" s="1025"/>
      <c r="BO11845" s="43"/>
    </row>
    <row r="11846" spans="65:67" ht="18.75" customHeight="1">
      <c r="BM11846" s="1025"/>
      <c r="BO11846" s="43"/>
    </row>
    <row r="11847" spans="65:67" ht="18.75" customHeight="1">
      <c r="BM11847" s="1025"/>
      <c r="BO11847" s="43"/>
    </row>
    <row r="11848" spans="65:67" ht="18.75" customHeight="1">
      <c r="BM11848" s="1025"/>
      <c r="BO11848" s="43"/>
    </row>
    <row r="11849" spans="65:67" ht="18.75" customHeight="1">
      <c r="BM11849" s="1025"/>
      <c r="BO11849" s="43"/>
    </row>
    <row r="11850" spans="65:67" ht="18.75" customHeight="1">
      <c r="BM11850" s="1025"/>
      <c r="BO11850" s="43"/>
    </row>
    <row r="11851" spans="65:67" ht="18.75" customHeight="1">
      <c r="BM11851" s="1025"/>
      <c r="BO11851" s="43"/>
    </row>
    <row r="11852" spans="65:67" ht="18.75" customHeight="1">
      <c r="BM11852" s="1025"/>
      <c r="BO11852" s="43"/>
    </row>
    <row r="11853" spans="65:67" ht="18.75" customHeight="1">
      <c r="BM11853" s="1025"/>
      <c r="BO11853" s="43"/>
    </row>
    <row r="11854" spans="65:67" ht="18.75" customHeight="1">
      <c r="BM11854" s="1025"/>
      <c r="BO11854" s="43"/>
    </row>
    <row r="11855" spans="65:67" ht="18.75" customHeight="1">
      <c r="BM11855" s="1025"/>
      <c r="BO11855" s="43"/>
    </row>
    <row r="11856" spans="65:67" ht="18.75" customHeight="1">
      <c r="BM11856" s="1025"/>
      <c r="BO11856" s="43"/>
    </row>
    <row r="11857" spans="65:67" ht="18.75" customHeight="1">
      <c r="BM11857" s="1025"/>
      <c r="BO11857" s="43"/>
    </row>
    <row r="11858" spans="65:67" ht="18.75" customHeight="1">
      <c r="BM11858" s="1025"/>
      <c r="BO11858" s="43"/>
    </row>
    <row r="11859" spans="65:67" ht="18.75" customHeight="1">
      <c r="BM11859" s="1025"/>
      <c r="BO11859" s="43"/>
    </row>
    <row r="11860" spans="65:67" ht="18.75" customHeight="1">
      <c r="BM11860" s="1025"/>
      <c r="BO11860" s="43"/>
    </row>
    <row r="11861" spans="65:67" ht="18.75" customHeight="1">
      <c r="BM11861" s="1025"/>
      <c r="BO11861" s="43"/>
    </row>
    <row r="11862" spans="65:67" ht="18.75" customHeight="1">
      <c r="BM11862" s="1025"/>
      <c r="BO11862" s="43"/>
    </row>
    <row r="11863" spans="65:67" ht="18.75" customHeight="1">
      <c r="BM11863" s="1025"/>
      <c r="BO11863" s="43"/>
    </row>
    <row r="11864" spans="65:67" ht="18.75" customHeight="1">
      <c r="BM11864" s="1025"/>
      <c r="BO11864" s="43"/>
    </row>
    <row r="11865" spans="65:67" ht="18.75" customHeight="1">
      <c r="BM11865" s="1025"/>
      <c r="BO11865" s="43"/>
    </row>
    <row r="11866" spans="65:67" ht="18.75" customHeight="1">
      <c r="BM11866" s="1025"/>
      <c r="BO11866" s="43"/>
    </row>
    <row r="11867" spans="65:67" ht="18.75" customHeight="1">
      <c r="BM11867" s="1025"/>
      <c r="BO11867" s="43"/>
    </row>
    <row r="11868" spans="65:67" ht="18.75" customHeight="1">
      <c r="BM11868" s="1025"/>
      <c r="BO11868" s="43"/>
    </row>
    <row r="11869" spans="65:67" ht="18.75" customHeight="1">
      <c r="BM11869" s="1025"/>
      <c r="BO11869" s="43"/>
    </row>
    <row r="11870" spans="65:67" ht="18.75" customHeight="1">
      <c r="BM11870" s="1025"/>
      <c r="BO11870" s="43"/>
    </row>
    <row r="11871" spans="65:67" ht="18.75" customHeight="1">
      <c r="BM11871" s="1025"/>
      <c r="BO11871" s="43"/>
    </row>
    <row r="11872" spans="65:67" ht="18.75" customHeight="1">
      <c r="BM11872" s="1025"/>
      <c r="BO11872" s="43"/>
    </row>
    <row r="11873" spans="65:67" ht="18.75" customHeight="1">
      <c r="BM11873" s="1025"/>
      <c r="BO11873" s="43"/>
    </row>
    <row r="11874" spans="65:67" ht="18.75" customHeight="1">
      <c r="BM11874" s="1025"/>
      <c r="BO11874" s="43"/>
    </row>
    <row r="11875" spans="65:67" ht="18.75" customHeight="1">
      <c r="BM11875" s="1025"/>
      <c r="BO11875" s="43"/>
    </row>
    <row r="11876" spans="65:67" ht="18.75" customHeight="1">
      <c r="BM11876" s="1025"/>
      <c r="BO11876" s="43"/>
    </row>
    <row r="11877" spans="65:67" ht="18.75" customHeight="1">
      <c r="BM11877" s="1025"/>
      <c r="BO11877" s="43"/>
    </row>
    <row r="11878" spans="65:67" ht="18.75" customHeight="1">
      <c r="BM11878" s="1025"/>
      <c r="BO11878" s="43"/>
    </row>
    <row r="11879" spans="65:67" ht="18.75" customHeight="1">
      <c r="BM11879" s="1025"/>
      <c r="BO11879" s="43"/>
    </row>
    <row r="11880" spans="65:67" ht="18.75" customHeight="1">
      <c r="BM11880" s="1025"/>
      <c r="BO11880" s="43"/>
    </row>
    <row r="11881" spans="65:67" ht="18.75" customHeight="1">
      <c r="BM11881" s="1025"/>
      <c r="BO11881" s="43"/>
    </row>
    <row r="11882" spans="65:67" ht="18.75" customHeight="1">
      <c r="BM11882" s="1025"/>
      <c r="BO11882" s="43"/>
    </row>
    <row r="11883" spans="65:67" ht="18.75" customHeight="1">
      <c r="BM11883" s="1025"/>
      <c r="BO11883" s="43"/>
    </row>
    <row r="11884" spans="65:67" ht="18.75" customHeight="1">
      <c r="BM11884" s="1025"/>
      <c r="BO11884" s="43"/>
    </row>
    <row r="11885" spans="65:67" ht="18.75" customHeight="1">
      <c r="BM11885" s="1025"/>
      <c r="BO11885" s="43"/>
    </row>
    <row r="11886" spans="65:67" ht="18.75" customHeight="1">
      <c r="BM11886" s="1025"/>
      <c r="BO11886" s="43"/>
    </row>
    <row r="11887" spans="65:67" ht="18.75" customHeight="1">
      <c r="BM11887" s="1025"/>
      <c r="BO11887" s="43"/>
    </row>
    <row r="11888" spans="65:67" ht="18.75" customHeight="1">
      <c r="BM11888" s="1025"/>
      <c r="BO11888" s="43"/>
    </row>
    <row r="11889" spans="65:67" ht="18.75" customHeight="1">
      <c r="BM11889" s="1025"/>
      <c r="BO11889" s="43"/>
    </row>
    <row r="11890" spans="65:67" ht="18.75" customHeight="1">
      <c r="BM11890" s="1025"/>
      <c r="BO11890" s="43"/>
    </row>
    <row r="11891" spans="65:67" ht="18.75" customHeight="1">
      <c r="BM11891" s="1025"/>
      <c r="BO11891" s="43"/>
    </row>
    <row r="11892" spans="65:67" ht="18.75" customHeight="1">
      <c r="BM11892" s="1025"/>
      <c r="BO11892" s="43"/>
    </row>
    <row r="11893" spans="65:67" ht="18.75" customHeight="1">
      <c r="BM11893" s="1025"/>
      <c r="BO11893" s="43"/>
    </row>
    <row r="11894" spans="65:67" ht="18.75" customHeight="1">
      <c r="BM11894" s="1025"/>
      <c r="BO11894" s="43"/>
    </row>
    <row r="11895" spans="65:67" ht="18.75" customHeight="1">
      <c r="BM11895" s="1025"/>
      <c r="BO11895" s="43"/>
    </row>
    <row r="11896" spans="65:67" ht="18.75" customHeight="1">
      <c r="BM11896" s="1025"/>
      <c r="BO11896" s="43"/>
    </row>
    <row r="11897" spans="65:67" ht="18.75" customHeight="1">
      <c r="BM11897" s="1025"/>
      <c r="BO11897" s="43"/>
    </row>
    <row r="11898" spans="65:67" ht="18.75" customHeight="1">
      <c r="BM11898" s="1025"/>
      <c r="BO11898" s="43"/>
    </row>
    <row r="11899" spans="65:67" ht="18.75" customHeight="1">
      <c r="BM11899" s="1025"/>
      <c r="BO11899" s="43"/>
    </row>
    <row r="11900" spans="65:67" ht="18.75" customHeight="1">
      <c r="BM11900" s="1025"/>
      <c r="BO11900" s="43"/>
    </row>
    <row r="11901" spans="65:67" ht="18.75" customHeight="1">
      <c r="BM11901" s="1025"/>
      <c r="BO11901" s="43"/>
    </row>
    <row r="11902" spans="65:67" ht="18.75" customHeight="1">
      <c r="BM11902" s="1025"/>
      <c r="BO11902" s="43"/>
    </row>
    <row r="11903" spans="65:67" ht="18.75" customHeight="1">
      <c r="BM11903" s="1025"/>
      <c r="BO11903" s="43"/>
    </row>
    <row r="11904" spans="65:67" ht="18.75" customHeight="1">
      <c r="BM11904" s="1025"/>
      <c r="BO11904" s="43"/>
    </row>
    <row r="11905" spans="65:67" ht="18.75" customHeight="1">
      <c r="BM11905" s="1025"/>
      <c r="BO11905" s="43"/>
    </row>
    <row r="11906" spans="65:67" ht="18.75" customHeight="1">
      <c r="BM11906" s="1025"/>
      <c r="BO11906" s="43"/>
    </row>
    <row r="11907" spans="65:67" ht="18.75" customHeight="1">
      <c r="BM11907" s="1025"/>
      <c r="BO11907" s="43"/>
    </row>
    <row r="11908" spans="65:67" ht="18.75" customHeight="1">
      <c r="BM11908" s="1025"/>
      <c r="BO11908" s="43"/>
    </row>
    <row r="11909" spans="65:67" ht="18.75" customHeight="1">
      <c r="BM11909" s="1025"/>
      <c r="BO11909" s="43"/>
    </row>
    <row r="11910" spans="65:67" ht="18.75" customHeight="1">
      <c r="BM11910" s="1025"/>
      <c r="BO11910" s="43"/>
    </row>
    <row r="11911" spans="65:67" ht="18.75" customHeight="1">
      <c r="BM11911" s="1025"/>
      <c r="BO11911" s="43"/>
    </row>
    <row r="11912" spans="65:67" ht="18.75" customHeight="1">
      <c r="BM11912" s="1025"/>
      <c r="BO11912" s="43"/>
    </row>
    <row r="11913" spans="65:67" ht="18.75" customHeight="1">
      <c r="BM11913" s="1025"/>
      <c r="BO11913" s="43"/>
    </row>
    <row r="11914" spans="65:67" ht="18.75" customHeight="1">
      <c r="BM11914" s="1025"/>
      <c r="BO11914" s="43"/>
    </row>
    <row r="11915" spans="65:67" ht="18.75" customHeight="1">
      <c r="BM11915" s="1025"/>
      <c r="BO11915" s="43"/>
    </row>
    <row r="11916" spans="65:67" ht="18.75" customHeight="1">
      <c r="BM11916" s="1025"/>
      <c r="BO11916" s="43"/>
    </row>
    <row r="11917" spans="65:67" ht="18.75" customHeight="1">
      <c r="BM11917" s="1025"/>
      <c r="BO11917" s="43"/>
    </row>
    <row r="11918" spans="65:67" ht="18.75" customHeight="1">
      <c r="BM11918" s="1025"/>
      <c r="BO11918" s="43"/>
    </row>
    <row r="11919" spans="65:67" ht="18.75" customHeight="1">
      <c r="BM11919" s="1025"/>
      <c r="BO11919" s="43"/>
    </row>
    <row r="11920" spans="65:67" ht="18.75" customHeight="1">
      <c r="BM11920" s="1025"/>
      <c r="BO11920" s="43"/>
    </row>
    <row r="11921" spans="65:67" ht="18.75" customHeight="1">
      <c r="BM11921" s="1025"/>
      <c r="BO11921" s="43"/>
    </row>
    <row r="11922" spans="65:67" ht="18.75" customHeight="1">
      <c r="BM11922" s="1025"/>
      <c r="BO11922" s="43"/>
    </row>
    <row r="11923" spans="65:67" ht="18.75" customHeight="1">
      <c r="BM11923" s="1025"/>
      <c r="BO11923" s="43"/>
    </row>
    <row r="11924" spans="65:67" ht="18.75" customHeight="1">
      <c r="BM11924" s="1025"/>
      <c r="BO11924" s="43"/>
    </row>
    <row r="11925" spans="65:67" ht="18.75" customHeight="1">
      <c r="BM11925" s="1025"/>
      <c r="BO11925" s="43"/>
    </row>
    <row r="11926" spans="65:67" ht="18.75" customHeight="1">
      <c r="BM11926" s="1025"/>
      <c r="BO11926" s="43"/>
    </row>
    <row r="11927" spans="65:67" ht="18.75" customHeight="1">
      <c r="BM11927" s="1025"/>
      <c r="BO11927" s="43"/>
    </row>
    <row r="11928" spans="65:67" ht="18.75" customHeight="1">
      <c r="BM11928" s="1025"/>
      <c r="BO11928" s="43"/>
    </row>
    <row r="11929" spans="65:67" ht="18.75" customHeight="1">
      <c r="BM11929" s="1025"/>
      <c r="BO11929" s="43"/>
    </row>
    <row r="11930" spans="65:67" ht="18.75" customHeight="1">
      <c r="BM11930" s="1025"/>
      <c r="BO11930" s="43"/>
    </row>
    <row r="11931" spans="65:67" ht="18.75" customHeight="1">
      <c r="BM11931" s="1025"/>
      <c r="BO11931" s="43"/>
    </row>
    <row r="11932" spans="65:67" ht="18.75" customHeight="1">
      <c r="BM11932" s="1025"/>
      <c r="BO11932" s="43"/>
    </row>
    <row r="11933" spans="65:67" ht="18.75" customHeight="1">
      <c r="BM11933" s="1025"/>
      <c r="BO11933" s="43"/>
    </row>
    <row r="11934" spans="65:67" ht="18.75" customHeight="1">
      <c r="BM11934" s="1025"/>
      <c r="BO11934" s="43"/>
    </row>
    <row r="11935" spans="65:67" ht="18.75" customHeight="1">
      <c r="BM11935" s="1025"/>
      <c r="BO11935" s="43"/>
    </row>
    <row r="11936" spans="65:67" ht="18.75" customHeight="1">
      <c r="BM11936" s="1025"/>
      <c r="BO11936" s="43"/>
    </row>
    <row r="11937" spans="65:67" ht="18.75" customHeight="1">
      <c r="BM11937" s="1025"/>
      <c r="BO11937" s="43"/>
    </row>
    <row r="11938" spans="65:67" ht="18.75" customHeight="1">
      <c r="BM11938" s="1025"/>
      <c r="BO11938" s="43"/>
    </row>
    <row r="11939" spans="65:67" ht="18.75" customHeight="1">
      <c r="BM11939" s="1025"/>
      <c r="BO11939" s="43"/>
    </row>
    <row r="11940" spans="65:67" ht="18.75" customHeight="1">
      <c r="BM11940" s="1025"/>
      <c r="BO11940" s="43"/>
    </row>
    <row r="11941" spans="65:67" ht="18.75" customHeight="1">
      <c r="BM11941" s="1025"/>
      <c r="BO11941" s="43"/>
    </row>
    <row r="11942" spans="65:67" ht="18.75" customHeight="1">
      <c r="BM11942" s="1025"/>
      <c r="BO11942" s="43"/>
    </row>
    <row r="11943" spans="65:67" ht="18.75" customHeight="1">
      <c r="BM11943" s="1025"/>
      <c r="BO11943" s="43"/>
    </row>
    <row r="11944" spans="65:67" ht="18.75" customHeight="1">
      <c r="BM11944" s="1025"/>
      <c r="BO11944" s="43"/>
    </row>
    <row r="11945" spans="65:67" ht="18.75" customHeight="1">
      <c r="BM11945" s="1025"/>
      <c r="BO11945" s="43"/>
    </row>
    <row r="11946" spans="65:67" ht="18.75" customHeight="1">
      <c r="BM11946" s="1025"/>
      <c r="BO11946" s="43"/>
    </row>
    <row r="11947" spans="65:67" ht="18.75" customHeight="1">
      <c r="BM11947" s="1025"/>
      <c r="BO11947" s="43"/>
    </row>
    <row r="11948" spans="65:67" ht="18.75" customHeight="1">
      <c r="BM11948" s="1025"/>
      <c r="BO11948" s="43"/>
    </row>
    <row r="11949" spans="65:67" ht="18.75" customHeight="1">
      <c r="BM11949" s="1025"/>
      <c r="BO11949" s="43"/>
    </row>
    <row r="11950" spans="65:67" ht="18.75" customHeight="1">
      <c r="BM11950" s="1025"/>
      <c r="BO11950" s="43"/>
    </row>
    <row r="11951" spans="65:67" ht="18.75" customHeight="1">
      <c r="BM11951" s="1025"/>
      <c r="BO11951" s="43"/>
    </row>
    <row r="11952" spans="65:67" ht="18.75" customHeight="1">
      <c r="BM11952" s="1025"/>
      <c r="BO11952" s="43"/>
    </row>
    <row r="11953" spans="65:67" ht="18.75" customHeight="1">
      <c r="BM11953" s="1025"/>
      <c r="BO11953" s="43"/>
    </row>
    <row r="11954" spans="65:67" ht="18.75" customHeight="1">
      <c r="BM11954" s="1025"/>
      <c r="BO11954" s="43"/>
    </row>
    <row r="11955" spans="65:67" ht="18.75" customHeight="1">
      <c r="BM11955" s="1025"/>
      <c r="BO11955" s="43"/>
    </row>
    <row r="11956" spans="65:67" ht="18.75" customHeight="1">
      <c r="BM11956" s="1025"/>
      <c r="BO11956" s="43"/>
    </row>
    <row r="11957" spans="65:67" ht="18.75" customHeight="1">
      <c r="BM11957" s="1025"/>
      <c r="BO11957" s="43"/>
    </row>
    <row r="11958" spans="65:67" ht="18.75" customHeight="1">
      <c r="BM11958" s="1025"/>
      <c r="BO11958" s="43"/>
    </row>
    <row r="11959" spans="65:67" ht="18.75" customHeight="1">
      <c r="BM11959" s="1025"/>
      <c r="BO11959" s="43"/>
    </row>
    <row r="11960" spans="65:67" ht="18.75" customHeight="1">
      <c r="BM11960" s="1025"/>
      <c r="BO11960" s="43"/>
    </row>
    <row r="11961" spans="65:67" ht="18.75" customHeight="1">
      <c r="BM11961" s="1025"/>
      <c r="BO11961" s="43"/>
    </row>
    <row r="11962" spans="65:67" ht="18.75" customHeight="1">
      <c r="BM11962" s="1025"/>
      <c r="BO11962" s="43"/>
    </row>
    <row r="11963" spans="65:67" ht="18.75" customHeight="1">
      <c r="BM11963" s="1025"/>
      <c r="BO11963" s="43"/>
    </row>
    <row r="11964" spans="65:67" ht="18.75" customHeight="1">
      <c r="BM11964" s="1025"/>
      <c r="BO11964" s="43"/>
    </row>
    <row r="11965" spans="65:67" ht="18.75" customHeight="1">
      <c r="BM11965" s="1025"/>
      <c r="BO11965" s="43"/>
    </row>
    <row r="11966" spans="65:67" ht="18.75" customHeight="1">
      <c r="BM11966" s="1025"/>
      <c r="BO11966" s="43"/>
    </row>
    <row r="11967" spans="65:67" ht="18.75" customHeight="1">
      <c r="BM11967" s="1025"/>
      <c r="BO11967" s="43"/>
    </row>
    <row r="11968" spans="65:67" ht="18.75" customHeight="1">
      <c r="BM11968" s="1025"/>
      <c r="BO11968" s="43"/>
    </row>
    <row r="11969" spans="65:67" ht="18.75" customHeight="1">
      <c r="BM11969" s="1025"/>
      <c r="BO11969" s="43"/>
    </row>
    <row r="11970" spans="65:67" ht="18.75" customHeight="1">
      <c r="BM11970" s="1025"/>
      <c r="BO11970" s="43"/>
    </row>
    <row r="11971" spans="65:67" ht="18.75" customHeight="1">
      <c r="BM11971" s="1025"/>
      <c r="BO11971" s="43"/>
    </row>
    <row r="11972" spans="65:67" ht="18.75" customHeight="1">
      <c r="BM11972" s="1025"/>
      <c r="BO11972" s="43"/>
    </row>
    <row r="11973" spans="65:67" ht="18.75" customHeight="1">
      <c r="BM11973" s="1025"/>
      <c r="BO11973" s="43"/>
    </row>
    <row r="11974" spans="65:67" ht="18.75" customHeight="1">
      <c r="BM11974" s="1025"/>
      <c r="BO11974" s="43"/>
    </row>
    <row r="11975" spans="65:67" ht="18.75" customHeight="1">
      <c r="BM11975" s="1025"/>
      <c r="BO11975" s="43"/>
    </row>
    <row r="11976" spans="65:67" ht="18.75" customHeight="1">
      <c r="BM11976" s="1025"/>
      <c r="BO11976" s="43"/>
    </row>
    <row r="11977" spans="65:67" ht="18.75" customHeight="1">
      <c r="BM11977" s="1025"/>
      <c r="BO11977" s="43"/>
    </row>
    <row r="11978" spans="65:67" ht="18.75" customHeight="1">
      <c r="BM11978" s="1025"/>
      <c r="BO11978" s="43"/>
    </row>
    <row r="11979" spans="65:67" ht="18.75" customHeight="1">
      <c r="BM11979" s="1025"/>
      <c r="BO11979" s="43"/>
    </row>
    <row r="11980" spans="65:67" ht="18.75" customHeight="1">
      <c r="BM11980" s="1025"/>
      <c r="BO11980" s="43"/>
    </row>
    <row r="11981" spans="65:67" ht="18.75" customHeight="1">
      <c r="BM11981" s="1025"/>
      <c r="BO11981" s="43"/>
    </row>
    <row r="11982" spans="65:67" ht="18.75" customHeight="1">
      <c r="BM11982" s="1025"/>
      <c r="BO11982" s="43"/>
    </row>
    <row r="11983" spans="65:67" ht="18.75" customHeight="1">
      <c r="BM11983" s="1025"/>
      <c r="BO11983" s="43"/>
    </row>
    <row r="11984" spans="65:67" ht="18.75" customHeight="1">
      <c r="BM11984" s="1025"/>
      <c r="BO11984" s="43"/>
    </row>
    <row r="11985" spans="65:67" ht="18.75" customHeight="1">
      <c r="BM11985" s="1025"/>
      <c r="BO11985" s="43"/>
    </row>
    <row r="11986" spans="65:67" ht="18.75" customHeight="1">
      <c r="BM11986" s="1025"/>
      <c r="BO11986" s="43"/>
    </row>
    <row r="11987" spans="65:67" ht="18.75" customHeight="1">
      <c r="BM11987" s="1025"/>
      <c r="BO11987" s="43"/>
    </row>
    <row r="11988" spans="65:67" ht="18.75" customHeight="1">
      <c r="BM11988" s="1025"/>
      <c r="BO11988" s="43"/>
    </row>
    <row r="11989" spans="65:67" ht="18.75" customHeight="1">
      <c r="BM11989" s="1025"/>
      <c r="BO11989" s="43"/>
    </row>
    <row r="11990" spans="65:67" ht="18.75" customHeight="1">
      <c r="BM11990" s="1025"/>
      <c r="BO11990" s="43"/>
    </row>
    <row r="11991" spans="65:67" ht="18.75" customHeight="1">
      <c r="BM11991" s="1025"/>
      <c r="BO11991" s="43"/>
    </row>
    <row r="11992" spans="65:67" ht="18.75" customHeight="1">
      <c r="BM11992" s="1025"/>
      <c r="BO11992" s="43"/>
    </row>
    <row r="11993" spans="65:67" ht="18.75" customHeight="1">
      <c r="BM11993" s="1025"/>
      <c r="BO11993" s="43"/>
    </row>
    <row r="11994" spans="65:67" ht="18.75" customHeight="1">
      <c r="BM11994" s="1025"/>
      <c r="BO11994" s="43"/>
    </row>
    <row r="11995" spans="65:67" ht="18.75" customHeight="1">
      <c r="BM11995" s="1025"/>
      <c r="BO11995" s="43"/>
    </row>
    <row r="11996" spans="65:67" ht="18.75" customHeight="1">
      <c r="BM11996" s="1025"/>
      <c r="BO11996" s="43"/>
    </row>
    <row r="11997" spans="65:67" ht="18.75" customHeight="1">
      <c r="BM11997" s="1025"/>
      <c r="BO11997" s="43"/>
    </row>
    <row r="11998" spans="65:67" ht="18.75" customHeight="1">
      <c r="BM11998" s="1025"/>
      <c r="BO11998" s="43"/>
    </row>
    <row r="11999" spans="65:67" ht="18.75" customHeight="1">
      <c r="BM11999" s="1025"/>
      <c r="BO11999" s="43"/>
    </row>
    <row r="12000" spans="65:67" ht="18.75" customHeight="1">
      <c r="BM12000" s="1025"/>
      <c r="BO12000" s="43"/>
    </row>
    <row r="12001" spans="65:67" ht="18.75" customHeight="1">
      <c r="BM12001" s="1025"/>
      <c r="BO12001" s="43"/>
    </row>
    <row r="12002" spans="65:67" ht="18.75" customHeight="1">
      <c r="BM12002" s="1025"/>
      <c r="BO12002" s="43"/>
    </row>
    <row r="12003" spans="65:67" ht="18.75" customHeight="1">
      <c r="BM12003" s="1025"/>
      <c r="BO12003" s="43"/>
    </row>
    <row r="12004" spans="65:67" ht="18.75" customHeight="1">
      <c r="BM12004" s="1025"/>
      <c r="BO12004" s="43"/>
    </row>
    <row r="12005" spans="65:67" ht="18.75" customHeight="1">
      <c r="BM12005" s="1025"/>
      <c r="BO12005" s="43"/>
    </row>
    <row r="12006" spans="65:67" ht="18.75" customHeight="1">
      <c r="BM12006" s="1025"/>
      <c r="BO12006" s="43"/>
    </row>
    <row r="12007" spans="65:67" ht="18.75" customHeight="1">
      <c r="BM12007" s="1025"/>
      <c r="BO12007" s="43"/>
    </row>
    <row r="12008" spans="65:67" ht="18.75" customHeight="1">
      <c r="BM12008" s="1025"/>
      <c r="BO12008" s="43"/>
    </row>
    <row r="12009" spans="65:67" ht="18.75" customHeight="1">
      <c r="BM12009" s="1025"/>
      <c r="BO12009" s="43"/>
    </row>
    <row r="12010" spans="65:67" ht="18.75" customHeight="1">
      <c r="BM12010" s="1025"/>
      <c r="BO12010" s="43"/>
    </row>
    <row r="12011" spans="65:67" ht="18.75" customHeight="1">
      <c r="BM12011" s="1025"/>
      <c r="BO12011" s="43"/>
    </row>
    <row r="12012" spans="65:67" ht="18.75" customHeight="1">
      <c r="BM12012" s="1025"/>
      <c r="BO12012" s="43"/>
    </row>
    <row r="12013" spans="65:67" ht="18.75" customHeight="1">
      <c r="BM12013" s="1025"/>
      <c r="BO12013" s="43"/>
    </row>
    <row r="12014" spans="65:67" ht="18.75" customHeight="1">
      <c r="BM12014" s="1025"/>
      <c r="BO12014" s="43"/>
    </row>
    <row r="12015" spans="65:67" ht="18.75" customHeight="1">
      <c r="BM12015" s="1025"/>
      <c r="BO12015" s="43"/>
    </row>
    <row r="12016" spans="65:67" ht="18.75" customHeight="1">
      <c r="BM12016" s="1025"/>
      <c r="BO12016" s="43"/>
    </row>
    <row r="12017" spans="65:67" ht="18.75" customHeight="1">
      <c r="BM12017" s="1025"/>
      <c r="BO12017" s="43"/>
    </row>
    <row r="12018" spans="65:67" ht="18.75" customHeight="1">
      <c r="BM12018" s="1025"/>
      <c r="BO12018" s="43"/>
    </row>
    <row r="12019" spans="65:67" ht="18.75" customHeight="1">
      <c r="BM12019" s="1025"/>
      <c r="BO12019" s="43"/>
    </row>
    <row r="12020" spans="65:67" ht="18.75" customHeight="1">
      <c r="BM12020" s="1025"/>
      <c r="BO12020" s="43"/>
    </row>
    <row r="12021" spans="65:67" ht="18.75" customHeight="1">
      <c r="BM12021" s="1025"/>
      <c r="BO12021" s="43"/>
    </row>
    <row r="12022" spans="65:67" ht="18.75" customHeight="1">
      <c r="BM12022" s="1025"/>
      <c r="BO12022" s="43"/>
    </row>
    <row r="12023" spans="65:67" ht="18.75" customHeight="1">
      <c r="BM12023" s="1025"/>
      <c r="BO12023" s="43"/>
    </row>
    <row r="12024" spans="65:67" ht="18.75" customHeight="1">
      <c r="BM12024" s="1025"/>
      <c r="BO12024" s="43"/>
    </row>
    <row r="12025" spans="65:67" ht="18.75" customHeight="1">
      <c r="BM12025" s="1025"/>
      <c r="BO12025" s="43"/>
    </row>
    <row r="12026" spans="65:67" ht="18.75" customHeight="1">
      <c r="BM12026" s="1025"/>
      <c r="BO12026" s="43"/>
    </row>
    <row r="12027" spans="65:67" ht="18.75" customHeight="1">
      <c r="BM12027" s="1025"/>
      <c r="BO12027" s="43"/>
    </row>
    <row r="12028" spans="65:67" ht="18.75" customHeight="1">
      <c r="BM12028" s="1025"/>
      <c r="BO12028" s="43"/>
    </row>
    <row r="12029" spans="65:67" ht="18.75" customHeight="1">
      <c r="BM12029" s="1025"/>
      <c r="BO12029" s="43"/>
    </row>
    <row r="12030" spans="65:67" ht="18.75" customHeight="1">
      <c r="BM12030" s="1025"/>
      <c r="BO12030" s="43"/>
    </row>
    <row r="12031" spans="65:67" ht="18.75" customHeight="1">
      <c r="BM12031" s="1025"/>
      <c r="BO12031" s="43"/>
    </row>
    <row r="12032" spans="65:67" ht="18.75" customHeight="1">
      <c r="BM12032" s="1025"/>
      <c r="BO12032" s="43"/>
    </row>
    <row r="12033" spans="65:67" ht="18.75" customHeight="1">
      <c r="BM12033" s="1025"/>
      <c r="BO12033" s="43"/>
    </row>
    <row r="12034" spans="65:67" ht="18.75" customHeight="1">
      <c r="BM12034" s="1025"/>
      <c r="BO12034" s="43"/>
    </row>
    <row r="12035" spans="65:67" ht="18.75" customHeight="1">
      <c r="BM12035" s="1025"/>
      <c r="BO12035" s="43"/>
    </row>
    <row r="12036" spans="65:67" ht="18.75" customHeight="1">
      <c r="BM12036" s="1025"/>
      <c r="BO12036" s="43"/>
    </row>
    <row r="12037" spans="65:67" ht="18.75" customHeight="1">
      <c r="BM12037" s="1025"/>
      <c r="BO12037" s="43"/>
    </row>
    <row r="12038" spans="65:67" ht="18.75" customHeight="1">
      <c r="BM12038" s="1025"/>
      <c r="BO12038" s="43"/>
    </row>
    <row r="12039" spans="65:67" ht="18.75" customHeight="1">
      <c r="BM12039" s="1025"/>
      <c r="BO12039" s="43"/>
    </row>
    <row r="12040" spans="65:67" ht="18.75" customHeight="1">
      <c r="BM12040" s="1025"/>
      <c r="BO12040" s="43"/>
    </row>
    <row r="12041" spans="65:67" ht="18.75" customHeight="1">
      <c r="BM12041" s="1025"/>
      <c r="BO12041" s="43"/>
    </row>
    <row r="12042" spans="65:67" ht="18.75" customHeight="1">
      <c r="BM12042" s="1025"/>
      <c r="BO12042" s="43"/>
    </row>
    <row r="12043" spans="65:67" ht="18.75" customHeight="1">
      <c r="BM12043" s="1025"/>
      <c r="BO12043" s="43"/>
    </row>
    <row r="12044" spans="65:67" ht="18.75" customHeight="1">
      <c r="BM12044" s="1025"/>
      <c r="BO12044" s="43"/>
    </row>
    <row r="12045" spans="65:67" ht="18.75" customHeight="1">
      <c r="BM12045" s="1025"/>
      <c r="BO12045" s="43"/>
    </row>
    <row r="12046" spans="65:67" ht="18.75" customHeight="1">
      <c r="BM12046" s="1025"/>
      <c r="BO12046" s="43"/>
    </row>
    <row r="12047" spans="65:67" ht="18.75" customHeight="1">
      <c r="BM12047" s="1025"/>
      <c r="BO12047" s="43"/>
    </row>
    <row r="12048" spans="65:67" ht="18.75" customHeight="1">
      <c r="BM12048" s="1025"/>
      <c r="BO12048" s="43"/>
    </row>
    <row r="12049" spans="65:67" ht="18.75" customHeight="1">
      <c r="BM12049" s="1025"/>
      <c r="BO12049" s="43"/>
    </row>
    <row r="12050" spans="65:67" ht="18.75" customHeight="1">
      <c r="BM12050" s="1025"/>
      <c r="BO12050" s="43"/>
    </row>
    <row r="12051" spans="65:67" ht="18.75" customHeight="1">
      <c r="BM12051" s="1025"/>
      <c r="BO12051" s="43"/>
    </row>
    <row r="12052" spans="65:67" ht="18.75" customHeight="1">
      <c r="BM12052" s="1025"/>
      <c r="BO12052" s="43"/>
    </row>
    <row r="12053" spans="65:67" ht="18.75" customHeight="1">
      <c r="BM12053" s="1025"/>
      <c r="BO12053" s="43"/>
    </row>
    <row r="12054" spans="65:67" ht="18.75" customHeight="1">
      <c r="BM12054" s="1025"/>
      <c r="BO12054" s="43"/>
    </row>
    <row r="12055" spans="65:67" ht="18.75" customHeight="1">
      <c r="BM12055" s="1025"/>
      <c r="BO12055" s="43"/>
    </row>
    <row r="12056" spans="65:67" ht="18.75" customHeight="1">
      <c r="BM12056" s="1025"/>
      <c r="BO12056" s="43"/>
    </row>
    <row r="12057" spans="65:67" ht="18.75" customHeight="1">
      <c r="BM12057" s="1025"/>
      <c r="BO12057" s="43"/>
    </row>
    <row r="12058" spans="65:67" ht="18.75" customHeight="1">
      <c r="BM12058" s="1025"/>
      <c r="BO12058" s="43"/>
    </row>
    <row r="12059" spans="65:67" ht="18.75" customHeight="1">
      <c r="BM12059" s="1025"/>
      <c r="BO12059" s="43"/>
    </row>
    <row r="12060" spans="65:67" ht="18.75" customHeight="1">
      <c r="BM12060" s="1025"/>
      <c r="BO12060" s="43"/>
    </row>
    <row r="12061" spans="65:67" ht="18.75" customHeight="1">
      <c r="BM12061" s="1025"/>
      <c r="BO12061" s="43"/>
    </row>
    <row r="12062" spans="65:67" ht="18.75" customHeight="1">
      <c r="BM12062" s="1025"/>
      <c r="BO12062" s="43"/>
    </row>
    <row r="12063" spans="65:67" ht="18.75" customHeight="1">
      <c r="BM12063" s="1025"/>
      <c r="BO12063" s="43"/>
    </row>
    <row r="12064" spans="65:67" ht="18.75" customHeight="1">
      <c r="BM12064" s="1025"/>
      <c r="BO12064" s="43"/>
    </row>
    <row r="12065" spans="65:67" ht="18.75" customHeight="1">
      <c r="BM12065" s="1025"/>
      <c r="BO12065" s="43"/>
    </row>
    <row r="12066" spans="65:67" ht="18.75" customHeight="1">
      <c r="BM12066" s="1025"/>
      <c r="BO12066" s="43"/>
    </row>
    <row r="12067" spans="65:67" ht="18.75" customHeight="1">
      <c r="BM12067" s="1025"/>
      <c r="BO12067" s="43"/>
    </row>
    <row r="12068" spans="65:67" ht="18.75" customHeight="1">
      <c r="BM12068" s="1025"/>
      <c r="BO12068" s="43"/>
    </row>
    <row r="12069" spans="65:67" ht="18.75" customHeight="1">
      <c r="BM12069" s="1025"/>
      <c r="BO12069" s="43"/>
    </row>
    <row r="12070" spans="65:67" ht="18.75" customHeight="1">
      <c r="BM12070" s="1025"/>
      <c r="BO12070" s="43"/>
    </row>
    <row r="12071" spans="65:67" ht="18.75" customHeight="1">
      <c r="BM12071" s="1025"/>
      <c r="BO12071" s="43"/>
    </row>
    <row r="12072" spans="65:67" ht="18.75" customHeight="1">
      <c r="BM12072" s="1025"/>
      <c r="BO12072" s="43"/>
    </row>
    <row r="12073" spans="65:67" ht="18.75" customHeight="1">
      <c r="BM12073" s="1025"/>
      <c r="BO12073" s="43"/>
    </row>
    <row r="12074" spans="65:67" ht="18.75" customHeight="1">
      <c r="BM12074" s="1025"/>
      <c r="BO12074" s="43"/>
    </row>
    <row r="12075" spans="65:67" ht="18.75" customHeight="1">
      <c r="BM12075" s="1025"/>
      <c r="BO12075" s="43"/>
    </row>
    <row r="12076" spans="65:67" ht="18.75" customHeight="1">
      <c r="BM12076" s="1025"/>
      <c r="BO12076" s="43"/>
    </row>
    <row r="12077" spans="65:67" ht="18.75" customHeight="1">
      <c r="BM12077" s="1025"/>
      <c r="BO12077" s="43"/>
    </row>
    <row r="12078" spans="65:67" ht="18.75" customHeight="1">
      <c r="BM12078" s="1025"/>
      <c r="BO12078" s="43"/>
    </row>
    <row r="12079" spans="65:67" ht="18.75" customHeight="1">
      <c r="BM12079" s="1025"/>
      <c r="BO12079" s="43"/>
    </row>
    <row r="12080" spans="65:67" ht="18.75" customHeight="1">
      <c r="BM12080" s="1025"/>
      <c r="BO12080" s="43"/>
    </row>
    <row r="12081" spans="65:67" ht="18.75" customHeight="1">
      <c r="BM12081" s="1025"/>
      <c r="BO12081" s="43"/>
    </row>
    <row r="12082" spans="65:67" ht="18.75" customHeight="1">
      <c r="BM12082" s="1025"/>
      <c r="BO12082" s="43"/>
    </row>
    <row r="12083" spans="65:67" ht="18.75" customHeight="1">
      <c r="BM12083" s="1025"/>
      <c r="BO12083" s="43"/>
    </row>
    <row r="12084" spans="65:67" ht="18.75" customHeight="1">
      <c r="BM12084" s="1025"/>
      <c r="BO12084" s="43"/>
    </row>
    <row r="12085" spans="65:67" ht="18.75" customHeight="1">
      <c r="BM12085" s="1025"/>
      <c r="BO12085" s="43"/>
    </row>
    <row r="12086" spans="65:67" ht="18.75" customHeight="1">
      <c r="BM12086" s="1025"/>
      <c r="BO12086" s="43"/>
    </row>
    <row r="12087" spans="65:67" ht="18.75" customHeight="1">
      <c r="BM12087" s="1025"/>
      <c r="BO12087" s="43"/>
    </row>
    <row r="12088" spans="65:67" ht="18.75" customHeight="1">
      <c r="BM12088" s="1025"/>
      <c r="BO12088" s="43"/>
    </row>
    <row r="12089" spans="65:67" ht="18.75" customHeight="1">
      <c r="BM12089" s="1025"/>
      <c r="BO12089" s="43"/>
    </row>
    <row r="12090" spans="65:67" ht="18.75" customHeight="1">
      <c r="BM12090" s="1025"/>
      <c r="BO12090" s="43"/>
    </row>
    <row r="12091" spans="65:67" ht="18.75" customHeight="1">
      <c r="BM12091" s="1025"/>
      <c r="BO12091" s="43"/>
    </row>
    <row r="12092" spans="65:67" ht="18.75" customHeight="1">
      <c r="BM12092" s="1025"/>
      <c r="BO12092" s="43"/>
    </row>
    <row r="12093" spans="65:67" ht="18.75" customHeight="1">
      <c r="BM12093" s="1025"/>
      <c r="BO12093" s="43"/>
    </row>
    <row r="12094" spans="65:67" ht="18.75" customHeight="1">
      <c r="BM12094" s="1025"/>
      <c r="BO12094" s="43"/>
    </row>
    <row r="12095" spans="65:67" ht="18.75" customHeight="1">
      <c r="BM12095" s="1025"/>
      <c r="BO12095" s="43"/>
    </row>
    <row r="12096" spans="65:67" ht="18.75" customHeight="1">
      <c r="BM12096" s="1025"/>
      <c r="BO12096" s="43"/>
    </row>
    <row r="12097" spans="65:67" ht="18.75" customHeight="1">
      <c r="BM12097" s="1025"/>
      <c r="BO12097" s="43"/>
    </row>
    <row r="12098" spans="65:67" ht="18.75" customHeight="1">
      <c r="BM12098" s="1025"/>
      <c r="BO12098" s="43"/>
    </row>
    <row r="12099" spans="65:67" ht="18.75" customHeight="1">
      <c r="BM12099" s="1025"/>
      <c r="BO12099" s="43"/>
    </row>
    <row r="12100" spans="65:67" ht="18.75" customHeight="1">
      <c r="BM12100" s="1025"/>
      <c r="BO12100" s="43"/>
    </row>
    <row r="12101" spans="65:67" ht="18.75" customHeight="1">
      <c r="BM12101" s="1025"/>
      <c r="BO12101" s="43"/>
    </row>
    <row r="12102" spans="65:67" ht="18.75" customHeight="1">
      <c r="BM12102" s="1025"/>
      <c r="BO12102" s="43"/>
    </row>
    <row r="12103" spans="65:67" ht="18.75" customHeight="1">
      <c r="BM12103" s="1025"/>
      <c r="BO12103" s="43"/>
    </row>
    <row r="12104" spans="65:67" ht="18.75" customHeight="1">
      <c r="BM12104" s="1025"/>
      <c r="BO12104" s="43"/>
    </row>
    <row r="12105" spans="65:67" ht="18.75" customHeight="1">
      <c r="BM12105" s="1025"/>
      <c r="BO12105" s="43"/>
    </row>
    <row r="12106" spans="65:67" ht="18.75" customHeight="1">
      <c r="BM12106" s="1025"/>
      <c r="BO12106" s="43"/>
    </row>
    <row r="12107" spans="65:67" ht="18.75" customHeight="1">
      <c r="BM12107" s="1025"/>
      <c r="BO12107" s="43"/>
    </row>
    <row r="12108" spans="65:67" ht="18.75" customHeight="1">
      <c r="BM12108" s="1025"/>
      <c r="BO12108" s="43"/>
    </row>
    <row r="12109" spans="65:67" ht="18.75" customHeight="1">
      <c r="BM12109" s="1025"/>
      <c r="BO12109" s="43"/>
    </row>
    <row r="12110" spans="65:67" ht="18.75" customHeight="1">
      <c r="BM12110" s="1025"/>
      <c r="BO12110" s="43"/>
    </row>
    <row r="12111" spans="65:67" ht="18.75" customHeight="1">
      <c r="BM12111" s="1025"/>
      <c r="BO12111" s="43"/>
    </row>
    <row r="12112" spans="65:67" ht="18.75" customHeight="1">
      <c r="BM12112" s="1025"/>
      <c r="BO12112" s="43"/>
    </row>
    <row r="12113" spans="65:67" ht="18.75" customHeight="1">
      <c r="BM12113" s="1025"/>
      <c r="BO12113" s="43"/>
    </row>
    <row r="12114" spans="65:67" ht="18.75" customHeight="1">
      <c r="BM12114" s="1025"/>
      <c r="BO12114" s="43"/>
    </row>
    <row r="12115" spans="65:67" ht="18.75" customHeight="1">
      <c r="BM12115" s="1025"/>
      <c r="BO12115" s="43"/>
    </row>
    <row r="12116" spans="65:67" ht="18.75" customHeight="1">
      <c r="BM12116" s="1025"/>
      <c r="BO12116" s="43"/>
    </row>
    <row r="12117" spans="65:67" ht="18.75" customHeight="1">
      <c r="BM12117" s="1025"/>
      <c r="BO12117" s="43"/>
    </row>
    <row r="12118" spans="65:67" ht="18.75" customHeight="1">
      <c r="BM12118" s="1025"/>
      <c r="BO12118" s="43"/>
    </row>
    <row r="12119" spans="65:67" ht="18.75" customHeight="1">
      <c r="BM12119" s="1025"/>
      <c r="BO12119" s="43"/>
    </row>
    <row r="12120" spans="65:67" ht="18.75" customHeight="1">
      <c r="BM12120" s="1025"/>
      <c r="BO12120" s="43"/>
    </row>
    <row r="12121" spans="65:67" ht="18.75" customHeight="1">
      <c r="BM12121" s="1025"/>
      <c r="BO12121" s="43"/>
    </row>
    <row r="12122" spans="65:67" ht="18.75" customHeight="1">
      <c r="BM12122" s="1025"/>
      <c r="BO12122" s="43"/>
    </row>
    <row r="12123" spans="65:67" ht="18.75" customHeight="1">
      <c r="BM12123" s="1025"/>
      <c r="BO12123" s="43"/>
    </row>
    <row r="12124" spans="65:67" ht="18.75" customHeight="1">
      <c r="BM12124" s="1025"/>
      <c r="BO12124" s="43"/>
    </row>
    <row r="12125" spans="65:67" ht="18.75" customHeight="1">
      <c r="BM12125" s="1025"/>
      <c r="BO12125" s="43"/>
    </row>
    <row r="12126" spans="65:67" ht="18.75" customHeight="1">
      <c r="BM12126" s="1025"/>
      <c r="BO12126" s="43"/>
    </row>
    <row r="12127" spans="65:67" ht="18.75" customHeight="1">
      <c r="BM12127" s="1025"/>
      <c r="BO12127" s="43"/>
    </row>
    <row r="12128" spans="65:67" ht="18.75" customHeight="1">
      <c r="BM12128" s="1025"/>
      <c r="BO12128" s="43"/>
    </row>
    <row r="12129" spans="65:67" ht="18.75" customHeight="1">
      <c r="BM12129" s="1025"/>
      <c r="BO12129" s="43"/>
    </row>
    <row r="12130" spans="65:67" ht="18.75" customHeight="1">
      <c r="BM12130" s="1025"/>
      <c r="BO12130" s="43"/>
    </row>
    <row r="12131" spans="65:67" ht="18.75" customHeight="1">
      <c r="BM12131" s="1025"/>
      <c r="BO12131" s="43"/>
    </row>
    <row r="12132" spans="65:67" ht="18.75" customHeight="1">
      <c r="BM12132" s="1025"/>
      <c r="BO12132" s="43"/>
    </row>
    <row r="12133" spans="65:67" ht="18.75" customHeight="1">
      <c r="BM12133" s="1025"/>
      <c r="BO12133" s="43"/>
    </row>
    <row r="12134" spans="65:67" ht="18.75" customHeight="1">
      <c r="BM12134" s="1025"/>
      <c r="BO12134" s="43"/>
    </row>
    <row r="12135" spans="65:67" ht="18.75" customHeight="1">
      <c r="BM12135" s="1025"/>
      <c r="BO12135" s="43"/>
    </row>
    <row r="12136" spans="65:67" ht="18.75" customHeight="1">
      <c r="BM12136" s="1025"/>
      <c r="BO12136" s="43"/>
    </row>
    <row r="12137" spans="65:67" ht="18.75" customHeight="1">
      <c r="BM12137" s="1025"/>
      <c r="BO12137" s="43"/>
    </row>
    <row r="12138" spans="65:67" ht="18.75" customHeight="1">
      <c r="BM12138" s="1025"/>
      <c r="BO12138" s="43"/>
    </row>
    <row r="12139" spans="65:67" ht="18.75" customHeight="1">
      <c r="BM12139" s="1025"/>
      <c r="BO12139" s="43"/>
    </row>
    <row r="12140" spans="65:67" ht="18.75" customHeight="1">
      <c r="BM12140" s="1025"/>
      <c r="BO12140" s="43"/>
    </row>
    <row r="12141" spans="65:67" ht="18.75" customHeight="1">
      <c r="BM12141" s="1025"/>
      <c r="BO12141" s="43"/>
    </row>
    <row r="12142" spans="65:67" ht="18.75" customHeight="1">
      <c r="BM12142" s="1025"/>
      <c r="BO12142" s="43"/>
    </row>
    <row r="12143" spans="65:67" ht="18.75" customHeight="1">
      <c r="BM12143" s="1025"/>
      <c r="BO12143" s="43"/>
    </row>
    <row r="12144" spans="65:67" ht="18.75" customHeight="1">
      <c r="BM12144" s="1025"/>
      <c r="BO12144" s="43"/>
    </row>
    <row r="12145" spans="65:67" ht="18.75" customHeight="1">
      <c r="BM12145" s="1025"/>
      <c r="BO12145" s="43"/>
    </row>
    <row r="12146" spans="65:67" ht="18.75" customHeight="1">
      <c r="BM12146" s="1025"/>
      <c r="BO12146" s="43"/>
    </row>
    <row r="12147" spans="65:67" ht="18.75" customHeight="1">
      <c r="BM12147" s="1025"/>
      <c r="BO12147" s="43"/>
    </row>
    <row r="12148" spans="65:67" ht="18.75" customHeight="1">
      <c r="BM12148" s="1025"/>
      <c r="BO12148" s="43"/>
    </row>
    <row r="12149" spans="65:67" ht="18.75" customHeight="1">
      <c r="BM12149" s="1025"/>
      <c r="BO12149" s="43"/>
    </row>
    <row r="12150" spans="65:67" ht="18.75" customHeight="1">
      <c r="BM12150" s="1025"/>
      <c r="BO12150" s="43"/>
    </row>
    <row r="12151" spans="65:67" ht="18.75" customHeight="1">
      <c r="BM12151" s="1025"/>
      <c r="BO12151" s="43"/>
    </row>
    <row r="12152" spans="65:67" ht="18.75" customHeight="1">
      <c r="BM12152" s="1025"/>
      <c r="BO12152" s="43"/>
    </row>
    <row r="12153" spans="65:67" ht="18.75" customHeight="1">
      <c r="BM12153" s="1025"/>
      <c r="BO12153" s="43"/>
    </row>
    <row r="12154" spans="65:67" ht="18.75" customHeight="1">
      <c r="BM12154" s="1025"/>
      <c r="BO12154" s="43"/>
    </row>
    <row r="12155" spans="65:67" ht="18.75" customHeight="1">
      <c r="BM12155" s="1025"/>
      <c r="BO12155" s="43"/>
    </row>
    <row r="12156" spans="65:67" ht="18.75" customHeight="1">
      <c r="BM12156" s="1025"/>
      <c r="BO12156" s="43"/>
    </row>
    <row r="12157" spans="65:67" ht="18.75" customHeight="1">
      <c r="BM12157" s="1025"/>
      <c r="BO12157" s="43"/>
    </row>
    <row r="12158" spans="65:67" ht="18.75" customHeight="1">
      <c r="BM12158" s="1025"/>
      <c r="BO12158" s="43"/>
    </row>
    <row r="12159" spans="65:67" ht="18.75" customHeight="1">
      <c r="BM12159" s="1025"/>
      <c r="BO12159" s="43"/>
    </row>
    <row r="12160" spans="65:67" ht="18.75" customHeight="1">
      <c r="BM12160" s="1025"/>
      <c r="BO12160" s="43"/>
    </row>
    <row r="12161" spans="65:67" ht="18.75" customHeight="1">
      <c r="BM12161" s="1025"/>
      <c r="BO12161" s="43"/>
    </row>
    <row r="12162" spans="65:67" ht="18.75" customHeight="1">
      <c r="BM12162" s="1025"/>
      <c r="BO12162" s="43"/>
    </row>
    <row r="12163" spans="65:67" ht="18.75" customHeight="1">
      <c r="BM12163" s="1025"/>
      <c r="BO12163" s="43"/>
    </row>
    <row r="12164" spans="65:67" ht="18.75" customHeight="1">
      <c r="BM12164" s="1025"/>
      <c r="BO12164" s="43"/>
    </row>
    <row r="12165" spans="65:67" ht="18.75" customHeight="1">
      <c r="BM12165" s="1025"/>
      <c r="BO12165" s="43"/>
    </row>
    <row r="12166" spans="65:67" ht="18.75" customHeight="1">
      <c r="BM12166" s="1025"/>
      <c r="BO12166" s="43"/>
    </row>
    <row r="12167" spans="65:67" ht="18.75" customHeight="1">
      <c r="BM12167" s="1025"/>
      <c r="BO12167" s="43"/>
    </row>
    <row r="12168" spans="65:67" ht="18.75" customHeight="1">
      <c r="BM12168" s="1025"/>
      <c r="BO12168" s="43"/>
    </row>
    <row r="12169" spans="65:67" ht="18.75" customHeight="1">
      <c r="BM12169" s="1025"/>
      <c r="BO12169" s="43"/>
    </row>
    <row r="12170" spans="65:67" ht="18.75" customHeight="1">
      <c r="BM12170" s="1025"/>
      <c r="BO12170" s="43"/>
    </row>
    <row r="12171" spans="65:67" ht="18.75" customHeight="1">
      <c r="BM12171" s="1025"/>
      <c r="BO12171" s="43"/>
    </row>
    <row r="12172" spans="65:67" ht="18.75" customHeight="1">
      <c r="BM12172" s="1025"/>
      <c r="BO12172" s="43"/>
    </row>
    <row r="12173" spans="65:67" ht="18.75" customHeight="1">
      <c r="BM12173" s="1025"/>
      <c r="BO12173" s="43"/>
    </row>
    <row r="12174" spans="65:67" ht="18.75" customHeight="1">
      <c r="BM12174" s="1025"/>
      <c r="BO12174" s="43"/>
    </row>
    <row r="12175" spans="65:67" ht="18.75" customHeight="1">
      <c r="BM12175" s="1025"/>
      <c r="BO12175" s="43"/>
    </row>
    <row r="12176" spans="65:67" ht="18.75" customHeight="1">
      <c r="BM12176" s="1025"/>
      <c r="BO12176" s="43"/>
    </row>
    <row r="12177" spans="65:67" ht="18.75" customHeight="1">
      <c r="BM12177" s="1025"/>
      <c r="BO12177" s="43"/>
    </row>
    <row r="12178" spans="65:67" ht="18.75" customHeight="1">
      <c r="BM12178" s="1025"/>
      <c r="BO12178" s="43"/>
    </row>
    <row r="12179" spans="65:67" ht="18.75" customHeight="1">
      <c r="BM12179" s="1025"/>
      <c r="BO12179" s="43"/>
    </row>
    <row r="12180" spans="65:67" ht="18.75" customHeight="1">
      <c r="BM12180" s="1025"/>
      <c r="BO12180" s="43"/>
    </row>
    <row r="12181" spans="65:67" ht="18.75" customHeight="1">
      <c r="BM12181" s="1025"/>
      <c r="BO12181" s="43"/>
    </row>
    <row r="12182" spans="65:67" ht="18.75" customHeight="1">
      <c r="BM12182" s="1025"/>
      <c r="BO12182" s="43"/>
    </row>
    <row r="12183" spans="65:67" ht="18.75" customHeight="1">
      <c r="BM12183" s="1025"/>
      <c r="BO12183" s="43"/>
    </row>
    <row r="12184" spans="65:67" ht="18.75" customHeight="1">
      <c r="BM12184" s="1025"/>
      <c r="BO12184" s="43"/>
    </row>
    <row r="12185" spans="65:67" ht="18.75" customHeight="1">
      <c r="BM12185" s="1025"/>
      <c r="BO12185" s="43"/>
    </row>
    <row r="12186" spans="65:67" ht="18.75" customHeight="1">
      <c r="BM12186" s="1025"/>
      <c r="BO12186" s="43"/>
    </row>
    <row r="12187" spans="65:67" ht="18.75" customHeight="1">
      <c r="BM12187" s="1025"/>
      <c r="BO12187" s="43"/>
    </row>
    <row r="12188" spans="65:67" ht="18.75" customHeight="1">
      <c r="BM12188" s="1025"/>
      <c r="BO12188" s="43"/>
    </row>
    <row r="12189" spans="65:67" ht="18.75" customHeight="1">
      <c r="BM12189" s="1025"/>
      <c r="BO12189" s="43"/>
    </row>
    <row r="12190" spans="65:67" ht="18.75" customHeight="1">
      <c r="BM12190" s="1025"/>
      <c r="BO12190" s="43"/>
    </row>
    <row r="12191" spans="65:67" ht="18.75" customHeight="1">
      <c r="BM12191" s="1025"/>
      <c r="BO12191" s="43"/>
    </row>
    <row r="12192" spans="65:67" ht="18.75" customHeight="1">
      <c r="BM12192" s="1025"/>
      <c r="BO12192" s="43"/>
    </row>
    <row r="12193" spans="65:67" ht="18.75" customHeight="1">
      <c r="BM12193" s="1025"/>
      <c r="BO12193" s="43"/>
    </row>
    <row r="12194" spans="65:67" ht="18.75" customHeight="1">
      <c r="BM12194" s="1025"/>
      <c r="BO12194" s="43"/>
    </row>
    <row r="12195" spans="65:67" ht="18.75" customHeight="1">
      <c r="BM12195" s="1025"/>
      <c r="BO12195" s="43"/>
    </row>
    <row r="12196" spans="65:67" ht="18.75" customHeight="1">
      <c r="BM12196" s="1025"/>
      <c r="BO12196" s="43"/>
    </row>
    <row r="12197" spans="65:67" ht="18.75" customHeight="1">
      <c r="BM12197" s="1025"/>
      <c r="BO12197" s="43"/>
    </row>
    <row r="12198" spans="65:67" ht="18.75" customHeight="1">
      <c r="BM12198" s="1025"/>
      <c r="BO12198" s="43"/>
    </row>
    <row r="12199" spans="65:67" ht="18.75" customHeight="1">
      <c r="BM12199" s="1025"/>
      <c r="BO12199" s="43"/>
    </row>
    <row r="12200" spans="65:67" ht="18.75" customHeight="1">
      <c r="BM12200" s="1025"/>
      <c r="BO12200" s="43"/>
    </row>
    <row r="12201" spans="65:67" ht="18.75" customHeight="1">
      <c r="BM12201" s="1025"/>
      <c r="BO12201" s="43"/>
    </row>
    <row r="12202" spans="65:67" ht="18.75" customHeight="1">
      <c r="BM12202" s="1025"/>
      <c r="BO12202" s="43"/>
    </row>
    <row r="12203" spans="65:67" ht="18.75" customHeight="1">
      <c r="BM12203" s="1025"/>
      <c r="BO12203" s="43"/>
    </row>
    <row r="12204" spans="65:67" ht="18.75" customHeight="1">
      <c r="BM12204" s="1025"/>
      <c r="BO12204" s="43"/>
    </row>
    <row r="12205" spans="65:67" ht="18.75" customHeight="1">
      <c r="BM12205" s="1025"/>
      <c r="BO12205" s="43"/>
    </row>
    <row r="12206" spans="65:67" ht="18.75" customHeight="1">
      <c r="BM12206" s="1025"/>
      <c r="BO12206" s="43"/>
    </row>
    <row r="12207" spans="65:67" ht="18.75" customHeight="1">
      <c r="BM12207" s="1025"/>
      <c r="BO12207" s="43"/>
    </row>
    <row r="12208" spans="65:67" ht="18.75" customHeight="1">
      <c r="BM12208" s="1025"/>
      <c r="BO12208" s="43"/>
    </row>
    <row r="12209" spans="65:67" ht="18.75" customHeight="1">
      <c r="BM12209" s="1025"/>
      <c r="BO12209" s="43"/>
    </row>
    <row r="12210" spans="65:67" ht="18.75" customHeight="1">
      <c r="BM12210" s="1025"/>
      <c r="BO12210" s="43"/>
    </row>
    <row r="12211" spans="65:67" ht="18.75" customHeight="1">
      <c r="BM12211" s="1025"/>
      <c r="BO12211" s="43"/>
    </row>
    <row r="12212" spans="65:67" ht="18.75" customHeight="1">
      <c r="BM12212" s="1025"/>
      <c r="BO12212" s="43"/>
    </row>
    <row r="12213" spans="65:67" ht="18.75" customHeight="1">
      <c r="BM12213" s="1025"/>
      <c r="BO12213" s="43"/>
    </row>
    <row r="12214" spans="65:67" ht="18.75" customHeight="1">
      <c r="BM12214" s="1025"/>
      <c r="BO12214" s="43"/>
    </row>
    <row r="12215" spans="65:67" ht="18.75" customHeight="1">
      <c r="BM12215" s="1025"/>
      <c r="BO12215" s="43"/>
    </row>
    <row r="12216" spans="65:67" ht="18.75" customHeight="1">
      <c r="BM12216" s="1025"/>
      <c r="BO12216" s="43"/>
    </row>
    <row r="12217" spans="65:67" ht="18.75" customHeight="1">
      <c r="BM12217" s="1025"/>
      <c r="BO12217" s="43"/>
    </row>
    <row r="12218" spans="65:67" ht="18.75" customHeight="1">
      <c r="BM12218" s="1025"/>
      <c r="BO12218" s="43"/>
    </row>
    <row r="12219" spans="65:67" ht="18.75" customHeight="1">
      <c r="BM12219" s="1025"/>
      <c r="BO12219" s="43"/>
    </row>
    <row r="12220" spans="65:67" ht="18.75" customHeight="1">
      <c r="BM12220" s="1025"/>
      <c r="BO12220" s="43"/>
    </row>
    <row r="12221" spans="65:67" ht="18.75" customHeight="1">
      <c r="BM12221" s="1025"/>
      <c r="BO12221" s="43"/>
    </row>
    <row r="12222" spans="65:67" ht="18.75" customHeight="1">
      <c r="BM12222" s="1025"/>
      <c r="BO12222" s="43"/>
    </row>
    <row r="12223" spans="65:67" ht="18.75" customHeight="1">
      <c r="BM12223" s="1025"/>
      <c r="BO12223" s="43"/>
    </row>
    <row r="12224" spans="65:67" ht="18.75" customHeight="1">
      <c r="BM12224" s="1025"/>
      <c r="BO12224" s="43"/>
    </row>
    <row r="12225" spans="65:67" ht="18.75" customHeight="1">
      <c r="BM12225" s="1025"/>
      <c r="BO12225" s="43"/>
    </row>
    <row r="12226" spans="65:67" ht="18.75" customHeight="1">
      <c r="BM12226" s="1025"/>
      <c r="BO12226" s="43"/>
    </row>
    <row r="12227" spans="65:67" ht="18.75" customHeight="1">
      <c r="BM12227" s="1025"/>
      <c r="BO12227" s="43"/>
    </row>
    <row r="12228" spans="65:67" ht="18.75" customHeight="1">
      <c r="BM12228" s="1025"/>
      <c r="BO12228" s="43"/>
    </row>
    <row r="12229" spans="65:67" ht="18.75" customHeight="1">
      <c r="BM12229" s="1025"/>
      <c r="BO12229" s="43"/>
    </row>
    <row r="12230" spans="65:67" ht="18.75" customHeight="1">
      <c r="BM12230" s="1025"/>
      <c r="BO12230" s="43"/>
    </row>
    <row r="12231" spans="65:67" ht="18.75" customHeight="1">
      <c r="BM12231" s="1025"/>
      <c r="BO12231" s="43"/>
    </row>
    <row r="12232" spans="65:67" ht="18.75" customHeight="1">
      <c r="BM12232" s="1025"/>
      <c r="BO12232" s="43"/>
    </row>
    <row r="12233" spans="65:67" ht="18.75" customHeight="1">
      <c r="BM12233" s="1025"/>
      <c r="BO12233" s="43"/>
    </row>
    <row r="12234" spans="65:67" ht="18.75" customHeight="1">
      <c r="BM12234" s="1025"/>
      <c r="BO12234" s="43"/>
    </row>
    <row r="12235" spans="65:67" ht="18.75" customHeight="1">
      <c r="BM12235" s="1025"/>
      <c r="BO12235" s="43"/>
    </row>
    <row r="12236" spans="65:67" ht="18.75" customHeight="1">
      <c r="BM12236" s="1025"/>
      <c r="BO12236" s="43"/>
    </row>
    <row r="12237" spans="65:67" ht="18.75" customHeight="1">
      <c r="BM12237" s="1025"/>
      <c r="BO12237" s="43"/>
    </row>
    <row r="12238" spans="65:67" ht="18.75" customHeight="1">
      <c r="BM12238" s="1025"/>
      <c r="BO12238" s="43"/>
    </row>
    <row r="12239" spans="65:67" ht="18.75" customHeight="1">
      <c r="BM12239" s="1025"/>
      <c r="BO12239" s="43"/>
    </row>
    <row r="12240" spans="65:67" ht="18.75" customHeight="1">
      <c r="BM12240" s="1025"/>
      <c r="BO12240" s="43"/>
    </row>
    <row r="12241" spans="65:67" ht="18.75" customHeight="1">
      <c r="BM12241" s="1025"/>
      <c r="BO12241" s="43"/>
    </row>
    <row r="12242" spans="65:67" ht="18.75" customHeight="1">
      <c r="BM12242" s="1025"/>
      <c r="BO12242" s="43"/>
    </row>
    <row r="12243" spans="65:67" ht="18.75" customHeight="1">
      <c r="BM12243" s="1025"/>
      <c r="BO12243" s="43"/>
    </row>
    <row r="12244" spans="65:67" ht="18.75" customHeight="1">
      <c r="BM12244" s="1025"/>
      <c r="BO12244" s="43"/>
    </row>
    <row r="12245" spans="65:67" ht="18.75" customHeight="1">
      <c r="BM12245" s="1025"/>
      <c r="BO12245" s="43"/>
    </row>
    <row r="12246" spans="65:67" ht="18.75" customHeight="1">
      <c r="BM12246" s="1025"/>
      <c r="BO12246" s="43"/>
    </row>
    <row r="12247" spans="65:67" ht="18.75" customHeight="1">
      <c r="BM12247" s="1025"/>
      <c r="BO12247" s="43"/>
    </row>
    <row r="12248" spans="65:67" ht="18.75" customHeight="1">
      <c r="BM12248" s="1025"/>
      <c r="BO12248" s="43"/>
    </row>
    <row r="12249" spans="65:67" ht="18.75" customHeight="1">
      <c r="BM12249" s="1025"/>
      <c r="BO12249" s="43"/>
    </row>
    <row r="12250" spans="65:67" ht="18.75" customHeight="1">
      <c r="BM12250" s="1025"/>
      <c r="BO12250" s="43"/>
    </row>
    <row r="12251" spans="65:67" ht="18.75" customHeight="1">
      <c r="BM12251" s="1025"/>
      <c r="BO12251" s="43"/>
    </row>
    <row r="12252" spans="65:67" ht="18.75" customHeight="1">
      <c r="BM12252" s="1025"/>
      <c r="BO12252" s="43"/>
    </row>
    <row r="12253" spans="65:67" ht="18.75" customHeight="1">
      <c r="BM12253" s="1025"/>
      <c r="BO12253" s="43"/>
    </row>
    <row r="12254" spans="65:67" ht="18.75" customHeight="1">
      <c r="BM12254" s="1025"/>
      <c r="BO12254" s="43"/>
    </row>
    <row r="12255" spans="65:67" ht="18.75" customHeight="1">
      <c r="BM12255" s="1025"/>
      <c r="BO12255" s="43"/>
    </row>
    <row r="12256" spans="65:67" ht="18.75" customHeight="1">
      <c r="BM12256" s="1025"/>
      <c r="BO12256" s="43"/>
    </row>
    <row r="12257" spans="65:67" ht="18.75" customHeight="1">
      <c r="BM12257" s="1025"/>
      <c r="BO12257" s="43"/>
    </row>
    <row r="12258" spans="65:67" ht="18.75" customHeight="1">
      <c r="BM12258" s="1025"/>
      <c r="BO12258" s="43"/>
    </row>
    <row r="12259" spans="65:67" ht="18.75" customHeight="1">
      <c r="BM12259" s="1025"/>
      <c r="BO12259" s="43"/>
    </row>
    <row r="12260" spans="65:67" ht="18.75" customHeight="1">
      <c r="BM12260" s="1025"/>
      <c r="BO12260" s="43"/>
    </row>
    <row r="12261" spans="65:67" ht="18.75" customHeight="1">
      <c r="BM12261" s="1025"/>
      <c r="BO12261" s="43"/>
    </row>
    <row r="12262" spans="65:67" ht="18.75" customHeight="1">
      <c r="BM12262" s="1025"/>
      <c r="BO12262" s="43"/>
    </row>
    <row r="12263" spans="65:67" ht="18.75" customHeight="1">
      <c r="BM12263" s="1025"/>
      <c r="BO12263" s="43"/>
    </row>
    <row r="12264" spans="65:67" ht="18.75" customHeight="1">
      <c r="BM12264" s="1025"/>
      <c r="BO12264" s="43"/>
    </row>
    <row r="12265" spans="65:67" ht="18.75" customHeight="1">
      <c r="BM12265" s="1025"/>
      <c r="BO12265" s="43"/>
    </row>
    <row r="12266" spans="65:67" ht="18.75" customHeight="1">
      <c r="BM12266" s="1025"/>
      <c r="BO12266" s="43"/>
    </row>
    <row r="12267" spans="65:67" ht="18.75" customHeight="1">
      <c r="BM12267" s="1025"/>
      <c r="BO12267" s="43"/>
    </row>
    <row r="12268" spans="65:67" ht="18.75" customHeight="1">
      <c r="BM12268" s="1025"/>
      <c r="BO12268" s="43"/>
    </row>
    <row r="12269" spans="65:67" ht="18.75" customHeight="1">
      <c r="BM12269" s="1025"/>
      <c r="BO12269" s="43"/>
    </row>
    <row r="12270" spans="65:67" ht="18.75" customHeight="1">
      <c r="BM12270" s="1025"/>
      <c r="BO12270" s="43"/>
    </row>
    <row r="12271" spans="65:67" ht="18.75" customHeight="1">
      <c r="BM12271" s="1025"/>
      <c r="BO12271" s="43"/>
    </row>
    <row r="12272" spans="65:67" ht="18.75" customHeight="1">
      <c r="BM12272" s="1025"/>
      <c r="BO12272" s="43"/>
    </row>
    <row r="12273" spans="65:67" ht="18.75" customHeight="1">
      <c r="BM12273" s="1025"/>
      <c r="BO12273" s="43"/>
    </row>
    <row r="12274" spans="65:67" ht="18.75" customHeight="1">
      <c r="BM12274" s="1025"/>
      <c r="BO12274" s="43"/>
    </row>
    <row r="12275" spans="65:67" ht="18.75" customHeight="1">
      <c r="BM12275" s="1025"/>
      <c r="BO12275" s="43"/>
    </row>
    <row r="12276" spans="65:67" ht="18.75" customHeight="1">
      <c r="BM12276" s="1025"/>
      <c r="BO12276" s="43"/>
    </row>
    <row r="12277" spans="65:67" ht="18.75" customHeight="1">
      <c r="BM12277" s="1025"/>
      <c r="BO12277" s="43"/>
    </row>
    <row r="12278" spans="65:67" ht="18.75" customHeight="1">
      <c r="BM12278" s="1025"/>
      <c r="BO12278" s="43"/>
    </row>
    <row r="12279" spans="65:67" ht="18.75" customHeight="1">
      <c r="BM12279" s="1025"/>
      <c r="BO12279" s="43"/>
    </row>
    <row r="12280" spans="65:67" ht="18.75" customHeight="1">
      <c r="BM12280" s="1025"/>
      <c r="BO12280" s="43"/>
    </row>
    <row r="12281" spans="65:67" ht="18.75" customHeight="1">
      <c r="BM12281" s="1025"/>
      <c r="BO12281" s="43"/>
    </row>
    <row r="12282" spans="65:67" ht="18.75" customHeight="1">
      <c r="BM12282" s="1025"/>
      <c r="BO12282" s="43"/>
    </row>
    <row r="12283" spans="65:67" ht="18.75" customHeight="1">
      <c r="BM12283" s="1025"/>
      <c r="BO12283" s="43"/>
    </row>
    <row r="12284" spans="65:67" ht="18.75" customHeight="1">
      <c r="BM12284" s="1025"/>
      <c r="BO12284" s="43"/>
    </row>
    <row r="12285" spans="65:67" ht="18.75" customHeight="1">
      <c r="BM12285" s="1025"/>
      <c r="BO12285" s="43"/>
    </row>
    <row r="12286" spans="65:67" ht="18.75" customHeight="1">
      <c r="BM12286" s="1025"/>
      <c r="BO12286" s="43"/>
    </row>
    <row r="12287" spans="65:67" ht="18.75" customHeight="1">
      <c r="BM12287" s="1025"/>
      <c r="BO12287" s="43"/>
    </row>
    <row r="12288" spans="65:67" ht="18.75" customHeight="1">
      <c r="BM12288" s="1025"/>
      <c r="BO12288" s="43"/>
    </row>
    <row r="12289" spans="65:67" ht="18.75" customHeight="1">
      <c r="BM12289" s="1025"/>
      <c r="BO12289" s="43"/>
    </row>
    <row r="12290" spans="65:67" ht="18.75" customHeight="1">
      <c r="BM12290" s="1025"/>
      <c r="BO12290" s="43"/>
    </row>
    <row r="12291" spans="65:67" ht="18.75" customHeight="1">
      <c r="BM12291" s="1025"/>
      <c r="BO12291" s="43"/>
    </row>
    <row r="12292" spans="65:67" ht="18.75" customHeight="1">
      <c r="BM12292" s="1025"/>
      <c r="BO12292" s="43"/>
    </row>
    <row r="12293" spans="65:67" ht="18.75" customHeight="1">
      <c r="BM12293" s="1025"/>
      <c r="BO12293" s="43"/>
    </row>
    <row r="12294" spans="65:67" ht="18.75" customHeight="1">
      <c r="BM12294" s="1025"/>
      <c r="BO12294" s="43"/>
    </row>
    <row r="12295" spans="65:67" ht="18.75" customHeight="1">
      <c r="BM12295" s="1025"/>
      <c r="BO12295" s="43"/>
    </row>
    <row r="12296" spans="65:67" ht="18.75" customHeight="1">
      <c r="BM12296" s="1025"/>
      <c r="BO12296" s="43"/>
    </row>
    <row r="12297" spans="65:67" ht="18.75" customHeight="1">
      <c r="BM12297" s="1025"/>
      <c r="BO12297" s="43"/>
    </row>
    <row r="12298" spans="65:67" ht="18.75" customHeight="1">
      <c r="BM12298" s="1025"/>
      <c r="BO12298" s="43"/>
    </row>
    <row r="12299" spans="65:67" ht="18.75" customHeight="1">
      <c r="BM12299" s="1025"/>
      <c r="BO12299" s="43"/>
    </row>
    <row r="12300" spans="65:67" ht="18.75" customHeight="1">
      <c r="BM12300" s="1025"/>
      <c r="BO12300" s="43"/>
    </row>
    <row r="12301" spans="65:67" ht="18.75" customHeight="1">
      <c r="BM12301" s="1025"/>
      <c r="BO12301" s="43"/>
    </row>
    <row r="12302" spans="65:67" ht="18.75" customHeight="1">
      <c r="BM12302" s="1025"/>
      <c r="BO12302" s="43"/>
    </row>
    <row r="12303" spans="65:67" ht="18.75" customHeight="1">
      <c r="BM12303" s="1025"/>
      <c r="BO12303" s="43"/>
    </row>
    <row r="12304" spans="65:67" ht="18.75" customHeight="1">
      <c r="BM12304" s="1025"/>
      <c r="BO12304" s="43"/>
    </row>
    <row r="12305" spans="65:67" ht="18.75" customHeight="1">
      <c r="BM12305" s="1025"/>
      <c r="BO12305" s="43"/>
    </row>
    <row r="12306" spans="65:67" ht="18.75" customHeight="1">
      <c r="BM12306" s="1025"/>
      <c r="BO12306" s="43"/>
    </row>
    <row r="12307" spans="65:67" ht="18.75" customHeight="1">
      <c r="BM12307" s="1025"/>
      <c r="BO12307" s="43"/>
    </row>
    <row r="12308" spans="65:67" ht="18.75" customHeight="1">
      <c r="BM12308" s="1025"/>
      <c r="BO12308" s="43"/>
    </row>
    <row r="12309" spans="65:67" ht="18.75" customHeight="1">
      <c r="BM12309" s="1025"/>
      <c r="BO12309" s="43"/>
    </row>
    <row r="12310" spans="65:67" ht="18.75" customHeight="1">
      <c r="BM12310" s="1025"/>
      <c r="BO12310" s="43"/>
    </row>
    <row r="12311" spans="65:67" ht="18.75" customHeight="1">
      <c r="BM12311" s="1025"/>
      <c r="BO12311" s="43"/>
    </row>
    <row r="12312" spans="65:67" ht="18.75" customHeight="1">
      <c r="BM12312" s="1025"/>
      <c r="BO12312" s="43"/>
    </row>
    <row r="12313" spans="65:67" ht="18.75" customHeight="1">
      <c r="BM12313" s="1025"/>
      <c r="BO12313" s="43"/>
    </row>
    <row r="12314" spans="65:67" ht="18.75" customHeight="1">
      <c r="BM12314" s="1025"/>
      <c r="BO12314" s="43"/>
    </row>
    <row r="12315" spans="65:67" ht="18.75" customHeight="1">
      <c r="BM12315" s="1025"/>
      <c r="BO12315" s="43"/>
    </row>
    <row r="12316" spans="65:67" ht="18.75" customHeight="1">
      <c r="BM12316" s="1025"/>
      <c r="BO12316" s="43"/>
    </row>
    <row r="12317" spans="65:67" ht="18.75" customHeight="1">
      <c r="BM12317" s="1025"/>
      <c r="BO12317" s="43"/>
    </row>
    <row r="12318" spans="65:67" ht="18.75" customHeight="1">
      <c r="BM12318" s="1025"/>
      <c r="BO12318" s="43"/>
    </row>
    <row r="12319" spans="65:67" ht="18.75" customHeight="1">
      <c r="BM12319" s="1025"/>
      <c r="BO12319" s="43"/>
    </row>
    <row r="12320" spans="65:67" ht="18.75" customHeight="1">
      <c r="BM12320" s="1025"/>
      <c r="BO12320" s="43"/>
    </row>
    <row r="12321" spans="65:67" ht="18.75" customHeight="1">
      <c r="BM12321" s="1025"/>
      <c r="BO12321" s="43"/>
    </row>
    <row r="12322" spans="65:67" ht="18.75" customHeight="1">
      <c r="BM12322" s="1025"/>
      <c r="BO12322" s="43"/>
    </row>
    <row r="12323" spans="65:67" ht="18.75" customHeight="1">
      <c r="BM12323" s="1025"/>
      <c r="BO12323" s="43"/>
    </row>
    <row r="12324" spans="65:67" ht="18.75" customHeight="1">
      <c r="BM12324" s="1025"/>
      <c r="BO12324" s="43"/>
    </row>
    <row r="12325" spans="65:67" ht="18.75" customHeight="1">
      <c r="BM12325" s="1025"/>
      <c r="BO12325" s="43"/>
    </row>
    <row r="12326" spans="65:67" ht="18.75" customHeight="1">
      <c r="BM12326" s="1025"/>
      <c r="BO12326" s="43"/>
    </row>
    <row r="12327" spans="65:67" ht="18.75" customHeight="1">
      <c r="BM12327" s="1025"/>
      <c r="BO12327" s="43"/>
    </row>
    <row r="12328" spans="65:67" ht="18.75" customHeight="1">
      <c r="BM12328" s="1025"/>
      <c r="BO12328" s="43"/>
    </row>
    <row r="12329" spans="65:67" ht="18.75" customHeight="1">
      <c r="BM12329" s="1025"/>
      <c r="BO12329" s="43"/>
    </row>
    <row r="12330" spans="65:67" ht="18.75" customHeight="1">
      <c r="BM12330" s="1025"/>
      <c r="BO12330" s="43"/>
    </row>
    <row r="12331" spans="65:67" ht="18.75" customHeight="1">
      <c r="BM12331" s="1025"/>
      <c r="BO12331" s="43"/>
    </row>
    <row r="12332" spans="65:67" ht="18.75" customHeight="1">
      <c r="BM12332" s="1025"/>
      <c r="BO12332" s="43"/>
    </row>
    <row r="12333" spans="65:67" ht="18.75" customHeight="1">
      <c r="BM12333" s="1025"/>
      <c r="BO12333" s="43"/>
    </row>
    <row r="12334" spans="65:67" ht="18.75" customHeight="1">
      <c r="BM12334" s="1025"/>
      <c r="BO12334" s="43"/>
    </row>
    <row r="12335" spans="65:67" ht="18.75" customHeight="1">
      <c r="BM12335" s="1025"/>
      <c r="BO12335" s="43"/>
    </row>
    <row r="12336" spans="65:67" ht="18.75" customHeight="1">
      <c r="BM12336" s="1025"/>
      <c r="BO12336" s="43"/>
    </row>
    <row r="12337" spans="65:67" ht="18.75" customHeight="1">
      <c r="BM12337" s="1025"/>
      <c r="BO12337" s="43"/>
    </row>
    <row r="12338" spans="65:67" ht="18.75" customHeight="1">
      <c r="BM12338" s="1025"/>
      <c r="BO12338" s="43"/>
    </row>
    <row r="12339" spans="65:67" ht="18.75" customHeight="1">
      <c r="BM12339" s="1025"/>
      <c r="BO12339" s="43"/>
    </row>
    <row r="12340" spans="65:67" ht="18.75" customHeight="1">
      <c r="BM12340" s="1025"/>
      <c r="BO12340" s="43"/>
    </row>
    <row r="12341" spans="65:67" ht="18.75" customHeight="1">
      <c r="BM12341" s="1025"/>
      <c r="BO12341" s="43"/>
    </row>
    <row r="12342" spans="65:67" ht="18.75" customHeight="1">
      <c r="BM12342" s="1025"/>
      <c r="BO12342" s="43"/>
    </row>
    <row r="12343" spans="65:67" ht="18.75" customHeight="1">
      <c r="BM12343" s="1025"/>
      <c r="BO12343" s="43"/>
    </row>
    <row r="12344" spans="65:67" ht="18.75" customHeight="1">
      <c r="BM12344" s="1025"/>
      <c r="BO12344" s="43"/>
    </row>
    <row r="12345" spans="65:67" ht="18.75" customHeight="1">
      <c r="BM12345" s="1025"/>
      <c r="BO12345" s="43"/>
    </row>
    <row r="12346" spans="65:67" ht="18.75" customHeight="1">
      <c r="BM12346" s="1025"/>
      <c r="BO12346" s="43"/>
    </row>
    <row r="12347" spans="65:67" ht="18.75" customHeight="1">
      <c r="BM12347" s="1025"/>
      <c r="BO12347" s="43"/>
    </row>
    <row r="12348" spans="65:67" ht="18.75" customHeight="1">
      <c r="BM12348" s="1025"/>
      <c r="BO12348" s="43"/>
    </row>
    <row r="12349" spans="65:67" ht="18.75" customHeight="1">
      <c r="BM12349" s="1025"/>
      <c r="BO12349" s="43"/>
    </row>
    <row r="12350" spans="65:67" ht="18.75" customHeight="1">
      <c r="BM12350" s="1025"/>
      <c r="BO12350" s="43"/>
    </row>
    <row r="12351" spans="65:67" ht="18.75" customHeight="1">
      <c r="BM12351" s="1025"/>
      <c r="BO12351" s="43"/>
    </row>
    <row r="12352" spans="65:67" ht="18.75" customHeight="1">
      <c r="BM12352" s="1025"/>
      <c r="BO12352" s="43"/>
    </row>
    <row r="12353" spans="65:67" ht="18.75" customHeight="1">
      <c r="BM12353" s="1025"/>
      <c r="BO12353" s="43"/>
    </row>
    <row r="12354" spans="65:67" ht="18.75" customHeight="1">
      <c r="BM12354" s="1025"/>
      <c r="BO12354" s="43"/>
    </row>
    <row r="12355" spans="65:67" ht="18.75" customHeight="1">
      <c r="BM12355" s="1025"/>
      <c r="BO12355" s="43"/>
    </row>
    <row r="12356" spans="65:67" ht="18.75" customHeight="1">
      <c r="BM12356" s="1025"/>
      <c r="BO12356" s="43"/>
    </row>
    <row r="12357" spans="65:67" ht="18.75" customHeight="1">
      <c r="BM12357" s="1025"/>
      <c r="BO12357" s="43"/>
    </row>
    <row r="12358" spans="65:67" ht="18.75" customHeight="1">
      <c r="BM12358" s="1025"/>
      <c r="BO12358" s="43"/>
    </row>
    <row r="12359" spans="65:67" ht="18.75" customHeight="1">
      <c r="BM12359" s="1025"/>
      <c r="BO12359" s="43"/>
    </row>
    <row r="12360" spans="65:67" ht="18.75" customHeight="1">
      <c r="BM12360" s="1025"/>
      <c r="BO12360" s="43"/>
    </row>
    <row r="12361" spans="65:67" ht="18.75" customHeight="1">
      <c r="BM12361" s="1025"/>
      <c r="BO12361" s="43"/>
    </row>
    <row r="12362" spans="65:67" ht="18.75" customHeight="1">
      <c r="BM12362" s="1025"/>
      <c r="BO12362" s="43"/>
    </row>
    <row r="12363" spans="65:67" ht="18.75" customHeight="1">
      <c r="BM12363" s="1025"/>
      <c r="BO12363" s="43"/>
    </row>
    <row r="12364" spans="65:67" ht="18.75" customHeight="1">
      <c r="BM12364" s="1025"/>
      <c r="BO12364" s="43"/>
    </row>
    <row r="12365" spans="65:67" ht="18.75" customHeight="1">
      <c r="BM12365" s="1025"/>
      <c r="BO12365" s="43"/>
    </row>
    <row r="12366" spans="65:67" ht="18.75" customHeight="1">
      <c r="BM12366" s="1025"/>
      <c r="BO12366" s="43"/>
    </row>
    <row r="12367" spans="65:67" ht="18.75" customHeight="1">
      <c r="BM12367" s="1025"/>
      <c r="BO12367" s="43"/>
    </row>
    <row r="12368" spans="65:67" ht="18.75" customHeight="1">
      <c r="BM12368" s="1025"/>
      <c r="BO12368" s="43"/>
    </row>
    <row r="12369" spans="65:67" ht="18.75" customHeight="1">
      <c r="BM12369" s="1025"/>
      <c r="BO12369" s="43"/>
    </row>
    <row r="12370" spans="65:67" ht="18.75" customHeight="1">
      <c r="BM12370" s="1025"/>
      <c r="BO12370" s="43"/>
    </row>
    <row r="12371" spans="65:67" ht="18.75" customHeight="1">
      <c r="BM12371" s="1025"/>
      <c r="BO12371" s="43"/>
    </row>
    <row r="12372" spans="65:67" ht="18.75" customHeight="1">
      <c r="BM12372" s="1025"/>
      <c r="BO12372" s="43"/>
    </row>
    <row r="12373" spans="65:67" ht="18.75" customHeight="1">
      <c r="BM12373" s="1025"/>
      <c r="BO12373" s="43"/>
    </row>
    <row r="12374" spans="65:67" ht="18.75" customHeight="1">
      <c r="BM12374" s="1025"/>
      <c r="BO12374" s="43"/>
    </row>
    <row r="12375" spans="65:67" ht="18.75" customHeight="1">
      <c r="BM12375" s="1025"/>
      <c r="BO12375" s="43"/>
    </row>
    <row r="12376" spans="65:67" ht="18.75" customHeight="1">
      <c r="BM12376" s="1025"/>
      <c r="BO12376" s="43"/>
    </row>
    <row r="12377" spans="65:67" ht="18.75" customHeight="1">
      <c r="BM12377" s="1025"/>
      <c r="BO12377" s="43"/>
    </row>
    <row r="12378" spans="65:67" ht="18.75" customHeight="1">
      <c r="BM12378" s="1025"/>
      <c r="BO12378" s="43"/>
    </row>
    <row r="12379" spans="65:67" ht="18.75" customHeight="1">
      <c r="BM12379" s="1025"/>
      <c r="BO12379" s="43"/>
    </row>
    <row r="12380" spans="65:67" ht="18.75" customHeight="1">
      <c r="BM12380" s="1025"/>
      <c r="BO12380" s="43"/>
    </row>
    <row r="12381" spans="65:67" ht="18.75" customHeight="1">
      <c r="BM12381" s="1025"/>
      <c r="BO12381" s="43"/>
    </row>
    <row r="12382" spans="65:67" ht="18.75" customHeight="1">
      <c r="BM12382" s="1025"/>
      <c r="BO12382" s="43"/>
    </row>
    <row r="12383" spans="65:67" ht="18.75" customHeight="1">
      <c r="BM12383" s="1025"/>
      <c r="BO12383" s="43"/>
    </row>
    <row r="12384" spans="65:67" ht="18.75" customHeight="1">
      <c r="BM12384" s="1025"/>
      <c r="BO12384" s="43"/>
    </row>
    <row r="12385" spans="65:67" ht="18.75" customHeight="1">
      <c r="BM12385" s="1025"/>
      <c r="BO12385" s="43"/>
    </row>
    <row r="12386" spans="65:67" ht="18.75" customHeight="1">
      <c r="BM12386" s="1025"/>
      <c r="BO12386" s="43"/>
    </row>
    <row r="12387" spans="65:67" ht="18.75" customHeight="1">
      <c r="BM12387" s="1025"/>
      <c r="BO12387" s="43"/>
    </row>
    <row r="12388" spans="65:67" ht="18.75" customHeight="1">
      <c r="BM12388" s="1025"/>
      <c r="BO12388" s="43"/>
    </row>
    <row r="12389" spans="65:67" ht="18.75" customHeight="1">
      <c r="BM12389" s="1025"/>
      <c r="BO12389" s="43"/>
    </row>
    <row r="12390" spans="65:67" ht="18.75" customHeight="1">
      <c r="BM12390" s="1025"/>
      <c r="BO12390" s="43"/>
    </row>
    <row r="12391" spans="65:67" ht="18.75" customHeight="1">
      <c r="BM12391" s="1025"/>
      <c r="BO12391" s="43"/>
    </row>
    <row r="12392" spans="65:67" ht="18.75" customHeight="1">
      <c r="BM12392" s="1025"/>
      <c r="BO12392" s="43"/>
    </row>
    <row r="12393" spans="65:67" ht="18.75" customHeight="1">
      <c r="BM12393" s="1025"/>
      <c r="BO12393" s="43"/>
    </row>
    <row r="12394" spans="65:67" ht="18.75" customHeight="1">
      <c r="BM12394" s="1025"/>
      <c r="BO12394" s="43"/>
    </row>
    <row r="12395" spans="65:67" ht="18.75" customHeight="1">
      <c r="BM12395" s="1025"/>
      <c r="BO12395" s="43"/>
    </row>
    <row r="12396" spans="65:67" ht="18.75" customHeight="1">
      <c r="BM12396" s="1025"/>
      <c r="BO12396" s="43"/>
    </row>
    <row r="12397" spans="65:67" ht="18.75" customHeight="1">
      <c r="BM12397" s="1025"/>
      <c r="BO12397" s="43"/>
    </row>
    <row r="12398" spans="65:67" ht="18.75" customHeight="1">
      <c r="BM12398" s="1025"/>
      <c r="BO12398" s="43"/>
    </row>
    <row r="12399" spans="65:67" ht="18.75" customHeight="1">
      <c r="BM12399" s="1025"/>
      <c r="BO12399" s="43"/>
    </row>
    <row r="12400" spans="65:67" ht="18.75" customHeight="1">
      <c r="BM12400" s="1025"/>
      <c r="BO12400" s="43"/>
    </row>
    <row r="12401" spans="65:67" ht="18.75" customHeight="1">
      <c r="BM12401" s="1025"/>
      <c r="BO12401" s="43"/>
    </row>
    <row r="12402" spans="65:67" ht="18.75" customHeight="1">
      <c r="BM12402" s="1025"/>
      <c r="BO12402" s="43"/>
    </row>
    <row r="12403" spans="65:67" ht="18.75" customHeight="1">
      <c r="BM12403" s="1025"/>
      <c r="BO12403" s="43"/>
    </row>
    <row r="12404" spans="65:67" ht="18.75" customHeight="1">
      <c r="BM12404" s="1025"/>
      <c r="BO12404" s="43"/>
    </row>
    <row r="12405" spans="65:67" ht="18.75" customHeight="1">
      <c r="BM12405" s="1025"/>
      <c r="BO12405" s="43"/>
    </row>
    <row r="12406" spans="65:67" ht="18.75" customHeight="1">
      <c r="BM12406" s="1025"/>
      <c r="BO12406" s="43"/>
    </row>
    <row r="12407" spans="65:67" ht="18.75" customHeight="1">
      <c r="BM12407" s="1025"/>
      <c r="BO12407" s="43"/>
    </row>
    <row r="12408" spans="65:67" ht="18.75" customHeight="1">
      <c r="BM12408" s="1025"/>
      <c r="BO12408" s="43"/>
    </row>
    <row r="12409" spans="65:67" ht="18.75" customHeight="1">
      <c r="BM12409" s="1025"/>
      <c r="BO12409" s="43"/>
    </row>
    <row r="12410" spans="65:67" ht="18.75" customHeight="1">
      <c r="BM12410" s="1025"/>
      <c r="BO12410" s="43"/>
    </row>
    <row r="12411" spans="65:67" ht="18.75" customHeight="1">
      <c r="BM12411" s="1025"/>
      <c r="BO12411" s="43"/>
    </row>
    <row r="12412" spans="65:67" ht="18.75" customHeight="1">
      <c r="BM12412" s="1025"/>
      <c r="BO12412" s="43"/>
    </row>
    <row r="12413" spans="65:67" ht="18.75" customHeight="1">
      <c r="BM12413" s="1025"/>
      <c r="BO12413" s="43"/>
    </row>
    <row r="12414" spans="65:67" ht="18.75" customHeight="1">
      <c r="BM12414" s="1025"/>
      <c r="BO12414" s="43"/>
    </row>
    <row r="12415" spans="65:67" ht="18.75" customHeight="1">
      <c r="BM12415" s="1025"/>
      <c r="BO12415" s="43"/>
    </row>
    <row r="12416" spans="65:67" ht="18.75" customHeight="1">
      <c r="BM12416" s="1025"/>
      <c r="BO12416" s="43"/>
    </row>
    <row r="12417" spans="65:67" ht="18.75" customHeight="1">
      <c r="BM12417" s="1025"/>
      <c r="BO12417" s="43"/>
    </row>
    <row r="12418" spans="65:67" ht="18.75" customHeight="1">
      <c r="BM12418" s="1025"/>
      <c r="BO12418" s="43"/>
    </row>
    <row r="12419" spans="65:67" ht="18.75" customHeight="1">
      <c r="BM12419" s="1025"/>
      <c r="BO12419" s="43"/>
    </row>
    <row r="12420" spans="65:67" ht="18.75" customHeight="1">
      <c r="BM12420" s="1025"/>
      <c r="BO12420" s="43"/>
    </row>
    <row r="12421" spans="65:67" ht="18.75" customHeight="1">
      <c r="BM12421" s="1025"/>
      <c r="BO12421" s="43"/>
    </row>
    <row r="12422" spans="65:67" ht="18.75" customHeight="1">
      <c r="BM12422" s="1025"/>
      <c r="BO12422" s="43"/>
    </row>
    <row r="12423" spans="65:67" ht="18.75" customHeight="1">
      <c r="BM12423" s="1025"/>
      <c r="BO12423" s="43"/>
    </row>
    <row r="12424" spans="65:67" ht="18.75" customHeight="1">
      <c r="BM12424" s="1025"/>
      <c r="BO12424" s="43"/>
    </row>
    <row r="12425" spans="65:67" ht="18.75" customHeight="1">
      <c r="BM12425" s="1025"/>
      <c r="BO12425" s="43"/>
    </row>
    <row r="12426" spans="65:67" ht="18.75" customHeight="1">
      <c r="BM12426" s="1025"/>
      <c r="BO12426" s="43"/>
    </row>
    <row r="12427" spans="65:67" ht="18.75" customHeight="1">
      <c r="BM12427" s="1025"/>
      <c r="BO12427" s="43"/>
    </row>
    <row r="12428" spans="65:67" ht="18.75" customHeight="1">
      <c r="BM12428" s="1025"/>
      <c r="BO12428" s="43"/>
    </row>
    <row r="12429" spans="65:67" ht="18.75" customHeight="1">
      <c r="BM12429" s="1025"/>
      <c r="BO12429" s="43"/>
    </row>
    <row r="12430" spans="65:67" ht="18.75" customHeight="1">
      <c r="BM12430" s="1025"/>
      <c r="BO12430" s="43"/>
    </row>
    <row r="12431" spans="65:67" ht="18.75" customHeight="1">
      <c r="BM12431" s="1025"/>
      <c r="BO12431" s="43"/>
    </row>
    <row r="12432" spans="65:67" ht="18.75" customHeight="1">
      <c r="BM12432" s="1025"/>
      <c r="BO12432" s="43"/>
    </row>
    <row r="12433" spans="65:67" ht="18.75" customHeight="1">
      <c r="BM12433" s="1025"/>
      <c r="BO12433" s="43"/>
    </row>
    <row r="12434" spans="65:67" ht="18.75" customHeight="1">
      <c r="BM12434" s="1025"/>
      <c r="BO12434" s="43"/>
    </row>
    <row r="12435" spans="65:67" ht="18.75" customHeight="1">
      <c r="BM12435" s="1025"/>
      <c r="BO12435" s="43"/>
    </row>
    <row r="12436" spans="65:67" ht="18.75" customHeight="1">
      <c r="BM12436" s="1025"/>
      <c r="BO12436" s="43"/>
    </row>
    <row r="12437" spans="65:67" ht="18.75" customHeight="1">
      <c r="BM12437" s="1025"/>
      <c r="BO12437" s="43"/>
    </row>
    <row r="12438" spans="65:67" ht="18.75" customHeight="1">
      <c r="BM12438" s="1025"/>
      <c r="BO12438" s="43"/>
    </row>
    <row r="12439" spans="65:67" ht="18.75" customHeight="1">
      <c r="BM12439" s="1025"/>
      <c r="BO12439" s="43"/>
    </row>
    <row r="12440" spans="65:67" ht="18.75" customHeight="1">
      <c r="BM12440" s="1025"/>
      <c r="BO12440" s="43"/>
    </row>
    <row r="12441" spans="65:67" ht="18.75" customHeight="1">
      <c r="BM12441" s="1025"/>
      <c r="BO12441" s="43"/>
    </row>
    <row r="12442" spans="65:67" ht="18.75" customHeight="1">
      <c r="BM12442" s="1025"/>
      <c r="BO12442" s="43"/>
    </row>
    <row r="12443" spans="65:67" ht="18.75" customHeight="1">
      <c r="BM12443" s="1025"/>
      <c r="BO12443" s="43"/>
    </row>
    <row r="12444" spans="65:67" ht="18.75" customHeight="1">
      <c r="BM12444" s="1025"/>
      <c r="BO12444" s="43"/>
    </row>
    <row r="12445" spans="65:67" ht="18.75" customHeight="1">
      <c r="BM12445" s="1025"/>
      <c r="BO12445" s="43"/>
    </row>
    <row r="12446" spans="65:67" ht="18.75" customHeight="1">
      <c r="BM12446" s="1025"/>
      <c r="BO12446" s="43"/>
    </row>
    <row r="12447" spans="65:67" ht="18.75" customHeight="1">
      <c r="BM12447" s="1025"/>
      <c r="BO12447" s="43"/>
    </row>
    <row r="12448" spans="65:67" ht="18.75" customHeight="1">
      <c r="BM12448" s="1025"/>
      <c r="BO12448" s="43"/>
    </row>
    <row r="12449" spans="65:67" ht="18.75" customHeight="1">
      <c r="BM12449" s="1025"/>
      <c r="BO12449" s="43"/>
    </row>
    <row r="12450" spans="65:67" ht="18.75" customHeight="1">
      <c r="BM12450" s="1025"/>
      <c r="BO12450" s="43"/>
    </row>
    <row r="12451" spans="65:67" ht="18.75" customHeight="1">
      <c r="BM12451" s="1025"/>
      <c r="BO12451" s="43"/>
    </row>
    <row r="12452" spans="65:67" ht="18.75" customHeight="1">
      <c r="BM12452" s="1025"/>
      <c r="BO12452" s="43"/>
    </row>
    <row r="12453" spans="65:67" ht="18.75" customHeight="1">
      <c r="BM12453" s="1025"/>
      <c r="BO12453" s="43"/>
    </row>
    <row r="12454" spans="65:67" ht="18.75" customHeight="1">
      <c r="BM12454" s="1025"/>
      <c r="BO12454" s="43"/>
    </row>
    <row r="12455" spans="65:67" ht="18.75" customHeight="1">
      <c r="BM12455" s="1025"/>
      <c r="BO12455" s="43"/>
    </row>
    <row r="12456" spans="65:67" ht="18.75" customHeight="1">
      <c r="BM12456" s="1025"/>
      <c r="BO12456" s="43"/>
    </row>
    <row r="12457" spans="65:67" ht="18.75" customHeight="1">
      <c r="BM12457" s="1025"/>
      <c r="BO12457" s="43"/>
    </row>
    <row r="12458" spans="65:67" ht="18.75" customHeight="1">
      <c r="BM12458" s="1025"/>
      <c r="BO12458" s="43"/>
    </row>
    <row r="12459" spans="65:67" ht="18.75" customHeight="1">
      <c r="BM12459" s="1025"/>
      <c r="BO12459" s="43"/>
    </row>
    <row r="12460" spans="65:67" ht="18.75" customHeight="1">
      <c r="BM12460" s="1025"/>
      <c r="BO12460" s="43"/>
    </row>
    <row r="12461" spans="65:67" ht="18.75" customHeight="1">
      <c r="BM12461" s="1025"/>
      <c r="BO12461" s="43"/>
    </row>
    <row r="12462" spans="65:67" ht="18.75" customHeight="1">
      <c r="BM12462" s="1025"/>
      <c r="BO12462" s="43"/>
    </row>
    <row r="12463" spans="65:67" ht="18.75" customHeight="1">
      <c r="BM12463" s="1025"/>
      <c r="BO12463" s="43"/>
    </row>
    <row r="12464" spans="65:67" ht="18.75" customHeight="1">
      <c r="BM12464" s="1025"/>
      <c r="BO12464" s="43"/>
    </row>
    <row r="12465" spans="65:67" ht="18.75" customHeight="1">
      <c r="BM12465" s="1025"/>
      <c r="BO12465" s="43"/>
    </row>
    <row r="12466" spans="65:67" ht="18.75" customHeight="1">
      <c r="BM12466" s="1025"/>
      <c r="BO12466" s="43"/>
    </row>
    <row r="12467" spans="65:67" ht="18.75" customHeight="1">
      <c r="BM12467" s="1025"/>
      <c r="BO12467" s="43"/>
    </row>
    <row r="12468" spans="65:67" ht="18.75" customHeight="1">
      <c r="BM12468" s="1025"/>
      <c r="BO12468" s="43"/>
    </row>
    <row r="12469" spans="65:67" ht="18.75" customHeight="1">
      <c r="BM12469" s="1025"/>
      <c r="BO12469" s="43"/>
    </row>
    <row r="12470" spans="65:67" ht="18.75" customHeight="1">
      <c r="BM12470" s="1025"/>
      <c r="BO12470" s="43"/>
    </row>
    <row r="12471" spans="65:67" ht="18.75" customHeight="1">
      <c r="BM12471" s="1025"/>
      <c r="BO12471" s="43"/>
    </row>
    <row r="12472" spans="65:67" ht="18.75" customHeight="1">
      <c r="BM12472" s="1025"/>
      <c r="BO12472" s="43"/>
    </row>
    <row r="12473" spans="65:67" ht="18.75" customHeight="1">
      <c r="BM12473" s="1025"/>
      <c r="BO12473" s="43"/>
    </row>
    <row r="12474" spans="65:67" ht="18.75" customHeight="1">
      <c r="BM12474" s="1025"/>
      <c r="BO12474" s="43"/>
    </row>
    <row r="12475" spans="65:67" ht="18.75" customHeight="1">
      <c r="BM12475" s="1025"/>
      <c r="BO12475" s="43"/>
    </row>
    <row r="12476" spans="65:67" ht="18.75" customHeight="1">
      <c r="BM12476" s="1025"/>
      <c r="BO12476" s="43"/>
    </row>
    <row r="12477" spans="65:67" ht="18.75" customHeight="1">
      <c r="BM12477" s="1025"/>
      <c r="BO12477" s="43"/>
    </row>
    <row r="12478" spans="65:67" ht="18.75" customHeight="1">
      <c r="BM12478" s="1025"/>
      <c r="BO12478" s="43"/>
    </row>
    <row r="12479" spans="65:67" ht="18.75" customHeight="1">
      <c r="BM12479" s="1025"/>
      <c r="BO12479" s="43"/>
    </row>
    <row r="12480" spans="65:67" ht="18.75" customHeight="1">
      <c r="BM12480" s="1025"/>
      <c r="BO12480" s="43"/>
    </row>
    <row r="12481" spans="65:67" ht="18.75" customHeight="1">
      <c r="BM12481" s="1025"/>
      <c r="BO12481" s="43"/>
    </row>
    <row r="12482" spans="65:67" ht="18.75" customHeight="1">
      <c r="BM12482" s="1025"/>
      <c r="BO12482" s="43"/>
    </row>
    <row r="12483" spans="65:67" ht="18.75" customHeight="1">
      <c r="BM12483" s="1025"/>
      <c r="BO12483" s="43"/>
    </row>
    <row r="12484" spans="65:67" ht="18.75" customHeight="1">
      <c r="BM12484" s="1025"/>
      <c r="BO12484" s="43"/>
    </row>
    <row r="12485" spans="65:67" ht="18.75" customHeight="1">
      <c r="BM12485" s="1025"/>
      <c r="BO12485" s="43"/>
    </row>
    <row r="12486" spans="65:67" ht="18.75" customHeight="1">
      <c r="BM12486" s="1025"/>
      <c r="BO12486" s="43"/>
    </row>
    <row r="12487" spans="65:67" ht="18.75" customHeight="1">
      <c r="BM12487" s="1025"/>
      <c r="BO12487" s="43"/>
    </row>
    <row r="12488" spans="65:67" ht="18.75" customHeight="1">
      <c r="BM12488" s="1025"/>
      <c r="BO12488" s="43"/>
    </row>
    <row r="12489" spans="65:67" ht="18.75" customHeight="1">
      <c r="BM12489" s="1025"/>
      <c r="BO12489" s="43"/>
    </row>
    <row r="12490" spans="65:67" ht="18.75" customHeight="1">
      <c r="BM12490" s="1025"/>
      <c r="BO12490" s="43"/>
    </row>
    <row r="12491" spans="65:67" ht="18.75" customHeight="1">
      <c r="BM12491" s="1025"/>
      <c r="BO12491" s="43"/>
    </row>
    <row r="12492" spans="65:67" ht="18.75" customHeight="1">
      <c r="BM12492" s="1025"/>
      <c r="BO12492" s="43"/>
    </row>
    <row r="12493" spans="65:67" ht="18.75" customHeight="1">
      <c r="BM12493" s="1025"/>
      <c r="BO12493" s="43"/>
    </row>
    <row r="12494" spans="65:67" ht="18.75" customHeight="1">
      <c r="BM12494" s="1025"/>
      <c r="BO12494" s="43"/>
    </row>
    <row r="12495" spans="65:67" ht="18.75" customHeight="1">
      <c r="BM12495" s="1025"/>
      <c r="BO12495" s="43"/>
    </row>
    <row r="12496" spans="65:67" ht="18.75" customHeight="1">
      <c r="BM12496" s="1025"/>
      <c r="BO12496" s="43"/>
    </row>
    <row r="12497" spans="65:67" ht="18.75" customHeight="1">
      <c r="BM12497" s="1025"/>
      <c r="BO12497" s="43"/>
    </row>
    <row r="12498" spans="65:67" ht="18.75" customHeight="1">
      <c r="BM12498" s="1025"/>
      <c r="BO12498" s="43"/>
    </row>
    <row r="12499" spans="65:67" ht="18.75" customHeight="1">
      <c r="BM12499" s="1025"/>
      <c r="BO12499" s="43"/>
    </row>
    <row r="12500" spans="65:67" ht="18.75" customHeight="1">
      <c r="BM12500" s="1025"/>
      <c r="BO12500" s="43"/>
    </row>
    <row r="12501" spans="65:67" ht="18.75" customHeight="1">
      <c r="BM12501" s="1025"/>
      <c r="BO12501" s="43"/>
    </row>
    <row r="12502" spans="65:67" ht="18.75" customHeight="1">
      <c r="BM12502" s="1025"/>
      <c r="BO12502" s="43"/>
    </row>
    <row r="12503" spans="65:67" ht="18.75" customHeight="1">
      <c r="BM12503" s="1025"/>
      <c r="BO12503" s="43"/>
    </row>
    <row r="12504" spans="65:67" ht="18.75" customHeight="1">
      <c r="BM12504" s="1025"/>
      <c r="BO12504" s="43"/>
    </row>
    <row r="12505" spans="65:67" ht="18.75" customHeight="1">
      <c r="BM12505" s="1025"/>
      <c r="BO12505" s="43"/>
    </row>
    <row r="12506" spans="65:67" ht="18.75" customHeight="1">
      <c r="BM12506" s="1025"/>
      <c r="BO12506" s="43"/>
    </row>
    <row r="12507" spans="65:67" ht="18.75" customHeight="1">
      <c r="BM12507" s="1025"/>
      <c r="BO12507" s="43"/>
    </row>
    <row r="12508" spans="65:67" ht="18.75" customHeight="1">
      <c r="BM12508" s="1025"/>
      <c r="BO12508" s="43"/>
    </row>
    <row r="12509" spans="65:67" ht="18.75" customHeight="1">
      <c r="BM12509" s="1025"/>
      <c r="BO12509" s="43"/>
    </row>
    <row r="12510" spans="65:67" ht="18.75" customHeight="1">
      <c r="BM12510" s="1025"/>
      <c r="BO12510" s="43"/>
    </row>
    <row r="12511" spans="65:67" ht="18.75" customHeight="1">
      <c r="BM12511" s="1025"/>
      <c r="BO12511" s="43"/>
    </row>
    <row r="12512" spans="65:67" ht="18.75" customHeight="1">
      <c r="BM12512" s="1025"/>
      <c r="BO12512" s="43"/>
    </row>
    <row r="12513" spans="65:67" ht="18.75" customHeight="1">
      <c r="BM12513" s="1025"/>
      <c r="BO12513" s="43"/>
    </row>
    <row r="12514" spans="65:67" ht="18.75" customHeight="1">
      <c r="BM12514" s="1025"/>
      <c r="BO12514" s="43"/>
    </row>
    <row r="12515" spans="65:67" ht="18.75" customHeight="1">
      <c r="BM12515" s="1025"/>
      <c r="BO12515" s="43"/>
    </row>
    <row r="12516" spans="65:67" ht="18.75" customHeight="1">
      <c r="BM12516" s="1025"/>
      <c r="BO12516" s="43"/>
    </row>
    <row r="12517" spans="65:67" ht="18.75" customHeight="1">
      <c r="BM12517" s="1025"/>
      <c r="BO12517" s="43"/>
    </row>
    <row r="12518" spans="65:67" ht="18.75" customHeight="1">
      <c r="BM12518" s="1025"/>
      <c r="BO12518" s="43"/>
    </row>
    <row r="12519" spans="65:67" ht="18.75" customHeight="1">
      <c r="BM12519" s="1025"/>
      <c r="BO12519" s="43"/>
    </row>
    <row r="12520" spans="65:67" ht="18.75" customHeight="1">
      <c r="BM12520" s="1025"/>
      <c r="BO12520" s="43"/>
    </row>
    <row r="12521" spans="65:67" ht="18.75" customHeight="1">
      <c r="BM12521" s="1025"/>
      <c r="BO12521" s="43"/>
    </row>
    <row r="12522" spans="65:67" ht="18.75" customHeight="1">
      <c r="BM12522" s="1025"/>
      <c r="BO12522" s="43"/>
    </row>
    <row r="12523" spans="65:67" ht="18.75" customHeight="1">
      <c r="BM12523" s="1025"/>
      <c r="BO12523" s="43"/>
    </row>
    <row r="12524" spans="65:67" ht="18.75" customHeight="1">
      <c r="BM12524" s="1025"/>
      <c r="BO12524" s="43"/>
    </row>
    <row r="12525" spans="65:67" ht="18.75" customHeight="1">
      <c r="BM12525" s="1025"/>
      <c r="BO12525" s="43"/>
    </row>
    <row r="12526" spans="65:67" ht="18.75" customHeight="1">
      <c r="BM12526" s="1025"/>
      <c r="BO12526" s="43"/>
    </row>
    <row r="12527" spans="65:67" ht="18.75" customHeight="1">
      <c r="BM12527" s="1025"/>
      <c r="BO12527" s="43"/>
    </row>
    <row r="12528" spans="65:67" ht="18.75" customHeight="1">
      <c r="BM12528" s="1025"/>
      <c r="BO12528" s="43"/>
    </row>
    <row r="12529" spans="65:67" ht="18.75" customHeight="1">
      <c r="BM12529" s="1025"/>
      <c r="BO12529" s="43"/>
    </row>
    <row r="12530" spans="65:67" ht="18.75" customHeight="1">
      <c r="BM12530" s="1025"/>
      <c r="BO12530" s="43"/>
    </row>
    <row r="12531" spans="65:67" ht="18.75" customHeight="1">
      <c r="BM12531" s="1025"/>
      <c r="BO12531" s="43"/>
    </row>
    <row r="12532" spans="65:67" ht="18.75" customHeight="1">
      <c r="BM12532" s="1025"/>
      <c r="BO12532" s="43"/>
    </row>
    <row r="12533" spans="65:67" ht="18.75" customHeight="1">
      <c r="BM12533" s="1025"/>
      <c r="BO12533" s="43"/>
    </row>
    <row r="12534" spans="65:67" ht="18.75" customHeight="1">
      <c r="BM12534" s="1025"/>
      <c r="BO12534" s="43"/>
    </row>
    <row r="12535" spans="65:67" ht="18.75" customHeight="1">
      <c r="BM12535" s="1025"/>
      <c r="BO12535" s="43"/>
    </row>
    <row r="12536" spans="65:67" ht="18.75" customHeight="1">
      <c r="BM12536" s="1025"/>
      <c r="BO12536" s="43"/>
    </row>
    <row r="12537" spans="65:67" ht="18.75" customHeight="1">
      <c r="BM12537" s="1025"/>
      <c r="BO12537" s="43"/>
    </row>
    <row r="12538" spans="65:67" ht="18.75" customHeight="1">
      <c r="BM12538" s="1025"/>
      <c r="BO12538" s="43"/>
    </row>
    <row r="12539" spans="65:67" ht="18.75" customHeight="1">
      <c r="BM12539" s="1025"/>
      <c r="BO12539" s="43"/>
    </row>
    <row r="12540" spans="65:67" ht="18.75" customHeight="1">
      <c r="BM12540" s="1025"/>
      <c r="BO12540" s="43"/>
    </row>
    <row r="12541" spans="65:67" ht="18.75" customHeight="1">
      <c r="BM12541" s="1025"/>
      <c r="BO12541" s="43"/>
    </row>
    <row r="12542" spans="65:67" ht="18.75" customHeight="1">
      <c r="BM12542" s="1025"/>
      <c r="BO12542" s="43"/>
    </row>
    <row r="12543" spans="65:67" ht="18.75" customHeight="1">
      <c r="BM12543" s="1025"/>
      <c r="BO12543" s="43"/>
    </row>
    <row r="12544" spans="65:67" ht="18.75" customHeight="1">
      <c r="BM12544" s="1025"/>
      <c r="BO12544" s="43"/>
    </row>
    <row r="12545" spans="65:67" ht="18.75" customHeight="1">
      <c r="BM12545" s="1025"/>
      <c r="BO12545" s="43"/>
    </row>
    <row r="12546" spans="65:67" ht="18.75" customHeight="1">
      <c r="BM12546" s="1025"/>
      <c r="BO12546" s="43"/>
    </row>
    <row r="12547" spans="65:67" ht="18.75" customHeight="1">
      <c r="BM12547" s="1025"/>
      <c r="BO12547" s="43"/>
    </row>
    <row r="12548" spans="65:67" ht="18.75" customHeight="1">
      <c r="BM12548" s="1025"/>
      <c r="BO12548" s="43"/>
    </row>
    <row r="12549" spans="65:67" ht="18.75" customHeight="1">
      <c r="BM12549" s="1025"/>
      <c r="BO12549" s="43"/>
    </row>
    <row r="12550" spans="65:67" ht="18.75" customHeight="1">
      <c r="BM12550" s="1025"/>
      <c r="BO12550" s="43"/>
    </row>
    <row r="12551" spans="65:67" ht="18.75" customHeight="1">
      <c r="BM12551" s="1025"/>
      <c r="BO12551" s="43"/>
    </row>
    <row r="12552" spans="65:67" ht="18.75" customHeight="1">
      <c r="BM12552" s="1025"/>
      <c r="BO12552" s="43"/>
    </row>
    <row r="12553" spans="65:67" ht="18.75" customHeight="1">
      <c r="BM12553" s="1025"/>
      <c r="BO12553" s="43"/>
    </row>
    <row r="12554" spans="65:67" ht="18.75" customHeight="1">
      <c r="BM12554" s="1025"/>
      <c r="BO12554" s="43"/>
    </row>
    <row r="12555" spans="65:67" ht="18.75" customHeight="1">
      <c r="BM12555" s="1025"/>
      <c r="BO12555" s="43"/>
    </row>
    <row r="12556" spans="65:67" ht="18.75" customHeight="1">
      <c r="BM12556" s="1025"/>
      <c r="BO12556" s="43"/>
    </row>
    <row r="12557" spans="65:67" ht="18.75" customHeight="1">
      <c r="BM12557" s="1025"/>
      <c r="BO12557" s="43"/>
    </row>
    <row r="12558" spans="65:67" ht="18.75" customHeight="1">
      <c r="BM12558" s="1025"/>
      <c r="BO12558" s="43"/>
    </row>
    <row r="12559" spans="65:67" ht="18.75" customHeight="1">
      <c r="BM12559" s="1025"/>
      <c r="BO12559" s="43"/>
    </row>
    <row r="12560" spans="65:67" ht="18.75" customHeight="1">
      <c r="BM12560" s="1025"/>
      <c r="BO12560" s="43"/>
    </row>
    <row r="12561" spans="65:67" ht="18.75" customHeight="1">
      <c r="BM12561" s="1025"/>
      <c r="BO12561" s="43"/>
    </row>
    <row r="12562" spans="65:67" ht="18.75" customHeight="1">
      <c r="BM12562" s="1025"/>
      <c r="BO12562" s="43"/>
    </row>
    <row r="12563" spans="65:67" ht="18.75" customHeight="1">
      <c r="BM12563" s="1025"/>
      <c r="BO12563" s="43"/>
    </row>
    <row r="12564" spans="65:67" ht="18.75" customHeight="1">
      <c r="BM12564" s="1025"/>
      <c r="BO12564" s="43"/>
    </row>
    <row r="12565" spans="65:67" ht="18.75" customHeight="1">
      <c r="BM12565" s="1025"/>
      <c r="BO12565" s="43"/>
    </row>
    <row r="12566" spans="65:67" ht="18.75" customHeight="1">
      <c r="BM12566" s="1025"/>
      <c r="BO12566" s="43"/>
    </row>
    <row r="12567" spans="65:67" ht="18.75" customHeight="1">
      <c r="BM12567" s="1025"/>
      <c r="BO12567" s="43"/>
    </row>
    <row r="12568" spans="65:67" ht="18.75" customHeight="1">
      <c r="BM12568" s="1025"/>
      <c r="BO12568" s="43"/>
    </row>
    <row r="12569" spans="65:67" ht="18.75" customHeight="1">
      <c r="BM12569" s="1025"/>
      <c r="BO12569" s="43"/>
    </row>
    <row r="12570" spans="65:67" ht="18.75" customHeight="1">
      <c r="BM12570" s="1025"/>
      <c r="BO12570" s="43"/>
    </row>
    <row r="12571" spans="65:67" ht="18.75" customHeight="1">
      <c r="BM12571" s="1025"/>
      <c r="BO12571" s="43"/>
    </row>
    <row r="12572" spans="65:67" ht="18.75" customHeight="1">
      <c r="BM12572" s="1025"/>
      <c r="BO12572" s="43"/>
    </row>
    <row r="12573" spans="65:67" ht="18.75" customHeight="1">
      <c r="BM12573" s="1025"/>
      <c r="BO12573" s="43"/>
    </row>
    <row r="12574" spans="65:67" ht="18.75" customHeight="1">
      <c r="BM12574" s="1025"/>
      <c r="BO12574" s="43"/>
    </row>
    <row r="12575" spans="65:67" ht="18.75" customHeight="1">
      <c r="BM12575" s="1025"/>
      <c r="BO12575" s="43"/>
    </row>
    <row r="12576" spans="65:67" ht="18.75" customHeight="1">
      <c r="BM12576" s="1025"/>
      <c r="BO12576" s="43"/>
    </row>
    <row r="12577" spans="65:67" ht="18.75" customHeight="1">
      <c r="BM12577" s="1025"/>
      <c r="BO12577" s="43"/>
    </row>
    <row r="12578" spans="65:67" ht="18.75" customHeight="1">
      <c r="BM12578" s="1025"/>
      <c r="BO12578" s="43"/>
    </row>
    <row r="12579" spans="65:67" ht="18.75" customHeight="1">
      <c r="BM12579" s="1025"/>
      <c r="BO12579" s="43"/>
    </row>
    <row r="12580" spans="65:67" ht="18.75" customHeight="1">
      <c r="BM12580" s="1025"/>
      <c r="BO12580" s="43"/>
    </row>
    <row r="12581" spans="65:67" ht="18.75" customHeight="1">
      <c r="BM12581" s="1025"/>
      <c r="BO12581" s="43"/>
    </row>
    <row r="12582" spans="65:67" ht="18.75" customHeight="1">
      <c r="BM12582" s="1025"/>
      <c r="BO12582" s="43"/>
    </row>
    <row r="12583" spans="65:67" ht="18.75" customHeight="1">
      <c r="BM12583" s="1025"/>
      <c r="BO12583" s="43"/>
    </row>
    <row r="12584" spans="65:67" ht="18.75" customHeight="1">
      <c r="BM12584" s="1025"/>
      <c r="BO12584" s="43"/>
    </row>
    <row r="12585" spans="65:67" ht="18.75" customHeight="1">
      <c r="BM12585" s="1025"/>
      <c r="BO12585" s="43"/>
    </row>
    <row r="12586" spans="65:67" ht="18.75" customHeight="1">
      <c r="BM12586" s="1025"/>
      <c r="BO12586" s="43"/>
    </row>
    <row r="12587" spans="65:67" ht="18.75" customHeight="1">
      <c r="BM12587" s="1025"/>
      <c r="BO12587" s="43"/>
    </row>
    <row r="12588" spans="65:67" ht="18.75" customHeight="1">
      <c r="BM12588" s="1025"/>
      <c r="BO12588" s="43"/>
    </row>
    <row r="12589" spans="65:67" ht="18.75" customHeight="1">
      <c r="BM12589" s="1025"/>
      <c r="BO12589" s="43"/>
    </row>
    <row r="12590" spans="65:67" ht="18.75" customHeight="1">
      <c r="BM12590" s="1025"/>
      <c r="BO12590" s="43"/>
    </row>
    <row r="12591" spans="65:67" ht="18.75" customHeight="1">
      <c r="BM12591" s="1025"/>
      <c r="BO12591" s="43"/>
    </row>
    <row r="12592" spans="65:67" ht="18.75" customHeight="1">
      <c r="BM12592" s="1025"/>
      <c r="BO12592" s="43"/>
    </row>
    <row r="12593" spans="65:67" ht="18.75" customHeight="1">
      <c r="BM12593" s="1025"/>
      <c r="BO12593" s="43"/>
    </row>
    <row r="12594" spans="65:67" ht="18.75" customHeight="1">
      <c r="BM12594" s="1025"/>
      <c r="BO12594" s="43"/>
    </row>
    <row r="12595" spans="65:67" ht="18.75" customHeight="1">
      <c r="BM12595" s="1025"/>
      <c r="BO12595" s="43"/>
    </row>
    <row r="12596" spans="65:67" ht="18.75" customHeight="1">
      <c r="BM12596" s="1025"/>
      <c r="BO12596" s="43"/>
    </row>
    <row r="12597" spans="65:67" ht="18.75" customHeight="1">
      <c r="BM12597" s="1025"/>
      <c r="BO12597" s="43"/>
    </row>
    <row r="12598" spans="65:67" ht="18.75" customHeight="1">
      <c r="BM12598" s="1025"/>
      <c r="BO12598" s="43"/>
    </row>
    <row r="12599" spans="65:67" ht="18.75" customHeight="1">
      <c r="BM12599" s="1025"/>
      <c r="BO12599" s="43"/>
    </row>
    <row r="12600" spans="65:67" ht="18.75" customHeight="1">
      <c r="BM12600" s="1025"/>
      <c r="BO12600" s="43"/>
    </row>
    <row r="12601" spans="65:67" ht="18.75" customHeight="1">
      <c r="BM12601" s="1025"/>
      <c r="BO12601" s="43"/>
    </row>
    <row r="12602" spans="65:67" ht="18.75" customHeight="1">
      <c r="BM12602" s="1025"/>
      <c r="BO12602" s="43"/>
    </row>
    <row r="12603" spans="65:67" ht="18.75" customHeight="1">
      <c r="BM12603" s="1025"/>
      <c r="BO12603" s="43"/>
    </row>
    <row r="12604" spans="65:67" ht="18.75" customHeight="1">
      <c r="BM12604" s="1025"/>
      <c r="BO12604" s="43"/>
    </row>
    <row r="12605" spans="65:67" ht="18.75" customHeight="1">
      <c r="BM12605" s="1025"/>
      <c r="BO12605" s="43"/>
    </row>
    <row r="12606" spans="65:67" ht="18.75" customHeight="1">
      <c r="BM12606" s="1025"/>
      <c r="BO12606" s="43"/>
    </row>
    <row r="12607" spans="65:67" ht="18.75" customHeight="1">
      <c r="BM12607" s="1025"/>
      <c r="BO12607" s="43"/>
    </row>
    <row r="12608" spans="65:67" ht="18.75" customHeight="1">
      <c r="BM12608" s="1025"/>
      <c r="BO12608" s="43"/>
    </row>
    <row r="12609" spans="65:67" ht="18.75" customHeight="1">
      <c r="BM12609" s="1025"/>
      <c r="BO12609" s="43"/>
    </row>
    <row r="12610" spans="65:67" ht="18.75" customHeight="1">
      <c r="BM12610" s="1025"/>
      <c r="BO12610" s="43"/>
    </row>
    <row r="12611" spans="65:67" ht="18.75" customHeight="1">
      <c r="BM12611" s="1025"/>
      <c r="BO12611" s="43"/>
    </row>
    <row r="12612" spans="65:67" ht="18.75" customHeight="1">
      <c r="BM12612" s="1025"/>
      <c r="BO12612" s="43"/>
    </row>
    <row r="12613" spans="65:67" ht="18.75" customHeight="1">
      <c r="BM12613" s="1025"/>
      <c r="BO12613" s="43"/>
    </row>
    <row r="12614" spans="65:67" ht="18.75" customHeight="1">
      <c r="BM12614" s="1025"/>
      <c r="BO12614" s="43"/>
    </row>
    <row r="12615" spans="65:67" ht="18.75" customHeight="1">
      <c r="BM12615" s="1025"/>
      <c r="BO12615" s="43"/>
    </row>
    <row r="12616" spans="65:67" ht="18.75" customHeight="1">
      <c r="BM12616" s="1025"/>
      <c r="BO12616" s="43"/>
    </row>
    <row r="12617" spans="65:67" ht="18.75" customHeight="1">
      <c r="BM12617" s="1025"/>
      <c r="BO12617" s="43"/>
    </row>
    <row r="12618" spans="65:67" ht="18.75" customHeight="1">
      <c r="BM12618" s="1025"/>
      <c r="BO12618" s="43"/>
    </row>
    <row r="12619" spans="65:67" ht="18.75" customHeight="1">
      <c r="BM12619" s="1025"/>
      <c r="BO12619" s="43"/>
    </row>
    <row r="12620" spans="65:67" ht="18.75" customHeight="1">
      <c r="BM12620" s="1025"/>
      <c r="BO12620" s="43"/>
    </row>
    <row r="12621" spans="65:67" ht="18.75" customHeight="1">
      <c r="BM12621" s="1025"/>
      <c r="BO12621" s="43"/>
    </row>
    <row r="12622" spans="65:67" ht="18.75" customHeight="1">
      <c r="BM12622" s="1025"/>
      <c r="BO12622" s="43"/>
    </row>
    <row r="12623" spans="65:67" ht="18.75" customHeight="1">
      <c r="BM12623" s="1025"/>
      <c r="BO12623" s="43"/>
    </row>
    <row r="12624" spans="65:67" ht="18.75" customHeight="1">
      <c r="BM12624" s="1025"/>
      <c r="BO12624" s="43"/>
    </row>
    <row r="12625" spans="65:67" ht="18.75" customHeight="1">
      <c r="BM12625" s="1025"/>
      <c r="BO12625" s="43"/>
    </row>
    <row r="12626" spans="65:67" ht="18.75" customHeight="1">
      <c r="BM12626" s="1025"/>
      <c r="BO12626" s="43"/>
    </row>
    <row r="12627" spans="65:67" ht="18.75" customHeight="1">
      <c r="BM12627" s="1025"/>
      <c r="BO12627" s="43"/>
    </row>
    <row r="12628" spans="65:67" ht="18.75" customHeight="1">
      <c r="BM12628" s="1025"/>
      <c r="BO12628" s="43"/>
    </row>
    <row r="12629" spans="65:67" ht="18.75" customHeight="1">
      <c r="BM12629" s="1025"/>
      <c r="BO12629" s="43"/>
    </row>
    <row r="12630" spans="65:67" ht="18.75" customHeight="1">
      <c r="BM12630" s="1025"/>
      <c r="BO12630" s="43"/>
    </row>
    <row r="12631" spans="65:67" ht="18.75" customHeight="1">
      <c r="BM12631" s="1025"/>
      <c r="BO12631" s="43"/>
    </row>
    <row r="12632" spans="65:67" ht="18.75" customHeight="1">
      <c r="BM12632" s="1025"/>
      <c r="BO12632" s="43"/>
    </row>
    <row r="12633" spans="65:67" ht="18.75" customHeight="1">
      <c r="BM12633" s="1025"/>
      <c r="BO12633" s="43"/>
    </row>
    <row r="12634" spans="65:67" ht="18.75" customHeight="1">
      <c r="BM12634" s="1025"/>
      <c r="BO12634" s="43"/>
    </row>
    <row r="12635" spans="65:67" ht="18.75" customHeight="1">
      <c r="BM12635" s="1025"/>
      <c r="BO12635" s="43"/>
    </row>
    <row r="12636" spans="65:67" ht="18.75" customHeight="1">
      <c r="BM12636" s="1025"/>
      <c r="BO12636" s="43"/>
    </row>
    <row r="12637" spans="65:67" ht="18.75" customHeight="1">
      <c r="BM12637" s="1025"/>
      <c r="BO12637" s="43"/>
    </row>
    <row r="12638" spans="65:67" ht="18.75" customHeight="1">
      <c r="BM12638" s="1025"/>
      <c r="BO12638" s="43"/>
    </row>
    <row r="12639" spans="65:67" ht="18.75" customHeight="1">
      <c r="BM12639" s="1025"/>
      <c r="BO12639" s="43"/>
    </row>
    <row r="12640" spans="65:67" ht="18.75" customHeight="1">
      <c r="BM12640" s="1025"/>
      <c r="BO12640" s="43"/>
    </row>
    <row r="12641" spans="65:67" ht="18.75" customHeight="1">
      <c r="BM12641" s="1025"/>
      <c r="BO12641" s="43"/>
    </row>
    <row r="12642" spans="65:67" ht="18.75" customHeight="1">
      <c r="BM12642" s="1025"/>
      <c r="BO12642" s="43"/>
    </row>
    <row r="12643" spans="65:67" ht="18.75" customHeight="1">
      <c r="BM12643" s="1025"/>
      <c r="BO12643" s="43"/>
    </row>
    <row r="12644" spans="65:67" ht="18.75" customHeight="1">
      <c r="BM12644" s="1025"/>
      <c r="BO12644" s="43"/>
    </row>
    <row r="12645" spans="65:67" ht="18.75" customHeight="1">
      <c r="BM12645" s="1025"/>
      <c r="BO12645" s="43"/>
    </row>
    <row r="12646" spans="65:67" ht="18.75" customHeight="1">
      <c r="BM12646" s="1025"/>
      <c r="BO12646" s="43"/>
    </row>
    <row r="12647" spans="65:67" ht="18.75" customHeight="1">
      <c r="BM12647" s="1025"/>
      <c r="BO12647" s="43"/>
    </row>
    <row r="12648" spans="65:67" ht="18.75" customHeight="1">
      <c r="BM12648" s="1025"/>
      <c r="BO12648" s="43"/>
    </row>
    <row r="12649" spans="65:67" ht="18.75" customHeight="1">
      <c r="BM12649" s="1025"/>
      <c r="BO12649" s="43"/>
    </row>
    <row r="12650" spans="65:67" ht="18.75" customHeight="1">
      <c r="BM12650" s="1025"/>
      <c r="BO12650" s="43"/>
    </row>
    <row r="12651" spans="65:67" ht="18.75" customHeight="1">
      <c r="BM12651" s="1025"/>
      <c r="BO12651" s="43"/>
    </row>
    <row r="12652" spans="65:67" ht="18.75" customHeight="1">
      <c r="BM12652" s="1025"/>
      <c r="BO12652" s="43"/>
    </row>
    <row r="12653" spans="65:67" ht="18.75" customHeight="1">
      <c r="BM12653" s="1025"/>
      <c r="BO12653" s="43"/>
    </row>
    <row r="12654" spans="65:67" ht="18.75" customHeight="1">
      <c r="BM12654" s="1025"/>
      <c r="BO12654" s="43"/>
    </row>
    <row r="12655" spans="65:67" ht="18.75" customHeight="1">
      <c r="BM12655" s="1025"/>
      <c r="BO12655" s="43"/>
    </row>
    <row r="12656" spans="65:67" ht="18.75" customHeight="1">
      <c r="BM12656" s="1025"/>
      <c r="BO12656" s="43"/>
    </row>
    <row r="12657" spans="65:67" ht="18.75" customHeight="1">
      <c r="BM12657" s="1025"/>
      <c r="BO12657" s="43"/>
    </row>
    <row r="12658" spans="65:67" ht="18.75" customHeight="1">
      <c r="BM12658" s="1025"/>
      <c r="BO12658" s="43"/>
    </row>
    <row r="12659" spans="65:67" ht="18.75" customHeight="1">
      <c r="BM12659" s="1025"/>
      <c r="BO12659" s="43"/>
    </row>
    <row r="12660" spans="65:67" ht="18.75" customHeight="1">
      <c r="BM12660" s="1025"/>
      <c r="BO12660" s="43"/>
    </row>
    <row r="12661" spans="65:67" ht="18.75" customHeight="1">
      <c r="BM12661" s="1025"/>
      <c r="BO12661" s="43"/>
    </row>
    <row r="12662" spans="65:67" ht="18.75" customHeight="1">
      <c r="BM12662" s="1025"/>
      <c r="BO12662" s="43"/>
    </row>
    <row r="12663" spans="65:67" ht="18.75" customHeight="1">
      <c r="BM12663" s="1025"/>
      <c r="BO12663" s="43"/>
    </row>
    <row r="12664" spans="65:67" ht="18.75" customHeight="1">
      <c r="BM12664" s="1025"/>
      <c r="BO12664" s="43"/>
    </row>
    <row r="12665" spans="65:67" ht="18.75" customHeight="1">
      <c r="BM12665" s="1025"/>
      <c r="BO12665" s="43"/>
    </row>
    <row r="12666" spans="65:67" ht="18.75" customHeight="1">
      <c r="BM12666" s="1025"/>
      <c r="BO12666" s="43"/>
    </row>
    <row r="12667" spans="65:67" ht="18.75" customHeight="1">
      <c r="BM12667" s="1025"/>
      <c r="BO12667" s="43"/>
    </row>
    <row r="12668" spans="65:67" ht="18.75" customHeight="1">
      <c r="BM12668" s="1025"/>
      <c r="BO12668" s="43"/>
    </row>
    <row r="12669" spans="65:67" ht="18.75" customHeight="1">
      <c r="BM12669" s="1025"/>
      <c r="BO12669" s="43"/>
    </row>
    <row r="12670" spans="65:67" ht="18.75" customHeight="1">
      <c r="BM12670" s="1025"/>
      <c r="BO12670" s="43"/>
    </row>
    <row r="12671" spans="65:67" ht="18.75" customHeight="1">
      <c r="BM12671" s="1025"/>
      <c r="BO12671" s="43"/>
    </row>
    <row r="12672" spans="65:67" ht="18.75" customHeight="1">
      <c r="BM12672" s="1025"/>
      <c r="BO12672" s="43"/>
    </row>
    <row r="12673" spans="65:67" ht="18.75" customHeight="1">
      <c r="BM12673" s="1025"/>
      <c r="BO12673" s="43"/>
    </row>
    <row r="12674" spans="65:67" ht="18.75" customHeight="1">
      <c r="BM12674" s="1025"/>
      <c r="BO12674" s="43"/>
    </row>
    <row r="12675" spans="65:67" ht="18.75" customHeight="1">
      <c r="BM12675" s="1025"/>
      <c r="BO12675" s="43"/>
    </row>
    <row r="12676" spans="65:67" ht="18.75" customHeight="1">
      <c r="BM12676" s="1025"/>
      <c r="BO12676" s="43"/>
    </row>
    <row r="12677" spans="65:67" ht="18.75" customHeight="1">
      <c r="BM12677" s="1025"/>
      <c r="BO12677" s="43"/>
    </row>
    <row r="12678" spans="65:67" ht="18.75" customHeight="1">
      <c r="BM12678" s="1025"/>
      <c r="BO12678" s="43"/>
    </row>
    <row r="12679" spans="65:67" ht="18.75" customHeight="1">
      <c r="BM12679" s="1025"/>
      <c r="BO12679" s="43"/>
    </row>
    <row r="12680" spans="65:67" ht="18.75" customHeight="1">
      <c r="BM12680" s="1025"/>
      <c r="BO12680" s="43"/>
    </row>
    <row r="12681" spans="65:67" ht="18.75" customHeight="1">
      <c r="BM12681" s="1025"/>
      <c r="BO12681" s="43"/>
    </row>
    <row r="12682" spans="65:67" ht="18.75" customHeight="1">
      <c r="BM12682" s="1025"/>
      <c r="BO12682" s="43"/>
    </row>
    <row r="12683" spans="65:67" ht="18.75" customHeight="1">
      <c r="BM12683" s="1025"/>
      <c r="BO12683" s="43"/>
    </row>
    <row r="12684" spans="65:67" ht="18.75" customHeight="1">
      <c r="BM12684" s="1025"/>
      <c r="BO12684" s="43"/>
    </row>
    <row r="12685" spans="65:67" ht="18.75" customHeight="1">
      <c r="BM12685" s="1025"/>
      <c r="BO12685" s="43"/>
    </row>
    <row r="12686" spans="65:67" ht="18.75" customHeight="1">
      <c r="BM12686" s="1025"/>
      <c r="BO12686" s="43"/>
    </row>
    <row r="12687" spans="65:67" ht="18.75" customHeight="1">
      <c r="BM12687" s="1025"/>
      <c r="BO12687" s="43"/>
    </row>
    <row r="12688" spans="65:67" ht="18.75" customHeight="1">
      <c r="BM12688" s="1025"/>
      <c r="BO12688" s="43"/>
    </row>
    <row r="12689" spans="65:67" ht="18.75" customHeight="1">
      <c r="BM12689" s="1025"/>
      <c r="BO12689" s="43"/>
    </row>
    <row r="12690" spans="65:67" ht="18.75" customHeight="1">
      <c r="BM12690" s="1025"/>
      <c r="BO12690" s="43"/>
    </row>
    <row r="12691" spans="65:67" ht="18.75" customHeight="1">
      <c r="BM12691" s="1025"/>
      <c r="BO12691" s="43"/>
    </row>
    <row r="12692" spans="65:67" ht="18.75" customHeight="1">
      <c r="BM12692" s="1025"/>
      <c r="BO12692" s="43"/>
    </row>
    <row r="12693" spans="65:67" ht="18.75" customHeight="1">
      <c r="BM12693" s="1025"/>
      <c r="BO12693" s="43"/>
    </row>
    <row r="12694" spans="65:67" ht="18.75" customHeight="1">
      <c r="BM12694" s="1025"/>
      <c r="BO12694" s="43"/>
    </row>
    <row r="12695" spans="65:67" ht="18.75" customHeight="1">
      <c r="BM12695" s="1025"/>
      <c r="BO12695" s="43"/>
    </row>
    <row r="12696" spans="65:67" ht="18.75" customHeight="1">
      <c r="BM12696" s="1025"/>
      <c r="BO12696" s="43"/>
    </row>
    <row r="12697" spans="65:67" ht="18.75" customHeight="1">
      <c r="BM12697" s="1025"/>
      <c r="BO12697" s="43"/>
    </row>
    <row r="12698" spans="65:67" ht="18.75" customHeight="1">
      <c r="BM12698" s="1025"/>
      <c r="BO12698" s="43"/>
    </row>
    <row r="12699" spans="65:67" ht="18.75" customHeight="1">
      <c r="BM12699" s="1025"/>
      <c r="BO12699" s="43"/>
    </row>
    <row r="12700" spans="65:67" ht="18.75" customHeight="1">
      <c r="BM12700" s="1025"/>
      <c r="BO12700" s="43"/>
    </row>
    <row r="12701" spans="65:67" ht="18.75" customHeight="1">
      <c r="BM12701" s="1025"/>
      <c r="BO12701" s="43"/>
    </row>
    <row r="12702" spans="65:67" ht="18.75" customHeight="1">
      <c r="BM12702" s="1025"/>
      <c r="BO12702" s="43"/>
    </row>
    <row r="12703" spans="65:67" ht="18.75" customHeight="1">
      <c r="BM12703" s="1025"/>
      <c r="BO12703" s="43"/>
    </row>
    <row r="12704" spans="65:67" ht="18.75" customHeight="1">
      <c r="BM12704" s="1025"/>
      <c r="BO12704" s="43"/>
    </row>
    <row r="12705" spans="65:67" ht="18.75" customHeight="1">
      <c r="BM12705" s="1025"/>
      <c r="BO12705" s="43"/>
    </row>
    <row r="12706" spans="65:67" ht="18.75" customHeight="1">
      <c r="BM12706" s="1025"/>
      <c r="BO12706" s="43"/>
    </row>
    <row r="12707" spans="65:67" ht="18.75" customHeight="1">
      <c r="BM12707" s="1025"/>
      <c r="BO12707" s="43"/>
    </row>
    <row r="12708" spans="65:67" ht="18.75" customHeight="1">
      <c r="BM12708" s="1025"/>
      <c r="BO12708" s="43"/>
    </row>
    <row r="12709" spans="65:67" ht="18.75" customHeight="1">
      <c r="BM12709" s="1025"/>
      <c r="BO12709" s="43"/>
    </row>
    <row r="12710" spans="65:67" ht="18.75" customHeight="1">
      <c r="BM12710" s="1025"/>
      <c r="BO12710" s="43"/>
    </row>
    <row r="12711" spans="65:67" ht="18.75" customHeight="1">
      <c r="BM12711" s="1025"/>
      <c r="BO12711" s="43"/>
    </row>
    <row r="12712" spans="65:67" ht="18.75" customHeight="1">
      <c r="BM12712" s="1025"/>
      <c r="BO12712" s="43"/>
    </row>
    <row r="12713" spans="65:67" ht="18.75" customHeight="1">
      <c r="BM12713" s="1025"/>
      <c r="BO12713" s="43"/>
    </row>
    <row r="12714" spans="65:67" ht="18.75" customHeight="1">
      <c r="BM12714" s="1025"/>
      <c r="BO12714" s="43"/>
    </row>
    <row r="12715" spans="65:67" ht="18.75" customHeight="1">
      <c r="BM12715" s="1025"/>
      <c r="BO12715" s="43"/>
    </row>
    <row r="12716" spans="65:67" ht="18.75" customHeight="1">
      <c r="BM12716" s="1025"/>
      <c r="BO12716" s="43"/>
    </row>
    <row r="12717" spans="65:67" ht="18.75" customHeight="1">
      <c r="BM12717" s="1025"/>
      <c r="BO12717" s="43"/>
    </row>
    <row r="12718" spans="65:67" ht="18.75" customHeight="1">
      <c r="BM12718" s="1025"/>
      <c r="BO12718" s="43"/>
    </row>
    <row r="12719" spans="65:67" ht="18.75" customHeight="1">
      <c r="BM12719" s="1025"/>
      <c r="BO12719" s="43"/>
    </row>
    <row r="12720" spans="65:67" ht="18.75" customHeight="1">
      <c r="BM12720" s="1025"/>
      <c r="BO12720" s="43"/>
    </row>
    <row r="12721" spans="65:67" ht="18.75" customHeight="1">
      <c r="BM12721" s="1025"/>
      <c r="BO12721" s="43"/>
    </row>
    <row r="12722" spans="65:67" ht="18.75" customHeight="1">
      <c r="BM12722" s="1025"/>
      <c r="BO12722" s="43"/>
    </row>
    <row r="12723" spans="65:67" ht="18.75" customHeight="1">
      <c r="BM12723" s="1025"/>
      <c r="BO12723" s="43"/>
    </row>
    <row r="12724" spans="65:67" ht="18.75" customHeight="1">
      <c r="BM12724" s="1025"/>
      <c r="BO12724" s="43"/>
    </row>
    <row r="12725" spans="65:67" ht="18.75" customHeight="1">
      <c r="BM12725" s="1025"/>
      <c r="BO12725" s="43"/>
    </row>
    <row r="12726" spans="65:67" ht="18.75" customHeight="1">
      <c r="BM12726" s="1025"/>
      <c r="BO12726" s="43"/>
    </row>
    <row r="12727" spans="65:67" ht="18.75" customHeight="1">
      <c r="BM12727" s="1025"/>
      <c r="BO12727" s="43"/>
    </row>
    <row r="12728" spans="65:67" ht="18.75" customHeight="1">
      <c r="BM12728" s="1025"/>
      <c r="BO12728" s="43"/>
    </row>
    <row r="12729" spans="65:67" ht="18.75" customHeight="1">
      <c r="BM12729" s="1025"/>
      <c r="BO12729" s="43"/>
    </row>
    <row r="12730" spans="65:67" ht="18.75" customHeight="1">
      <c r="BM12730" s="1025"/>
      <c r="BO12730" s="43"/>
    </row>
    <row r="12731" spans="65:67" ht="18.75" customHeight="1">
      <c r="BM12731" s="1025"/>
      <c r="BO12731" s="43"/>
    </row>
    <row r="12732" spans="65:67" ht="18.75" customHeight="1">
      <c r="BM12732" s="1025"/>
      <c r="BO12732" s="43"/>
    </row>
    <row r="12733" spans="65:67" ht="18.75" customHeight="1">
      <c r="BM12733" s="1025"/>
      <c r="BO12733" s="43"/>
    </row>
    <row r="12734" spans="65:67" ht="18.75" customHeight="1">
      <c r="BM12734" s="1025"/>
      <c r="BO12734" s="43"/>
    </row>
    <row r="12735" spans="65:67" ht="18.75" customHeight="1">
      <c r="BM12735" s="1025"/>
      <c r="BO12735" s="43"/>
    </row>
    <row r="12736" spans="65:67" ht="18.75" customHeight="1">
      <c r="BM12736" s="1025"/>
      <c r="BO12736" s="43"/>
    </row>
    <row r="12737" spans="65:67" ht="18.75" customHeight="1">
      <c r="BM12737" s="1025"/>
      <c r="BO12737" s="43"/>
    </row>
    <row r="12738" spans="65:67" ht="18.75" customHeight="1">
      <c r="BM12738" s="1025"/>
      <c r="BO12738" s="43"/>
    </row>
    <row r="12739" spans="65:67" ht="18.75" customHeight="1">
      <c r="BM12739" s="1025"/>
      <c r="BO12739" s="43"/>
    </row>
    <row r="12740" spans="65:67" ht="18.75" customHeight="1">
      <c r="BM12740" s="1025"/>
      <c r="BO12740" s="43"/>
    </row>
    <row r="12741" spans="65:67" ht="18.75" customHeight="1">
      <c r="BM12741" s="1025"/>
      <c r="BO12741" s="43"/>
    </row>
    <row r="12742" spans="65:67" ht="18.75" customHeight="1">
      <c r="BM12742" s="1025"/>
      <c r="BO12742" s="43"/>
    </row>
    <row r="12743" spans="65:67" ht="18.75" customHeight="1">
      <c r="BM12743" s="1025"/>
      <c r="BO12743" s="43"/>
    </row>
    <row r="12744" spans="65:67" ht="18.75" customHeight="1">
      <c r="BM12744" s="1025"/>
      <c r="BO12744" s="43"/>
    </row>
    <row r="12745" spans="65:67" ht="18.75" customHeight="1">
      <c r="BM12745" s="1025"/>
      <c r="BO12745" s="43"/>
    </row>
    <row r="12746" spans="65:67" ht="18.75" customHeight="1">
      <c r="BM12746" s="1025"/>
      <c r="BO12746" s="43"/>
    </row>
    <row r="12747" spans="65:67" ht="18.75" customHeight="1">
      <c r="BM12747" s="1025"/>
      <c r="BO12747" s="43"/>
    </row>
    <row r="12748" spans="65:67" ht="18.75" customHeight="1">
      <c r="BM12748" s="1025"/>
      <c r="BO12748" s="43"/>
    </row>
    <row r="12749" spans="65:67" ht="18.75" customHeight="1">
      <c r="BM12749" s="1025"/>
      <c r="BO12749" s="43"/>
    </row>
    <row r="12750" spans="65:67" ht="18.75" customHeight="1">
      <c r="BM12750" s="1025"/>
      <c r="BO12750" s="43"/>
    </row>
    <row r="12751" spans="65:67" ht="18.75" customHeight="1">
      <c r="BM12751" s="1025"/>
      <c r="BO12751" s="43"/>
    </row>
    <row r="12752" spans="65:67" ht="18.75" customHeight="1">
      <c r="BM12752" s="1025"/>
      <c r="BO12752" s="43"/>
    </row>
    <row r="12753" spans="65:67" ht="18.75" customHeight="1">
      <c r="BM12753" s="1025"/>
      <c r="BO12753" s="43"/>
    </row>
    <row r="12754" spans="65:67" ht="18.75" customHeight="1">
      <c r="BM12754" s="1025"/>
      <c r="BO12754" s="43"/>
    </row>
    <row r="12755" spans="65:67" ht="18.75" customHeight="1">
      <c r="BM12755" s="1025"/>
      <c r="BO12755" s="43"/>
    </row>
    <row r="12756" spans="65:67" ht="18.75" customHeight="1">
      <c r="BM12756" s="1025"/>
      <c r="BO12756" s="43"/>
    </row>
    <row r="12757" spans="65:67" ht="18.75" customHeight="1">
      <c r="BM12757" s="1025"/>
      <c r="BO12757" s="43"/>
    </row>
    <row r="12758" spans="65:67" ht="18.75" customHeight="1">
      <c r="BM12758" s="1025"/>
      <c r="BO12758" s="43"/>
    </row>
    <row r="12759" spans="65:67" ht="18.75" customHeight="1">
      <c r="BM12759" s="1025"/>
      <c r="BO12759" s="43"/>
    </row>
    <row r="12760" spans="65:67" ht="18.75" customHeight="1">
      <c r="BM12760" s="1025"/>
      <c r="BO12760" s="43"/>
    </row>
    <row r="12761" spans="65:67" ht="18.75" customHeight="1">
      <c r="BM12761" s="1025"/>
      <c r="BO12761" s="43"/>
    </row>
    <row r="12762" spans="65:67" ht="18.75" customHeight="1">
      <c r="BM12762" s="1025"/>
      <c r="BO12762" s="43"/>
    </row>
    <row r="12763" spans="65:67" ht="18.75" customHeight="1">
      <c r="BM12763" s="1025"/>
      <c r="BO12763" s="43"/>
    </row>
    <row r="12764" spans="65:67" ht="18.75" customHeight="1">
      <c r="BM12764" s="1025"/>
      <c r="BO12764" s="43"/>
    </row>
    <row r="12765" spans="65:67" ht="18.75" customHeight="1">
      <c r="BM12765" s="1025"/>
      <c r="BO12765" s="43"/>
    </row>
    <row r="12766" spans="65:67" ht="18.75" customHeight="1">
      <c r="BM12766" s="1025"/>
      <c r="BO12766" s="43"/>
    </row>
    <row r="12767" spans="65:67" ht="18.75" customHeight="1">
      <c r="BM12767" s="1025"/>
      <c r="BO12767" s="43"/>
    </row>
    <row r="12768" spans="65:67" ht="18.75" customHeight="1">
      <c r="BM12768" s="1025"/>
      <c r="BO12768" s="43"/>
    </row>
    <row r="12769" spans="65:67" ht="18.75" customHeight="1">
      <c r="BM12769" s="1025"/>
      <c r="BO12769" s="43"/>
    </row>
    <row r="12770" spans="65:67" ht="18.75" customHeight="1">
      <c r="BM12770" s="1025"/>
      <c r="BO12770" s="43"/>
    </row>
    <row r="12771" spans="65:67" ht="18.75" customHeight="1">
      <c r="BM12771" s="1025"/>
      <c r="BO12771" s="43"/>
    </row>
    <row r="12772" spans="65:67" ht="18.75" customHeight="1">
      <c r="BM12772" s="1025"/>
      <c r="BO12772" s="43"/>
    </row>
    <row r="12773" spans="65:67" ht="18.75" customHeight="1">
      <c r="BM12773" s="1025"/>
      <c r="BO12773" s="43"/>
    </row>
    <row r="12774" spans="65:67" ht="18.75" customHeight="1">
      <c r="BM12774" s="1025"/>
      <c r="BO12774" s="43"/>
    </row>
    <row r="12775" spans="65:67" ht="18.75" customHeight="1">
      <c r="BM12775" s="1025"/>
      <c r="BO12775" s="43"/>
    </row>
    <row r="12776" spans="65:67" ht="18.75" customHeight="1">
      <c r="BM12776" s="1025"/>
      <c r="BO12776" s="43"/>
    </row>
    <row r="12777" spans="65:67" ht="18.75" customHeight="1">
      <c r="BM12777" s="1025"/>
      <c r="BO12777" s="43"/>
    </row>
    <row r="12778" spans="65:67" ht="18.75" customHeight="1">
      <c r="BM12778" s="1025"/>
      <c r="BO12778" s="43"/>
    </row>
    <row r="12779" spans="65:67" ht="18.75" customHeight="1">
      <c r="BM12779" s="1025"/>
      <c r="BO12779" s="43"/>
    </row>
    <row r="12780" spans="65:67" ht="18.75" customHeight="1">
      <c r="BM12780" s="1025"/>
      <c r="BO12780" s="43"/>
    </row>
    <row r="12781" spans="65:67" ht="18.75" customHeight="1">
      <c r="BM12781" s="1025"/>
      <c r="BO12781" s="43"/>
    </row>
    <row r="12782" spans="65:67" ht="18.75" customHeight="1">
      <c r="BM12782" s="1025"/>
      <c r="BO12782" s="43"/>
    </row>
    <row r="12783" spans="65:67" ht="18.75" customHeight="1">
      <c r="BM12783" s="1025"/>
      <c r="BO12783" s="43"/>
    </row>
    <row r="12784" spans="65:67" ht="18.75" customHeight="1">
      <c r="BM12784" s="1025"/>
      <c r="BO12784" s="43"/>
    </row>
    <row r="12785" spans="65:67" ht="18.75" customHeight="1">
      <c r="BM12785" s="1025"/>
      <c r="BO12785" s="43"/>
    </row>
    <row r="12786" spans="65:67" ht="18.75" customHeight="1">
      <c r="BM12786" s="1025"/>
      <c r="BO12786" s="43"/>
    </row>
    <row r="12787" spans="65:67" ht="18.75" customHeight="1">
      <c r="BM12787" s="1025"/>
      <c r="BO12787" s="43"/>
    </row>
    <row r="12788" spans="65:67" ht="18.75" customHeight="1">
      <c r="BM12788" s="1025"/>
      <c r="BO12788" s="43"/>
    </row>
    <row r="12789" spans="65:67" ht="18.75" customHeight="1">
      <c r="BM12789" s="1025"/>
      <c r="BO12789" s="43"/>
    </row>
    <row r="12790" spans="65:67" ht="18.75" customHeight="1">
      <c r="BM12790" s="1025"/>
      <c r="BO12790" s="43"/>
    </row>
    <row r="12791" spans="65:67" ht="18.75" customHeight="1">
      <c r="BM12791" s="1025"/>
      <c r="BO12791" s="43"/>
    </row>
    <row r="12792" spans="65:67" ht="18.75" customHeight="1">
      <c r="BM12792" s="1025"/>
      <c r="BO12792" s="43"/>
    </row>
    <row r="12793" spans="65:67" ht="18.75" customHeight="1">
      <c r="BM12793" s="1025"/>
      <c r="BO12793" s="43"/>
    </row>
    <row r="12794" spans="65:67" ht="18.75" customHeight="1">
      <c r="BM12794" s="1025"/>
      <c r="BO12794" s="43"/>
    </row>
    <row r="12795" spans="65:67" ht="18.75" customHeight="1">
      <c r="BM12795" s="1025"/>
      <c r="BO12795" s="43"/>
    </row>
    <row r="12796" spans="65:67" ht="18.75" customHeight="1">
      <c r="BM12796" s="1025"/>
      <c r="BO12796" s="43"/>
    </row>
    <row r="12797" spans="65:67" ht="18.75" customHeight="1">
      <c r="BM12797" s="1025"/>
      <c r="BO12797" s="43"/>
    </row>
    <row r="12798" spans="65:67" ht="18.75" customHeight="1">
      <c r="BM12798" s="1025"/>
      <c r="BO12798" s="43"/>
    </row>
    <row r="12799" spans="65:67" ht="18.75" customHeight="1">
      <c r="BM12799" s="1025"/>
      <c r="BO12799" s="43"/>
    </row>
    <row r="12800" spans="65:67" ht="18.75" customHeight="1">
      <c r="BM12800" s="1025"/>
      <c r="BO12800" s="43"/>
    </row>
    <row r="12801" spans="65:67" ht="18.75" customHeight="1">
      <c r="BM12801" s="1025"/>
      <c r="BO12801" s="43"/>
    </row>
    <row r="12802" spans="65:67" ht="18.75" customHeight="1">
      <c r="BM12802" s="1025"/>
      <c r="BO12802" s="43"/>
    </row>
    <row r="12803" spans="65:67" ht="18.75" customHeight="1">
      <c r="BM12803" s="1025"/>
      <c r="BO12803" s="43"/>
    </row>
    <row r="12804" spans="65:67" ht="18.75" customHeight="1">
      <c r="BM12804" s="1025"/>
      <c r="BO12804" s="43"/>
    </row>
    <row r="12805" spans="65:67" ht="18.75" customHeight="1">
      <c r="BM12805" s="1025"/>
      <c r="BO12805" s="43"/>
    </row>
    <row r="12806" spans="65:67" ht="18.75" customHeight="1">
      <c r="BM12806" s="1025"/>
      <c r="BO12806" s="43"/>
    </row>
    <row r="12807" spans="65:67" ht="18.75" customHeight="1">
      <c r="BM12807" s="1025"/>
      <c r="BO12807" s="43"/>
    </row>
    <row r="12808" spans="65:67" ht="18.75" customHeight="1">
      <c r="BM12808" s="1025"/>
      <c r="BO12808" s="43"/>
    </row>
    <row r="12809" spans="65:67" ht="18.75" customHeight="1">
      <c r="BM12809" s="1025"/>
      <c r="BO12809" s="43"/>
    </row>
    <row r="12810" spans="65:67" ht="18.75" customHeight="1">
      <c r="BM12810" s="1025"/>
      <c r="BO12810" s="43"/>
    </row>
    <row r="12811" spans="65:67" ht="18.75" customHeight="1">
      <c r="BM12811" s="1025"/>
      <c r="BO12811" s="43"/>
    </row>
    <row r="12812" spans="65:67" ht="18.75" customHeight="1">
      <c r="BM12812" s="1025"/>
      <c r="BO12812" s="43"/>
    </row>
    <row r="12813" spans="65:67" ht="18.75" customHeight="1">
      <c r="BM12813" s="1025"/>
      <c r="BO12813" s="43"/>
    </row>
    <row r="12814" spans="65:67" ht="18.75" customHeight="1">
      <c r="BM12814" s="1025"/>
      <c r="BO12814" s="43"/>
    </row>
    <row r="12815" spans="65:67" ht="18.75" customHeight="1">
      <c r="BM12815" s="1025"/>
      <c r="BO12815" s="43"/>
    </row>
    <row r="12816" spans="65:67" ht="18.75" customHeight="1">
      <c r="BM12816" s="1025"/>
      <c r="BO12816" s="43"/>
    </row>
    <row r="12817" spans="65:67" ht="18.75" customHeight="1">
      <c r="BM12817" s="1025"/>
      <c r="BO12817" s="43"/>
    </row>
    <row r="12818" spans="65:67" ht="18.75" customHeight="1">
      <c r="BM12818" s="1025"/>
      <c r="BO12818" s="43"/>
    </row>
    <row r="12819" spans="65:67" ht="18.75" customHeight="1">
      <c r="BM12819" s="1025"/>
      <c r="BO12819" s="43"/>
    </row>
    <row r="12820" spans="65:67" ht="18.75" customHeight="1">
      <c r="BM12820" s="1025"/>
      <c r="BO12820" s="43"/>
    </row>
    <row r="12821" spans="65:67" ht="18.75" customHeight="1">
      <c r="BM12821" s="1025"/>
      <c r="BO12821" s="43"/>
    </row>
    <row r="12822" spans="65:67" ht="18.75" customHeight="1">
      <c r="BM12822" s="1025"/>
      <c r="BO12822" s="43"/>
    </row>
    <row r="12823" spans="65:67" ht="18.75" customHeight="1">
      <c r="BM12823" s="1025"/>
      <c r="BO12823" s="43"/>
    </row>
    <row r="12824" spans="65:67" ht="18.75" customHeight="1">
      <c r="BM12824" s="1025"/>
      <c r="BO12824" s="43"/>
    </row>
    <row r="12825" spans="65:67" ht="18.75" customHeight="1">
      <c r="BM12825" s="1025"/>
      <c r="BO12825" s="43"/>
    </row>
    <row r="12826" spans="65:67" ht="18.75" customHeight="1">
      <c r="BM12826" s="1025"/>
      <c r="BO12826" s="43"/>
    </row>
    <row r="12827" spans="65:67" ht="18.75" customHeight="1">
      <c r="BM12827" s="1025"/>
      <c r="BO12827" s="43"/>
    </row>
    <row r="12828" spans="65:67" ht="18.75" customHeight="1">
      <c r="BM12828" s="1025"/>
      <c r="BO12828" s="43"/>
    </row>
    <row r="12829" spans="65:67" ht="18.75" customHeight="1">
      <c r="BM12829" s="1025"/>
      <c r="BO12829" s="43"/>
    </row>
    <row r="12830" spans="65:67" ht="18.75" customHeight="1">
      <c r="BM12830" s="1025"/>
      <c r="BO12830" s="43"/>
    </row>
    <row r="12831" spans="65:67" ht="18.75" customHeight="1">
      <c r="BM12831" s="1025"/>
      <c r="BO12831" s="43"/>
    </row>
    <row r="12832" spans="65:67" ht="18.75" customHeight="1">
      <c r="BM12832" s="1025"/>
      <c r="BO12832" s="43"/>
    </row>
    <row r="12833" spans="65:67" ht="18.75" customHeight="1">
      <c r="BM12833" s="1025"/>
      <c r="BO12833" s="43"/>
    </row>
    <row r="12834" spans="65:67" ht="18.75" customHeight="1">
      <c r="BM12834" s="1025"/>
      <c r="BO12834" s="43"/>
    </row>
    <row r="12835" spans="65:67" ht="18.75" customHeight="1">
      <c r="BM12835" s="1025"/>
      <c r="BO12835" s="43"/>
    </row>
    <row r="12836" spans="65:67" ht="18.75" customHeight="1">
      <c r="BM12836" s="1025"/>
      <c r="BO12836" s="43"/>
    </row>
    <row r="12837" spans="65:67" ht="18.75" customHeight="1">
      <c r="BM12837" s="1025"/>
      <c r="BO12837" s="43"/>
    </row>
    <row r="12838" spans="65:67" ht="18.75" customHeight="1">
      <c r="BM12838" s="1025"/>
      <c r="BO12838" s="43"/>
    </row>
    <row r="12839" spans="65:67" ht="18.75" customHeight="1">
      <c r="BM12839" s="1025"/>
      <c r="BO12839" s="43"/>
    </row>
    <row r="12840" spans="65:67" ht="18.75" customHeight="1">
      <c r="BM12840" s="1025"/>
      <c r="BO12840" s="43"/>
    </row>
    <row r="12841" spans="65:67" ht="18.75" customHeight="1">
      <c r="BM12841" s="1025"/>
      <c r="BO12841" s="43"/>
    </row>
    <row r="12842" spans="65:67" ht="18.75" customHeight="1">
      <c r="BM12842" s="1025"/>
      <c r="BO12842" s="43"/>
    </row>
    <row r="12843" spans="65:67" ht="18.75" customHeight="1">
      <c r="BM12843" s="1025"/>
      <c r="BO12843" s="43"/>
    </row>
    <row r="12844" spans="65:67" ht="18.75" customHeight="1">
      <c r="BM12844" s="1025"/>
      <c r="BO12844" s="43"/>
    </row>
    <row r="12845" spans="65:67" ht="18.75" customHeight="1">
      <c r="BM12845" s="1025"/>
      <c r="BO12845" s="43"/>
    </row>
    <row r="12846" spans="65:67" ht="18.75" customHeight="1">
      <c r="BM12846" s="1025"/>
      <c r="BO12846" s="43"/>
    </row>
    <row r="12847" spans="65:67" ht="18.75" customHeight="1">
      <c r="BM12847" s="1025"/>
      <c r="BO12847" s="43"/>
    </row>
    <row r="12848" spans="65:67" ht="18.75" customHeight="1">
      <c r="BM12848" s="1025"/>
      <c r="BO12848" s="43"/>
    </row>
    <row r="12849" spans="65:67" ht="18.75" customHeight="1">
      <c r="BM12849" s="1025"/>
      <c r="BO12849" s="43"/>
    </row>
    <row r="12850" spans="65:67" ht="18.75" customHeight="1">
      <c r="BM12850" s="1025"/>
      <c r="BO12850" s="43"/>
    </row>
    <row r="12851" spans="65:67" ht="18.75" customHeight="1">
      <c r="BM12851" s="1025"/>
      <c r="BO12851" s="43"/>
    </row>
    <row r="12852" spans="65:67" ht="18.75" customHeight="1">
      <c r="BM12852" s="1025"/>
      <c r="BO12852" s="43"/>
    </row>
    <row r="12853" spans="65:67" ht="18.75" customHeight="1">
      <c r="BM12853" s="1025"/>
      <c r="BO12853" s="43"/>
    </row>
    <row r="12854" spans="65:67" ht="18.75" customHeight="1">
      <c r="BM12854" s="1025"/>
      <c r="BO12854" s="43"/>
    </row>
    <row r="12855" spans="65:67" ht="18.75" customHeight="1">
      <c r="BM12855" s="1025"/>
      <c r="BO12855" s="43"/>
    </row>
    <row r="12856" spans="65:67" ht="18.75" customHeight="1">
      <c r="BM12856" s="1025"/>
      <c r="BO12856" s="43"/>
    </row>
    <row r="12857" spans="65:67" ht="18.75" customHeight="1">
      <c r="BM12857" s="1025"/>
      <c r="BO12857" s="43"/>
    </row>
    <row r="12858" spans="65:67" ht="18.75" customHeight="1">
      <c r="BM12858" s="1025"/>
      <c r="BO12858" s="43"/>
    </row>
    <row r="12859" spans="65:67" ht="18.75" customHeight="1">
      <c r="BM12859" s="1025"/>
      <c r="BO12859" s="43"/>
    </row>
    <row r="12860" spans="65:67" ht="18.75" customHeight="1">
      <c r="BM12860" s="1025"/>
      <c r="BO12860" s="43"/>
    </row>
    <row r="12861" spans="65:67" ht="18.75" customHeight="1">
      <c r="BM12861" s="1025"/>
      <c r="BO12861" s="43"/>
    </row>
    <row r="12862" spans="65:67" ht="18.75" customHeight="1">
      <c r="BM12862" s="1025"/>
      <c r="BO12862" s="43"/>
    </row>
    <row r="12863" spans="65:67" ht="18.75" customHeight="1">
      <c r="BM12863" s="1025"/>
      <c r="BO12863" s="43"/>
    </row>
    <row r="12864" spans="65:67" ht="18.75" customHeight="1">
      <c r="BM12864" s="1025"/>
      <c r="BO12864" s="43"/>
    </row>
    <row r="12865" spans="65:67" ht="18.75" customHeight="1">
      <c r="BM12865" s="1025"/>
      <c r="BO12865" s="43"/>
    </row>
    <row r="12866" spans="65:67" ht="18.75" customHeight="1">
      <c r="BM12866" s="1025"/>
      <c r="BO12866" s="43"/>
    </row>
    <row r="12867" spans="65:67" ht="18.75" customHeight="1">
      <c r="BM12867" s="1025"/>
      <c r="BO12867" s="43"/>
    </row>
    <row r="12868" spans="65:67" ht="18.75" customHeight="1">
      <c r="BM12868" s="1025"/>
      <c r="BO12868" s="43"/>
    </row>
    <row r="12869" spans="65:67" ht="18.75" customHeight="1">
      <c r="BM12869" s="1025"/>
      <c r="BO12869" s="43"/>
    </row>
    <row r="12870" spans="65:67" ht="18.75" customHeight="1">
      <c r="BM12870" s="1025"/>
      <c r="BO12870" s="43"/>
    </row>
    <row r="12871" spans="65:67" ht="18.75" customHeight="1">
      <c r="BM12871" s="1025"/>
      <c r="BO12871" s="43"/>
    </row>
    <row r="12872" spans="65:67" ht="18.75" customHeight="1">
      <c r="BM12872" s="1025"/>
      <c r="BO12872" s="43"/>
    </row>
    <row r="12873" spans="65:67" ht="18.75" customHeight="1">
      <c r="BM12873" s="1025"/>
      <c r="BO12873" s="43"/>
    </row>
    <row r="12874" spans="65:67" ht="18.75" customHeight="1">
      <c r="BM12874" s="1025"/>
      <c r="BO12874" s="43"/>
    </row>
    <row r="12875" spans="65:67" ht="18.75" customHeight="1">
      <c r="BM12875" s="1025"/>
      <c r="BO12875" s="43"/>
    </row>
    <row r="12876" spans="65:67" ht="18.75" customHeight="1">
      <c r="BM12876" s="1025"/>
      <c r="BO12876" s="43"/>
    </row>
    <row r="12877" spans="65:67" ht="18.75" customHeight="1">
      <c r="BM12877" s="1025"/>
      <c r="BO12877" s="43"/>
    </row>
    <row r="12878" spans="65:67" ht="18.75" customHeight="1">
      <c r="BM12878" s="1025"/>
      <c r="BO12878" s="43"/>
    </row>
    <row r="12879" spans="65:67" ht="18.75" customHeight="1">
      <c r="BM12879" s="1025"/>
      <c r="BO12879" s="43"/>
    </row>
    <row r="12880" spans="65:67" ht="18.75" customHeight="1">
      <c r="BM12880" s="1025"/>
      <c r="BO12880" s="43"/>
    </row>
    <row r="12881" spans="65:67" ht="18.75" customHeight="1">
      <c r="BM12881" s="1025"/>
      <c r="BO12881" s="43"/>
    </row>
    <row r="12882" spans="65:67" ht="18.75" customHeight="1">
      <c r="BM12882" s="1025"/>
      <c r="BO12882" s="43"/>
    </row>
    <row r="12883" spans="65:67" ht="18.75" customHeight="1">
      <c r="BM12883" s="1025"/>
      <c r="BO12883" s="43"/>
    </row>
    <row r="12884" spans="65:67" ht="18.75" customHeight="1">
      <c r="BM12884" s="1025"/>
      <c r="BO12884" s="43"/>
    </row>
    <row r="12885" spans="65:67" ht="18.75" customHeight="1">
      <c r="BM12885" s="1025"/>
      <c r="BO12885" s="43"/>
    </row>
    <row r="12886" spans="65:67" ht="18.75" customHeight="1">
      <c r="BM12886" s="1025"/>
      <c r="BO12886" s="43"/>
    </row>
    <row r="12887" spans="65:67" ht="18.75" customHeight="1">
      <c r="BM12887" s="1025"/>
      <c r="BO12887" s="43"/>
    </row>
    <row r="12888" spans="65:67" ht="18.75" customHeight="1">
      <c r="BM12888" s="1025"/>
      <c r="BO12888" s="43"/>
    </row>
    <row r="12889" spans="65:67" ht="18.75" customHeight="1">
      <c r="BM12889" s="1025"/>
      <c r="BO12889" s="43"/>
    </row>
    <row r="12890" spans="65:67" ht="18.75" customHeight="1">
      <c r="BM12890" s="1025"/>
      <c r="BO12890" s="43"/>
    </row>
    <row r="12891" spans="65:67" ht="18.75" customHeight="1">
      <c r="BM12891" s="1025"/>
      <c r="BO12891" s="43"/>
    </row>
    <row r="12892" spans="65:67" ht="18.75" customHeight="1">
      <c r="BM12892" s="1025"/>
      <c r="BO12892" s="43"/>
    </row>
    <row r="12893" spans="65:67" ht="18.75" customHeight="1">
      <c r="BM12893" s="1025"/>
      <c r="BO12893" s="43"/>
    </row>
    <row r="12894" spans="65:67" ht="18.75" customHeight="1">
      <c r="BM12894" s="1025"/>
      <c r="BO12894" s="43"/>
    </row>
    <row r="12895" spans="65:67" ht="18.75" customHeight="1">
      <c r="BM12895" s="1025"/>
      <c r="BO12895" s="43"/>
    </row>
    <row r="12896" spans="65:67" ht="18.75" customHeight="1">
      <c r="BM12896" s="1025"/>
      <c r="BO12896" s="43"/>
    </row>
    <row r="12897" spans="65:67" ht="18.75" customHeight="1">
      <c r="BM12897" s="1025"/>
      <c r="BO12897" s="43"/>
    </row>
    <row r="12898" spans="65:67" ht="18.75" customHeight="1">
      <c r="BM12898" s="1025"/>
      <c r="BO12898" s="43"/>
    </row>
    <row r="12899" spans="65:67" ht="18.75" customHeight="1">
      <c r="BM12899" s="1025"/>
      <c r="BO12899" s="43"/>
    </row>
    <row r="12900" spans="65:67" ht="18.75" customHeight="1">
      <c r="BM12900" s="1025"/>
      <c r="BO12900" s="43"/>
    </row>
    <row r="12901" spans="65:67" ht="18.75" customHeight="1">
      <c r="BM12901" s="1025"/>
      <c r="BO12901" s="43"/>
    </row>
    <row r="12902" spans="65:67" ht="18.75" customHeight="1">
      <c r="BM12902" s="1025"/>
      <c r="BO12902" s="43"/>
    </row>
    <row r="12903" spans="65:67" ht="18.75" customHeight="1">
      <c r="BM12903" s="1025"/>
      <c r="BO12903" s="43"/>
    </row>
    <row r="12904" spans="65:67" ht="18.75" customHeight="1">
      <c r="BM12904" s="1025"/>
      <c r="BO12904" s="43"/>
    </row>
    <row r="12905" spans="65:67" ht="18.75" customHeight="1">
      <c r="BM12905" s="1025"/>
      <c r="BO12905" s="43"/>
    </row>
    <row r="12906" spans="65:67" ht="18.75" customHeight="1">
      <c r="BM12906" s="1025"/>
      <c r="BO12906" s="43"/>
    </row>
    <row r="12907" spans="65:67" ht="18.75" customHeight="1">
      <c r="BM12907" s="1025"/>
      <c r="BO12907" s="43"/>
    </row>
    <row r="12908" spans="65:67" ht="18.75" customHeight="1">
      <c r="BM12908" s="1025"/>
      <c r="BO12908" s="43"/>
    </row>
    <row r="12909" spans="65:67" ht="18.75" customHeight="1">
      <c r="BM12909" s="1025"/>
      <c r="BO12909" s="43"/>
    </row>
    <row r="12910" spans="65:67" ht="18.75" customHeight="1">
      <c r="BM12910" s="1025"/>
      <c r="BO12910" s="43"/>
    </row>
    <row r="12911" spans="65:67" ht="18.75" customHeight="1">
      <c r="BM12911" s="1025"/>
      <c r="BO12911" s="43"/>
    </row>
    <row r="12912" spans="65:67" ht="18.75" customHeight="1">
      <c r="BM12912" s="1025"/>
      <c r="BO12912" s="43"/>
    </row>
    <row r="12913" spans="65:67" ht="18.75" customHeight="1">
      <c r="BM12913" s="1025"/>
      <c r="BO12913" s="43"/>
    </row>
    <row r="12914" spans="65:67" ht="18.75" customHeight="1">
      <c r="BM12914" s="1025"/>
      <c r="BO12914" s="43"/>
    </row>
    <row r="12915" spans="65:67" ht="18.75" customHeight="1">
      <c r="BM12915" s="1025"/>
      <c r="BO12915" s="43"/>
    </row>
    <row r="12916" spans="65:67" ht="18.75" customHeight="1">
      <c r="BM12916" s="1025"/>
      <c r="BO12916" s="43"/>
    </row>
    <row r="12917" spans="65:67" ht="18.75" customHeight="1">
      <c r="BM12917" s="1025"/>
      <c r="BO12917" s="43"/>
    </row>
    <row r="12918" spans="65:67" ht="18.75" customHeight="1">
      <c r="BM12918" s="1025"/>
      <c r="BO12918" s="43"/>
    </row>
    <row r="12919" spans="65:67" ht="18.75" customHeight="1">
      <c r="BM12919" s="1025"/>
      <c r="BO12919" s="43"/>
    </row>
    <row r="12920" spans="65:67" ht="18.75" customHeight="1">
      <c r="BM12920" s="1025"/>
      <c r="BO12920" s="43"/>
    </row>
    <row r="12921" spans="65:67" ht="18.75" customHeight="1">
      <c r="BM12921" s="1025"/>
      <c r="BO12921" s="43"/>
    </row>
    <row r="12922" spans="65:67" ht="18.75" customHeight="1">
      <c r="BM12922" s="1025"/>
      <c r="BO12922" s="43"/>
    </row>
    <row r="12923" spans="65:67" ht="18.75" customHeight="1">
      <c r="BM12923" s="1025"/>
      <c r="BO12923" s="43"/>
    </row>
    <row r="12924" spans="65:67" ht="18.75" customHeight="1">
      <c r="BM12924" s="1025"/>
      <c r="BO12924" s="43"/>
    </row>
    <row r="12925" spans="65:67" ht="18.75" customHeight="1">
      <c r="BM12925" s="1025"/>
      <c r="BO12925" s="43"/>
    </row>
    <row r="12926" spans="65:67" ht="18.75" customHeight="1">
      <c r="BM12926" s="1025"/>
      <c r="BO12926" s="43"/>
    </row>
    <row r="12927" spans="65:67" ht="18.75" customHeight="1">
      <c r="BM12927" s="1025"/>
      <c r="BO12927" s="43"/>
    </row>
    <row r="12928" spans="65:67" ht="18.75" customHeight="1">
      <c r="BM12928" s="1025"/>
      <c r="BO12928" s="43"/>
    </row>
    <row r="12929" spans="65:67" ht="18.75" customHeight="1">
      <c r="BM12929" s="1025"/>
      <c r="BO12929" s="43"/>
    </row>
    <row r="12930" spans="65:67" ht="18.75" customHeight="1">
      <c r="BM12930" s="1025"/>
      <c r="BO12930" s="43"/>
    </row>
    <row r="12931" spans="65:67" ht="18.75" customHeight="1">
      <c r="BM12931" s="1025"/>
      <c r="BO12931" s="43"/>
    </row>
    <row r="12932" spans="65:67" ht="18.75" customHeight="1">
      <c r="BM12932" s="1025"/>
      <c r="BO12932" s="43"/>
    </row>
    <row r="12933" spans="65:67" ht="18.75" customHeight="1">
      <c r="BM12933" s="1025"/>
      <c r="BO12933" s="43"/>
    </row>
    <row r="12934" spans="65:67" ht="18.75" customHeight="1">
      <c r="BM12934" s="1025"/>
      <c r="BO12934" s="43"/>
    </row>
    <row r="12935" spans="65:67" ht="18.75" customHeight="1">
      <c r="BM12935" s="1025"/>
      <c r="BO12935" s="43"/>
    </row>
    <row r="12936" spans="65:67" ht="18.75" customHeight="1">
      <c r="BM12936" s="1025"/>
      <c r="BO12936" s="43"/>
    </row>
    <row r="12937" spans="65:67" ht="18.75" customHeight="1">
      <c r="BM12937" s="1025"/>
      <c r="BO12937" s="43"/>
    </row>
    <row r="12938" spans="65:67" ht="18.75" customHeight="1">
      <c r="BM12938" s="1025"/>
      <c r="BO12938" s="43"/>
    </row>
    <row r="12939" spans="65:67" ht="18.75" customHeight="1">
      <c r="BM12939" s="1025"/>
      <c r="BO12939" s="43"/>
    </row>
    <row r="12940" spans="65:67" ht="18.75" customHeight="1">
      <c r="BM12940" s="1025"/>
      <c r="BO12940" s="43"/>
    </row>
    <row r="12941" spans="65:67" ht="18.75" customHeight="1">
      <c r="BM12941" s="1025"/>
      <c r="BO12941" s="43"/>
    </row>
    <row r="12942" spans="65:67" ht="18.75" customHeight="1">
      <c r="BM12942" s="1025"/>
      <c r="BO12942" s="43"/>
    </row>
    <row r="12943" spans="65:67" ht="18.75" customHeight="1">
      <c r="BM12943" s="1025"/>
      <c r="BO12943" s="43"/>
    </row>
    <row r="12944" spans="65:67" ht="18.75" customHeight="1">
      <c r="BM12944" s="1025"/>
      <c r="BO12944" s="43"/>
    </row>
    <row r="12945" spans="65:67" ht="18.75" customHeight="1">
      <c r="BM12945" s="1025"/>
      <c r="BO12945" s="43"/>
    </row>
    <row r="12946" spans="65:67" ht="18.75" customHeight="1">
      <c r="BM12946" s="1025"/>
      <c r="BO12946" s="43"/>
    </row>
    <row r="12947" spans="65:67" ht="18.75" customHeight="1">
      <c r="BM12947" s="1025"/>
      <c r="BO12947" s="43"/>
    </row>
    <row r="12948" spans="65:67" ht="18.75" customHeight="1">
      <c r="BM12948" s="1025"/>
      <c r="BO12948" s="43"/>
    </row>
    <row r="12949" spans="65:67" ht="18.75" customHeight="1">
      <c r="BM12949" s="1025"/>
      <c r="BO12949" s="43"/>
    </row>
    <row r="12950" spans="65:67" ht="18.75" customHeight="1">
      <c r="BM12950" s="1025"/>
      <c r="BO12950" s="43"/>
    </row>
    <row r="12951" spans="65:67" ht="18.75" customHeight="1">
      <c r="BM12951" s="1025"/>
      <c r="BO12951" s="43"/>
    </row>
    <row r="12952" spans="65:67" ht="18.75" customHeight="1">
      <c r="BM12952" s="1025"/>
      <c r="BO12952" s="43"/>
    </row>
    <row r="12953" spans="65:67" ht="18.75" customHeight="1">
      <c r="BM12953" s="1025"/>
      <c r="BO12953" s="43"/>
    </row>
    <row r="12954" spans="65:67" ht="18.75" customHeight="1">
      <c r="BM12954" s="1025"/>
      <c r="BO12954" s="43"/>
    </row>
    <row r="12955" spans="65:67" ht="18.75" customHeight="1">
      <c r="BM12955" s="1025"/>
      <c r="BO12955" s="43"/>
    </row>
    <row r="12956" spans="65:67" ht="18.75" customHeight="1">
      <c r="BM12956" s="1025"/>
      <c r="BO12956" s="43"/>
    </row>
    <row r="12957" spans="65:67" ht="18.75" customHeight="1">
      <c r="BM12957" s="1025"/>
      <c r="BO12957" s="43"/>
    </row>
    <row r="12958" spans="65:67" ht="18.75" customHeight="1">
      <c r="BM12958" s="1025"/>
      <c r="BO12958" s="43"/>
    </row>
    <row r="12959" spans="65:67" ht="18.75" customHeight="1">
      <c r="BM12959" s="1025"/>
      <c r="BO12959" s="43"/>
    </row>
    <row r="12960" spans="65:67" ht="18.75" customHeight="1">
      <c r="BM12960" s="1025"/>
      <c r="BO12960" s="43"/>
    </row>
    <row r="12961" spans="65:67" ht="18.75" customHeight="1">
      <c r="BM12961" s="1025"/>
      <c r="BO12961" s="43"/>
    </row>
    <row r="12962" spans="65:67" ht="18.75" customHeight="1">
      <c r="BM12962" s="1025"/>
      <c r="BO12962" s="43"/>
    </row>
    <row r="12963" spans="65:67" ht="18.75" customHeight="1">
      <c r="BM12963" s="1025"/>
      <c r="BO12963" s="43"/>
    </row>
    <row r="12964" spans="65:67" ht="18.75" customHeight="1">
      <c r="BM12964" s="1025"/>
      <c r="BO12964" s="43"/>
    </row>
    <row r="12965" spans="65:67" ht="18.75" customHeight="1">
      <c r="BM12965" s="1025"/>
      <c r="BO12965" s="43"/>
    </row>
    <row r="12966" spans="65:67" ht="18.75" customHeight="1">
      <c r="BM12966" s="1025"/>
      <c r="BO12966" s="43"/>
    </row>
    <row r="12967" spans="65:67" ht="18.75" customHeight="1">
      <c r="BM12967" s="1025"/>
      <c r="BO12967" s="43"/>
    </row>
    <row r="12968" spans="65:67" ht="18.75" customHeight="1">
      <c r="BM12968" s="1025"/>
      <c r="BO12968" s="43"/>
    </row>
    <row r="12969" spans="65:67" ht="18.75" customHeight="1">
      <c r="BM12969" s="1025"/>
      <c r="BO12969" s="43"/>
    </row>
    <row r="12970" spans="65:67" ht="18.75" customHeight="1">
      <c r="BM12970" s="1025"/>
      <c r="BO12970" s="43"/>
    </row>
    <row r="12971" spans="65:67" ht="18.75" customHeight="1">
      <c r="BM12971" s="1025"/>
      <c r="BO12971" s="43"/>
    </row>
    <row r="12972" spans="65:67" ht="18.75" customHeight="1">
      <c r="BM12972" s="1025"/>
      <c r="BO12972" s="43"/>
    </row>
    <row r="12973" spans="65:67" ht="18.75" customHeight="1">
      <c r="BM12973" s="1025"/>
      <c r="BO12973" s="43"/>
    </row>
    <row r="12974" spans="65:67" ht="18.75" customHeight="1">
      <c r="BM12974" s="1025"/>
      <c r="BO12974" s="43"/>
    </row>
    <row r="12975" spans="65:67" ht="18.75" customHeight="1">
      <c r="BM12975" s="1025"/>
      <c r="BO12975" s="43"/>
    </row>
    <row r="12976" spans="65:67" ht="18.75" customHeight="1">
      <c r="BM12976" s="1025"/>
      <c r="BO12976" s="43"/>
    </row>
    <row r="12977" spans="65:67" ht="18.75" customHeight="1">
      <c r="BM12977" s="1025"/>
      <c r="BO12977" s="43"/>
    </row>
    <row r="12978" spans="65:67" ht="18.75" customHeight="1">
      <c r="BM12978" s="1025"/>
      <c r="BO12978" s="43"/>
    </row>
    <row r="12979" spans="65:67" ht="18.75" customHeight="1">
      <c r="BM12979" s="1025"/>
      <c r="BO12979" s="43"/>
    </row>
    <row r="12980" spans="65:67" ht="18.75" customHeight="1">
      <c r="BM12980" s="1025"/>
      <c r="BO12980" s="43"/>
    </row>
    <row r="12981" spans="65:67" ht="18.75" customHeight="1">
      <c r="BM12981" s="1025"/>
      <c r="BO12981" s="43"/>
    </row>
    <row r="12982" spans="65:67" ht="18.75" customHeight="1">
      <c r="BM12982" s="1025"/>
      <c r="BO12982" s="43"/>
    </row>
    <row r="12983" spans="65:67" ht="18.75" customHeight="1">
      <c r="BM12983" s="1025"/>
      <c r="BO12983" s="43"/>
    </row>
    <row r="12984" spans="65:67" ht="18.75" customHeight="1">
      <c r="BM12984" s="1025"/>
      <c r="BO12984" s="43"/>
    </row>
    <row r="12985" spans="65:67" ht="18.75" customHeight="1">
      <c r="BM12985" s="1025"/>
      <c r="BO12985" s="43"/>
    </row>
    <row r="12986" spans="65:67" ht="18.75" customHeight="1">
      <c r="BM12986" s="1025"/>
      <c r="BO12986" s="43"/>
    </row>
    <row r="12987" spans="65:67" ht="18.75" customHeight="1">
      <c r="BM12987" s="1025"/>
      <c r="BO12987" s="43"/>
    </row>
    <row r="12988" spans="65:67" ht="18.75" customHeight="1">
      <c r="BM12988" s="1025"/>
      <c r="BO12988" s="43"/>
    </row>
    <row r="12989" spans="65:67" ht="18.75" customHeight="1">
      <c r="BM12989" s="1025"/>
      <c r="BO12989" s="43"/>
    </row>
    <row r="12990" spans="65:67" ht="18.75" customHeight="1">
      <c r="BM12990" s="1025"/>
      <c r="BO12990" s="43"/>
    </row>
    <row r="12991" spans="65:67" ht="18.75" customHeight="1">
      <c r="BM12991" s="1025"/>
      <c r="BO12991" s="43"/>
    </row>
    <row r="12992" spans="65:67" ht="18.75" customHeight="1">
      <c r="BM12992" s="1025"/>
      <c r="BO12992" s="43"/>
    </row>
    <row r="12993" spans="65:67" ht="18.75" customHeight="1">
      <c r="BM12993" s="1025"/>
      <c r="BO12993" s="43"/>
    </row>
    <row r="12994" spans="65:67" ht="18.75" customHeight="1">
      <c r="BM12994" s="1025"/>
      <c r="BO12994" s="43"/>
    </row>
    <row r="12995" spans="65:67" ht="18.75" customHeight="1">
      <c r="BM12995" s="1025"/>
      <c r="BO12995" s="43"/>
    </row>
    <row r="12996" spans="65:67" ht="18.75" customHeight="1">
      <c r="BM12996" s="1025"/>
      <c r="BO12996" s="43"/>
    </row>
    <row r="12997" spans="65:67" ht="18.75" customHeight="1">
      <c r="BM12997" s="1025"/>
      <c r="BO12997" s="43"/>
    </row>
    <row r="12998" spans="65:67" ht="18.75" customHeight="1">
      <c r="BM12998" s="1025"/>
      <c r="BO12998" s="43"/>
    </row>
    <row r="12999" spans="65:67" ht="18.75" customHeight="1">
      <c r="BM12999" s="1025"/>
      <c r="BO12999" s="43"/>
    </row>
    <row r="13000" spans="65:67" ht="18.75" customHeight="1">
      <c r="BM13000" s="1025"/>
      <c r="BO13000" s="43"/>
    </row>
    <row r="13001" spans="65:67" ht="18.75" customHeight="1">
      <c r="BM13001" s="1025"/>
      <c r="BO13001" s="43"/>
    </row>
    <row r="13002" spans="65:67" ht="18.75" customHeight="1">
      <c r="BM13002" s="1025"/>
      <c r="BO13002" s="43"/>
    </row>
    <row r="13003" spans="65:67" ht="18.75" customHeight="1">
      <c r="BM13003" s="1025"/>
      <c r="BO13003" s="43"/>
    </row>
    <row r="13004" spans="65:67" ht="18.75" customHeight="1">
      <c r="BM13004" s="1025"/>
      <c r="BO13004" s="43"/>
    </row>
    <row r="13005" spans="65:67" ht="18.75" customHeight="1">
      <c r="BM13005" s="1025"/>
      <c r="BO13005" s="43"/>
    </row>
    <row r="13006" spans="65:67" ht="18.75" customHeight="1">
      <c r="BM13006" s="1025"/>
      <c r="BO13006" s="43"/>
    </row>
    <row r="13007" spans="65:67" ht="18.75" customHeight="1">
      <c r="BM13007" s="1025"/>
      <c r="BO13007" s="43"/>
    </row>
    <row r="13008" spans="65:67" ht="18.75" customHeight="1">
      <c r="BM13008" s="1025"/>
      <c r="BO13008" s="43"/>
    </row>
    <row r="13009" spans="65:67" ht="18.75" customHeight="1">
      <c r="BM13009" s="1025"/>
      <c r="BO13009" s="43"/>
    </row>
    <row r="13010" spans="65:67" ht="18.75" customHeight="1">
      <c r="BM13010" s="1025"/>
      <c r="BO13010" s="43"/>
    </row>
    <row r="13011" spans="65:67" ht="18.75" customHeight="1">
      <c r="BM13011" s="1025"/>
      <c r="BO13011" s="43"/>
    </row>
    <row r="13012" spans="65:67" ht="18.75" customHeight="1">
      <c r="BM13012" s="1025"/>
      <c r="BO13012" s="43"/>
    </row>
    <row r="13013" spans="65:67" ht="18.75" customHeight="1">
      <c r="BM13013" s="1025"/>
      <c r="BO13013" s="43"/>
    </row>
    <row r="13014" spans="65:67" ht="18.75" customHeight="1">
      <c r="BM13014" s="1025"/>
      <c r="BO13014" s="43"/>
    </row>
    <row r="13015" spans="65:67" ht="18.75" customHeight="1">
      <c r="BM13015" s="1025"/>
      <c r="BO13015" s="43"/>
    </row>
    <row r="13016" spans="65:67" ht="18.75" customHeight="1">
      <c r="BM13016" s="1025"/>
      <c r="BO13016" s="43"/>
    </row>
    <row r="13017" spans="65:67" ht="18.75" customHeight="1">
      <c r="BM13017" s="1025"/>
      <c r="BO13017" s="43"/>
    </row>
    <row r="13018" spans="65:67" ht="18.75" customHeight="1">
      <c r="BM13018" s="1025"/>
      <c r="BO13018" s="43"/>
    </row>
    <row r="13019" spans="65:67" ht="18.75" customHeight="1">
      <c r="BM13019" s="1025"/>
      <c r="BO13019" s="43"/>
    </row>
    <row r="13020" spans="65:67" ht="18.75" customHeight="1">
      <c r="BM13020" s="1025"/>
      <c r="BO13020" s="43"/>
    </row>
    <row r="13021" spans="65:67" ht="18.75" customHeight="1">
      <c r="BM13021" s="1025"/>
      <c r="BO13021" s="43"/>
    </row>
    <row r="13022" spans="65:67" ht="18.75" customHeight="1">
      <c r="BM13022" s="1025"/>
      <c r="BO13022" s="43"/>
    </row>
    <row r="13023" spans="65:67" ht="18.75" customHeight="1">
      <c r="BM13023" s="1025"/>
      <c r="BO13023" s="43"/>
    </row>
    <row r="13024" spans="65:67" ht="18.75" customHeight="1">
      <c r="BM13024" s="1025"/>
      <c r="BO13024" s="43"/>
    </row>
    <row r="13025" spans="65:67" ht="18.75" customHeight="1">
      <c r="BM13025" s="1025"/>
      <c r="BO13025" s="43"/>
    </row>
    <row r="13026" spans="65:67" ht="18.75" customHeight="1">
      <c r="BM13026" s="1025"/>
      <c r="BO13026" s="43"/>
    </row>
    <row r="13027" spans="65:67" ht="18.75" customHeight="1">
      <c r="BM13027" s="1025"/>
      <c r="BO13027" s="43"/>
    </row>
    <row r="13028" spans="65:67" ht="18.75" customHeight="1">
      <c r="BM13028" s="1025"/>
      <c r="BO13028" s="43"/>
    </row>
    <row r="13029" spans="65:67" ht="18.75" customHeight="1">
      <c r="BM13029" s="1025"/>
      <c r="BO13029" s="43"/>
    </row>
    <row r="13030" spans="65:67" ht="18.75" customHeight="1">
      <c r="BM13030" s="1025"/>
      <c r="BO13030" s="43"/>
    </row>
    <row r="13031" spans="65:67" ht="18.75" customHeight="1">
      <c r="BM13031" s="1025"/>
      <c r="BO13031" s="43"/>
    </row>
    <row r="13032" spans="65:67" ht="18.75" customHeight="1">
      <c r="BM13032" s="1025"/>
      <c r="BO13032" s="43"/>
    </row>
    <row r="13033" spans="65:67" ht="18.75" customHeight="1">
      <c r="BM13033" s="1025"/>
      <c r="BO13033" s="43"/>
    </row>
    <row r="13034" spans="65:67" ht="18.75" customHeight="1">
      <c r="BM13034" s="1025"/>
      <c r="BO13034" s="43"/>
    </row>
    <row r="13035" spans="65:67" ht="18.75" customHeight="1">
      <c r="BM13035" s="1025"/>
      <c r="BO13035" s="43"/>
    </row>
    <row r="13036" spans="65:67" ht="18.75" customHeight="1">
      <c r="BM13036" s="1025"/>
      <c r="BO13036" s="43"/>
    </row>
    <row r="13037" spans="65:67" ht="18.75" customHeight="1">
      <c r="BM13037" s="1025"/>
      <c r="BO13037" s="43"/>
    </row>
    <row r="13038" spans="65:67" ht="18.75" customHeight="1">
      <c r="BM13038" s="1025"/>
      <c r="BO13038" s="43"/>
    </row>
    <row r="13039" spans="65:67" ht="18.75" customHeight="1">
      <c r="BM13039" s="1025"/>
      <c r="BO13039" s="43"/>
    </row>
    <row r="13040" spans="65:67" ht="18.75" customHeight="1">
      <c r="BM13040" s="1025"/>
      <c r="BO13040" s="43"/>
    </row>
    <row r="13041" spans="65:67" ht="18.75" customHeight="1">
      <c r="BM13041" s="1025"/>
      <c r="BO13041" s="43"/>
    </row>
    <row r="13042" spans="65:67" ht="18.75" customHeight="1">
      <c r="BM13042" s="1025"/>
      <c r="BO13042" s="43"/>
    </row>
    <row r="13043" spans="65:67" ht="18.75" customHeight="1">
      <c r="BM13043" s="1025"/>
      <c r="BO13043" s="43"/>
    </row>
    <row r="13044" spans="65:67" ht="18.75" customHeight="1">
      <c r="BM13044" s="1025"/>
      <c r="BO13044" s="43"/>
    </row>
    <row r="13045" spans="65:67" ht="18.75" customHeight="1">
      <c r="BM13045" s="1025"/>
      <c r="BO13045" s="43"/>
    </row>
    <row r="13046" spans="65:67" ht="18.75" customHeight="1">
      <c r="BM13046" s="1025"/>
      <c r="BO13046" s="43"/>
    </row>
    <row r="13047" spans="65:67" ht="18.75" customHeight="1">
      <c r="BM13047" s="1025"/>
      <c r="BO13047" s="43"/>
    </row>
    <row r="13048" spans="65:67" ht="18.75" customHeight="1">
      <c r="BM13048" s="1025"/>
      <c r="BO13048" s="43"/>
    </row>
    <row r="13049" spans="65:67" ht="18.75" customHeight="1">
      <c r="BM13049" s="1025"/>
      <c r="BO13049" s="43"/>
    </row>
    <row r="13050" spans="65:67" ht="18.75" customHeight="1">
      <c r="BM13050" s="1025"/>
      <c r="BO13050" s="43"/>
    </row>
    <row r="13051" spans="65:67" ht="18.75" customHeight="1">
      <c r="BM13051" s="1025"/>
      <c r="BO13051" s="43"/>
    </row>
    <row r="13052" spans="65:67" ht="18.75" customHeight="1">
      <c r="BM13052" s="1025"/>
      <c r="BO13052" s="43"/>
    </row>
    <row r="13053" spans="65:67" ht="18.75" customHeight="1">
      <c r="BM13053" s="1025"/>
      <c r="BO13053" s="43"/>
    </row>
    <row r="13054" spans="65:67" ht="18.75" customHeight="1">
      <c r="BM13054" s="1025"/>
      <c r="BO13054" s="43"/>
    </row>
    <row r="13055" spans="65:67" ht="18.75" customHeight="1">
      <c r="BM13055" s="1025"/>
      <c r="BO13055" s="43"/>
    </row>
    <row r="13056" spans="65:67" ht="18.75" customHeight="1">
      <c r="BM13056" s="1025"/>
      <c r="BO13056" s="43"/>
    </row>
    <row r="13057" spans="65:67" ht="18.75" customHeight="1">
      <c r="BM13057" s="1025"/>
      <c r="BO13057" s="43"/>
    </row>
    <row r="13058" spans="65:67" ht="18.75" customHeight="1">
      <c r="BM13058" s="1025"/>
      <c r="BO13058" s="43"/>
    </row>
    <row r="13059" spans="65:67" ht="18.75" customHeight="1">
      <c r="BM13059" s="1025"/>
      <c r="BO13059" s="43"/>
    </row>
    <row r="13060" spans="65:67" ht="18.75" customHeight="1">
      <c r="BM13060" s="1025"/>
      <c r="BO13060" s="43"/>
    </row>
    <row r="13061" spans="65:67" ht="18.75" customHeight="1">
      <c r="BM13061" s="1025"/>
      <c r="BO13061" s="43"/>
    </row>
    <row r="13062" spans="65:67" ht="18.75" customHeight="1">
      <c r="BM13062" s="1025"/>
      <c r="BO13062" s="43"/>
    </row>
    <row r="13063" spans="65:67" ht="18.75" customHeight="1">
      <c r="BM13063" s="1025"/>
      <c r="BO13063" s="43"/>
    </row>
    <row r="13064" spans="65:67" ht="18.75" customHeight="1">
      <c r="BM13064" s="1025"/>
      <c r="BO13064" s="43"/>
    </row>
    <row r="13065" spans="65:67" ht="18.75" customHeight="1">
      <c r="BM13065" s="1025"/>
      <c r="BO13065" s="43"/>
    </row>
    <row r="13066" spans="65:67" ht="18.75" customHeight="1">
      <c r="BM13066" s="1025"/>
      <c r="BO13066" s="43"/>
    </row>
    <row r="13067" spans="65:67" ht="18.75" customHeight="1">
      <c r="BM13067" s="1025"/>
      <c r="BO13067" s="43"/>
    </row>
    <row r="13068" spans="65:67" ht="18.75" customHeight="1">
      <c r="BM13068" s="1025"/>
      <c r="BO13068" s="43"/>
    </row>
    <row r="13069" spans="65:67" ht="18.75" customHeight="1">
      <c r="BM13069" s="1025"/>
      <c r="BO13069" s="43"/>
    </row>
    <row r="13070" spans="65:67" ht="18.75" customHeight="1">
      <c r="BM13070" s="1025"/>
      <c r="BO13070" s="43"/>
    </row>
    <row r="13071" spans="65:67" ht="18.75" customHeight="1">
      <c r="BM13071" s="1025"/>
      <c r="BO13071" s="43"/>
    </row>
    <row r="13072" spans="65:67" ht="18.75" customHeight="1">
      <c r="BM13072" s="1025"/>
      <c r="BO13072" s="43"/>
    </row>
    <row r="13073" spans="65:67" ht="18.75" customHeight="1">
      <c r="BM13073" s="1025"/>
      <c r="BO13073" s="43"/>
    </row>
    <row r="13074" spans="65:67" ht="18.75" customHeight="1">
      <c r="BM13074" s="1025"/>
      <c r="BO13074" s="43"/>
    </row>
    <row r="13075" spans="65:67" ht="18.75" customHeight="1">
      <c r="BM13075" s="1025"/>
      <c r="BO13075" s="43"/>
    </row>
    <row r="13076" spans="65:67" ht="18.75" customHeight="1">
      <c r="BM13076" s="1025"/>
      <c r="BO13076" s="43"/>
    </row>
    <row r="13077" spans="65:67" ht="18.75" customHeight="1">
      <c r="BM13077" s="1025"/>
      <c r="BO13077" s="43"/>
    </row>
    <row r="13078" spans="65:67" ht="18.75" customHeight="1">
      <c r="BM13078" s="1025"/>
      <c r="BO13078" s="43"/>
    </row>
    <row r="13079" spans="65:67" ht="18.75" customHeight="1">
      <c r="BM13079" s="1025"/>
      <c r="BO13079" s="43"/>
    </row>
    <row r="13080" spans="65:67" ht="18.75" customHeight="1">
      <c r="BM13080" s="1025"/>
      <c r="BO13080" s="43"/>
    </row>
    <row r="13081" spans="65:67" ht="18.75" customHeight="1">
      <c r="BM13081" s="1025"/>
      <c r="BO13081" s="43"/>
    </row>
    <row r="13082" spans="65:67" ht="18.75" customHeight="1">
      <c r="BM13082" s="1025"/>
      <c r="BO13082" s="43"/>
    </row>
    <row r="13083" spans="65:67" ht="18.75" customHeight="1">
      <c r="BM13083" s="1025"/>
      <c r="BO13083" s="43"/>
    </row>
    <row r="13084" spans="65:67" ht="18.75" customHeight="1">
      <c r="BM13084" s="1025"/>
      <c r="BO13084" s="43"/>
    </row>
    <row r="13085" spans="65:67" ht="18.75" customHeight="1">
      <c r="BM13085" s="1025"/>
      <c r="BO13085" s="43"/>
    </row>
    <row r="13086" spans="65:67" ht="18.75" customHeight="1">
      <c r="BM13086" s="1025"/>
      <c r="BO13086" s="43"/>
    </row>
    <row r="13087" spans="65:67" ht="18.75" customHeight="1">
      <c r="BM13087" s="1025"/>
      <c r="BO13087" s="43"/>
    </row>
    <row r="13088" spans="65:67" ht="18.75" customHeight="1">
      <c r="BM13088" s="1025"/>
      <c r="BO13088" s="43"/>
    </row>
    <row r="13089" spans="65:67" ht="18.75" customHeight="1">
      <c r="BM13089" s="1025"/>
      <c r="BO13089" s="43"/>
    </row>
    <row r="13090" spans="65:67" ht="18.75" customHeight="1">
      <c r="BM13090" s="1025"/>
      <c r="BO13090" s="43"/>
    </row>
    <row r="13091" spans="65:67" ht="18.75" customHeight="1">
      <c r="BM13091" s="1025"/>
      <c r="BO13091" s="43"/>
    </row>
    <row r="13092" spans="65:67" ht="18.75" customHeight="1">
      <c r="BM13092" s="1025"/>
      <c r="BO13092" s="43"/>
    </row>
    <row r="13093" spans="65:67" ht="18.75" customHeight="1">
      <c r="BM13093" s="1025"/>
      <c r="BO13093" s="43"/>
    </row>
    <row r="13094" spans="65:67" ht="18.75" customHeight="1">
      <c r="BM13094" s="1025"/>
      <c r="BO13094" s="43"/>
    </row>
    <row r="13095" spans="65:67" ht="18.75" customHeight="1">
      <c r="BM13095" s="1025"/>
      <c r="BO13095" s="43"/>
    </row>
    <row r="13096" spans="65:67" ht="18.75" customHeight="1">
      <c r="BM13096" s="1025"/>
      <c r="BO13096" s="43"/>
    </row>
    <row r="13097" spans="65:67" ht="18.75" customHeight="1">
      <c r="BM13097" s="1025"/>
      <c r="BO13097" s="43"/>
    </row>
    <row r="13098" spans="65:67" ht="18.75" customHeight="1">
      <c r="BM13098" s="1025"/>
      <c r="BO13098" s="43"/>
    </row>
    <row r="13099" spans="65:67" ht="18.75" customHeight="1">
      <c r="BM13099" s="1025"/>
      <c r="BO13099" s="43"/>
    </row>
    <row r="13100" spans="65:67" ht="18.75" customHeight="1">
      <c r="BM13100" s="1025"/>
      <c r="BO13100" s="43"/>
    </row>
    <row r="13101" spans="65:67" ht="18.75" customHeight="1">
      <c r="BM13101" s="1025"/>
      <c r="BO13101" s="43"/>
    </row>
    <row r="13102" spans="65:67" ht="18.75" customHeight="1">
      <c r="BM13102" s="1025"/>
      <c r="BO13102" s="43"/>
    </row>
    <row r="13103" spans="65:67" ht="18.75" customHeight="1">
      <c r="BM13103" s="1025"/>
      <c r="BO13103" s="43"/>
    </row>
    <row r="13104" spans="65:67" ht="18.75" customHeight="1">
      <c r="BM13104" s="1025"/>
      <c r="BO13104" s="43"/>
    </row>
    <row r="13105" spans="65:67" ht="18.75" customHeight="1">
      <c r="BM13105" s="1025"/>
      <c r="BO13105" s="43"/>
    </row>
    <row r="13106" spans="65:67" ht="18.75" customHeight="1">
      <c r="BM13106" s="1025"/>
      <c r="BO13106" s="43"/>
    </row>
    <row r="13107" spans="65:67" ht="18.75" customHeight="1">
      <c r="BM13107" s="1025"/>
      <c r="BO13107" s="43"/>
    </row>
    <row r="13108" spans="65:67" ht="18.75" customHeight="1">
      <c r="BM13108" s="1025"/>
      <c r="BO13108" s="43"/>
    </row>
    <row r="13109" spans="65:67" ht="18.75" customHeight="1">
      <c r="BM13109" s="1025"/>
      <c r="BO13109" s="43"/>
    </row>
    <row r="13110" spans="65:67" ht="18.75" customHeight="1">
      <c r="BM13110" s="1025"/>
      <c r="BO13110" s="43"/>
    </row>
    <row r="13111" spans="65:67" ht="18.75" customHeight="1">
      <c r="BM13111" s="1025"/>
      <c r="BO13111" s="43"/>
    </row>
    <row r="13112" spans="65:67" ht="18.75" customHeight="1">
      <c r="BM13112" s="1025"/>
      <c r="BO13112" s="43"/>
    </row>
    <row r="13113" spans="65:67" ht="18.75" customHeight="1">
      <c r="BM13113" s="1025"/>
      <c r="BO13113" s="43"/>
    </row>
    <row r="13114" spans="65:67" ht="18.75" customHeight="1">
      <c r="BM13114" s="1025"/>
      <c r="BO13114" s="43"/>
    </row>
    <row r="13115" spans="65:67" ht="18.75" customHeight="1">
      <c r="BM13115" s="1025"/>
      <c r="BO13115" s="43"/>
    </row>
    <row r="13116" spans="65:67" ht="18.75" customHeight="1">
      <c r="BM13116" s="1025"/>
      <c r="BO13116" s="43"/>
    </row>
    <row r="13117" spans="65:67" ht="18.75" customHeight="1">
      <c r="BM13117" s="1025"/>
      <c r="BO13117" s="43"/>
    </row>
    <row r="13118" spans="65:67" ht="18.75" customHeight="1">
      <c r="BM13118" s="1025"/>
      <c r="BO13118" s="43"/>
    </row>
    <row r="13119" spans="65:67" ht="18.75" customHeight="1">
      <c r="BM13119" s="1025"/>
      <c r="BO13119" s="43"/>
    </row>
    <row r="13120" spans="65:67" ht="18.75" customHeight="1">
      <c r="BM13120" s="1025"/>
      <c r="BO13120" s="43"/>
    </row>
    <row r="13121" spans="65:67" ht="18.75" customHeight="1">
      <c r="BM13121" s="1025"/>
      <c r="BO13121" s="43"/>
    </row>
    <row r="13122" spans="65:67" ht="18.75" customHeight="1">
      <c r="BM13122" s="1025"/>
      <c r="BO13122" s="43"/>
    </row>
    <row r="13123" spans="65:67" ht="18.75" customHeight="1">
      <c r="BM13123" s="1025"/>
      <c r="BO13123" s="43"/>
    </row>
    <row r="13124" spans="65:67" ht="18.75" customHeight="1">
      <c r="BM13124" s="1025"/>
      <c r="BO13124" s="43"/>
    </row>
    <row r="13125" spans="65:67" ht="18.75" customHeight="1">
      <c r="BM13125" s="1025"/>
      <c r="BO13125" s="43"/>
    </row>
    <row r="13126" spans="65:67" ht="18.75" customHeight="1">
      <c r="BM13126" s="1025"/>
      <c r="BO13126" s="43"/>
    </row>
    <row r="13127" spans="65:67" ht="18.75" customHeight="1">
      <c r="BM13127" s="1025"/>
      <c r="BO13127" s="43"/>
    </row>
    <row r="13128" spans="65:67" ht="18.75" customHeight="1">
      <c r="BM13128" s="1025"/>
      <c r="BO13128" s="43"/>
    </row>
    <row r="13129" spans="65:67" ht="18.75" customHeight="1">
      <c r="BM13129" s="1025"/>
      <c r="BO13129" s="43"/>
    </row>
    <row r="13130" spans="65:67" ht="18.75" customHeight="1">
      <c r="BM13130" s="1025"/>
      <c r="BO13130" s="43"/>
    </row>
    <row r="13131" spans="65:67" ht="18.75" customHeight="1">
      <c r="BM13131" s="1025"/>
      <c r="BO13131" s="43"/>
    </row>
    <row r="13132" spans="65:67" ht="18.75" customHeight="1">
      <c r="BM13132" s="1025"/>
      <c r="BO13132" s="43"/>
    </row>
    <row r="13133" spans="65:67" ht="18.75" customHeight="1">
      <c r="BM13133" s="1025"/>
      <c r="BO13133" s="43"/>
    </row>
    <row r="13134" spans="65:67" ht="18.75" customHeight="1">
      <c r="BM13134" s="1025"/>
      <c r="BO13134" s="43"/>
    </row>
    <row r="13135" spans="65:67" ht="18.75" customHeight="1">
      <c r="BM13135" s="1025"/>
      <c r="BO13135" s="43"/>
    </row>
    <row r="13136" spans="65:67" ht="18.75" customHeight="1">
      <c r="BM13136" s="1025"/>
      <c r="BO13136" s="43"/>
    </row>
    <row r="13137" spans="65:67" ht="18.75" customHeight="1">
      <c r="BM13137" s="1025"/>
      <c r="BO13137" s="43"/>
    </row>
    <row r="13138" spans="65:67" ht="18.75" customHeight="1">
      <c r="BM13138" s="1025"/>
      <c r="BO13138" s="43"/>
    </row>
    <row r="13139" spans="65:67" ht="18.75" customHeight="1">
      <c r="BM13139" s="1025"/>
      <c r="BO13139" s="43"/>
    </row>
    <row r="13140" spans="65:67" ht="18.75" customHeight="1">
      <c r="BM13140" s="1025"/>
      <c r="BO13140" s="43"/>
    </row>
    <row r="13141" spans="65:67" ht="18.75" customHeight="1">
      <c r="BM13141" s="1025"/>
      <c r="BO13141" s="43"/>
    </row>
    <row r="13142" spans="65:67" ht="18.75" customHeight="1">
      <c r="BM13142" s="1025"/>
      <c r="BO13142" s="43"/>
    </row>
    <row r="13143" spans="65:67" ht="18.75" customHeight="1">
      <c r="BM13143" s="1025"/>
      <c r="BO13143" s="43"/>
    </row>
    <row r="13144" spans="65:67" ht="18.75" customHeight="1">
      <c r="BM13144" s="1025"/>
      <c r="BO13144" s="43"/>
    </row>
    <row r="13145" spans="65:67" ht="18.75" customHeight="1">
      <c r="BM13145" s="1025"/>
      <c r="BO13145" s="43"/>
    </row>
    <row r="13146" spans="65:67" ht="18.75" customHeight="1">
      <c r="BM13146" s="1025"/>
      <c r="BO13146" s="43"/>
    </row>
    <row r="13147" spans="65:67" ht="18.75" customHeight="1">
      <c r="BM13147" s="1025"/>
      <c r="BO13147" s="43"/>
    </row>
    <row r="13148" spans="65:67" ht="18.75" customHeight="1">
      <c r="BM13148" s="1025"/>
      <c r="BO13148" s="43"/>
    </row>
    <row r="13149" spans="65:67" ht="18.75" customHeight="1">
      <c r="BM13149" s="1025"/>
      <c r="BO13149" s="43"/>
    </row>
    <row r="13150" spans="65:67" ht="18.75" customHeight="1">
      <c r="BM13150" s="1025"/>
      <c r="BO13150" s="43"/>
    </row>
    <row r="13151" spans="65:67" ht="18.75" customHeight="1">
      <c r="BM13151" s="1025"/>
      <c r="BO13151" s="43"/>
    </row>
    <row r="13152" spans="65:67" ht="18.75" customHeight="1">
      <c r="BM13152" s="1025"/>
      <c r="BO13152" s="43"/>
    </row>
    <row r="13153" spans="65:67" ht="18.75" customHeight="1">
      <c r="BM13153" s="1025"/>
      <c r="BO13153" s="43"/>
    </row>
    <row r="13154" spans="65:67" ht="18.75" customHeight="1">
      <c r="BM13154" s="1025"/>
      <c r="BO13154" s="43"/>
    </row>
    <row r="13155" spans="65:67" ht="18.75" customHeight="1">
      <c r="BM13155" s="1025"/>
      <c r="BO13155" s="43"/>
    </row>
    <row r="13156" spans="65:67" ht="18.75" customHeight="1">
      <c r="BM13156" s="1025"/>
      <c r="BO13156" s="43"/>
    </row>
    <row r="13157" spans="65:67" ht="18.75" customHeight="1">
      <c r="BM13157" s="1025"/>
      <c r="BO13157" s="43"/>
    </row>
    <row r="13158" spans="65:67" ht="18.75" customHeight="1">
      <c r="BM13158" s="1025"/>
      <c r="BO13158" s="43"/>
    </row>
    <row r="13159" spans="65:67" ht="18.75" customHeight="1">
      <c r="BM13159" s="1025"/>
      <c r="BO13159" s="43"/>
    </row>
    <row r="13160" spans="65:67" ht="18.75" customHeight="1">
      <c r="BM13160" s="1025"/>
      <c r="BO13160" s="43"/>
    </row>
    <row r="13161" spans="65:67" ht="18.75" customHeight="1">
      <c r="BM13161" s="1025"/>
      <c r="BO13161" s="43"/>
    </row>
    <row r="13162" spans="65:67" ht="18.75" customHeight="1">
      <c r="BM13162" s="1025"/>
      <c r="BO13162" s="43"/>
    </row>
    <row r="13163" spans="65:67" ht="18.75" customHeight="1">
      <c r="BM13163" s="1025"/>
      <c r="BO13163" s="43"/>
    </row>
    <row r="13164" spans="65:67" ht="18.75" customHeight="1">
      <c r="BM13164" s="1025"/>
      <c r="BO13164" s="43"/>
    </row>
    <row r="13165" spans="65:67" ht="18.75" customHeight="1">
      <c r="BM13165" s="1025"/>
      <c r="BO13165" s="43"/>
    </row>
    <row r="13166" spans="65:67" ht="18.75" customHeight="1">
      <c r="BM13166" s="1025"/>
      <c r="BO13166" s="43"/>
    </row>
    <row r="13167" spans="65:67" ht="18.75" customHeight="1">
      <c r="BM13167" s="1025"/>
      <c r="BO13167" s="43"/>
    </row>
    <row r="13168" spans="65:67" ht="18.75" customHeight="1">
      <c r="BM13168" s="1025"/>
      <c r="BO13168" s="43"/>
    </row>
    <row r="13169" spans="65:67" ht="18.75" customHeight="1">
      <c r="BM13169" s="1025"/>
      <c r="BO13169" s="43"/>
    </row>
    <row r="13170" spans="65:67" ht="18.75" customHeight="1">
      <c r="BM13170" s="1025"/>
      <c r="BO13170" s="43"/>
    </row>
    <row r="13171" spans="65:67" ht="18.75" customHeight="1">
      <c r="BM13171" s="1025"/>
      <c r="BO13171" s="43"/>
    </row>
    <row r="13172" spans="65:67" ht="18.75" customHeight="1">
      <c r="BM13172" s="1025"/>
      <c r="BO13172" s="43"/>
    </row>
    <row r="13173" spans="65:67" ht="18.75" customHeight="1">
      <c r="BM13173" s="1025"/>
      <c r="BO13173" s="43"/>
    </row>
    <row r="13174" spans="65:67" ht="18.75" customHeight="1">
      <c r="BM13174" s="1025"/>
      <c r="BO13174" s="43"/>
    </row>
    <row r="13175" spans="65:67" ht="18.75" customHeight="1">
      <c r="BM13175" s="1025"/>
      <c r="BO13175" s="43"/>
    </row>
    <row r="13176" spans="65:67" ht="18.75" customHeight="1">
      <c r="BM13176" s="1025"/>
      <c r="BO13176" s="43"/>
    </row>
    <row r="13177" spans="65:67" ht="18.75" customHeight="1">
      <c r="BM13177" s="1025"/>
      <c r="BO13177" s="43"/>
    </row>
    <row r="13178" spans="65:67" ht="18.75" customHeight="1">
      <c r="BM13178" s="1025"/>
      <c r="BO13178" s="43"/>
    </row>
    <row r="13179" spans="65:67" ht="18.75" customHeight="1">
      <c r="BM13179" s="1025"/>
      <c r="BO13179" s="43"/>
    </row>
    <row r="13180" spans="65:67" ht="18.75" customHeight="1">
      <c r="BM13180" s="1025"/>
      <c r="BO13180" s="43"/>
    </row>
    <row r="13181" spans="65:67" ht="18.75" customHeight="1">
      <c r="BM13181" s="1025"/>
      <c r="BO13181" s="43"/>
    </row>
    <row r="13182" spans="65:67" ht="18.75" customHeight="1">
      <c r="BM13182" s="1025"/>
      <c r="BO13182" s="43"/>
    </row>
    <row r="13183" spans="65:67" ht="18.75" customHeight="1">
      <c r="BM13183" s="1025"/>
      <c r="BO13183" s="43"/>
    </row>
    <row r="13184" spans="65:67" ht="18.75" customHeight="1">
      <c r="BM13184" s="1025"/>
      <c r="BO13184" s="43"/>
    </row>
    <row r="13185" spans="65:67" ht="18.75" customHeight="1">
      <c r="BM13185" s="1025"/>
      <c r="BO13185" s="43"/>
    </row>
    <row r="13186" spans="65:67" ht="18.75" customHeight="1">
      <c r="BM13186" s="1025"/>
      <c r="BO13186" s="43"/>
    </row>
    <row r="13187" spans="65:67" ht="18.75" customHeight="1">
      <c r="BM13187" s="1025"/>
      <c r="BO13187" s="43"/>
    </row>
    <row r="13188" spans="65:67" ht="18.75" customHeight="1">
      <c r="BM13188" s="1025"/>
      <c r="BO13188" s="43"/>
    </row>
    <row r="13189" spans="65:67" ht="18.75" customHeight="1">
      <c r="BM13189" s="1025"/>
      <c r="BO13189" s="43"/>
    </row>
    <row r="13190" spans="65:67" ht="18.75" customHeight="1">
      <c r="BM13190" s="1025"/>
      <c r="BO13190" s="43"/>
    </row>
    <row r="13191" spans="65:67" ht="18.75" customHeight="1">
      <c r="BM13191" s="1025"/>
      <c r="BO13191" s="43"/>
    </row>
    <row r="13192" spans="65:67" ht="18.75" customHeight="1">
      <c r="BM13192" s="1025"/>
      <c r="BO13192" s="43"/>
    </row>
    <row r="13193" spans="65:67" ht="18.75" customHeight="1">
      <c r="BM13193" s="1025"/>
      <c r="BO13193" s="43"/>
    </row>
    <row r="13194" spans="65:67" ht="18.75" customHeight="1">
      <c r="BM13194" s="1025"/>
      <c r="BO13194" s="43"/>
    </row>
    <row r="13195" spans="65:67" ht="18.75" customHeight="1">
      <c r="BM13195" s="1025"/>
      <c r="BO13195" s="43"/>
    </row>
    <row r="13196" spans="65:67" ht="18.75" customHeight="1">
      <c r="BM13196" s="1025"/>
      <c r="BO13196" s="43"/>
    </row>
    <row r="13197" spans="65:67" ht="18.75" customHeight="1">
      <c r="BM13197" s="1025"/>
      <c r="BO13197" s="43"/>
    </row>
    <row r="13198" spans="65:67" ht="18.75" customHeight="1">
      <c r="BM13198" s="1025"/>
      <c r="BO13198" s="43"/>
    </row>
    <row r="13199" spans="65:67" ht="18.75" customHeight="1">
      <c r="BM13199" s="1025"/>
      <c r="BO13199" s="43"/>
    </row>
    <row r="13200" spans="65:67" ht="18.75" customHeight="1">
      <c r="BM13200" s="1025"/>
      <c r="BO13200" s="43"/>
    </row>
    <row r="13201" spans="65:67" ht="18.75" customHeight="1">
      <c r="BM13201" s="1025"/>
      <c r="BO13201" s="43"/>
    </row>
    <row r="13202" spans="65:67" ht="18.75" customHeight="1">
      <c r="BM13202" s="1025"/>
      <c r="BO13202" s="43"/>
    </row>
    <row r="13203" spans="65:67" ht="18.75" customHeight="1">
      <c r="BM13203" s="1025"/>
      <c r="BO13203" s="43"/>
    </row>
    <row r="13204" spans="65:67" ht="18.75" customHeight="1">
      <c r="BM13204" s="1025"/>
      <c r="BO13204" s="43"/>
    </row>
    <row r="13205" spans="65:67" ht="18.75" customHeight="1">
      <c r="BM13205" s="1025"/>
      <c r="BO13205" s="43"/>
    </row>
    <row r="13206" spans="65:67" ht="18.75" customHeight="1">
      <c r="BM13206" s="1025"/>
      <c r="BO13206" s="43"/>
    </row>
    <row r="13207" spans="65:67" ht="18.75" customHeight="1">
      <c r="BM13207" s="1025"/>
      <c r="BO13207" s="43"/>
    </row>
    <row r="13208" spans="65:67" ht="18.75" customHeight="1">
      <c r="BM13208" s="1025"/>
      <c r="BO13208" s="43"/>
    </row>
    <row r="13209" spans="65:67" ht="18.75" customHeight="1">
      <c r="BM13209" s="1025"/>
      <c r="BO13209" s="43"/>
    </row>
    <row r="13210" spans="65:67" ht="18.75" customHeight="1">
      <c r="BM13210" s="1025"/>
      <c r="BO13210" s="43"/>
    </row>
    <row r="13211" spans="65:67" ht="18.75" customHeight="1">
      <c r="BM13211" s="1025"/>
      <c r="BO13211" s="43"/>
    </row>
    <row r="13212" spans="65:67" ht="18.75" customHeight="1">
      <c r="BM13212" s="1025"/>
      <c r="BO13212" s="43"/>
    </row>
    <row r="13213" spans="65:67" ht="18.75" customHeight="1">
      <c r="BM13213" s="1025"/>
      <c r="BO13213" s="43"/>
    </row>
    <row r="13214" spans="65:67" ht="18.75" customHeight="1">
      <c r="BM13214" s="1025"/>
      <c r="BO13214" s="43"/>
    </row>
    <row r="13215" spans="65:67" ht="18.75" customHeight="1">
      <c r="BM13215" s="1025"/>
      <c r="BO13215" s="43"/>
    </row>
    <row r="13216" spans="65:67" ht="18.75" customHeight="1">
      <c r="BM13216" s="1025"/>
      <c r="BO13216" s="43"/>
    </row>
    <row r="13217" spans="65:67" ht="18.75" customHeight="1">
      <c r="BM13217" s="1025"/>
      <c r="BO13217" s="43"/>
    </row>
    <row r="13218" spans="65:67" ht="18.75" customHeight="1">
      <c r="BM13218" s="1025"/>
      <c r="BO13218" s="43"/>
    </row>
    <row r="13219" spans="65:67" ht="18.75" customHeight="1">
      <c r="BM13219" s="1025"/>
      <c r="BO13219" s="43"/>
    </row>
    <row r="13220" spans="65:67" ht="18.75" customHeight="1">
      <c r="BM13220" s="1025"/>
      <c r="BO13220" s="43"/>
    </row>
    <row r="13221" spans="65:67" ht="18.75" customHeight="1">
      <c r="BM13221" s="1025"/>
      <c r="BO13221" s="43"/>
    </row>
    <row r="13222" spans="65:67" ht="18.75" customHeight="1">
      <c r="BM13222" s="1025"/>
      <c r="BO13222" s="43"/>
    </row>
    <row r="13223" spans="65:67" ht="18.75" customHeight="1">
      <c r="BM13223" s="1025"/>
      <c r="BO13223" s="43"/>
    </row>
    <row r="13224" spans="65:67" ht="18.75" customHeight="1">
      <c r="BM13224" s="1025"/>
      <c r="BO13224" s="43"/>
    </row>
    <row r="13225" spans="65:67" ht="18.75" customHeight="1">
      <c r="BM13225" s="1025"/>
      <c r="BO13225" s="43"/>
    </row>
    <row r="13226" spans="65:67" ht="18.75" customHeight="1">
      <c r="BM13226" s="1025"/>
      <c r="BO13226" s="43"/>
    </row>
    <row r="13227" spans="65:67" ht="18.75" customHeight="1">
      <c r="BM13227" s="1025"/>
      <c r="BO13227" s="43"/>
    </row>
    <row r="13228" spans="65:67" ht="18.75" customHeight="1">
      <c r="BM13228" s="1025"/>
      <c r="BO13228" s="43"/>
    </row>
    <row r="13229" spans="65:67" ht="18.75" customHeight="1">
      <c r="BM13229" s="1025"/>
      <c r="BO13229" s="43"/>
    </row>
    <row r="13230" spans="65:67" ht="18.75" customHeight="1">
      <c r="BM13230" s="1025"/>
      <c r="BO13230" s="43"/>
    </row>
    <row r="13231" spans="65:67" ht="18.75" customHeight="1">
      <c r="BM13231" s="1025"/>
      <c r="BO13231" s="43"/>
    </row>
    <row r="13232" spans="65:67" ht="18.75" customHeight="1">
      <c r="BM13232" s="1025"/>
      <c r="BO13232" s="43"/>
    </row>
    <row r="13233" spans="65:67" ht="18.75" customHeight="1">
      <c r="BM13233" s="1025"/>
      <c r="BO13233" s="43"/>
    </row>
    <row r="13234" spans="65:67" ht="18.75" customHeight="1">
      <c r="BM13234" s="1025"/>
      <c r="BO13234" s="43"/>
    </row>
    <row r="13235" spans="65:67" ht="18.75" customHeight="1">
      <c r="BM13235" s="1025"/>
      <c r="BO13235" s="43"/>
    </row>
    <row r="13236" spans="65:67" ht="18.75" customHeight="1">
      <c r="BM13236" s="1025"/>
      <c r="BO13236" s="43"/>
    </row>
    <row r="13237" spans="65:67" ht="18.75" customHeight="1">
      <c r="BM13237" s="1025"/>
      <c r="BO13237" s="43"/>
    </row>
    <row r="13238" spans="65:67" ht="18.75" customHeight="1">
      <c r="BM13238" s="1025"/>
      <c r="BO13238" s="43"/>
    </row>
    <row r="13239" spans="65:67" ht="18.75" customHeight="1">
      <c r="BM13239" s="1025"/>
      <c r="BO13239" s="43"/>
    </row>
    <row r="13240" spans="65:67" ht="18.75" customHeight="1">
      <c r="BM13240" s="1025"/>
      <c r="BO13240" s="43"/>
    </row>
    <row r="13241" spans="65:67" ht="18.75" customHeight="1">
      <c r="BM13241" s="1025"/>
      <c r="BO13241" s="43"/>
    </row>
    <row r="13242" spans="65:67" ht="18.75" customHeight="1">
      <c r="BM13242" s="1025"/>
      <c r="BO13242" s="43"/>
    </row>
    <row r="13243" spans="65:67" ht="18.75" customHeight="1">
      <c r="BM13243" s="1025"/>
      <c r="BO13243" s="43"/>
    </row>
    <row r="13244" spans="65:67" ht="18.75" customHeight="1">
      <c r="BM13244" s="1025"/>
      <c r="BO13244" s="43"/>
    </row>
    <row r="13245" spans="65:67" ht="18.75" customHeight="1">
      <c r="BM13245" s="1025"/>
      <c r="BO13245" s="43"/>
    </row>
    <row r="13246" spans="65:67" ht="18.75" customHeight="1">
      <c r="BM13246" s="1025"/>
      <c r="BO13246" s="43"/>
    </row>
    <row r="13247" spans="65:67" ht="18.75" customHeight="1">
      <c r="BM13247" s="1025"/>
      <c r="BO13247" s="43"/>
    </row>
    <row r="13248" spans="65:67" ht="18.75" customHeight="1">
      <c r="BM13248" s="1025"/>
      <c r="BO13248" s="43"/>
    </row>
    <row r="13249" spans="65:67" ht="18.75" customHeight="1">
      <c r="BM13249" s="1025"/>
      <c r="BO13249" s="43"/>
    </row>
    <row r="13250" spans="65:67" ht="18.75" customHeight="1">
      <c r="BM13250" s="1025"/>
      <c r="BO13250" s="43"/>
    </row>
    <row r="13251" spans="65:67" ht="18.75" customHeight="1">
      <c r="BM13251" s="1025"/>
      <c r="BO13251" s="43"/>
    </row>
    <row r="13252" spans="65:67" ht="18.75" customHeight="1">
      <c r="BM13252" s="1025"/>
      <c r="BO13252" s="43"/>
    </row>
    <row r="13253" spans="65:67" ht="18.75" customHeight="1">
      <c r="BM13253" s="1025"/>
      <c r="BO13253" s="43"/>
    </row>
    <row r="13254" spans="65:67" ht="18.75" customHeight="1">
      <c r="BM13254" s="1025"/>
      <c r="BO13254" s="43"/>
    </row>
    <row r="13255" spans="65:67" ht="18.75" customHeight="1">
      <c r="BM13255" s="1025"/>
      <c r="BO13255" s="43"/>
    </row>
    <row r="13256" spans="65:67" ht="18.75" customHeight="1">
      <c r="BM13256" s="1025"/>
      <c r="BO13256" s="43"/>
    </row>
    <row r="13257" spans="65:67" ht="18.75" customHeight="1">
      <c r="BM13257" s="1025"/>
      <c r="BO13257" s="43"/>
    </row>
    <row r="13258" spans="65:67" ht="18.75" customHeight="1">
      <c r="BM13258" s="1025"/>
      <c r="BO13258" s="43"/>
    </row>
    <row r="13259" spans="65:67" ht="18.75" customHeight="1">
      <c r="BM13259" s="1025"/>
      <c r="BO13259" s="43"/>
    </row>
    <row r="13260" spans="65:67" ht="18.75" customHeight="1">
      <c r="BM13260" s="1025"/>
      <c r="BO13260" s="43"/>
    </row>
    <row r="13261" spans="65:67" ht="18.75" customHeight="1">
      <c r="BM13261" s="1025"/>
      <c r="BO13261" s="43"/>
    </row>
    <row r="13262" spans="65:67" ht="18.75" customHeight="1">
      <c r="BM13262" s="1025"/>
      <c r="BO13262" s="43"/>
    </row>
    <row r="13263" spans="65:67" ht="18.75" customHeight="1">
      <c r="BM13263" s="1025"/>
      <c r="BO13263" s="43"/>
    </row>
    <row r="13264" spans="65:67" ht="18.75" customHeight="1">
      <c r="BM13264" s="1025"/>
      <c r="BO13264" s="43"/>
    </row>
    <row r="13265" spans="65:67" ht="18.75" customHeight="1">
      <c r="BM13265" s="1025"/>
      <c r="BO13265" s="43"/>
    </row>
    <row r="13266" spans="65:67" ht="18.75" customHeight="1">
      <c r="BM13266" s="1025"/>
      <c r="BO13266" s="43"/>
    </row>
    <row r="13267" spans="65:67" ht="18.75" customHeight="1">
      <c r="BM13267" s="1025"/>
      <c r="BO13267" s="43"/>
    </row>
    <row r="13268" spans="65:67" ht="18.75" customHeight="1">
      <c r="BM13268" s="1025"/>
      <c r="BO13268" s="43"/>
    </row>
    <row r="13269" spans="65:67" ht="18.75" customHeight="1">
      <c r="BM13269" s="1025"/>
      <c r="BO13269" s="43"/>
    </row>
    <row r="13270" spans="65:67" ht="18.75" customHeight="1">
      <c r="BM13270" s="1025"/>
      <c r="BO13270" s="43"/>
    </row>
    <row r="13271" spans="65:67" ht="18.75" customHeight="1">
      <c r="BM13271" s="1025"/>
      <c r="BO13271" s="43"/>
    </row>
    <row r="13272" spans="65:67" ht="18.75" customHeight="1">
      <c r="BM13272" s="1025"/>
      <c r="BO13272" s="43"/>
    </row>
    <row r="13273" spans="65:67" ht="18.75" customHeight="1">
      <c r="BM13273" s="1025"/>
      <c r="BO13273" s="43"/>
    </row>
    <row r="13274" spans="65:67" ht="18.75" customHeight="1">
      <c r="BM13274" s="1025"/>
      <c r="BO13274" s="43"/>
    </row>
    <row r="13275" spans="65:67" ht="18.75" customHeight="1">
      <c r="BM13275" s="1025"/>
      <c r="BO13275" s="43"/>
    </row>
    <row r="13276" spans="65:67" ht="18.75" customHeight="1">
      <c r="BM13276" s="1025"/>
      <c r="BO13276" s="43"/>
    </row>
    <row r="13277" spans="65:67" ht="18.75" customHeight="1">
      <c r="BM13277" s="1025"/>
      <c r="BO13277" s="43"/>
    </row>
    <row r="13278" spans="65:67" ht="18.75" customHeight="1">
      <c r="BM13278" s="1025"/>
      <c r="BO13278" s="43"/>
    </row>
    <row r="13279" spans="65:67" ht="18.75" customHeight="1">
      <c r="BM13279" s="1025"/>
      <c r="BO13279" s="43"/>
    </row>
    <row r="13280" spans="65:67" ht="18.75" customHeight="1">
      <c r="BM13280" s="1025"/>
      <c r="BO13280" s="43"/>
    </row>
    <row r="13281" spans="65:67" ht="18.75" customHeight="1">
      <c r="BM13281" s="1025"/>
      <c r="BO13281" s="43"/>
    </row>
    <row r="13282" spans="65:67" ht="18.75" customHeight="1">
      <c r="BM13282" s="1025"/>
      <c r="BO13282" s="43"/>
    </row>
    <row r="13283" spans="65:67" ht="18.75" customHeight="1">
      <c r="BM13283" s="1025"/>
      <c r="BO13283" s="43"/>
    </row>
    <row r="13284" spans="65:67" ht="18.75" customHeight="1">
      <c r="BM13284" s="1025"/>
      <c r="BO13284" s="43"/>
    </row>
    <row r="13285" spans="65:67" ht="18.75" customHeight="1">
      <c r="BM13285" s="1025"/>
      <c r="BO13285" s="43"/>
    </row>
    <row r="13286" spans="65:67" ht="18.75" customHeight="1">
      <c r="BM13286" s="1025"/>
      <c r="BO13286" s="43"/>
    </row>
    <row r="13287" spans="65:67" ht="18.75" customHeight="1">
      <c r="BM13287" s="1025"/>
      <c r="BO13287" s="43"/>
    </row>
    <row r="13288" spans="65:67" ht="18.75" customHeight="1">
      <c r="BM13288" s="1025"/>
      <c r="BO13288" s="43"/>
    </row>
    <row r="13289" spans="65:67" ht="18.75" customHeight="1">
      <c r="BM13289" s="1025"/>
      <c r="BO13289" s="43"/>
    </row>
    <row r="13290" spans="65:67" ht="18.75" customHeight="1">
      <c r="BM13290" s="1025"/>
      <c r="BO13290" s="43"/>
    </row>
    <row r="13291" spans="65:67" ht="18.75" customHeight="1">
      <c r="BM13291" s="1025"/>
      <c r="BO13291" s="43"/>
    </row>
    <row r="13292" spans="65:67" ht="18.75" customHeight="1">
      <c r="BM13292" s="1025"/>
      <c r="BO13292" s="43"/>
    </row>
    <row r="13293" spans="65:67" ht="18.75" customHeight="1">
      <c r="BM13293" s="1025"/>
      <c r="BO13293" s="43"/>
    </row>
    <row r="13294" spans="65:67" ht="18.75" customHeight="1">
      <c r="BM13294" s="1025"/>
      <c r="BO13294" s="43"/>
    </row>
    <row r="13295" spans="65:67" ht="18.75" customHeight="1">
      <c r="BM13295" s="1025"/>
      <c r="BO13295" s="43"/>
    </row>
    <row r="13296" spans="65:67" ht="18.75" customHeight="1">
      <c r="BM13296" s="1025"/>
      <c r="BO13296" s="43"/>
    </row>
    <row r="13297" spans="65:67" ht="18.75" customHeight="1">
      <c r="BM13297" s="1025"/>
      <c r="BO13297" s="43"/>
    </row>
    <row r="13298" spans="65:67" ht="18.75" customHeight="1">
      <c r="BM13298" s="1025"/>
      <c r="BO13298" s="43"/>
    </row>
    <row r="13299" spans="65:67" ht="18.75" customHeight="1">
      <c r="BM13299" s="1025"/>
      <c r="BO13299" s="43"/>
    </row>
    <row r="13300" spans="65:67" ht="18.75" customHeight="1">
      <c r="BM13300" s="1025"/>
      <c r="BO13300" s="43"/>
    </row>
    <row r="13301" spans="65:67" ht="18.75" customHeight="1">
      <c r="BM13301" s="1025"/>
      <c r="BO13301" s="43"/>
    </row>
    <row r="13302" spans="65:67" ht="18.75" customHeight="1">
      <c r="BM13302" s="1025"/>
      <c r="BO13302" s="43"/>
    </row>
    <row r="13303" spans="65:67" ht="18.75" customHeight="1">
      <c r="BM13303" s="1025"/>
      <c r="BO13303" s="43"/>
    </row>
    <row r="13304" spans="65:67" ht="18.75" customHeight="1">
      <c r="BM13304" s="1025"/>
      <c r="BO13304" s="43"/>
    </row>
    <row r="13305" spans="65:67" ht="18.75" customHeight="1">
      <c r="BM13305" s="1025"/>
      <c r="BO13305" s="43"/>
    </row>
    <row r="13306" spans="65:67" ht="18.75" customHeight="1">
      <c r="BM13306" s="1025"/>
      <c r="BO13306" s="43"/>
    </row>
    <row r="13307" spans="65:67" ht="18.75" customHeight="1">
      <c r="BM13307" s="1025"/>
      <c r="BO13307" s="43"/>
    </row>
    <row r="13308" spans="65:67" ht="18.75" customHeight="1">
      <c r="BM13308" s="1025"/>
      <c r="BO13308" s="43"/>
    </row>
    <row r="13309" spans="65:67" ht="18.75" customHeight="1">
      <c r="BM13309" s="1025"/>
      <c r="BO13309" s="43"/>
    </row>
    <row r="13310" spans="65:67" ht="18.75" customHeight="1">
      <c r="BM13310" s="1025"/>
      <c r="BO13310" s="43"/>
    </row>
    <row r="13311" spans="65:67" ht="18.75" customHeight="1">
      <c r="BM13311" s="1025"/>
      <c r="BO13311" s="43"/>
    </row>
    <row r="13312" spans="65:67" ht="18.75" customHeight="1">
      <c r="BM13312" s="1025"/>
      <c r="BO13312" s="43"/>
    </row>
    <row r="13313" spans="65:67" ht="18.75" customHeight="1">
      <c r="BM13313" s="1025"/>
      <c r="BO13313" s="43"/>
    </row>
    <row r="13314" spans="65:67" ht="18.75" customHeight="1">
      <c r="BM13314" s="1025"/>
      <c r="BO13314" s="43"/>
    </row>
    <row r="13315" spans="65:67" ht="18.75" customHeight="1">
      <c r="BM13315" s="1025"/>
      <c r="BO13315" s="43"/>
    </row>
    <row r="13316" spans="65:67" ht="18.75" customHeight="1">
      <c r="BM13316" s="1025"/>
      <c r="BO13316" s="43"/>
    </row>
    <row r="13317" spans="65:67" ht="18.75" customHeight="1">
      <c r="BM13317" s="1025"/>
      <c r="BO13317" s="43"/>
    </row>
    <row r="13318" spans="65:67" ht="18.75" customHeight="1">
      <c r="BM13318" s="1025"/>
      <c r="BO13318" s="43"/>
    </row>
    <row r="13319" spans="65:67" ht="18.75" customHeight="1">
      <c r="BM13319" s="1025"/>
      <c r="BO13319" s="43"/>
    </row>
    <row r="13320" spans="65:67" ht="18.75" customHeight="1">
      <c r="BM13320" s="1025"/>
      <c r="BO13320" s="43"/>
    </row>
    <row r="13321" spans="65:67" ht="18.75" customHeight="1">
      <c r="BM13321" s="1025"/>
      <c r="BO13321" s="43"/>
    </row>
    <row r="13322" spans="65:67" ht="18.75" customHeight="1">
      <c r="BM13322" s="1025"/>
      <c r="BO13322" s="43"/>
    </row>
    <row r="13323" spans="65:67" ht="18.75" customHeight="1">
      <c r="BM13323" s="1025"/>
      <c r="BO13323" s="43"/>
    </row>
    <row r="13324" spans="65:67" ht="18.75" customHeight="1">
      <c r="BM13324" s="1025"/>
      <c r="BO13324" s="43"/>
    </row>
    <row r="13325" spans="65:67" ht="18.75" customHeight="1">
      <c r="BM13325" s="1025"/>
      <c r="BO13325" s="43"/>
    </row>
    <row r="13326" spans="65:67" ht="18.75" customHeight="1">
      <c r="BM13326" s="1025"/>
      <c r="BO13326" s="43"/>
    </row>
    <row r="13327" spans="65:67" ht="18.75" customHeight="1">
      <c r="BM13327" s="1025"/>
      <c r="BO13327" s="43"/>
    </row>
    <row r="13328" spans="65:67" ht="18.75" customHeight="1">
      <c r="BM13328" s="1025"/>
      <c r="BO13328" s="43"/>
    </row>
    <row r="13329" spans="65:67" ht="18.75" customHeight="1">
      <c r="BM13329" s="1025"/>
      <c r="BO13329" s="43"/>
    </row>
    <row r="13330" spans="65:67" ht="18.75" customHeight="1">
      <c r="BM13330" s="1025"/>
      <c r="BO13330" s="43"/>
    </row>
    <row r="13331" spans="65:67" ht="18.75" customHeight="1">
      <c r="BM13331" s="1025"/>
      <c r="BO13331" s="43"/>
    </row>
    <row r="13332" spans="65:67" ht="18.75" customHeight="1">
      <c r="BM13332" s="1025"/>
      <c r="BO13332" s="43"/>
    </row>
    <row r="13333" spans="65:67" ht="18.75" customHeight="1">
      <c r="BM13333" s="1025"/>
      <c r="BO13333" s="43"/>
    </row>
    <row r="13334" spans="65:67" ht="18.75" customHeight="1">
      <c r="BM13334" s="1025"/>
      <c r="BO13334" s="43"/>
    </row>
    <row r="13335" spans="65:67" ht="18.75" customHeight="1">
      <c r="BM13335" s="1025"/>
      <c r="BO13335" s="43"/>
    </row>
    <row r="13336" spans="65:67" ht="18.75" customHeight="1">
      <c r="BM13336" s="1025"/>
      <c r="BO13336" s="43"/>
    </row>
    <row r="13337" spans="65:67" ht="18.75" customHeight="1">
      <c r="BM13337" s="1025"/>
      <c r="BO13337" s="43"/>
    </row>
    <row r="13338" spans="65:67" ht="18.75" customHeight="1">
      <c r="BM13338" s="1025"/>
      <c r="BO13338" s="43"/>
    </row>
    <row r="13339" spans="65:67" ht="18.75" customHeight="1">
      <c r="BM13339" s="1025"/>
      <c r="BO13339" s="43"/>
    </row>
    <row r="13340" spans="65:67" ht="18.75" customHeight="1">
      <c r="BM13340" s="1025"/>
      <c r="BO13340" s="43"/>
    </row>
    <row r="13341" spans="65:67" ht="18.75" customHeight="1">
      <c r="BM13341" s="1025"/>
      <c r="BO13341" s="43"/>
    </row>
    <row r="13342" spans="65:67" ht="18.75" customHeight="1">
      <c r="BM13342" s="1025"/>
      <c r="BO13342" s="43"/>
    </row>
    <row r="13343" spans="65:67" ht="18.75" customHeight="1">
      <c r="BM13343" s="1025"/>
      <c r="BO13343" s="43"/>
    </row>
    <row r="13344" spans="65:67" ht="18.75" customHeight="1">
      <c r="BM13344" s="1025"/>
      <c r="BO13344" s="43"/>
    </row>
    <row r="13345" spans="65:67" ht="18.75" customHeight="1">
      <c r="BM13345" s="1025"/>
      <c r="BO13345" s="43"/>
    </row>
    <row r="13346" spans="65:67" ht="18.75" customHeight="1">
      <c r="BM13346" s="1025"/>
      <c r="BO13346" s="43"/>
    </row>
    <row r="13347" spans="65:67" ht="18.75" customHeight="1">
      <c r="BM13347" s="1025"/>
      <c r="BO13347" s="43"/>
    </row>
    <row r="13348" spans="65:67" ht="18.75" customHeight="1">
      <c r="BM13348" s="1025"/>
      <c r="BO13348" s="43"/>
    </row>
    <row r="13349" spans="65:67" ht="18.75" customHeight="1">
      <c r="BM13349" s="1025"/>
      <c r="BO13349" s="43"/>
    </row>
    <row r="13350" spans="65:67" ht="18.75" customHeight="1">
      <c r="BM13350" s="1025"/>
      <c r="BO13350" s="43"/>
    </row>
    <row r="13351" spans="65:67" ht="18.75" customHeight="1">
      <c r="BM13351" s="1025"/>
      <c r="BO13351" s="43"/>
    </row>
    <row r="13352" spans="65:67" ht="18.75" customHeight="1">
      <c r="BM13352" s="1025"/>
      <c r="BO13352" s="43"/>
    </row>
    <row r="13353" spans="65:67" ht="18.75" customHeight="1">
      <c r="BM13353" s="1025"/>
      <c r="BO13353" s="43"/>
    </row>
    <row r="13354" spans="65:67" ht="18.75" customHeight="1">
      <c r="BM13354" s="1025"/>
      <c r="BO13354" s="43"/>
    </row>
    <row r="13355" spans="65:67" ht="18.75" customHeight="1">
      <c r="BM13355" s="1025"/>
      <c r="BO13355" s="43"/>
    </row>
    <row r="13356" spans="65:67" ht="18.75" customHeight="1">
      <c r="BM13356" s="1025"/>
      <c r="BO13356" s="43"/>
    </row>
    <row r="13357" spans="65:67" ht="18.75" customHeight="1">
      <c r="BM13357" s="1025"/>
      <c r="BO13357" s="43"/>
    </row>
    <row r="13358" spans="65:67" ht="18.75" customHeight="1">
      <c r="BM13358" s="1025"/>
      <c r="BO13358" s="43"/>
    </row>
    <row r="13359" spans="65:67" ht="18.75" customHeight="1">
      <c r="BM13359" s="1025"/>
      <c r="BO13359" s="43"/>
    </row>
    <row r="13360" spans="65:67" ht="18.75" customHeight="1">
      <c r="BM13360" s="1025"/>
      <c r="BO13360" s="43"/>
    </row>
    <row r="13361" spans="65:67" ht="18.75" customHeight="1">
      <c r="BM13361" s="1025"/>
      <c r="BO13361" s="43"/>
    </row>
    <row r="13362" spans="65:67" ht="18.75" customHeight="1">
      <c r="BM13362" s="1025"/>
      <c r="BO13362" s="43"/>
    </row>
    <row r="13363" spans="65:67" ht="18.75" customHeight="1">
      <c r="BM13363" s="1025"/>
      <c r="BO13363" s="43"/>
    </row>
    <row r="13364" spans="65:67" ht="18.75" customHeight="1">
      <c r="BM13364" s="1025"/>
      <c r="BO13364" s="43"/>
    </row>
    <row r="13365" spans="65:67" ht="18.75" customHeight="1">
      <c r="BM13365" s="1025"/>
      <c r="BO13365" s="43"/>
    </row>
    <row r="13366" spans="65:67" ht="18.75" customHeight="1">
      <c r="BM13366" s="1025"/>
      <c r="BO13366" s="43"/>
    </row>
    <row r="13367" spans="65:67" ht="18.75" customHeight="1">
      <c r="BM13367" s="1025"/>
      <c r="BO13367" s="43"/>
    </row>
    <row r="13368" spans="65:67" ht="18.75" customHeight="1">
      <c r="BM13368" s="1025"/>
      <c r="BO13368" s="43"/>
    </row>
    <row r="13369" spans="65:67" ht="18.75" customHeight="1">
      <c r="BM13369" s="1025"/>
      <c r="BO13369" s="43"/>
    </row>
    <row r="13370" spans="65:67" ht="18.75" customHeight="1">
      <c r="BM13370" s="1025"/>
      <c r="BO13370" s="43"/>
    </row>
    <row r="13371" spans="65:67" ht="18.75" customHeight="1">
      <c r="BM13371" s="1025"/>
      <c r="BO13371" s="43"/>
    </row>
    <row r="13372" spans="65:67" ht="18.75" customHeight="1">
      <c r="BM13372" s="1025"/>
      <c r="BO13372" s="43"/>
    </row>
    <row r="13373" spans="65:67" ht="18.75" customHeight="1">
      <c r="BM13373" s="1025"/>
      <c r="BO13373" s="43"/>
    </row>
    <row r="13374" spans="65:67" ht="18.75" customHeight="1">
      <c r="BM13374" s="1025"/>
      <c r="BO13374" s="43"/>
    </row>
    <row r="13375" spans="65:67" ht="18.75" customHeight="1">
      <c r="BM13375" s="1025"/>
      <c r="BO13375" s="43"/>
    </row>
    <row r="13376" spans="65:67" ht="18.75" customHeight="1">
      <c r="BM13376" s="1025"/>
      <c r="BO13376" s="43"/>
    </row>
    <row r="13377" spans="65:67" ht="18.75" customHeight="1">
      <c r="BM13377" s="1025"/>
      <c r="BO13377" s="43"/>
    </row>
    <row r="13378" spans="65:67" ht="18.75" customHeight="1">
      <c r="BM13378" s="1025"/>
      <c r="BO13378" s="43"/>
    </row>
    <row r="13379" spans="65:67" ht="18.75" customHeight="1">
      <c r="BM13379" s="1025"/>
      <c r="BO13379" s="43"/>
    </row>
    <row r="13380" spans="65:67" ht="18.75" customHeight="1">
      <c r="BM13380" s="1025"/>
      <c r="BO13380" s="43"/>
    </row>
    <row r="13381" spans="65:67" ht="18.75" customHeight="1">
      <c r="BM13381" s="1025"/>
      <c r="BO13381" s="43"/>
    </row>
    <row r="13382" spans="65:67" ht="18.75" customHeight="1">
      <c r="BM13382" s="1025"/>
      <c r="BO13382" s="43"/>
    </row>
    <row r="13383" spans="65:67" ht="18.75" customHeight="1">
      <c r="BM13383" s="1025"/>
      <c r="BO13383" s="43"/>
    </row>
    <row r="13384" spans="65:67" ht="18.75" customHeight="1">
      <c r="BM13384" s="1025"/>
      <c r="BO13384" s="43"/>
    </row>
    <row r="13385" spans="65:67" ht="18.75" customHeight="1">
      <c r="BM13385" s="1025"/>
      <c r="BO13385" s="43"/>
    </row>
    <row r="13386" spans="65:67" ht="18.75" customHeight="1">
      <c r="BM13386" s="1025"/>
      <c r="BO13386" s="43"/>
    </row>
    <row r="13387" spans="65:67" ht="18.75" customHeight="1">
      <c r="BM13387" s="1025"/>
      <c r="BO13387" s="43"/>
    </row>
    <row r="13388" spans="65:67" ht="18.75" customHeight="1">
      <c r="BM13388" s="1025"/>
      <c r="BO13388" s="43"/>
    </row>
    <row r="13389" spans="65:67" ht="18.75" customHeight="1">
      <c r="BM13389" s="1025"/>
      <c r="BO13389" s="43"/>
    </row>
    <row r="13390" spans="65:67" ht="18.75" customHeight="1">
      <c r="BM13390" s="1025"/>
      <c r="BO13390" s="43"/>
    </row>
    <row r="13391" spans="65:67" ht="18.75" customHeight="1">
      <c r="BM13391" s="1025"/>
      <c r="BO13391" s="43"/>
    </row>
    <row r="13392" spans="65:67" ht="18.75" customHeight="1">
      <c r="BM13392" s="1025"/>
      <c r="BO13392" s="43"/>
    </row>
    <row r="13393" spans="65:67" ht="18.75" customHeight="1">
      <c r="BM13393" s="1025"/>
      <c r="BO13393" s="43"/>
    </row>
    <row r="13394" spans="65:67" ht="18.75" customHeight="1">
      <c r="BM13394" s="1025"/>
      <c r="BO13394" s="43"/>
    </row>
    <row r="13395" spans="65:67" ht="18.75" customHeight="1">
      <c r="BM13395" s="1025"/>
      <c r="BO13395" s="43"/>
    </row>
    <row r="13396" spans="65:67" ht="18.75" customHeight="1">
      <c r="BM13396" s="1025"/>
      <c r="BO13396" s="43"/>
    </row>
    <row r="13397" spans="65:67" ht="18.75" customHeight="1">
      <c r="BM13397" s="1025"/>
      <c r="BO13397" s="43"/>
    </row>
    <row r="13398" spans="65:67" ht="18.75" customHeight="1">
      <c r="BM13398" s="1025"/>
      <c r="BO13398" s="43"/>
    </row>
    <row r="13399" spans="65:67" ht="18.75" customHeight="1">
      <c r="BM13399" s="1025"/>
      <c r="BO13399" s="43"/>
    </row>
    <row r="13400" spans="65:67" ht="18.75" customHeight="1">
      <c r="BM13400" s="1025"/>
      <c r="BO13400" s="43"/>
    </row>
    <row r="13401" spans="65:67" ht="18.75" customHeight="1">
      <c r="BM13401" s="1025"/>
      <c r="BO13401" s="43"/>
    </row>
    <row r="13402" spans="65:67" ht="18.75" customHeight="1">
      <c r="BM13402" s="1025"/>
      <c r="BO13402" s="43"/>
    </row>
    <row r="13403" spans="65:67" ht="18.75" customHeight="1">
      <c r="BM13403" s="1025"/>
      <c r="BO13403" s="43"/>
    </row>
    <row r="13404" spans="65:67" ht="18.75" customHeight="1">
      <c r="BM13404" s="1025"/>
      <c r="BO13404" s="43"/>
    </row>
    <row r="13405" spans="65:67" ht="18.75" customHeight="1">
      <c r="BM13405" s="1025"/>
      <c r="BO13405" s="43"/>
    </row>
    <row r="13406" spans="65:67" ht="18.75" customHeight="1">
      <c r="BM13406" s="1025"/>
      <c r="BO13406" s="43"/>
    </row>
    <row r="13407" spans="65:67" ht="18.75" customHeight="1">
      <c r="BM13407" s="1025"/>
      <c r="BO13407" s="43"/>
    </row>
    <row r="13408" spans="65:67" ht="18.75" customHeight="1">
      <c r="BM13408" s="1025"/>
      <c r="BO13408" s="43"/>
    </row>
    <row r="13409" spans="65:67" ht="18.75" customHeight="1">
      <c r="BM13409" s="1025"/>
      <c r="BO13409" s="43"/>
    </row>
    <row r="13410" spans="65:67" ht="18.75" customHeight="1">
      <c r="BM13410" s="1025"/>
      <c r="BO13410" s="43"/>
    </row>
    <row r="13411" spans="65:67" ht="18.75" customHeight="1">
      <c r="BM13411" s="1025"/>
      <c r="BO13411" s="43"/>
    </row>
    <row r="13412" spans="65:67" ht="18.75" customHeight="1">
      <c r="BM13412" s="1025"/>
      <c r="BO13412" s="43"/>
    </row>
    <row r="13413" spans="65:67" ht="18.75" customHeight="1">
      <c r="BM13413" s="1025"/>
      <c r="BO13413" s="43"/>
    </row>
    <row r="13414" spans="65:67" ht="18.75" customHeight="1">
      <c r="BM13414" s="1025"/>
      <c r="BO13414" s="43"/>
    </row>
    <row r="13415" spans="65:67" ht="18.75" customHeight="1">
      <c r="BM13415" s="1025"/>
      <c r="BO13415" s="43"/>
    </row>
    <row r="13416" spans="65:67" ht="18.75" customHeight="1">
      <c r="BM13416" s="1025"/>
      <c r="BO13416" s="43"/>
    </row>
    <row r="13417" spans="65:67" ht="18.75" customHeight="1">
      <c r="BM13417" s="1025"/>
      <c r="BO13417" s="43"/>
    </row>
    <row r="13418" spans="65:67" ht="18.75" customHeight="1">
      <c r="BM13418" s="1025"/>
      <c r="BO13418" s="43"/>
    </row>
    <row r="13419" spans="65:67" ht="18.75" customHeight="1">
      <c r="BM13419" s="1025"/>
      <c r="BO13419" s="43"/>
    </row>
    <row r="13420" spans="65:67" ht="18.75" customHeight="1">
      <c r="BM13420" s="1025"/>
      <c r="BO13420" s="43"/>
    </row>
    <row r="13421" spans="65:67" ht="18.75" customHeight="1">
      <c r="BM13421" s="1025"/>
      <c r="BO13421" s="43"/>
    </row>
    <row r="13422" spans="65:67" ht="18.75" customHeight="1">
      <c r="BM13422" s="1025"/>
      <c r="BO13422" s="43"/>
    </row>
    <row r="13423" spans="65:67" ht="18.75" customHeight="1">
      <c r="BM13423" s="1025"/>
      <c r="BO13423" s="43"/>
    </row>
    <row r="13424" spans="65:67" ht="18.75" customHeight="1">
      <c r="BM13424" s="1025"/>
      <c r="BO13424" s="43"/>
    </row>
    <row r="13425" spans="65:67" ht="18.75" customHeight="1">
      <c r="BM13425" s="1025"/>
      <c r="BO13425" s="43"/>
    </row>
    <row r="13426" spans="65:67" ht="18.75" customHeight="1">
      <c r="BM13426" s="1025"/>
      <c r="BO13426" s="43"/>
    </row>
    <row r="13427" spans="65:67" ht="18.75" customHeight="1">
      <c r="BM13427" s="1025"/>
      <c r="BO13427" s="43"/>
    </row>
    <row r="13428" spans="65:67" ht="18.75" customHeight="1">
      <c r="BM13428" s="1025"/>
      <c r="BO13428" s="43"/>
    </row>
    <row r="13429" spans="65:67" ht="18.75" customHeight="1">
      <c r="BM13429" s="1025"/>
      <c r="BO13429" s="43"/>
    </row>
    <row r="13430" spans="65:67" ht="18.75" customHeight="1">
      <c r="BM13430" s="1025"/>
      <c r="BO13430" s="43"/>
    </row>
    <row r="13431" spans="65:67" ht="18.75" customHeight="1">
      <c r="BM13431" s="1025"/>
      <c r="BO13431" s="43"/>
    </row>
    <row r="13432" spans="65:67" ht="18.75" customHeight="1">
      <c r="BM13432" s="1025"/>
      <c r="BO13432" s="43"/>
    </row>
    <row r="13433" spans="65:67" ht="18.75" customHeight="1">
      <c r="BM13433" s="1025"/>
      <c r="BO13433" s="43"/>
    </row>
    <row r="13434" spans="65:67" ht="18.75" customHeight="1">
      <c r="BM13434" s="1025"/>
      <c r="BO13434" s="43"/>
    </row>
    <row r="13435" spans="65:67" ht="18.75" customHeight="1">
      <c r="BM13435" s="1025"/>
      <c r="BO13435" s="43"/>
    </row>
    <row r="13436" spans="65:67" ht="18.75" customHeight="1">
      <c r="BM13436" s="1025"/>
      <c r="BO13436" s="43"/>
    </row>
    <row r="13437" spans="65:67" ht="18.75" customHeight="1">
      <c r="BM13437" s="1025"/>
      <c r="BO13437" s="43"/>
    </row>
    <row r="13438" spans="65:67" ht="18.75" customHeight="1">
      <c r="BM13438" s="1025"/>
      <c r="BO13438" s="43"/>
    </row>
    <row r="13439" spans="65:67" ht="18.75" customHeight="1">
      <c r="BM13439" s="1025"/>
      <c r="BO13439" s="43"/>
    </row>
    <row r="13440" spans="65:67" ht="18.75" customHeight="1">
      <c r="BM13440" s="1025"/>
      <c r="BO13440" s="43"/>
    </row>
    <row r="13441" spans="65:67" ht="18.75" customHeight="1">
      <c r="BM13441" s="1025"/>
      <c r="BO13441" s="43"/>
    </row>
    <row r="13442" spans="65:67" ht="18.75" customHeight="1">
      <c r="BM13442" s="1025"/>
      <c r="BO13442" s="43"/>
    </row>
    <row r="13443" spans="65:67" ht="18.75" customHeight="1">
      <c r="BM13443" s="1025"/>
      <c r="BO13443" s="43"/>
    </row>
    <row r="13444" spans="65:67" ht="18.75" customHeight="1">
      <c r="BM13444" s="1025"/>
      <c r="BO13444" s="43"/>
    </row>
    <row r="13445" spans="65:67" ht="18.75" customHeight="1">
      <c r="BM13445" s="1025"/>
      <c r="BO13445" s="43"/>
    </row>
    <row r="13446" spans="65:67" ht="18.75" customHeight="1">
      <c r="BM13446" s="1025"/>
      <c r="BO13446" s="43"/>
    </row>
    <row r="13447" spans="65:67" ht="18.75" customHeight="1">
      <c r="BM13447" s="1025"/>
      <c r="BO13447" s="43"/>
    </row>
    <row r="13448" spans="65:67" ht="18.75" customHeight="1">
      <c r="BM13448" s="1025"/>
      <c r="BO13448" s="43"/>
    </row>
    <row r="13449" spans="65:67" ht="18.75" customHeight="1">
      <c r="BM13449" s="1025"/>
      <c r="BO13449" s="43"/>
    </row>
    <row r="13450" spans="65:67" ht="18.75" customHeight="1">
      <c r="BM13450" s="1025"/>
      <c r="BO13450" s="43"/>
    </row>
    <row r="13451" spans="65:67" ht="18.75" customHeight="1">
      <c r="BM13451" s="1025"/>
      <c r="BO13451" s="43"/>
    </row>
    <row r="13452" spans="65:67" ht="18.75" customHeight="1">
      <c r="BM13452" s="1025"/>
      <c r="BO13452" s="43"/>
    </row>
    <row r="13453" spans="65:67" ht="18.75" customHeight="1">
      <c r="BM13453" s="1025"/>
      <c r="BO13453" s="43"/>
    </row>
    <row r="13454" spans="65:67" ht="18.75" customHeight="1">
      <c r="BM13454" s="1025"/>
      <c r="BO13454" s="43"/>
    </row>
    <row r="13455" spans="65:67" ht="18.75" customHeight="1">
      <c r="BM13455" s="1025"/>
      <c r="BO13455" s="43"/>
    </row>
    <row r="13456" spans="65:67" ht="18.75" customHeight="1">
      <c r="BM13456" s="1025"/>
      <c r="BO13456" s="43"/>
    </row>
    <row r="13457" spans="65:67" ht="18.75" customHeight="1">
      <c r="BM13457" s="1025"/>
      <c r="BO13457" s="43"/>
    </row>
    <row r="13458" spans="65:67" ht="18.75" customHeight="1">
      <c r="BM13458" s="1025"/>
      <c r="BO13458" s="43"/>
    </row>
    <row r="13459" spans="65:67" ht="18.75" customHeight="1">
      <c r="BM13459" s="1025"/>
      <c r="BO13459" s="43"/>
    </row>
    <row r="13460" spans="65:67" ht="18.75" customHeight="1">
      <c r="BM13460" s="1025"/>
      <c r="BO13460" s="43"/>
    </row>
    <row r="13461" spans="65:67" ht="18.75" customHeight="1">
      <c r="BM13461" s="1025"/>
      <c r="BO13461" s="43"/>
    </row>
    <row r="13462" spans="65:67" ht="18.75" customHeight="1">
      <c r="BM13462" s="1025"/>
      <c r="BO13462" s="43"/>
    </row>
    <row r="13463" spans="65:67" ht="18.75" customHeight="1">
      <c r="BM13463" s="1025"/>
      <c r="BO13463" s="43"/>
    </row>
    <row r="13464" spans="65:67" ht="18.75" customHeight="1">
      <c r="BM13464" s="1025"/>
      <c r="BO13464" s="43"/>
    </row>
    <row r="13465" spans="65:67" ht="18.75" customHeight="1">
      <c r="BM13465" s="1025"/>
      <c r="BO13465" s="43"/>
    </row>
    <row r="13466" spans="65:67" ht="18.75" customHeight="1">
      <c r="BM13466" s="1025"/>
      <c r="BO13466" s="43"/>
    </row>
    <row r="13467" spans="65:67" ht="18.75" customHeight="1">
      <c r="BM13467" s="1025"/>
      <c r="BO13467" s="43"/>
    </row>
    <row r="13468" spans="65:67" ht="18.75" customHeight="1">
      <c r="BM13468" s="1025"/>
      <c r="BO13468" s="43"/>
    </row>
    <row r="13469" spans="65:67" ht="18.75" customHeight="1">
      <c r="BM13469" s="1025"/>
      <c r="BO13469" s="43"/>
    </row>
    <row r="13470" spans="65:67" ht="18.75" customHeight="1">
      <c r="BM13470" s="1025"/>
      <c r="BO13470" s="43"/>
    </row>
    <row r="13471" spans="65:67" ht="18.75" customHeight="1">
      <c r="BM13471" s="1025"/>
      <c r="BO13471" s="43"/>
    </row>
    <row r="13472" spans="65:67" ht="18.75" customHeight="1">
      <c r="BM13472" s="1025"/>
      <c r="BO13472" s="43"/>
    </row>
    <row r="13473" spans="65:67" ht="18.75" customHeight="1">
      <c r="BM13473" s="1025"/>
      <c r="BO13473" s="43"/>
    </row>
    <row r="13474" spans="65:67" ht="18.75" customHeight="1">
      <c r="BM13474" s="1025"/>
      <c r="BO13474" s="43"/>
    </row>
    <row r="13475" spans="65:67" ht="18.75" customHeight="1">
      <c r="BM13475" s="1025"/>
      <c r="BO13475" s="43"/>
    </row>
    <row r="13476" spans="65:67" ht="18.75" customHeight="1">
      <c r="BM13476" s="1025"/>
      <c r="BO13476" s="43"/>
    </row>
    <row r="13477" spans="65:67" ht="18.75" customHeight="1">
      <c r="BM13477" s="1025"/>
      <c r="BO13477" s="43"/>
    </row>
    <row r="13478" spans="65:67" ht="18.75" customHeight="1">
      <c r="BM13478" s="1025"/>
      <c r="BO13478" s="43"/>
    </row>
    <row r="13479" spans="65:67" ht="18.75" customHeight="1">
      <c r="BM13479" s="1025"/>
      <c r="BO13479" s="43"/>
    </row>
    <row r="13480" spans="65:67" ht="18.75" customHeight="1">
      <c r="BM13480" s="1025"/>
      <c r="BO13480" s="43"/>
    </row>
    <row r="13481" spans="65:67" ht="18.75" customHeight="1">
      <c r="BM13481" s="1025"/>
      <c r="BO13481" s="43"/>
    </row>
    <row r="13482" spans="65:67" ht="18.75" customHeight="1">
      <c r="BM13482" s="1025"/>
      <c r="BO13482" s="43"/>
    </row>
    <row r="13483" spans="65:67" ht="18.75" customHeight="1">
      <c r="BM13483" s="1025"/>
      <c r="BO13483" s="43"/>
    </row>
    <row r="13484" spans="65:67" ht="18.75" customHeight="1">
      <c r="BM13484" s="1025"/>
      <c r="BO13484" s="43"/>
    </row>
    <row r="13485" spans="65:67" ht="18.75" customHeight="1">
      <c r="BM13485" s="1025"/>
      <c r="BO13485" s="43"/>
    </row>
    <row r="13486" spans="65:67" ht="18.75" customHeight="1">
      <c r="BM13486" s="1025"/>
      <c r="BO13486" s="43"/>
    </row>
    <row r="13487" spans="65:67" ht="18.75" customHeight="1">
      <c r="BM13487" s="1025"/>
      <c r="BO13487" s="43"/>
    </row>
    <row r="13488" spans="65:67" ht="18.75" customHeight="1">
      <c r="BM13488" s="1025"/>
      <c r="BO13488" s="43"/>
    </row>
    <row r="13489" spans="65:67" ht="18.75" customHeight="1">
      <c r="BM13489" s="1025"/>
      <c r="BO13489" s="43"/>
    </row>
    <row r="13490" spans="65:67" ht="18.75" customHeight="1">
      <c r="BM13490" s="1025"/>
      <c r="BO13490" s="43"/>
    </row>
    <row r="13491" spans="65:67" ht="18.75" customHeight="1">
      <c r="BM13491" s="1025"/>
      <c r="BO13491" s="43"/>
    </row>
    <row r="13492" spans="65:67" ht="18.75" customHeight="1">
      <c r="BM13492" s="1025"/>
      <c r="BO13492" s="43"/>
    </row>
    <row r="13493" spans="65:67" ht="18.75" customHeight="1">
      <c r="BM13493" s="1025"/>
      <c r="BO13493" s="43"/>
    </row>
    <row r="13494" spans="65:67" ht="18.75" customHeight="1">
      <c r="BM13494" s="1025"/>
      <c r="BO13494" s="43"/>
    </row>
    <row r="13495" spans="65:67" ht="18.75" customHeight="1">
      <c r="BM13495" s="1025"/>
      <c r="BO13495" s="43"/>
    </row>
    <row r="13496" spans="65:67" ht="18.75" customHeight="1">
      <c r="BM13496" s="1025"/>
      <c r="BO13496" s="43"/>
    </row>
    <row r="13497" spans="65:67" ht="18.75" customHeight="1">
      <c r="BM13497" s="1025"/>
      <c r="BO13497" s="43"/>
    </row>
    <row r="13498" spans="65:67" ht="18.75" customHeight="1">
      <c r="BM13498" s="1025"/>
      <c r="BO13498" s="43"/>
    </row>
    <row r="13499" spans="65:67" ht="18.75" customHeight="1">
      <c r="BM13499" s="1025"/>
      <c r="BO13499" s="43"/>
    </row>
    <row r="13500" spans="65:67" ht="18.75" customHeight="1">
      <c r="BM13500" s="1025"/>
      <c r="BO13500" s="43"/>
    </row>
    <row r="13501" spans="65:67" ht="18.75" customHeight="1">
      <c r="BM13501" s="1025"/>
      <c r="BO13501" s="43"/>
    </row>
    <row r="13502" spans="65:67" ht="18.75" customHeight="1">
      <c r="BM13502" s="1025"/>
      <c r="BO13502" s="43"/>
    </row>
    <row r="13503" spans="65:67" ht="18.75" customHeight="1">
      <c r="BM13503" s="1025"/>
      <c r="BO13503" s="43"/>
    </row>
    <row r="13504" spans="65:67" ht="18.75" customHeight="1">
      <c r="BM13504" s="1025"/>
      <c r="BO13504" s="43"/>
    </row>
    <row r="13505" spans="65:67" ht="18.75" customHeight="1">
      <c r="BM13505" s="1025"/>
      <c r="BO13505" s="43"/>
    </row>
    <row r="13506" spans="65:67" ht="18.75" customHeight="1">
      <c r="BM13506" s="1025"/>
      <c r="BO13506" s="43"/>
    </row>
    <row r="13507" spans="65:67" ht="18.75" customHeight="1">
      <c r="BM13507" s="1025"/>
      <c r="BO13507" s="43"/>
    </row>
    <row r="13508" spans="65:67" ht="18.75" customHeight="1">
      <c r="BM13508" s="1025"/>
      <c r="BO13508" s="43"/>
    </row>
    <row r="13509" spans="65:67" ht="18.75" customHeight="1">
      <c r="BM13509" s="1025"/>
      <c r="BO13509" s="43"/>
    </row>
    <row r="13510" spans="65:67" ht="18.75" customHeight="1">
      <c r="BM13510" s="1025"/>
      <c r="BO13510" s="43"/>
    </row>
    <row r="13511" spans="65:67" ht="18.75" customHeight="1">
      <c r="BM13511" s="1025"/>
      <c r="BO13511" s="43"/>
    </row>
    <row r="13512" spans="65:67" ht="18.75" customHeight="1">
      <c r="BM13512" s="1025"/>
      <c r="BO13512" s="43"/>
    </row>
    <row r="13513" spans="65:67" ht="18.75" customHeight="1">
      <c r="BM13513" s="1025"/>
      <c r="BO13513" s="43"/>
    </row>
    <row r="13514" spans="65:67" ht="18.75" customHeight="1">
      <c r="BM13514" s="1025"/>
      <c r="BO13514" s="43"/>
    </row>
    <row r="13515" spans="65:67" ht="18.75" customHeight="1">
      <c r="BM13515" s="1025"/>
      <c r="BO13515" s="43"/>
    </row>
    <row r="13516" spans="65:67" ht="18.75" customHeight="1">
      <c r="BM13516" s="1025"/>
      <c r="BO13516" s="43"/>
    </row>
    <row r="13517" spans="65:67" ht="18.75" customHeight="1">
      <c r="BM13517" s="1025"/>
      <c r="BO13517" s="43"/>
    </row>
    <row r="13518" spans="65:67" ht="18.75" customHeight="1">
      <c r="BM13518" s="1025"/>
      <c r="BO13518" s="43"/>
    </row>
    <row r="13519" spans="65:67" ht="18.75" customHeight="1">
      <c r="BM13519" s="1025"/>
      <c r="BO13519" s="43"/>
    </row>
    <row r="13520" spans="65:67" ht="18.75" customHeight="1">
      <c r="BM13520" s="1025"/>
      <c r="BO13520" s="43"/>
    </row>
    <row r="13521" spans="65:67" ht="18.75" customHeight="1">
      <c r="BM13521" s="1025"/>
      <c r="BO13521" s="43"/>
    </row>
    <row r="13522" spans="65:67" ht="18.75" customHeight="1">
      <c r="BM13522" s="1025"/>
      <c r="BO13522" s="43"/>
    </row>
    <row r="13523" spans="65:67" ht="18.75" customHeight="1">
      <c r="BM13523" s="1025"/>
      <c r="BO13523" s="43"/>
    </row>
    <row r="13524" spans="65:67" ht="18.75" customHeight="1">
      <c r="BM13524" s="1025"/>
      <c r="BO13524" s="43"/>
    </row>
    <row r="13525" spans="65:67" ht="18.75" customHeight="1">
      <c r="BM13525" s="1025"/>
      <c r="BO13525" s="43"/>
    </row>
    <row r="13526" spans="65:67" ht="18.75" customHeight="1">
      <c r="BM13526" s="1025"/>
      <c r="BO13526" s="43"/>
    </row>
    <row r="13527" spans="65:67" ht="18.75" customHeight="1">
      <c r="BM13527" s="1025"/>
      <c r="BO13527" s="43"/>
    </row>
    <row r="13528" spans="65:67" ht="18.75" customHeight="1">
      <c r="BM13528" s="1025"/>
      <c r="BO13528" s="43"/>
    </row>
    <row r="13529" spans="65:67" ht="18.75" customHeight="1">
      <c r="BM13529" s="1025"/>
      <c r="BO13529" s="43"/>
    </row>
    <row r="13530" spans="65:67" ht="18.75" customHeight="1">
      <c r="BM13530" s="1025"/>
      <c r="BO13530" s="43"/>
    </row>
    <row r="13531" spans="65:67" ht="18.75" customHeight="1">
      <c r="BM13531" s="1025"/>
      <c r="BO13531" s="43"/>
    </row>
    <row r="13532" spans="65:67" ht="18.75" customHeight="1">
      <c r="BM13532" s="1025"/>
      <c r="BO13532" s="43"/>
    </row>
    <row r="13533" spans="65:67" ht="18.75" customHeight="1">
      <c r="BM13533" s="1025"/>
      <c r="BO13533" s="43"/>
    </row>
    <row r="13534" spans="65:67" ht="18.75" customHeight="1">
      <c r="BM13534" s="1025"/>
      <c r="BO13534" s="43"/>
    </row>
    <row r="13535" spans="65:67" ht="18.75" customHeight="1">
      <c r="BM13535" s="1025"/>
      <c r="BO13535" s="43"/>
    </row>
    <row r="13536" spans="65:67" ht="18.75" customHeight="1">
      <c r="BM13536" s="1025"/>
      <c r="BO13536" s="43"/>
    </row>
    <row r="13537" spans="65:67" ht="18.75" customHeight="1">
      <c r="BM13537" s="1025"/>
      <c r="BO13537" s="43"/>
    </row>
    <row r="13538" spans="65:67" ht="18.75" customHeight="1">
      <c r="BM13538" s="1025"/>
      <c r="BO13538" s="43"/>
    </row>
    <row r="13539" spans="65:67" ht="18.75" customHeight="1">
      <c r="BM13539" s="1025"/>
      <c r="BO13539" s="43"/>
    </row>
    <row r="13540" spans="65:67" ht="18.75" customHeight="1">
      <c r="BM13540" s="1025"/>
      <c r="BO13540" s="43"/>
    </row>
    <row r="13541" spans="65:67" ht="18.75" customHeight="1">
      <c r="BM13541" s="1025"/>
      <c r="BO13541" s="43"/>
    </row>
    <row r="13542" spans="65:67" ht="18.75" customHeight="1">
      <c r="BM13542" s="1025"/>
      <c r="BO13542" s="43"/>
    </row>
    <row r="13543" spans="65:67" ht="18.75" customHeight="1">
      <c r="BM13543" s="1025"/>
      <c r="BO13543" s="43"/>
    </row>
    <row r="13544" spans="65:67" ht="18.75" customHeight="1">
      <c r="BM13544" s="1025"/>
      <c r="BO13544" s="43"/>
    </row>
    <row r="13545" spans="65:67" ht="18.75" customHeight="1">
      <c r="BM13545" s="1025"/>
      <c r="BO13545" s="43"/>
    </row>
    <row r="13546" spans="65:67" ht="18.75" customHeight="1">
      <c r="BM13546" s="1025"/>
      <c r="BO13546" s="43"/>
    </row>
    <row r="13547" spans="65:67" ht="18.75" customHeight="1">
      <c r="BM13547" s="1025"/>
      <c r="BO13547" s="43"/>
    </row>
    <row r="13548" spans="65:67" ht="18.75" customHeight="1">
      <c r="BM13548" s="1025"/>
      <c r="BO13548" s="43"/>
    </row>
    <row r="13549" spans="65:67" ht="18.75" customHeight="1">
      <c r="BM13549" s="1025"/>
      <c r="BO13549" s="43"/>
    </row>
    <row r="13550" spans="65:67" ht="18.75" customHeight="1">
      <c r="BM13550" s="1025"/>
      <c r="BO13550" s="43"/>
    </row>
    <row r="13551" spans="65:67" ht="18.75" customHeight="1">
      <c r="BM13551" s="1025"/>
      <c r="BO13551" s="43"/>
    </row>
    <row r="13552" spans="65:67" ht="18.75" customHeight="1">
      <c r="BM13552" s="1025"/>
      <c r="BO13552" s="43"/>
    </row>
    <row r="13553" spans="65:67" ht="18.75" customHeight="1">
      <c r="BM13553" s="1025"/>
      <c r="BO13553" s="43"/>
    </row>
    <row r="13554" spans="65:67" ht="18.75" customHeight="1">
      <c r="BM13554" s="1025"/>
      <c r="BO13554" s="43"/>
    </row>
    <row r="13555" spans="65:67" ht="18.75" customHeight="1">
      <c r="BM13555" s="1025"/>
      <c r="BO13555" s="43"/>
    </row>
    <row r="13556" spans="65:67" ht="18.75" customHeight="1">
      <c r="BM13556" s="1025"/>
      <c r="BO13556" s="43"/>
    </row>
    <row r="13557" spans="65:67" ht="18.75" customHeight="1">
      <c r="BM13557" s="1025"/>
      <c r="BO13557" s="43"/>
    </row>
    <row r="13558" spans="65:67" ht="18.75" customHeight="1">
      <c r="BM13558" s="1025"/>
      <c r="BO13558" s="43"/>
    </row>
    <row r="13559" spans="65:67" ht="18.75" customHeight="1">
      <c r="BM13559" s="1025"/>
      <c r="BO13559" s="43"/>
    </row>
    <row r="13560" spans="65:67" ht="18.75" customHeight="1">
      <c r="BM13560" s="1025"/>
      <c r="BO13560" s="43"/>
    </row>
    <row r="13561" spans="65:67" ht="18.75" customHeight="1">
      <c r="BM13561" s="1025"/>
      <c r="BO13561" s="43"/>
    </row>
    <row r="13562" spans="65:67" ht="18.75" customHeight="1">
      <c r="BM13562" s="1025"/>
      <c r="BO13562" s="43"/>
    </row>
    <row r="13563" spans="65:67" ht="18.75" customHeight="1">
      <c r="BM13563" s="1025"/>
      <c r="BO13563" s="43"/>
    </row>
    <row r="13564" spans="65:67" ht="18.75" customHeight="1">
      <c r="BM13564" s="1025"/>
      <c r="BO13564" s="43"/>
    </row>
    <row r="13565" spans="65:67" ht="18.75" customHeight="1">
      <c r="BM13565" s="1025"/>
      <c r="BO13565" s="43"/>
    </row>
    <row r="13566" spans="65:67" ht="18.75" customHeight="1">
      <c r="BM13566" s="1025"/>
      <c r="BO13566" s="43"/>
    </row>
    <row r="13567" spans="65:67" ht="18.75" customHeight="1">
      <c r="BM13567" s="1025"/>
      <c r="BO13567" s="43"/>
    </row>
    <row r="13568" spans="65:67" ht="18.75" customHeight="1">
      <c r="BM13568" s="1025"/>
      <c r="BO13568" s="43"/>
    </row>
    <row r="13569" spans="65:67" ht="18.75" customHeight="1">
      <c r="BM13569" s="1025"/>
      <c r="BO13569" s="43"/>
    </row>
    <row r="13570" spans="65:67" ht="18.75" customHeight="1">
      <c r="BM13570" s="1025"/>
      <c r="BO13570" s="43"/>
    </row>
    <row r="13571" spans="65:67" ht="18.75" customHeight="1">
      <c r="BM13571" s="1025"/>
      <c r="BO13571" s="43"/>
    </row>
    <row r="13572" spans="65:67" ht="18.75" customHeight="1">
      <c r="BM13572" s="1025"/>
      <c r="BO13572" s="43"/>
    </row>
    <row r="13573" spans="65:67" ht="18.75" customHeight="1">
      <c r="BM13573" s="1025"/>
      <c r="BO13573" s="43"/>
    </row>
    <row r="13574" spans="65:67" ht="18.75" customHeight="1">
      <c r="BM13574" s="1025"/>
      <c r="BO13574" s="43"/>
    </row>
    <row r="13575" spans="65:67" ht="18.75" customHeight="1">
      <c r="BM13575" s="1025"/>
      <c r="BO13575" s="43"/>
    </row>
    <row r="13576" spans="65:67" ht="18.75" customHeight="1">
      <c r="BM13576" s="1025"/>
      <c r="BO13576" s="43"/>
    </row>
    <row r="13577" spans="65:67" ht="18.75" customHeight="1">
      <c r="BM13577" s="1025"/>
      <c r="BO13577" s="43"/>
    </row>
    <row r="13578" spans="65:67" ht="18.75" customHeight="1">
      <c r="BM13578" s="1025"/>
      <c r="BO13578" s="43"/>
    </row>
    <row r="13579" spans="65:67" ht="18.75" customHeight="1">
      <c r="BM13579" s="1025"/>
      <c r="BO13579" s="43"/>
    </row>
    <row r="13580" spans="65:67" ht="18.75" customHeight="1">
      <c r="BM13580" s="1025"/>
      <c r="BO13580" s="43"/>
    </row>
    <row r="13581" spans="65:67" ht="18.75" customHeight="1">
      <c r="BM13581" s="1025"/>
      <c r="BO13581" s="43"/>
    </row>
    <row r="13582" spans="65:67" ht="18.75" customHeight="1">
      <c r="BM13582" s="1025"/>
      <c r="BO13582" s="43"/>
    </row>
    <row r="13583" spans="65:67" ht="18.75" customHeight="1">
      <c r="BM13583" s="1025"/>
      <c r="BO13583" s="43"/>
    </row>
    <row r="13584" spans="65:67" ht="18.75" customHeight="1">
      <c r="BM13584" s="1025"/>
      <c r="BO13584" s="43"/>
    </row>
    <row r="13585" spans="65:67" ht="18.75" customHeight="1">
      <c r="BM13585" s="1025"/>
      <c r="BO13585" s="43"/>
    </row>
    <row r="13586" spans="65:67" ht="18.75" customHeight="1">
      <c r="BM13586" s="1025"/>
      <c r="BO13586" s="43"/>
    </row>
    <row r="13587" spans="65:67" ht="18.75" customHeight="1">
      <c r="BM13587" s="1025"/>
      <c r="BO13587" s="43"/>
    </row>
    <row r="13588" spans="65:67" ht="18.75" customHeight="1">
      <c r="BM13588" s="1025"/>
      <c r="BO13588" s="43"/>
    </row>
    <row r="13589" spans="65:67" ht="18.75" customHeight="1">
      <c r="BM13589" s="1025"/>
      <c r="BO13589" s="43"/>
    </row>
    <row r="13590" spans="65:67" ht="18.75" customHeight="1">
      <c r="BM13590" s="1025"/>
      <c r="BO13590" s="43"/>
    </row>
    <row r="13591" spans="65:67" ht="18.75" customHeight="1">
      <c r="BM13591" s="1025"/>
      <c r="BO13591" s="43"/>
    </row>
    <row r="13592" spans="65:67" ht="18.75" customHeight="1">
      <c r="BM13592" s="1025"/>
      <c r="BO13592" s="43"/>
    </row>
    <row r="13593" spans="65:67" ht="18.75" customHeight="1">
      <c r="BM13593" s="1025"/>
      <c r="BO13593" s="43"/>
    </row>
    <row r="13594" spans="65:67" ht="18.75" customHeight="1">
      <c r="BM13594" s="1025"/>
      <c r="BO13594" s="43"/>
    </row>
    <row r="13595" spans="65:67" ht="18.75" customHeight="1">
      <c r="BM13595" s="1025"/>
      <c r="BO13595" s="43"/>
    </row>
    <row r="13596" spans="65:67" ht="18.75" customHeight="1">
      <c r="BM13596" s="1025"/>
      <c r="BO13596" s="43"/>
    </row>
    <row r="13597" spans="65:67" ht="18.75" customHeight="1">
      <c r="BM13597" s="1025"/>
      <c r="BO13597" s="43"/>
    </row>
    <row r="13598" spans="65:67" ht="18.75" customHeight="1">
      <c r="BM13598" s="1025"/>
      <c r="BO13598" s="43"/>
    </row>
    <row r="13599" spans="65:67" ht="18.75" customHeight="1">
      <c r="BM13599" s="1025"/>
      <c r="BO13599" s="43"/>
    </row>
    <row r="13600" spans="65:67" ht="18.75" customHeight="1">
      <c r="BM13600" s="1025"/>
      <c r="BO13600" s="43"/>
    </row>
    <row r="13601" spans="65:67" ht="18.75" customHeight="1">
      <c r="BM13601" s="1025"/>
      <c r="BO13601" s="43"/>
    </row>
    <row r="13602" spans="65:67" ht="18.75" customHeight="1">
      <c r="BM13602" s="1025"/>
      <c r="BO13602" s="43"/>
    </row>
    <row r="13603" spans="65:67" ht="18.75" customHeight="1">
      <c r="BM13603" s="1025"/>
      <c r="BO13603" s="43"/>
    </row>
    <row r="13604" spans="65:67" ht="18.75" customHeight="1">
      <c r="BM13604" s="1025"/>
      <c r="BO13604" s="43"/>
    </row>
    <row r="13605" spans="65:67" ht="18.75" customHeight="1">
      <c r="BM13605" s="1025"/>
      <c r="BO13605" s="43"/>
    </row>
    <row r="13606" spans="65:67" ht="18.75" customHeight="1">
      <c r="BM13606" s="1025"/>
      <c r="BO13606" s="43"/>
    </row>
    <row r="13607" spans="65:67" ht="18.75" customHeight="1">
      <c r="BM13607" s="1025"/>
      <c r="BO13607" s="43"/>
    </row>
    <row r="13608" spans="65:67" ht="18.75" customHeight="1">
      <c r="BM13608" s="1025"/>
      <c r="BO13608" s="43"/>
    </row>
    <row r="13609" spans="65:67" ht="18.75" customHeight="1">
      <c r="BM13609" s="1025"/>
      <c r="BO13609" s="43"/>
    </row>
    <row r="13610" spans="65:67" ht="18.75" customHeight="1">
      <c r="BM13610" s="1025"/>
      <c r="BO13610" s="43"/>
    </row>
    <row r="13611" spans="65:67" ht="18.75" customHeight="1">
      <c r="BM13611" s="1025"/>
      <c r="BO13611" s="43"/>
    </row>
    <row r="13612" spans="65:67" ht="18.75" customHeight="1">
      <c r="BM13612" s="1025"/>
      <c r="BO13612" s="43"/>
    </row>
    <row r="13613" spans="65:67" ht="18.75" customHeight="1">
      <c r="BM13613" s="1025"/>
      <c r="BO13613" s="43"/>
    </row>
    <row r="13614" spans="65:67" ht="18.75" customHeight="1">
      <c r="BM13614" s="1025"/>
      <c r="BO13614" s="43"/>
    </row>
    <row r="13615" spans="65:67" ht="18.75" customHeight="1">
      <c r="BM13615" s="1025"/>
      <c r="BO13615" s="43"/>
    </row>
    <row r="13616" spans="65:67" ht="18.75" customHeight="1">
      <c r="BM13616" s="1025"/>
      <c r="BO13616" s="43"/>
    </row>
    <row r="13617" spans="65:67" ht="18.75" customHeight="1">
      <c r="BM13617" s="1025"/>
      <c r="BO13617" s="43"/>
    </row>
    <row r="13618" spans="65:67" ht="18.75" customHeight="1">
      <c r="BM13618" s="1025"/>
      <c r="BO13618" s="43"/>
    </row>
    <row r="13619" spans="65:67" ht="18.75" customHeight="1">
      <c r="BM13619" s="1025"/>
      <c r="BO13619" s="43"/>
    </row>
    <row r="13620" spans="65:67" ht="18.75" customHeight="1">
      <c r="BM13620" s="1025"/>
      <c r="BO13620" s="43"/>
    </row>
    <row r="13621" spans="65:67" ht="18.75" customHeight="1">
      <c r="BM13621" s="1025"/>
      <c r="BO13621" s="43"/>
    </row>
    <row r="13622" spans="65:67" ht="18.75" customHeight="1">
      <c r="BM13622" s="1025"/>
      <c r="BO13622" s="43"/>
    </row>
    <row r="13623" spans="65:67" ht="18.75" customHeight="1">
      <c r="BM13623" s="1025"/>
      <c r="BO13623" s="43"/>
    </row>
    <row r="13624" spans="65:67" ht="18.75" customHeight="1">
      <c r="BM13624" s="1025"/>
      <c r="BO13624" s="43"/>
    </row>
    <row r="13625" spans="65:67" ht="18.75" customHeight="1">
      <c r="BM13625" s="1025"/>
      <c r="BO13625" s="43"/>
    </row>
    <row r="13626" spans="65:67" ht="18.75" customHeight="1">
      <c r="BM13626" s="1025"/>
      <c r="BO13626" s="43"/>
    </row>
    <row r="13627" spans="65:67" ht="18.75" customHeight="1">
      <c r="BM13627" s="1025"/>
      <c r="BO13627" s="43"/>
    </row>
    <row r="13628" spans="65:67" ht="18.75" customHeight="1">
      <c r="BM13628" s="1025"/>
      <c r="BO13628" s="43"/>
    </row>
    <row r="13629" spans="65:67" ht="18.75" customHeight="1">
      <c r="BM13629" s="1025"/>
      <c r="BO13629" s="43"/>
    </row>
    <row r="13630" spans="65:67" ht="18.75" customHeight="1">
      <c r="BM13630" s="1025"/>
      <c r="BO13630" s="43"/>
    </row>
    <row r="13631" spans="65:67" ht="18.75" customHeight="1">
      <c r="BM13631" s="1025"/>
      <c r="BO13631" s="43"/>
    </row>
    <row r="13632" spans="65:67" ht="18.75" customHeight="1">
      <c r="BM13632" s="1025"/>
      <c r="BO13632" s="43"/>
    </row>
    <row r="13633" spans="65:67" ht="18.75" customHeight="1">
      <c r="BM13633" s="1025"/>
      <c r="BO13633" s="43"/>
    </row>
    <row r="13634" spans="65:67" ht="18.75" customHeight="1">
      <c r="BM13634" s="1025"/>
      <c r="BO13634" s="43"/>
    </row>
    <row r="13635" spans="65:67" ht="18.75" customHeight="1">
      <c r="BM13635" s="1025"/>
      <c r="BO13635" s="43"/>
    </row>
    <row r="13636" spans="65:67" ht="18.75" customHeight="1">
      <c r="BM13636" s="1025"/>
      <c r="BO13636" s="43"/>
    </row>
    <row r="13637" spans="65:67" ht="18.75" customHeight="1">
      <c r="BM13637" s="1025"/>
      <c r="BO13637" s="43"/>
    </row>
    <row r="13638" spans="65:67" ht="18.75" customHeight="1">
      <c r="BM13638" s="1025"/>
      <c r="BO13638" s="43"/>
    </row>
    <row r="13639" spans="65:67" ht="18.75" customHeight="1">
      <c r="BM13639" s="1025"/>
      <c r="BO13639" s="43"/>
    </row>
    <row r="13640" spans="65:67" ht="18.75" customHeight="1">
      <c r="BM13640" s="1025"/>
      <c r="BO13640" s="43"/>
    </row>
    <row r="13641" spans="65:67" ht="18.75" customHeight="1">
      <c r="BM13641" s="1025"/>
      <c r="BO13641" s="43"/>
    </row>
    <row r="13642" spans="65:67" ht="18.75" customHeight="1">
      <c r="BM13642" s="1025"/>
      <c r="BO13642" s="43"/>
    </row>
    <row r="13643" spans="65:67" ht="18.75" customHeight="1">
      <c r="BM13643" s="1025"/>
      <c r="BO13643" s="43"/>
    </row>
    <row r="13644" spans="65:67" ht="18.75" customHeight="1">
      <c r="BM13644" s="1025"/>
      <c r="BO13644" s="43"/>
    </row>
    <row r="13645" spans="65:67" ht="18.75" customHeight="1">
      <c r="BM13645" s="1025"/>
      <c r="BO13645" s="43"/>
    </row>
    <row r="13646" spans="65:67" ht="18.75" customHeight="1">
      <c r="BM13646" s="1025"/>
      <c r="BO13646" s="43"/>
    </row>
    <row r="13647" spans="65:67" ht="18.75" customHeight="1">
      <c r="BM13647" s="1025"/>
      <c r="BO13647" s="43"/>
    </row>
    <row r="13648" spans="65:67" ht="18.75" customHeight="1">
      <c r="BM13648" s="1025"/>
      <c r="BO13648" s="43"/>
    </row>
    <row r="13649" spans="65:67" ht="18.75" customHeight="1">
      <c r="BM13649" s="1025"/>
      <c r="BO13649" s="43"/>
    </row>
    <row r="13650" spans="65:67" ht="18.75" customHeight="1">
      <c r="BM13650" s="1025"/>
      <c r="BO13650" s="43"/>
    </row>
    <row r="13651" spans="65:67" ht="18.75" customHeight="1">
      <c r="BM13651" s="1025"/>
      <c r="BO13651" s="43"/>
    </row>
    <row r="13652" spans="65:67" ht="18.75" customHeight="1">
      <c r="BM13652" s="1025"/>
      <c r="BO13652" s="43"/>
    </row>
    <row r="13653" spans="65:67" ht="18.75" customHeight="1">
      <c r="BM13653" s="1025"/>
      <c r="BO13653" s="43"/>
    </row>
    <row r="13654" spans="65:67" ht="18.75" customHeight="1">
      <c r="BM13654" s="1025"/>
      <c r="BO13654" s="43"/>
    </row>
    <row r="13655" spans="65:67" ht="18.75" customHeight="1">
      <c r="BM13655" s="1025"/>
      <c r="BO13655" s="43"/>
    </row>
    <row r="13656" spans="65:67" ht="18.75" customHeight="1">
      <c r="BM13656" s="1025"/>
      <c r="BO13656" s="43"/>
    </row>
    <row r="13657" spans="65:67" ht="18.75" customHeight="1">
      <c r="BM13657" s="1025"/>
      <c r="BO13657" s="43"/>
    </row>
    <row r="13658" spans="65:67" ht="18.75" customHeight="1">
      <c r="BM13658" s="1025"/>
      <c r="BO13658" s="43"/>
    </row>
    <row r="13659" spans="65:67" ht="18.75" customHeight="1">
      <c r="BM13659" s="1025"/>
      <c r="BO13659" s="43"/>
    </row>
    <row r="13660" spans="65:67" ht="18.75" customHeight="1">
      <c r="BM13660" s="1025"/>
      <c r="BO13660" s="43"/>
    </row>
    <row r="13661" spans="65:67" ht="18.75" customHeight="1">
      <c r="BM13661" s="1025"/>
      <c r="BO13661" s="43"/>
    </row>
    <row r="13662" spans="65:67" ht="18.75" customHeight="1">
      <c r="BM13662" s="1025"/>
      <c r="BO13662" s="43"/>
    </row>
    <row r="13663" spans="65:67" ht="18.75" customHeight="1">
      <c r="BM13663" s="1025"/>
      <c r="BO13663" s="43"/>
    </row>
    <row r="13664" spans="65:67" ht="18.75" customHeight="1">
      <c r="BM13664" s="1025"/>
      <c r="BO13664" s="43"/>
    </row>
    <row r="13665" spans="65:67" ht="18.75" customHeight="1">
      <c r="BM13665" s="1025"/>
      <c r="BO13665" s="43"/>
    </row>
    <row r="13666" spans="65:67" ht="18.75" customHeight="1">
      <c r="BM13666" s="1025"/>
      <c r="BO13666" s="43"/>
    </row>
    <row r="13667" spans="65:67" ht="18.75" customHeight="1">
      <c r="BM13667" s="1025"/>
      <c r="BO13667" s="43"/>
    </row>
    <row r="13668" spans="65:67" ht="18.75" customHeight="1">
      <c r="BM13668" s="1025"/>
      <c r="BO13668" s="43"/>
    </row>
    <row r="13669" spans="65:67" ht="18.75" customHeight="1">
      <c r="BM13669" s="1025"/>
      <c r="BO13669" s="43"/>
    </row>
    <row r="13670" spans="65:67" ht="18.75" customHeight="1">
      <c r="BM13670" s="1025"/>
      <c r="BO13670" s="43"/>
    </row>
    <row r="13671" spans="65:67" ht="18.75" customHeight="1">
      <c r="BM13671" s="1025"/>
      <c r="BO13671" s="43"/>
    </row>
    <row r="13672" spans="65:67" ht="18.75" customHeight="1">
      <c r="BM13672" s="1025"/>
      <c r="BO13672" s="43"/>
    </row>
    <row r="13673" spans="65:67" ht="18.75" customHeight="1">
      <c r="BM13673" s="1025"/>
      <c r="BO13673" s="43"/>
    </row>
    <row r="13674" spans="65:67" ht="18.75" customHeight="1">
      <c r="BM13674" s="1025"/>
      <c r="BO13674" s="43"/>
    </row>
    <row r="13675" spans="65:67" ht="18.75" customHeight="1">
      <c r="BM13675" s="1025"/>
      <c r="BO13675" s="43"/>
    </row>
    <row r="13676" spans="65:67" ht="18.75" customHeight="1">
      <c r="BM13676" s="1025"/>
      <c r="BO13676" s="43"/>
    </row>
    <row r="13677" spans="65:67" ht="18.75" customHeight="1">
      <c r="BM13677" s="1025"/>
      <c r="BO13677" s="43"/>
    </row>
    <row r="13678" spans="65:67" ht="18.75" customHeight="1">
      <c r="BM13678" s="1025"/>
      <c r="BO13678" s="43"/>
    </row>
    <row r="13679" spans="65:67" ht="18.75" customHeight="1">
      <c r="BM13679" s="1025"/>
      <c r="BO13679" s="43"/>
    </row>
    <row r="13680" spans="65:67" ht="18.75" customHeight="1">
      <c r="BM13680" s="1025"/>
      <c r="BO13680" s="43"/>
    </row>
    <row r="13681" spans="65:67" ht="18.75" customHeight="1">
      <c r="BM13681" s="1025"/>
      <c r="BO13681" s="43"/>
    </row>
    <row r="13682" spans="65:67" ht="18.75" customHeight="1">
      <c r="BM13682" s="1025"/>
      <c r="BO13682" s="43"/>
    </row>
    <row r="13683" spans="65:67" ht="18.75" customHeight="1">
      <c r="BM13683" s="1025"/>
      <c r="BO13683" s="43"/>
    </row>
    <row r="13684" spans="65:67" ht="18.75" customHeight="1">
      <c r="BM13684" s="1025"/>
      <c r="BO13684" s="43"/>
    </row>
    <row r="13685" spans="65:67" ht="18.75" customHeight="1">
      <c r="BM13685" s="1025"/>
      <c r="BO13685" s="43"/>
    </row>
    <row r="13686" spans="65:67" ht="18.75" customHeight="1">
      <c r="BM13686" s="1025"/>
      <c r="BO13686" s="43"/>
    </row>
    <row r="13687" spans="65:67" ht="18.75" customHeight="1">
      <c r="BM13687" s="1025"/>
      <c r="BO13687" s="43"/>
    </row>
    <row r="13688" spans="65:67" ht="18.75" customHeight="1">
      <c r="BM13688" s="1025"/>
      <c r="BO13688" s="43"/>
    </row>
    <row r="13689" spans="65:67" ht="18.75" customHeight="1">
      <c r="BM13689" s="1025"/>
      <c r="BO13689" s="43"/>
    </row>
    <row r="13690" spans="65:67" ht="18.75" customHeight="1">
      <c r="BM13690" s="1025"/>
      <c r="BO13690" s="43"/>
    </row>
    <row r="13691" spans="65:67" ht="18.75" customHeight="1">
      <c r="BM13691" s="1025"/>
      <c r="BO13691" s="43"/>
    </row>
    <row r="13692" spans="65:67" ht="18.75" customHeight="1">
      <c r="BM13692" s="1025"/>
      <c r="BO13692" s="43"/>
    </row>
    <row r="13693" spans="65:67" ht="18.75" customHeight="1">
      <c r="BM13693" s="1025"/>
      <c r="BO13693" s="43"/>
    </row>
    <row r="13694" spans="65:67" ht="18.75" customHeight="1">
      <c r="BM13694" s="1025"/>
      <c r="BO13694" s="43"/>
    </row>
    <row r="13695" spans="65:67" ht="18.75" customHeight="1">
      <c r="BM13695" s="1025"/>
      <c r="BO13695" s="43"/>
    </row>
    <row r="13696" spans="65:67" ht="18.75" customHeight="1">
      <c r="BM13696" s="1025"/>
      <c r="BO13696" s="43"/>
    </row>
    <row r="13697" spans="65:67" ht="18.75" customHeight="1">
      <c r="BM13697" s="1025"/>
      <c r="BO13697" s="43"/>
    </row>
    <row r="13698" spans="65:67" ht="18.75" customHeight="1">
      <c r="BM13698" s="1025"/>
      <c r="BO13698" s="43"/>
    </row>
    <row r="13699" spans="65:67" ht="18.75" customHeight="1">
      <c r="BM13699" s="1025"/>
      <c r="BO13699" s="43"/>
    </row>
    <row r="13700" spans="65:67" ht="18.75" customHeight="1">
      <c r="BM13700" s="1025"/>
      <c r="BO13700" s="43"/>
    </row>
    <row r="13701" spans="65:67" ht="18.75" customHeight="1">
      <c r="BM13701" s="1025"/>
      <c r="BO13701" s="43"/>
    </row>
    <row r="13702" spans="65:67" ht="18.75" customHeight="1">
      <c r="BM13702" s="1025"/>
      <c r="BO13702" s="43"/>
    </row>
    <row r="13703" spans="65:67" ht="18.75" customHeight="1">
      <c r="BM13703" s="1025"/>
      <c r="BO13703" s="43"/>
    </row>
    <row r="13704" spans="65:67" ht="18.75" customHeight="1">
      <c r="BM13704" s="1025"/>
      <c r="BO13704" s="43"/>
    </row>
    <row r="13705" spans="65:67" ht="18.75" customHeight="1">
      <c r="BM13705" s="1025"/>
      <c r="BO13705" s="43"/>
    </row>
    <row r="13706" spans="65:67" ht="18.75" customHeight="1">
      <c r="BM13706" s="1025"/>
      <c r="BO13706" s="43"/>
    </row>
    <row r="13707" spans="65:67" ht="18.75" customHeight="1">
      <c r="BM13707" s="1025"/>
      <c r="BO13707" s="43"/>
    </row>
    <row r="13708" spans="65:67" ht="18.75" customHeight="1">
      <c r="BM13708" s="1025"/>
      <c r="BO13708" s="43"/>
    </row>
    <row r="13709" spans="65:67" ht="18.75" customHeight="1">
      <c r="BM13709" s="1025"/>
      <c r="BO13709" s="43"/>
    </row>
    <row r="13710" spans="65:67" ht="18.75" customHeight="1">
      <c r="BM13710" s="1025"/>
      <c r="BO13710" s="43"/>
    </row>
    <row r="13711" spans="65:67" ht="18.75" customHeight="1">
      <c r="BM13711" s="1025"/>
      <c r="BO13711" s="43"/>
    </row>
    <row r="13712" spans="65:67" ht="18.75" customHeight="1">
      <c r="BM13712" s="1025"/>
      <c r="BO13712" s="43"/>
    </row>
    <row r="13713" spans="65:67" ht="18.75" customHeight="1">
      <c r="BM13713" s="1025"/>
      <c r="BO13713" s="43"/>
    </row>
    <row r="13714" spans="65:67" ht="18.75" customHeight="1">
      <c r="BM13714" s="1025"/>
      <c r="BO13714" s="43"/>
    </row>
    <row r="13715" spans="65:67" ht="18.75" customHeight="1">
      <c r="BM13715" s="1025"/>
      <c r="BO13715" s="43"/>
    </row>
    <row r="13716" spans="65:67" ht="18.75" customHeight="1">
      <c r="BM13716" s="1025"/>
      <c r="BO13716" s="43"/>
    </row>
    <row r="13717" spans="65:67" ht="18.75" customHeight="1">
      <c r="BM13717" s="1025"/>
      <c r="BO13717" s="43"/>
    </row>
    <row r="13718" spans="65:67" ht="18.75" customHeight="1">
      <c r="BM13718" s="1025"/>
      <c r="BO13718" s="43"/>
    </row>
    <row r="13719" spans="65:67" ht="18.75" customHeight="1">
      <c r="BM13719" s="1025"/>
      <c r="BO13719" s="43"/>
    </row>
    <row r="13720" spans="65:67" ht="18.75" customHeight="1">
      <c r="BM13720" s="1025"/>
      <c r="BO13720" s="43"/>
    </row>
    <row r="13721" spans="65:67" ht="18.75" customHeight="1">
      <c r="BM13721" s="1025"/>
      <c r="BO13721" s="43"/>
    </row>
    <row r="13722" spans="65:67" ht="18.75" customHeight="1">
      <c r="BM13722" s="1025"/>
      <c r="BO13722" s="43"/>
    </row>
    <row r="13723" spans="65:67" ht="18.75" customHeight="1">
      <c r="BM13723" s="1025"/>
      <c r="BO13723" s="43"/>
    </row>
    <row r="13724" spans="65:67" ht="18.75" customHeight="1">
      <c r="BM13724" s="1025"/>
      <c r="BO13724" s="43"/>
    </row>
    <row r="13725" spans="65:67" ht="18.75" customHeight="1">
      <c r="BM13725" s="1025"/>
      <c r="BO13725" s="43"/>
    </row>
    <row r="13726" spans="65:67" ht="18.75" customHeight="1">
      <c r="BM13726" s="1025"/>
      <c r="BO13726" s="43"/>
    </row>
    <row r="13727" spans="65:67" ht="18.75" customHeight="1">
      <c r="BM13727" s="1025"/>
      <c r="BO13727" s="43"/>
    </row>
    <row r="13728" spans="65:67" ht="18.75" customHeight="1">
      <c r="BM13728" s="1025"/>
      <c r="BO13728" s="43"/>
    </row>
    <row r="13729" spans="65:67" ht="18.75" customHeight="1">
      <c r="BM13729" s="1025"/>
      <c r="BO13729" s="43"/>
    </row>
    <row r="13730" spans="65:67" ht="18.75" customHeight="1">
      <c r="BM13730" s="1025"/>
      <c r="BO13730" s="43"/>
    </row>
    <row r="13731" spans="65:67" ht="18.75" customHeight="1">
      <c r="BM13731" s="1025"/>
      <c r="BO13731" s="43"/>
    </row>
    <row r="13732" spans="65:67" ht="18.75" customHeight="1">
      <c r="BM13732" s="1025"/>
      <c r="BO13732" s="43"/>
    </row>
    <row r="13733" spans="65:67" ht="18.75" customHeight="1">
      <c r="BM13733" s="1025"/>
      <c r="BO13733" s="43"/>
    </row>
    <row r="13734" spans="65:67" ht="18.75" customHeight="1">
      <c r="BM13734" s="1025"/>
      <c r="BO13734" s="43"/>
    </row>
    <row r="13735" spans="65:67" ht="18.75" customHeight="1">
      <c r="BM13735" s="1025"/>
      <c r="BO13735" s="43"/>
    </row>
    <row r="13736" spans="65:67" ht="18.75" customHeight="1">
      <c r="BM13736" s="1025"/>
      <c r="BO13736" s="43"/>
    </row>
    <row r="13737" spans="65:67" ht="18.75" customHeight="1">
      <c r="BM13737" s="1025"/>
      <c r="BO13737" s="43"/>
    </row>
    <row r="13738" spans="65:67" ht="18.75" customHeight="1">
      <c r="BM13738" s="1025"/>
      <c r="BO13738" s="43"/>
    </row>
    <row r="13739" spans="65:67" ht="18.75" customHeight="1">
      <c r="BM13739" s="1025"/>
      <c r="BO13739" s="43"/>
    </row>
    <row r="13740" spans="65:67" ht="18.75" customHeight="1">
      <c r="BM13740" s="1025"/>
      <c r="BO13740" s="43"/>
    </row>
    <row r="13741" spans="65:67" ht="18.75" customHeight="1">
      <c r="BM13741" s="1025"/>
      <c r="BO13741" s="43"/>
    </row>
    <row r="13742" spans="65:67" ht="18.75" customHeight="1">
      <c r="BM13742" s="1025"/>
      <c r="BO13742" s="43"/>
    </row>
    <row r="13743" spans="65:67" ht="18.75" customHeight="1">
      <c r="BM13743" s="1025"/>
      <c r="BO13743" s="43"/>
    </row>
    <row r="13744" spans="65:67" ht="18.75" customHeight="1">
      <c r="BM13744" s="1025"/>
      <c r="BO13744" s="43"/>
    </row>
    <row r="13745" spans="65:67" ht="18.75" customHeight="1">
      <c r="BM13745" s="1025"/>
      <c r="BO13745" s="43"/>
    </row>
    <row r="13746" spans="65:67" ht="18.75" customHeight="1">
      <c r="BM13746" s="1025"/>
      <c r="BO13746" s="43"/>
    </row>
    <row r="13747" spans="65:67" ht="18.75" customHeight="1">
      <c r="BM13747" s="1025"/>
      <c r="BO13747" s="43"/>
    </row>
    <row r="13748" spans="65:67" ht="18.75" customHeight="1">
      <c r="BM13748" s="1025"/>
      <c r="BO13748" s="43"/>
    </row>
    <row r="13749" spans="65:67" ht="18.75" customHeight="1">
      <c r="BM13749" s="1025"/>
      <c r="BO13749" s="43"/>
    </row>
    <row r="13750" spans="65:67" ht="18.75" customHeight="1">
      <c r="BM13750" s="1025"/>
      <c r="BO13750" s="43"/>
    </row>
    <row r="13751" spans="65:67" ht="18.75" customHeight="1">
      <c r="BM13751" s="1025"/>
      <c r="BO13751" s="43"/>
    </row>
    <row r="13752" spans="65:67" ht="18.75" customHeight="1">
      <c r="BM13752" s="1025"/>
      <c r="BO13752" s="43"/>
    </row>
    <row r="13753" spans="65:67" ht="18.75" customHeight="1">
      <c r="BM13753" s="1025"/>
      <c r="BO13753" s="43"/>
    </row>
    <row r="13754" spans="65:67" ht="18.75" customHeight="1">
      <c r="BM13754" s="1025"/>
      <c r="BO13754" s="43"/>
    </row>
    <row r="13755" spans="65:67" ht="18.75" customHeight="1">
      <c r="BM13755" s="1025"/>
      <c r="BO13755" s="43"/>
    </row>
    <row r="13756" spans="65:67" ht="18.75" customHeight="1">
      <c r="BM13756" s="1025"/>
      <c r="BO13756" s="43"/>
    </row>
    <row r="13757" spans="65:67" ht="18.75" customHeight="1">
      <c r="BM13757" s="1025"/>
      <c r="BO13757" s="43"/>
    </row>
    <row r="13758" spans="65:67" ht="18.75" customHeight="1">
      <c r="BM13758" s="1025"/>
      <c r="BO13758" s="43"/>
    </row>
    <row r="13759" spans="65:67" ht="18.75" customHeight="1">
      <c r="BM13759" s="1025"/>
      <c r="BO13759" s="43"/>
    </row>
    <row r="13760" spans="65:67" ht="18.75" customHeight="1">
      <c r="BM13760" s="1025"/>
      <c r="BO13760" s="43"/>
    </row>
    <row r="13761" spans="65:67" ht="18.75" customHeight="1">
      <c r="BM13761" s="1025"/>
      <c r="BO13761" s="43"/>
    </row>
    <row r="13762" spans="65:67" ht="18.75" customHeight="1">
      <c r="BM13762" s="1025"/>
      <c r="BO13762" s="43"/>
    </row>
    <row r="13763" spans="65:67" ht="18.75" customHeight="1">
      <c r="BM13763" s="1025"/>
      <c r="BO13763" s="43"/>
    </row>
    <row r="13764" spans="65:67" ht="18.75" customHeight="1">
      <c r="BM13764" s="1025"/>
      <c r="BO13764" s="43"/>
    </row>
    <row r="13765" spans="65:67" ht="18.75" customHeight="1">
      <c r="BM13765" s="1025"/>
      <c r="BO13765" s="43"/>
    </row>
    <row r="13766" spans="65:67" ht="18.75" customHeight="1">
      <c r="BM13766" s="1025"/>
      <c r="BO13766" s="43"/>
    </row>
    <row r="13767" spans="65:67" ht="18.75" customHeight="1">
      <c r="BM13767" s="1025"/>
      <c r="BO13767" s="43"/>
    </row>
    <row r="13768" spans="65:67" ht="18.75" customHeight="1">
      <c r="BM13768" s="1025"/>
      <c r="BO13768" s="43"/>
    </row>
    <row r="13769" spans="65:67" ht="18.75" customHeight="1">
      <c r="BM13769" s="1025"/>
      <c r="BO13769" s="43"/>
    </row>
    <row r="13770" spans="65:67" ht="18.75" customHeight="1">
      <c r="BM13770" s="1025"/>
      <c r="BO13770" s="43"/>
    </row>
    <row r="13771" spans="65:67" ht="18.75" customHeight="1">
      <c r="BM13771" s="1025"/>
      <c r="BO13771" s="43"/>
    </row>
    <row r="13772" spans="65:67" ht="18.75" customHeight="1">
      <c r="BM13772" s="1025"/>
      <c r="BO13772" s="43"/>
    </row>
    <row r="13773" spans="65:67" ht="18.75" customHeight="1">
      <c r="BM13773" s="1025"/>
      <c r="BO13773" s="43"/>
    </row>
    <row r="13774" spans="65:67" ht="18.75" customHeight="1">
      <c r="BM13774" s="1025"/>
      <c r="BO13774" s="43"/>
    </row>
    <row r="13775" spans="65:67" ht="18.75" customHeight="1">
      <c r="BM13775" s="1025"/>
      <c r="BO13775" s="43"/>
    </row>
    <row r="13776" spans="65:67" ht="18.75" customHeight="1">
      <c r="BM13776" s="1025"/>
      <c r="BO13776" s="43"/>
    </row>
    <row r="13777" spans="65:67" ht="18.75" customHeight="1">
      <c r="BM13777" s="1025"/>
      <c r="BO13777" s="43"/>
    </row>
    <row r="13778" spans="65:67" ht="18.75" customHeight="1">
      <c r="BM13778" s="1025"/>
      <c r="BO13778" s="43"/>
    </row>
    <row r="13779" spans="65:67" ht="18.75" customHeight="1">
      <c r="BM13779" s="1025"/>
      <c r="BO13779" s="43"/>
    </row>
    <row r="13780" spans="65:67" ht="18.75" customHeight="1">
      <c r="BM13780" s="1025"/>
      <c r="BO13780" s="43"/>
    </row>
    <row r="13781" spans="65:67" ht="18.75" customHeight="1">
      <c r="BM13781" s="1025"/>
      <c r="BO13781" s="43"/>
    </row>
    <row r="13782" spans="65:67" ht="18.75" customHeight="1">
      <c r="BM13782" s="1025"/>
      <c r="BO13782" s="43"/>
    </row>
    <row r="13783" spans="65:67" ht="18.75" customHeight="1">
      <c r="BM13783" s="1025"/>
      <c r="BO13783" s="43"/>
    </row>
    <row r="13784" spans="65:67" ht="18.75" customHeight="1">
      <c r="BM13784" s="1025"/>
      <c r="BO13784" s="43"/>
    </row>
    <row r="13785" spans="65:67" ht="18.75" customHeight="1">
      <c r="BM13785" s="1025"/>
      <c r="BO13785" s="43"/>
    </row>
    <row r="13786" spans="65:67" ht="18.75" customHeight="1">
      <c r="BM13786" s="1025"/>
      <c r="BO13786" s="43"/>
    </row>
    <row r="13787" spans="65:67" ht="18.75" customHeight="1">
      <c r="BM13787" s="1025"/>
      <c r="BO13787" s="43"/>
    </row>
    <row r="13788" spans="65:67" ht="18.75" customHeight="1">
      <c r="BM13788" s="1025"/>
      <c r="BO13788" s="43"/>
    </row>
    <row r="13789" spans="65:67" ht="18.75" customHeight="1">
      <c r="BM13789" s="1025"/>
      <c r="BO13789" s="43"/>
    </row>
    <row r="13790" spans="65:67" ht="18.75" customHeight="1">
      <c r="BM13790" s="1025"/>
      <c r="BO13790" s="43"/>
    </row>
    <row r="13791" spans="65:67" ht="18.75" customHeight="1">
      <c r="BM13791" s="1025"/>
      <c r="BO13791" s="43"/>
    </row>
    <row r="13792" spans="65:67" ht="18.75" customHeight="1">
      <c r="BM13792" s="1025"/>
      <c r="BO13792" s="43"/>
    </row>
    <row r="13793" spans="65:67" ht="18.75" customHeight="1">
      <c r="BM13793" s="1025"/>
      <c r="BO13793" s="43"/>
    </row>
    <row r="13794" spans="65:67" ht="18.75" customHeight="1">
      <c r="BM13794" s="1025"/>
      <c r="BO13794" s="43"/>
    </row>
    <row r="13795" spans="65:67" ht="18.75" customHeight="1">
      <c r="BM13795" s="1025"/>
      <c r="BO13795" s="43"/>
    </row>
    <row r="13796" spans="65:67" ht="18.75" customHeight="1">
      <c r="BM13796" s="1025"/>
      <c r="BO13796" s="43"/>
    </row>
    <row r="13797" spans="65:67" ht="18.75" customHeight="1">
      <c r="BM13797" s="1025"/>
      <c r="BO13797" s="43"/>
    </row>
    <row r="13798" spans="65:67" ht="18.75" customHeight="1">
      <c r="BM13798" s="1025"/>
      <c r="BO13798" s="43"/>
    </row>
    <row r="13799" spans="65:67" ht="18.75" customHeight="1">
      <c r="BM13799" s="1025"/>
      <c r="BO13799" s="43"/>
    </row>
    <row r="13800" spans="65:67" ht="18.75" customHeight="1">
      <c r="BM13800" s="1025"/>
      <c r="BO13800" s="43"/>
    </row>
    <row r="13801" spans="65:67" ht="18.75" customHeight="1">
      <c r="BM13801" s="1025"/>
      <c r="BO13801" s="43"/>
    </row>
    <row r="13802" spans="65:67" ht="18.75" customHeight="1">
      <c r="BM13802" s="1025"/>
      <c r="BO13802" s="43"/>
    </row>
    <row r="13803" spans="65:67" ht="18.75" customHeight="1">
      <c r="BM13803" s="1025"/>
      <c r="BO13803" s="43"/>
    </row>
    <row r="13804" spans="65:67" ht="18.75" customHeight="1">
      <c r="BM13804" s="1025"/>
      <c r="BO13804" s="43"/>
    </row>
    <row r="13805" spans="65:67" ht="18.75" customHeight="1">
      <c r="BM13805" s="1025"/>
      <c r="BO13805" s="43"/>
    </row>
    <row r="13806" spans="65:67" ht="18.75" customHeight="1">
      <c r="BM13806" s="1025"/>
      <c r="BO13806" s="43"/>
    </row>
    <row r="13807" spans="65:67" ht="18.75" customHeight="1">
      <c r="BM13807" s="1025"/>
      <c r="BO13807" s="43"/>
    </row>
    <row r="13808" spans="65:67" ht="18.75" customHeight="1">
      <c r="BM13808" s="1025"/>
      <c r="BO13808" s="43"/>
    </row>
    <row r="13809" spans="65:67" ht="18.75" customHeight="1">
      <c r="BM13809" s="1025"/>
      <c r="BO13809" s="43"/>
    </row>
    <row r="13810" spans="65:67" ht="18.75" customHeight="1">
      <c r="BM13810" s="1025"/>
      <c r="BO13810" s="43"/>
    </row>
    <row r="13811" spans="65:67" ht="18.75" customHeight="1">
      <c r="BM13811" s="1025"/>
      <c r="BO13811" s="43"/>
    </row>
    <row r="13812" spans="65:67" ht="18.75" customHeight="1">
      <c r="BM13812" s="1025"/>
      <c r="BO13812" s="43"/>
    </row>
    <row r="13813" spans="65:67" ht="18.75" customHeight="1">
      <c r="BM13813" s="1025"/>
      <c r="BO13813" s="43"/>
    </row>
    <row r="13814" spans="65:67" ht="18.75" customHeight="1">
      <c r="BM13814" s="1025"/>
      <c r="BO13814" s="43"/>
    </row>
    <row r="13815" spans="65:67" ht="18.75" customHeight="1">
      <c r="BM13815" s="1025"/>
      <c r="BO13815" s="43"/>
    </row>
    <row r="13816" spans="65:67" ht="18.75" customHeight="1">
      <c r="BM13816" s="1025"/>
      <c r="BO13816" s="43"/>
    </row>
    <row r="13817" spans="65:67" ht="18.75" customHeight="1">
      <c r="BM13817" s="1025"/>
      <c r="BO13817" s="43"/>
    </row>
    <row r="13818" spans="65:67" ht="18.75" customHeight="1">
      <c r="BM13818" s="1025"/>
      <c r="BO13818" s="43"/>
    </row>
    <row r="13819" spans="65:67" ht="18.75" customHeight="1">
      <c r="BM13819" s="1025"/>
      <c r="BO13819" s="43"/>
    </row>
    <row r="13820" spans="65:67" ht="18.75" customHeight="1">
      <c r="BM13820" s="1025"/>
      <c r="BO13820" s="43"/>
    </row>
    <row r="13821" spans="65:67" ht="18.75" customHeight="1">
      <c r="BM13821" s="1025"/>
      <c r="BO13821" s="43"/>
    </row>
    <row r="13822" spans="65:67" ht="18.75" customHeight="1">
      <c r="BM13822" s="1025"/>
      <c r="BO13822" s="43"/>
    </row>
    <row r="13823" spans="65:67" ht="18.75" customHeight="1">
      <c r="BM13823" s="1025"/>
      <c r="BO13823" s="43"/>
    </row>
    <row r="13824" spans="65:67" ht="18.75" customHeight="1">
      <c r="BM13824" s="1025"/>
      <c r="BO13824" s="43"/>
    </row>
    <row r="13825" spans="65:67" ht="18.75" customHeight="1">
      <c r="BM13825" s="1025"/>
      <c r="BO13825" s="43"/>
    </row>
    <row r="13826" spans="65:67" ht="18.75" customHeight="1">
      <c r="BM13826" s="1025"/>
      <c r="BO13826" s="43"/>
    </row>
    <row r="13827" spans="65:67" ht="18.75" customHeight="1">
      <c r="BM13827" s="1025"/>
      <c r="BO13827" s="43"/>
    </row>
    <row r="13828" spans="65:67" ht="18.75" customHeight="1">
      <c r="BM13828" s="1025"/>
      <c r="BO13828" s="43"/>
    </row>
    <row r="13829" spans="65:67" ht="18.75" customHeight="1">
      <c r="BM13829" s="1025"/>
      <c r="BO13829" s="43"/>
    </row>
    <row r="13830" spans="65:67" ht="18.75" customHeight="1">
      <c r="BM13830" s="1025"/>
      <c r="BO13830" s="43"/>
    </row>
    <row r="13831" spans="65:67" ht="18.75" customHeight="1">
      <c r="BM13831" s="1025"/>
      <c r="BO13831" s="43"/>
    </row>
    <row r="13832" spans="65:67" ht="18.75" customHeight="1">
      <c r="BM13832" s="1025"/>
      <c r="BO13832" s="43"/>
    </row>
    <row r="13833" spans="65:67" ht="18.75" customHeight="1">
      <c r="BM13833" s="1025"/>
      <c r="BO13833" s="43"/>
    </row>
    <row r="13834" spans="65:67" ht="18.75" customHeight="1">
      <c r="BM13834" s="1025"/>
      <c r="BO13834" s="43"/>
    </row>
    <row r="13835" spans="65:67" ht="18.75" customHeight="1">
      <c r="BM13835" s="1025"/>
      <c r="BO13835" s="43"/>
    </row>
    <row r="13836" spans="65:67" ht="18.75" customHeight="1">
      <c r="BM13836" s="1025"/>
      <c r="BO13836" s="43"/>
    </row>
    <row r="13837" spans="65:67" ht="18.75" customHeight="1">
      <c r="BM13837" s="1025"/>
      <c r="BO13837" s="43"/>
    </row>
    <row r="13838" spans="65:67" ht="18.75" customHeight="1">
      <c r="BM13838" s="1025"/>
      <c r="BO13838" s="43"/>
    </row>
    <row r="13839" spans="65:67" ht="18.75" customHeight="1">
      <c r="BM13839" s="1025"/>
      <c r="BO13839" s="43"/>
    </row>
    <row r="13840" spans="65:67" ht="18.75" customHeight="1">
      <c r="BM13840" s="1025"/>
      <c r="BO13840" s="43"/>
    </row>
    <row r="13841" spans="65:67" ht="18.75" customHeight="1">
      <c r="BM13841" s="1025"/>
      <c r="BO13841" s="43"/>
    </row>
    <row r="13842" spans="65:67" ht="18.75" customHeight="1">
      <c r="BM13842" s="1025"/>
      <c r="BO13842" s="43"/>
    </row>
    <row r="13843" spans="65:67" ht="18.75" customHeight="1">
      <c r="BM13843" s="1025"/>
      <c r="BO13843" s="43"/>
    </row>
    <row r="13844" spans="65:67" ht="18.75" customHeight="1">
      <c r="BM13844" s="1025"/>
      <c r="BO13844" s="43"/>
    </row>
    <row r="13845" spans="65:67" ht="18.75" customHeight="1">
      <c r="BM13845" s="1025"/>
      <c r="BO13845" s="43"/>
    </row>
    <row r="13846" spans="65:67" ht="18.75" customHeight="1">
      <c r="BM13846" s="1025"/>
      <c r="BO13846" s="43"/>
    </row>
    <row r="13847" spans="65:67" ht="18.75" customHeight="1">
      <c r="BM13847" s="1025"/>
      <c r="BO13847" s="43"/>
    </row>
    <row r="13848" spans="65:67" ht="18.75" customHeight="1">
      <c r="BM13848" s="1025"/>
      <c r="BO13848" s="43"/>
    </row>
    <row r="13849" spans="65:67" ht="18.75" customHeight="1">
      <c r="BM13849" s="1025"/>
      <c r="BO13849" s="43"/>
    </row>
    <row r="13850" spans="65:67" ht="18.75" customHeight="1">
      <c r="BM13850" s="1025"/>
      <c r="BO13850" s="43"/>
    </row>
    <row r="13851" spans="65:67" ht="18.75" customHeight="1">
      <c r="BM13851" s="1025"/>
      <c r="BO13851" s="43"/>
    </row>
    <row r="13852" spans="65:67" ht="18.75" customHeight="1">
      <c r="BM13852" s="1025"/>
      <c r="BO13852" s="43"/>
    </row>
    <row r="13853" spans="65:67" ht="18.75" customHeight="1">
      <c r="BM13853" s="1025"/>
      <c r="BO13853" s="43"/>
    </row>
    <row r="13854" spans="65:67" ht="18.75" customHeight="1">
      <c r="BM13854" s="1025"/>
      <c r="BO13854" s="43"/>
    </row>
    <row r="13855" spans="65:67" ht="18.75" customHeight="1">
      <c r="BM13855" s="1025"/>
      <c r="BO13855" s="43"/>
    </row>
    <row r="13856" spans="65:67" ht="18.75" customHeight="1">
      <c r="BM13856" s="1025"/>
      <c r="BO13856" s="43"/>
    </row>
    <row r="13857" spans="65:67" ht="18.75" customHeight="1">
      <c r="BM13857" s="1025"/>
      <c r="BO13857" s="43"/>
    </row>
    <row r="13858" spans="65:67" ht="18.75" customHeight="1">
      <c r="BM13858" s="1025"/>
      <c r="BO13858" s="43"/>
    </row>
    <row r="13859" spans="65:67" ht="18.75" customHeight="1">
      <c r="BM13859" s="1025"/>
      <c r="BO13859" s="43"/>
    </row>
    <row r="13860" spans="65:67" ht="18.75" customHeight="1">
      <c r="BM13860" s="1025"/>
      <c r="BO13860" s="43"/>
    </row>
    <row r="13861" spans="65:67" ht="18.75" customHeight="1">
      <c r="BM13861" s="1025"/>
      <c r="BO13861" s="43"/>
    </row>
    <row r="13862" spans="65:67" ht="18.75" customHeight="1">
      <c r="BM13862" s="1025"/>
      <c r="BO13862" s="43"/>
    </row>
    <row r="13863" spans="65:67" ht="18.75" customHeight="1">
      <c r="BM13863" s="1025"/>
      <c r="BO13863" s="43"/>
    </row>
    <row r="13864" spans="65:67" ht="18.75" customHeight="1">
      <c r="BM13864" s="1025"/>
      <c r="BO13864" s="43"/>
    </row>
    <row r="13865" spans="65:67" ht="18.75" customHeight="1">
      <c r="BM13865" s="1025"/>
      <c r="BO13865" s="43"/>
    </row>
    <row r="13866" spans="65:67" ht="18.75" customHeight="1">
      <c r="BM13866" s="1025"/>
      <c r="BO13866" s="43"/>
    </row>
    <row r="13867" spans="65:67" ht="18.75" customHeight="1">
      <c r="BM13867" s="1025"/>
      <c r="BO13867" s="43"/>
    </row>
    <row r="13868" spans="65:67" ht="18.75" customHeight="1">
      <c r="BM13868" s="1025"/>
      <c r="BO13868" s="43"/>
    </row>
    <row r="13869" spans="65:67" ht="18.75" customHeight="1">
      <c r="BM13869" s="1025"/>
      <c r="BO13869" s="43"/>
    </row>
    <row r="13870" spans="65:67" ht="18.75" customHeight="1">
      <c r="BM13870" s="1025"/>
      <c r="BO13870" s="43"/>
    </row>
    <row r="13871" spans="65:67" ht="18.75" customHeight="1">
      <c r="BM13871" s="1025"/>
      <c r="BO13871" s="43"/>
    </row>
    <row r="13872" spans="65:67" ht="18.75" customHeight="1">
      <c r="BM13872" s="1025"/>
      <c r="BO13872" s="43"/>
    </row>
    <row r="13873" spans="65:67" ht="18.75" customHeight="1">
      <c r="BM13873" s="1025"/>
      <c r="BO13873" s="43"/>
    </row>
    <row r="13874" spans="65:67" ht="18.75" customHeight="1">
      <c r="BM13874" s="1025"/>
      <c r="BO13874" s="43"/>
    </row>
    <row r="13875" spans="65:67" ht="18.75" customHeight="1">
      <c r="BM13875" s="1025"/>
      <c r="BO13875" s="43"/>
    </row>
    <row r="13876" spans="65:67" ht="18.75" customHeight="1">
      <c r="BM13876" s="1025"/>
      <c r="BO13876" s="43"/>
    </row>
    <row r="13877" spans="65:67" ht="18.75" customHeight="1">
      <c r="BM13877" s="1025"/>
      <c r="BO13877" s="43"/>
    </row>
    <row r="13878" spans="65:67" ht="18.75" customHeight="1">
      <c r="BM13878" s="1025"/>
      <c r="BO13878" s="43"/>
    </row>
    <row r="13879" spans="65:67" ht="18.75" customHeight="1">
      <c r="BM13879" s="1025"/>
      <c r="BO13879" s="43"/>
    </row>
    <row r="13880" spans="65:67" ht="18.75" customHeight="1">
      <c r="BM13880" s="1025"/>
      <c r="BO13880" s="43"/>
    </row>
    <row r="13881" spans="65:67" ht="18.75" customHeight="1">
      <c r="BM13881" s="1025"/>
      <c r="BO13881" s="43"/>
    </row>
    <row r="13882" spans="65:67" ht="18.75" customHeight="1">
      <c r="BM13882" s="1025"/>
      <c r="BO13882" s="43"/>
    </row>
    <row r="13883" spans="65:67" ht="18.75" customHeight="1">
      <c r="BM13883" s="1025"/>
      <c r="BO13883" s="43"/>
    </row>
    <row r="13884" spans="65:67" ht="18.75" customHeight="1">
      <c r="BM13884" s="1025"/>
      <c r="BO13884" s="43"/>
    </row>
    <row r="13885" spans="65:67" ht="18.75" customHeight="1">
      <c r="BM13885" s="1025"/>
      <c r="BO13885" s="43"/>
    </row>
    <row r="13886" spans="65:67" ht="18.75" customHeight="1">
      <c r="BM13886" s="1025"/>
      <c r="BO13886" s="43"/>
    </row>
    <row r="13887" spans="65:67" ht="18.75" customHeight="1">
      <c r="BM13887" s="1025"/>
      <c r="BO13887" s="43"/>
    </row>
    <row r="13888" spans="65:67" ht="18.75" customHeight="1">
      <c r="BM13888" s="1025"/>
      <c r="BO13888" s="43"/>
    </row>
    <row r="13889" spans="65:67" ht="18.75" customHeight="1">
      <c r="BM13889" s="1025"/>
      <c r="BO13889" s="43"/>
    </row>
    <row r="13890" spans="65:67" ht="18.75" customHeight="1">
      <c r="BM13890" s="1025"/>
      <c r="BO13890" s="43"/>
    </row>
    <row r="13891" spans="65:67" ht="18.75" customHeight="1">
      <c r="BM13891" s="1025"/>
      <c r="BO13891" s="43"/>
    </row>
    <row r="13892" spans="65:67" ht="18.75" customHeight="1">
      <c r="BM13892" s="1025"/>
      <c r="BO13892" s="43"/>
    </row>
    <row r="13893" spans="65:67" ht="18.75" customHeight="1">
      <c r="BM13893" s="1025"/>
      <c r="BO13893" s="43"/>
    </row>
    <row r="13894" spans="65:67" ht="18.75" customHeight="1">
      <c r="BM13894" s="1025"/>
      <c r="BO13894" s="43"/>
    </row>
    <row r="13895" spans="65:67" ht="18.75" customHeight="1">
      <c r="BM13895" s="1025"/>
      <c r="BO13895" s="43"/>
    </row>
    <row r="13896" spans="65:67" ht="18.75" customHeight="1">
      <c r="BM13896" s="1025"/>
      <c r="BO13896" s="43"/>
    </row>
    <row r="13897" spans="65:67" ht="18.75" customHeight="1">
      <c r="BM13897" s="1025"/>
      <c r="BO13897" s="43"/>
    </row>
    <row r="13898" spans="65:67" ht="18.75" customHeight="1">
      <c r="BM13898" s="1025"/>
      <c r="BO13898" s="43"/>
    </row>
    <row r="13899" spans="65:67" ht="18.75" customHeight="1">
      <c r="BM13899" s="1025"/>
      <c r="BO13899" s="43"/>
    </row>
    <row r="13900" spans="65:67" ht="18.75" customHeight="1">
      <c r="BM13900" s="1025"/>
      <c r="BO13900" s="43"/>
    </row>
    <row r="13901" spans="65:67" ht="18.75" customHeight="1">
      <c r="BM13901" s="1025"/>
      <c r="BO13901" s="43"/>
    </row>
    <row r="13902" spans="65:67" ht="18.75" customHeight="1">
      <c r="BM13902" s="1025"/>
      <c r="BO13902" s="43"/>
    </row>
    <row r="13903" spans="65:67" ht="18.75" customHeight="1">
      <c r="BM13903" s="1025"/>
      <c r="BO13903" s="43"/>
    </row>
    <row r="13904" spans="65:67" ht="18.75" customHeight="1">
      <c r="BM13904" s="1025"/>
      <c r="BO13904" s="43"/>
    </row>
    <row r="13905" spans="65:67" ht="18.75" customHeight="1">
      <c r="BM13905" s="1025"/>
      <c r="BO13905" s="43"/>
    </row>
    <row r="13906" spans="65:67" ht="18.75" customHeight="1">
      <c r="BM13906" s="1025"/>
      <c r="BO13906" s="43"/>
    </row>
    <row r="13907" spans="65:67" ht="18.75" customHeight="1">
      <c r="BM13907" s="1025"/>
      <c r="BO13907" s="43"/>
    </row>
    <row r="13908" spans="65:67" ht="18.75" customHeight="1">
      <c r="BM13908" s="1025"/>
      <c r="BO13908" s="43"/>
    </row>
    <row r="13909" spans="65:67" ht="18.75" customHeight="1">
      <c r="BM13909" s="1025"/>
      <c r="BO13909" s="43"/>
    </row>
    <row r="13910" spans="65:67" ht="18.75" customHeight="1">
      <c r="BM13910" s="1025"/>
      <c r="BO13910" s="43"/>
    </row>
    <row r="13911" spans="65:67" ht="18.75" customHeight="1">
      <c r="BM13911" s="1025"/>
      <c r="BO13911" s="43"/>
    </row>
    <row r="13912" spans="65:67" ht="18.75" customHeight="1">
      <c r="BM13912" s="1025"/>
      <c r="BO13912" s="43"/>
    </row>
    <row r="13913" spans="65:67" ht="18.75" customHeight="1">
      <c r="BM13913" s="1025"/>
      <c r="BO13913" s="43"/>
    </row>
    <row r="13914" spans="65:67" ht="18.75" customHeight="1">
      <c r="BM13914" s="1025"/>
      <c r="BO13914" s="43"/>
    </row>
    <row r="13915" spans="65:67" ht="18.75" customHeight="1">
      <c r="BM13915" s="1025"/>
      <c r="BO13915" s="43"/>
    </row>
    <row r="13916" spans="65:67" ht="18.75" customHeight="1">
      <c r="BM13916" s="1025"/>
      <c r="BO13916" s="43"/>
    </row>
    <row r="13917" spans="65:67" ht="18.75" customHeight="1">
      <c r="BM13917" s="1025"/>
      <c r="BO13917" s="43"/>
    </row>
    <row r="13918" spans="65:67" ht="18.75" customHeight="1">
      <c r="BM13918" s="1025"/>
      <c r="BO13918" s="43"/>
    </row>
    <row r="13919" spans="65:67" ht="18.75" customHeight="1">
      <c r="BM13919" s="1025"/>
      <c r="BO13919" s="43"/>
    </row>
    <row r="13920" spans="65:67" ht="18.75" customHeight="1">
      <c r="BM13920" s="1025"/>
      <c r="BO13920" s="43"/>
    </row>
    <row r="13921" spans="65:67" ht="18.75" customHeight="1">
      <c r="BM13921" s="1025"/>
      <c r="BO13921" s="43"/>
    </row>
    <row r="13922" spans="65:67" ht="18.75" customHeight="1">
      <c r="BM13922" s="1025"/>
      <c r="BO13922" s="43"/>
    </row>
    <row r="13923" spans="65:67" ht="18.75" customHeight="1">
      <c r="BM13923" s="1025"/>
      <c r="BO13923" s="43"/>
    </row>
    <row r="13924" spans="65:67" ht="18.75" customHeight="1">
      <c r="BM13924" s="1025"/>
      <c r="BO13924" s="43"/>
    </row>
    <row r="13925" spans="65:67" ht="18.75" customHeight="1">
      <c r="BM13925" s="1025"/>
      <c r="BO13925" s="43"/>
    </row>
    <row r="13926" spans="65:67" ht="18.75" customHeight="1">
      <c r="BM13926" s="1025"/>
      <c r="BO13926" s="43"/>
    </row>
    <row r="13927" spans="65:67" ht="18.75" customHeight="1">
      <c r="BM13927" s="1025"/>
      <c r="BO13927" s="43"/>
    </row>
    <row r="13928" spans="65:67" ht="18.75" customHeight="1">
      <c r="BM13928" s="1025"/>
      <c r="BO13928" s="43"/>
    </row>
    <row r="13929" spans="65:67" ht="18.75" customHeight="1">
      <c r="BM13929" s="1025"/>
      <c r="BO13929" s="43"/>
    </row>
    <row r="13930" spans="65:67" ht="18.75" customHeight="1">
      <c r="BM13930" s="1025"/>
      <c r="BO13930" s="43"/>
    </row>
    <row r="13931" spans="65:67" ht="18.75" customHeight="1">
      <c r="BM13931" s="1025"/>
      <c r="BO13931" s="43"/>
    </row>
    <row r="13932" spans="65:67" ht="18.75" customHeight="1">
      <c r="BM13932" s="1025"/>
      <c r="BO13932" s="43"/>
    </row>
    <row r="13933" spans="65:67" ht="18.75" customHeight="1">
      <c r="BM13933" s="1025"/>
      <c r="BO13933" s="43"/>
    </row>
    <row r="13934" spans="65:67" ht="18.75" customHeight="1">
      <c r="BM13934" s="1025"/>
      <c r="BO13934" s="43"/>
    </row>
    <row r="13935" spans="65:67" ht="18.75" customHeight="1">
      <c r="BM13935" s="1025"/>
      <c r="BO13935" s="43"/>
    </row>
    <row r="13936" spans="65:67" ht="18.75" customHeight="1">
      <c r="BM13936" s="1025"/>
      <c r="BO13936" s="43"/>
    </row>
    <row r="13937" spans="65:67" ht="18.75" customHeight="1">
      <c r="BM13937" s="1025"/>
      <c r="BO13937" s="43"/>
    </row>
    <row r="13938" spans="65:67" ht="18.75" customHeight="1">
      <c r="BM13938" s="1025"/>
      <c r="BO13938" s="43"/>
    </row>
    <row r="13939" spans="65:67" ht="18.75" customHeight="1">
      <c r="BM13939" s="1025"/>
      <c r="BO13939" s="43"/>
    </row>
    <row r="13940" spans="65:67" ht="18.75" customHeight="1">
      <c r="BM13940" s="1025"/>
      <c r="BO13940" s="43"/>
    </row>
    <row r="13941" spans="65:67" ht="18.75" customHeight="1">
      <c r="BM13941" s="1025"/>
      <c r="BO13941" s="43"/>
    </row>
    <row r="13942" spans="65:67" ht="18.75" customHeight="1">
      <c r="BM13942" s="1025"/>
      <c r="BO13942" s="43"/>
    </row>
    <row r="13943" spans="65:67" ht="18.75" customHeight="1">
      <c r="BM13943" s="1025"/>
      <c r="BO13943" s="43"/>
    </row>
    <row r="13944" spans="65:67" ht="18.75" customHeight="1">
      <c r="BM13944" s="1025"/>
      <c r="BO13944" s="43"/>
    </row>
    <row r="13945" spans="65:67" ht="18.75" customHeight="1">
      <c r="BM13945" s="1025"/>
      <c r="BO13945" s="43"/>
    </row>
    <row r="13946" spans="65:67" ht="18.75" customHeight="1">
      <c r="BM13946" s="1025"/>
      <c r="BO13946" s="43"/>
    </row>
    <row r="13947" spans="65:67" ht="18.75" customHeight="1">
      <c r="BM13947" s="1025"/>
      <c r="BO13947" s="43"/>
    </row>
    <row r="13948" spans="65:67" ht="18.75" customHeight="1">
      <c r="BM13948" s="1025"/>
      <c r="BO13948" s="43"/>
    </row>
    <row r="13949" spans="65:67" ht="18.75" customHeight="1">
      <c r="BM13949" s="1025"/>
      <c r="BO13949" s="43"/>
    </row>
    <row r="13950" spans="65:67" ht="18.75" customHeight="1">
      <c r="BM13950" s="1025"/>
      <c r="BO13950" s="43"/>
    </row>
    <row r="13951" spans="65:67" ht="18.75" customHeight="1">
      <c r="BM13951" s="1025"/>
      <c r="BO13951" s="43"/>
    </row>
    <row r="13952" spans="65:67" ht="18.75" customHeight="1">
      <c r="BM13952" s="1025"/>
      <c r="BO13952" s="43"/>
    </row>
    <row r="13953" spans="65:67" ht="18.75" customHeight="1">
      <c r="BM13953" s="1025"/>
      <c r="BO13953" s="43"/>
    </row>
    <row r="13954" spans="65:67" ht="18.75" customHeight="1">
      <c r="BM13954" s="1025"/>
      <c r="BO13954" s="43"/>
    </row>
    <row r="13955" spans="65:67" ht="18.75" customHeight="1">
      <c r="BM13955" s="1025"/>
      <c r="BO13955" s="43"/>
    </row>
    <row r="13956" spans="65:67" ht="18.75" customHeight="1">
      <c r="BM13956" s="1025"/>
      <c r="BO13956" s="43"/>
    </row>
    <row r="13957" spans="65:67" ht="18.75" customHeight="1">
      <c r="BM13957" s="1025"/>
      <c r="BO13957" s="43"/>
    </row>
    <row r="13958" spans="65:67" ht="18.75" customHeight="1">
      <c r="BM13958" s="1025"/>
      <c r="BO13958" s="43"/>
    </row>
    <row r="13959" spans="65:67" ht="18.75" customHeight="1">
      <c r="BM13959" s="1025"/>
      <c r="BO13959" s="43"/>
    </row>
    <row r="13960" spans="65:67" ht="18.75" customHeight="1">
      <c r="BM13960" s="1025"/>
      <c r="BO13960" s="43"/>
    </row>
    <row r="13961" spans="65:67" ht="18.75" customHeight="1">
      <c r="BM13961" s="1025"/>
      <c r="BO13961" s="43"/>
    </row>
    <row r="13962" spans="65:67" ht="18.75" customHeight="1">
      <c r="BM13962" s="1025"/>
      <c r="BO13962" s="43"/>
    </row>
    <row r="13963" spans="65:67" ht="18.75" customHeight="1">
      <c r="BM13963" s="1025"/>
      <c r="BO13963" s="43"/>
    </row>
    <row r="13964" spans="65:67" ht="18.75" customHeight="1">
      <c r="BM13964" s="1025"/>
      <c r="BO13964" s="43"/>
    </row>
    <row r="13965" spans="65:67" ht="18.75" customHeight="1">
      <c r="BM13965" s="1025"/>
      <c r="BO13965" s="43"/>
    </row>
    <row r="13966" spans="65:67" ht="18.75" customHeight="1">
      <c r="BM13966" s="1025"/>
      <c r="BO13966" s="43"/>
    </row>
    <row r="13967" spans="65:67" ht="18.75" customHeight="1">
      <c r="BM13967" s="1025"/>
      <c r="BO13967" s="43"/>
    </row>
    <row r="13968" spans="65:67" ht="18.75" customHeight="1">
      <c r="BM13968" s="1025"/>
      <c r="BO13968" s="43"/>
    </row>
    <row r="13969" spans="65:67" ht="18.75" customHeight="1">
      <c r="BM13969" s="1025"/>
      <c r="BO13969" s="43"/>
    </row>
    <row r="13970" spans="65:67" ht="18.75" customHeight="1">
      <c r="BM13970" s="1025"/>
      <c r="BO13970" s="43"/>
    </row>
    <row r="13971" spans="65:67" ht="18.75" customHeight="1">
      <c r="BM13971" s="1025"/>
      <c r="BO13971" s="43"/>
    </row>
    <row r="13972" spans="65:67" ht="18.75" customHeight="1">
      <c r="BM13972" s="1025"/>
      <c r="BO13972" s="43"/>
    </row>
    <row r="13973" spans="65:67" ht="18.75" customHeight="1">
      <c r="BM13973" s="1025"/>
      <c r="BO13973" s="43"/>
    </row>
    <row r="13974" spans="65:67" ht="18.75" customHeight="1">
      <c r="BM13974" s="1025"/>
      <c r="BO13974" s="43"/>
    </row>
    <row r="13975" spans="65:67" ht="18.75" customHeight="1">
      <c r="BM13975" s="1025"/>
      <c r="BO13975" s="43"/>
    </row>
    <row r="13976" spans="65:67" ht="18.75" customHeight="1">
      <c r="BM13976" s="1025"/>
      <c r="BO13976" s="43"/>
    </row>
    <row r="13977" spans="65:67" ht="18.75" customHeight="1">
      <c r="BM13977" s="1025"/>
      <c r="BO13977" s="43"/>
    </row>
    <row r="13978" spans="65:67" ht="18.75" customHeight="1">
      <c r="BM13978" s="1025"/>
      <c r="BO13978" s="43"/>
    </row>
    <row r="13979" spans="65:67" ht="18.75" customHeight="1">
      <c r="BM13979" s="1025"/>
      <c r="BO13979" s="43"/>
    </row>
    <row r="13980" spans="65:67" ht="18.75" customHeight="1">
      <c r="BM13980" s="1025"/>
      <c r="BO13980" s="43"/>
    </row>
    <row r="13981" spans="65:67" ht="18.75" customHeight="1">
      <c r="BM13981" s="1025"/>
      <c r="BO13981" s="43"/>
    </row>
    <row r="13982" spans="65:67" ht="18.75" customHeight="1">
      <c r="BM13982" s="1025"/>
      <c r="BO13982" s="43"/>
    </row>
    <row r="13983" spans="65:67" ht="18.75" customHeight="1">
      <c r="BM13983" s="1025"/>
      <c r="BO13983" s="43"/>
    </row>
    <row r="13984" spans="65:67" ht="18.75" customHeight="1">
      <c r="BM13984" s="1025"/>
      <c r="BO13984" s="43"/>
    </row>
    <row r="13985" spans="65:67" ht="18.75" customHeight="1">
      <c r="BM13985" s="1025"/>
      <c r="BO13985" s="43"/>
    </row>
    <row r="13986" spans="65:67" ht="18.75" customHeight="1">
      <c r="BM13986" s="1025"/>
      <c r="BO13986" s="43"/>
    </row>
    <row r="13987" spans="65:67" ht="18.75" customHeight="1">
      <c r="BM13987" s="1025"/>
      <c r="BO13987" s="43"/>
    </row>
    <row r="13988" spans="65:67" ht="18.75" customHeight="1">
      <c r="BM13988" s="1025"/>
      <c r="BO13988" s="43"/>
    </row>
    <row r="13989" spans="65:67" ht="18.75" customHeight="1">
      <c r="BM13989" s="1025"/>
      <c r="BO13989" s="43"/>
    </row>
    <row r="13990" spans="65:67" ht="18.75" customHeight="1">
      <c r="BM13990" s="1025"/>
      <c r="BO13990" s="43"/>
    </row>
    <row r="13991" spans="65:67" ht="18.75" customHeight="1">
      <c r="BM13991" s="1025"/>
      <c r="BO13991" s="43"/>
    </row>
    <row r="13992" spans="65:67" ht="18.75" customHeight="1">
      <c r="BM13992" s="1025"/>
      <c r="BO13992" s="43"/>
    </row>
    <row r="13993" spans="65:67" ht="18.75" customHeight="1">
      <c r="BM13993" s="1025"/>
      <c r="BO13993" s="43"/>
    </row>
    <row r="13994" spans="65:67" ht="18.75" customHeight="1">
      <c r="BM13994" s="1025"/>
      <c r="BO13994" s="43"/>
    </row>
    <row r="13995" spans="65:67" ht="18.75" customHeight="1">
      <c r="BM13995" s="1025"/>
      <c r="BO13995" s="43"/>
    </row>
    <row r="13996" spans="65:67" ht="18.75" customHeight="1">
      <c r="BM13996" s="1025"/>
      <c r="BO13996" s="43"/>
    </row>
    <row r="13997" spans="65:67" ht="18.75" customHeight="1">
      <c r="BM13997" s="1025"/>
      <c r="BO13997" s="43"/>
    </row>
    <row r="13998" spans="65:67" ht="18.75" customHeight="1">
      <c r="BM13998" s="1025"/>
      <c r="BO13998" s="43"/>
    </row>
    <row r="13999" spans="65:67" ht="18.75" customHeight="1">
      <c r="BM13999" s="1025"/>
      <c r="BO13999" s="43"/>
    </row>
    <row r="14000" spans="65:67" ht="18.75" customHeight="1">
      <c r="BM14000" s="1025"/>
      <c r="BO14000" s="43"/>
    </row>
    <row r="14001" spans="65:67" ht="18.75" customHeight="1">
      <c r="BM14001" s="1025"/>
      <c r="BO14001" s="43"/>
    </row>
    <row r="14002" spans="65:67" ht="18.75" customHeight="1">
      <c r="BM14002" s="1025"/>
      <c r="BO14002" s="43"/>
    </row>
    <row r="14003" spans="65:67" ht="18.75" customHeight="1">
      <c r="BM14003" s="1025"/>
      <c r="BO14003" s="43"/>
    </row>
    <row r="14004" spans="65:67" ht="18.75" customHeight="1">
      <c r="BM14004" s="1025"/>
      <c r="BO14004" s="43"/>
    </row>
    <row r="14005" spans="65:67" ht="18.75" customHeight="1">
      <c r="BM14005" s="1025"/>
      <c r="BO14005" s="43"/>
    </row>
    <row r="14006" spans="65:67" ht="18.75" customHeight="1">
      <c r="BM14006" s="1025"/>
      <c r="BO14006" s="43"/>
    </row>
    <row r="14007" spans="65:67" ht="18.75" customHeight="1">
      <c r="BM14007" s="1025"/>
      <c r="BO14007" s="43"/>
    </row>
    <row r="14008" spans="65:67" ht="18.75" customHeight="1">
      <c r="BM14008" s="1025"/>
      <c r="BO14008" s="43"/>
    </row>
    <row r="14009" spans="65:67" ht="18.75" customHeight="1">
      <c r="BM14009" s="1025"/>
      <c r="BO14009" s="43"/>
    </row>
    <row r="14010" spans="65:67" ht="18.75" customHeight="1">
      <c r="BM14010" s="1025"/>
      <c r="BO14010" s="43"/>
    </row>
    <row r="14011" spans="65:67" ht="18.75" customHeight="1">
      <c r="BM14011" s="1025"/>
      <c r="BO14011" s="43"/>
    </row>
    <row r="14012" spans="65:67" ht="18.75" customHeight="1">
      <c r="BM14012" s="1025"/>
      <c r="BO14012" s="43"/>
    </row>
    <row r="14013" spans="65:67" ht="18.75" customHeight="1">
      <c r="BM14013" s="1025"/>
      <c r="BO14013" s="43"/>
    </row>
    <row r="14014" spans="65:67" ht="18.75" customHeight="1">
      <c r="BM14014" s="1025"/>
      <c r="BO14014" s="43"/>
    </row>
    <row r="14015" spans="65:67" ht="18.75" customHeight="1">
      <c r="BM14015" s="1025"/>
      <c r="BO14015" s="43"/>
    </row>
    <row r="14016" spans="65:67" ht="18.75" customHeight="1">
      <c r="BM14016" s="1025"/>
      <c r="BO14016" s="43"/>
    </row>
    <row r="14017" spans="65:67" ht="18.75" customHeight="1">
      <c r="BM14017" s="1025"/>
      <c r="BO14017" s="43"/>
    </row>
    <row r="14018" spans="65:67" ht="18.75" customHeight="1">
      <c r="BM14018" s="1025"/>
      <c r="BO14018" s="43"/>
    </row>
    <row r="14019" spans="65:67" ht="18.75" customHeight="1">
      <c r="BM14019" s="1025"/>
      <c r="BO14019" s="43"/>
    </row>
    <row r="14020" spans="65:67" ht="18.75" customHeight="1">
      <c r="BM14020" s="1025"/>
      <c r="BO14020" s="43"/>
    </row>
    <row r="14021" spans="65:67" ht="18.75" customHeight="1">
      <c r="BM14021" s="1025"/>
      <c r="BO14021" s="43"/>
    </row>
    <row r="14022" spans="65:67" ht="18.75" customHeight="1">
      <c r="BM14022" s="1025"/>
      <c r="BO14022" s="43"/>
    </row>
    <row r="14023" spans="65:67" ht="18.75" customHeight="1">
      <c r="BM14023" s="1025"/>
      <c r="BO14023" s="43"/>
    </row>
    <row r="14024" spans="65:67" ht="18.75" customHeight="1">
      <c r="BM14024" s="1025"/>
      <c r="BO14024" s="43"/>
    </row>
    <row r="14025" spans="65:67" ht="18.75" customHeight="1">
      <c r="BM14025" s="1025"/>
      <c r="BO14025" s="43"/>
    </row>
    <row r="14026" spans="65:67" ht="18.75" customHeight="1">
      <c r="BM14026" s="1025"/>
      <c r="BO14026" s="43"/>
    </row>
    <row r="14027" spans="65:67" ht="18.75" customHeight="1">
      <c r="BM14027" s="1025"/>
      <c r="BO14027" s="43"/>
    </row>
    <row r="14028" spans="65:67" ht="18.75" customHeight="1">
      <c r="BM14028" s="1025"/>
      <c r="BO14028" s="43"/>
    </row>
    <row r="14029" spans="65:67" ht="18.75" customHeight="1">
      <c r="BM14029" s="1025"/>
      <c r="BO14029" s="43"/>
    </row>
    <row r="14030" spans="65:67" ht="18.75" customHeight="1">
      <c r="BM14030" s="1025"/>
      <c r="BO14030" s="43"/>
    </row>
    <row r="14031" spans="65:67" ht="18.75" customHeight="1">
      <c r="BM14031" s="1025"/>
      <c r="BO14031" s="43"/>
    </row>
    <row r="14032" spans="65:67" ht="18.75" customHeight="1">
      <c r="BM14032" s="1025"/>
      <c r="BO14032" s="43"/>
    </row>
    <row r="14033" spans="65:67" ht="18.75" customHeight="1">
      <c r="BM14033" s="1025"/>
      <c r="BO14033" s="43"/>
    </row>
    <row r="14034" spans="65:67" ht="18.75" customHeight="1">
      <c r="BM14034" s="1025"/>
      <c r="BO14034" s="43"/>
    </row>
    <row r="14035" spans="65:67" ht="18.75" customHeight="1">
      <c r="BM14035" s="1025"/>
      <c r="BO14035" s="43"/>
    </row>
    <row r="14036" spans="65:67" ht="18.75" customHeight="1">
      <c r="BM14036" s="1025"/>
      <c r="BO14036" s="43"/>
    </row>
    <row r="14037" spans="65:67" ht="18.75" customHeight="1">
      <c r="BM14037" s="1025"/>
      <c r="BO14037" s="43"/>
    </row>
    <row r="14038" spans="65:67" ht="18.75" customHeight="1">
      <c r="BM14038" s="1025"/>
      <c r="BO14038" s="43"/>
    </row>
    <row r="14039" spans="65:67" ht="18.75" customHeight="1">
      <c r="BM14039" s="1025"/>
      <c r="BO14039" s="43"/>
    </row>
    <row r="14040" spans="65:67" ht="18.75" customHeight="1">
      <c r="BM14040" s="1025"/>
      <c r="BO14040" s="43"/>
    </row>
    <row r="14041" spans="65:67" ht="18.75" customHeight="1">
      <c r="BM14041" s="1025"/>
      <c r="BO14041" s="43"/>
    </row>
    <row r="14042" spans="65:67" ht="18.75" customHeight="1">
      <c r="BM14042" s="1025"/>
      <c r="BO14042" s="43"/>
    </row>
    <row r="14043" spans="65:67" ht="18.75" customHeight="1">
      <c r="BM14043" s="1025"/>
      <c r="BO14043" s="43"/>
    </row>
    <row r="14044" spans="65:67" ht="18.75" customHeight="1">
      <c r="BM14044" s="1025"/>
      <c r="BO14044" s="43"/>
    </row>
    <row r="14045" spans="65:67" ht="18.75" customHeight="1">
      <c r="BM14045" s="1025"/>
      <c r="BO14045" s="43"/>
    </row>
    <row r="14046" spans="65:67" ht="18.75" customHeight="1">
      <c r="BM14046" s="1025"/>
      <c r="BO14046" s="43"/>
    </row>
    <row r="14047" spans="65:67" ht="18.75" customHeight="1">
      <c r="BM14047" s="1025"/>
      <c r="BO14047" s="43"/>
    </row>
    <row r="14048" spans="65:67" ht="18.75" customHeight="1">
      <c r="BM14048" s="1025"/>
      <c r="BO14048" s="43"/>
    </row>
    <row r="14049" spans="65:67" ht="18.75" customHeight="1">
      <c r="BM14049" s="1025"/>
      <c r="BO14049" s="43"/>
    </row>
    <row r="14050" spans="65:67" ht="18.75" customHeight="1">
      <c r="BM14050" s="1025"/>
      <c r="BO14050" s="43"/>
    </row>
    <row r="14051" spans="65:67" ht="18.75" customHeight="1">
      <c r="BM14051" s="1025"/>
      <c r="BO14051" s="43"/>
    </row>
    <row r="14052" spans="65:67" ht="18.75" customHeight="1">
      <c r="BM14052" s="1025"/>
      <c r="BO14052" s="43"/>
    </row>
    <row r="14053" spans="65:67" ht="18.75" customHeight="1">
      <c r="BM14053" s="1025"/>
      <c r="BO14053" s="43"/>
    </row>
    <row r="14054" spans="65:67" ht="18.75" customHeight="1">
      <c r="BM14054" s="1025"/>
      <c r="BO14054" s="43"/>
    </row>
    <row r="14055" spans="65:67" ht="18.75" customHeight="1">
      <c r="BM14055" s="1025"/>
      <c r="BO14055" s="43"/>
    </row>
    <row r="14056" spans="65:67" ht="18.75" customHeight="1">
      <c r="BM14056" s="1025"/>
      <c r="BO14056" s="43"/>
    </row>
    <row r="14057" spans="65:67" ht="18.75" customHeight="1">
      <c r="BM14057" s="1025"/>
      <c r="BO14057" s="43"/>
    </row>
    <row r="14058" spans="65:67" ht="18.75" customHeight="1">
      <c r="BM14058" s="1025"/>
      <c r="BO14058" s="43"/>
    </row>
    <row r="14059" spans="65:67" ht="18.75" customHeight="1">
      <c r="BM14059" s="1025"/>
      <c r="BO14059" s="43"/>
    </row>
    <row r="14060" spans="65:67" ht="18.75" customHeight="1">
      <c r="BM14060" s="1025"/>
      <c r="BO14060" s="43"/>
    </row>
    <row r="14061" spans="65:67" ht="18.75" customHeight="1">
      <c r="BM14061" s="1025"/>
      <c r="BO14061" s="43"/>
    </row>
    <row r="14062" spans="65:67" ht="18.75" customHeight="1">
      <c r="BM14062" s="1025"/>
      <c r="BO14062" s="43"/>
    </row>
    <row r="14063" spans="65:67" ht="18.75" customHeight="1">
      <c r="BM14063" s="1025"/>
      <c r="BO14063" s="43"/>
    </row>
    <row r="14064" spans="65:67" ht="18.75" customHeight="1">
      <c r="BM14064" s="1025"/>
      <c r="BO14064" s="43"/>
    </row>
    <row r="14065" spans="65:67" ht="18.75" customHeight="1">
      <c r="BM14065" s="1025"/>
      <c r="BO14065" s="43"/>
    </row>
    <row r="14066" spans="65:67" ht="18.75" customHeight="1">
      <c r="BM14066" s="1025"/>
      <c r="BO14066" s="43"/>
    </row>
    <row r="14067" spans="65:67" ht="18.75" customHeight="1">
      <c r="BM14067" s="1025"/>
      <c r="BO14067" s="43"/>
    </row>
    <row r="14068" spans="65:67" ht="18.75" customHeight="1">
      <c r="BM14068" s="1025"/>
      <c r="BO14068" s="43"/>
    </row>
    <row r="14069" spans="65:67" ht="18.75" customHeight="1">
      <c r="BM14069" s="1025"/>
      <c r="BO14069" s="43"/>
    </row>
    <row r="14070" spans="65:67" ht="18.75" customHeight="1">
      <c r="BM14070" s="1025"/>
      <c r="BO14070" s="43"/>
    </row>
    <row r="14071" spans="65:67" ht="18.75" customHeight="1">
      <c r="BM14071" s="1025"/>
      <c r="BO14071" s="43"/>
    </row>
    <row r="14072" spans="65:67" ht="18.75" customHeight="1">
      <c r="BM14072" s="1025"/>
      <c r="BO14072" s="43"/>
    </row>
    <row r="14073" spans="65:67" ht="18.75" customHeight="1">
      <c r="BM14073" s="1025"/>
      <c r="BO14073" s="43"/>
    </row>
    <row r="14074" spans="65:67" ht="18.75" customHeight="1">
      <c r="BM14074" s="1025"/>
      <c r="BO14074" s="43"/>
    </row>
    <row r="14075" spans="65:67" ht="18.75" customHeight="1">
      <c r="BM14075" s="1025"/>
      <c r="BO14075" s="43"/>
    </row>
    <row r="14076" spans="65:67" ht="18.75" customHeight="1">
      <c r="BM14076" s="1025"/>
      <c r="BO14076" s="43"/>
    </row>
    <row r="14077" spans="65:67" ht="18.75" customHeight="1">
      <c r="BM14077" s="1025"/>
      <c r="BO14077" s="43"/>
    </row>
    <row r="14078" spans="65:67" ht="18.75" customHeight="1">
      <c r="BM14078" s="1025"/>
      <c r="BO14078" s="43"/>
    </row>
    <row r="14079" spans="65:67" ht="18.75" customHeight="1">
      <c r="BM14079" s="1025"/>
      <c r="BO14079" s="43"/>
    </row>
    <row r="14080" spans="65:67" ht="18.75" customHeight="1">
      <c r="BM14080" s="1025"/>
      <c r="BO14080" s="43"/>
    </row>
    <row r="14081" spans="65:67" ht="18.75" customHeight="1">
      <c r="BM14081" s="1025"/>
      <c r="BO14081" s="43"/>
    </row>
    <row r="14082" spans="65:67" ht="18.75" customHeight="1">
      <c r="BM14082" s="1025"/>
      <c r="BO14082" s="43"/>
    </row>
    <row r="14083" spans="65:67" ht="18.75" customHeight="1">
      <c r="BM14083" s="1025"/>
      <c r="BO14083" s="43"/>
    </row>
    <row r="14084" spans="65:67" ht="18.75" customHeight="1">
      <c r="BM14084" s="1025"/>
      <c r="BO14084" s="43"/>
    </row>
    <row r="14085" spans="65:67" ht="18.75" customHeight="1">
      <c r="BM14085" s="1025"/>
      <c r="BO14085" s="43"/>
    </row>
    <row r="14086" spans="65:67" ht="18.75" customHeight="1">
      <c r="BM14086" s="1025"/>
      <c r="BO14086" s="43"/>
    </row>
    <row r="14087" spans="65:67" ht="18.75" customHeight="1">
      <c r="BM14087" s="1025"/>
      <c r="BO14087" s="43"/>
    </row>
    <row r="14088" spans="65:67" ht="18.75" customHeight="1">
      <c r="BM14088" s="1025"/>
      <c r="BO14088" s="43"/>
    </row>
    <row r="14089" spans="65:67" ht="18.75" customHeight="1">
      <c r="BM14089" s="1025"/>
      <c r="BO14089" s="43"/>
    </row>
    <row r="14090" spans="65:67" ht="18.75" customHeight="1">
      <c r="BM14090" s="1025"/>
      <c r="BO14090" s="43"/>
    </row>
    <row r="14091" spans="65:67" ht="18.75" customHeight="1">
      <c r="BM14091" s="1025"/>
      <c r="BO14091" s="43"/>
    </row>
    <row r="14092" spans="65:67" ht="18.75" customHeight="1">
      <c r="BM14092" s="1025"/>
      <c r="BO14092" s="43"/>
    </row>
    <row r="14093" spans="65:67" ht="18.75" customHeight="1">
      <c r="BM14093" s="1025"/>
      <c r="BO14093" s="43"/>
    </row>
    <row r="14094" spans="65:67" ht="18.75" customHeight="1">
      <c r="BM14094" s="1025"/>
      <c r="BO14094" s="43"/>
    </row>
    <row r="14095" spans="65:67" ht="18.75" customHeight="1">
      <c r="BM14095" s="1025"/>
      <c r="BO14095" s="43"/>
    </row>
    <row r="14096" spans="65:67" ht="18.75" customHeight="1">
      <c r="BM14096" s="1025"/>
      <c r="BO14096" s="43"/>
    </row>
    <row r="14097" spans="65:67" ht="18.75" customHeight="1">
      <c r="BM14097" s="1025"/>
      <c r="BO14097" s="43"/>
    </row>
    <row r="14098" spans="65:67" ht="18.75" customHeight="1">
      <c r="BM14098" s="1025"/>
      <c r="BO14098" s="43"/>
    </row>
    <row r="14099" spans="65:67" ht="18.75" customHeight="1">
      <c r="BM14099" s="1025"/>
      <c r="BO14099" s="43"/>
    </row>
    <row r="14100" spans="65:67" ht="18.75" customHeight="1">
      <c r="BM14100" s="1025"/>
      <c r="BO14100" s="43"/>
    </row>
    <row r="14101" spans="65:67" ht="18.75" customHeight="1">
      <c r="BM14101" s="1025"/>
      <c r="BO14101" s="43"/>
    </row>
    <row r="14102" spans="65:67" ht="18.75" customHeight="1">
      <c r="BM14102" s="1025"/>
      <c r="BO14102" s="43"/>
    </row>
    <row r="14103" spans="65:67" ht="18.75" customHeight="1">
      <c r="BM14103" s="1025"/>
      <c r="BO14103" s="43"/>
    </row>
    <row r="14104" spans="65:67" ht="18.75" customHeight="1">
      <c r="BM14104" s="1025"/>
      <c r="BO14104" s="43"/>
    </row>
    <row r="14105" spans="65:67" ht="18.75" customHeight="1">
      <c r="BM14105" s="1025"/>
      <c r="BO14105" s="43"/>
    </row>
    <row r="14106" spans="65:67" ht="18.75" customHeight="1">
      <c r="BM14106" s="1025"/>
      <c r="BO14106" s="43"/>
    </row>
    <row r="14107" spans="65:67" ht="18.75" customHeight="1">
      <c r="BM14107" s="1025"/>
      <c r="BO14107" s="43"/>
    </row>
    <row r="14108" spans="65:67" ht="18.75" customHeight="1">
      <c r="BM14108" s="1025"/>
      <c r="BO14108" s="43"/>
    </row>
    <row r="14109" spans="65:67" ht="18.75" customHeight="1">
      <c r="BM14109" s="1025"/>
      <c r="BO14109" s="43"/>
    </row>
    <row r="14110" spans="65:67" ht="18.75" customHeight="1">
      <c r="BM14110" s="1025"/>
      <c r="BO14110" s="43"/>
    </row>
    <row r="14111" spans="65:67" ht="18.75" customHeight="1">
      <c r="BM14111" s="1025"/>
      <c r="BO14111" s="43"/>
    </row>
    <row r="14112" spans="65:67" ht="18.75" customHeight="1">
      <c r="BM14112" s="1025"/>
      <c r="BO14112" s="43"/>
    </row>
    <row r="14113" spans="65:67" ht="18.75" customHeight="1">
      <c r="BM14113" s="1025"/>
      <c r="BO14113" s="43"/>
    </row>
    <row r="14114" spans="65:67" ht="18.75" customHeight="1">
      <c r="BM14114" s="1025"/>
      <c r="BO14114" s="43"/>
    </row>
    <row r="14115" spans="65:67" ht="18.75" customHeight="1">
      <c r="BM14115" s="1025"/>
      <c r="BO14115" s="43"/>
    </row>
    <row r="14116" spans="65:67" ht="18.75" customHeight="1">
      <c r="BM14116" s="1025"/>
      <c r="BO14116" s="43"/>
    </row>
    <row r="14117" spans="65:67" ht="18.75" customHeight="1">
      <c r="BM14117" s="1025"/>
      <c r="BO14117" s="43"/>
    </row>
    <row r="14118" spans="65:67" ht="18.75" customHeight="1">
      <c r="BM14118" s="1025"/>
      <c r="BO14118" s="43"/>
    </row>
    <row r="14119" spans="65:67" ht="18.75" customHeight="1">
      <c r="BM14119" s="1025"/>
      <c r="BO14119" s="43"/>
    </row>
    <row r="14120" spans="65:67" ht="18.75" customHeight="1">
      <c r="BM14120" s="1025"/>
      <c r="BO14120" s="43"/>
    </row>
    <row r="14121" spans="65:67" ht="18.75" customHeight="1">
      <c r="BM14121" s="1025"/>
      <c r="BO14121" s="43"/>
    </row>
    <row r="14122" spans="65:67" ht="18.75" customHeight="1">
      <c r="BM14122" s="1025"/>
      <c r="BO14122" s="43"/>
    </row>
    <row r="14123" spans="65:67" ht="18.75" customHeight="1">
      <c r="BM14123" s="1025"/>
      <c r="BO14123" s="43"/>
    </row>
    <row r="14124" spans="65:67" ht="18.75" customHeight="1">
      <c r="BM14124" s="1025"/>
      <c r="BO14124" s="43"/>
    </row>
    <row r="14125" spans="65:67" ht="18.75" customHeight="1">
      <c r="BM14125" s="1025"/>
      <c r="BO14125" s="43"/>
    </row>
    <row r="14126" spans="65:67" ht="18.75" customHeight="1">
      <c r="BM14126" s="1025"/>
      <c r="BO14126" s="43"/>
    </row>
    <row r="14127" spans="65:67" ht="18.75" customHeight="1">
      <c r="BM14127" s="1025"/>
      <c r="BO14127" s="43"/>
    </row>
    <row r="14128" spans="65:67" ht="18.75" customHeight="1">
      <c r="BM14128" s="1025"/>
      <c r="BO14128" s="43"/>
    </row>
    <row r="14129" spans="65:67" ht="18.75" customHeight="1">
      <c r="BM14129" s="1025"/>
      <c r="BO14129" s="43"/>
    </row>
    <row r="14130" spans="65:67" ht="18.75" customHeight="1">
      <c r="BM14130" s="1025"/>
      <c r="BO14130" s="43"/>
    </row>
    <row r="14131" spans="65:67" ht="18.75" customHeight="1">
      <c r="BM14131" s="1025"/>
      <c r="BO14131" s="43"/>
    </row>
    <row r="14132" spans="65:67" ht="18.75" customHeight="1">
      <c r="BM14132" s="1025"/>
      <c r="BO14132" s="43"/>
    </row>
    <row r="14133" spans="65:67" ht="18.75" customHeight="1">
      <c r="BM14133" s="1025"/>
      <c r="BO14133" s="43"/>
    </row>
    <row r="14134" spans="65:67" ht="18.75" customHeight="1">
      <c r="BM14134" s="1025"/>
      <c r="BO14134" s="43"/>
    </row>
    <row r="14135" spans="65:67" ht="18.75" customHeight="1">
      <c r="BM14135" s="1025"/>
      <c r="BO14135" s="43"/>
    </row>
    <row r="14136" spans="65:67" ht="18.75" customHeight="1">
      <c r="BM14136" s="1025"/>
      <c r="BO14136" s="43"/>
    </row>
    <row r="14137" spans="65:67" ht="18.75" customHeight="1">
      <c r="BM14137" s="1025"/>
      <c r="BO14137" s="43"/>
    </row>
    <row r="14138" spans="65:67" ht="18.75" customHeight="1">
      <c r="BM14138" s="1025"/>
      <c r="BO14138" s="43"/>
    </row>
    <row r="14139" spans="65:67" ht="18.75" customHeight="1">
      <c r="BM14139" s="1025"/>
      <c r="BO14139" s="43"/>
    </row>
    <row r="14140" spans="65:67" ht="18.75" customHeight="1">
      <c r="BM14140" s="1025"/>
      <c r="BO14140" s="43"/>
    </row>
    <row r="14141" spans="65:67" ht="18.75" customHeight="1">
      <c r="BM14141" s="1025"/>
      <c r="BO14141" s="43"/>
    </row>
    <row r="14142" spans="65:67" ht="18.75" customHeight="1">
      <c r="BM14142" s="1025"/>
      <c r="BO14142" s="43"/>
    </row>
    <row r="14143" spans="65:67" ht="18.75" customHeight="1">
      <c r="BM14143" s="1025"/>
      <c r="BO14143" s="43"/>
    </row>
    <row r="14144" spans="65:67" ht="18.75" customHeight="1">
      <c r="BM14144" s="1025"/>
      <c r="BO14144" s="43"/>
    </row>
    <row r="14145" spans="65:67" ht="18.75" customHeight="1">
      <c r="BM14145" s="1025"/>
      <c r="BO14145" s="43"/>
    </row>
    <row r="14146" spans="65:67" ht="18.75" customHeight="1">
      <c r="BM14146" s="1025"/>
      <c r="BO14146" s="43"/>
    </row>
    <row r="14147" spans="65:67" ht="18.75" customHeight="1">
      <c r="BM14147" s="1025"/>
      <c r="BO14147" s="43"/>
    </row>
    <row r="14148" spans="65:67" ht="18.75" customHeight="1">
      <c r="BM14148" s="1025"/>
      <c r="BO14148" s="43"/>
    </row>
    <row r="14149" spans="65:67" ht="18.75" customHeight="1">
      <c r="BM14149" s="1025"/>
      <c r="BO14149" s="43"/>
    </row>
    <row r="14150" spans="65:67" ht="18.75" customHeight="1">
      <c r="BM14150" s="1025"/>
      <c r="BO14150" s="43"/>
    </row>
    <row r="14151" spans="65:67" ht="18.75" customHeight="1">
      <c r="BM14151" s="1025"/>
      <c r="BO14151" s="43"/>
    </row>
    <row r="14152" spans="65:67" ht="18.75" customHeight="1">
      <c r="BM14152" s="1025"/>
      <c r="BO14152" s="43"/>
    </row>
    <row r="14153" spans="65:67" ht="18.75" customHeight="1">
      <c r="BM14153" s="1025"/>
      <c r="BO14153" s="43"/>
    </row>
    <row r="14154" spans="65:67" ht="18.75" customHeight="1">
      <c r="BM14154" s="1025"/>
      <c r="BO14154" s="43"/>
    </row>
    <row r="14155" spans="65:67" ht="18.75" customHeight="1">
      <c r="BM14155" s="1025"/>
      <c r="BO14155" s="43"/>
    </row>
    <row r="14156" spans="65:67" ht="18.75" customHeight="1">
      <c r="BM14156" s="1025"/>
      <c r="BO14156" s="43"/>
    </row>
    <row r="14157" spans="65:67" ht="18.75" customHeight="1">
      <c r="BM14157" s="1025"/>
      <c r="BO14157" s="43"/>
    </row>
    <row r="14158" spans="65:67" ht="18.75" customHeight="1">
      <c r="BM14158" s="1025"/>
      <c r="BO14158" s="43"/>
    </row>
    <row r="14159" spans="65:67" ht="18.75" customHeight="1">
      <c r="BM14159" s="1025"/>
      <c r="BO14159" s="43"/>
    </row>
    <row r="14160" spans="65:67" ht="18.75" customHeight="1">
      <c r="BM14160" s="1025"/>
      <c r="BO14160" s="43"/>
    </row>
    <row r="14161" spans="65:67" ht="18.75" customHeight="1">
      <c r="BM14161" s="1025"/>
      <c r="BO14161" s="43"/>
    </row>
    <row r="14162" spans="65:67" ht="18.75" customHeight="1">
      <c r="BM14162" s="1025"/>
      <c r="BO14162" s="43"/>
    </row>
    <row r="14163" spans="65:67" ht="18.75" customHeight="1">
      <c r="BM14163" s="1025"/>
      <c r="BO14163" s="43"/>
    </row>
    <row r="14164" spans="65:67" ht="18.75" customHeight="1">
      <c r="BM14164" s="1025"/>
      <c r="BO14164" s="43"/>
    </row>
    <row r="14165" spans="65:67" ht="18.75" customHeight="1">
      <c r="BM14165" s="1025"/>
      <c r="BO14165" s="43"/>
    </row>
    <row r="14166" spans="65:67" ht="18.75" customHeight="1">
      <c r="BM14166" s="1025"/>
      <c r="BO14166" s="43"/>
    </row>
    <row r="14167" spans="65:67" ht="18.75" customHeight="1">
      <c r="BM14167" s="1025"/>
      <c r="BO14167" s="43"/>
    </row>
    <row r="14168" spans="65:67" ht="18.75" customHeight="1">
      <c r="BM14168" s="1025"/>
      <c r="BO14168" s="43"/>
    </row>
    <row r="14169" spans="65:67" ht="18.75" customHeight="1">
      <c r="BM14169" s="1025"/>
      <c r="BO14169" s="43"/>
    </row>
    <row r="14170" spans="65:67" ht="18.75" customHeight="1">
      <c r="BM14170" s="1025"/>
      <c r="BO14170" s="43"/>
    </row>
    <row r="14171" spans="65:67" ht="18.75" customHeight="1">
      <c r="BM14171" s="1025"/>
      <c r="BO14171" s="43"/>
    </row>
    <row r="14172" spans="65:67" ht="18.75" customHeight="1">
      <c r="BM14172" s="1025"/>
      <c r="BO14172" s="43"/>
    </row>
    <row r="14173" spans="65:67" ht="18.75" customHeight="1">
      <c r="BM14173" s="1025"/>
      <c r="BO14173" s="43"/>
    </row>
    <row r="14174" spans="65:67" ht="18.75" customHeight="1">
      <c r="BM14174" s="1025"/>
      <c r="BO14174" s="43"/>
    </row>
    <row r="14175" spans="65:67" ht="18.75" customHeight="1">
      <c r="BM14175" s="1025"/>
      <c r="BO14175" s="43"/>
    </row>
    <row r="14176" spans="65:67" ht="18.75" customHeight="1">
      <c r="BM14176" s="1025"/>
      <c r="BO14176" s="43"/>
    </row>
    <row r="14177" spans="65:67" ht="18.75" customHeight="1">
      <c r="BM14177" s="1025"/>
      <c r="BO14177" s="43"/>
    </row>
    <row r="14178" spans="65:67" ht="18.75" customHeight="1">
      <c r="BM14178" s="1025"/>
      <c r="BO14178" s="43"/>
    </row>
    <row r="14179" spans="65:67" ht="18.75" customHeight="1">
      <c r="BM14179" s="1025"/>
      <c r="BO14179" s="43"/>
    </row>
    <row r="14180" spans="65:67" ht="18.75" customHeight="1">
      <c r="BM14180" s="1025"/>
      <c r="BO14180" s="43"/>
    </row>
    <row r="14181" spans="65:67" ht="18.75" customHeight="1">
      <c r="BM14181" s="1025"/>
      <c r="BO14181" s="43"/>
    </row>
    <row r="14182" spans="65:67" ht="18.75" customHeight="1">
      <c r="BM14182" s="1025"/>
      <c r="BO14182" s="43"/>
    </row>
    <row r="14183" spans="65:67" ht="18.75" customHeight="1">
      <c r="BM14183" s="1025"/>
      <c r="BO14183" s="43"/>
    </row>
    <row r="14184" spans="65:67" ht="18.75" customHeight="1">
      <c r="BM14184" s="1025"/>
      <c r="BO14184" s="43"/>
    </row>
    <row r="14185" spans="65:67" ht="18.75" customHeight="1">
      <c r="BM14185" s="1025"/>
      <c r="BO14185" s="43"/>
    </row>
    <row r="14186" spans="65:67" ht="18.75" customHeight="1">
      <c r="BM14186" s="1025"/>
      <c r="BO14186" s="43"/>
    </row>
    <row r="14187" spans="65:67" ht="18.75" customHeight="1">
      <c r="BM14187" s="1025"/>
      <c r="BO14187" s="43"/>
    </row>
    <row r="14188" spans="65:67" ht="18.75" customHeight="1">
      <c r="BM14188" s="1025"/>
      <c r="BO14188" s="43"/>
    </row>
    <row r="14189" spans="65:67" ht="18.75" customHeight="1">
      <c r="BM14189" s="1025"/>
      <c r="BO14189" s="43"/>
    </row>
    <row r="14190" spans="65:67" ht="18.75" customHeight="1">
      <c r="BM14190" s="1025"/>
      <c r="BO14190" s="43"/>
    </row>
    <row r="14191" spans="65:67" ht="18.75" customHeight="1">
      <c r="BM14191" s="1025"/>
      <c r="BO14191" s="43"/>
    </row>
    <row r="14192" spans="65:67" ht="18.75" customHeight="1">
      <c r="BM14192" s="1025"/>
      <c r="BO14192" s="43"/>
    </row>
    <row r="14193" spans="65:67" ht="18.75" customHeight="1">
      <c r="BM14193" s="1025"/>
      <c r="BO14193" s="43"/>
    </row>
    <row r="14194" spans="65:67" ht="18.75" customHeight="1">
      <c r="BM14194" s="1025"/>
      <c r="BO14194" s="43"/>
    </row>
    <row r="14195" spans="65:67" ht="18.75" customHeight="1">
      <c r="BM14195" s="1025"/>
      <c r="BO14195" s="43"/>
    </row>
    <row r="14196" spans="65:67" ht="18.75" customHeight="1">
      <c r="BM14196" s="1025"/>
      <c r="BO14196" s="43"/>
    </row>
    <row r="14197" spans="65:67" ht="18.75" customHeight="1">
      <c r="BM14197" s="1025"/>
      <c r="BO14197" s="43"/>
    </row>
    <row r="14198" spans="65:67" ht="18.75" customHeight="1">
      <c r="BM14198" s="1025"/>
      <c r="BO14198" s="43"/>
    </row>
    <row r="14199" spans="65:67" ht="18.75" customHeight="1">
      <c r="BM14199" s="1025"/>
      <c r="BO14199" s="43"/>
    </row>
    <row r="14200" spans="65:67" ht="18.75" customHeight="1">
      <c r="BM14200" s="1025"/>
      <c r="BO14200" s="43"/>
    </row>
    <row r="14201" spans="65:67" ht="18.75" customHeight="1">
      <c r="BM14201" s="1025"/>
      <c r="BO14201" s="43"/>
    </row>
    <row r="14202" spans="65:67" ht="18.75" customHeight="1">
      <c r="BM14202" s="1025"/>
      <c r="BO14202" s="43"/>
    </row>
    <row r="14203" spans="65:67" ht="18.75" customHeight="1">
      <c r="BM14203" s="1025"/>
      <c r="BO14203" s="43"/>
    </row>
    <row r="14204" spans="65:67" ht="18.75" customHeight="1">
      <c r="BM14204" s="1025"/>
      <c r="BO14204" s="43"/>
    </row>
    <row r="14205" spans="65:67" ht="18.75" customHeight="1">
      <c r="BM14205" s="1025"/>
      <c r="BO14205" s="43"/>
    </row>
    <row r="14206" spans="65:67" ht="18.75" customHeight="1">
      <c r="BM14206" s="1025"/>
      <c r="BO14206" s="43"/>
    </row>
    <row r="14207" spans="65:67" ht="18.75" customHeight="1">
      <c r="BM14207" s="1025"/>
      <c r="BO14207" s="43"/>
    </row>
    <row r="14208" spans="65:67" ht="18.75" customHeight="1">
      <c r="BM14208" s="1025"/>
      <c r="BO14208" s="43"/>
    </row>
    <row r="14209" spans="65:67" ht="18.75" customHeight="1">
      <c r="BM14209" s="1025"/>
      <c r="BO14209" s="43"/>
    </row>
    <row r="14210" spans="65:67" ht="18.75" customHeight="1">
      <c r="BM14210" s="1025"/>
      <c r="BO14210" s="43"/>
    </row>
    <row r="14211" spans="65:67" ht="18.75" customHeight="1">
      <c r="BM14211" s="1025"/>
      <c r="BO14211" s="43"/>
    </row>
    <row r="14212" spans="65:67" ht="18.75" customHeight="1">
      <c r="BM14212" s="1025"/>
      <c r="BO14212" s="43"/>
    </row>
    <row r="14213" spans="65:67" ht="18.75" customHeight="1">
      <c r="BM14213" s="1025"/>
      <c r="BO14213" s="43"/>
    </row>
    <row r="14214" spans="65:67" ht="18.75" customHeight="1">
      <c r="BM14214" s="1025"/>
      <c r="BO14214" s="43"/>
    </row>
    <row r="14215" spans="65:67" ht="18.75" customHeight="1">
      <c r="BM14215" s="1025"/>
      <c r="BO14215" s="43"/>
    </row>
    <row r="14216" spans="65:67" ht="18.75" customHeight="1">
      <c r="BM14216" s="1025"/>
      <c r="BO14216" s="43"/>
    </row>
    <row r="14217" spans="65:67" ht="18.75" customHeight="1">
      <c r="BM14217" s="1025"/>
      <c r="BO14217" s="43"/>
    </row>
    <row r="14218" spans="65:67" ht="18.75" customHeight="1">
      <c r="BM14218" s="1025"/>
      <c r="BO14218" s="43"/>
    </row>
    <row r="14219" spans="65:67" ht="18.75" customHeight="1">
      <c r="BM14219" s="1025"/>
      <c r="BO14219" s="43"/>
    </row>
    <row r="14220" spans="65:67" ht="18.75" customHeight="1">
      <c r="BM14220" s="1025"/>
      <c r="BO14220" s="43"/>
    </row>
    <row r="14221" spans="65:67" ht="18.75" customHeight="1">
      <c r="BM14221" s="1025"/>
      <c r="BO14221" s="43"/>
    </row>
    <row r="14222" spans="65:67" ht="18.75" customHeight="1">
      <c r="BM14222" s="1025"/>
      <c r="BO14222" s="43"/>
    </row>
    <row r="14223" spans="65:67" ht="18.75" customHeight="1">
      <c r="BM14223" s="1025"/>
      <c r="BO14223" s="43"/>
    </row>
    <row r="14224" spans="65:67" ht="18.75" customHeight="1">
      <c r="BM14224" s="1025"/>
      <c r="BO14224" s="43"/>
    </row>
    <row r="14225" spans="65:67" ht="18.75" customHeight="1">
      <c r="BM14225" s="1025"/>
      <c r="BO14225" s="43"/>
    </row>
    <row r="14226" spans="65:67" ht="18.75" customHeight="1">
      <c r="BM14226" s="1025"/>
      <c r="BO14226" s="43"/>
    </row>
    <row r="14227" spans="65:67" ht="18.75" customHeight="1">
      <c r="BM14227" s="1025"/>
      <c r="BO14227" s="43"/>
    </row>
    <row r="14228" spans="65:67" ht="18.75" customHeight="1">
      <c r="BM14228" s="1025"/>
      <c r="BO14228" s="43"/>
    </row>
    <row r="14229" spans="65:67" ht="18.75" customHeight="1">
      <c r="BM14229" s="1025"/>
      <c r="BO14229" s="43"/>
    </row>
    <row r="14230" spans="65:67" ht="18.75" customHeight="1">
      <c r="BM14230" s="1025"/>
      <c r="BO14230" s="43"/>
    </row>
    <row r="14231" spans="65:67" ht="18.75" customHeight="1">
      <c r="BM14231" s="1025"/>
      <c r="BO14231" s="43"/>
    </row>
    <row r="14232" spans="65:67" ht="18.75" customHeight="1">
      <c r="BM14232" s="1025"/>
      <c r="BO14232" s="43"/>
    </row>
    <row r="14233" spans="65:67" ht="18.75" customHeight="1">
      <c r="BM14233" s="1025"/>
      <c r="BO14233" s="43"/>
    </row>
    <row r="14234" spans="65:67" ht="18.75" customHeight="1">
      <c r="BM14234" s="1025"/>
      <c r="BO14234" s="43"/>
    </row>
    <row r="14235" spans="65:67" ht="18.75" customHeight="1">
      <c r="BM14235" s="1025"/>
      <c r="BO14235" s="43"/>
    </row>
    <row r="14236" spans="65:67" ht="18.75" customHeight="1">
      <c r="BM14236" s="1025"/>
      <c r="BO14236" s="43"/>
    </row>
    <row r="14237" spans="65:67" ht="18.75" customHeight="1">
      <c r="BM14237" s="1025"/>
      <c r="BO14237" s="43"/>
    </row>
    <row r="14238" spans="65:67" ht="18.75" customHeight="1">
      <c r="BM14238" s="1025"/>
      <c r="BO14238" s="43"/>
    </row>
    <row r="14239" spans="65:67" ht="18.75" customHeight="1">
      <c r="BM14239" s="1025"/>
      <c r="BO14239" s="43"/>
    </row>
    <row r="14240" spans="65:67" ht="18.75" customHeight="1">
      <c r="BM14240" s="1025"/>
      <c r="BO14240" s="43"/>
    </row>
    <row r="14241" spans="65:67" ht="18.75" customHeight="1">
      <c r="BM14241" s="1025"/>
      <c r="BO14241" s="43"/>
    </row>
    <row r="14242" spans="65:67" ht="18.75" customHeight="1">
      <c r="BM14242" s="1025"/>
      <c r="BO14242" s="43"/>
    </row>
    <row r="14243" spans="65:67" ht="18.75" customHeight="1">
      <c r="BM14243" s="1025"/>
      <c r="BO14243" s="43"/>
    </row>
    <row r="14244" spans="65:67" ht="18.75" customHeight="1">
      <c r="BM14244" s="1025"/>
      <c r="BO14244" s="43"/>
    </row>
    <row r="14245" spans="65:67" ht="18.75" customHeight="1">
      <c r="BM14245" s="1025"/>
      <c r="BO14245" s="43"/>
    </row>
    <row r="14246" spans="65:67" ht="18.75" customHeight="1">
      <c r="BM14246" s="1025"/>
      <c r="BO14246" s="43"/>
    </row>
    <row r="14247" spans="65:67" ht="18.75" customHeight="1">
      <c r="BM14247" s="1025"/>
      <c r="BO14247" s="43"/>
    </row>
    <row r="14248" spans="65:67" ht="18.75" customHeight="1">
      <c r="BM14248" s="1025"/>
      <c r="BO14248" s="43"/>
    </row>
    <row r="14249" spans="65:67" ht="18.75" customHeight="1">
      <c r="BM14249" s="1025"/>
      <c r="BO14249" s="43"/>
    </row>
    <row r="14250" spans="65:67" ht="18.75" customHeight="1">
      <c r="BM14250" s="1025"/>
      <c r="BO14250" s="43"/>
    </row>
    <row r="14251" spans="65:67" ht="18.75" customHeight="1">
      <c r="BM14251" s="1025"/>
      <c r="BO14251" s="43"/>
    </row>
    <row r="14252" spans="65:67" ht="18.75" customHeight="1">
      <c r="BM14252" s="1025"/>
      <c r="BO14252" s="43"/>
    </row>
    <row r="14253" spans="65:67" ht="18.75" customHeight="1">
      <c r="BM14253" s="1025"/>
      <c r="BO14253" s="43"/>
    </row>
    <row r="14254" spans="65:67" ht="18.75" customHeight="1">
      <c r="BM14254" s="1025"/>
      <c r="BO14254" s="43"/>
    </row>
    <row r="14255" spans="65:67" ht="18.75" customHeight="1">
      <c r="BM14255" s="1025"/>
      <c r="BO14255" s="43"/>
    </row>
    <row r="14256" spans="65:67" ht="18.75" customHeight="1">
      <c r="BM14256" s="1025"/>
      <c r="BO14256" s="43"/>
    </row>
    <row r="14257" spans="65:67" ht="18.75" customHeight="1">
      <c r="BM14257" s="1025"/>
      <c r="BO14257" s="43"/>
    </row>
    <row r="14258" spans="65:67" ht="18.75" customHeight="1">
      <c r="BM14258" s="1025"/>
      <c r="BO14258" s="43"/>
    </row>
    <row r="14259" spans="65:67" ht="18.75" customHeight="1">
      <c r="BM14259" s="1025"/>
      <c r="BO14259" s="43"/>
    </row>
    <row r="14260" spans="65:67" ht="18.75" customHeight="1">
      <c r="BM14260" s="1025"/>
      <c r="BO14260" s="43"/>
    </row>
    <row r="14261" spans="65:67" ht="18.75" customHeight="1">
      <c r="BM14261" s="1025"/>
      <c r="BO14261" s="43"/>
    </row>
    <row r="14262" spans="65:67" ht="18.75" customHeight="1">
      <c r="BM14262" s="1025"/>
      <c r="BO14262" s="43"/>
    </row>
    <row r="14263" spans="65:67" ht="18.75" customHeight="1">
      <c r="BM14263" s="1025"/>
      <c r="BO14263" s="43"/>
    </row>
    <row r="14264" spans="65:67" ht="18.75" customHeight="1">
      <c r="BM14264" s="1025"/>
      <c r="BO14264" s="43"/>
    </row>
    <row r="14265" spans="65:67" ht="18.75" customHeight="1">
      <c r="BM14265" s="1025"/>
      <c r="BO14265" s="43"/>
    </row>
    <row r="14266" spans="65:67" ht="18.75" customHeight="1">
      <c r="BM14266" s="1025"/>
      <c r="BO14266" s="43"/>
    </row>
    <row r="14267" spans="65:67" ht="18.75" customHeight="1">
      <c r="BM14267" s="1025"/>
      <c r="BO14267" s="43"/>
    </row>
    <row r="14268" spans="65:67" ht="18.75" customHeight="1">
      <c r="BM14268" s="1025"/>
      <c r="BO14268" s="43"/>
    </row>
    <row r="14269" spans="65:67" ht="18.75" customHeight="1">
      <c r="BM14269" s="1025"/>
      <c r="BO14269" s="43"/>
    </row>
    <row r="14270" spans="65:67" ht="18.75" customHeight="1">
      <c r="BM14270" s="1025"/>
      <c r="BO14270" s="43"/>
    </row>
    <row r="14271" spans="65:67" ht="18.75" customHeight="1">
      <c r="BM14271" s="1025"/>
      <c r="BO14271" s="43"/>
    </row>
    <row r="14272" spans="65:67" ht="18.75" customHeight="1">
      <c r="BM14272" s="1025"/>
      <c r="BO14272" s="43"/>
    </row>
    <row r="14273" spans="65:67" ht="18.75" customHeight="1">
      <c r="BM14273" s="1025"/>
      <c r="BO14273" s="43"/>
    </row>
    <row r="14274" spans="65:67" ht="18.75" customHeight="1">
      <c r="BM14274" s="1025"/>
      <c r="BO14274" s="43"/>
    </row>
    <row r="14275" spans="65:67" ht="18.75" customHeight="1">
      <c r="BM14275" s="1025"/>
      <c r="BO14275" s="43"/>
    </row>
    <row r="14276" spans="65:67" ht="18.75" customHeight="1">
      <c r="BM14276" s="1025"/>
      <c r="BO14276" s="43"/>
    </row>
    <row r="14277" spans="65:67" ht="18.75" customHeight="1">
      <c r="BM14277" s="1025"/>
      <c r="BO14277" s="43"/>
    </row>
    <row r="14278" spans="65:67" ht="18.75" customHeight="1">
      <c r="BM14278" s="1025"/>
      <c r="BO14278" s="43"/>
    </row>
    <row r="14279" spans="65:67" ht="18.75" customHeight="1">
      <c r="BM14279" s="1025"/>
      <c r="BO14279" s="43"/>
    </row>
    <row r="14280" spans="65:67" ht="18.75" customHeight="1">
      <c r="BM14280" s="1025"/>
      <c r="BO14280" s="43"/>
    </row>
    <row r="14281" spans="65:67" ht="18.75" customHeight="1">
      <c r="BM14281" s="1025"/>
      <c r="BO14281" s="43"/>
    </row>
    <row r="14282" spans="65:67" ht="18.75" customHeight="1">
      <c r="BM14282" s="1025"/>
      <c r="BO14282" s="43"/>
    </row>
    <row r="14283" spans="65:67" ht="18.75" customHeight="1">
      <c r="BM14283" s="1025"/>
      <c r="BO14283" s="43"/>
    </row>
    <row r="14284" spans="65:67" ht="18.75" customHeight="1">
      <c r="BM14284" s="1025"/>
      <c r="BO14284" s="43"/>
    </row>
    <row r="14285" spans="65:67" ht="18.75" customHeight="1">
      <c r="BM14285" s="1025"/>
      <c r="BO14285" s="43"/>
    </row>
    <row r="14286" spans="65:67" ht="18.75" customHeight="1">
      <c r="BM14286" s="1025"/>
      <c r="BO14286" s="43"/>
    </row>
    <row r="14287" spans="65:67" ht="18.75" customHeight="1">
      <c r="BM14287" s="1025"/>
      <c r="BO14287" s="43"/>
    </row>
    <row r="14288" spans="65:67" ht="18.75" customHeight="1">
      <c r="BM14288" s="1025"/>
      <c r="BO14288" s="43"/>
    </row>
    <row r="14289" spans="65:67" ht="18.75" customHeight="1">
      <c r="BM14289" s="1025"/>
      <c r="BO14289" s="43"/>
    </row>
    <row r="14290" spans="65:67" ht="18.75" customHeight="1">
      <c r="BM14290" s="1025"/>
      <c r="BO14290" s="43"/>
    </row>
    <row r="14291" spans="65:67" ht="18.75" customHeight="1">
      <c r="BM14291" s="1025"/>
      <c r="BO14291" s="43"/>
    </row>
    <row r="14292" spans="65:67" ht="18.75" customHeight="1">
      <c r="BM14292" s="1025"/>
      <c r="BO14292" s="43"/>
    </row>
    <row r="14293" spans="65:67" ht="18.75" customHeight="1">
      <c r="BM14293" s="1025"/>
      <c r="BO14293" s="43"/>
    </row>
    <row r="14294" spans="65:67" ht="18.75" customHeight="1">
      <c r="BM14294" s="1025"/>
      <c r="BO14294" s="43"/>
    </row>
    <row r="14295" spans="65:67" ht="18.75" customHeight="1">
      <c r="BM14295" s="1025"/>
      <c r="BO14295" s="43"/>
    </row>
    <row r="14296" spans="65:67" ht="18.75" customHeight="1">
      <c r="BM14296" s="1025"/>
      <c r="BO14296" s="43"/>
    </row>
    <row r="14297" spans="65:67" ht="18.75" customHeight="1">
      <c r="BM14297" s="1025"/>
      <c r="BO14297" s="43"/>
    </row>
    <row r="14298" spans="65:67" ht="18.75" customHeight="1">
      <c r="BM14298" s="1025"/>
      <c r="BO14298" s="43"/>
    </row>
    <row r="14299" spans="65:67" ht="18.75" customHeight="1">
      <c r="BM14299" s="1025"/>
      <c r="BO14299" s="43"/>
    </row>
    <row r="14300" spans="65:67" ht="18.75" customHeight="1">
      <c r="BM14300" s="1025"/>
      <c r="BO14300" s="43"/>
    </row>
    <row r="14301" spans="65:67" ht="18.75" customHeight="1">
      <c r="BM14301" s="1025"/>
      <c r="BO14301" s="43"/>
    </row>
    <row r="14302" spans="65:67" ht="18.75" customHeight="1">
      <c r="BM14302" s="1025"/>
      <c r="BO14302" s="43"/>
    </row>
    <row r="14303" spans="65:67" ht="18.75" customHeight="1">
      <c r="BM14303" s="1025"/>
      <c r="BO14303" s="43"/>
    </row>
    <row r="14304" spans="65:67" ht="18.75" customHeight="1">
      <c r="BM14304" s="1025"/>
      <c r="BO14304" s="43"/>
    </row>
    <row r="14305" spans="65:67" ht="18.75" customHeight="1">
      <c r="BM14305" s="1025"/>
      <c r="BO14305" s="43"/>
    </row>
    <row r="14306" spans="65:67" ht="18.75" customHeight="1">
      <c r="BM14306" s="1025"/>
      <c r="BO14306" s="43"/>
    </row>
    <row r="14307" spans="65:67" ht="18.75" customHeight="1">
      <c r="BM14307" s="1025"/>
      <c r="BO14307" s="43"/>
    </row>
    <row r="14308" spans="65:67" ht="18.75" customHeight="1">
      <c r="BM14308" s="1025"/>
      <c r="BO14308" s="43"/>
    </row>
    <row r="14309" spans="65:67" ht="18.75" customHeight="1">
      <c r="BM14309" s="1025"/>
      <c r="BO14309" s="43"/>
    </row>
    <row r="14310" spans="65:67" ht="18.75" customHeight="1">
      <c r="BM14310" s="1025"/>
      <c r="BO14310" s="43"/>
    </row>
    <row r="14311" spans="65:67" ht="18.75" customHeight="1">
      <c r="BM14311" s="1025"/>
      <c r="BO14311" s="43"/>
    </row>
    <row r="14312" spans="65:67" ht="18.75" customHeight="1">
      <c r="BM14312" s="1025"/>
      <c r="BO14312" s="43"/>
    </row>
    <row r="14313" spans="65:67" ht="18.75" customHeight="1">
      <c r="BM14313" s="1025"/>
      <c r="BO14313" s="43"/>
    </row>
    <row r="14314" spans="65:67" ht="18.75" customHeight="1">
      <c r="BM14314" s="1025"/>
      <c r="BO14314" s="43"/>
    </row>
    <row r="14315" spans="65:67" ht="18.75" customHeight="1">
      <c r="BM14315" s="1025"/>
      <c r="BO14315" s="43"/>
    </row>
    <row r="14316" spans="65:67" ht="18.75" customHeight="1">
      <c r="BM14316" s="1025"/>
      <c r="BO14316" s="43"/>
    </row>
    <row r="14317" spans="65:67" ht="18.75" customHeight="1">
      <c r="BM14317" s="1025"/>
      <c r="BO14317" s="43"/>
    </row>
    <row r="14318" spans="65:67" ht="18.75" customHeight="1">
      <c r="BM14318" s="1025"/>
      <c r="BO14318" s="43"/>
    </row>
    <row r="14319" spans="65:67" ht="18.75" customHeight="1">
      <c r="BM14319" s="1025"/>
      <c r="BO14319" s="43"/>
    </row>
    <row r="14320" spans="65:67" ht="18.75" customHeight="1">
      <c r="BM14320" s="1025"/>
      <c r="BO14320" s="43"/>
    </row>
    <row r="14321" spans="65:67" ht="18.75" customHeight="1">
      <c r="BM14321" s="1025"/>
      <c r="BO14321" s="43"/>
    </row>
    <row r="14322" spans="65:67" ht="18.75" customHeight="1">
      <c r="BM14322" s="1025"/>
      <c r="BO14322" s="43"/>
    </row>
    <row r="14323" spans="65:67" ht="18.75" customHeight="1">
      <c r="BM14323" s="1025"/>
      <c r="BO14323" s="43"/>
    </row>
    <row r="14324" spans="65:67" ht="18.75" customHeight="1">
      <c r="BM14324" s="1025"/>
      <c r="BO14324" s="43"/>
    </row>
    <row r="14325" spans="65:67" ht="18.75" customHeight="1">
      <c r="BM14325" s="1025"/>
      <c r="BO14325" s="43"/>
    </row>
    <row r="14326" spans="65:67" ht="18.75" customHeight="1">
      <c r="BM14326" s="1025"/>
      <c r="BO14326" s="43"/>
    </row>
    <row r="14327" spans="65:67" ht="18.75" customHeight="1">
      <c r="BM14327" s="1025"/>
      <c r="BO14327" s="43"/>
    </row>
    <row r="14328" spans="65:67" ht="18.75" customHeight="1">
      <c r="BM14328" s="1025"/>
      <c r="BO14328" s="43"/>
    </row>
    <row r="14329" spans="65:67" ht="18.75" customHeight="1">
      <c r="BM14329" s="1025"/>
      <c r="BO14329" s="43"/>
    </row>
    <row r="14330" spans="65:67" ht="18.75" customHeight="1">
      <c r="BM14330" s="1025"/>
      <c r="BO14330" s="43"/>
    </row>
    <row r="14331" spans="65:67" ht="18.75" customHeight="1">
      <c r="BM14331" s="1025"/>
      <c r="BO14331" s="43"/>
    </row>
    <row r="14332" spans="65:67" ht="18.75" customHeight="1">
      <c r="BM14332" s="1025"/>
      <c r="BO14332" s="43"/>
    </row>
    <row r="14333" spans="65:67" ht="18.75" customHeight="1">
      <c r="BM14333" s="1025"/>
      <c r="BO14333" s="43"/>
    </row>
    <row r="14334" spans="65:67" ht="18.75" customHeight="1">
      <c r="BM14334" s="1025"/>
      <c r="BO14334" s="43"/>
    </row>
    <row r="14335" spans="65:67" ht="18.75" customHeight="1">
      <c r="BM14335" s="1025"/>
      <c r="BO14335" s="43"/>
    </row>
    <row r="14336" spans="65:67" ht="18.75" customHeight="1">
      <c r="BM14336" s="1025"/>
      <c r="BO14336" s="43"/>
    </row>
    <row r="14337" spans="65:67" ht="18.75" customHeight="1">
      <c r="BM14337" s="1025"/>
      <c r="BO14337" s="43"/>
    </row>
    <row r="14338" spans="65:67" ht="18.75" customHeight="1">
      <c r="BM14338" s="1025"/>
      <c r="BO14338" s="43"/>
    </row>
    <row r="14339" spans="65:67" ht="18.75" customHeight="1">
      <c r="BM14339" s="1025"/>
      <c r="BO14339" s="43"/>
    </row>
    <row r="14340" spans="65:67" ht="18.75" customHeight="1">
      <c r="BM14340" s="1025"/>
      <c r="BO14340" s="43"/>
    </row>
    <row r="14341" spans="65:67" ht="18.75" customHeight="1">
      <c r="BM14341" s="1025"/>
      <c r="BO14341" s="43"/>
    </row>
    <row r="14342" spans="65:67" ht="18.75" customHeight="1">
      <c r="BM14342" s="1025"/>
      <c r="BO14342" s="43"/>
    </row>
    <row r="14343" spans="65:67" ht="18.75" customHeight="1">
      <c r="BM14343" s="1025"/>
      <c r="BO14343" s="43"/>
    </row>
    <row r="14344" spans="65:67" ht="18.75" customHeight="1">
      <c r="BM14344" s="1025"/>
      <c r="BO14344" s="43"/>
    </row>
    <row r="14345" spans="65:67" ht="18.75" customHeight="1">
      <c r="BM14345" s="1025"/>
      <c r="BO14345" s="43"/>
    </row>
    <row r="14346" spans="65:67" ht="18.75" customHeight="1">
      <c r="BM14346" s="1025"/>
      <c r="BO14346" s="43"/>
    </row>
    <row r="14347" spans="65:67" ht="18.75" customHeight="1">
      <c r="BM14347" s="1025"/>
      <c r="BO14347" s="43"/>
    </row>
    <row r="14348" spans="65:67" ht="18.75" customHeight="1">
      <c r="BM14348" s="1025"/>
      <c r="BO14348" s="43"/>
    </row>
    <row r="14349" spans="65:67" ht="18.75" customHeight="1">
      <c r="BM14349" s="1025"/>
      <c r="BO14349" s="43"/>
    </row>
    <row r="14350" spans="65:67" ht="18.75" customHeight="1">
      <c r="BM14350" s="1025"/>
      <c r="BO14350" s="43"/>
    </row>
    <row r="14351" spans="65:67" ht="18.75" customHeight="1">
      <c r="BM14351" s="1025"/>
      <c r="BO14351" s="43"/>
    </row>
    <row r="14352" spans="65:67" ht="18.75" customHeight="1">
      <c r="BM14352" s="1025"/>
      <c r="BO14352" s="43"/>
    </row>
    <row r="14353" spans="65:67" ht="18.75" customHeight="1">
      <c r="BM14353" s="1025"/>
      <c r="BO14353" s="43"/>
    </row>
    <row r="14354" spans="65:67" ht="18.75" customHeight="1">
      <c r="BM14354" s="1025"/>
      <c r="BO14354" s="43"/>
    </row>
    <row r="14355" spans="65:67" ht="18.75" customHeight="1">
      <c r="BM14355" s="1025"/>
      <c r="BO14355" s="43"/>
    </row>
    <row r="14356" spans="65:67" ht="18.75" customHeight="1">
      <c r="BM14356" s="1025"/>
      <c r="BO14356" s="43"/>
    </row>
    <row r="14357" spans="65:67" ht="18.75" customHeight="1">
      <c r="BM14357" s="1025"/>
      <c r="BO14357" s="43"/>
    </row>
    <row r="14358" spans="65:67" ht="18.75" customHeight="1">
      <c r="BM14358" s="1025"/>
      <c r="BO14358" s="43"/>
    </row>
    <row r="14359" spans="65:67" ht="18.75" customHeight="1">
      <c r="BM14359" s="1025"/>
      <c r="BO14359" s="43"/>
    </row>
    <row r="14360" spans="65:67" ht="18.75" customHeight="1">
      <c r="BM14360" s="1025"/>
      <c r="BO14360" s="43"/>
    </row>
    <row r="14361" spans="65:67" ht="18.75" customHeight="1">
      <c r="BM14361" s="1025"/>
      <c r="BO14361" s="43"/>
    </row>
    <row r="14362" spans="65:67" ht="18.75" customHeight="1">
      <c r="BM14362" s="1025"/>
      <c r="BO14362" s="43"/>
    </row>
    <row r="14363" spans="65:67" ht="18.75" customHeight="1">
      <c r="BM14363" s="1025"/>
      <c r="BO14363" s="43"/>
    </row>
    <row r="14364" spans="65:67" ht="18.75" customHeight="1">
      <c r="BM14364" s="1025"/>
      <c r="BO14364" s="43"/>
    </row>
    <row r="14365" spans="65:67" ht="18.75" customHeight="1">
      <c r="BM14365" s="1025"/>
      <c r="BO14365" s="43"/>
    </row>
    <row r="14366" spans="65:67" ht="18.75" customHeight="1">
      <c r="BM14366" s="1025"/>
      <c r="BO14366" s="43"/>
    </row>
    <row r="14367" spans="65:67" ht="18.75" customHeight="1">
      <c r="BM14367" s="1025"/>
      <c r="BO14367" s="43"/>
    </row>
    <row r="14368" spans="65:67" ht="18.75" customHeight="1">
      <c r="BM14368" s="1025"/>
      <c r="BO14368" s="43"/>
    </row>
    <row r="14369" spans="65:67" ht="18.75" customHeight="1">
      <c r="BM14369" s="1025"/>
      <c r="BO14369" s="43"/>
    </row>
    <row r="14370" spans="65:67" ht="18.75" customHeight="1">
      <c r="BM14370" s="1025"/>
      <c r="BO14370" s="43"/>
    </row>
    <row r="14371" spans="65:67" ht="18.75" customHeight="1">
      <c r="BM14371" s="1025"/>
      <c r="BO14371" s="43"/>
    </row>
    <row r="14372" spans="65:67" ht="18.75" customHeight="1">
      <c r="BM14372" s="1025"/>
      <c r="BO14372" s="43"/>
    </row>
    <row r="14373" spans="65:67" ht="18.75" customHeight="1">
      <c r="BM14373" s="1025"/>
      <c r="BO14373" s="43"/>
    </row>
    <row r="14374" spans="65:67" ht="18.75" customHeight="1">
      <c r="BM14374" s="1025"/>
      <c r="BO14374" s="43"/>
    </row>
    <row r="14375" spans="65:67" ht="18.75" customHeight="1">
      <c r="BM14375" s="1025"/>
      <c r="BO14375" s="43"/>
    </row>
    <row r="14376" spans="65:67" ht="18.75" customHeight="1">
      <c r="BM14376" s="1025"/>
      <c r="BO14376" s="43"/>
    </row>
    <row r="14377" spans="65:67" ht="18.75" customHeight="1">
      <c r="BM14377" s="1025"/>
      <c r="BO14377" s="43"/>
    </row>
    <row r="14378" spans="65:67" ht="18.75" customHeight="1">
      <c r="BM14378" s="1025"/>
      <c r="BO14378" s="43"/>
    </row>
    <row r="14379" spans="65:67" ht="18.75" customHeight="1">
      <c r="BM14379" s="1025"/>
      <c r="BO14379" s="43"/>
    </row>
    <row r="14380" spans="65:67" ht="18.75" customHeight="1">
      <c r="BM14380" s="1025"/>
      <c r="BO14380" s="43"/>
    </row>
    <row r="14381" spans="65:67" ht="18.75" customHeight="1">
      <c r="BM14381" s="1025"/>
      <c r="BO14381" s="43"/>
    </row>
    <row r="14382" spans="65:67" ht="18.75" customHeight="1">
      <c r="BM14382" s="1025"/>
      <c r="BO14382" s="43"/>
    </row>
    <row r="14383" spans="65:67" ht="18.75" customHeight="1">
      <c r="BM14383" s="1025"/>
      <c r="BO14383" s="43"/>
    </row>
    <row r="14384" spans="65:67" ht="18.75" customHeight="1">
      <c r="BM14384" s="1025"/>
      <c r="BO14384" s="43"/>
    </row>
    <row r="14385" spans="65:67" ht="18.75" customHeight="1">
      <c r="BM14385" s="1025"/>
      <c r="BO14385" s="43"/>
    </row>
    <row r="14386" spans="65:67" ht="18.75" customHeight="1">
      <c r="BM14386" s="1025"/>
      <c r="BO14386" s="43"/>
    </row>
    <row r="14387" spans="65:67" ht="18.75" customHeight="1">
      <c r="BM14387" s="1025"/>
      <c r="BO14387" s="43"/>
    </row>
    <row r="14388" spans="65:67" ht="18.75" customHeight="1">
      <c r="BM14388" s="1025"/>
      <c r="BO14388" s="43"/>
    </row>
    <row r="14389" spans="65:67" ht="18.75" customHeight="1">
      <c r="BM14389" s="1025"/>
      <c r="BO14389" s="43"/>
    </row>
    <row r="14390" spans="65:67" ht="18.75" customHeight="1">
      <c r="BM14390" s="1025"/>
      <c r="BO14390" s="43"/>
    </row>
    <row r="14391" spans="65:67" ht="18.75" customHeight="1">
      <c r="BM14391" s="1025"/>
      <c r="BO14391" s="43"/>
    </row>
    <row r="14392" spans="65:67" ht="18.75" customHeight="1">
      <c r="BM14392" s="1025"/>
      <c r="BO14392" s="43"/>
    </row>
    <row r="14393" spans="65:67" ht="18.75" customHeight="1">
      <c r="BM14393" s="1025"/>
      <c r="BO14393" s="43"/>
    </row>
    <row r="14394" spans="65:67" ht="18.75" customHeight="1">
      <c r="BM14394" s="1025"/>
      <c r="BO14394" s="43"/>
    </row>
    <row r="14395" spans="65:67" ht="18.75" customHeight="1">
      <c r="BM14395" s="1025"/>
      <c r="BO14395" s="43"/>
    </row>
    <row r="14396" spans="65:67" ht="18.75" customHeight="1">
      <c r="BM14396" s="1025"/>
      <c r="BO14396" s="43"/>
    </row>
    <row r="14397" spans="65:67" ht="18.75" customHeight="1">
      <c r="BM14397" s="1025"/>
      <c r="BO14397" s="43"/>
    </row>
    <row r="14398" spans="65:67" ht="18.75" customHeight="1">
      <c r="BM14398" s="1025"/>
      <c r="BO14398" s="43"/>
    </row>
    <row r="14399" spans="65:67" ht="18.75" customHeight="1">
      <c r="BM14399" s="1025"/>
      <c r="BO14399" s="43"/>
    </row>
    <row r="14400" spans="65:67" ht="18.75" customHeight="1">
      <c r="BM14400" s="1025"/>
      <c r="BO14400" s="43"/>
    </row>
    <row r="14401" spans="65:67" ht="18.75" customHeight="1">
      <c r="BM14401" s="1025"/>
      <c r="BO14401" s="43"/>
    </row>
    <row r="14402" spans="65:67" ht="18.75" customHeight="1">
      <c r="BM14402" s="1025"/>
      <c r="BO14402" s="43"/>
    </row>
    <row r="14403" spans="65:67" ht="18.75" customHeight="1">
      <c r="BM14403" s="1025"/>
      <c r="BO14403" s="43"/>
    </row>
    <row r="14404" spans="65:67" ht="18.75" customHeight="1">
      <c r="BM14404" s="1025"/>
      <c r="BO14404" s="43"/>
    </row>
    <row r="14405" spans="65:67" ht="18.75" customHeight="1">
      <c r="BM14405" s="1025"/>
      <c r="BO14405" s="43"/>
    </row>
    <row r="14406" spans="65:67" ht="18.75" customHeight="1">
      <c r="BM14406" s="1025"/>
      <c r="BO14406" s="43"/>
    </row>
    <row r="14407" spans="65:67" ht="18.75" customHeight="1">
      <c r="BM14407" s="1025"/>
      <c r="BO14407" s="43"/>
    </row>
    <row r="14408" spans="65:67" ht="18.75" customHeight="1">
      <c r="BM14408" s="1025"/>
      <c r="BO14408" s="43"/>
    </row>
    <row r="14409" spans="65:67" ht="18.75" customHeight="1">
      <c r="BM14409" s="1025"/>
      <c r="BO14409" s="43"/>
    </row>
    <row r="14410" spans="65:67" ht="18.75" customHeight="1">
      <c r="BM14410" s="1025"/>
      <c r="BO14410" s="43"/>
    </row>
    <row r="14411" spans="65:67" ht="18.75" customHeight="1">
      <c r="BM14411" s="1025"/>
      <c r="BO14411" s="43"/>
    </row>
    <row r="14412" spans="65:67" ht="18.75" customHeight="1">
      <c r="BM14412" s="1025"/>
      <c r="BO14412" s="43"/>
    </row>
    <row r="14413" spans="65:67" ht="18.75" customHeight="1">
      <c r="BM14413" s="1025"/>
      <c r="BO14413" s="43"/>
    </row>
    <row r="14414" spans="65:67" ht="18.75" customHeight="1">
      <c r="BM14414" s="1025"/>
      <c r="BO14414" s="43"/>
    </row>
    <row r="14415" spans="65:67" ht="18.75" customHeight="1">
      <c r="BM14415" s="1025"/>
      <c r="BO14415" s="43"/>
    </row>
    <row r="14416" spans="65:67" ht="18.75" customHeight="1">
      <c r="BM14416" s="1025"/>
      <c r="BO14416" s="43"/>
    </row>
    <row r="14417" spans="65:67" ht="18.75" customHeight="1">
      <c r="BM14417" s="1025"/>
      <c r="BO14417" s="43"/>
    </row>
    <row r="14418" spans="65:67" ht="18.75" customHeight="1">
      <c r="BM14418" s="1025"/>
      <c r="BO14418" s="43"/>
    </row>
    <row r="14419" spans="65:67" ht="18.75" customHeight="1">
      <c r="BM14419" s="1025"/>
      <c r="BO14419" s="43"/>
    </row>
    <row r="14420" spans="65:67" ht="18.75" customHeight="1">
      <c r="BM14420" s="1025"/>
      <c r="BO14420" s="43"/>
    </row>
    <row r="14421" spans="65:67" ht="18.75" customHeight="1">
      <c r="BM14421" s="1025"/>
      <c r="BO14421" s="43"/>
    </row>
    <row r="14422" spans="65:67" ht="18.75" customHeight="1">
      <c r="BM14422" s="1025"/>
      <c r="BO14422" s="43"/>
    </row>
    <row r="14423" spans="65:67" ht="18.75" customHeight="1">
      <c r="BM14423" s="1025"/>
      <c r="BO14423" s="43"/>
    </row>
    <row r="14424" spans="65:67" ht="18.75" customHeight="1">
      <c r="BM14424" s="1025"/>
      <c r="BO14424" s="43"/>
    </row>
    <row r="14425" spans="65:67" ht="18.75" customHeight="1">
      <c r="BM14425" s="1025"/>
      <c r="BO14425" s="43"/>
    </row>
    <row r="14426" spans="65:67" ht="18.75" customHeight="1">
      <c r="BM14426" s="1025"/>
      <c r="BO14426" s="43"/>
    </row>
    <row r="14427" spans="65:67" ht="18.75" customHeight="1">
      <c r="BM14427" s="1025"/>
      <c r="BO14427" s="43"/>
    </row>
    <row r="14428" spans="65:67" ht="18.75" customHeight="1">
      <c r="BM14428" s="1025"/>
      <c r="BO14428" s="43"/>
    </row>
    <row r="14429" spans="65:67" ht="18.75" customHeight="1">
      <c r="BM14429" s="1025"/>
      <c r="BO14429" s="43"/>
    </row>
    <row r="14430" spans="65:67" ht="18.75" customHeight="1">
      <c r="BM14430" s="1025"/>
      <c r="BO14430" s="43"/>
    </row>
    <row r="14431" spans="65:67" ht="18.75" customHeight="1">
      <c r="BM14431" s="1025"/>
      <c r="BO14431" s="43"/>
    </row>
    <row r="14432" spans="65:67" ht="18.75" customHeight="1">
      <c r="BM14432" s="1025"/>
      <c r="BO14432" s="43"/>
    </row>
    <row r="14433" spans="65:67" ht="18.75" customHeight="1">
      <c r="BM14433" s="1025"/>
      <c r="BO14433" s="43"/>
    </row>
    <row r="14434" spans="65:67" ht="18.75" customHeight="1">
      <c r="BM14434" s="1025"/>
      <c r="BO14434" s="43"/>
    </row>
    <row r="14435" spans="65:67" ht="18.75" customHeight="1">
      <c r="BM14435" s="1025"/>
      <c r="BO14435" s="43"/>
    </row>
    <row r="14436" spans="65:67" ht="18.75" customHeight="1">
      <c r="BM14436" s="1025"/>
      <c r="BO14436" s="43"/>
    </row>
    <row r="14437" spans="65:67" ht="18.75" customHeight="1">
      <c r="BM14437" s="1025"/>
      <c r="BO14437" s="43"/>
    </row>
    <row r="14438" spans="65:67" ht="18.75" customHeight="1">
      <c r="BM14438" s="1025"/>
      <c r="BO14438" s="43"/>
    </row>
    <row r="14439" spans="65:67" ht="18.75" customHeight="1">
      <c r="BM14439" s="1025"/>
      <c r="BO14439" s="43"/>
    </row>
    <row r="14440" spans="65:67" ht="18.75" customHeight="1">
      <c r="BM14440" s="1025"/>
      <c r="BO14440" s="43"/>
    </row>
    <row r="14441" spans="65:67" ht="18.75" customHeight="1">
      <c r="BM14441" s="1025"/>
      <c r="BO14441" s="43"/>
    </row>
    <row r="14442" spans="65:67" ht="18.75" customHeight="1">
      <c r="BM14442" s="1025"/>
      <c r="BO14442" s="43"/>
    </row>
    <row r="14443" spans="65:67" ht="18.75" customHeight="1">
      <c r="BM14443" s="1025"/>
      <c r="BO14443" s="43"/>
    </row>
    <row r="14444" spans="65:67" ht="18.75" customHeight="1">
      <c r="BM14444" s="1025"/>
      <c r="BO14444" s="43"/>
    </row>
    <row r="14445" spans="65:67" ht="18.75" customHeight="1">
      <c r="BM14445" s="1025"/>
      <c r="BO14445" s="43"/>
    </row>
    <row r="14446" spans="65:67" ht="18.75" customHeight="1">
      <c r="BM14446" s="1025"/>
      <c r="BO14446" s="43"/>
    </row>
    <row r="14447" spans="65:67" ht="18.75" customHeight="1">
      <c r="BM14447" s="1025"/>
      <c r="BO14447" s="43"/>
    </row>
    <row r="14448" spans="65:67" ht="18.75" customHeight="1">
      <c r="BM14448" s="1025"/>
      <c r="BO14448" s="43"/>
    </row>
    <row r="14449" spans="65:67" ht="18.75" customHeight="1">
      <c r="BM14449" s="1025"/>
      <c r="BO14449" s="43"/>
    </row>
    <row r="14450" spans="65:67" ht="18.75" customHeight="1">
      <c r="BM14450" s="1025"/>
      <c r="BO14450" s="43"/>
    </row>
    <row r="14451" spans="65:67" ht="18.75" customHeight="1">
      <c r="BM14451" s="1025"/>
      <c r="BO14451" s="43"/>
    </row>
    <row r="14452" spans="65:67" ht="18.75" customHeight="1">
      <c r="BM14452" s="1025"/>
      <c r="BO14452" s="43"/>
    </row>
    <row r="14453" spans="65:67" ht="18.75" customHeight="1">
      <c r="BM14453" s="1025"/>
      <c r="BO14453" s="43"/>
    </row>
    <row r="14454" spans="65:67" ht="18.75" customHeight="1">
      <c r="BM14454" s="1025"/>
      <c r="BO14454" s="43"/>
    </row>
    <row r="14455" spans="65:67" ht="18.75" customHeight="1">
      <c r="BM14455" s="1025"/>
      <c r="BO14455" s="43"/>
    </row>
    <row r="14456" spans="65:67" ht="18.75" customHeight="1">
      <c r="BM14456" s="1025"/>
      <c r="BO14456" s="43"/>
    </row>
    <row r="14457" spans="65:67" ht="18.75" customHeight="1">
      <c r="BM14457" s="1025"/>
      <c r="BO14457" s="43"/>
    </row>
    <row r="14458" spans="65:67" ht="18.75" customHeight="1">
      <c r="BM14458" s="1025"/>
      <c r="BO14458" s="43"/>
    </row>
    <row r="14459" spans="65:67" ht="18.75" customHeight="1">
      <c r="BM14459" s="1025"/>
      <c r="BO14459" s="43"/>
    </row>
    <row r="14460" spans="65:67" ht="18.75" customHeight="1">
      <c r="BM14460" s="1025"/>
      <c r="BO14460" s="43"/>
    </row>
    <row r="14461" spans="65:67" ht="18.75" customHeight="1">
      <c r="BM14461" s="1025"/>
      <c r="BO14461" s="43"/>
    </row>
    <row r="14462" spans="65:67" ht="18.75" customHeight="1">
      <c r="BM14462" s="1025"/>
      <c r="BO14462" s="43"/>
    </row>
    <row r="14463" spans="65:67" ht="18.75" customHeight="1">
      <c r="BM14463" s="1025"/>
      <c r="BO14463" s="43"/>
    </row>
    <row r="14464" spans="65:67" ht="18.75" customHeight="1">
      <c r="BM14464" s="1025"/>
      <c r="BO14464" s="43"/>
    </row>
    <row r="14465" spans="65:67" ht="18.75" customHeight="1">
      <c r="BM14465" s="1025"/>
      <c r="BO14465" s="43"/>
    </row>
    <row r="14466" spans="65:67" ht="18.75" customHeight="1">
      <c r="BM14466" s="1025"/>
      <c r="BO14466" s="43"/>
    </row>
    <row r="14467" spans="65:67" ht="18.75" customHeight="1">
      <c r="BM14467" s="1025"/>
      <c r="BO14467" s="43"/>
    </row>
    <row r="14468" spans="65:67" ht="18.75" customHeight="1">
      <c r="BM14468" s="1025"/>
      <c r="BO14468" s="43"/>
    </row>
    <row r="14469" spans="65:67" ht="18.75" customHeight="1">
      <c r="BM14469" s="1025"/>
      <c r="BO14469" s="43"/>
    </row>
    <row r="14470" spans="65:67" ht="18.75" customHeight="1">
      <c r="BM14470" s="1025"/>
      <c r="BO14470" s="43"/>
    </row>
    <row r="14471" spans="65:67" ht="18.75" customHeight="1">
      <c r="BM14471" s="1025"/>
      <c r="BO14471" s="43"/>
    </row>
    <row r="14472" spans="65:67" ht="18.75" customHeight="1">
      <c r="BM14472" s="1025"/>
      <c r="BO14472" s="43"/>
    </row>
    <row r="14473" spans="65:67" ht="18.75" customHeight="1">
      <c r="BM14473" s="1025"/>
      <c r="BO14473" s="43"/>
    </row>
    <row r="14474" spans="65:67" ht="18.75" customHeight="1">
      <c r="BM14474" s="1025"/>
      <c r="BO14474" s="43"/>
    </row>
    <row r="14475" spans="65:67" ht="18.75" customHeight="1">
      <c r="BM14475" s="1025"/>
      <c r="BO14475" s="43"/>
    </row>
    <row r="14476" spans="65:67" ht="18.75" customHeight="1">
      <c r="BM14476" s="1025"/>
      <c r="BO14476" s="43"/>
    </row>
    <row r="14477" spans="65:67" ht="18.75" customHeight="1">
      <c r="BM14477" s="1025"/>
      <c r="BO14477" s="43"/>
    </row>
    <row r="14478" spans="65:67" ht="18.75" customHeight="1">
      <c r="BM14478" s="1025"/>
      <c r="BO14478" s="43"/>
    </row>
    <row r="14479" spans="65:67" ht="18.75" customHeight="1">
      <c r="BM14479" s="1025"/>
      <c r="BO14479" s="43"/>
    </row>
    <row r="14480" spans="65:67" ht="18.75" customHeight="1">
      <c r="BM14480" s="1025"/>
      <c r="BO14480" s="43"/>
    </row>
    <row r="14481" spans="65:67" ht="18.75" customHeight="1">
      <c r="BM14481" s="1025"/>
      <c r="BO14481" s="43"/>
    </row>
    <row r="14482" spans="65:67" ht="18.75" customHeight="1">
      <c r="BM14482" s="1025"/>
      <c r="BO14482" s="43"/>
    </row>
    <row r="14483" spans="65:67" ht="18.75" customHeight="1">
      <c r="BM14483" s="1025"/>
      <c r="BO14483" s="43"/>
    </row>
    <row r="14484" spans="65:67" ht="18.75" customHeight="1">
      <c r="BM14484" s="1025"/>
      <c r="BO14484" s="43"/>
    </row>
    <row r="14485" spans="65:67" ht="18.75" customHeight="1">
      <c r="BM14485" s="1025"/>
      <c r="BO14485" s="43"/>
    </row>
    <row r="14486" spans="65:67" ht="18.75" customHeight="1">
      <c r="BM14486" s="1025"/>
      <c r="BO14486" s="43"/>
    </row>
    <row r="14487" spans="65:67" ht="18.75" customHeight="1">
      <c r="BM14487" s="1025"/>
      <c r="BO14487" s="43"/>
    </row>
    <row r="14488" spans="65:67" ht="18.75" customHeight="1">
      <c r="BM14488" s="1025"/>
      <c r="BO14488" s="43"/>
    </row>
    <row r="14489" spans="65:67" ht="18.75" customHeight="1">
      <c r="BM14489" s="1025"/>
      <c r="BO14489" s="43"/>
    </row>
    <row r="14490" spans="65:67" ht="18.75" customHeight="1">
      <c r="BM14490" s="1025"/>
      <c r="BO14490" s="43"/>
    </row>
    <row r="14491" spans="65:67" ht="18.75" customHeight="1">
      <c r="BM14491" s="1025"/>
      <c r="BO14491" s="43"/>
    </row>
    <row r="14492" spans="65:67" ht="18.75" customHeight="1">
      <c r="BM14492" s="1025"/>
      <c r="BO14492" s="43"/>
    </row>
    <row r="14493" spans="65:67" ht="18.75" customHeight="1">
      <c r="BM14493" s="1025"/>
      <c r="BO14493" s="43"/>
    </row>
    <row r="14494" spans="65:67" ht="18.75" customHeight="1">
      <c r="BM14494" s="1025"/>
      <c r="BO14494" s="43"/>
    </row>
    <row r="14495" spans="65:67" ht="18.75" customHeight="1">
      <c r="BM14495" s="1025"/>
      <c r="BO14495" s="43"/>
    </row>
    <row r="14496" spans="65:67" ht="18.75" customHeight="1">
      <c r="BM14496" s="1025"/>
      <c r="BO14496" s="43"/>
    </row>
    <row r="14497" spans="65:67" ht="18.75" customHeight="1">
      <c r="BM14497" s="1025"/>
      <c r="BO14497" s="43"/>
    </row>
    <row r="14498" spans="65:67" ht="18.75" customHeight="1">
      <c r="BM14498" s="1025"/>
      <c r="BO14498" s="43"/>
    </row>
    <row r="14499" spans="65:67" ht="18.75" customHeight="1">
      <c r="BM14499" s="1025"/>
      <c r="BO14499" s="43"/>
    </row>
    <row r="14500" spans="65:67" ht="18.75" customHeight="1">
      <c r="BM14500" s="1025"/>
      <c r="BO14500" s="43"/>
    </row>
    <row r="14501" spans="65:67" ht="18.75" customHeight="1">
      <c r="BM14501" s="1025"/>
      <c r="BO14501" s="43"/>
    </row>
    <row r="14502" spans="65:67" ht="18.75" customHeight="1">
      <c r="BM14502" s="1025"/>
      <c r="BO14502" s="43"/>
    </row>
    <row r="14503" spans="65:67" ht="18.75" customHeight="1">
      <c r="BM14503" s="1025"/>
      <c r="BO14503" s="43"/>
    </row>
    <row r="14504" spans="65:67" ht="18.75" customHeight="1">
      <c r="BM14504" s="1025"/>
      <c r="BO14504" s="43"/>
    </row>
    <row r="14505" spans="65:67" ht="18.75" customHeight="1">
      <c r="BM14505" s="1025"/>
      <c r="BO14505" s="43"/>
    </row>
    <row r="14506" spans="65:67" ht="18.75" customHeight="1">
      <c r="BM14506" s="1025"/>
      <c r="BO14506" s="43"/>
    </row>
    <row r="14507" spans="65:67" ht="18.75" customHeight="1">
      <c r="BM14507" s="1025"/>
      <c r="BO14507" s="43"/>
    </row>
    <row r="14508" spans="65:67" ht="18.75" customHeight="1">
      <c r="BM14508" s="1025"/>
      <c r="BO14508" s="43"/>
    </row>
    <row r="14509" spans="65:67" ht="18.75" customHeight="1">
      <c r="BM14509" s="1025"/>
      <c r="BO14509" s="43"/>
    </row>
    <row r="14510" spans="65:67" ht="18.75" customHeight="1">
      <c r="BM14510" s="1025"/>
      <c r="BO14510" s="43"/>
    </row>
    <row r="14511" spans="65:67" ht="18.75" customHeight="1">
      <c r="BM14511" s="1025"/>
      <c r="BO14511" s="43"/>
    </row>
    <row r="14512" spans="65:67" ht="18.75" customHeight="1">
      <c r="BM14512" s="1025"/>
      <c r="BO14512" s="43"/>
    </row>
    <row r="14513" spans="65:67" ht="18.75" customHeight="1">
      <c r="BM14513" s="1025"/>
      <c r="BO14513" s="43"/>
    </row>
    <row r="14514" spans="65:67" ht="18.75" customHeight="1">
      <c r="BM14514" s="1025"/>
      <c r="BO14514" s="43"/>
    </row>
    <row r="14515" spans="65:67" ht="18.75" customHeight="1">
      <c r="BM14515" s="1025"/>
      <c r="BO14515" s="43"/>
    </row>
    <row r="14516" spans="65:67" ht="18.75" customHeight="1">
      <c r="BM14516" s="1025"/>
      <c r="BO14516" s="43"/>
    </row>
    <row r="14517" spans="65:67" ht="18.75" customHeight="1">
      <c r="BM14517" s="1025"/>
      <c r="BO14517" s="43"/>
    </row>
    <row r="14518" spans="65:67" ht="18.75" customHeight="1">
      <c r="BM14518" s="1025"/>
      <c r="BO14518" s="43"/>
    </row>
    <row r="14519" spans="65:67" ht="18.75" customHeight="1">
      <c r="BM14519" s="1025"/>
      <c r="BO14519" s="43"/>
    </row>
    <row r="14520" spans="65:67" ht="18.75" customHeight="1">
      <c r="BM14520" s="1025"/>
      <c r="BO14520" s="43"/>
    </row>
    <row r="14521" spans="65:67" ht="18.75" customHeight="1">
      <c r="BM14521" s="1025"/>
      <c r="BO14521" s="43"/>
    </row>
    <row r="14522" spans="65:67" ht="18.75" customHeight="1">
      <c r="BM14522" s="1025"/>
      <c r="BO14522" s="43"/>
    </row>
    <row r="14523" spans="65:67" ht="18.75" customHeight="1">
      <c r="BM14523" s="1025"/>
      <c r="BO14523" s="43"/>
    </row>
    <row r="14524" spans="65:67" ht="18.75" customHeight="1">
      <c r="BM14524" s="1025"/>
      <c r="BO14524" s="43"/>
    </row>
    <row r="14525" spans="65:67" ht="18.75" customHeight="1">
      <c r="BM14525" s="1025"/>
      <c r="BO14525" s="43"/>
    </row>
    <row r="14526" spans="65:67" ht="18.75" customHeight="1">
      <c r="BM14526" s="1025"/>
      <c r="BO14526" s="43"/>
    </row>
    <row r="14527" spans="65:67" ht="18.75" customHeight="1">
      <c r="BM14527" s="1025"/>
      <c r="BO14527" s="43"/>
    </row>
    <row r="14528" spans="65:67" ht="18.75" customHeight="1">
      <c r="BM14528" s="1025"/>
      <c r="BO14528" s="43"/>
    </row>
    <row r="14529" spans="65:67" ht="18.75" customHeight="1">
      <c r="BM14529" s="1025"/>
      <c r="BO14529" s="43"/>
    </row>
    <row r="14530" spans="65:67" ht="18.75" customHeight="1">
      <c r="BM14530" s="1025"/>
      <c r="BO14530" s="43"/>
    </row>
    <row r="14531" spans="65:67" ht="18.75" customHeight="1">
      <c r="BM14531" s="1025"/>
      <c r="BO14531" s="43"/>
    </row>
    <row r="14532" spans="65:67" ht="18.75" customHeight="1">
      <c r="BM14532" s="1025"/>
      <c r="BO14532" s="43"/>
    </row>
    <row r="14533" spans="65:67" ht="18.75" customHeight="1">
      <c r="BM14533" s="1025"/>
      <c r="BO14533" s="43"/>
    </row>
    <row r="14534" spans="65:67" ht="18.75" customHeight="1">
      <c r="BM14534" s="1025"/>
      <c r="BO14534" s="43"/>
    </row>
    <row r="14535" spans="65:67" ht="18.75" customHeight="1">
      <c r="BM14535" s="1025"/>
      <c r="BO14535" s="43"/>
    </row>
    <row r="14536" spans="65:67" ht="18.75" customHeight="1">
      <c r="BM14536" s="1025"/>
      <c r="BO14536" s="43"/>
    </row>
    <row r="14537" spans="65:67" ht="18.75" customHeight="1">
      <c r="BM14537" s="1025"/>
      <c r="BO14537" s="43"/>
    </row>
    <row r="14538" spans="65:67" ht="18.75" customHeight="1">
      <c r="BM14538" s="1025"/>
      <c r="BO14538" s="43"/>
    </row>
    <row r="14539" spans="65:67" ht="18.75" customHeight="1">
      <c r="BM14539" s="1025"/>
      <c r="BO14539" s="43"/>
    </row>
    <row r="14540" spans="65:67" ht="18.75" customHeight="1">
      <c r="BM14540" s="1025"/>
      <c r="BO14540" s="43"/>
    </row>
    <row r="14541" spans="65:67" ht="18.75" customHeight="1">
      <c r="BM14541" s="1025"/>
      <c r="BO14541" s="43"/>
    </row>
    <row r="14542" spans="65:67" ht="18.75" customHeight="1">
      <c r="BM14542" s="1025"/>
      <c r="BO14542" s="43"/>
    </row>
    <row r="14543" spans="65:67" ht="18.75" customHeight="1">
      <c r="BM14543" s="1025"/>
      <c r="BO14543" s="43"/>
    </row>
    <row r="14544" spans="65:67" ht="18.75" customHeight="1">
      <c r="BM14544" s="1025"/>
      <c r="BO14544" s="43"/>
    </row>
    <row r="14545" spans="65:67" ht="18.75" customHeight="1">
      <c r="BM14545" s="1025"/>
      <c r="BO14545" s="43"/>
    </row>
    <row r="14546" spans="65:67" ht="18.75" customHeight="1">
      <c r="BM14546" s="1025"/>
      <c r="BO14546" s="43"/>
    </row>
    <row r="14547" spans="65:67" ht="18.75" customHeight="1">
      <c r="BM14547" s="1025"/>
      <c r="BO14547" s="43"/>
    </row>
    <row r="14548" spans="65:67" ht="18.75" customHeight="1">
      <c r="BM14548" s="1025"/>
      <c r="BO14548" s="43"/>
    </row>
    <row r="14549" spans="65:67" ht="18.75" customHeight="1">
      <c r="BM14549" s="1025"/>
      <c r="BO14549" s="43"/>
    </row>
    <row r="14550" spans="65:67" ht="18.75" customHeight="1">
      <c r="BM14550" s="1025"/>
      <c r="BO14550" s="43"/>
    </row>
    <row r="14551" spans="65:67" ht="18.75" customHeight="1">
      <c r="BM14551" s="1025"/>
      <c r="BO14551" s="43"/>
    </row>
    <row r="14552" spans="65:67" ht="18.75" customHeight="1">
      <c r="BM14552" s="1025"/>
      <c r="BO14552" s="43"/>
    </row>
    <row r="14553" spans="65:67" ht="18.75" customHeight="1">
      <c r="BM14553" s="1025"/>
      <c r="BO14553" s="43"/>
    </row>
    <row r="14554" spans="65:67" ht="18.75" customHeight="1">
      <c r="BM14554" s="1025"/>
      <c r="BO14554" s="43"/>
    </row>
    <row r="14555" spans="65:67" ht="18.75" customHeight="1">
      <c r="BM14555" s="1025"/>
      <c r="BO14555" s="43"/>
    </row>
    <row r="14556" spans="65:67" ht="18.75" customHeight="1">
      <c r="BM14556" s="1025"/>
      <c r="BO14556" s="43"/>
    </row>
    <row r="14557" spans="65:67" ht="18.75" customHeight="1">
      <c r="BM14557" s="1025"/>
      <c r="BO14557" s="43"/>
    </row>
    <row r="14558" spans="65:67" ht="18.75" customHeight="1">
      <c r="BM14558" s="1025"/>
      <c r="BO14558" s="43"/>
    </row>
    <row r="14559" spans="65:67" ht="18.75" customHeight="1">
      <c r="BM14559" s="1025"/>
      <c r="BO14559" s="43"/>
    </row>
    <row r="14560" spans="65:67" ht="18.75" customHeight="1">
      <c r="BM14560" s="1025"/>
      <c r="BO14560" s="43"/>
    </row>
    <row r="14561" spans="65:67" ht="18.75" customHeight="1">
      <c r="BM14561" s="1025"/>
      <c r="BO14561" s="43"/>
    </row>
    <row r="14562" spans="65:67" ht="18.75" customHeight="1">
      <c r="BM14562" s="1025"/>
      <c r="BO14562" s="43"/>
    </row>
    <row r="14563" spans="65:67" ht="18.75" customHeight="1">
      <c r="BM14563" s="1025"/>
      <c r="BO14563" s="43"/>
    </row>
    <row r="14564" spans="65:67" ht="18.75" customHeight="1">
      <c r="BM14564" s="1025"/>
      <c r="BO14564" s="43"/>
    </row>
    <row r="14565" spans="65:67" ht="18.75" customHeight="1">
      <c r="BM14565" s="1025"/>
      <c r="BO14565" s="43"/>
    </row>
    <row r="14566" spans="65:67" ht="18.75" customHeight="1">
      <c r="BM14566" s="1025"/>
      <c r="BO14566" s="43"/>
    </row>
    <row r="14567" spans="65:67" ht="18.75" customHeight="1">
      <c r="BM14567" s="1025"/>
      <c r="BO14567" s="43"/>
    </row>
    <row r="14568" spans="65:67" ht="18.75" customHeight="1">
      <c r="BM14568" s="1025"/>
      <c r="BO14568" s="43"/>
    </row>
    <row r="14569" spans="65:67" ht="18.75" customHeight="1">
      <c r="BM14569" s="1025"/>
      <c r="BO14569" s="43"/>
    </row>
    <row r="14570" spans="65:67" ht="18.75" customHeight="1">
      <c r="BM14570" s="1025"/>
      <c r="BO14570" s="43"/>
    </row>
    <row r="14571" spans="65:67" ht="18.75" customHeight="1">
      <c r="BM14571" s="1025"/>
      <c r="BO14571" s="43"/>
    </row>
    <row r="14572" spans="65:67" ht="18.75" customHeight="1">
      <c r="BM14572" s="1025"/>
      <c r="BO14572" s="43"/>
    </row>
    <row r="14573" spans="65:67" ht="18.75" customHeight="1">
      <c r="BM14573" s="1025"/>
      <c r="BO14573" s="43"/>
    </row>
    <row r="14574" spans="65:67" ht="18.75" customHeight="1">
      <c r="BM14574" s="1025"/>
      <c r="BO14574" s="43"/>
    </row>
    <row r="14575" spans="65:67" ht="18.75" customHeight="1">
      <c r="BM14575" s="1025"/>
      <c r="BO14575" s="43"/>
    </row>
    <row r="14576" spans="65:67" ht="18.75" customHeight="1">
      <c r="BM14576" s="1025"/>
      <c r="BO14576" s="43"/>
    </row>
    <row r="14577" spans="65:67" ht="18.75" customHeight="1">
      <c r="BM14577" s="1025"/>
      <c r="BO14577" s="43"/>
    </row>
    <row r="14578" spans="65:67" ht="18.75" customHeight="1">
      <c r="BM14578" s="1025"/>
      <c r="BO14578" s="43"/>
    </row>
    <row r="14579" spans="65:67" ht="18.75" customHeight="1">
      <c r="BM14579" s="1025"/>
      <c r="BO14579" s="43"/>
    </row>
    <row r="14580" spans="65:67" ht="18.75" customHeight="1">
      <c r="BM14580" s="1025"/>
      <c r="BO14580" s="43"/>
    </row>
    <row r="14581" spans="65:67" ht="18.75" customHeight="1">
      <c r="BM14581" s="1025"/>
      <c r="BO14581" s="43"/>
    </row>
    <row r="14582" spans="65:67" ht="18.75" customHeight="1">
      <c r="BM14582" s="1025"/>
      <c r="BO14582" s="43"/>
    </row>
    <row r="14583" spans="65:67" ht="18.75" customHeight="1">
      <c r="BM14583" s="1025"/>
      <c r="BO14583" s="43"/>
    </row>
    <row r="14584" spans="65:67" ht="18.75" customHeight="1">
      <c r="BM14584" s="1025"/>
      <c r="BO14584" s="43"/>
    </row>
    <row r="14585" spans="65:67" ht="18.75" customHeight="1">
      <c r="BM14585" s="1025"/>
      <c r="BO14585" s="43"/>
    </row>
    <row r="14586" spans="65:67" ht="18.75" customHeight="1">
      <c r="BM14586" s="1025"/>
      <c r="BO14586" s="43"/>
    </row>
    <row r="14587" spans="65:67" ht="18.75" customHeight="1">
      <c r="BM14587" s="1025"/>
      <c r="BO14587" s="43"/>
    </row>
    <row r="14588" spans="65:67" ht="18.75" customHeight="1">
      <c r="BM14588" s="1025"/>
      <c r="BO14588" s="43"/>
    </row>
    <row r="14589" spans="65:67" ht="18.75" customHeight="1">
      <c r="BM14589" s="1025"/>
      <c r="BO14589" s="43"/>
    </row>
    <row r="14590" spans="65:67" ht="18.75" customHeight="1">
      <c r="BM14590" s="1025"/>
      <c r="BO14590" s="43"/>
    </row>
    <row r="14591" spans="65:67" ht="18.75" customHeight="1">
      <c r="BM14591" s="1025"/>
      <c r="BO14591" s="43"/>
    </row>
    <row r="14592" spans="65:67" ht="18.75" customHeight="1">
      <c r="BM14592" s="1025"/>
      <c r="BO14592" s="43"/>
    </row>
    <row r="14593" spans="65:67" ht="18.75" customHeight="1">
      <c r="BM14593" s="1025"/>
      <c r="BO14593" s="43"/>
    </row>
    <row r="14594" spans="65:67" ht="18.75" customHeight="1">
      <c r="BM14594" s="1025"/>
      <c r="BO14594" s="43"/>
    </row>
    <row r="14595" spans="65:67" ht="18.75" customHeight="1">
      <c r="BM14595" s="1025"/>
      <c r="BO14595" s="43"/>
    </row>
    <row r="14596" spans="65:67" ht="18.75" customHeight="1">
      <c r="BM14596" s="1025"/>
      <c r="BO14596" s="43"/>
    </row>
    <row r="14597" spans="65:67" ht="18.75" customHeight="1">
      <c r="BM14597" s="1025"/>
      <c r="BO14597" s="43"/>
    </row>
    <row r="14598" spans="65:67" ht="18.75" customHeight="1">
      <c r="BM14598" s="1025"/>
      <c r="BO14598" s="43"/>
    </row>
    <row r="14599" spans="65:67" ht="18.75" customHeight="1">
      <c r="BM14599" s="1025"/>
      <c r="BO14599" s="43"/>
    </row>
    <row r="14600" spans="65:67" ht="18.75" customHeight="1">
      <c r="BM14600" s="1025"/>
      <c r="BO14600" s="43"/>
    </row>
    <row r="14601" spans="65:67" ht="18.75" customHeight="1">
      <c r="BM14601" s="1025"/>
      <c r="BO14601" s="43"/>
    </row>
    <row r="14602" spans="65:67" ht="18.75" customHeight="1">
      <c r="BM14602" s="1025"/>
      <c r="BO14602" s="43"/>
    </row>
    <row r="14603" spans="65:67" ht="18.75" customHeight="1">
      <c r="BM14603" s="1025"/>
      <c r="BO14603" s="43"/>
    </row>
    <row r="14604" spans="65:67" ht="18.75" customHeight="1">
      <c r="BM14604" s="1025"/>
      <c r="BO14604" s="43"/>
    </row>
    <row r="14605" spans="65:67" ht="18.75" customHeight="1">
      <c r="BM14605" s="1025"/>
      <c r="BO14605" s="43"/>
    </row>
    <row r="14606" spans="65:67" ht="18.75" customHeight="1">
      <c r="BM14606" s="1025"/>
      <c r="BO14606" s="43"/>
    </row>
    <row r="14607" spans="65:67" ht="18.75" customHeight="1">
      <c r="BM14607" s="1025"/>
      <c r="BO14607" s="43"/>
    </row>
    <row r="14608" spans="65:67" ht="18.75" customHeight="1">
      <c r="BM14608" s="1025"/>
      <c r="BO14608" s="43"/>
    </row>
    <row r="14609" spans="65:67" ht="18.75" customHeight="1">
      <c r="BM14609" s="1025"/>
      <c r="BO14609" s="43"/>
    </row>
    <row r="14610" spans="65:67" ht="18.75" customHeight="1">
      <c r="BM14610" s="1025"/>
      <c r="BO14610" s="43"/>
    </row>
    <row r="14611" spans="65:67" ht="18.75" customHeight="1">
      <c r="BM14611" s="1025"/>
      <c r="BO14611" s="43"/>
    </row>
    <row r="14612" spans="65:67" ht="18.75" customHeight="1">
      <c r="BM14612" s="1025"/>
      <c r="BO14612" s="43"/>
    </row>
    <row r="14613" spans="65:67" ht="18.75" customHeight="1">
      <c r="BM14613" s="1025"/>
      <c r="BO14613" s="43"/>
    </row>
    <row r="14614" spans="65:67" ht="18.75" customHeight="1">
      <c r="BM14614" s="1025"/>
      <c r="BO14614" s="43"/>
    </row>
    <row r="14615" spans="65:67" ht="18.75" customHeight="1">
      <c r="BM14615" s="1025"/>
      <c r="BO14615" s="43"/>
    </row>
    <row r="14616" spans="65:67" ht="18.75" customHeight="1">
      <c r="BM14616" s="1025"/>
      <c r="BO14616" s="43"/>
    </row>
    <row r="14617" spans="65:67" ht="18.75" customHeight="1">
      <c r="BM14617" s="1025"/>
      <c r="BO14617" s="43"/>
    </row>
    <row r="14618" spans="65:67" ht="18.75" customHeight="1">
      <c r="BM14618" s="1025"/>
      <c r="BO14618" s="43"/>
    </row>
    <row r="14619" spans="65:67" ht="18.75" customHeight="1">
      <c r="BM14619" s="1025"/>
      <c r="BO14619" s="43"/>
    </row>
    <row r="14620" spans="65:67" ht="18.75" customHeight="1">
      <c r="BM14620" s="1025"/>
      <c r="BO14620" s="43"/>
    </row>
    <row r="14621" spans="65:67" ht="18.75" customHeight="1">
      <c r="BM14621" s="1025"/>
      <c r="BO14621" s="43"/>
    </row>
    <row r="14622" spans="65:67" ht="18.75" customHeight="1">
      <c r="BM14622" s="1025"/>
      <c r="BO14622" s="43"/>
    </row>
    <row r="14623" spans="65:67" ht="18.75" customHeight="1">
      <c r="BM14623" s="1025"/>
      <c r="BO14623" s="43"/>
    </row>
    <row r="14624" spans="65:67" ht="18.75" customHeight="1">
      <c r="BM14624" s="1025"/>
      <c r="BO14624" s="43"/>
    </row>
    <row r="14625" spans="65:67" ht="18.75" customHeight="1">
      <c r="BM14625" s="1025"/>
      <c r="BO14625" s="43"/>
    </row>
    <row r="14626" spans="65:67" ht="18.75" customHeight="1">
      <c r="BM14626" s="1025"/>
      <c r="BO14626" s="43"/>
    </row>
    <row r="14627" spans="65:67" ht="18.75" customHeight="1">
      <c r="BM14627" s="1025"/>
      <c r="BO14627" s="43"/>
    </row>
    <row r="14628" spans="65:67" ht="18.75" customHeight="1">
      <c r="BM14628" s="1025"/>
      <c r="BO14628" s="43"/>
    </row>
    <row r="14629" spans="65:67" ht="18.75" customHeight="1">
      <c r="BM14629" s="1025"/>
      <c r="BO14629" s="43"/>
    </row>
    <row r="14630" spans="65:67" ht="18.75" customHeight="1">
      <c r="BM14630" s="1025"/>
      <c r="BO14630" s="43"/>
    </row>
    <row r="14631" spans="65:67" ht="18.75" customHeight="1">
      <c r="BM14631" s="1025"/>
      <c r="BO14631" s="43"/>
    </row>
    <row r="14632" spans="65:67" ht="18.75" customHeight="1">
      <c r="BM14632" s="1025"/>
      <c r="BO14632" s="43"/>
    </row>
    <row r="14633" spans="65:67" ht="18.75" customHeight="1">
      <c r="BM14633" s="1025"/>
      <c r="BO14633" s="43"/>
    </row>
    <row r="14634" spans="65:67" ht="18.75" customHeight="1">
      <c r="BM14634" s="1025"/>
      <c r="BO14634" s="43"/>
    </row>
    <row r="14635" spans="65:67" ht="18.75" customHeight="1">
      <c r="BM14635" s="1025"/>
      <c r="BO14635" s="43"/>
    </row>
    <row r="14636" spans="65:67" ht="18.75" customHeight="1">
      <c r="BM14636" s="1025"/>
      <c r="BO14636" s="43"/>
    </row>
    <row r="14637" spans="65:67" ht="18.75" customHeight="1">
      <c r="BM14637" s="1025"/>
      <c r="BO14637" s="43"/>
    </row>
    <row r="14638" spans="65:67" ht="18.75" customHeight="1">
      <c r="BM14638" s="1025"/>
      <c r="BO14638" s="43"/>
    </row>
    <row r="14639" spans="65:67" ht="18.75" customHeight="1">
      <c r="BM14639" s="1025"/>
      <c r="BO14639" s="43"/>
    </row>
    <row r="14640" spans="65:67" ht="18.75" customHeight="1">
      <c r="BM14640" s="1025"/>
      <c r="BO14640" s="43"/>
    </row>
    <row r="14641" spans="65:67" ht="18.75" customHeight="1">
      <c r="BM14641" s="1025"/>
      <c r="BO14641" s="43"/>
    </row>
    <row r="14642" spans="65:67" ht="18.75" customHeight="1">
      <c r="BM14642" s="1025"/>
      <c r="BO14642" s="43"/>
    </row>
    <row r="14643" spans="65:67" ht="18.75" customHeight="1">
      <c r="BM14643" s="1025"/>
      <c r="BO14643" s="43"/>
    </row>
    <row r="14644" spans="65:67" ht="18.75" customHeight="1">
      <c r="BM14644" s="1025"/>
      <c r="BO14644" s="43"/>
    </row>
    <row r="14645" spans="65:67" ht="18.75" customHeight="1">
      <c r="BM14645" s="1025"/>
      <c r="BO14645" s="43"/>
    </row>
    <row r="14646" spans="65:67" ht="18.75" customHeight="1">
      <c r="BM14646" s="1025"/>
      <c r="BO14646" s="43"/>
    </row>
    <row r="14647" spans="65:67" ht="18.75" customHeight="1">
      <c r="BM14647" s="1025"/>
      <c r="BO14647" s="43"/>
    </row>
    <row r="14648" spans="65:67" ht="18.75" customHeight="1">
      <c r="BM14648" s="1025"/>
      <c r="BO14648" s="43"/>
    </row>
    <row r="14649" spans="65:67" ht="18.75" customHeight="1">
      <c r="BM14649" s="1025"/>
      <c r="BO14649" s="43"/>
    </row>
    <row r="14650" spans="65:67" ht="18.75" customHeight="1">
      <c r="BM14650" s="1025"/>
      <c r="BO14650" s="43"/>
    </row>
    <row r="14651" spans="65:67" ht="18.75" customHeight="1">
      <c r="BM14651" s="1025"/>
      <c r="BO14651" s="43"/>
    </row>
    <row r="14652" spans="65:67" ht="18.75" customHeight="1">
      <c r="BM14652" s="1025"/>
      <c r="BO14652" s="43"/>
    </row>
    <row r="14653" spans="65:67" ht="18.75" customHeight="1">
      <c r="BM14653" s="1025"/>
      <c r="BO14653" s="43"/>
    </row>
    <row r="14654" spans="65:67" ht="18.75" customHeight="1">
      <c r="BM14654" s="1025"/>
      <c r="BO14654" s="43"/>
    </row>
    <row r="14655" spans="65:67" ht="18.75" customHeight="1">
      <c r="BM14655" s="1025"/>
      <c r="BO14655" s="43"/>
    </row>
    <row r="14656" spans="65:67" ht="18.75" customHeight="1">
      <c r="BM14656" s="1025"/>
      <c r="BO14656" s="43"/>
    </row>
    <row r="14657" spans="65:67" ht="18.75" customHeight="1">
      <c r="BM14657" s="1025"/>
      <c r="BO14657" s="43"/>
    </row>
    <row r="14658" spans="65:67" ht="18.75" customHeight="1">
      <c r="BM14658" s="1025"/>
      <c r="BO14658" s="43"/>
    </row>
    <row r="14659" spans="65:67" ht="18.75" customHeight="1">
      <c r="BM14659" s="1025"/>
      <c r="BO14659" s="43"/>
    </row>
    <row r="14660" spans="65:67" ht="18.75" customHeight="1">
      <c r="BM14660" s="1025"/>
      <c r="BO14660" s="43"/>
    </row>
    <row r="14661" spans="65:67" ht="18.75" customHeight="1">
      <c r="BM14661" s="1025"/>
      <c r="BO14661" s="43"/>
    </row>
    <row r="14662" spans="65:67" ht="18.75" customHeight="1">
      <c r="BM14662" s="1025"/>
      <c r="BO14662" s="43"/>
    </row>
    <row r="14663" spans="65:67" ht="18.75" customHeight="1">
      <c r="BM14663" s="1025"/>
      <c r="BO14663" s="43"/>
    </row>
    <row r="14664" spans="65:67" ht="18.75" customHeight="1">
      <c r="BM14664" s="1025"/>
      <c r="BO14664" s="43"/>
    </row>
    <row r="14665" spans="65:67" ht="18.75" customHeight="1">
      <c r="BM14665" s="1025"/>
      <c r="BO14665" s="43"/>
    </row>
    <row r="14666" spans="65:67" ht="18.75" customHeight="1">
      <c r="BM14666" s="1025"/>
      <c r="BO14666" s="43"/>
    </row>
    <row r="14667" spans="65:67" ht="18.75" customHeight="1">
      <c r="BM14667" s="1025"/>
      <c r="BO14667" s="43"/>
    </row>
    <row r="14668" spans="65:67" ht="18.75" customHeight="1">
      <c r="BM14668" s="1025"/>
      <c r="BO14668" s="43"/>
    </row>
    <row r="14669" spans="65:67" ht="18.75" customHeight="1">
      <c r="BM14669" s="1025"/>
      <c r="BO14669" s="43"/>
    </row>
    <row r="14670" spans="65:67" ht="18.75" customHeight="1">
      <c r="BM14670" s="1025"/>
      <c r="BO14670" s="43"/>
    </row>
    <row r="14671" spans="65:67" ht="18.75" customHeight="1">
      <c r="BM14671" s="1025"/>
      <c r="BO14671" s="43"/>
    </row>
    <row r="14672" spans="65:67" ht="18.75" customHeight="1">
      <c r="BM14672" s="1025"/>
      <c r="BO14672" s="43"/>
    </row>
    <row r="14673" spans="65:67" ht="18.75" customHeight="1">
      <c r="BM14673" s="1025"/>
      <c r="BO14673" s="43"/>
    </row>
    <row r="14674" spans="65:67" ht="18.75" customHeight="1">
      <c r="BM14674" s="1025"/>
      <c r="BO14674" s="43"/>
    </row>
    <row r="14675" spans="65:67" ht="18.75" customHeight="1">
      <c r="BM14675" s="1025"/>
      <c r="BO14675" s="43"/>
    </row>
    <row r="14676" spans="65:67" ht="18.75" customHeight="1">
      <c r="BM14676" s="1025"/>
      <c r="BO14676" s="43"/>
    </row>
    <row r="14677" spans="65:67" ht="18.75" customHeight="1">
      <c r="BM14677" s="1025"/>
      <c r="BO14677" s="43"/>
    </row>
    <row r="14678" spans="65:67" ht="18.75" customHeight="1">
      <c r="BM14678" s="1025"/>
      <c r="BO14678" s="43"/>
    </row>
    <row r="14679" spans="65:67" ht="18.75" customHeight="1">
      <c r="BM14679" s="1025"/>
      <c r="BO14679" s="43"/>
    </row>
    <row r="14680" spans="65:67" ht="18.75" customHeight="1">
      <c r="BM14680" s="1025"/>
      <c r="BO14680" s="43"/>
    </row>
    <row r="14681" spans="65:67" ht="18.75" customHeight="1">
      <c r="BM14681" s="1025"/>
      <c r="BO14681" s="43"/>
    </row>
    <row r="14682" spans="65:67" ht="18.75" customHeight="1">
      <c r="BM14682" s="1025"/>
      <c r="BO14682" s="43"/>
    </row>
    <row r="14683" spans="65:67" ht="18.75" customHeight="1">
      <c r="BM14683" s="1025"/>
      <c r="BO14683" s="43"/>
    </row>
    <row r="14684" spans="65:67" ht="18.75" customHeight="1">
      <c r="BM14684" s="1025"/>
      <c r="BO14684" s="43"/>
    </row>
    <row r="14685" spans="65:67" ht="18.75" customHeight="1">
      <c r="BM14685" s="1025"/>
      <c r="BO14685" s="43"/>
    </row>
    <row r="14686" spans="65:67" ht="18.75" customHeight="1">
      <c r="BM14686" s="1025"/>
      <c r="BO14686" s="43"/>
    </row>
    <row r="14687" spans="65:67" ht="18.75" customHeight="1">
      <c r="BM14687" s="1025"/>
      <c r="BO14687" s="43"/>
    </row>
    <row r="14688" spans="65:67" ht="18.75" customHeight="1">
      <c r="BM14688" s="1025"/>
      <c r="BO14688" s="43"/>
    </row>
    <row r="14689" spans="65:67" ht="18.75" customHeight="1">
      <c r="BM14689" s="1025"/>
      <c r="BO14689" s="43"/>
    </row>
    <row r="14690" spans="65:67" ht="18.75" customHeight="1">
      <c r="BM14690" s="1025"/>
      <c r="BO14690" s="43"/>
    </row>
    <row r="14691" spans="65:67" ht="18.75" customHeight="1">
      <c r="BM14691" s="1025"/>
      <c r="BO14691" s="43"/>
    </row>
    <row r="14692" spans="65:67" ht="18.75" customHeight="1">
      <c r="BM14692" s="1025"/>
      <c r="BO14692" s="43"/>
    </row>
    <row r="14693" spans="65:67" ht="18.75" customHeight="1">
      <c r="BM14693" s="1025"/>
      <c r="BO14693" s="43"/>
    </row>
    <row r="14694" spans="65:67" ht="18.75" customHeight="1">
      <c r="BM14694" s="1025"/>
      <c r="BO14694" s="43"/>
    </row>
    <row r="14695" spans="65:67" ht="18.75" customHeight="1">
      <c r="BM14695" s="1025"/>
      <c r="BO14695" s="43"/>
    </row>
    <row r="14696" spans="65:67" ht="18.75" customHeight="1">
      <c r="BM14696" s="1025"/>
      <c r="BO14696" s="43"/>
    </row>
    <row r="14697" spans="65:67" ht="18.75" customHeight="1">
      <c r="BM14697" s="1025"/>
      <c r="BO14697" s="43"/>
    </row>
    <row r="14698" spans="65:67" ht="18.75" customHeight="1">
      <c r="BM14698" s="1025"/>
      <c r="BO14698" s="43"/>
    </row>
    <row r="14699" spans="65:67" ht="18.75" customHeight="1">
      <c r="BM14699" s="1025"/>
      <c r="BO14699" s="43"/>
    </row>
    <row r="14700" spans="65:67" ht="18.75" customHeight="1">
      <c r="BM14700" s="1025"/>
      <c r="BO14700" s="43"/>
    </row>
    <row r="14701" spans="65:67" ht="18.75" customHeight="1">
      <c r="BM14701" s="1025"/>
      <c r="BO14701" s="43"/>
    </row>
    <row r="14702" spans="65:67" ht="18.75" customHeight="1">
      <c r="BM14702" s="1025"/>
      <c r="BO14702" s="43"/>
    </row>
    <row r="14703" spans="65:67" ht="18.75" customHeight="1">
      <c r="BM14703" s="1025"/>
      <c r="BO14703" s="43"/>
    </row>
    <row r="14704" spans="65:67" ht="18.75" customHeight="1">
      <c r="BM14704" s="1025"/>
      <c r="BO14704" s="43"/>
    </row>
    <row r="14705" spans="65:67" ht="18.75" customHeight="1">
      <c r="BM14705" s="1025"/>
      <c r="BO14705" s="43"/>
    </row>
    <row r="14706" spans="65:67" ht="18.75" customHeight="1">
      <c r="BM14706" s="1025"/>
      <c r="BO14706" s="43"/>
    </row>
    <row r="14707" spans="65:67" ht="18.75" customHeight="1">
      <c r="BM14707" s="1025"/>
      <c r="BO14707" s="43"/>
    </row>
    <row r="14708" spans="65:67" ht="18.75" customHeight="1">
      <c r="BM14708" s="1025"/>
      <c r="BO14708" s="43"/>
    </row>
    <row r="14709" spans="65:67" ht="18.75" customHeight="1">
      <c r="BM14709" s="1025"/>
      <c r="BO14709" s="43"/>
    </row>
    <row r="14710" spans="65:67" ht="18.75" customHeight="1">
      <c r="BM14710" s="1025"/>
      <c r="BO14710" s="43"/>
    </row>
    <row r="14711" spans="65:67" ht="18.75" customHeight="1">
      <c r="BM14711" s="1025"/>
      <c r="BO14711" s="43"/>
    </row>
    <row r="14712" spans="65:67" ht="18.75" customHeight="1">
      <c r="BM14712" s="1025"/>
      <c r="BO14712" s="43"/>
    </row>
    <row r="14713" spans="65:67" ht="18.75" customHeight="1">
      <c r="BM14713" s="1025"/>
      <c r="BO14713" s="43"/>
    </row>
    <row r="14714" spans="65:67" ht="18.75" customHeight="1">
      <c r="BM14714" s="1025"/>
      <c r="BO14714" s="43"/>
    </row>
    <row r="14715" spans="65:67" ht="18.75" customHeight="1">
      <c r="BM14715" s="1025"/>
      <c r="BO14715" s="43"/>
    </row>
    <row r="14716" spans="65:67" ht="18.75" customHeight="1">
      <c r="BM14716" s="1025"/>
      <c r="BO14716" s="43"/>
    </row>
    <row r="14717" spans="65:67" ht="18.75" customHeight="1">
      <c r="BM14717" s="1025"/>
      <c r="BO14717" s="43"/>
    </row>
    <row r="14718" spans="65:67" ht="18.75" customHeight="1">
      <c r="BM14718" s="1025"/>
      <c r="BO14718" s="43"/>
    </row>
    <row r="14719" spans="65:67" ht="18.75" customHeight="1">
      <c r="BM14719" s="1025"/>
      <c r="BO14719" s="43"/>
    </row>
    <row r="14720" spans="65:67" ht="18.75" customHeight="1">
      <c r="BM14720" s="1025"/>
      <c r="BO14720" s="43"/>
    </row>
    <row r="14721" spans="65:67" ht="18.75" customHeight="1">
      <c r="BM14721" s="1025"/>
      <c r="BO14721" s="43"/>
    </row>
    <row r="14722" spans="65:67" ht="18.75" customHeight="1">
      <c r="BM14722" s="1025"/>
      <c r="BO14722" s="43"/>
    </row>
    <row r="14723" spans="65:67" ht="18.75" customHeight="1">
      <c r="BM14723" s="1025"/>
      <c r="BO14723" s="43"/>
    </row>
    <row r="14724" spans="65:67" ht="18.75" customHeight="1">
      <c r="BM14724" s="1025"/>
      <c r="BO14724" s="43"/>
    </row>
    <row r="14725" spans="65:67" ht="18.75" customHeight="1">
      <c r="BM14725" s="1025"/>
      <c r="BO14725" s="43"/>
    </row>
    <row r="14726" spans="65:67" ht="18.75" customHeight="1">
      <c r="BM14726" s="1025"/>
      <c r="BO14726" s="43"/>
    </row>
    <row r="14727" spans="65:67" ht="18.75" customHeight="1">
      <c r="BM14727" s="1025"/>
      <c r="BO14727" s="43"/>
    </row>
    <row r="14728" spans="65:67" ht="18.75" customHeight="1">
      <c r="BM14728" s="1025"/>
      <c r="BO14728" s="43"/>
    </row>
    <row r="14729" spans="65:67" ht="18.75" customHeight="1">
      <c r="BM14729" s="1025"/>
      <c r="BO14729" s="43"/>
    </row>
    <row r="14730" spans="65:67" ht="18.75" customHeight="1">
      <c r="BM14730" s="1025"/>
      <c r="BO14730" s="43"/>
    </row>
    <row r="14731" spans="65:67" ht="18.75" customHeight="1">
      <c r="BM14731" s="1025"/>
      <c r="BO14731" s="43"/>
    </row>
    <row r="14732" spans="65:67" ht="18.75" customHeight="1">
      <c r="BM14732" s="1025"/>
      <c r="BO14732" s="43"/>
    </row>
    <row r="14733" spans="65:67" ht="18.75" customHeight="1">
      <c r="BM14733" s="1025"/>
      <c r="BO14733" s="43"/>
    </row>
    <row r="14734" spans="65:67" ht="18.75" customHeight="1">
      <c r="BM14734" s="1025"/>
      <c r="BO14734" s="43"/>
    </row>
    <row r="14735" spans="65:67" ht="18.75" customHeight="1">
      <c r="BM14735" s="1025"/>
      <c r="BO14735" s="43"/>
    </row>
    <row r="14736" spans="65:67" ht="18.75" customHeight="1">
      <c r="BM14736" s="1025"/>
      <c r="BO14736" s="43"/>
    </row>
    <row r="14737" spans="65:67" ht="18.75" customHeight="1">
      <c r="BM14737" s="1025"/>
      <c r="BO14737" s="43"/>
    </row>
    <row r="14738" spans="65:67" ht="18.75" customHeight="1">
      <c r="BM14738" s="1025"/>
      <c r="BO14738" s="43"/>
    </row>
    <row r="14739" spans="65:67" ht="18.75" customHeight="1">
      <c r="BM14739" s="1025"/>
      <c r="BO14739" s="43"/>
    </row>
    <row r="14740" spans="65:67" ht="18.75" customHeight="1">
      <c r="BM14740" s="1025"/>
      <c r="BO14740" s="43"/>
    </row>
    <row r="14741" spans="65:67" ht="18.75" customHeight="1">
      <c r="BM14741" s="1025"/>
      <c r="BO14741" s="43"/>
    </row>
    <row r="14742" spans="65:67" ht="18.75" customHeight="1">
      <c r="BM14742" s="1025"/>
      <c r="BO14742" s="43"/>
    </row>
    <row r="14743" spans="65:67" ht="18.75" customHeight="1">
      <c r="BM14743" s="1025"/>
      <c r="BO14743" s="43"/>
    </row>
    <row r="14744" spans="65:67" ht="18.75" customHeight="1">
      <c r="BM14744" s="1025"/>
      <c r="BO14744" s="43"/>
    </row>
    <row r="14745" spans="65:67" ht="18.75" customHeight="1">
      <c r="BM14745" s="1025"/>
      <c r="BO14745" s="43"/>
    </row>
    <row r="14746" spans="65:67" ht="18.75" customHeight="1">
      <c r="BM14746" s="1025"/>
      <c r="BO14746" s="43"/>
    </row>
    <row r="14747" spans="65:67" ht="18.75" customHeight="1">
      <c r="BM14747" s="1025"/>
      <c r="BO14747" s="43"/>
    </row>
    <row r="14748" spans="65:67" ht="18.75" customHeight="1">
      <c r="BM14748" s="1025"/>
      <c r="BO14748" s="43"/>
    </row>
    <row r="14749" spans="65:67" ht="18.75" customHeight="1">
      <c r="BM14749" s="1025"/>
      <c r="BO14749" s="43"/>
    </row>
    <row r="14750" spans="65:67" ht="18.75" customHeight="1">
      <c r="BM14750" s="1025"/>
      <c r="BO14750" s="43"/>
    </row>
    <row r="14751" spans="65:67" ht="18.75" customHeight="1">
      <c r="BM14751" s="1025"/>
      <c r="BO14751" s="43"/>
    </row>
    <row r="14752" spans="65:67" ht="18.75" customHeight="1">
      <c r="BM14752" s="1025"/>
      <c r="BO14752" s="43"/>
    </row>
    <row r="14753" spans="65:67" ht="18.75" customHeight="1">
      <c r="BM14753" s="1025"/>
      <c r="BO14753" s="43"/>
    </row>
    <row r="14754" spans="65:67" ht="18.75" customHeight="1">
      <c r="BM14754" s="1025"/>
      <c r="BO14754" s="43"/>
    </row>
    <row r="14755" spans="65:67" ht="18.75" customHeight="1">
      <c r="BM14755" s="1025"/>
      <c r="BO14755" s="43"/>
    </row>
    <row r="14756" spans="65:67" ht="18.75" customHeight="1">
      <c r="BM14756" s="1025"/>
      <c r="BO14756" s="43"/>
    </row>
    <row r="14757" spans="65:67" ht="18.75" customHeight="1">
      <c r="BM14757" s="1025"/>
      <c r="BO14757" s="43"/>
    </row>
    <row r="14758" spans="65:67" ht="18.75" customHeight="1">
      <c r="BM14758" s="1025"/>
      <c r="BO14758" s="43"/>
    </row>
    <row r="14759" spans="65:67" ht="18.75" customHeight="1">
      <c r="BM14759" s="1025"/>
      <c r="BO14759" s="43"/>
    </row>
    <row r="14760" spans="65:67" ht="18.75" customHeight="1">
      <c r="BM14760" s="1025"/>
      <c r="BO14760" s="43"/>
    </row>
    <row r="14761" spans="65:67" ht="18.75" customHeight="1">
      <c r="BM14761" s="1025"/>
      <c r="BO14761" s="43"/>
    </row>
    <row r="14762" spans="65:67" ht="18.75" customHeight="1">
      <c r="BM14762" s="1025"/>
      <c r="BO14762" s="43"/>
    </row>
    <row r="14763" spans="65:67" ht="18.75" customHeight="1">
      <c r="BM14763" s="1025"/>
      <c r="BO14763" s="43"/>
    </row>
    <row r="14764" spans="65:67" ht="18.75" customHeight="1">
      <c r="BM14764" s="1025"/>
      <c r="BO14764" s="43"/>
    </row>
    <row r="14765" spans="65:67" ht="18.75" customHeight="1">
      <c r="BM14765" s="1025"/>
      <c r="BO14765" s="43"/>
    </row>
    <row r="14766" spans="65:67" ht="18.75" customHeight="1">
      <c r="BM14766" s="1025"/>
      <c r="BO14766" s="43"/>
    </row>
    <row r="14767" spans="65:67" ht="18.75" customHeight="1">
      <c r="BM14767" s="1025"/>
      <c r="BO14767" s="43"/>
    </row>
    <row r="14768" spans="65:67" ht="18.75" customHeight="1">
      <c r="BM14768" s="1025"/>
      <c r="BO14768" s="43"/>
    </row>
    <row r="14769" spans="65:67" ht="18.75" customHeight="1">
      <c r="BM14769" s="1025"/>
      <c r="BO14769" s="43"/>
    </row>
    <row r="14770" spans="65:67" ht="18.75" customHeight="1">
      <c r="BM14770" s="1025"/>
      <c r="BO14770" s="43"/>
    </row>
    <row r="14771" spans="65:67" ht="18.75" customHeight="1">
      <c r="BM14771" s="1025"/>
      <c r="BO14771" s="43"/>
    </row>
    <row r="14772" spans="65:67" ht="18.75" customHeight="1">
      <c r="BM14772" s="1025"/>
      <c r="BO14772" s="43"/>
    </row>
    <row r="14773" spans="65:67" ht="18.75" customHeight="1">
      <c r="BM14773" s="1025"/>
      <c r="BO14773" s="43"/>
    </row>
    <row r="14774" spans="65:67" ht="18.75" customHeight="1">
      <c r="BM14774" s="1025"/>
      <c r="BO14774" s="43"/>
    </row>
    <row r="14775" spans="65:67" ht="18.75" customHeight="1">
      <c r="BM14775" s="1025"/>
      <c r="BO14775" s="43"/>
    </row>
    <row r="14776" spans="65:67" ht="18.75" customHeight="1">
      <c r="BM14776" s="1025"/>
      <c r="BO14776" s="43"/>
    </row>
    <row r="14777" spans="65:67" ht="18.75" customHeight="1">
      <c r="BM14777" s="1025"/>
      <c r="BO14777" s="43"/>
    </row>
    <row r="14778" spans="65:67" ht="18.75" customHeight="1">
      <c r="BM14778" s="1025"/>
      <c r="BO14778" s="43"/>
    </row>
    <row r="14779" spans="65:67" ht="18.75" customHeight="1">
      <c r="BM14779" s="1025"/>
      <c r="BO14779" s="43"/>
    </row>
    <row r="14780" spans="65:67" ht="18.75" customHeight="1">
      <c r="BM14780" s="1025"/>
      <c r="BO14780" s="43"/>
    </row>
    <row r="14781" spans="65:67" ht="18.75" customHeight="1">
      <c r="BM14781" s="1025"/>
      <c r="BO14781" s="43"/>
    </row>
    <row r="14782" spans="65:67" ht="18.75" customHeight="1">
      <c r="BM14782" s="1025"/>
      <c r="BO14782" s="43"/>
    </row>
    <row r="14783" spans="65:67" ht="18.75" customHeight="1">
      <c r="BM14783" s="1025"/>
      <c r="BO14783" s="43"/>
    </row>
    <row r="14784" spans="65:67" ht="18.75" customHeight="1">
      <c r="BM14784" s="1025"/>
      <c r="BO14784" s="43"/>
    </row>
    <row r="14785" spans="65:67" ht="18.75" customHeight="1">
      <c r="BM14785" s="1025"/>
      <c r="BO14785" s="43"/>
    </row>
    <row r="14786" spans="65:67" ht="18.75" customHeight="1">
      <c r="BM14786" s="1025"/>
      <c r="BO14786" s="43"/>
    </row>
    <row r="14787" spans="65:67" ht="18.75" customHeight="1">
      <c r="BM14787" s="1025"/>
      <c r="BO14787" s="43"/>
    </row>
    <row r="14788" spans="65:67" ht="18.75" customHeight="1">
      <c r="BM14788" s="1025"/>
      <c r="BO14788" s="43"/>
    </row>
    <row r="14789" spans="65:67" ht="18.75" customHeight="1">
      <c r="BM14789" s="1025"/>
      <c r="BO14789" s="43"/>
    </row>
    <row r="14790" spans="65:67" ht="18.75" customHeight="1">
      <c r="BM14790" s="1025"/>
      <c r="BO14790" s="43"/>
    </row>
    <row r="14791" spans="65:67" ht="18.75" customHeight="1">
      <c r="BM14791" s="1025"/>
      <c r="BO14791" s="43"/>
    </row>
    <row r="14792" spans="65:67" ht="18.75" customHeight="1">
      <c r="BM14792" s="1025"/>
      <c r="BO14792" s="43"/>
    </row>
    <row r="14793" spans="65:67" ht="18.75" customHeight="1">
      <c r="BM14793" s="1025"/>
      <c r="BO14793" s="43"/>
    </row>
    <row r="14794" spans="65:67" ht="18.75" customHeight="1">
      <c r="BM14794" s="1025"/>
      <c r="BO14794" s="43"/>
    </row>
    <row r="14795" spans="65:67" ht="18.75" customHeight="1">
      <c r="BM14795" s="1025"/>
      <c r="BO14795" s="43"/>
    </row>
    <row r="14796" spans="65:67" ht="18.75" customHeight="1">
      <c r="BM14796" s="1025"/>
      <c r="BO14796" s="43"/>
    </row>
    <row r="14797" spans="65:67" ht="18.75" customHeight="1">
      <c r="BM14797" s="1025"/>
      <c r="BO14797" s="43"/>
    </row>
    <row r="14798" spans="65:67" ht="18.75" customHeight="1">
      <c r="BM14798" s="1025"/>
      <c r="BO14798" s="43"/>
    </row>
    <row r="14799" spans="65:67" ht="18.75" customHeight="1">
      <c r="BM14799" s="1025"/>
      <c r="BO14799" s="43"/>
    </row>
    <row r="14800" spans="65:67" ht="18.75" customHeight="1">
      <c r="BM14800" s="1025"/>
      <c r="BO14800" s="43"/>
    </row>
    <row r="14801" spans="65:67" ht="18.75" customHeight="1">
      <c r="BM14801" s="1025"/>
      <c r="BO14801" s="43"/>
    </row>
    <row r="14802" spans="65:67" ht="18.75" customHeight="1">
      <c r="BM14802" s="1025"/>
      <c r="BO14802" s="43"/>
    </row>
    <row r="14803" spans="65:67" ht="18.75" customHeight="1">
      <c r="BM14803" s="1025"/>
      <c r="BO14803" s="43"/>
    </row>
    <row r="14804" spans="65:67" ht="18.75" customHeight="1">
      <c r="BM14804" s="1025"/>
      <c r="BO14804" s="43"/>
    </row>
    <row r="14805" spans="65:67" ht="18.75" customHeight="1">
      <c r="BM14805" s="1025"/>
      <c r="BO14805" s="43"/>
    </row>
    <row r="14806" spans="65:67" ht="18.75" customHeight="1">
      <c r="BM14806" s="1025"/>
      <c r="BO14806" s="43"/>
    </row>
    <row r="14807" spans="65:67" ht="18.75" customHeight="1">
      <c r="BM14807" s="1025"/>
      <c r="BO14807" s="43"/>
    </row>
    <row r="14808" spans="65:67" ht="18.75" customHeight="1">
      <c r="BM14808" s="1025"/>
      <c r="BO14808" s="43"/>
    </row>
    <row r="14809" spans="65:67" ht="18.75" customHeight="1">
      <c r="BM14809" s="1025"/>
      <c r="BO14809" s="43"/>
    </row>
    <row r="14810" spans="65:67" ht="18.75" customHeight="1">
      <c r="BM14810" s="1025"/>
      <c r="BO14810" s="43"/>
    </row>
    <row r="14811" spans="65:67" ht="18.75" customHeight="1">
      <c r="BM14811" s="1025"/>
      <c r="BO14811" s="43"/>
    </row>
    <row r="14812" spans="65:67" ht="18.75" customHeight="1">
      <c r="BM14812" s="1025"/>
      <c r="BO14812" s="43"/>
    </row>
    <row r="14813" spans="65:67" ht="18.75" customHeight="1">
      <c r="BM14813" s="1025"/>
      <c r="BO14813" s="43"/>
    </row>
    <row r="14814" spans="65:67" ht="18.75" customHeight="1">
      <c r="BM14814" s="1025"/>
      <c r="BO14814" s="43"/>
    </row>
    <row r="14815" spans="65:67" ht="18.75" customHeight="1">
      <c r="BM14815" s="1025"/>
      <c r="BO14815" s="43"/>
    </row>
    <row r="14816" spans="65:67" ht="18.75" customHeight="1">
      <c r="BM14816" s="1025"/>
      <c r="BO14816" s="43"/>
    </row>
    <row r="14817" spans="65:67" ht="18.75" customHeight="1">
      <c r="BM14817" s="1025"/>
      <c r="BO14817" s="43"/>
    </row>
    <row r="14818" spans="65:67" ht="18.75" customHeight="1">
      <c r="BM14818" s="1025"/>
      <c r="BO14818" s="43"/>
    </row>
    <row r="14819" spans="65:67" ht="18.75" customHeight="1">
      <c r="BM14819" s="1025"/>
      <c r="BO14819" s="43"/>
    </row>
    <row r="14820" spans="65:67" ht="18.75" customHeight="1">
      <c r="BM14820" s="1025"/>
      <c r="BO14820" s="43"/>
    </row>
    <row r="14821" spans="65:67" ht="18.75" customHeight="1">
      <c r="BM14821" s="1025"/>
      <c r="BO14821" s="43"/>
    </row>
    <row r="14822" spans="65:67" ht="18.75" customHeight="1">
      <c r="BM14822" s="1025"/>
      <c r="BO14822" s="43"/>
    </row>
    <row r="14823" spans="65:67" ht="18.75" customHeight="1">
      <c r="BM14823" s="1025"/>
      <c r="BO14823" s="43"/>
    </row>
    <row r="14824" spans="65:67" ht="18.75" customHeight="1">
      <c r="BM14824" s="1025"/>
      <c r="BO14824" s="43"/>
    </row>
    <row r="14825" spans="65:67" ht="18.75" customHeight="1">
      <c r="BM14825" s="1025"/>
      <c r="BO14825" s="43"/>
    </row>
    <row r="14826" spans="65:67" ht="18.75" customHeight="1">
      <c r="BM14826" s="1025"/>
      <c r="BO14826" s="43"/>
    </row>
    <row r="14827" spans="65:67" ht="18.75" customHeight="1">
      <c r="BM14827" s="1025"/>
      <c r="BO14827" s="43"/>
    </row>
    <row r="14828" spans="65:67" ht="18.75" customHeight="1">
      <c r="BM14828" s="1025"/>
      <c r="BO14828" s="43"/>
    </row>
    <row r="14829" spans="65:67" ht="18.75" customHeight="1">
      <c r="BM14829" s="1025"/>
      <c r="BO14829" s="43"/>
    </row>
    <row r="14830" spans="65:67" ht="18.75" customHeight="1">
      <c r="BM14830" s="1025"/>
      <c r="BO14830" s="43"/>
    </row>
    <row r="14831" spans="65:67" ht="18.75" customHeight="1">
      <c r="BM14831" s="1025"/>
      <c r="BO14831" s="43"/>
    </row>
    <row r="14832" spans="65:67" ht="18.75" customHeight="1">
      <c r="BM14832" s="1025"/>
      <c r="BO14832" s="43"/>
    </row>
    <row r="14833" spans="65:67" ht="18.75" customHeight="1">
      <c r="BM14833" s="1025"/>
      <c r="BO14833" s="43"/>
    </row>
    <row r="14834" spans="65:67" ht="18.75" customHeight="1">
      <c r="BM14834" s="1025"/>
      <c r="BO14834" s="43"/>
    </row>
    <row r="14835" spans="65:67" ht="18.75" customHeight="1">
      <c r="BM14835" s="1025"/>
      <c r="BO14835" s="43"/>
    </row>
    <row r="14836" spans="65:67" ht="18.75" customHeight="1">
      <c r="BM14836" s="1025"/>
      <c r="BO14836" s="43"/>
    </row>
    <row r="14837" spans="65:67" ht="18.75" customHeight="1">
      <c r="BM14837" s="1025"/>
      <c r="BO14837" s="43"/>
    </row>
    <row r="14838" spans="65:67" ht="18.75" customHeight="1">
      <c r="BM14838" s="1025"/>
      <c r="BO14838" s="43"/>
    </row>
    <row r="14839" spans="65:67" ht="18.75" customHeight="1">
      <c r="BM14839" s="1025"/>
      <c r="BO14839" s="43"/>
    </row>
    <row r="14840" spans="65:67" ht="18.75" customHeight="1">
      <c r="BM14840" s="1025"/>
      <c r="BO14840" s="43"/>
    </row>
    <row r="14841" spans="65:67" ht="18.75" customHeight="1">
      <c r="BM14841" s="1025"/>
      <c r="BO14841" s="43"/>
    </row>
    <row r="14842" spans="65:67" ht="18.75" customHeight="1">
      <c r="BM14842" s="1025"/>
      <c r="BO14842" s="43"/>
    </row>
    <row r="14843" spans="65:67" ht="18.75" customHeight="1">
      <c r="BM14843" s="1025"/>
      <c r="BO14843" s="43"/>
    </row>
    <row r="14844" spans="65:67" ht="18.75" customHeight="1">
      <c r="BM14844" s="1025"/>
      <c r="BO14844" s="43"/>
    </row>
    <row r="14845" spans="65:67" ht="18.75" customHeight="1">
      <c r="BM14845" s="1025"/>
      <c r="BO14845" s="43"/>
    </row>
    <row r="14846" spans="65:67" ht="18.75" customHeight="1">
      <c r="BM14846" s="1025"/>
      <c r="BO14846" s="43"/>
    </row>
    <row r="14847" spans="65:67" ht="18.75" customHeight="1">
      <c r="BM14847" s="1025"/>
      <c r="BO14847" s="43"/>
    </row>
    <row r="14848" spans="65:67" ht="18.75" customHeight="1">
      <c r="BM14848" s="1025"/>
      <c r="BO14848" s="43"/>
    </row>
    <row r="14849" spans="65:67" ht="18.75" customHeight="1">
      <c r="BM14849" s="1025"/>
      <c r="BO14849" s="43"/>
    </row>
    <row r="14850" spans="65:67" ht="18.75" customHeight="1">
      <c r="BM14850" s="1025"/>
      <c r="BO14850" s="43"/>
    </row>
    <row r="14851" spans="65:67" ht="18.75" customHeight="1">
      <c r="BM14851" s="1025"/>
      <c r="BO14851" s="43"/>
    </row>
    <row r="14852" spans="65:67" ht="18.75" customHeight="1">
      <c r="BM14852" s="1025"/>
      <c r="BO14852" s="43"/>
    </row>
    <row r="14853" spans="65:67" ht="18.75" customHeight="1">
      <c r="BM14853" s="1025"/>
      <c r="BO14853" s="43"/>
    </row>
    <row r="14854" spans="65:67" ht="18.75" customHeight="1">
      <c r="BM14854" s="1025"/>
      <c r="BO14854" s="43"/>
    </row>
    <row r="14855" spans="65:67" ht="18.75" customHeight="1">
      <c r="BM14855" s="1025"/>
      <c r="BO14855" s="43"/>
    </row>
    <row r="14856" spans="65:67" ht="18.75" customHeight="1">
      <c r="BM14856" s="1025"/>
      <c r="BO14856" s="43"/>
    </row>
    <row r="14857" spans="65:67" ht="18.75" customHeight="1">
      <c r="BM14857" s="1025"/>
      <c r="BO14857" s="43"/>
    </row>
    <row r="14858" spans="65:67" ht="18.75" customHeight="1">
      <c r="BM14858" s="1025"/>
      <c r="BO14858" s="43"/>
    </row>
    <row r="14859" spans="65:67" ht="18.75" customHeight="1">
      <c r="BM14859" s="1025"/>
      <c r="BO14859" s="43"/>
    </row>
    <row r="14860" spans="65:67" ht="18.75" customHeight="1">
      <c r="BM14860" s="1025"/>
      <c r="BO14860" s="43"/>
    </row>
    <row r="14861" spans="65:67" ht="18.75" customHeight="1">
      <c r="BM14861" s="1025"/>
      <c r="BO14861" s="43"/>
    </row>
    <row r="14862" spans="65:67" ht="18.75" customHeight="1">
      <c r="BM14862" s="1025"/>
      <c r="BO14862" s="43"/>
    </row>
    <row r="14863" spans="65:67" ht="18.75" customHeight="1">
      <c r="BM14863" s="1025"/>
      <c r="BO14863" s="43"/>
    </row>
    <row r="14864" spans="65:67" ht="18.75" customHeight="1">
      <c r="BM14864" s="1025"/>
      <c r="BO14864" s="43"/>
    </row>
    <row r="14865" spans="65:67" ht="18.75" customHeight="1">
      <c r="BM14865" s="1025"/>
      <c r="BO14865" s="43"/>
    </row>
    <row r="14866" spans="65:67" ht="18.75" customHeight="1">
      <c r="BM14866" s="1025"/>
      <c r="BO14866" s="43"/>
    </row>
    <row r="14867" spans="65:67" ht="18.75" customHeight="1">
      <c r="BM14867" s="1025"/>
      <c r="BO14867" s="43"/>
    </row>
    <row r="14868" spans="65:67" ht="18.75" customHeight="1">
      <c r="BM14868" s="1025"/>
      <c r="BO14868" s="43"/>
    </row>
    <row r="14869" spans="65:67" ht="18.75" customHeight="1">
      <c r="BM14869" s="1025"/>
      <c r="BO14869" s="43"/>
    </row>
    <row r="14870" spans="65:67" ht="18.75" customHeight="1">
      <c r="BM14870" s="1025"/>
      <c r="BO14870" s="43"/>
    </row>
    <row r="14871" spans="65:67" ht="18.75" customHeight="1">
      <c r="BM14871" s="1025"/>
      <c r="BO14871" s="43"/>
    </row>
    <row r="14872" spans="65:67" ht="18.75" customHeight="1">
      <c r="BM14872" s="1025"/>
      <c r="BO14872" s="43"/>
    </row>
    <row r="14873" spans="65:67" ht="18.75" customHeight="1">
      <c r="BM14873" s="1025"/>
      <c r="BO14873" s="43"/>
    </row>
    <row r="14874" spans="65:67" ht="18.75" customHeight="1">
      <c r="BM14874" s="1025"/>
      <c r="BO14874" s="43"/>
    </row>
    <row r="14875" spans="65:67" ht="18.75" customHeight="1">
      <c r="BM14875" s="1025"/>
      <c r="BO14875" s="43"/>
    </row>
    <row r="14876" spans="65:67" ht="18.75" customHeight="1">
      <c r="BM14876" s="1025"/>
      <c r="BO14876" s="43"/>
    </row>
    <row r="14877" spans="65:67" ht="18.75" customHeight="1">
      <c r="BM14877" s="1025"/>
      <c r="BO14877" s="43"/>
    </row>
    <row r="14878" spans="65:67" ht="18.75" customHeight="1">
      <c r="BM14878" s="1025"/>
      <c r="BO14878" s="43"/>
    </row>
    <row r="14879" spans="65:67" ht="18.75" customHeight="1">
      <c r="BM14879" s="1025"/>
      <c r="BO14879" s="43"/>
    </row>
    <row r="14880" spans="65:67" ht="18.75" customHeight="1">
      <c r="BM14880" s="1025"/>
      <c r="BO14880" s="43"/>
    </row>
    <row r="14881" spans="65:67" ht="18.75" customHeight="1">
      <c r="BM14881" s="1025"/>
      <c r="BO14881" s="43"/>
    </row>
    <row r="14882" spans="65:67" ht="18.75" customHeight="1">
      <c r="BM14882" s="1025"/>
      <c r="BO14882" s="43"/>
    </row>
    <row r="14883" spans="65:67" ht="18.75" customHeight="1">
      <c r="BM14883" s="1025"/>
      <c r="BO14883" s="43"/>
    </row>
    <row r="14884" spans="65:67" ht="18.75" customHeight="1">
      <c r="BM14884" s="1025"/>
      <c r="BO14884" s="43"/>
    </row>
    <row r="14885" spans="65:67" ht="18.75" customHeight="1">
      <c r="BM14885" s="1025"/>
      <c r="BO14885" s="43"/>
    </row>
    <row r="14886" spans="65:67" ht="18.75" customHeight="1">
      <c r="BM14886" s="1025"/>
      <c r="BO14886" s="43"/>
    </row>
    <row r="14887" spans="65:67" ht="18.75" customHeight="1">
      <c r="BM14887" s="1025"/>
      <c r="BO14887" s="43"/>
    </row>
    <row r="14888" spans="65:67" ht="18.75" customHeight="1">
      <c r="BM14888" s="1025"/>
      <c r="BO14888" s="43"/>
    </row>
    <row r="14889" spans="65:67" ht="18.75" customHeight="1">
      <c r="BM14889" s="1025"/>
      <c r="BO14889" s="43"/>
    </row>
    <row r="14890" spans="65:67" ht="18.75" customHeight="1">
      <c r="BM14890" s="1025"/>
      <c r="BO14890" s="43"/>
    </row>
    <row r="14891" spans="65:67" ht="18.75" customHeight="1">
      <c r="BM14891" s="1025"/>
      <c r="BO14891" s="43"/>
    </row>
    <row r="14892" spans="65:67" ht="18.75" customHeight="1">
      <c r="BM14892" s="1025"/>
      <c r="BO14892" s="43"/>
    </row>
    <row r="14893" spans="65:67" ht="18.75" customHeight="1">
      <c r="BM14893" s="1025"/>
      <c r="BO14893" s="43"/>
    </row>
    <row r="14894" spans="65:67" ht="18.75" customHeight="1">
      <c r="BM14894" s="1025"/>
      <c r="BO14894" s="43"/>
    </row>
    <row r="14895" spans="65:67" ht="18.75" customHeight="1">
      <c r="BM14895" s="1025"/>
      <c r="BO14895" s="43"/>
    </row>
    <row r="14896" spans="65:67" ht="18.75" customHeight="1">
      <c r="BM14896" s="1025"/>
      <c r="BO14896" s="43"/>
    </row>
    <row r="14897" spans="65:67" ht="18.75" customHeight="1">
      <c r="BM14897" s="1025"/>
      <c r="BO14897" s="43"/>
    </row>
    <row r="14898" spans="65:67" ht="18.75" customHeight="1">
      <c r="BM14898" s="1025"/>
      <c r="BO14898" s="43"/>
    </row>
    <row r="14899" spans="65:67" ht="18.75" customHeight="1">
      <c r="BM14899" s="1025"/>
      <c r="BO14899" s="43"/>
    </row>
    <row r="14900" spans="65:67" ht="18.75" customHeight="1">
      <c r="BM14900" s="1025"/>
      <c r="BO14900" s="43"/>
    </row>
    <row r="14901" spans="65:67" ht="18.75" customHeight="1">
      <c r="BM14901" s="1025"/>
      <c r="BO14901" s="43"/>
    </row>
    <row r="14902" spans="65:67" ht="18.75" customHeight="1">
      <c r="BM14902" s="1025"/>
      <c r="BO14902" s="43"/>
    </row>
    <row r="14903" spans="65:67" ht="18.75" customHeight="1">
      <c r="BM14903" s="1025"/>
      <c r="BO14903" s="43"/>
    </row>
    <row r="14904" spans="65:67" ht="18.75" customHeight="1">
      <c r="BM14904" s="1025"/>
      <c r="BO14904" s="43"/>
    </row>
    <row r="14905" spans="65:67" ht="18.75" customHeight="1">
      <c r="BM14905" s="1025"/>
      <c r="BO14905" s="43"/>
    </row>
    <row r="14906" spans="65:67" ht="18.75" customHeight="1">
      <c r="BM14906" s="1025"/>
      <c r="BO14906" s="43"/>
    </row>
    <row r="14907" spans="65:67" ht="18.75" customHeight="1">
      <c r="BM14907" s="1025"/>
      <c r="BO14907" s="43"/>
    </row>
    <row r="14908" spans="65:67" ht="18.75" customHeight="1">
      <c r="BM14908" s="1025"/>
      <c r="BO14908" s="43"/>
    </row>
    <row r="14909" spans="65:67" ht="18.75" customHeight="1">
      <c r="BM14909" s="1025"/>
      <c r="BO14909" s="43"/>
    </row>
    <row r="14910" spans="65:67" ht="18.75" customHeight="1">
      <c r="BM14910" s="1025"/>
      <c r="BO14910" s="43"/>
    </row>
    <row r="14911" spans="65:67" ht="18.75" customHeight="1">
      <c r="BM14911" s="1025"/>
      <c r="BO14911" s="43"/>
    </row>
    <row r="14912" spans="65:67" ht="18.75" customHeight="1">
      <c r="BM14912" s="1025"/>
      <c r="BO14912" s="43"/>
    </row>
    <row r="14913" spans="65:67" ht="18.75" customHeight="1">
      <c r="BM14913" s="1025"/>
      <c r="BO14913" s="43"/>
    </row>
    <row r="14914" spans="65:67" ht="18.75" customHeight="1">
      <c r="BM14914" s="1025"/>
      <c r="BO14914" s="43"/>
    </row>
    <row r="14915" spans="65:67" ht="18.75" customHeight="1">
      <c r="BM14915" s="1025"/>
      <c r="BO14915" s="43"/>
    </row>
    <row r="14916" spans="65:67" ht="18.75" customHeight="1">
      <c r="BM14916" s="1025"/>
      <c r="BO14916" s="43"/>
    </row>
    <row r="14917" spans="65:67" ht="18.75" customHeight="1">
      <c r="BM14917" s="1025"/>
      <c r="BO14917" s="43"/>
    </row>
    <row r="14918" spans="65:67" ht="18.75" customHeight="1">
      <c r="BM14918" s="1025"/>
      <c r="BO14918" s="43"/>
    </row>
    <row r="14919" spans="65:67" ht="18.75" customHeight="1">
      <c r="BM14919" s="1025"/>
      <c r="BO14919" s="43"/>
    </row>
    <row r="14920" spans="65:67" ht="18.75" customHeight="1">
      <c r="BM14920" s="1025"/>
      <c r="BO14920" s="43"/>
    </row>
    <row r="14921" spans="65:67" ht="18.75" customHeight="1">
      <c r="BM14921" s="1025"/>
      <c r="BO14921" s="43"/>
    </row>
    <row r="14922" spans="65:67" ht="18.75" customHeight="1">
      <c r="BM14922" s="1025"/>
      <c r="BO14922" s="43"/>
    </row>
    <row r="14923" spans="65:67" ht="18.75" customHeight="1">
      <c r="BM14923" s="1025"/>
      <c r="BO14923" s="43"/>
    </row>
    <row r="14924" spans="65:67" ht="18.75" customHeight="1">
      <c r="BM14924" s="1025"/>
      <c r="BO14924" s="43"/>
    </row>
    <row r="14925" spans="65:67" ht="18.75" customHeight="1">
      <c r="BM14925" s="1025"/>
      <c r="BO14925" s="43"/>
    </row>
    <row r="14926" spans="65:67" ht="18.75" customHeight="1">
      <c r="BM14926" s="1025"/>
      <c r="BO14926" s="43"/>
    </row>
    <row r="14927" spans="65:67" ht="18.75" customHeight="1">
      <c r="BM14927" s="1025"/>
      <c r="BO14927" s="43"/>
    </row>
    <row r="14928" spans="65:67" ht="18.75" customHeight="1">
      <c r="BM14928" s="1025"/>
      <c r="BO14928" s="43"/>
    </row>
    <row r="14929" spans="65:67" ht="18.75" customHeight="1">
      <c r="BM14929" s="1025"/>
      <c r="BO14929" s="43"/>
    </row>
    <row r="14930" spans="65:67" ht="18.75" customHeight="1">
      <c r="BM14930" s="1025"/>
      <c r="BO14930" s="43"/>
    </row>
    <row r="14931" spans="65:67" ht="18.75" customHeight="1">
      <c r="BM14931" s="1025"/>
      <c r="BO14931" s="43"/>
    </row>
    <row r="14932" spans="65:67" ht="18.75" customHeight="1">
      <c r="BM14932" s="1025"/>
      <c r="BO14932" s="43"/>
    </row>
    <row r="14933" spans="65:67" ht="18.75" customHeight="1">
      <c r="BM14933" s="1025"/>
      <c r="BO14933" s="43"/>
    </row>
    <row r="14934" spans="65:67" ht="18.75" customHeight="1">
      <c r="BM14934" s="1025"/>
      <c r="BO14934" s="43"/>
    </row>
    <row r="14935" spans="65:67" ht="18.75" customHeight="1">
      <c r="BM14935" s="1025"/>
      <c r="BO14935" s="43"/>
    </row>
    <row r="14936" spans="65:67" ht="18.75" customHeight="1">
      <c r="BM14936" s="1025"/>
      <c r="BO14936" s="43"/>
    </row>
    <row r="14937" spans="65:67" ht="18.75" customHeight="1">
      <c r="BM14937" s="1025"/>
      <c r="BO14937" s="43"/>
    </row>
    <row r="14938" spans="65:67" ht="18.75" customHeight="1">
      <c r="BM14938" s="1025"/>
      <c r="BO14938" s="43"/>
    </row>
    <row r="14939" spans="65:67" ht="18.75" customHeight="1">
      <c r="BM14939" s="1025"/>
      <c r="BO14939" s="43"/>
    </row>
    <row r="14940" spans="65:67" ht="18.75" customHeight="1">
      <c r="BM14940" s="1025"/>
      <c r="BO14940" s="43"/>
    </row>
    <row r="14941" spans="65:67" ht="18.75" customHeight="1">
      <c r="BM14941" s="1025"/>
      <c r="BO14941" s="43"/>
    </row>
    <row r="14942" spans="65:67" ht="18.75" customHeight="1">
      <c r="BM14942" s="1025"/>
      <c r="BO14942" s="43"/>
    </row>
    <row r="14943" spans="65:67" ht="18.75" customHeight="1">
      <c r="BM14943" s="1025"/>
      <c r="BO14943" s="43"/>
    </row>
    <row r="14944" spans="65:67" ht="18.75" customHeight="1">
      <c r="BM14944" s="1025"/>
      <c r="BO14944" s="43"/>
    </row>
    <row r="14945" spans="65:67" ht="18.75" customHeight="1">
      <c r="BM14945" s="1025"/>
      <c r="BO14945" s="43"/>
    </row>
    <row r="14946" spans="65:67" ht="18.75" customHeight="1">
      <c r="BM14946" s="1025"/>
      <c r="BO14946" s="43"/>
    </row>
    <row r="14947" spans="65:67" ht="18.75" customHeight="1">
      <c r="BM14947" s="1025"/>
      <c r="BO14947" s="43"/>
    </row>
    <row r="14948" spans="65:67" ht="18.75" customHeight="1">
      <c r="BM14948" s="1025"/>
      <c r="BO14948" s="43"/>
    </row>
    <row r="14949" spans="65:67" ht="18.75" customHeight="1">
      <c r="BM14949" s="1025"/>
      <c r="BO14949" s="43"/>
    </row>
    <row r="14950" spans="65:67" ht="18.75" customHeight="1">
      <c r="BM14950" s="1025"/>
      <c r="BO14950" s="43"/>
    </row>
    <row r="14951" spans="65:67" ht="18.75" customHeight="1">
      <c r="BM14951" s="1025"/>
      <c r="BO14951" s="43"/>
    </row>
    <row r="14952" spans="65:67" ht="18.75" customHeight="1">
      <c r="BM14952" s="1025"/>
      <c r="BO14952" s="43"/>
    </row>
    <row r="14953" spans="65:67" ht="18.75" customHeight="1">
      <c r="BM14953" s="1025"/>
      <c r="BO14953" s="43"/>
    </row>
    <row r="14954" spans="65:67" ht="18.75" customHeight="1">
      <c r="BM14954" s="1025"/>
      <c r="BO14954" s="43"/>
    </row>
    <row r="14955" spans="65:67" ht="18.75" customHeight="1">
      <c r="BM14955" s="1025"/>
      <c r="BO14955" s="43"/>
    </row>
    <row r="14956" spans="65:67" ht="18.75" customHeight="1">
      <c r="BM14956" s="1025"/>
      <c r="BO14956" s="43"/>
    </row>
    <row r="14957" spans="65:67" ht="18.75" customHeight="1">
      <c r="BM14957" s="1025"/>
      <c r="BO14957" s="43"/>
    </row>
    <row r="14958" spans="65:67" ht="18.75" customHeight="1">
      <c r="BM14958" s="1025"/>
      <c r="BO14958" s="43"/>
    </row>
    <row r="14959" spans="65:67" ht="18.75" customHeight="1">
      <c r="BM14959" s="1025"/>
      <c r="BO14959" s="43"/>
    </row>
    <row r="14960" spans="65:67" ht="18.75" customHeight="1">
      <c r="BM14960" s="1025"/>
      <c r="BO14960" s="43"/>
    </row>
    <row r="14961" spans="65:67" ht="18.75" customHeight="1">
      <c r="BM14961" s="1025"/>
      <c r="BO14961" s="43"/>
    </row>
    <row r="14962" spans="65:67" ht="18.75" customHeight="1">
      <c r="BM14962" s="1025"/>
      <c r="BO14962" s="43"/>
    </row>
    <row r="14963" spans="65:67" ht="18.75" customHeight="1">
      <c r="BM14963" s="1025"/>
      <c r="BO14963" s="43"/>
    </row>
    <row r="14964" spans="65:67" ht="18.75" customHeight="1">
      <c r="BM14964" s="1025"/>
      <c r="BO14964" s="43"/>
    </row>
    <row r="14965" spans="65:67" ht="18.75" customHeight="1">
      <c r="BM14965" s="1025"/>
      <c r="BO14965" s="43"/>
    </row>
    <row r="14966" spans="65:67" ht="18.75" customHeight="1">
      <c r="BM14966" s="1025"/>
      <c r="BO14966" s="43"/>
    </row>
    <row r="14967" spans="65:67" ht="18.75" customHeight="1">
      <c r="BM14967" s="1025"/>
      <c r="BO14967" s="43"/>
    </row>
    <row r="14968" spans="65:67" ht="18.75" customHeight="1">
      <c r="BM14968" s="1025"/>
      <c r="BO14968" s="43"/>
    </row>
    <row r="14969" spans="65:67" ht="18.75" customHeight="1">
      <c r="BM14969" s="1025"/>
      <c r="BO14969" s="43"/>
    </row>
    <row r="14970" spans="65:67" ht="18.75" customHeight="1">
      <c r="BM14970" s="1025"/>
      <c r="BO14970" s="43"/>
    </row>
    <row r="14971" spans="65:67" ht="18.75" customHeight="1">
      <c r="BM14971" s="1025"/>
      <c r="BO14971" s="43"/>
    </row>
    <row r="14972" spans="65:67" ht="18.75" customHeight="1">
      <c r="BM14972" s="1025"/>
      <c r="BO14972" s="43"/>
    </row>
    <row r="14973" spans="65:67" ht="18.75" customHeight="1">
      <c r="BM14973" s="1025"/>
      <c r="BO14973" s="43"/>
    </row>
    <row r="14974" spans="65:67" ht="18.75" customHeight="1">
      <c r="BM14974" s="1025"/>
      <c r="BO14974" s="43"/>
    </row>
    <row r="14975" spans="65:67" ht="18.75" customHeight="1">
      <c r="BM14975" s="1025"/>
      <c r="BO14975" s="43"/>
    </row>
    <row r="14976" spans="65:67" ht="18.75" customHeight="1">
      <c r="BM14976" s="1025"/>
      <c r="BO14976" s="43"/>
    </row>
    <row r="14977" spans="65:67" ht="18.75" customHeight="1">
      <c r="BM14977" s="1025"/>
      <c r="BO14977" s="43"/>
    </row>
    <row r="14978" spans="65:67" ht="18.75" customHeight="1">
      <c r="BM14978" s="1025"/>
      <c r="BO14978" s="43"/>
    </row>
    <row r="14979" spans="65:67" ht="18.75" customHeight="1">
      <c r="BM14979" s="1025"/>
      <c r="BO14979" s="43"/>
    </row>
    <row r="14980" spans="65:67" ht="18.75" customHeight="1">
      <c r="BM14980" s="1025"/>
      <c r="BO14980" s="43"/>
    </row>
    <row r="14981" spans="65:67" ht="18.75" customHeight="1">
      <c r="BM14981" s="1025"/>
      <c r="BO14981" s="43"/>
    </row>
    <row r="14982" spans="65:67" ht="18.75" customHeight="1">
      <c r="BM14982" s="1025"/>
      <c r="BO14982" s="43"/>
    </row>
    <row r="14983" spans="65:67" ht="18.75" customHeight="1">
      <c r="BM14983" s="1025"/>
      <c r="BO14983" s="43"/>
    </row>
    <row r="14984" spans="65:67" ht="18.75" customHeight="1">
      <c r="BM14984" s="1025"/>
      <c r="BO14984" s="43"/>
    </row>
    <row r="14985" spans="65:67" ht="18.75" customHeight="1">
      <c r="BM14985" s="1025"/>
      <c r="BO14985" s="43"/>
    </row>
    <row r="14986" spans="65:67" ht="18.75" customHeight="1">
      <c r="BM14986" s="1025"/>
      <c r="BO14986" s="43"/>
    </row>
    <row r="14987" spans="65:67" ht="18.75" customHeight="1">
      <c r="BM14987" s="1025"/>
      <c r="BO14987" s="43"/>
    </row>
    <row r="14988" spans="65:67" ht="18.75" customHeight="1">
      <c r="BM14988" s="1025"/>
      <c r="BO14988" s="43"/>
    </row>
    <row r="14989" spans="65:67" ht="18.75" customHeight="1">
      <c r="BM14989" s="1025"/>
      <c r="BO14989" s="43"/>
    </row>
    <row r="14990" spans="65:67" ht="18.75" customHeight="1">
      <c r="BM14990" s="1025"/>
      <c r="BO14990" s="43"/>
    </row>
    <row r="14991" spans="65:67" ht="18.75" customHeight="1">
      <c r="BM14991" s="1025"/>
      <c r="BO14991" s="43"/>
    </row>
    <row r="14992" spans="65:67" ht="18.75" customHeight="1">
      <c r="BM14992" s="1025"/>
      <c r="BO14992" s="43"/>
    </row>
    <row r="14993" spans="65:67" ht="18.75" customHeight="1">
      <c r="BM14993" s="1025"/>
      <c r="BO14993" s="43"/>
    </row>
    <row r="14994" spans="65:67" ht="18.75" customHeight="1">
      <c r="BM14994" s="1025"/>
      <c r="BO14994" s="43"/>
    </row>
    <row r="14995" spans="65:67" ht="18.75" customHeight="1">
      <c r="BM14995" s="1025"/>
      <c r="BO14995" s="43"/>
    </row>
    <row r="14996" spans="65:67" ht="18.75" customHeight="1">
      <c r="BM14996" s="1025"/>
      <c r="BO14996" s="43"/>
    </row>
    <row r="14997" spans="65:67" ht="18.75" customHeight="1">
      <c r="BM14997" s="1025"/>
      <c r="BO14997" s="43"/>
    </row>
    <row r="14998" spans="65:67" ht="18.75" customHeight="1">
      <c r="BM14998" s="1025"/>
      <c r="BO14998" s="43"/>
    </row>
    <row r="14999" spans="65:67" ht="18.75" customHeight="1">
      <c r="BM14999" s="1025"/>
      <c r="BO14999" s="43"/>
    </row>
    <row r="15000" spans="65:67" ht="18.75" customHeight="1">
      <c r="BM15000" s="1025"/>
      <c r="BO15000" s="43"/>
    </row>
    <row r="15001" spans="65:67" ht="18.75" customHeight="1">
      <c r="BM15001" s="1025"/>
      <c r="BO15001" s="43"/>
    </row>
    <row r="15002" spans="65:67" ht="18.75" customHeight="1">
      <c r="BM15002" s="1025"/>
      <c r="BO15002" s="43"/>
    </row>
    <row r="15003" spans="65:67" ht="18.75" customHeight="1">
      <c r="BM15003" s="1025"/>
      <c r="BO15003" s="43"/>
    </row>
    <row r="15004" spans="65:67" ht="18.75" customHeight="1">
      <c r="BM15004" s="1025"/>
      <c r="BO15004" s="43"/>
    </row>
    <row r="15005" spans="65:67" ht="18.75" customHeight="1">
      <c r="BM15005" s="1025"/>
      <c r="BO15005" s="43"/>
    </row>
    <row r="15006" spans="65:67" ht="18.75" customHeight="1">
      <c r="BM15006" s="1025"/>
      <c r="BO15006" s="43"/>
    </row>
    <row r="15007" spans="65:67" ht="18.75" customHeight="1">
      <c r="BM15007" s="1025"/>
      <c r="BO15007" s="43"/>
    </row>
    <row r="15008" spans="65:67" ht="18.75" customHeight="1">
      <c r="BM15008" s="1025"/>
      <c r="BO15008" s="43"/>
    </row>
    <row r="15009" spans="65:67" ht="18.75" customHeight="1">
      <c r="BM15009" s="1025"/>
      <c r="BO15009" s="43"/>
    </row>
    <row r="15010" spans="65:67" ht="18.75" customHeight="1">
      <c r="BM15010" s="1025"/>
      <c r="BO15010" s="43"/>
    </row>
    <row r="15011" spans="65:67" ht="18.75" customHeight="1">
      <c r="BM15011" s="1025"/>
      <c r="BO15011" s="43"/>
    </row>
    <row r="15012" spans="65:67" ht="18.75" customHeight="1">
      <c r="BM15012" s="1025"/>
      <c r="BO15012" s="43"/>
    </row>
    <row r="15013" spans="65:67" ht="18.75" customHeight="1">
      <c r="BM15013" s="1025"/>
      <c r="BO15013" s="43"/>
    </row>
    <row r="15014" spans="65:67" ht="18.75" customHeight="1">
      <c r="BM15014" s="1025"/>
      <c r="BO15014" s="43"/>
    </row>
    <row r="15015" spans="65:67" ht="18.75" customHeight="1">
      <c r="BM15015" s="1025"/>
      <c r="BO15015" s="43"/>
    </row>
    <row r="15016" spans="65:67" ht="18.75" customHeight="1">
      <c r="BM15016" s="1025"/>
      <c r="BO15016" s="43"/>
    </row>
    <row r="15017" spans="65:67" ht="18.75" customHeight="1">
      <c r="BM15017" s="1025"/>
      <c r="BO15017" s="43"/>
    </row>
    <row r="15018" spans="65:67" ht="18.75" customHeight="1">
      <c r="BM15018" s="1025"/>
      <c r="BO15018" s="43"/>
    </row>
    <row r="15019" spans="65:67" ht="18.75" customHeight="1">
      <c r="BM15019" s="1025"/>
      <c r="BO15019" s="43"/>
    </row>
    <row r="15020" spans="65:67" ht="18.75" customHeight="1">
      <c r="BM15020" s="1025"/>
      <c r="BO15020" s="43"/>
    </row>
    <row r="15021" spans="65:67" ht="18.75" customHeight="1">
      <c r="BM15021" s="1025"/>
      <c r="BO15021" s="43"/>
    </row>
    <row r="15022" spans="65:67" ht="18.75" customHeight="1">
      <c r="BM15022" s="1025"/>
      <c r="BO15022" s="43"/>
    </row>
    <row r="15023" spans="65:67" ht="18.75" customHeight="1">
      <c r="BM15023" s="1025"/>
      <c r="BO15023" s="43"/>
    </row>
    <row r="15024" spans="65:67" ht="18.75" customHeight="1">
      <c r="BM15024" s="1025"/>
      <c r="BO15024" s="43"/>
    </row>
    <row r="15025" spans="65:67" ht="18.75" customHeight="1">
      <c r="BM15025" s="1025"/>
      <c r="BO15025" s="43"/>
    </row>
    <row r="15026" spans="65:67" ht="18.75" customHeight="1">
      <c r="BM15026" s="1025"/>
      <c r="BO15026" s="43"/>
    </row>
    <row r="15027" spans="65:67" ht="18.75" customHeight="1">
      <c r="BM15027" s="1025"/>
      <c r="BO15027" s="43"/>
    </row>
    <row r="15028" spans="65:67" ht="18.75" customHeight="1">
      <c r="BM15028" s="1025"/>
      <c r="BO15028" s="43"/>
    </row>
    <row r="15029" spans="65:67" ht="18.75" customHeight="1">
      <c r="BM15029" s="1025"/>
      <c r="BO15029" s="43"/>
    </row>
    <row r="15030" spans="65:67" ht="18.75" customHeight="1">
      <c r="BM15030" s="1025"/>
      <c r="BO15030" s="43"/>
    </row>
    <row r="15031" spans="65:67" ht="18.75" customHeight="1">
      <c r="BM15031" s="1025"/>
      <c r="BO15031" s="43"/>
    </row>
    <row r="15032" spans="65:67" ht="18.75" customHeight="1">
      <c r="BM15032" s="1025"/>
      <c r="BO15032" s="43"/>
    </row>
    <row r="15033" spans="65:67" ht="18.75" customHeight="1">
      <c r="BM15033" s="1025"/>
      <c r="BO15033" s="43"/>
    </row>
    <row r="15034" spans="65:67" ht="18.75" customHeight="1">
      <c r="BM15034" s="1025"/>
      <c r="BO15034" s="43"/>
    </row>
    <row r="15035" spans="65:67" ht="18.75" customHeight="1">
      <c r="BM15035" s="1025"/>
      <c r="BO15035" s="43"/>
    </row>
    <row r="15036" spans="65:67" ht="18.75" customHeight="1">
      <c r="BM15036" s="1025"/>
      <c r="BO15036" s="43"/>
    </row>
    <row r="15037" spans="65:67" ht="18.75" customHeight="1">
      <c r="BM15037" s="1025"/>
      <c r="BO15037" s="43"/>
    </row>
    <row r="15038" spans="65:67" ht="18.75" customHeight="1">
      <c r="BM15038" s="1025"/>
      <c r="BO15038" s="43"/>
    </row>
    <row r="15039" spans="65:67" ht="18.75" customHeight="1">
      <c r="BM15039" s="1025"/>
      <c r="BO15039" s="43"/>
    </row>
    <row r="15040" spans="65:67" ht="18.75" customHeight="1">
      <c r="BM15040" s="1025"/>
      <c r="BO15040" s="43"/>
    </row>
    <row r="15041" spans="65:67" ht="18.75" customHeight="1">
      <c r="BM15041" s="1025"/>
      <c r="BO15041" s="43"/>
    </row>
    <row r="15042" spans="65:67" ht="18.75" customHeight="1">
      <c r="BM15042" s="1025"/>
      <c r="BO15042" s="43"/>
    </row>
    <row r="15043" spans="65:67" ht="18.75" customHeight="1">
      <c r="BM15043" s="1025"/>
      <c r="BO15043" s="43"/>
    </row>
    <row r="15044" spans="65:67" ht="18.75" customHeight="1">
      <c r="BM15044" s="1025"/>
      <c r="BO15044" s="43"/>
    </row>
    <row r="15045" spans="65:67" ht="18.75" customHeight="1">
      <c r="BM15045" s="1025"/>
      <c r="BO15045" s="43"/>
    </row>
    <row r="15046" spans="65:67" ht="18.75" customHeight="1">
      <c r="BM15046" s="1025"/>
      <c r="BO15046" s="43"/>
    </row>
    <row r="15047" spans="65:67" ht="18.75" customHeight="1">
      <c r="BM15047" s="1025"/>
      <c r="BO15047" s="43"/>
    </row>
    <row r="15048" spans="65:67" ht="18.75" customHeight="1">
      <c r="BM15048" s="1025"/>
      <c r="BO15048" s="43"/>
    </row>
    <row r="15049" spans="65:67" ht="18.75" customHeight="1">
      <c r="BM15049" s="1025"/>
      <c r="BO15049" s="43"/>
    </row>
    <row r="15050" spans="65:67" ht="18.75" customHeight="1">
      <c r="BM15050" s="1025"/>
      <c r="BO15050" s="43"/>
    </row>
    <row r="15051" spans="65:67" ht="18.75" customHeight="1">
      <c r="BM15051" s="1025"/>
      <c r="BO15051" s="43"/>
    </row>
    <row r="15052" spans="65:67" ht="18.75" customHeight="1">
      <c r="BM15052" s="1025"/>
      <c r="BO15052" s="43"/>
    </row>
    <row r="15053" spans="65:67" ht="18.75" customHeight="1">
      <c r="BM15053" s="1025"/>
      <c r="BO15053" s="43"/>
    </row>
    <row r="15054" spans="65:67" ht="18.75" customHeight="1">
      <c r="BM15054" s="1025"/>
      <c r="BO15054" s="43"/>
    </row>
    <row r="15055" spans="65:67" ht="18.75" customHeight="1">
      <c r="BM15055" s="1025"/>
      <c r="BO15055" s="43"/>
    </row>
    <row r="15056" spans="65:67" ht="18.75" customHeight="1">
      <c r="BM15056" s="1025"/>
      <c r="BO15056" s="43"/>
    </row>
    <row r="15057" spans="65:67" ht="18.75" customHeight="1">
      <c r="BM15057" s="1025"/>
      <c r="BO15057" s="43"/>
    </row>
    <row r="15058" spans="65:67" ht="18.75" customHeight="1">
      <c r="BM15058" s="1025"/>
      <c r="BO15058" s="43"/>
    </row>
    <row r="15059" spans="65:67" ht="18.75" customHeight="1">
      <c r="BM15059" s="1025"/>
      <c r="BO15059" s="43"/>
    </row>
    <row r="15060" spans="65:67" ht="18.75" customHeight="1">
      <c r="BM15060" s="1025"/>
      <c r="BO15060" s="43"/>
    </row>
    <row r="15061" spans="65:67" ht="18.75" customHeight="1">
      <c r="BM15061" s="1025"/>
      <c r="BO15061" s="43"/>
    </row>
    <row r="15062" spans="65:67" ht="18.75" customHeight="1">
      <c r="BM15062" s="1025"/>
      <c r="BO15062" s="43"/>
    </row>
    <row r="15063" spans="65:67" ht="18.75" customHeight="1">
      <c r="BM15063" s="1025"/>
      <c r="BO15063" s="43"/>
    </row>
    <row r="15064" spans="65:67" ht="18.75" customHeight="1">
      <c r="BM15064" s="1025"/>
      <c r="BO15064" s="43"/>
    </row>
    <row r="15065" spans="65:67" ht="18.75" customHeight="1">
      <c r="BM15065" s="1025"/>
      <c r="BO15065" s="43"/>
    </row>
    <row r="15066" spans="65:67" ht="18.75" customHeight="1">
      <c r="BM15066" s="1025"/>
      <c r="BO15066" s="43"/>
    </row>
    <row r="15067" spans="65:67" ht="18.75" customHeight="1">
      <c r="BM15067" s="1025"/>
      <c r="BO15067" s="43"/>
    </row>
    <row r="15068" spans="65:67" ht="18.75" customHeight="1">
      <c r="BM15068" s="1025"/>
      <c r="BO15068" s="43"/>
    </row>
    <row r="15069" spans="65:67" ht="18.75" customHeight="1">
      <c r="BM15069" s="1025"/>
      <c r="BO15069" s="43"/>
    </row>
    <row r="15070" spans="65:67" ht="18.75" customHeight="1">
      <c r="BM15070" s="1025"/>
      <c r="BO15070" s="43"/>
    </row>
    <row r="15071" spans="65:67" ht="18.75" customHeight="1">
      <c r="BM15071" s="1025"/>
      <c r="BO15071" s="43"/>
    </row>
    <row r="15072" spans="65:67" ht="18.75" customHeight="1">
      <c r="BM15072" s="1025"/>
      <c r="BO15072" s="43"/>
    </row>
    <row r="15073" spans="65:67" ht="18.75" customHeight="1">
      <c r="BM15073" s="1025"/>
      <c r="BO15073" s="43"/>
    </row>
    <row r="15074" spans="65:67" ht="18.75" customHeight="1">
      <c r="BM15074" s="1025"/>
      <c r="BO15074" s="43"/>
    </row>
    <row r="15075" spans="65:67" ht="18.75" customHeight="1">
      <c r="BM15075" s="1025"/>
      <c r="BO15075" s="43"/>
    </row>
    <row r="15076" spans="65:67" ht="18.75" customHeight="1">
      <c r="BM15076" s="1025"/>
      <c r="BO15076" s="43"/>
    </row>
    <row r="15077" spans="65:67" ht="18.75" customHeight="1">
      <c r="BM15077" s="1025"/>
      <c r="BO15077" s="43"/>
    </row>
    <row r="15078" spans="65:67" ht="18.75" customHeight="1">
      <c r="BM15078" s="1025"/>
      <c r="BO15078" s="43"/>
    </row>
    <row r="15079" spans="65:67" ht="18.75" customHeight="1">
      <c r="BM15079" s="1025"/>
      <c r="BO15079" s="43"/>
    </row>
    <row r="15080" spans="65:67" ht="18.75" customHeight="1">
      <c r="BM15080" s="1025"/>
      <c r="BO15080" s="43"/>
    </row>
    <row r="15081" spans="65:67" ht="18.75" customHeight="1">
      <c r="BM15081" s="1025"/>
      <c r="BO15081" s="43"/>
    </row>
    <row r="15082" spans="65:67" ht="18.75" customHeight="1">
      <c r="BM15082" s="1025"/>
      <c r="BO15082" s="43"/>
    </row>
    <row r="15083" spans="65:67" ht="18.75" customHeight="1">
      <c r="BM15083" s="1025"/>
      <c r="BO15083" s="43"/>
    </row>
    <row r="15084" spans="65:67" ht="18.75" customHeight="1">
      <c r="BM15084" s="1025"/>
      <c r="BO15084" s="43"/>
    </row>
    <row r="15085" spans="65:67" ht="18.75" customHeight="1">
      <c r="BM15085" s="1025"/>
      <c r="BO15085" s="43"/>
    </row>
    <row r="15086" spans="65:67" ht="18.75" customHeight="1">
      <c r="BM15086" s="1025"/>
      <c r="BO15086" s="43"/>
    </row>
    <row r="15087" spans="65:67" ht="18.75" customHeight="1">
      <c r="BM15087" s="1025"/>
      <c r="BO15087" s="43"/>
    </row>
    <row r="15088" spans="65:67" ht="18.75" customHeight="1">
      <c r="BM15088" s="1025"/>
      <c r="BO15088" s="43"/>
    </row>
    <row r="15089" spans="65:67" ht="18.75" customHeight="1">
      <c r="BM15089" s="1025"/>
      <c r="BO15089" s="43"/>
    </row>
    <row r="15090" spans="65:67" ht="18.75" customHeight="1">
      <c r="BM15090" s="1025"/>
      <c r="BO15090" s="43"/>
    </row>
    <row r="15091" spans="65:67" ht="18.75" customHeight="1">
      <c r="BM15091" s="1025"/>
      <c r="BO15091" s="43"/>
    </row>
    <row r="15092" spans="65:67" ht="18.75" customHeight="1">
      <c r="BM15092" s="1025"/>
      <c r="BO15092" s="43"/>
    </row>
    <row r="15093" spans="65:67" ht="18.75" customHeight="1">
      <c r="BM15093" s="1025"/>
      <c r="BO15093" s="43"/>
    </row>
    <row r="15094" spans="65:67" ht="18.75" customHeight="1">
      <c r="BM15094" s="1025"/>
      <c r="BO15094" s="43"/>
    </row>
    <row r="15095" spans="65:67" ht="18.75" customHeight="1">
      <c r="BM15095" s="1025"/>
      <c r="BO15095" s="43"/>
    </row>
    <row r="15096" spans="65:67" ht="18.75" customHeight="1">
      <c r="BM15096" s="1025"/>
      <c r="BO15096" s="43"/>
    </row>
    <row r="15097" spans="65:67" ht="18.75" customHeight="1">
      <c r="BM15097" s="1025"/>
      <c r="BO15097" s="43"/>
    </row>
    <row r="15098" spans="65:67" ht="18.75" customHeight="1">
      <c r="BM15098" s="1025"/>
      <c r="BO15098" s="43"/>
    </row>
    <row r="15099" spans="65:67" ht="18.75" customHeight="1">
      <c r="BM15099" s="1025"/>
      <c r="BO15099" s="43"/>
    </row>
    <row r="15100" spans="65:67" ht="18.75" customHeight="1">
      <c r="BM15100" s="1025"/>
      <c r="BO15100" s="43"/>
    </row>
    <row r="15101" spans="65:67" ht="18.75" customHeight="1">
      <c r="BM15101" s="1025"/>
      <c r="BO15101" s="43"/>
    </row>
    <row r="15102" spans="65:67" ht="18.75" customHeight="1">
      <c r="BM15102" s="1025"/>
      <c r="BO15102" s="43"/>
    </row>
    <row r="15103" spans="65:67" ht="18.75" customHeight="1">
      <c r="BM15103" s="1025"/>
      <c r="BO15103" s="43"/>
    </row>
    <row r="15104" spans="65:67" ht="18.75" customHeight="1">
      <c r="BM15104" s="1025"/>
      <c r="BO15104" s="43"/>
    </row>
    <row r="15105" spans="65:67" ht="18.75" customHeight="1">
      <c r="BM15105" s="1025"/>
      <c r="BO15105" s="43"/>
    </row>
    <row r="15106" spans="65:67" ht="18.75" customHeight="1">
      <c r="BM15106" s="1025"/>
      <c r="BO15106" s="43"/>
    </row>
    <row r="15107" spans="65:67" ht="18.75" customHeight="1">
      <c r="BM15107" s="1025"/>
      <c r="BO15107" s="43"/>
    </row>
    <row r="15108" spans="65:67" ht="18.75" customHeight="1">
      <c r="BM15108" s="1025"/>
      <c r="BO15108" s="43"/>
    </row>
    <row r="15109" spans="65:67" ht="18.75" customHeight="1">
      <c r="BM15109" s="1025"/>
      <c r="BO15109" s="43"/>
    </row>
    <row r="15110" spans="65:67" ht="18.75" customHeight="1">
      <c r="BM15110" s="1025"/>
      <c r="BO15110" s="43"/>
    </row>
    <row r="15111" spans="65:67" ht="18.75" customHeight="1">
      <c r="BM15111" s="1025"/>
      <c r="BO15111" s="43"/>
    </row>
    <row r="15112" spans="65:67" ht="18.75" customHeight="1">
      <c r="BM15112" s="1025"/>
      <c r="BO15112" s="43"/>
    </row>
    <row r="15113" spans="65:67" ht="18.75" customHeight="1">
      <c r="BM15113" s="1025"/>
      <c r="BO15113" s="43"/>
    </row>
    <row r="15114" spans="65:67" ht="18.75" customHeight="1">
      <c r="BM15114" s="1025"/>
      <c r="BO15114" s="43"/>
    </row>
    <row r="15115" spans="65:67" ht="18.75" customHeight="1">
      <c r="BM15115" s="1025"/>
      <c r="BO15115" s="43"/>
    </row>
    <row r="15116" spans="65:67" ht="18.75" customHeight="1">
      <c r="BM15116" s="1025"/>
      <c r="BO15116" s="43"/>
    </row>
    <row r="15117" spans="65:67" ht="18.75" customHeight="1">
      <c r="BM15117" s="1025"/>
      <c r="BO15117" s="43"/>
    </row>
    <row r="15118" spans="65:67" ht="18.75" customHeight="1">
      <c r="BM15118" s="1025"/>
      <c r="BO15118" s="43"/>
    </row>
    <row r="15119" spans="65:67" ht="18.75" customHeight="1">
      <c r="BM15119" s="1025"/>
      <c r="BO15119" s="43"/>
    </row>
    <row r="15120" spans="65:67" ht="18.75" customHeight="1">
      <c r="BM15120" s="1025"/>
      <c r="BO15120" s="43"/>
    </row>
    <row r="15121" spans="65:67" ht="18.75" customHeight="1">
      <c r="BM15121" s="1025"/>
      <c r="BO15121" s="43"/>
    </row>
    <row r="15122" spans="65:67" ht="18.75" customHeight="1">
      <c r="BM15122" s="1025"/>
      <c r="BO15122" s="43"/>
    </row>
    <row r="15123" spans="65:67" ht="18.75" customHeight="1">
      <c r="BM15123" s="1025"/>
      <c r="BO15123" s="43"/>
    </row>
    <row r="15124" spans="65:67" ht="18.75" customHeight="1">
      <c r="BM15124" s="1025"/>
      <c r="BO15124" s="43"/>
    </row>
    <row r="15125" spans="65:67" ht="18.75" customHeight="1">
      <c r="BM15125" s="1025"/>
      <c r="BO15125" s="43"/>
    </row>
    <row r="15126" spans="65:67" ht="18.75" customHeight="1">
      <c r="BM15126" s="1025"/>
      <c r="BO15126" s="43"/>
    </row>
    <row r="15127" spans="65:67" ht="18.75" customHeight="1">
      <c r="BM15127" s="1025"/>
      <c r="BO15127" s="43"/>
    </row>
    <row r="15128" spans="65:67" ht="18.75" customHeight="1">
      <c r="BM15128" s="1025"/>
      <c r="BO15128" s="43"/>
    </row>
    <row r="15129" spans="65:67" ht="18.75" customHeight="1">
      <c r="BM15129" s="1025"/>
      <c r="BO15129" s="43"/>
    </row>
    <row r="15130" spans="65:67" ht="18.75" customHeight="1">
      <c r="BM15130" s="1025"/>
      <c r="BO15130" s="43"/>
    </row>
    <row r="15131" spans="65:67" ht="18.75" customHeight="1">
      <c r="BM15131" s="1025"/>
      <c r="BO15131" s="43"/>
    </row>
    <row r="15132" spans="65:67" ht="18.75" customHeight="1">
      <c r="BM15132" s="1025"/>
      <c r="BO15132" s="43"/>
    </row>
    <row r="15133" spans="65:67" ht="18.75" customHeight="1">
      <c r="BM15133" s="1025"/>
      <c r="BO15133" s="43"/>
    </row>
    <row r="15134" spans="65:67" ht="18.75" customHeight="1">
      <c r="BM15134" s="1025"/>
      <c r="BO15134" s="43"/>
    </row>
    <row r="15135" spans="65:67" ht="18.75" customHeight="1">
      <c r="BM15135" s="1025"/>
      <c r="BO15135" s="43"/>
    </row>
    <row r="15136" spans="65:67" ht="18.75" customHeight="1">
      <c r="BM15136" s="1025"/>
      <c r="BO15136" s="43"/>
    </row>
    <row r="15137" spans="65:67" ht="18.75" customHeight="1">
      <c r="BM15137" s="1025"/>
      <c r="BO15137" s="43"/>
    </row>
    <row r="15138" spans="65:67" ht="18.75" customHeight="1">
      <c r="BM15138" s="1025"/>
      <c r="BO15138" s="43"/>
    </row>
    <row r="15139" spans="65:67" ht="18.75" customHeight="1">
      <c r="BM15139" s="1025"/>
      <c r="BO15139" s="43"/>
    </row>
    <row r="15140" spans="65:67" ht="18.75" customHeight="1">
      <c r="BM15140" s="1025"/>
      <c r="BO15140" s="43"/>
    </row>
    <row r="15141" spans="65:67" ht="18.75" customHeight="1">
      <c r="BM15141" s="1025"/>
      <c r="BO15141" s="43"/>
    </row>
    <row r="15142" spans="65:67" ht="18.75" customHeight="1">
      <c r="BM15142" s="1025"/>
      <c r="BO15142" s="43"/>
    </row>
    <row r="15143" spans="65:67" ht="18.75" customHeight="1">
      <c r="BM15143" s="1025"/>
      <c r="BO15143" s="43"/>
    </row>
    <row r="15144" spans="65:67" ht="18.75" customHeight="1">
      <c r="BM15144" s="1025"/>
      <c r="BO15144" s="43"/>
    </row>
    <row r="15145" spans="65:67" ht="18.75" customHeight="1">
      <c r="BM15145" s="1025"/>
      <c r="BO15145" s="43"/>
    </row>
    <row r="15146" spans="65:67" ht="18.75" customHeight="1">
      <c r="BM15146" s="1025"/>
      <c r="BO15146" s="43"/>
    </row>
    <row r="15147" spans="65:67" ht="18.75" customHeight="1">
      <c r="BM15147" s="1025"/>
      <c r="BO15147" s="43"/>
    </row>
    <row r="15148" spans="65:67" ht="18.75" customHeight="1">
      <c r="BM15148" s="1025"/>
      <c r="BO15148" s="43"/>
    </row>
    <row r="15149" spans="65:67" ht="18.75" customHeight="1">
      <c r="BM15149" s="1025"/>
      <c r="BO15149" s="43"/>
    </row>
    <row r="15150" spans="65:67" ht="18.75" customHeight="1">
      <c r="BM15150" s="1025"/>
      <c r="BO15150" s="43"/>
    </row>
    <row r="15151" spans="65:67" ht="18.75" customHeight="1">
      <c r="BM15151" s="1025"/>
      <c r="BO15151" s="43"/>
    </row>
    <row r="15152" spans="65:67" ht="18.75" customHeight="1">
      <c r="BM15152" s="1025"/>
      <c r="BO15152" s="43"/>
    </row>
    <row r="15153" spans="65:67" ht="18.75" customHeight="1">
      <c r="BM15153" s="1025"/>
      <c r="BO15153" s="43"/>
    </row>
    <row r="15154" spans="65:67" ht="18.75" customHeight="1">
      <c r="BM15154" s="1025"/>
      <c r="BO15154" s="43"/>
    </row>
    <row r="15155" spans="65:67" ht="18.75" customHeight="1">
      <c r="BM15155" s="1025"/>
      <c r="BO15155" s="43"/>
    </row>
    <row r="15156" spans="65:67" ht="18.75" customHeight="1">
      <c r="BM15156" s="1025"/>
      <c r="BO15156" s="43"/>
    </row>
    <row r="15157" spans="65:67" ht="18.75" customHeight="1">
      <c r="BM15157" s="1025"/>
      <c r="BO15157" s="43"/>
    </row>
    <row r="15158" spans="65:67" ht="18.75" customHeight="1">
      <c r="BM15158" s="1025"/>
      <c r="BO15158" s="43"/>
    </row>
    <row r="15159" spans="65:67" ht="18.75" customHeight="1">
      <c r="BM15159" s="1025"/>
      <c r="BO15159" s="43"/>
    </row>
    <row r="15160" spans="65:67" ht="18.75" customHeight="1">
      <c r="BM15160" s="1025"/>
      <c r="BO15160" s="43"/>
    </row>
    <row r="15161" spans="65:67" ht="18.75" customHeight="1">
      <c r="BM15161" s="1025"/>
      <c r="BO15161" s="43"/>
    </row>
    <row r="15162" spans="65:67" ht="18.75" customHeight="1">
      <c r="BM15162" s="1025"/>
      <c r="BO15162" s="43"/>
    </row>
    <row r="15163" spans="65:67" ht="18.75" customHeight="1">
      <c r="BM15163" s="1025"/>
      <c r="BO15163" s="43"/>
    </row>
    <row r="15164" spans="65:67" ht="18.75" customHeight="1">
      <c r="BM15164" s="1025"/>
      <c r="BO15164" s="43"/>
    </row>
    <row r="15165" spans="65:67" ht="18.75" customHeight="1">
      <c r="BM15165" s="1025"/>
      <c r="BO15165" s="43"/>
    </row>
    <row r="15166" spans="65:67" ht="18.75" customHeight="1">
      <c r="BM15166" s="1025"/>
      <c r="BO15166" s="43"/>
    </row>
    <row r="15167" spans="65:67" ht="18.75" customHeight="1">
      <c r="BM15167" s="1025"/>
      <c r="BO15167" s="43"/>
    </row>
    <row r="15168" spans="65:67" ht="18.75" customHeight="1">
      <c r="BM15168" s="1025"/>
      <c r="BO15168" s="43"/>
    </row>
    <row r="15169" spans="65:67" ht="18.75" customHeight="1">
      <c r="BM15169" s="1025"/>
      <c r="BO15169" s="43"/>
    </row>
    <row r="15170" spans="65:67" ht="18.75" customHeight="1">
      <c r="BM15170" s="1025"/>
      <c r="BO15170" s="43"/>
    </row>
    <row r="15171" spans="65:67" ht="18.75" customHeight="1">
      <c r="BM15171" s="1025"/>
      <c r="BO15171" s="43"/>
    </row>
    <row r="15172" spans="65:67" ht="18.75" customHeight="1">
      <c r="BM15172" s="1025"/>
      <c r="BO15172" s="43"/>
    </row>
    <row r="15173" spans="65:67" ht="18.75" customHeight="1">
      <c r="BM15173" s="1025"/>
      <c r="BO15173" s="43"/>
    </row>
    <row r="15174" spans="65:67" ht="18.75" customHeight="1">
      <c r="BM15174" s="1025"/>
      <c r="BO15174" s="43"/>
    </row>
    <row r="15175" spans="65:67" ht="18.75" customHeight="1">
      <c r="BM15175" s="1025"/>
      <c r="BO15175" s="43"/>
    </row>
    <row r="15176" spans="65:67" ht="18.75" customHeight="1">
      <c r="BM15176" s="1025"/>
      <c r="BO15176" s="43"/>
    </row>
    <row r="15177" spans="65:67" ht="18.75" customHeight="1">
      <c r="BM15177" s="1025"/>
      <c r="BO15177" s="43"/>
    </row>
    <row r="15178" spans="65:67" ht="18.75" customHeight="1">
      <c r="BM15178" s="1025"/>
      <c r="BO15178" s="43"/>
    </row>
    <row r="15179" spans="65:67" ht="18.75" customHeight="1">
      <c r="BM15179" s="1025"/>
      <c r="BO15179" s="43"/>
    </row>
    <row r="15180" spans="65:67" ht="18.75" customHeight="1">
      <c r="BM15180" s="1025"/>
      <c r="BO15180" s="43"/>
    </row>
    <row r="15181" spans="65:67" ht="18.75" customHeight="1">
      <c r="BM15181" s="1025"/>
      <c r="BO15181" s="43"/>
    </row>
    <row r="15182" spans="65:67" ht="18.75" customHeight="1">
      <c r="BM15182" s="1025"/>
      <c r="BO15182" s="43"/>
    </row>
    <row r="15183" spans="65:67" ht="18.75" customHeight="1">
      <c r="BM15183" s="1025"/>
      <c r="BO15183" s="43"/>
    </row>
    <row r="15184" spans="65:67" ht="18.75" customHeight="1">
      <c r="BM15184" s="1025"/>
      <c r="BO15184" s="43"/>
    </row>
    <row r="15185" spans="65:67" ht="18.75" customHeight="1">
      <c r="BM15185" s="1025"/>
      <c r="BO15185" s="43"/>
    </row>
    <row r="15186" spans="65:67" ht="18.75" customHeight="1">
      <c r="BM15186" s="1025"/>
      <c r="BO15186" s="43"/>
    </row>
    <row r="15187" spans="65:67" ht="18.75" customHeight="1">
      <c r="BM15187" s="1025"/>
      <c r="BO15187" s="43"/>
    </row>
    <row r="15188" spans="65:67" ht="18.75" customHeight="1">
      <c r="BM15188" s="1025"/>
      <c r="BO15188" s="43"/>
    </row>
    <row r="15189" spans="65:67" ht="18.75" customHeight="1">
      <c r="BM15189" s="1025"/>
      <c r="BO15189" s="43"/>
    </row>
    <row r="15190" spans="65:67" ht="18.75" customHeight="1">
      <c r="BM15190" s="1025"/>
      <c r="BO15190" s="43"/>
    </row>
    <row r="15191" spans="65:67" ht="18.75" customHeight="1">
      <c r="BM15191" s="1025"/>
      <c r="BO15191" s="43"/>
    </row>
    <row r="15192" spans="65:67" ht="18.75" customHeight="1">
      <c r="BM15192" s="1025"/>
      <c r="BO15192" s="43"/>
    </row>
    <row r="15193" spans="65:67" ht="18.75" customHeight="1">
      <c r="BM15193" s="1025"/>
      <c r="BO15193" s="43"/>
    </row>
    <row r="15194" spans="65:67" ht="18.75" customHeight="1">
      <c r="BM15194" s="1025"/>
      <c r="BO15194" s="43"/>
    </row>
    <row r="15195" spans="65:67" ht="18.75" customHeight="1">
      <c r="BM15195" s="1025"/>
      <c r="BO15195" s="43"/>
    </row>
    <row r="15196" spans="65:67" ht="18.75" customHeight="1">
      <c r="BM15196" s="1025"/>
      <c r="BO15196" s="43"/>
    </row>
    <row r="15197" spans="65:67" ht="18.75" customHeight="1">
      <c r="BM15197" s="1025"/>
      <c r="BO15197" s="43"/>
    </row>
    <row r="15198" spans="65:67" ht="18.75" customHeight="1">
      <c r="BM15198" s="1025"/>
      <c r="BO15198" s="43"/>
    </row>
    <row r="15199" spans="65:67" ht="18.75" customHeight="1">
      <c r="BM15199" s="1025"/>
      <c r="BO15199" s="43"/>
    </row>
    <row r="15200" spans="65:67" ht="18.75" customHeight="1">
      <c r="BM15200" s="1025"/>
      <c r="BO15200" s="43"/>
    </row>
    <row r="15201" spans="65:67" ht="18.75" customHeight="1">
      <c r="BM15201" s="1025"/>
      <c r="BO15201" s="43"/>
    </row>
    <row r="15202" spans="65:67" ht="18.75" customHeight="1">
      <c r="BM15202" s="1025"/>
      <c r="BO15202" s="43"/>
    </row>
    <row r="15203" spans="65:67" ht="18.75" customHeight="1">
      <c r="BM15203" s="1025"/>
      <c r="BO15203" s="43"/>
    </row>
    <row r="15204" spans="65:67" ht="18.75" customHeight="1">
      <c r="BM15204" s="1025"/>
      <c r="BO15204" s="43"/>
    </row>
    <row r="15205" spans="65:67" ht="18.75" customHeight="1">
      <c r="BM15205" s="1025"/>
      <c r="BO15205" s="43"/>
    </row>
    <row r="15206" spans="65:67" ht="18.75" customHeight="1">
      <c r="BM15206" s="1025"/>
      <c r="BO15206" s="43"/>
    </row>
    <row r="15207" spans="65:67" ht="18.75" customHeight="1">
      <c r="BM15207" s="1025"/>
      <c r="BO15207" s="43"/>
    </row>
    <row r="15208" spans="65:67" ht="18.75" customHeight="1">
      <c r="BM15208" s="1025"/>
      <c r="BO15208" s="43"/>
    </row>
    <row r="15209" spans="65:67" ht="18.75" customHeight="1">
      <c r="BM15209" s="1025"/>
      <c r="BO15209" s="43"/>
    </row>
    <row r="15210" spans="65:67" ht="18.75" customHeight="1">
      <c r="BM15210" s="1025"/>
      <c r="BO15210" s="43"/>
    </row>
    <row r="15211" spans="65:67" ht="18.75" customHeight="1">
      <c r="BM15211" s="1025"/>
      <c r="BO15211" s="43"/>
    </row>
    <row r="15212" spans="65:67" ht="18.75" customHeight="1">
      <c r="BM15212" s="1025"/>
      <c r="BO15212" s="43"/>
    </row>
    <row r="15213" spans="65:67" ht="18.75" customHeight="1">
      <c r="BM15213" s="1025"/>
      <c r="BO15213" s="43"/>
    </row>
    <row r="15214" spans="65:67" ht="18.75" customHeight="1">
      <c r="BM15214" s="1025"/>
      <c r="BO15214" s="43"/>
    </row>
    <row r="15215" spans="65:67" ht="18.75" customHeight="1">
      <c r="BM15215" s="1025"/>
      <c r="BO15215" s="43"/>
    </row>
    <row r="15216" spans="65:67" ht="18.75" customHeight="1">
      <c r="BM15216" s="1025"/>
      <c r="BO15216" s="43"/>
    </row>
    <row r="15217" spans="65:67" ht="18.75" customHeight="1">
      <c r="BM15217" s="1025"/>
      <c r="BO15217" s="43"/>
    </row>
    <row r="15218" spans="65:67" ht="18.75" customHeight="1">
      <c r="BM15218" s="1025"/>
      <c r="BO15218" s="43"/>
    </row>
    <row r="15219" spans="65:67" ht="18.75" customHeight="1">
      <c r="BM15219" s="1025"/>
      <c r="BO15219" s="43"/>
    </row>
    <row r="15220" spans="65:67" ht="18.75" customHeight="1">
      <c r="BM15220" s="1025"/>
      <c r="BO15220" s="43"/>
    </row>
    <row r="15221" spans="65:67" ht="18.75" customHeight="1">
      <c r="BM15221" s="1025"/>
      <c r="BO15221" s="43"/>
    </row>
    <row r="15222" spans="65:67" ht="18.75" customHeight="1">
      <c r="BM15222" s="1025"/>
      <c r="BO15222" s="43"/>
    </row>
    <row r="15223" spans="65:67" ht="18.75" customHeight="1">
      <c r="BM15223" s="1025"/>
      <c r="BO15223" s="43"/>
    </row>
    <row r="15224" spans="65:67" ht="18.75" customHeight="1">
      <c r="BM15224" s="1025"/>
      <c r="BO15224" s="43"/>
    </row>
    <row r="15225" spans="65:67" ht="18.75" customHeight="1">
      <c r="BM15225" s="1025"/>
      <c r="BO15225" s="43"/>
    </row>
    <row r="15226" spans="65:67" ht="18.75" customHeight="1">
      <c r="BM15226" s="1025"/>
      <c r="BO15226" s="43"/>
    </row>
    <row r="15227" spans="65:67" ht="18.75" customHeight="1">
      <c r="BM15227" s="1025"/>
      <c r="BO15227" s="43"/>
    </row>
    <row r="15228" spans="65:67" ht="18.75" customHeight="1">
      <c r="BM15228" s="1025"/>
      <c r="BO15228" s="43"/>
    </row>
    <row r="15229" spans="65:67" ht="18.75" customHeight="1">
      <c r="BM15229" s="1025"/>
      <c r="BO15229" s="43"/>
    </row>
    <row r="15230" spans="65:67" ht="18.75" customHeight="1">
      <c r="BM15230" s="1025"/>
      <c r="BO15230" s="43"/>
    </row>
    <row r="15231" spans="65:67" ht="18.75" customHeight="1">
      <c r="BM15231" s="1025"/>
      <c r="BO15231" s="43"/>
    </row>
    <row r="15232" spans="65:67" ht="18.75" customHeight="1">
      <c r="BM15232" s="1025"/>
      <c r="BO15232" s="43"/>
    </row>
    <row r="15233" spans="65:67" ht="18.75" customHeight="1">
      <c r="BM15233" s="1025"/>
      <c r="BO15233" s="43"/>
    </row>
    <row r="15234" spans="65:67" ht="18.75" customHeight="1">
      <c r="BM15234" s="1025"/>
      <c r="BO15234" s="43"/>
    </row>
    <row r="15235" spans="65:67" ht="18.75" customHeight="1">
      <c r="BM15235" s="1025"/>
      <c r="BO15235" s="43"/>
    </row>
    <row r="15236" spans="65:67" ht="18.75" customHeight="1">
      <c r="BM15236" s="1025"/>
      <c r="BO15236" s="43"/>
    </row>
    <row r="15237" spans="65:67" ht="18.75" customHeight="1">
      <c r="BM15237" s="1025"/>
      <c r="BO15237" s="43"/>
    </row>
    <row r="15238" spans="65:67" ht="18.75" customHeight="1">
      <c r="BM15238" s="1025"/>
      <c r="BO15238" s="43"/>
    </row>
    <row r="15239" spans="65:67" ht="18.75" customHeight="1">
      <c r="BM15239" s="1025"/>
      <c r="BO15239" s="43"/>
    </row>
    <row r="15240" spans="65:67" ht="18.75" customHeight="1">
      <c r="BM15240" s="1025"/>
      <c r="BO15240" s="43"/>
    </row>
    <row r="15241" spans="65:67" ht="18.75" customHeight="1">
      <c r="BM15241" s="1025"/>
      <c r="BO15241" s="43"/>
    </row>
    <row r="15242" spans="65:67" ht="18.75" customHeight="1">
      <c r="BM15242" s="1025"/>
      <c r="BO15242" s="43"/>
    </row>
    <row r="15243" spans="65:67" ht="18.75" customHeight="1">
      <c r="BM15243" s="1025"/>
      <c r="BO15243" s="43"/>
    </row>
    <row r="15244" spans="65:67" ht="18.75" customHeight="1">
      <c r="BM15244" s="1025"/>
      <c r="BO15244" s="43"/>
    </row>
    <row r="15245" spans="65:67" ht="18.75" customHeight="1">
      <c r="BM15245" s="1025"/>
      <c r="BO15245" s="43"/>
    </row>
    <row r="15246" spans="65:67" ht="18.75" customHeight="1">
      <c r="BM15246" s="1025"/>
      <c r="BO15246" s="43"/>
    </row>
    <row r="15247" spans="65:67" ht="18.75" customHeight="1">
      <c r="BM15247" s="1025"/>
      <c r="BO15247" s="43"/>
    </row>
    <row r="15248" spans="65:67" ht="18.75" customHeight="1">
      <c r="BM15248" s="1025"/>
      <c r="BO15248" s="43"/>
    </row>
    <row r="15249" spans="65:67" ht="18.75" customHeight="1">
      <c r="BM15249" s="1025"/>
      <c r="BO15249" s="43"/>
    </row>
    <row r="15250" spans="65:67" ht="18.75" customHeight="1">
      <c r="BM15250" s="1025"/>
      <c r="BO15250" s="43"/>
    </row>
    <row r="15251" spans="65:67" ht="18.75" customHeight="1">
      <c r="BM15251" s="1025"/>
      <c r="BO15251" s="43"/>
    </row>
    <row r="15252" spans="65:67" ht="18.75" customHeight="1">
      <c r="BM15252" s="1025"/>
      <c r="BO15252" s="43"/>
    </row>
    <row r="15253" spans="65:67" ht="18.75" customHeight="1">
      <c r="BM15253" s="1025"/>
      <c r="BO15253" s="43"/>
    </row>
    <row r="15254" spans="65:67" ht="18.75" customHeight="1">
      <c r="BM15254" s="1025"/>
      <c r="BO15254" s="43"/>
    </row>
    <row r="15255" spans="65:67" ht="18.75" customHeight="1">
      <c r="BM15255" s="1025"/>
      <c r="BO15255" s="43"/>
    </row>
    <row r="15256" spans="65:67" ht="18.75" customHeight="1">
      <c r="BM15256" s="1025"/>
      <c r="BO15256" s="43"/>
    </row>
    <row r="15257" spans="65:67" ht="18.75" customHeight="1">
      <c r="BM15257" s="1025"/>
      <c r="BO15257" s="43"/>
    </row>
    <row r="15258" spans="65:67" ht="18.75" customHeight="1">
      <c r="BM15258" s="1025"/>
      <c r="BO15258" s="43"/>
    </row>
    <row r="15259" spans="65:67" ht="18.75" customHeight="1">
      <c r="BM15259" s="1025"/>
      <c r="BO15259" s="43"/>
    </row>
    <row r="15260" spans="65:67" ht="18.75" customHeight="1">
      <c r="BM15260" s="1025"/>
      <c r="BO15260" s="43"/>
    </row>
    <row r="15261" spans="65:67" ht="18.75" customHeight="1">
      <c r="BM15261" s="1025"/>
      <c r="BO15261" s="43"/>
    </row>
    <row r="15262" spans="65:67" ht="18.75" customHeight="1">
      <c r="BM15262" s="1025"/>
      <c r="BO15262" s="43"/>
    </row>
    <row r="15263" spans="65:67" ht="18.75" customHeight="1">
      <c r="BM15263" s="1025"/>
      <c r="BO15263" s="43"/>
    </row>
    <row r="15264" spans="65:67" ht="18.75" customHeight="1">
      <c r="BM15264" s="1025"/>
      <c r="BO15264" s="43"/>
    </row>
    <row r="15265" spans="65:67" ht="18.75" customHeight="1">
      <c r="BM15265" s="1025"/>
      <c r="BO15265" s="43"/>
    </row>
    <row r="15266" spans="65:67" ht="18.75" customHeight="1">
      <c r="BM15266" s="1025"/>
      <c r="BO15266" s="43"/>
    </row>
    <row r="15267" spans="65:67" ht="18.75" customHeight="1">
      <c r="BM15267" s="1025"/>
      <c r="BO15267" s="43"/>
    </row>
    <row r="15268" spans="65:67" ht="18.75" customHeight="1">
      <c r="BM15268" s="1025"/>
      <c r="BO15268" s="43"/>
    </row>
    <row r="15269" spans="65:67" ht="18.75" customHeight="1">
      <c r="BM15269" s="1025"/>
      <c r="BO15269" s="43"/>
    </row>
    <row r="15270" spans="65:67" ht="18.75" customHeight="1">
      <c r="BM15270" s="1025"/>
      <c r="BO15270" s="43"/>
    </row>
    <row r="15271" spans="65:67" ht="18.75" customHeight="1">
      <c r="BM15271" s="1025"/>
      <c r="BO15271" s="43"/>
    </row>
    <row r="15272" spans="65:67" ht="18.75" customHeight="1">
      <c r="BM15272" s="1025"/>
      <c r="BO15272" s="43"/>
    </row>
    <row r="15273" spans="65:67" ht="18.75" customHeight="1">
      <c r="BM15273" s="1025"/>
      <c r="BO15273" s="43"/>
    </row>
    <row r="15274" spans="65:67" ht="18.75" customHeight="1">
      <c r="BM15274" s="1025"/>
      <c r="BO15274" s="43"/>
    </row>
    <row r="15275" spans="65:67" ht="18.75" customHeight="1">
      <c r="BM15275" s="1025"/>
      <c r="BO15275" s="43"/>
    </row>
    <row r="15276" spans="65:67" ht="18.75" customHeight="1">
      <c r="BM15276" s="1025"/>
      <c r="BO15276" s="43"/>
    </row>
    <row r="15277" spans="65:67" ht="18.75" customHeight="1">
      <c r="BM15277" s="1025"/>
      <c r="BO15277" s="43"/>
    </row>
    <row r="15278" spans="65:67" ht="18.75" customHeight="1">
      <c r="BM15278" s="1025"/>
      <c r="BO15278" s="43"/>
    </row>
    <row r="15279" spans="65:67" ht="18.75" customHeight="1">
      <c r="BM15279" s="1025"/>
      <c r="BO15279" s="43"/>
    </row>
    <row r="15280" spans="65:67" ht="18.75" customHeight="1">
      <c r="BM15280" s="1025"/>
      <c r="BO15280" s="43"/>
    </row>
    <row r="15281" spans="65:67" ht="18.75" customHeight="1">
      <c r="BM15281" s="1025"/>
      <c r="BO15281" s="43"/>
    </row>
    <row r="15282" spans="65:67" ht="18.75" customHeight="1">
      <c r="BM15282" s="1025"/>
      <c r="BO15282" s="43"/>
    </row>
    <row r="15283" spans="65:67" ht="18.75" customHeight="1">
      <c r="BM15283" s="1025"/>
      <c r="BO15283" s="43"/>
    </row>
    <row r="15284" spans="65:67" ht="18.75" customHeight="1">
      <c r="BM15284" s="1025"/>
      <c r="BO15284" s="43"/>
    </row>
    <row r="15285" spans="65:67" ht="18.75" customHeight="1">
      <c r="BM15285" s="1025"/>
      <c r="BO15285" s="43"/>
    </row>
    <row r="15286" spans="65:67" ht="18.75" customHeight="1">
      <c r="BM15286" s="1025"/>
      <c r="BO15286" s="43"/>
    </row>
    <row r="15287" spans="65:67" ht="18.75" customHeight="1">
      <c r="BM15287" s="1025"/>
      <c r="BO15287" s="43"/>
    </row>
    <row r="15288" spans="65:67" ht="18.75" customHeight="1">
      <c r="BM15288" s="1025"/>
      <c r="BO15288" s="43"/>
    </row>
    <row r="15289" spans="65:67" ht="18.75" customHeight="1">
      <c r="BM15289" s="1025"/>
      <c r="BO15289" s="43"/>
    </row>
    <row r="15290" spans="65:67" ht="18.75" customHeight="1">
      <c r="BM15290" s="1025"/>
      <c r="BO15290" s="43"/>
    </row>
    <row r="15291" spans="65:67" ht="18.75" customHeight="1">
      <c r="BM15291" s="1025"/>
      <c r="BO15291" s="43"/>
    </row>
    <row r="15292" spans="65:67" ht="18.75" customHeight="1">
      <c r="BM15292" s="1025"/>
      <c r="BO15292" s="43"/>
    </row>
    <row r="15293" spans="65:67" ht="18.75" customHeight="1">
      <c r="BM15293" s="1025"/>
      <c r="BO15293" s="43"/>
    </row>
    <row r="15294" spans="65:67" ht="18.75" customHeight="1">
      <c r="BM15294" s="1025"/>
      <c r="BO15294" s="43"/>
    </row>
    <row r="15295" spans="65:67" ht="18.75" customHeight="1">
      <c r="BM15295" s="1025"/>
      <c r="BO15295" s="43"/>
    </row>
    <row r="15296" spans="65:67" ht="18.75" customHeight="1">
      <c r="BM15296" s="1025"/>
      <c r="BO15296" s="43"/>
    </row>
    <row r="15297" spans="65:67" ht="18.75" customHeight="1">
      <c r="BM15297" s="1025"/>
      <c r="BO15297" s="43"/>
    </row>
    <row r="15298" spans="65:67" ht="18.75" customHeight="1">
      <c r="BM15298" s="1025"/>
      <c r="BO15298" s="43"/>
    </row>
    <row r="15299" spans="65:67" ht="18.75" customHeight="1">
      <c r="BM15299" s="1025"/>
      <c r="BO15299" s="43"/>
    </row>
    <row r="15300" spans="65:67" ht="18.75" customHeight="1">
      <c r="BM15300" s="1025"/>
      <c r="BO15300" s="43"/>
    </row>
    <row r="15301" spans="65:67" ht="18.75" customHeight="1">
      <c r="BM15301" s="1025"/>
      <c r="BO15301" s="43"/>
    </row>
    <row r="15302" spans="65:67" ht="18.75" customHeight="1">
      <c r="BM15302" s="1025"/>
      <c r="BO15302" s="43"/>
    </row>
    <row r="15303" spans="65:67" ht="18.75" customHeight="1">
      <c r="BM15303" s="1025"/>
      <c r="BO15303" s="43"/>
    </row>
    <row r="15304" spans="65:67" ht="18.75" customHeight="1">
      <c r="BM15304" s="1025"/>
      <c r="BO15304" s="43"/>
    </row>
    <row r="15305" spans="65:67" ht="18.75" customHeight="1">
      <c r="BM15305" s="1025"/>
      <c r="BO15305" s="43"/>
    </row>
    <row r="15306" spans="65:67" ht="18.75" customHeight="1">
      <c r="BM15306" s="1025"/>
      <c r="BO15306" s="43"/>
    </row>
    <row r="15307" spans="65:67" ht="18.75" customHeight="1">
      <c r="BM15307" s="1025"/>
      <c r="BO15307" s="43"/>
    </row>
    <row r="15308" spans="65:67" ht="18.75" customHeight="1">
      <c r="BM15308" s="1025"/>
      <c r="BO15308" s="43"/>
    </row>
    <row r="15309" spans="65:67" ht="18.75" customHeight="1">
      <c r="BM15309" s="1025"/>
      <c r="BO15309" s="43"/>
    </row>
    <row r="15310" spans="65:67" ht="18.75" customHeight="1">
      <c r="BM15310" s="1025"/>
      <c r="BO15310" s="43"/>
    </row>
    <row r="15311" spans="65:67" ht="18.75" customHeight="1">
      <c r="BM15311" s="1025"/>
      <c r="BO15311" s="43"/>
    </row>
    <row r="15312" spans="65:67" ht="18.75" customHeight="1">
      <c r="BM15312" s="1025"/>
      <c r="BO15312" s="43"/>
    </row>
    <row r="15313" spans="65:67" ht="18.75" customHeight="1">
      <c r="BM15313" s="1025"/>
      <c r="BO15313" s="43"/>
    </row>
    <row r="15314" spans="65:67" ht="18.75" customHeight="1">
      <c r="BM15314" s="1025"/>
      <c r="BO15314" s="43"/>
    </row>
    <row r="15315" spans="65:67" ht="18.75" customHeight="1">
      <c r="BM15315" s="1025"/>
      <c r="BO15315" s="43"/>
    </row>
    <row r="15316" spans="65:67" ht="18.75" customHeight="1">
      <c r="BM15316" s="1025"/>
      <c r="BO15316" s="43"/>
    </row>
    <row r="15317" spans="65:67" ht="18.75" customHeight="1">
      <c r="BM15317" s="1025"/>
      <c r="BO15317" s="43"/>
    </row>
    <row r="15318" spans="65:67" ht="18.75" customHeight="1">
      <c r="BM15318" s="1025"/>
      <c r="BO15318" s="43"/>
    </row>
    <row r="15319" spans="65:67" ht="18.75" customHeight="1">
      <c r="BM15319" s="1025"/>
      <c r="BO15319" s="43"/>
    </row>
    <row r="15320" spans="65:67" ht="18.75" customHeight="1">
      <c r="BM15320" s="1025"/>
      <c r="BO15320" s="43"/>
    </row>
    <row r="15321" spans="65:67" ht="18.75" customHeight="1">
      <c r="BM15321" s="1025"/>
      <c r="BO15321" s="43"/>
    </row>
    <row r="15322" spans="65:67" ht="18.75" customHeight="1">
      <c r="BM15322" s="1025"/>
      <c r="BO15322" s="43"/>
    </row>
    <row r="15323" spans="65:67" ht="18.75" customHeight="1">
      <c r="BM15323" s="1025"/>
      <c r="BO15323" s="43"/>
    </row>
    <row r="15324" spans="65:67" ht="18.75" customHeight="1">
      <c r="BM15324" s="1025"/>
      <c r="BO15324" s="43"/>
    </row>
    <row r="15325" spans="65:67" ht="18.75" customHeight="1">
      <c r="BM15325" s="1025"/>
      <c r="BO15325" s="43"/>
    </row>
    <row r="15326" spans="65:67" ht="18.75" customHeight="1">
      <c r="BM15326" s="1025"/>
      <c r="BO15326" s="43"/>
    </row>
    <row r="15327" spans="65:67" ht="18.75" customHeight="1">
      <c r="BM15327" s="1025"/>
      <c r="BO15327" s="43"/>
    </row>
    <row r="15328" spans="65:67" ht="18.75" customHeight="1">
      <c r="BM15328" s="1025"/>
      <c r="BO15328" s="43"/>
    </row>
    <row r="15329" spans="65:67" ht="18.75" customHeight="1">
      <c r="BM15329" s="1025"/>
      <c r="BO15329" s="43"/>
    </row>
    <row r="15330" spans="65:67" ht="18.75" customHeight="1">
      <c r="BM15330" s="1025"/>
      <c r="BO15330" s="43"/>
    </row>
    <row r="15331" spans="65:67" ht="18.75" customHeight="1">
      <c r="BM15331" s="1025"/>
      <c r="BO15331" s="43"/>
    </row>
    <row r="15332" spans="65:67" ht="18.75" customHeight="1">
      <c r="BM15332" s="1025"/>
      <c r="BO15332" s="43"/>
    </row>
    <row r="15333" spans="65:67" ht="18.75" customHeight="1">
      <c r="BM15333" s="1025"/>
      <c r="BO15333" s="43"/>
    </row>
    <row r="15334" spans="65:67" ht="18.75" customHeight="1">
      <c r="BM15334" s="1025"/>
      <c r="BO15334" s="43"/>
    </row>
    <row r="15335" spans="65:67" ht="18.75" customHeight="1">
      <c r="BM15335" s="1025"/>
      <c r="BO15335" s="43"/>
    </row>
    <row r="15336" spans="65:67" ht="18.75" customHeight="1">
      <c r="BM15336" s="1025"/>
      <c r="BO15336" s="43"/>
    </row>
    <row r="15337" spans="65:67" ht="18.75" customHeight="1">
      <c r="BM15337" s="1025"/>
      <c r="BO15337" s="43"/>
    </row>
    <row r="15338" spans="65:67" ht="18.75" customHeight="1">
      <c r="BM15338" s="1025"/>
      <c r="BO15338" s="43"/>
    </row>
    <row r="15339" spans="65:67" ht="18.75" customHeight="1">
      <c r="BM15339" s="1025"/>
      <c r="BO15339" s="43"/>
    </row>
    <row r="15340" spans="65:67" ht="18.75" customHeight="1">
      <c r="BM15340" s="1025"/>
      <c r="BO15340" s="43"/>
    </row>
    <row r="15341" spans="65:67" ht="18.75" customHeight="1">
      <c r="BM15341" s="1025"/>
      <c r="BO15341" s="43"/>
    </row>
    <row r="15342" spans="65:67" ht="18.75" customHeight="1">
      <c r="BM15342" s="1025"/>
      <c r="BO15342" s="43"/>
    </row>
    <row r="15343" spans="65:67" ht="18.75" customHeight="1">
      <c r="BM15343" s="1025"/>
      <c r="BO15343" s="43"/>
    </row>
    <row r="15344" spans="65:67" ht="18.75" customHeight="1">
      <c r="BM15344" s="1025"/>
      <c r="BO15344" s="43"/>
    </row>
    <row r="15345" spans="65:67" ht="18.75" customHeight="1">
      <c r="BM15345" s="1025"/>
      <c r="BO15345" s="43"/>
    </row>
    <row r="15346" spans="65:67" ht="18.75" customHeight="1">
      <c r="BM15346" s="1025"/>
      <c r="BO15346" s="43"/>
    </row>
    <row r="15347" spans="65:67" ht="18.75" customHeight="1">
      <c r="BM15347" s="1025"/>
      <c r="BO15347" s="43"/>
    </row>
    <row r="15348" spans="65:67" ht="18.75" customHeight="1">
      <c r="BM15348" s="1025"/>
      <c r="BO15348" s="43"/>
    </row>
    <row r="15349" spans="65:67" ht="18.75" customHeight="1">
      <c r="BM15349" s="1025"/>
      <c r="BO15349" s="43"/>
    </row>
    <row r="15350" spans="65:67" ht="18.75" customHeight="1">
      <c r="BM15350" s="1025"/>
      <c r="BO15350" s="43"/>
    </row>
    <row r="15351" spans="65:67" ht="18.75" customHeight="1">
      <c r="BM15351" s="1025"/>
      <c r="BO15351" s="43"/>
    </row>
    <row r="15352" spans="65:67" ht="18.75" customHeight="1">
      <c r="BM15352" s="1025"/>
      <c r="BO15352" s="43"/>
    </row>
    <row r="15353" spans="65:67" ht="18.75" customHeight="1">
      <c r="BM15353" s="1025"/>
      <c r="BO15353" s="43"/>
    </row>
    <row r="15354" spans="65:67" ht="18.75" customHeight="1">
      <c r="BM15354" s="1025"/>
      <c r="BO15354" s="43"/>
    </row>
    <row r="15355" spans="65:67" ht="18.75" customHeight="1">
      <c r="BM15355" s="1025"/>
      <c r="BO15355" s="43"/>
    </row>
    <row r="15356" spans="65:67" ht="18.75" customHeight="1">
      <c r="BM15356" s="1025"/>
      <c r="BO15356" s="43"/>
    </row>
    <row r="15357" spans="65:67" ht="18.75" customHeight="1">
      <c r="BM15357" s="1025"/>
      <c r="BO15357" s="43"/>
    </row>
    <row r="15358" spans="65:67" ht="18.75" customHeight="1">
      <c r="BM15358" s="1025"/>
      <c r="BO15358" s="43"/>
    </row>
    <row r="15359" spans="65:67" ht="18.75" customHeight="1">
      <c r="BM15359" s="1025"/>
      <c r="BO15359" s="43"/>
    </row>
    <row r="15360" spans="65:67" ht="18.75" customHeight="1">
      <c r="BM15360" s="1025"/>
      <c r="BO15360" s="43"/>
    </row>
    <row r="15361" spans="65:67" ht="18.75" customHeight="1">
      <c r="BM15361" s="1025"/>
      <c r="BO15361" s="43"/>
    </row>
    <row r="15362" spans="65:67" ht="18.75" customHeight="1">
      <c r="BM15362" s="1025"/>
      <c r="BO15362" s="43"/>
    </row>
    <row r="15363" spans="65:67" ht="18.75" customHeight="1">
      <c r="BM15363" s="1025"/>
      <c r="BO15363" s="43"/>
    </row>
    <row r="15364" spans="65:67" ht="18.75" customHeight="1">
      <c r="BM15364" s="1025"/>
      <c r="BO15364" s="43"/>
    </row>
    <row r="15365" spans="65:67" ht="18.75" customHeight="1">
      <c r="BM15365" s="1025"/>
      <c r="BO15365" s="43"/>
    </row>
    <row r="15366" spans="65:67" ht="18.75" customHeight="1">
      <c r="BM15366" s="1025"/>
      <c r="BO15366" s="43"/>
    </row>
    <row r="15367" spans="65:67" ht="18.75" customHeight="1">
      <c r="BM15367" s="1025"/>
      <c r="BO15367" s="43"/>
    </row>
    <row r="15368" spans="65:67" ht="18.75" customHeight="1">
      <c r="BM15368" s="1025"/>
      <c r="BO15368" s="43"/>
    </row>
    <row r="15369" spans="65:67" ht="18.75" customHeight="1">
      <c r="BM15369" s="1025"/>
      <c r="BO15369" s="43"/>
    </row>
    <row r="15370" spans="65:67" ht="18.75" customHeight="1">
      <c r="BM15370" s="1025"/>
      <c r="BO15370" s="43"/>
    </row>
    <row r="15371" spans="65:67" ht="18.75" customHeight="1">
      <c r="BM15371" s="1025"/>
      <c r="BO15371" s="43"/>
    </row>
    <row r="15372" spans="65:67" ht="18.75" customHeight="1">
      <c r="BM15372" s="1025"/>
      <c r="BO15372" s="43"/>
    </row>
    <row r="15373" spans="65:67" ht="18.75" customHeight="1">
      <c r="BM15373" s="1025"/>
      <c r="BO15373" s="43"/>
    </row>
    <row r="15374" spans="65:67" ht="18.75" customHeight="1">
      <c r="BM15374" s="1025"/>
      <c r="BO15374" s="43"/>
    </row>
    <row r="15375" spans="65:67" ht="18.75" customHeight="1">
      <c r="BM15375" s="1025"/>
      <c r="BO15375" s="43"/>
    </row>
    <row r="15376" spans="65:67" ht="18.75" customHeight="1">
      <c r="BM15376" s="1025"/>
      <c r="BO15376" s="43"/>
    </row>
    <row r="15377" spans="65:67" ht="18.75" customHeight="1">
      <c r="BM15377" s="1025"/>
      <c r="BO15377" s="43"/>
    </row>
    <row r="15378" spans="65:67" ht="18.75" customHeight="1">
      <c r="BM15378" s="1025"/>
      <c r="BO15378" s="43"/>
    </row>
    <row r="15379" spans="65:67" ht="18.75" customHeight="1">
      <c r="BM15379" s="1025"/>
      <c r="BO15379" s="43"/>
    </row>
    <row r="15380" spans="65:67" ht="18.75" customHeight="1">
      <c r="BM15380" s="1025"/>
      <c r="BO15380" s="43"/>
    </row>
    <row r="15381" spans="65:67" ht="18.75" customHeight="1">
      <c r="BM15381" s="1025"/>
      <c r="BO15381" s="43"/>
    </row>
    <row r="15382" spans="65:67" ht="18.75" customHeight="1">
      <c r="BM15382" s="1025"/>
      <c r="BO15382" s="43"/>
    </row>
    <row r="15383" spans="65:67" ht="18.75" customHeight="1">
      <c r="BM15383" s="1025"/>
      <c r="BO15383" s="43"/>
    </row>
    <row r="15384" spans="65:67" ht="18.75" customHeight="1">
      <c r="BM15384" s="1025"/>
      <c r="BO15384" s="43"/>
    </row>
    <row r="15385" spans="65:67" ht="18.75" customHeight="1">
      <c r="BM15385" s="1025"/>
      <c r="BO15385" s="43"/>
    </row>
    <row r="15386" spans="65:67" ht="18.75" customHeight="1">
      <c r="BM15386" s="1025"/>
      <c r="BO15386" s="43"/>
    </row>
    <row r="15387" spans="65:67" ht="18.75" customHeight="1">
      <c r="BM15387" s="1025"/>
      <c r="BO15387" s="43"/>
    </row>
    <row r="15388" spans="65:67" ht="18.75" customHeight="1">
      <c r="BM15388" s="1025"/>
      <c r="BO15388" s="43"/>
    </row>
    <row r="15389" spans="65:67" ht="18.75" customHeight="1">
      <c r="BM15389" s="1025"/>
      <c r="BO15389" s="43"/>
    </row>
    <row r="15390" spans="65:67" ht="18.75" customHeight="1">
      <c r="BM15390" s="1025"/>
      <c r="BO15390" s="43"/>
    </row>
    <row r="15391" spans="65:67" ht="18.75" customHeight="1">
      <c r="BM15391" s="1025"/>
      <c r="BO15391" s="43"/>
    </row>
    <row r="15392" spans="65:67" ht="18.75" customHeight="1">
      <c r="BM15392" s="1025"/>
      <c r="BO15392" s="43"/>
    </row>
    <row r="15393" spans="65:67" ht="18.75" customHeight="1">
      <c r="BM15393" s="1025"/>
      <c r="BO15393" s="43"/>
    </row>
    <row r="15394" spans="65:67" ht="18.75" customHeight="1">
      <c r="BM15394" s="1025"/>
      <c r="BO15394" s="43"/>
    </row>
    <row r="15395" spans="65:67" ht="18.75" customHeight="1">
      <c r="BM15395" s="1025"/>
      <c r="BO15395" s="43"/>
    </row>
    <row r="15396" spans="65:67" ht="18.75" customHeight="1">
      <c r="BM15396" s="1025"/>
      <c r="BO15396" s="43"/>
    </row>
    <row r="15397" spans="65:67" ht="18.75" customHeight="1">
      <c r="BM15397" s="1025"/>
      <c r="BO15397" s="43"/>
    </row>
    <row r="15398" spans="65:67" ht="18.75" customHeight="1">
      <c r="BM15398" s="1025"/>
      <c r="BO15398" s="43"/>
    </row>
    <row r="15399" spans="65:67" ht="18.75" customHeight="1">
      <c r="BM15399" s="1025"/>
      <c r="BO15399" s="43"/>
    </row>
    <row r="15400" spans="65:67" ht="18.75" customHeight="1">
      <c r="BM15400" s="1025"/>
      <c r="BO15400" s="43"/>
    </row>
    <row r="15401" spans="65:67" ht="18.75" customHeight="1">
      <c r="BM15401" s="1025"/>
      <c r="BO15401" s="43"/>
    </row>
    <row r="15402" spans="65:67" ht="18.75" customHeight="1">
      <c r="BM15402" s="1025"/>
      <c r="BO15402" s="43"/>
    </row>
    <row r="15403" spans="65:67" ht="18.75" customHeight="1">
      <c r="BM15403" s="1025"/>
      <c r="BO15403" s="43"/>
    </row>
    <row r="15404" spans="65:67" ht="18.75" customHeight="1">
      <c r="BM15404" s="1025"/>
      <c r="BO15404" s="43"/>
    </row>
    <row r="15405" spans="65:67" ht="18.75" customHeight="1">
      <c r="BM15405" s="1025"/>
      <c r="BO15405" s="43"/>
    </row>
    <row r="15406" spans="65:67" ht="18.75" customHeight="1">
      <c r="BM15406" s="1025"/>
      <c r="BO15406" s="43"/>
    </row>
    <row r="15407" spans="65:67" ht="18.75" customHeight="1">
      <c r="BM15407" s="1025"/>
      <c r="BO15407" s="43"/>
    </row>
    <row r="15408" spans="65:67" ht="18.75" customHeight="1">
      <c r="BM15408" s="1025"/>
      <c r="BO15408" s="43"/>
    </row>
    <row r="15409" spans="65:67" ht="18.75" customHeight="1">
      <c r="BM15409" s="1025"/>
      <c r="BO15409" s="43"/>
    </row>
    <row r="15410" spans="65:67" ht="18.75" customHeight="1">
      <c r="BM15410" s="1025"/>
      <c r="BO15410" s="43"/>
    </row>
    <row r="15411" spans="65:67" ht="18.75" customHeight="1">
      <c r="BM15411" s="1025"/>
      <c r="BO15411" s="43"/>
    </row>
    <row r="15412" spans="65:67" ht="18.75" customHeight="1">
      <c r="BM15412" s="1025"/>
      <c r="BO15412" s="43"/>
    </row>
    <row r="15413" spans="65:67" ht="18.75" customHeight="1">
      <c r="BM15413" s="1025"/>
      <c r="BO15413" s="43"/>
    </row>
    <row r="15414" spans="65:67" ht="18.75" customHeight="1">
      <c r="BM15414" s="1025"/>
      <c r="BO15414" s="43"/>
    </row>
    <row r="15415" spans="65:67" ht="18.75" customHeight="1">
      <c r="BM15415" s="1025"/>
      <c r="BO15415" s="43"/>
    </row>
    <row r="15416" spans="65:67" ht="18.75" customHeight="1">
      <c r="BM15416" s="1025"/>
      <c r="BO15416" s="43"/>
    </row>
    <row r="15417" spans="65:67" ht="18.75" customHeight="1">
      <c r="BM15417" s="1025"/>
      <c r="BO15417" s="43"/>
    </row>
    <row r="15418" spans="65:67" ht="18.75" customHeight="1">
      <c r="BM15418" s="1025"/>
      <c r="BO15418" s="43"/>
    </row>
    <row r="15419" spans="65:67" ht="18.75" customHeight="1">
      <c r="BM15419" s="1025"/>
      <c r="BO15419" s="43"/>
    </row>
    <row r="15420" spans="65:67" ht="18.75" customHeight="1">
      <c r="BM15420" s="1025"/>
      <c r="BO15420" s="43"/>
    </row>
    <row r="15421" spans="65:67" ht="18.75" customHeight="1">
      <c r="BM15421" s="1025"/>
      <c r="BO15421" s="43"/>
    </row>
    <row r="15422" spans="65:67" ht="18.75" customHeight="1">
      <c r="BM15422" s="1025"/>
      <c r="BO15422" s="43"/>
    </row>
    <row r="15423" spans="65:67" ht="18.75" customHeight="1">
      <c r="BM15423" s="1025"/>
      <c r="BO15423" s="43"/>
    </row>
    <row r="15424" spans="65:67" ht="18.75" customHeight="1">
      <c r="BM15424" s="1025"/>
      <c r="BO15424" s="43"/>
    </row>
    <row r="15425" spans="65:67" ht="18.75" customHeight="1">
      <c r="BM15425" s="1025"/>
      <c r="BO15425" s="43"/>
    </row>
    <row r="15426" spans="65:67" ht="18.75" customHeight="1">
      <c r="BM15426" s="1025"/>
      <c r="BO15426" s="43"/>
    </row>
    <row r="15427" spans="65:67" ht="18.75" customHeight="1">
      <c r="BM15427" s="1025"/>
      <c r="BO15427" s="43"/>
    </row>
    <row r="15428" spans="65:67" ht="18.75" customHeight="1">
      <c r="BM15428" s="1025"/>
      <c r="BO15428" s="43"/>
    </row>
    <row r="15429" spans="65:67" ht="18.75" customHeight="1">
      <c r="BM15429" s="1025"/>
      <c r="BO15429" s="43"/>
    </row>
    <row r="15430" spans="65:67" ht="18.75" customHeight="1">
      <c r="BM15430" s="1025"/>
      <c r="BO15430" s="43"/>
    </row>
    <row r="15431" spans="65:67" ht="18.75" customHeight="1">
      <c r="BM15431" s="1025"/>
      <c r="BO15431" s="43"/>
    </row>
    <row r="15432" spans="65:67" ht="18.75" customHeight="1">
      <c r="BM15432" s="1025"/>
      <c r="BO15432" s="43"/>
    </row>
    <row r="15433" spans="65:67" ht="18.75" customHeight="1">
      <c r="BM15433" s="1025"/>
      <c r="BO15433" s="43"/>
    </row>
    <row r="15434" spans="65:67" ht="18.75" customHeight="1">
      <c r="BM15434" s="1025"/>
      <c r="BO15434" s="43"/>
    </row>
    <row r="15435" spans="65:67" ht="18.75" customHeight="1">
      <c r="BM15435" s="1025"/>
      <c r="BO15435" s="43"/>
    </row>
    <row r="15436" spans="65:67" ht="18.75" customHeight="1">
      <c r="BM15436" s="1025"/>
      <c r="BO15436" s="43"/>
    </row>
    <row r="15437" spans="65:67" ht="18.75" customHeight="1">
      <c r="BM15437" s="1025"/>
      <c r="BO15437" s="43"/>
    </row>
    <row r="15438" spans="65:67" ht="18.75" customHeight="1">
      <c r="BM15438" s="1025"/>
      <c r="BO15438" s="43"/>
    </row>
    <row r="15439" spans="65:67" ht="18.75" customHeight="1">
      <c r="BM15439" s="1025"/>
      <c r="BO15439" s="43"/>
    </row>
    <row r="15440" spans="65:67" ht="18.75" customHeight="1">
      <c r="BM15440" s="1025"/>
      <c r="BO15440" s="43"/>
    </row>
    <row r="15441" spans="65:67" ht="18.75" customHeight="1">
      <c r="BM15441" s="1025"/>
      <c r="BO15441" s="43"/>
    </row>
    <row r="15442" spans="65:67" ht="18.75" customHeight="1">
      <c r="BM15442" s="1025"/>
      <c r="BO15442" s="43"/>
    </row>
    <row r="15443" spans="65:67" ht="18.75" customHeight="1">
      <c r="BM15443" s="1025"/>
      <c r="BO15443" s="43"/>
    </row>
    <row r="15444" spans="65:67" ht="18.75" customHeight="1">
      <c r="BM15444" s="1025"/>
      <c r="BO15444" s="43"/>
    </row>
    <row r="15445" spans="65:67" ht="18.75" customHeight="1">
      <c r="BM15445" s="1025"/>
      <c r="BO15445" s="43"/>
    </row>
    <row r="15446" spans="65:67" ht="18.75" customHeight="1">
      <c r="BM15446" s="1025"/>
      <c r="BO15446" s="43"/>
    </row>
    <row r="15447" spans="65:67" ht="18.75" customHeight="1">
      <c r="BM15447" s="1025"/>
      <c r="BO15447" s="43"/>
    </row>
    <row r="15448" spans="65:67" ht="18.75" customHeight="1">
      <c r="BM15448" s="1025"/>
      <c r="BO15448" s="43"/>
    </row>
    <row r="15449" spans="65:67" ht="18.75" customHeight="1">
      <c r="BM15449" s="1025"/>
      <c r="BO15449" s="43"/>
    </row>
    <row r="15450" spans="65:67" ht="18.75" customHeight="1">
      <c r="BM15450" s="1025"/>
      <c r="BO15450" s="43"/>
    </row>
    <row r="15451" spans="65:67" ht="18.75" customHeight="1">
      <c r="BM15451" s="1025"/>
      <c r="BO15451" s="43"/>
    </row>
    <row r="15452" spans="65:67" ht="18.75" customHeight="1">
      <c r="BM15452" s="1025"/>
      <c r="BO15452" s="43"/>
    </row>
    <row r="15453" spans="65:67" ht="18.75" customHeight="1">
      <c r="BM15453" s="1025"/>
      <c r="BO15453" s="43"/>
    </row>
    <row r="15454" spans="65:67" ht="18.75" customHeight="1">
      <c r="BM15454" s="1025"/>
      <c r="BO15454" s="43"/>
    </row>
    <row r="15455" spans="65:67" ht="18.75" customHeight="1">
      <c r="BM15455" s="1025"/>
      <c r="BO15455" s="43"/>
    </row>
    <row r="15456" spans="65:67" ht="18.75" customHeight="1">
      <c r="BM15456" s="1025"/>
      <c r="BO15456" s="43"/>
    </row>
    <row r="15457" spans="65:67" ht="18.75" customHeight="1">
      <c r="BM15457" s="1025"/>
      <c r="BO15457" s="43"/>
    </row>
    <row r="15458" spans="65:67" ht="18.75" customHeight="1">
      <c r="BM15458" s="1025"/>
      <c r="BO15458" s="43"/>
    </row>
    <row r="15459" spans="65:67" ht="18.75" customHeight="1">
      <c r="BM15459" s="1025"/>
      <c r="BO15459" s="43"/>
    </row>
    <row r="15460" spans="65:67" ht="18.75" customHeight="1">
      <c r="BM15460" s="1025"/>
      <c r="BO15460" s="43"/>
    </row>
    <row r="15461" spans="65:67" ht="18.75" customHeight="1">
      <c r="BM15461" s="1025"/>
      <c r="BO15461" s="43"/>
    </row>
    <row r="15462" spans="65:67" ht="18.75" customHeight="1">
      <c r="BM15462" s="1025"/>
      <c r="BO15462" s="43"/>
    </row>
    <row r="15463" spans="65:67" ht="18.75" customHeight="1">
      <c r="BM15463" s="1025"/>
      <c r="BO15463" s="43"/>
    </row>
    <row r="15464" spans="65:67" ht="18.75" customHeight="1">
      <c r="BM15464" s="1025"/>
      <c r="BO15464" s="43"/>
    </row>
    <row r="15465" spans="65:67" ht="18.75" customHeight="1">
      <c r="BM15465" s="1025"/>
      <c r="BO15465" s="43"/>
    </row>
    <row r="15466" spans="65:67" ht="18.75" customHeight="1">
      <c r="BM15466" s="1025"/>
      <c r="BO15466" s="43"/>
    </row>
    <row r="15467" spans="65:67" ht="18.75" customHeight="1">
      <c r="BM15467" s="1025"/>
      <c r="BO15467" s="43"/>
    </row>
    <row r="15468" spans="65:67" ht="18.75" customHeight="1">
      <c r="BM15468" s="1025"/>
      <c r="BO15468" s="43"/>
    </row>
    <row r="15469" spans="65:67" ht="18.75" customHeight="1">
      <c r="BM15469" s="1025"/>
      <c r="BO15469" s="43"/>
    </row>
    <row r="15470" spans="65:67" ht="18.75" customHeight="1">
      <c r="BM15470" s="1025"/>
      <c r="BO15470" s="43"/>
    </row>
    <row r="15471" spans="65:67" ht="18.75" customHeight="1">
      <c r="BM15471" s="1025"/>
      <c r="BO15471" s="43"/>
    </row>
    <row r="15472" spans="65:67" ht="18.75" customHeight="1">
      <c r="BM15472" s="1025"/>
      <c r="BO15472" s="43"/>
    </row>
    <row r="15473" spans="65:67" ht="18.75" customHeight="1">
      <c r="BM15473" s="1025"/>
      <c r="BO15473" s="43"/>
    </row>
    <row r="15474" spans="65:67" ht="18.75" customHeight="1">
      <c r="BM15474" s="1025"/>
      <c r="BO15474" s="43"/>
    </row>
    <row r="15475" spans="65:67" ht="18.75" customHeight="1">
      <c r="BM15475" s="1025"/>
      <c r="BO15475" s="43"/>
    </row>
    <row r="15476" spans="65:67" ht="18.75" customHeight="1">
      <c r="BM15476" s="1025"/>
      <c r="BO15476" s="43"/>
    </row>
    <row r="15477" spans="65:67" ht="18.75" customHeight="1">
      <c r="BM15477" s="1025"/>
      <c r="BO15477" s="43"/>
    </row>
    <row r="15478" spans="65:67" ht="18.75" customHeight="1">
      <c r="BM15478" s="1025"/>
      <c r="BO15478" s="43"/>
    </row>
    <row r="15479" spans="65:67" ht="18.75" customHeight="1">
      <c r="BM15479" s="1025"/>
      <c r="BO15479" s="43"/>
    </row>
    <row r="15480" spans="65:67" ht="18.75" customHeight="1">
      <c r="BM15480" s="1025"/>
      <c r="BO15480" s="43"/>
    </row>
    <row r="15481" spans="65:67" ht="18.75" customHeight="1">
      <c r="BM15481" s="1025"/>
      <c r="BO15481" s="43"/>
    </row>
    <row r="15482" spans="65:67" ht="18.75" customHeight="1">
      <c r="BM15482" s="1025"/>
      <c r="BO15482" s="43"/>
    </row>
    <row r="15483" spans="65:67" ht="18.75" customHeight="1">
      <c r="BM15483" s="1025"/>
      <c r="BO15483" s="43"/>
    </row>
    <row r="15484" spans="65:67" ht="18.75" customHeight="1">
      <c r="BM15484" s="1025"/>
      <c r="BO15484" s="43"/>
    </row>
    <row r="15485" spans="65:67" ht="18.75" customHeight="1">
      <c r="BM15485" s="1025"/>
      <c r="BO15485" s="43"/>
    </row>
    <row r="15486" spans="65:67" ht="18.75" customHeight="1">
      <c r="BM15486" s="1025"/>
      <c r="BO15486" s="43"/>
    </row>
    <row r="15487" spans="65:67" ht="18.75" customHeight="1">
      <c r="BM15487" s="1025"/>
      <c r="BO15487" s="43"/>
    </row>
    <row r="15488" spans="65:67" ht="18.75" customHeight="1">
      <c r="BM15488" s="1025"/>
      <c r="BO15488" s="43"/>
    </row>
    <row r="15489" spans="65:67" ht="18.75" customHeight="1">
      <c r="BM15489" s="1025"/>
      <c r="BO15489" s="43"/>
    </row>
    <row r="15490" spans="65:67" ht="18.75" customHeight="1">
      <c r="BM15490" s="1025"/>
      <c r="BO15490" s="43"/>
    </row>
    <row r="15491" spans="65:67" ht="18.75" customHeight="1">
      <c r="BM15491" s="1025"/>
      <c r="BO15491" s="43"/>
    </row>
    <row r="15492" spans="65:67" ht="18.75" customHeight="1">
      <c r="BM15492" s="1025"/>
      <c r="BO15492" s="43"/>
    </row>
    <row r="15493" spans="65:67" ht="18.75" customHeight="1">
      <c r="BM15493" s="1025"/>
      <c r="BO15493" s="43"/>
    </row>
    <row r="15494" spans="65:67" ht="18.75" customHeight="1">
      <c r="BM15494" s="1025"/>
      <c r="BO15494" s="43"/>
    </row>
    <row r="15495" spans="65:67" ht="18.75" customHeight="1">
      <c r="BM15495" s="1025"/>
      <c r="BO15495" s="43"/>
    </row>
    <row r="15496" spans="65:67" ht="18.75" customHeight="1">
      <c r="BM15496" s="1025"/>
      <c r="BO15496" s="43"/>
    </row>
    <row r="15497" spans="65:67" ht="18.75" customHeight="1">
      <c r="BM15497" s="1025"/>
      <c r="BO15497" s="43"/>
    </row>
    <row r="15498" spans="65:67" ht="18.75" customHeight="1">
      <c r="BM15498" s="1025"/>
      <c r="BO15498" s="43"/>
    </row>
    <row r="15499" spans="65:67" ht="18.75" customHeight="1">
      <c r="BM15499" s="1025"/>
      <c r="BO15499" s="43"/>
    </row>
    <row r="15500" spans="65:67" ht="18.75" customHeight="1">
      <c r="BM15500" s="1025"/>
      <c r="BO15500" s="43"/>
    </row>
    <row r="15501" spans="65:67" ht="18.75" customHeight="1">
      <c r="BM15501" s="1025"/>
      <c r="BO15501" s="43"/>
    </row>
    <row r="15502" spans="65:67" ht="18.75" customHeight="1">
      <c r="BM15502" s="1025"/>
      <c r="BO15502" s="43"/>
    </row>
    <row r="15503" spans="65:67" ht="18.75" customHeight="1">
      <c r="BM15503" s="1025"/>
      <c r="BO15503" s="43"/>
    </row>
    <row r="15504" spans="65:67" ht="18.75" customHeight="1">
      <c r="BM15504" s="1025"/>
      <c r="BO15504" s="43"/>
    </row>
    <row r="15505" spans="65:67" ht="18.75" customHeight="1">
      <c r="BM15505" s="1025"/>
      <c r="BO15505" s="43"/>
    </row>
    <row r="15506" spans="65:67" ht="18.75" customHeight="1">
      <c r="BM15506" s="1025"/>
      <c r="BO15506" s="43"/>
    </row>
    <row r="15507" spans="65:67" ht="18.75" customHeight="1">
      <c r="BM15507" s="1025"/>
      <c r="BO15507" s="43"/>
    </row>
    <row r="15508" spans="65:67" ht="18.75" customHeight="1">
      <c r="BM15508" s="1025"/>
      <c r="BO15508" s="43"/>
    </row>
    <row r="15509" spans="65:67" ht="18.75" customHeight="1">
      <c r="BM15509" s="1025"/>
      <c r="BO15509" s="43"/>
    </row>
    <row r="15510" spans="65:67" ht="18.75" customHeight="1">
      <c r="BM15510" s="1025"/>
      <c r="BO15510" s="43"/>
    </row>
    <row r="15511" spans="65:67" ht="18.75" customHeight="1">
      <c r="BM15511" s="1025"/>
      <c r="BO15511" s="43"/>
    </row>
    <row r="15512" spans="65:67" ht="18.75" customHeight="1">
      <c r="BM15512" s="1025"/>
      <c r="BO15512" s="43"/>
    </row>
    <row r="15513" spans="65:67" ht="18.75" customHeight="1">
      <c r="BM15513" s="1025"/>
      <c r="BO15513" s="43"/>
    </row>
    <row r="15514" spans="65:67" ht="18.75" customHeight="1">
      <c r="BM15514" s="1025"/>
      <c r="BO15514" s="43"/>
    </row>
    <row r="15515" spans="65:67" ht="18.75" customHeight="1">
      <c r="BM15515" s="1025"/>
      <c r="BO15515" s="43"/>
    </row>
    <row r="15516" spans="65:67" ht="18.75" customHeight="1">
      <c r="BM15516" s="1025"/>
      <c r="BO15516" s="43"/>
    </row>
    <row r="15517" spans="65:67" ht="18.75" customHeight="1">
      <c r="BM15517" s="1025"/>
      <c r="BO15517" s="43"/>
    </row>
    <row r="15518" spans="65:67" ht="18.75" customHeight="1">
      <c r="BM15518" s="1025"/>
      <c r="BO15518" s="43"/>
    </row>
    <row r="15519" spans="65:67" ht="18.75" customHeight="1">
      <c r="BM15519" s="1025"/>
      <c r="BO15519" s="43"/>
    </row>
    <row r="15520" spans="65:67" ht="18.75" customHeight="1">
      <c r="BM15520" s="1025"/>
      <c r="BO15520" s="43"/>
    </row>
    <row r="15521" spans="65:67" ht="18.75" customHeight="1">
      <c r="BM15521" s="1025"/>
      <c r="BO15521" s="43"/>
    </row>
    <row r="15522" spans="65:67" ht="18.75" customHeight="1">
      <c r="BM15522" s="1025"/>
      <c r="BO15522" s="43"/>
    </row>
    <row r="15523" spans="65:67" ht="18.75" customHeight="1">
      <c r="BM15523" s="1025"/>
      <c r="BO15523" s="43"/>
    </row>
    <row r="15524" spans="65:67" ht="18.75" customHeight="1">
      <c r="BM15524" s="1025"/>
      <c r="BO15524" s="43"/>
    </row>
    <row r="15525" spans="65:67" ht="18.75" customHeight="1">
      <c r="BM15525" s="1025"/>
      <c r="BO15525" s="43"/>
    </row>
    <row r="15526" spans="65:67" ht="18.75" customHeight="1">
      <c r="BM15526" s="1025"/>
      <c r="BO15526" s="43"/>
    </row>
    <row r="15527" spans="65:67" ht="18.75" customHeight="1">
      <c r="BM15527" s="1025"/>
      <c r="BO15527" s="43"/>
    </row>
    <row r="15528" spans="65:67" ht="18.75" customHeight="1">
      <c r="BM15528" s="1025"/>
      <c r="BO15528" s="43"/>
    </row>
    <row r="15529" spans="65:67" ht="18.75" customHeight="1">
      <c r="BM15529" s="1025"/>
      <c r="BO15529" s="43"/>
    </row>
    <row r="15530" spans="65:67" ht="18.75" customHeight="1">
      <c r="BM15530" s="1025"/>
      <c r="BO15530" s="43"/>
    </row>
    <row r="15531" spans="65:67" ht="18.75" customHeight="1">
      <c r="BM15531" s="1025"/>
      <c r="BO15531" s="43"/>
    </row>
    <row r="15532" spans="65:67" ht="18.75" customHeight="1">
      <c r="BM15532" s="1025"/>
      <c r="BO15532" s="43"/>
    </row>
    <row r="15533" spans="65:67" ht="18.75" customHeight="1">
      <c r="BM15533" s="1025"/>
      <c r="BO15533" s="43"/>
    </row>
    <row r="15534" spans="65:67" ht="18.75" customHeight="1">
      <c r="BM15534" s="1025"/>
      <c r="BO15534" s="43"/>
    </row>
    <row r="15535" spans="65:67" ht="18.75" customHeight="1">
      <c r="BM15535" s="1025"/>
      <c r="BO15535" s="43"/>
    </row>
    <row r="15536" spans="65:67" ht="18.75" customHeight="1">
      <c r="BM15536" s="1025"/>
      <c r="BO15536" s="43"/>
    </row>
    <row r="15537" spans="65:67" ht="18.75" customHeight="1">
      <c r="BM15537" s="1025"/>
      <c r="BO15537" s="43"/>
    </row>
    <row r="15538" spans="65:67" ht="18.75" customHeight="1">
      <c r="BM15538" s="1025"/>
      <c r="BO15538" s="43"/>
    </row>
    <row r="15539" spans="65:67" ht="18.75" customHeight="1">
      <c r="BM15539" s="1025"/>
      <c r="BO15539" s="43"/>
    </row>
    <row r="15540" spans="65:67" ht="18.75" customHeight="1">
      <c r="BM15540" s="1025"/>
      <c r="BO15540" s="43"/>
    </row>
    <row r="15541" spans="65:67" ht="18.75" customHeight="1">
      <c r="BM15541" s="1025"/>
      <c r="BO15541" s="43"/>
    </row>
    <row r="15542" spans="65:67" ht="18.75" customHeight="1">
      <c r="BM15542" s="1025"/>
      <c r="BO15542" s="43"/>
    </row>
    <row r="15543" spans="65:67" ht="18.75" customHeight="1">
      <c r="BM15543" s="1025"/>
      <c r="BO15543" s="43"/>
    </row>
    <row r="15544" spans="65:67" ht="18.75" customHeight="1">
      <c r="BM15544" s="1025"/>
      <c r="BO15544" s="43"/>
    </row>
    <row r="15545" spans="65:67" ht="18.75" customHeight="1">
      <c r="BM15545" s="1025"/>
      <c r="BO15545" s="43"/>
    </row>
    <row r="15546" spans="65:67" ht="18.75" customHeight="1">
      <c r="BM15546" s="1025"/>
      <c r="BO15546" s="43"/>
    </row>
    <row r="15547" spans="65:67" ht="18.75" customHeight="1">
      <c r="BM15547" s="1025"/>
      <c r="BO15547" s="43"/>
    </row>
    <row r="15548" spans="65:67" ht="18.75" customHeight="1">
      <c r="BM15548" s="1025"/>
      <c r="BO15548" s="43"/>
    </row>
    <row r="15549" spans="65:67" ht="18.75" customHeight="1">
      <c r="BM15549" s="1025"/>
      <c r="BO15549" s="43"/>
    </row>
    <row r="15550" spans="65:67" ht="18.75" customHeight="1">
      <c r="BM15550" s="1025"/>
      <c r="BO15550" s="43"/>
    </row>
    <row r="15551" spans="65:67" ht="18.75" customHeight="1">
      <c r="BM15551" s="1025"/>
      <c r="BO15551" s="43"/>
    </row>
    <row r="15552" spans="65:67" ht="18.75" customHeight="1">
      <c r="BM15552" s="1025"/>
      <c r="BO15552" s="43"/>
    </row>
    <row r="15553" spans="65:67" ht="18.75" customHeight="1">
      <c r="BM15553" s="1025"/>
      <c r="BO15553" s="43"/>
    </row>
    <row r="15554" spans="65:67" ht="18.75" customHeight="1">
      <c r="BM15554" s="1025"/>
      <c r="BO15554" s="43"/>
    </row>
    <row r="15555" spans="65:67" ht="18.75" customHeight="1">
      <c r="BM15555" s="1025"/>
      <c r="BO15555" s="43"/>
    </row>
    <row r="15556" spans="65:67" ht="18.75" customHeight="1">
      <c r="BM15556" s="1025"/>
      <c r="BO15556" s="43"/>
    </row>
    <row r="15557" spans="65:67" ht="18.75" customHeight="1">
      <c r="BM15557" s="1025"/>
      <c r="BO15557" s="43"/>
    </row>
    <row r="15558" spans="65:67" ht="18.75" customHeight="1">
      <c r="BM15558" s="1025"/>
      <c r="BO15558" s="43"/>
    </row>
    <row r="15559" spans="65:67" ht="18.75" customHeight="1">
      <c r="BM15559" s="1025"/>
      <c r="BO15559" s="43"/>
    </row>
    <row r="15560" spans="65:67" ht="18.75" customHeight="1">
      <c r="BM15560" s="1025"/>
      <c r="BO15560" s="43"/>
    </row>
    <row r="15561" spans="65:67" ht="18.75" customHeight="1">
      <c r="BM15561" s="1025"/>
      <c r="BO15561" s="43"/>
    </row>
    <row r="15562" spans="65:67" ht="18.75" customHeight="1">
      <c r="BM15562" s="1025"/>
      <c r="BO15562" s="43"/>
    </row>
    <row r="15563" spans="65:67" ht="18.75" customHeight="1">
      <c r="BM15563" s="1025"/>
      <c r="BO15563" s="43"/>
    </row>
    <row r="15564" spans="65:67" ht="18.75" customHeight="1">
      <c r="BM15564" s="1025"/>
      <c r="BO15564" s="43"/>
    </row>
    <row r="15565" spans="65:67" ht="18.75" customHeight="1">
      <c r="BM15565" s="1025"/>
      <c r="BO15565" s="43"/>
    </row>
    <row r="15566" spans="65:67" ht="18.75" customHeight="1">
      <c r="BM15566" s="1025"/>
      <c r="BO15566" s="43"/>
    </row>
    <row r="15567" spans="65:67" ht="18.75" customHeight="1">
      <c r="BM15567" s="1025"/>
      <c r="BO15567" s="43"/>
    </row>
    <row r="15568" spans="65:67" ht="18.75" customHeight="1">
      <c r="BM15568" s="1025"/>
      <c r="BO15568" s="43"/>
    </row>
    <row r="15569" spans="65:67" ht="18.75" customHeight="1">
      <c r="BM15569" s="1025"/>
      <c r="BO15569" s="43"/>
    </row>
    <row r="15570" spans="65:67" ht="18.75" customHeight="1">
      <c r="BM15570" s="1025"/>
      <c r="BO15570" s="43"/>
    </row>
    <row r="15571" spans="65:67" ht="18.75" customHeight="1">
      <c r="BM15571" s="1025"/>
      <c r="BO15571" s="43"/>
    </row>
    <row r="15572" spans="65:67" ht="18.75" customHeight="1">
      <c r="BM15572" s="1025"/>
      <c r="BO15572" s="43"/>
    </row>
    <row r="15573" spans="65:67" ht="18.75" customHeight="1">
      <c r="BM15573" s="1025"/>
      <c r="BO15573" s="43"/>
    </row>
    <row r="15574" spans="65:67" ht="18.75" customHeight="1">
      <c r="BM15574" s="1025"/>
      <c r="BO15574" s="43"/>
    </row>
    <row r="15575" spans="65:67" ht="18.75" customHeight="1">
      <c r="BM15575" s="1025"/>
      <c r="BO15575" s="43"/>
    </row>
    <row r="15576" spans="65:67" ht="18.75" customHeight="1">
      <c r="BM15576" s="1025"/>
      <c r="BO15576" s="43"/>
    </row>
    <row r="15577" spans="65:67" ht="18.75" customHeight="1">
      <c r="BM15577" s="1025"/>
      <c r="BO15577" s="43"/>
    </row>
    <row r="15578" spans="65:67" ht="18.75" customHeight="1">
      <c r="BM15578" s="1025"/>
      <c r="BO15578" s="43"/>
    </row>
    <row r="15579" spans="65:67" ht="18.75" customHeight="1">
      <c r="BM15579" s="1025"/>
      <c r="BO15579" s="43"/>
    </row>
    <row r="15580" spans="65:67" ht="18.75" customHeight="1">
      <c r="BM15580" s="1025"/>
      <c r="BO15580" s="43"/>
    </row>
    <row r="15581" spans="65:67" ht="18.75" customHeight="1">
      <c r="BM15581" s="1025"/>
      <c r="BO15581" s="43"/>
    </row>
    <row r="15582" spans="65:67" ht="18.75" customHeight="1">
      <c r="BM15582" s="1025"/>
      <c r="BO15582" s="43"/>
    </row>
    <row r="15583" spans="65:67" ht="18.75" customHeight="1">
      <c r="BM15583" s="1025"/>
      <c r="BO15583" s="43"/>
    </row>
    <row r="15584" spans="65:67" ht="18.75" customHeight="1">
      <c r="BM15584" s="1025"/>
      <c r="BO15584" s="43"/>
    </row>
    <row r="15585" spans="65:67" ht="18.75" customHeight="1">
      <c r="BM15585" s="1025"/>
      <c r="BO15585" s="43"/>
    </row>
    <row r="15586" spans="65:67" ht="18.75" customHeight="1">
      <c r="BM15586" s="1025"/>
      <c r="BO15586" s="43"/>
    </row>
    <row r="15587" spans="65:67" ht="18.75" customHeight="1">
      <c r="BM15587" s="1025"/>
      <c r="BO15587" s="43"/>
    </row>
    <row r="15588" spans="65:67" ht="18.75" customHeight="1">
      <c r="BM15588" s="1025"/>
      <c r="BO15588" s="43"/>
    </row>
    <row r="15589" spans="65:67" ht="18.75" customHeight="1">
      <c r="BM15589" s="1025"/>
      <c r="BO15589" s="43"/>
    </row>
    <row r="15590" spans="65:67" ht="18.75" customHeight="1">
      <c r="BM15590" s="1025"/>
      <c r="BO15590" s="43"/>
    </row>
    <row r="15591" spans="65:67" ht="18.75" customHeight="1">
      <c r="BM15591" s="1025"/>
      <c r="BO15591" s="43"/>
    </row>
    <row r="15592" spans="65:67" ht="18.75" customHeight="1">
      <c r="BM15592" s="1025"/>
      <c r="BO15592" s="43"/>
    </row>
    <row r="15593" spans="65:67" ht="18.75" customHeight="1">
      <c r="BM15593" s="1025"/>
      <c r="BO15593" s="43"/>
    </row>
    <row r="15594" spans="65:67" ht="18.75" customHeight="1">
      <c r="BM15594" s="1025"/>
      <c r="BO15594" s="43"/>
    </row>
    <row r="15595" spans="65:67" ht="18.75" customHeight="1">
      <c r="BM15595" s="1025"/>
      <c r="BO15595" s="43"/>
    </row>
    <row r="15596" spans="65:67" ht="18.75" customHeight="1">
      <c r="BM15596" s="1025"/>
      <c r="BO15596" s="43"/>
    </row>
    <row r="15597" spans="65:67" ht="18.75" customHeight="1">
      <c r="BM15597" s="1025"/>
      <c r="BO15597" s="43"/>
    </row>
    <row r="15598" spans="65:67" ht="18.75" customHeight="1">
      <c r="BM15598" s="1025"/>
      <c r="BO15598" s="43"/>
    </row>
    <row r="15599" spans="65:67" ht="18.75" customHeight="1">
      <c r="BM15599" s="1025"/>
      <c r="BO15599" s="43"/>
    </row>
    <row r="15600" spans="65:67" ht="18.75" customHeight="1">
      <c r="BM15600" s="1025"/>
      <c r="BO15600" s="43"/>
    </row>
    <row r="15601" spans="65:67" ht="18.75" customHeight="1">
      <c r="BM15601" s="1025"/>
      <c r="BO15601" s="43"/>
    </row>
    <row r="15602" spans="65:67" ht="18.75" customHeight="1">
      <c r="BM15602" s="1025"/>
      <c r="BO15602" s="43"/>
    </row>
    <row r="15603" spans="65:67" ht="18.75" customHeight="1">
      <c r="BM15603" s="1025"/>
      <c r="BO15603" s="43"/>
    </row>
    <row r="15604" spans="65:67" ht="18.75" customHeight="1">
      <c r="BM15604" s="1025"/>
      <c r="BO15604" s="43"/>
    </row>
    <row r="15605" spans="65:67" ht="18.75" customHeight="1">
      <c r="BM15605" s="1025"/>
      <c r="BO15605" s="43"/>
    </row>
    <row r="15606" spans="65:67" ht="18.75" customHeight="1">
      <c r="BM15606" s="1025"/>
      <c r="BO15606" s="43"/>
    </row>
    <row r="15607" spans="65:67" ht="18.75" customHeight="1">
      <c r="BM15607" s="1025"/>
      <c r="BO15607" s="43"/>
    </row>
    <row r="15608" spans="65:67" ht="18.75" customHeight="1">
      <c r="BM15608" s="1025"/>
      <c r="BO15608" s="43"/>
    </row>
    <row r="15609" spans="65:67" ht="18.75" customHeight="1">
      <c r="BM15609" s="1025"/>
      <c r="BO15609" s="43"/>
    </row>
    <row r="15610" spans="65:67" ht="18.75" customHeight="1">
      <c r="BM15610" s="1025"/>
      <c r="BO15610" s="43"/>
    </row>
    <row r="15611" spans="65:67" ht="18.75" customHeight="1">
      <c r="BM15611" s="1025"/>
      <c r="BO15611" s="43"/>
    </row>
    <row r="15612" spans="65:67" ht="18.75" customHeight="1">
      <c r="BM15612" s="1025"/>
      <c r="BO15612" s="43"/>
    </row>
    <row r="15613" spans="65:67" ht="18.75" customHeight="1">
      <c r="BM15613" s="1025"/>
      <c r="BO15613" s="43"/>
    </row>
    <row r="15614" spans="65:67" ht="18.75" customHeight="1">
      <c r="BM15614" s="1025"/>
      <c r="BO15614" s="43"/>
    </row>
    <row r="15615" spans="65:67" ht="18.75" customHeight="1">
      <c r="BM15615" s="1025"/>
      <c r="BO15615" s="43"/>
    </row>
    <row r="15616" spans="65:67" ht="18.75" customHeight="1">
      <c r="BM15616" s="1025"/>
      <c r="BO15616" s="43"/>
    </row>
    <row r="15617" spans="65:67" ht="18.75" customHeight="1">
      <c r="BM15617" s="1025"/>
      <c r="BO15617" s="43"/>
    </row>
    <row r="15618" spans="65:67" ht="18.75" customHeight="1">
      <c r="BM15618" s="1025"/>
      <c r="BO15618" s="43"/>
    </row>
    <row r="15619" spans="65:67" ht="18.75" customHeight="1">
      <c r="BM15619" s="1025"/>
      <c r="BO15619" s="43"/>
    </row>
    <row r="15620" spans="65:67" ht="18.75" customHeight="1">
      <c r="BM15620" s="1025"/>
      <c r="BO15620" s="43"/>
    </row>
    <row r="15621" spans="65:67" ht="18.75" customHeight="1">
      <c r="BM15621" s="1025"/>
      <c r="BO15621" s="43"/>
    </row>
    <row r="15622" spans="65:67" ht="18.75" customHeight="1">
      <c r="BM15622" s="1025"/>
      <c r="BO15622" s="43"/>
    </row>
    <row r="15623" spans="65:67" ht="18.75" customHeight="1">
      <c r="BM15623" s="1025"/>
      <c r="BO15623" s="43"/>
    </row>
    <row r="15624" spans="65:67" ht="18.75" customHeight="1">
      <c r="BM15624" s="1025"/>
      <c r="BO15624" s="43"/>
    </row>
    <row r="15625" spans="65:67" ht="18.75" customHeight="1">
      <c r="BM15625" s="1025"/>
      <c r="BO15625" s="43"/>
    </row>
    <row r="15626" spans="65:67" ht="18.75" customHeight="1">
      <c r="BM15626" s="1025"/>
      <c r="BO15626" s="43"/>
    </row>
    <row r="15627" spans="65:67" ht="18.75" customHeight="1">
      <c r="BM15627" s="1025"/>
      <c r="BO15627" s="43"/>
    </row>
    <row r="15628" spans="65:67" ht="18.75" customHeight="1">
      <c r="BM15628" s="1025"/>
      <c r="BO15628" s="43"/>
    </row>
    <row r="15629" spans="65:67" ht="18.75" customHeight="1">
      <c r="BM15629" s="1025"/>
      <c r="BO15629" s="43"/>
    </row>
    <row r="15630" spans="65:67" ht="18.75" customHeight="1">
      <c r="BM15630" s="1025"/>
      <c r="BO15630" s="43"/>
    </row>
    <row r="15631" spans="65:67" ht="18.75" customHeight="1">
      <c r="BM15631" s="1025"/>
      <c r="BO15631" s="43"/>
    </row>
    <row r="15632" spans="65:67" ht="18.75" customHeight="1">
      <c r="BM15632" s="1025"/>
      <c r="BO15632" s="43"/>
    </row>
    <row r="15633" spans="65:67" ht="18.75" customHeight="1">
      <c r="BM15633" s="1025"/>
      <c r="BO15633" s="43"/>
    </row>
    <row r="15634" spans="65:67" ht="18.75" customHeight="1">
      <c r="BM15634" s="1025"/>
      <c r="BO15634" s="43"/>
    </row>
    <row r="15635" spans="65:67" ht="18.75" customHeight="1">
      <c r="BM15635" s="1025"/>
      <c r="BO15635" s="43"/>
    </row>
    <row r="15636" spans="65:67" ht="18.75" customHeight="1">
      <c r="BM15636" s="1025"/>
      <c r="BO15636" s="43"/>
    </row>
    <row r="15637" spans="65:67" ht="18.75" customHeight="1">
      <c r="BM15637" s="1025"/>
      <c r="BO15637" s="43"/>
    </row>
    <row r="15638" spans="65:67" ht="18.75" customHeight="1">
      <c r="BM15638" s="1025"/>
      <c r="BO15638" s="43"/>
    </row>
    <row r="15639" spans="65:67" ht="18.75" customHeight="1">
      <c r="BM15639" s="1025"/>
      <c r="BO15639" s="43"/>
    </row>
    <row r="15640" spans="65:67" ht="18.75" customHeight="1">
      <c r="BM15640" s="1025"/>
      <c r="BO15640" s="43"/>
    </row>
    <row r="15641" spans="65:67" ht="18.75" customHeight="1">
      <c r="BM15641" s="1025"/>
      <c r="BO15641" s="43"/>
    </row>
    <row r="15642" spans="65:67" ht="18.75" customHeight="1">
      <c r="BM15642" s="1025"/>
      <c r="BO15642" s="43"/>
    </row>
    <row r="15643" spans="65:67" ht="18.75" customHeight="1">
      <c r="BM15643" s="1025"/>
      <c r="BO15643" s="43"/>
    </row>
    <row r="15644" spans="65:67" ht="18.75" customHeight="1">
      <c r="BM15644" s="1025"/>
      <c r="BO15644" s="43"/>
    </row>
    <row r="15645" spans="65:67" ht="18.75" customHeight="1">
      <c r="BM15645" s="1025"/>
      <c r="BO15645" s="43"/>
    </row>
    <row r="15646" spans="65:67" ht="18.75" customHeight="1">
      <c r="BM15646" s="1025"/>
      <c r="BO15646" s="43"/>
    </row>
    <row r="15647" spans="65:67" ht="18.75" customHeight="1">
      <c r="BM15647" s="1025"/>
      <c r="BO15647" s="43"/>
    </row>
    <row r="15648" spans="65:67" ht="18.75" customHeight="1">
      <c r="BM15648" s="1025"/>
      <c r="BO15648" s="43"/>
    </row>
    <row r="15649" spans="65:67" ht="18.75" customHeight="1">
      <c r="BM15649" s="1025"/>
      <c r="BO15649" s="43"/>
    </row>
    <row r="15650" spans="65:67" ht="18.75" customHeight="1">
      <c r="BM15650" s="1025"/>
      <c r="BO15650" s="43"/>
    </row>
    <row r="15651" spans="65:67" ht="18.75" customHeight="1">
      <c r="BM15651" s="1025"/>
      <c r="BO15651" s="43"/>
    </row>
    <row r="15652" spans="65:67" ht="18.75" customHeight="1">
      <c r="BM15652" s="1025"/>
      <c r="BO15652" s="43"/>
    </row>
    <row r="15653" spans="65:67" ht="18.75" customHeight="1">
      <c r="BM15653" s="1025"/>
      <c r="BO15653" s="43"/>
    </row>
    <row r="15654" spans="65:67" ht="18.75" customHeight="1">
      <c r="BM15654" s="1025"/>
      <c r="BO15654" s="43"/>
    </row>
    <row r="15655" spans="65:67" ht="18.75" customHeight="1">
      <c r="BM15655" s="1025"/>
      <c r="BO15655" s="43"/>
    </row>
    <row r="15656" spans="65:67" ht="18.75" customHeight="1">
      <c r="BM15656" s="1025"/>
      <c r="BO15656" s="43"/>
    </row>
    <row r="15657" spans="65:67" ht="18.75" customHeight="1">
      <c r="BM15657" s="1025"/>
      <c r="BO15657" s="43"/>
    </row>
    <row r="15658" spans="65:67" ht="18.75" customHeight="1">
      <c r="BM15658" s="1025"/>
      <c r="BO15658" s="43"/>
    </row>
    <row r="15659" spans="65:67" ht="18.75" customHeight="1">
      <c r="BM15659" s="1025"/>
      <c r="BO15659" s="43"/>
    </row>
    <row r="15660" spans="65:67" ht="18.75" customHeight="1">
      <c r="BM15660" s="1025"/>
      <c r="BO15660" s="43"/>
    </row>
    <row r="15661" spans="65:67" ht="18.75" customHeight="1">
      <c r="BM15661" s="1025"/>
      <c r="BO15661" s="43"/>
    </row>
    <row r="15662" spans="65:67" ht="18.75" customHeight="1">
      <c r="BM15662" s="1025"/>
      <c r="BO15662" s="43"/>
    </row>
    <row r="15663" spans="65:67" ht="18.75" customHeight="1">
      <c r="BM15663" s="1025"/>
      <c r="BO15663" s="43"/>
    </row>
    <row r="15664" spans="65:67" ht="18.75" customHeight="1">
      <c r="BM15664" s="1025"/>
      <c r="BO15664" s="43"/>
    </row>
    <row r="15665" spans="65:67" ht="18.75" customHeight="1">
      <c r="BM15665" s="1025"/>
      <c r="BO15665" s="43"/>
    </row>
    <row r="15666" spans="65:67" ht="18.75" customHeight="1">
      <c r="BM15666" s="1025"/>
      <c r="BO15666" s="43"/>
    </row>
    <row r="15667" spans="65:67" ht="18.75" customHeight="1">
      <c r="BM15667" s="1025"/>
      <c r="BO15667" s="43"/>
    </row>
    <row r="15668" spans="65:67" ht="18.75" customHeight="1">
      <c r="BM15668" s="1025"/>
      <c r="BO15668" s="43"/>
    </row>
    <row r="15669" spans="65:67" ht="18.75" customHeight="1">
      <c r="BM15669" s="1025"/>
      <c r="BO15669" s="43"/>
    </row>
    <row r="15670" spans="65:67" ht="18.75" customHeight="1">
      <c r="BM15670" s="1025"/>
      <c r="BO15670" s="43"/>
    </row>
    <row r="15671" spans="65:67" ht="18.75" customHeight="1">
      <c r="BM15671" s="1025"/>
      <c r="BO15671" s="43"/>
    </row>
    <row r="15672" spans="65:67" ht="18.75" customHeight="1">
      <c r="BM15672" s="1025"/>
      <c r="BO15672" s="43"/>
    </row>
    <row r="15673" spans="65:67" ht="18.75" customHeight="1">
      <c r="BM15673" s="1025"/>
      <c r="BO15673" s="43"/>
    </row>
    <row r="15674" spans="65:67" ht="18.75" customHeight="1">
      <c r="BM15674" s="1025"/>
      <c r="BO15674" s="43"/>
    </row>
    <row r="15675" spans="65:67" ht="18.75" customHeight="1">
      <c r="BM15675" s="1025"/>
      <c r="BO15675" s="43"/>
    </row>
    <row r="15676" spans="65:67" ht="18.75" customHeight="1">
      <c r="BM15676" s="1025"/>
      <c r="BO15676" s="43"/>
    </row>
    <row r="15677" spans="65:67" ht="18.75" customHeight="1">
      <c r="BM15677" s="1025"/>
      <c r="BO15677" s="43"/>
    </row>
    <row r="15678" spans="65:67" ht="18.75" customHeight="1">
      <c r="BM15678" s="1025"/>
      <c r="BO15678" s="43"/>
    </row>
    <row r="15679" spans="65:67" ht="18.75" customHeight="1">
      <c r="BM15679" s="1025"/>
      <c r="BO15679" s="43"/>
    </row>
    <row r="15680" spans="65:67" ht="18.75" customHeight="1">
      <c r="BM15680" s="1025"/>
      <c r="BO15680" s="43"/>
    </row>
    <row r="15681" spans="65:67" ht="18.75" customHeight="1">
      <c r="BM15681" s="1025"/>
      <c r="BO15681" s="43"/>
    </row>
    <row r="15682" spans="65:67" ht="18.75" customHeight="1">
      <c r="BM15682" s="1025"/>
      <c r="BO15682" s="43"/>
    </row>
    <row r="15683" spans="65:67" ht="18.75" customHeight="1">
      <c r="BM15683" s="1025"/>
      <c r="BO15683" s="43"/>
    </row>
    <row r="15684" spans="65:67" ht="18.75" customHeight="1">
      <c r="BM15684" s="1025"/>
      <c r="BO15684" s="43"/>
    </row>
    <row r="15685" spans="65:67" ht="18.75" customHeight="1">
      <c r="BM15685" s="1025"/>
      <c r="BO15685" s="43"/>
    </row>
    <row r="15686" spans="65:67" ht="18.75" customHeight="1">
      <c r="BM15686" s="1025"/>
      <c r="BO15686" s="43"/>
    </row>
    <row r="15687" spans="65:67" ht="18.75" customHeight="1">
      <c r="BM15687" s="1025"/>
      <c r="BO15687" s="43"/>
    </row>
    <row r="15688" spans="65:67" ht="18.75" customHeight="1">
      <c r="BM15688" s="1025"/>
      <c r="BO15688" s="43"/>
    </row>
    <row r="15689" spans="65:67" ht="18.75" customHeight="1">
      <c r="BM15689" s="1025"/>
      <c r="BO15689" s="43"/>
    </row>
    <row r="15690" spans="65:67" ht="18.75" customHeight="1">
      <c r="BM15690" s="1025"/>
      <c r="BO15690" s="43"/>
    </row>
    <row r="15691" spans="65:67" ht="18.75" customHeight="1">
      <c r="BM15691" s="1025"/>
      <c r="BO15691" s="43"/>
    </row>
    <row r="15692" spans="65:67" ht="18.75" customHeight="1">
      <c r="BM15692" s="1025"/>
      <c r="BO15692" s="43"/>
    </row>
    <row r="15693" spans="65:67" ht="18.75" customHeight="1">
      <c r="BM15693" s="1025"/>
      <c r="BO15693" s="43"/>
    </row>
    <row r="15694" spans="65:67" ht="18.75" customHeight="1">
      <c r="BM15694" s="1025"/>
      <c r="BO15694" s="43"/>
    </row>
    <row r="15695" spans="65:67" ht="18.75" customHeight="1">
      <c r="BM15695" s="1025"/>
      <c r="BO15695" s="43"/>
    </row>
    <row r="15696" spans="65:67" ht="18.75" customHeight="1">
      <c r="BM15696" s="1025"/>
      <c r="BO15696" s="43"/>
    </row>
    <row r="15697" spans="65:67" ht="18.75" customHeight="1">
      <c r="BM15697" s="1025"/>
      <c r="BO15697" s="43"/>
    </row>
    <row r="15698" spans="65:67" ht="18.75" customHeight="1">
      <c r="BM15698" s="1025"/>
      <c r="BO15698" s="43"/>
    </row>
    <row r="15699" spans="65:67" ht="18.75" customHeight="1">
      <c r="BM15699" s="1025"/>
      <c r="BO15699" s="43"/>
    </row>
    <row r="15700" spans="65:67" ht="18.75" customHeight="1">
      <c r="BM15700" s="1025"/>
      <c r="BO15700" s="43"/>
    </row>
    <row r="15701" spans="65:67" ht="18.75" customHeight="1">
      <c r="BM15701" s="1025"/>
      <c r="BO15701" s="43"/>
    </row>
    <row r="15702" spans="65:67" ht="18.75" customHeight="1">
      <c r="BM15702" s="1025"/>
      <c r="BO15702" s="43"/>
    </row>
    <row r="15703" spans="65:67" ht="18.75" customHeight="1">
      <c r="BM15703" s="1025"/>
      <c r="BO15703" s="43"/>
    </row>
    <row r="15704" spans="65:67" ht="18.75" customHeight="1">
      <c r="BM15704" s="1025"/>
      <c r="BO15704" s="43"/>
    </row>
    <row r="15705" spans="65:67" ht="18.75" customHeight="1">
      <c r="BM15705" s="1025"/>
      <c r="BO15705" s="43"/>
    </row>
    <row r="15706" spans="65:67" ht="18.75" customHeight="1">
      <c r="BM15706" s="1025"/>
      <c r="BO15706" s="43"/>
    </row>
    <row r="15707" spans="65:67" ht="18.75" customHeight="1">
      <c r="BM15707" s="1025"/>
      <c r="BO15707" s="43"/>
    </row>
    <row r="15708" spans="65:67" ht="18.75" customHeight="1">
      <c r="BM15708" s="1025"/>
      <c r="BO15708" s="43"/>
    </row>
    <row r="15709" spans="65:67" ht="18.75" customHeight="1">
      <c r="BM15709" s="1025"/>
      <c r="BO15709" s="43"/>
    </row>
    <row r="15710" spans="65:67" ht="18.75" customHeight="1">
      <c r="BM15710" s="1025"/>
      <c r="BO15710" s="43"/>
    </row>
    <row r="15711" spans="65:67" ht="18.75" customHeight="1">
      <c r="BM15711" s="1025"/>
      <c r="BO15711" s="43"/>
    </row>
    <row r="15712" spans="65:67" ht="18.75" customHeight="1">
      <c r="BM15712" s="1025"/>
      <c r="BO15712" s="43"/>
    </row>
    <row r="15713" spans="65:67" ht="18.75" customHeight="1">
      <c r="BM15713" s="1025"/>
      <c r="BO15713" s="43"/>
    </row>
    <row r="15714" spans="65:67" ht="18.75" customHeight="1">
      <c r="BM15714" s="1025"/>
      <c r="BO15714" s="43"/>
    </row>
    <row r="15715" spans="65:67" ht="18.75" customHeight="1">
      <c r="BM15715" s="1025"/>
      <c r="BO15715" s="43"/>
    </row>
    <row r="15716" spans="65:67" ht="18.75" customHeight="1">
      <c r="BM15716" s="1025"/>
      <c r="BO15716" s="43"/>
    </row>
    <row r="15717" spans="65:67" ht="18.75" customHeight="1">
      <c r="BM15717" s="1025"/>
      <c r="BO15717" s="43"/>
    </row>
    <row r="15718" spans="65:67" ht="18.75" customHeight="1">
      <c r="BM15718" s="1025"/>
      <c r="BO15718" s="43"/>
    </row>
    <row r="15719" spans="65:67" ht="18.75" customHeight="1">
      <c r="BM15719" s="1025"/>
      <c r="BO15719" s="43"/>
    </row>
    <row r="15720" spans="65:67" ht="18.75" customHeight="1">
      <c r="BM15720" s="1025"/>
      <c r="BO15720" s="43"/>
    </row>
    <row r="15721" spans="65:67" ht="18.75" customHeight="1">
      <c r="BM15721" s="1025"/>
      <c r="BO15721" s="43"/>
    </row>
    <row r="15722" spans="65:67" ht="18.75" customHeight="1">
      <c r="BM15722" s="1025"/>
      <c r="BO15722" s="43"/>
    </row>
    <row r="15723" spans="65:67" ht="18.75" customHeight="1">
      <c r="BM15723" s="1025"/>
      <c r="BO15723" s="43"/>
    </row>
    <row r="15724" spans="65:67" ht="18.75" customHeight="1">
      <c r="BM15724" s="1025"/>
      <c r="BO15724" s="43"/>
    </row>
    <row r="15725" spans="65:67" ht="18.75" customHeight="1">
      <c r="BM15725" s="1025"/>
      <c r="BO15725" s="43"/>
    </row>
    <row r="15726" spans="65:67" ht="18.75" customHeight="1">
      <c r="BM15726" s="1025"/>
      <c r="BO15726" s="43"/>
    </row>
    <row r="15727" spans="65:67" ht="18.75" customHeight="1">
      <c r="BM15727" s="1025"/>
      <c r="BO15727" s="43"/>
    </row>
    <row r="15728" spans="65:67" ht="18.75" customHeight="1">
      <c r="BM15728" s="1025"/>
      <c r="BO15728" s="43"/>
    </row>
    <row r="15729" spans="65:67" ht="18.75" customHeight="1">
      <c r="BM15729" s="1025"/>
      <c r="BO15729" s="43"/>
    </row>
    <row r="15730" spans="65:67" ht="18.75" customHeight="1">
      <c r="BM15730" s="1025"/>
      <c r="BO15730" s="43"/>
    </row>
    <row r="15731" spans="65:67" ht="18.75" customHeight="1">
      <c r="BM15731" s="1025"/>
      <c r="BO15731" s="43"/>
    </row>
    <row r="15732" spans="65:67" ht="18.75" customHeight="1">
      <c r="BM15732" s="1025"/>
      <c r="BO15732" s="43"/>
    </row>
    <row r="15733" spans="65:67" ht="18.75" customHeight="1">
      <c r="BM15733" s="1025"/>
      <c r="BO15733" s="43"/>
    </row>
    <row r="15734" spans="65:67" ht="18.75" customHeight="1">
      <c r="BM15734" s="1025"/>
      <c r="BO15734" s="43"/>
    </row>
    <row r="15735" spans="65:67" ht="18.75" customHeight="1">
      <c r="BM15735" s="1025"/>
      <c r="BO15735" s="43"/>
    </row>
    <row r="15736" spans="65:67" ht="18.75" customHeight="1">
      <c r="BM15736" s="1025"/>
      <c r="BO15736" s="43"/>
    </row>
    <row r="15737" spans="65:67" ht="18.75" customHeight="1">
      <c r="BM15737" s="1025"/>
      <c r="BO15737" s="43"/>
    </row>
    <row r="15738" spans="65:67" ht="18.75" customHeight="1">
      <c r="BM15738" s="1025"/>
      <c r="BO15738" s="43"/>
    </row>
    <row r="15739" spans="65:67" ht="18.75" customHeight="1">
      <c r="BM15739" s="1025"/>
      <c r="BO15739" s="43"/>
    </row>
    <row r="15740" spans="65:67" ht="18.75" customHeight="1">
      <c r="BM15740" s="1025"/>
      <c r="BO15740" s="43"/>
    </row>
    <row r="15741" spans="65:67" ht="18.75" customHeight="1">
      <c r="BM15741" s="1025"/>
      <c r="BO15741" s="43"/>
    </row>
    <row r="15742" spans="65:67" ht="18.75" customHeight="1">
      <c r="BM15742" s="1025"/>
      <c r="BO15742" s="43"/>
    </row>
    <row r="15743" spans="65:67" ht="18.75" customHeight="1">
      <c r="BM15743" s="1025"/>
      <c r="BO15743" s="43"/>
    </row>
    <row r="15744" spans="65:67" ht="18.75" customHeight="1">
      <c r="BM15744" s="1025"/>
      <c r="BO15744" s="43"/>
    </row>
    <row r="15745" spans="65:67" ht="18.75" customHeight="1">
      <c r="BM15745" s="1025"/>
      <c r="BO15745" s="43"/>
    </row>
    <row r="15746" spans="65:67" ht="18.75" customHeight="1">
      <c r="BM15746" s="1025"/>
      <c r="BO15746" s="43"/>
    </row>
    <row r="15747" spans="65:67" ht="18.75" customHeight="1">
      <c r="BM15747" s="1025"/>
      <c r="BO15747" s="43"/>
    </row>
    <row r="15748" spans="65:67" ht="18.75" customHeight="1">
      <c r="BM15748" s="1025"/>
      <c r="BO15748" s="43"/>
    </row>
    <row r="15749" spans="65:67" ht="18.75" customHeight="1">
      <c r="BM15749" s="1025"/>
      <c r="BO15749" s="43"/>
    </row>
    <row r="15750" spans="65:67" ht="18.75" customHeight="1">
      <c r="BM15750" s="1025"/>
      <c r="BO15750" s="43"/>
    </row>
    <row r="15751" spans="65:67" ht="18.75" customHeight="1">
      <c r="BM15751" s="1025"/>
      <c r="BO15751" s="43"/>
    </row>
    <row r="15752" spans="65:67" ht="18.75" customHeight="1">
      <c r="BM15752" s="1025"/>
      <c r="BO15752" s="43"/>
    </row>
    <row r="15753" spans="65:67" ht="18.75" customHeight="1">
      <c r="BM15753" s="1025"/>
      <c r="BO15753" s="43"/>
    </row>
    <row r="15754" spans="65:67" ht="18.75" customHeight="1">
      <c r="BM15754" s="1025"/>
      <c r="BO15754" s="43"/>
    </row>
    <row r="15755" spans="65:67" ht="18.75" customHeight="1">
      <c r="BM15755" s="1025"/>
      <c r="BO15755" s="43"/>
    </row>
    <row r="15756" spans="65:67" ht="18.75" customHeight="1">
      <c r="BM15756" s="1025"/>
      <c r="BO15756" s="43"/>
    </row>
    <row r="15757" spans="65:67" ht="18.75" customHeight="1">
      <c r="BM15757" s="1025"/>
      <c r="BO15757" s="43"/>
    </row>
    <row r="15758" spans="65:67" ht="18.75" customHeight="1">
      <c r="BM15758" s="1025"/>
      <c r="BO15758" s="43"/>
    </row>
    <row r="15759" spans="65:67" ht="18.75" customHeight="1">
      <c r="BM15759" s="1025"/>
      <c r="BO15759" s="43"/>
    </row>
    <row r="15760" spans="65:67" ht="18.75" customHeight="1">
      <c r="BM15760" s="1025"/>
      <c r="BO15760" s="43"/>
    </row>
    <row r="15761" spans="65:67" ht="18.75" customHeight="1">
      <c r="BM15761" s="1025"/>
      <c r="BO15761" s="43"/>
    </row>
    <row r="15762" spans="65:67" ht="18.75" customHeight="1">
      <c r="BM15762" s="1025"/>
      <c r="BO15762" s="43"/>
    </row>
    <row r="15763" spans="65:67" ht="18.75" customHeight="1">
      <c r="BM15763" s="1025"/>
      <c r="BO15763" s="43"/>
    </row>
    <row r="15764" spans="65:67" ht="18.75" customHeight="1">
      <c r="BM15764" s="1025"/>
      <c r="BO15764" s="43"/>
    </row>
    <row r="15765" spans="65:67" ht="18.75" customHeight="1">
      <c r="BM15765" s="1025"/>
      <c r="BO15765" s="43"/>
    </row>
    <row r="15766" spans="65:67" ht="18.75" customHeight="1">
      <c r="BM15766" s="1025"/>
      <c r="BO15766" s="43"/>
    </row>
    <row r="15767" spans="65:67" ht="18.75" customHeight="1">
      <c r="BM15767" s="1025"/>
      <c r="BO15767" s="43"/>
    </row>
    <row r="15768" spans="65:67" ht="18.75" customHeight="1">
      <c r="BM15768" s="1025"/>
      <c r="BO15768" s="43"/>
    </row>
    <row r="15769" spans="65:67" ht="18.75" customHeight="1">
      <c r="BM15769" s="1025"/>
      <c r="BO15769" s="43"/>
    </row>
    <row r="15770" spans="65:67" ht="18.75" customHeight="1">
      <c r="BM15770" s="1025"/>
      <c r="BO15770" s="43"/>
    </row>
    <row r="15771" spans="65:67" ht="18.75" customHeight="1">
      <c r="BM15771" s="1025"/>
      <c r="BO15771" s="43"/>
    </row>
    <row r="15772" spans="65:67" ht="18.75" customHeight="1">
      <c r="BM15772" s="1025"/>
      <c r="BO15772" s="43"/>
    </row>
    <row r="15773" spans="65:67" ht="18.75" customHeight="1">
      <c r="BM15773" s="1025"/>
      <c r="BO15773" s="43"/>
    </row>
    <row r="15774" spans="65:67" ht="18.75" customHeight="1">
      <c r="BM15774" s="1025"/>
      <c r="BO15774" s="43"/>
    </row>
    <row r="15775" spans="65:67" ht="18.75" customHeight="1">
      <c r="BM15775" s="1025"/>
      <c r="BO15775" s="43"/>
    </row>
    <row r="15776" spans="65:67" ht="18.75" customHeight="1">
      <c r="BM15776" s="1025"/>
      <c r="BO15776" s="43"/>
    </row>
    <row r="15777" spans="65:67" ht="18.75" customHeight="1">
      <c r="BM15777" s="1025"/>
      <c r="BO15777" s="43"/>
    </row>
    <row r="15778" spans="65:67" ht="18.75" customHeight="1">
      <c r="BM15778" s="1025"/>
      <c r="BO15778" s="43"/>
    </row>
    <row r="15779" spans="65:67" ht="18.75" customHeight="1">
      <c r="BM15779" s="1025"/>
      <c r="BO15779" s="43"/>
    </row>
    <row r="15780" spans="65:67" ht="18.75" customHeight="1">
      <c r="BM15780" s="1025"/>
      <c r="BO15780" s="43"/>
    </row>
    <row r="15781" spans="65:67" ht="18.75" customHeight="1">
      <c r="BM15781" s="1025"/>
      <c r="BO15781" s="43"/>
    </row>
    <row r="15782" spans="65:67" ht="18.75" customHeight="1">
      <c r="BM15782" s="1025"/>
      <c r="BO15782" s="43"/>
    </row>
    <row r="15783" spans="65:67" ht="18.75" customHeight="1">
      <c r="BM15783" s="1025"/>
      <c r="BO15783" s="43"/>
    </row>
    <row r="15784" spans="65:67" ht="18.75" customHeight="1">
      <c r="BM15784" s="1025"/>
      <c r="BO15784" s="43"/>
    </row>
    <row r="15785" spans="65:67" ht="18.75" customHeight="1">
      <c r="BM15785" s="1025"/>
      <c r="BO15785" s="43"/>
    </row>
    <row r="15786" spans="65:67" ht="18.75" customHeight="1">
      <c r="BM15786" s="1025"/>
      <c r="BO15786" s="43"/>
    </row>
    <row r="15787" spans="65:67" ht="18.75" customHeight="1">
      <c r="BM15787" s="1025"/>
      <c r="BO15787" s="43"/>
    </row>
    <row r="15788" spans="65:67" ht="18.75" customHeight="1">
      <c r="BM15788" s="1025"/>
      <c r="BO15788" s="43"/>
    </row>
    <row r="15789" spans="65:67" ht="18.75" customHeight="1">
      <c r="BM15789" s="1025"/>
      <c r="BO15789" s="43"/>
    </row>
    <row r="15790" spans="65:67" ht="18.75" customHeight="1">
      <c r="BM15790" s="1025"/>
      <c r="BO15790" s="43"/>
    </row>
    <row r="15791" spans="65:67" ht="18.75" customHeight="1">
      <c r="BM15791" s="1025"/>
      <c r="BO15791" s="43"/>
    </row>
    <row r="15792" spans="65:67" ht="18.75" customHeight="1">
      <c r="BM15792" s="1025"/>
      <c r="BO15792" s="43"/>
    </row>
    <row r="15793" spans="65:67" ht="18.75" customHeight="1">
      <c r="BM15793" s="1025"/>
      <c r="BO15793" s="43"/>
    </row>
    <row r="15794" spans="65:67" ht="18.75" customHeight="1">
      <c r="BM15794" s="1025"/>
      <c r="BO15794" s="43"/>
    </row>
    <row r="15795" spans="65:67" ht="18.75" customHeight="1">
      <c r="BM15795" s="1025"/>
      <c r="BO15795" s="43"/>
    </row>
    <row r="15796" spans="65:67" ht="18.75" customHeight="1">
      <c r="BM15796" s="1025"/>
      <c r="BO15796" s="43"/>
    </row>
    <row r="15797" spans="65:67" ht="18.75" customHeight="1">
      <c r="BM15797" s="1025"/>
      <c r="BO15797" s="43"/>
    </row>
    <row r="15798" spans="65:67" ht="18.75" customHeight="1">
      <c r="BM15798" s="1025"/>
      <c r="BO15798" s="43"/>
    </row>
    <row r="15799" spans="65:67" ht="18.75" customHeight="1">
      <c r="BM15799" s="1025"/>
      <c r="BO15799" s="43"/>
    </row>
    <row r="15800" spans="65:67" ht="18.75" customHeight="1">
      <c r="BM15800" s="1025"/>
      <c r="BO15800" s="43"/>
    </row>
    <row r="15801" spans="65:67" ht="18.75" customHeight="1">
      <c r="BM15801" s="1025"/>
      <c r="BO15801" s="43"/>
    </row>
    <row r="15802" spans="65:67" ht="18.75" customHeight="1">
      <c r="BM15802" s="1025"/>
      <c r="BO15802" s="43"/>
    </row>
    <row r="15803" spans="65:67" ht="18.75" customHeight="1">
      <c r="BM15803" s="1025"/>
      <c r="BO15803" s="43"/>
    </row>
    <row r="15804" spans="65:67" ht="18.75" customHeight="1">
      <c r="BM15804" s="1025"/>
      <c r="BO15804" s="43"/>
    </row>
    <row r="15805" spans="65:67" ht="18.75" customHeight="1">
      <c r="BM15805" s="1025"/>
      <c r="BO15805" s="43"/>
    </row>
    <row r="15806" spans="65:67" ht="18.75" customHeight="1">
      <c r="BM15806" s="1025"/>
      <c r="BO15806" s="43"/>
    </row>
    <row r="15807" spans="65:67" ht="18.75" customHeight="1">
      <c r="BM15807" s="1025"/>
      <c r="BO15807" s="43"/>
    </row>
    <row r="15808" spans="65:67" ht="18.75" customHeight="1">
      <c r="BM15808" s="1025"/>
      <c r="BO15808" s="43"/>
    </row>
    <row r="15809" spans="65:67" ht="18.75" customHeight="1">
      <c r="BM15809" s="1025"/>
      <c r="BO15809" s="43"/>
    </row>
    <row r="15810" spans="65:67" ht="18.75" customHeight="1">
      <c r="BM15810" s="1025"/>
      <c r="BO15810" s="43"/>
    </row>
    <row r="15811" spans="65:67" ht="18.75" customHeight="1">
      <c r="BM15811" s="1025"/>
      <c r="BO15811" s="43"/>
    </row>
    <row r="15812" spans="65:67" ht="18.75" customHeight="1">
      <c r="BM15812" s="1025"/>
      <c r="BO15812" s="43"/>
    </row>
    <row r="15813" spans="65:67" ht="18.75" customHeight="1">
      <c r="BM15813" s="1025"/>
      <c r="BO15813" s="43"/>
    </row>
    <row r="15814" spans="65:67" ht="18.75" customHeight="1">
      <c r="BM15814" s="1025"/>
      <c r="BO15814" s="43"/>
    </row>
    <row r="15815" spans="65:67" ht="18.75" customHeight="1">
      <c r="BM15815" s="1025"/>
      <c r="BO15815" s="43"/>
    </row>
    <row r="15816" spans="65:67" ht="18.75" customHeight="1">
      <c r="BM15816" s="1025"/>
      <c r="BO15816" s="43"/>
    </row>
    <row r="15817" spans="65:67" ht="18.75" customHeight="1">
      <c r="BM15817" s="1025"/>
      <c r="BO15817" s="43"/>
    </row>
    <row r="15818" spans="65:67" ht="18.75" customHeight="1">
      <c r="BM15818" s="1025"/>
      <c r="BO15818" s="43"/>
    </row>
    <row r="15819" spans="65:67" ht="18.75" customHeight="1">
      <c r="BM15819" s="1025"/>
      <c r="BO15819" s="43"/>
    </row>
    <row r="15820" spans="65:67" ht="18.75" customHeight="1">
      <c r="BM15820" s="1025"/>
      <c r="BO15820" s="43"/>
    </row>
    <row r="15821" spans="65:67" ht="18.75" customHeight="1">
      <c r="BM15821" s="1025"/>
      <c r="BO15821" s="43"/>
    </row>
    <row r="15822" spans="65:67" ht="18.75" customHeight="1">
      <c r="BM15822" s="1025"/>
      <c r="BO15822" s="43"/>
    </row>
    <row r="15823" spans="65:67" ht="18.75" customHeight="1">
      <c r="BM15823" s="1025"/>
      <c r="BO15823" s="43"/>
    </row>
    <row r="15824" spans="65:67" ht="18.75" customHeight="1">
      <c r="BM15824" s="1025"/>
      <c r="BO15824" s="43"/>
    </row>
    <row r="15825" spans="65:67" ht="18.75" customHeight="1">
      <c r="BM15825" s="1025"/>
      <c r="BO15825" s="43"/>
    </row>
    <row r="15826" spans="65:67" ht="18.75" customHeight="1">
      <c r="BM15826" s="1025"/>
      <c r="BO15826" s="43"/>
    </row>
    <row r="15827" spans="65:67" ht="18.75" customHeight="1">
      <c r="BM15827" s="1025"/>
      <c r="BO15827" s="43"/>
    </row>
    <row r="15828" spans="65:67" ht="18.75" customHeight="1">
      <c r="BM15828" s="1025"/>
      <c r="BO15828" s="43"/>
    </row>
    <row r="15829" spans="65:67" ht="18.75" customHeight="1">
      <c r="BM15829" s="1025"/>
      <c r="BO15829" s="43"/>
    </row>
    <row r="15830" spans="65:67" ht="18.75" customHeight="1">
      <c r="BM15830" s="1025"/>
      <c r="BO15830" s="43"/>
    </row>
    <row r="15831" spans="65:67" ht="18.75" customHeight="1">
      <c r="BM15831" s="1025"/>
      <c r="BO15831" s="43"/>
    </row>
    <row r="15832" spans="65:67" ht="18.75" customHeight="1">
      <c r="BM15832" s="1025"/>
      <c r="BO15832" s="43"/>
    </row>
    <row r="15833" spans="65:67" ht="18.75" customHeight="1">
      <c r="BM15833" s="1025"/>
      <c r="BO15833" s="43"/>
    </row>
    <row r="15834" spans="65:67" ht="18.75" customHeight="1">
      <c r="BM15834" s="1025"/>
      <c r="BO15834" s="43"/>
    </row>
    <row r="15835" spans="65:67" ht="18.75" customHeight="1">
      <c r="BM15835" s="1025"/>
      <c r="BO15835" s="43"/>
    </row>
    <row r="15836" spans="65:67" ht="18.75" customHeight="1">
      <c r="BM15836" s="1025"/>
      <c r="BO15836" s="43"/>
    </row>
    <row r="15837" spans="65:67" ht="18.75" customHeight="1">
      <c r="BM15837" s="1025"/>
      <c r="BO15837" s="43"/>
    </row>
    <row r="15838" spans="65:67" ht="18.75" customHeight="1">
      <c r="BM15838" s="1025"/>
      <c r="BO15838" s="43"/>
    </row>
    <row r="15839" spans="65:67" ht="18.75" customHeight="1">
      <c r="BM15839" s="1025"/>
      <c r="BO15839" s="43"/>
    </row>
    <row r="15840" spans="65:67" ht="18.75" customHeight="1">
      <c r="BM15840" s="1025"/>
      <c r="BO15840" s="43"/>
    </row>
    <row r="15841" spans="65:67" ht="18.75" customHeight="1">
      <c r="BM15841" s="1025"/>
      <c r="BO15841" s="43"/>
    </row>
    <row r="15842" spans="65:67" ht="18.75" customHeight="1">
      <c r="BM15842" s="1025"/>
      <c r="BO15842" s="43"/>
    </row>
    <row r="15843" spans="65:67" ht="18.75" customHeight="1">
      <c r="BM15843" s="1025"/>
      <c r="BO15843" s="43"/>
    </row>
    <row r="15844" spans="65:67" ht="18.75" customHeight="1">
      <c r="BM15844" s="1025"/>
      <c r="BO15844" s="43"/>
    </row>
    <row r="15845" spans="65:67" ht="18.75" customHeight="1">
      <c r="BM15845" s="1025"/>
      <c r="BO15845" s="43"/>
    </row>
    <row r="15846" spans="65:67" ht="18.75" customHeight="1">
      <c r="BM15846" s="1025"/>
      <c r="BO15846" s="43"/>
    </row>
    <row r="15847" spans="65:67" ht="18.75" customHeight="1">
      <c r="BM15847" s="1025"/>
      <c r="BO15847" s="43"/>
    </row>
    <row r="15848" spans="65:67" ht="18.75" customHeight="1">
      <c r="BM15848" s="1025"/>
      <c r="BO15848" s="43"/>
    </row>
    <row r="15849" spans="65:67" ht="18.75" customHeight="1">
      <c r="BM15849" s="1025"/>
      <c r="BO15849" s="43"/>
    </row>
    <row r="15850" spans="65:67" ht="18.75" customHeight="1">
      <c r="BM15850" s="1025"/>
      <c r="BO15850" s="43"/>
    </row>
    <row r="15851" spans="65:67" ht="18.75" customHeight="1">
      <c r="BM15851" s="1025"/>
      <c r="BO15851" s="43"/>
    </row>
    <row r="15852" spans="65:67" ht="18.75" customHeight="1">
      <c r="BM15852" s="1025"/>
      <c r="BO15852" s="43"/>
    </row>
    <row r="15853" spans="65:67" ht="18.75" customHeight="1">
      <c r="BM15853" s="1025"/>
      <c r="BO15853" s="43"/>
    </row>
    <row r="15854" spans="65:67" ht="18.75" customHeight="1">
      <c r="BM15854" s="1025"/>
      <c r="BO15854" s="43"/>
    </row>
    <row r="15855" spans="65:67" ht="18.75" customHeight="1">
      <c r="BM15855" s="1025"/>
      <c r="BO15855" s="43"/>
    </row>
    <row r="15856" spans="65:67" ht="18.75" customHeight="1">
      <c r="BM15856" s="1025"/>
      <c r="BO15856" s="43"/>
    </row>
    <row r="15857" spans="65:67" ht="18.75" customHeight="1">
      <c r="BM15857" s="1025"/>
      <c r="BO15857" s="43"/>
    </row>
    <row r="15858" spans="65:67" ht="18.75" customHeight="1">
      <c r="BM15858" s="1025"/>
      <c r="BO15858" s="43"/>
    </row>
    <row r="15859" spans="65:67" ht="18.75" customHeight="1">
      <c r="BM15859" s="1025"/>
      <c r="BO15859" s="43"/>
    </row>
    <row r="15860" spans="65:67" ht="18.75" customHeight="1">
      <c r="BM15860" s="1025"/>
      <c r="BO15860" s="43"/>
    </row>
    <row r="15861" spans="65:67" ht="18.75" customHeight="1">
      <c r="BM15861" s="1025"/>
      <c r="BO15861" s="43"/>
    </row>
    <row r="15862" spans="65:67" ht="18.75" customHeight="1">
      <c r="BM15862" s="1025"/>
      <c r="BO15862" s="43"/>
    </row>
    <row r="15863" spans="65:67" ht="18.75" customHeight="1">
      <c r="BM15863" s="1025"/>
      <c r="BO15863" s="43"/>
    </row>
    <row r="15864" spans="65:67" ht="18.75" customHeight="1">
      <c r="BM15864" s="1025"/>
      <c r="BO15864" s="43"/>
    </row>
    <row r="15865" spans="65:67" ht="18.75" customHeight="1">
      <c r="BM15865" s="1025"/>
      <c r="BO15865" s="43"/>
    </row>
    <row r="15866" spans="65:67" ht="18.75" customHeight="1">
      <c r="BM15866" s="1025"/>
      <c r="BO15866" s="43"/>
    </row>
    <row r="15867" spans="65:67" ht="18.75" customHeight="1">
      <c r="BM15867" s="1025"/>
      <c r="BO15867" s="43"/>
    </row>
    <row r="15868" spans="65:67" ht="18.75" customHeight="1">
      <c r="BM15868" s="1025"/>
      <c r="BO15868" s="43"/>
    </row>
    <row r="15869" spans="65:67" ht="18.75" customHeight="1">
      <c r="BM15869" s="1025"/>
      <c r="BO15869" s="43"/>
    </row>
    <row r="15870" spans="65:67" ht="18.75" customHeight="1">
      <c r="BM15870" s="1025"/>
      <c r="BO15870" s="43"/>
    </row>
    <row r="15871" spans="65:67" ht="18.75" customHeight="1">
      <c r="BM15871" s="1025"/>
      <c r="BO15871" s="43"/>
    </row>
    <row r="15872" spans="65:67" ht="18.75" customHeight="1">
      <c r="BM15872" s="1025"/>
      <c r="BO15872" s="43"/>
    </row>
    <row r="15873" spans="65:67" ht="18.75" customHeight="1">
      <c r="BM15873" s="1025"/>
      <c r="BO15873" s="43"/>
    </row>
    <row r="15874" spans="65:67" ht="18.75" customHeight="1">
      <c r="BM15874" s="1025"/>
      <c r="BO15874" s="43"/>
    </row>
    <row r="15875" spans="65:67" ht="18.75" customHeight="1">
      <c r="BM15875" s="1025"/>
      <c r="BO15875" s="43"/>
    </row>
    <row r="15876" spans="65:67" ht="18.75" customHeight="1">
      <c r="BM15876" s="1025"/>
      <c r="BO15876" s="43"/>
    </row>
    <row r="15877" spans="65:67" ht="18.75" customHeight="1">
      <c r="BM15877" s="1025"/>
      <c r="BO15877" s="43"/>
    </row>
    <row r="15878" spans="65:67" ht="18.75" customHeight="1">
      <c r="BM15878" s="1025"/>
      <c r="BO15878" s="43"/>
    </row>
    <row r="15879" spans="65:67" ht="18.75" customHeight="1">
      <c r="BM15879" s="1025"/>
      <c r="BO15879" s="43"/>
    </row>
    <row r="15880" spans="65:67" ht="18.75" customHeight="1">
      <c r="BM15880" s="1025"/>
      <c r="BO15880" s="43"/>
    </row>
    <row r="15881" spans="65:67" ht="18.75" customHeight="1">
      <c r="BM15881" s="1025"/>
      <c r="BO15881" s="43"/>
    </row>
    <row r="15882" spans="65:67" ht="18.75" customHeight="1">
      <c r="BM15882" s="1025"/>
      <c r="BO15882" s="43"/>
    </row>
    <row r="15883" spans="65:67" ht="18.75" customHeight="1">
      <c r="BM15883" s="1025"/>
      <c r="BO15883" s="43"/>
    </row>
    <row r="15884" spans="65:67" ht="18.75" customHeight="1">
      <c r="BM15884" s="1025"/>
      <c r="BO15884" s="43"/>
    </row>
    <row r="15885" spans="65:67" ht="18.75" customHeight="1">
      <c r="BM15885" s="1025"/>
      <c r="BO15885" s="43"/>
    </row>
    <row r="15886" spans="65:67" ht="18.75" customHeight="1">
      <c r="BM15886" s="1025"/>
      <c r="BO15886" s="43"/>
    </row>
    <row r="15887" spans="65:67" ht="18.75" customHeight="1">
      <c r="BM15887" s="1025"/>
      <c r="BO15887" s="43"/>
    </row>
    <row r="15888" spans="65:67" ht="18.75" customHeight="1">
      <c r="BM15888" s="1025"/>
      <c r="BO15888" s="43"/>
    </row>
    <row r="15889" spans="65:67" ht="18.75" customHeight="1">
      <c r="BM15889" s="1025"/>
      <c r="BO15889" s="43"/>
    </row>
    <row r="15890" spans="65:67" ht="18.75" customHeight="1">
      <c r="BM15890" s="1025"/>
      <c r="BO15890" s="43"/>
    </row>
    <row r="15891" spans="65:67" ht="18.75" customHeight="1">
      <c r="BM15891" s="1025"/>
      <c r="BO15891" s="43"/>
    </row>
    <row r="15892" spans="65:67" ht="18.75" customHeight="1">
      <c r="BM15892" s="1025"/>
      <c r="BO15892" s="43"/>
    </row>
    <row r="15893" spans="65:67" ht="18.75" customHeight="1">
      <c r="BM15893" s="1025"/>
      <c r="BO15893" s="43"/>
    </row>
    <row r="15894" spans="65:67" ht="18.75" customHeight="1">
      <c r="BM15894" s="1025"/>
      <c r="BO15894" s="43"/>
    </row>
    <row r="15895" spans="65:67" ht="18.75" customHeight="1">
      <c r="BM15895" s="1025"/>
      <c r="BO15895" s="43"/>
    </row>
    <row r="15896" spans="65:67" ht="18.75" customHeight="1">
      <c r="BM15896" s="1025"/>
      <c r="BO15896" s="43"/>
    </row>
    <row r="15897" spans="65:67" ht="18.75" customHeight="1">
      <c r="BM15897" s="1025"/>
      <c r="BO15897" s="43"/>
    </row>
    <row r="15898" spans="65:67" ht="18.75" customHeight="1">
      <c r="BM15898" s="1025"/>
      <c r="BO15898" s="43"/>
    </row>
    <row r="15899" spans="65:67" ht="18.75" customHeight="1">
      <c r="BM15899" s="1025"/>
      <c r="BO15899" s="43"/>
    </row>
    <row r="15900" spans="65:67" ht="18.75" customHeight="1">
      <c r="BM15900" s="1025"/>
      <c r="BO15900" s="43"/>
    </row>
    <row r="15901" spans="65:67" ht="18.75" customHeight="1">
      <c r="BM15901" s="1025"/>
      <c r="BO15901" s="43"/>
    </row>
    <row r="15902" spans="65:67" ht="18.75" customHeight="1">
      <c r="BM15902" s="1025"/>
      <c r="BO15902" s="43"/>
    </row>
    <row r="15903" spans="65:67" ht="18.75" customHeight="1">
      <c r="BM15903" s="1025"/>
      <c r="BO15903" s="43"/>
    </row>
    <row r="15904" spans="65:67" ht="18.75" customHeight="1">
      <c r="BM15904" s="1025"/>
      <c r="BO15904" s="43"/>
    </row>
    <row r="15905" spans="65:67" ht="18.75" customHeight="1">
      <c r="BM15905" s="1025"/>
      <c r="BO15905" s="43"/>
    </row>
    <row r="15906" spans="65:67" ht="18.75" customHeight="1">
      <c r="BM15906" s="1025"/>
      <c r="BO15906" s="43"/>
    </row>
    <row r="15907" spans="65:67" ht="18.75" customHeight="1">
      <c r="BM15907" s="1025"/>
      <c r="BO15907" s="43"/>
    </row>
    <row r="15908" spans="65:67" ht="18.75" customHeight="1">
      <c r="BM15908" s="1025"/>
      <c r="BO15908" s="43"/>
    </row>
    <row r="15909" spans="65:67" ht="18.75" customHeight="1">
      <c r="BM15909" s="1025"/>
      <c r="BO15909" s="43"/>
    </row>
    <row r="15910" spans="65:67" ht="18.75" customHeight="1">
      <c r="BM15910" s="1025"/>
      <c r="BO15910" s="43"/>
    </row>
    <row r="15911" spans="65:67" ht="18.75" customHeight="1">
      <c r="BM15911" s="1025"/>
      <c r="BO15911" s="43"/>
    </row>
    <row r="15912" spans="65:67" ht="18.75" customHeight="1">
      <c r="BM15912" s="1025"/>
      <c r="BO15912" s="43"/>
    </row>
    <row r="15913" spans="65:67" ht="18.75" customHeight="1">
      <c r="BM15913" s="1025"/>
      <c r="BO15913" s="43"/>
    </row>
    <row r="15914" spans="65:67" ht="18.75" customHeight="1">
      <c r="BM15914" s="1025"/>
      <c r="BO15914" s="43"/>
    </row>
    <row r="15915" spans="65:67" ht="18.75" customHeight="1">
      <c r="BM15915" s="1025"/>
      <c r="BO15915" s="43"/>
    </row>
    <row r="15916" spans="65:67" ht="18.75" customHeight="1">
      <c r="BM15916" s="1025"/>
      <c r="BO15916" s="43"/>
    </row>
    <row r="15917" spans="65:67" ht="18.75" customHeight="1">
      <c r="BM15917" s="1025"/>
      <c r="BO15917" s="43"/>
    </row>
    <row r="15918" spans="65:67" ht="18.75" customHeight="1">
      <c r="BM15918" s="1025"/>
      <c r="BO15918" s="43"/>
    </row>
    <row r="15919" spans="65:67" ht="18.75" customHeight="1">
      <c r="BM15919" s="1025"/>
      <c r="BO15919" s="43"/>
    </row>
    <row r="15920" spans="65:67" ht="18.75" customHeight="1">
      <c r="BM15920" s="1025"/>
      <c r="BO15920" s="43"/>
    </row>
    <row r="15921" spans="65:67" ht="18.75" customHeight="1">
      <c r="BM15921" s="1025"/>
      <c r="BO15921" s="43"/>
    </row>
    <row r="15922" spans="65:67" ht="18.75" customHeight="1">
      <c r="BM15922" s="1025"/>
      <c r="BO15922" s="43"/>
    </row>
    <row r="15923" spans="65:67" ht="18.75" customHeight="1">
      <c r="BM15923" s="1025"/>
      <c r="BO15923" s="43"/>
    </row>
    <row r="15924" spans="65:67" ht="18.75" customHeight="1">
      <c r="BM15924" s="1025"/>
      <c r="BO15924" s="43"/>
    </row>
    <row r="15925" spans="65:67" ht="18.75" customHeight="1">
      <c r="BM15925" s="1025"/>
      <c r="BO15925" s="43"/>
    </row>
    <row r="15926" spans="65:67" ht="18.75" customHeight="1">
      <c r="BM15926" s="1025"/>
      <c r="BO15926" s="43"/>
    </row>
    <row r="15927" spans="65:67" ht="18.75" customHeight="1">
      <c r="BM15927" s="1025"/>
      <c r="BO15927" s="43"/>
    </row>
    <row r="15928" spans="65:67" ht="18.75" customHeight="1">
      <c r="BM15928" s="1025"/>
      <c r="BO15928" s="43"/>
    </row>
    <row r="15929" spans="65:67" ht="18.75" customHeight="1">
      <c r="BM15929" s="1025"/>
      <c r="BO15929" s="43"/>
    </row>
    <row r="15930" spans="65:67" ht="18.75" customHeight="1">
      <c r="BM15930" s="1025"/>
      <c r="BO15930" s="43"/>
    </row>
    <row r="15931" spans="65:67" ht="18.75" customHeight="1">
      <c r="BM15931" s="1025"/>
      <c r="BO15931" s="43"/>
    </row>
    <row r="15932" spans="65:67" ht="18.75" customHeight="1">
      <c r="BM15932" s="1025"/>
      <c r="BO15932" s="43"/>
    </row>
    <row r="15933" spans="65:67" ht="18.75" customHeight="1">
      <c r="BM15933" s="1025"/>
      <c r="BO15933" s="43"/>
    </row>
    <row r="15934" spans="65:67" ht="18.75" customHeight="1">
      <c r="BM15934" s="1025"/>
      <c r="BO15934" s="43"/>
    </row>
    <row r="15935" spans="65:67" ht="18.75" customHeight="1">
      <c r="BM15935" s="1025"/>
      <c r="BO15935" s="43"/>
    </row>
    <row r="15936" spans="65:67" ht="18.75" customHeight="1">
      <c r="BM15936" s="1025"/>
      <c r="BO15936" s="43"/>
    </row>
    <row r="15937" spans="65:67" ht="18.75" customHeight="1">
      <c r="BM15937" s="1025"/>
      <c r="BO15937" s="43"/>
    </row>
    <row r="15938" spans="65:67" ht="18.75" customHeight="1">
      <c r="BM15938" s="1025"/>
      <c r="BO15938" s="43"/>
    </row>
    <row r="15939" spans="65:67" ht="18.75" customHeight="1">
      <c r="BM15939" s="1025"/>
      <c r="BO15939" s="43"/>
    </row>
    <row r="15940" spans="65:67" ht="18.75" customHeight="1">
      <c r="BM15940" s="1025"/>
      <c r="BO15940" s="43"/>
    </row>
    <row r="15941" spans="65:67" ht="18.75" customHeight="1">
      <c r="BM15941" s="1025"/>
      <c r="BO15941" s="43"/>
    </row>
    <row r="15942" spans="65:67" ht="18.75" customHeight="1">
      <c r="BM15942" s="1025"/>
      <c r="BO15942" s="43"/>
    </row>
    <row r="15943" spans="65:67" ht="18.75" customHeight="1">
      <c r="BM15943" s="1025"/>
      <c r="BO15943" s="43"/>
    </row>
    <row r="15944" spans="65:67" ht="18.75" customHeight="1">
      <c r="BM15944" s="1025"/>
      <c r="BO15944" s="43"/>
    </row>
    <row r="15945" spans="65:67" ht="18.75" customHeight="1">
      <c r="BM15945" s="1025"/>
      <c r="BO15945" s="43"/>
    </row>
    <row r="15946" spans="65:67" ht="18.75" customHeight="1">
      <c r="BM15946" s="1025"/>
      <c r="BO15946" s="43"/>
    </row>
    <row r="15947" spans="65:67" ht="18.75" customHeight="1">
      <c r="BM15947" s="1025"/>
      <c r="BO15947" s="43"/>
    </row>
    <row r="15948" spans="65:67" ht="18.75" customHeight="1">
      <c r="BM15948" s="1025"/>
      <c r="BO15948" s="43"/>
    </row>
    <row r="15949" spans="65:67" ht="18.75" customHeight="1">
      <c r="BM15949" s="1025"/>
      <c r="BO15949" s="43"/>
    </row>
    <row r="15950" spans="65:67" ht="18.75" customHeight="1">
      <c r="BM15950" s="1025"/>
      <c r="BO15950" s="43"/>
    </row>
    <row r="15951" spans="65:67" ht="18.75" customHeight="1">
      <c r="BM15951" s="1025"/>
      <c r="BO15951" s="43"/>
    </row>
    <row r="15952" spans="65:67" ht="18.75" customHeight="1">
      <c r="BM15952" s="1025"/>
      <c r="BO15952" s="43"/>
    </row>
    <row r="15953" spans="65:67" ht="18.75" customHeight="1">
      <c r="BM15953" s="1025"/>
      <c r="BO15953" s="43"/>
    </row>
    <row r="15954" spans="65:67" ht="18.75" customHeight="1">
      <c r="BM15954" s="1025"/>
      <c r="BO15954" s="43"/>
    </row>
    <row r="15955" spans="65:67" ht="18.75" customHeight="1">
      <c r="BM15955" s="1025"/>
      <c r="BO15955" s="43"/>
    </row>
    <row r="15956" spans="65:67" ht="18.75" customHeight="1">
      <c r="BM15956" s="1025"/>
      <c r="BO15956" s="43"/>
    </row>
    <row r="15957" spans="65:67" ht="18.75" customHeight="1">
      <c r="BM15957" s="1025"/>
      <c r="BO15957" s="43"/>
    </row>
    <row r="15958" spans="65:67" ht="18.75" customHeight="1">
      <c r="BM15958" s="1025"/>
      <c r="BO15958" s="43"/>
    </row>
    <row r="15959" spans="65:67" ht="18.75" customHeight="1">
      <c r="BM15959" s="1025"/>
      <c r="BO15959" s="43"/>
    </row>
    <row r="15960" spans="65:67" ht="18.75" customHeight="1">
      <c r="BM15960" s="1025"/>
      <c r="BO15960" s="43"/>
    </row>
    <row r="15961" spans="65:67" ht="18.75" customHeight="1">
      <c r="BM15961" s="1025"/>
      <c r="BO15961" s="43"/>
    </row>
    <row r="15962" spans="65:67" ht="18.75" customHeight="1">
      <c r="BM15962" s="1025"/>
      <c r="BO15962" s="43"/>
    </row>
    <row r="15963" spans="65:67" ht="18.75" customHeight="1">
      <c r="BM15963" s="1025"/>
      <c r="BO15963" s="43"/>
    </row>
    <row r="15964" spans="65:67" ht="18.75" customHeight="1">
      <c r="BM15964" s="1025"/>
      <c r="BO15964" s="43"/>
    </row>
    <row r="15965" spans="65:67" ht="18.75" customHeight="1">
      <c r="BM15965" s="1025"/>
      <c r="BO15965" s="43"/>
    </row>
    <row r="15966" spans="65:67" ht="18.75" customHeight="1">
      <c r="BM15966" s="1025"/>
      <c r="BO15966" s="43"/>
    </row>
    <row r="15967" spans="65:67" ht="18.75" customHeight="1">
      <c r="BM15967" s="1025"/>
      <c r="BO15967" s="43"/>
    </row>
    <row r="15968" spans="65:67" ht="18.75" customHeight="1">
      <c r="BM15968" s="1025"/>
      <c r="BO15968" s="43"/>
    </row>
    <row r="15969" spans="65:67" ht="18.75" customHeight="1">
      <c r="BM15969" s="1025"/>
      <c r="BO15969" s="43"/>
    </row>
    <row r="15970" spans="65:67" ht="18.75" customHeight="1">
      <c r="BM15970" s="1025"/>
      <c r="BO15970" s="43"/>
    </row>
    <row r="15971" spans="65:67" ht="18.75" customHeight="1">
      <c r="BM15971" s="1025"/>
      <c r="BO15971" s="43"/>
    </row>
    <row r="15972" spans="65:67" ht="18.75" customHeight="1">
      <c r="BM15972" s="1025"/>
      <c r="BO15972" s="43"/>
    </row>
    <row r="15973" spans="65:67" ht="18.75" customHeight="1">
      <c r="BM15973" s="1025"/>
      <c r="BO15973" s="43"/>
    </row>
    <row r="15974" spans="65:67" ht="18.75" customHeight="1">
      <c r="BM15974" s="1025"/>
      <c r="BO15974" s="43"/>
    </row>
    <row r="15975" spans="65:67" ht="18.75" customHeight="1">
      <c r="BM15975" s="1025"/>
      <c r="BO15975" s="43"/>
    </row>
    <row r="15976" spans="65:67" ht="18.75" customHeight="1">
      <c r="BM15976" s="1025"/>
      <c r="BO15976" s="43"/>
    </row>
    <row r="15977" spans="65:67" ht="18.75" customHeight="1">
      <c r="BM15977" s="1025"/>
      <c r="BO15977" s="43"/>
    </row>
    <row r="15978" spans="65:67" ht="18.75" customHeight="1">
      <c r="BM15978" s="1025"/>
      <c r="BO15978" s="43"/>
    </row>
    <row r="15979" spans="65:67" ht="18.75" customHeight="1">
      <c r="BM15979" s="1025"/>
      <c r="BO15979" s="43"/>
    </row>
    <row r="15980" spans="65:67" ht="18.75" customHeight="1">
      <c r="BM15980" s="1025"/>
      <c r="BO15980" s="43"/>
    </row>
    <row r="15981" spans="65:67" ht="18.75" customHeight="1">
      <c r="BM15981" s="1025"/>
      <c r="BO15981" s="43"/>
    </row>
    <row r="15982" spans="65:67" ht="18.75" customHeight="1">
      <c r="BM15982" s="1025"/>
      <c r="BO15982" s="43"/>
    </row>
    <row r="15983" spans="65:67" ht="18.75" customHeight="1">
      <c r="BM15983" s="1025"/>
      <c r="BO15983" s="43"/>
    </row>
    <row r="15984" spans="65:67" ht="18.75" customHeight="1">
      <c r="BM15984" s="1025"/>
      <c r="BO15984" s="43"/>
    </row>
    <row r="15985" spans="65:67" ht="18.75" customHeight="1">
      <c r="BM15985" s="1025"/>
      <c r="BO15985" s="43"/>
    </row>
    <row r="15986" spans="65:67" ht="18.75" customHeight="1">
      <c r="BM15986" s="1025"/>
      <c r="BO15986" s="43"/>
    </row>
    <row r="15987" spans="65:67" ht="18.75" customHeight="1">
      <c r="BM15987" s="1025"/>
      <c r="BO15987" s="43"/>
    </row>
    <row r="15988" spans="65:67" ht="18.75" customHeight="1">
      <c r="BM15988" s="1025"/>
      <c r="BO15988" s="43"/>
    </row>
    <row r="15989" spans="65:67" ht="18.75" customHeight="1">
      <c r="BM15989" s="1025"/>
      <c r="BO15989" s="43"/>
    </row>
    <row r="15990" spans="65:67" ht="18.75" customHeight="1">
      <c r="BM15990" s="1025"/>
      <c r="BO15990" s="43"/>
    </row>
    <row r="15991" spans="65:67" ht="18.75" customHeight="1">
      <c r="BM15991" s="1025"/>
      <c r="BO15991" s="43"/>
    </row>
    <row r="15992" spans="65:67" ht="18.75" customHeight="1">
      <c r="BM15992" s="1025"/>
      <c r="BO15992" s="43"/>
    </row>
    <row r="15993" spans="65:67" ht="18.75" customHeight="1">
      <c r="BM15993" s="1025"/>
      <c r="BO15993" s="43"/>
    </row>
    <row r="15994" spans="65:67" ht="18.75" customHeight="1">
      <c r="BM15994" s="1025"/>
      <c r="BO15994" s="43"/>
    </row>
    <row r="15995" spans="65:67" ht="18.75" customHeight="1">
      <c r="BM15995" s="1025"/>
      <c r="BO15995" s="43"/>
    </row>
    <row r="15996" spans="65:67" ht="18.75" customHeight="1">
      <c r="BM15996" s="1025"/>
      <c r="BO15996" s="43"/>
    </row>
    <row r="15997" spans="65:67" ht="18.75" customHeight="1">
      <c r="BM15997" s="1025"/>
      <c r="BO15997" s="43"/>
    </row>
    <row r="15998" spans="65:67" ht="18.75" customHeight="1">
      <c r="BM15998" s="1025"/>
      <c r="BO15998" s="43"/>
    </row>
    <row r="15999" spans="65:67" ht="18.75" customHeight="1">
      <c r="BM15999" s="1025"/>
      <c r="BO15999" s="43"/>
    </row>
    <row r="16000" spans="65:67" ht="18.75" customHeight="1">
      <c r="BM16000" s="1025"/>
      <c r="BO16000" s="43"/>
    </row>
    <row r="16001" spans="65:67" ht="18.75" customHeight="1">
      <c r="BM16001" s="1025"/>
      <c r="BO16001" s="43"/>
    </row>
    <row r="16002" spans="65:67" ht="18.75" customHeight="1">
      <c r="BM16002" s="1025"/>
      <c r="BO16002" s="43"/>
    </row>
    <row r="16003" spans="65:67" ht="18.75" customHeight="1">
      <c r="BM16003" s="1025"/>
      <c r="BO16003" s="43"/>
    </row>
    <row r="16004" spans="65:67" ht="18.75" customHeight="1">
      <c r="BM16004" s="1025"/>
      <c r="BO16004" s="43"/>
    </row>
    <row r="16005" spans="65:67" ht="18.75" customHeight="1">
      <c r="BM16005" s="1025"/>
      <c r="BO16005" s="43"/>
    </row>
    <row r="16006" spans="65:67" ht="18.75" customHeight="1">
      <c r="BM16006" s="1025"/>
      <c r="BO16006" s="43"/>
    </row>
    <row r="16007" spans="65:67" ht="18.75" customHeight="1">
      <c r="BM16007" s="1025"/>
      <c r="BO16007" s="43"/>
    </row>
    <row r="16008" spans="65:67" ht="18.75" customHeight="1">
      <c r="BM16008" s="1025"/>
      <c r="BO16008" s="43"/>
    </row>
    <row r="16009" spans="65:67" ht="18.75" customHeight="1">
      <c r="BM16009" s="1025"/>
      <c r="BO16009" s="43"/>
    </row>
    <row r="16010" spans="65:67" ht="18.75" customHeight="1">
      <c r="BM16010" s="1025"/>
      <c r="BO16010" s="43"/>
    </row>
    <row r="16011" spans="65:67" ht="18.75" customHeight="1">
      <c r="BM16011" s="1025"/>
      <c r="BO16011" s="43"/>
    </row>
    <row r="16012" spans="65:67" ht="18.75" customHeight="1">
      <c r="BM16012" s="1025"/>
      <c r="BO16012" s="43"/>
    </row>
    <row r="16013" spans="65:67" ht="18.75" customHeight="1">
      <c r="BM16013" s="1025"/>
      <c r="BO16013" s="43"/>
    </row>
    <row r="16014" spans="65:67" ht="18.75" customHeight="1">
      <c r="BM16014" s="1025"/>
      <c r="BO16014" s="43"/>
    </row>
    <row r="16015" spans="65:67" ht="18.75" customHeight="1">
      <c r="BM16015" s="1025"/>
      <c r="BO16015" s="43"/>
    </row>
    <row r="16016" spans="65:67" ht="18.75" customHeight="1">
      <c r="BM16016" s="1025"/>
      <c r="BO16016" s="43"/>
    </row>
    <row r="16017" spans="65:67" ht="18.75" customHeight="1">
      <c r="BM16017" s="1025"/>
      <c r="BO16017" s="43"/>
    </row>
    <row r="16018" spans="65:67" ht="18.75" customHeight="1">
      <c r="BM16018" s="1025"/>
      <c r="BO16018" s="43"/>
    </row>
    <row r="16019" spans="65:67" ht="18.75" customHeight="1">
      <c r="BM16019" s="1025"/>
      <c r="BO16019" s="43"/>
    </row>
    <row r="16020" spans="65:67" ht="18.75" customHeight="1">
      <c r="BM16020" s="1025"/>
      <c r="BO16020" s="43"/>
    </row>
    <row r="16021" spans="65:67" ht="18.75" customHeight="1">
      <c r="BM16021" s="1025"/>
      <c r="BO16021" s="43"/>
    </row>
    <row r="16022" spans="65:67" ht="18.75" customHeight="1">
      <c r="BM16022" s="1025"/>
      <c r="BO16022" s="43"/>
    </row>
    <row r="16023" spans="65:67" ht="18.75" customHeight="1">
      <c r="BM16023" s="1025"/>
      <c r="BO16023" s="43"/>
    </row>
    <row r="16024" spans="65:67" ht="18.75" customHeight="1">
      <c r="BM16024" s="1025"/>
      <c r="BO16024" s="43"/>
    </row>
    <row r="16025" spans="65:67" ht="18.75" customHeight="1">
      <c r="BM16025" s="1025"/>
      <c r="BO16025" s="43"/>
    </row>
    <row r="16026" spans="65:67" ht="18.75" customHeight="1">
      <c r="BM16026" s="1025"/>
      <c r="BO16026" s="43"/>
    </row>
    <row r="16027" spans="65:67" ht="18.75" customHeight="1">
      <c r="BM16027" s="1025"/>
      <c r="BO16027" s="43"/>
    </row>
    <row r="16028" spans="65:67" ht="18.75" customHeight="1">
      <c r="BM16028" s="1025"/>
      <c r="BO16028" s="43"/>
    </row>
    <row r="16029" spans="65:67" ht="18.75" customHeight="1">
      <c r="BM16029" s="1025"/>
      <c r="BO16029" s="43"/>
    </row>
    <row r="16030" spans="65:67" ht="18.75" customHeight="1">
      <c r="BM16030" s="1025"/>
      <c r="BO16030" s="43"/>
    </row>
    <row r="16031" spans="65:67" ht="18.75" customHeight="1">
      <c r="BM16031" s="1025"/>
      <c r="BO16031" s="43"/>
    </row>
    <row r="16032" spans="65:67" ht="18.75" customHeight="1">
      <c r="BM16032" s="1025"/>
      <c r="BO16032" s="43"/>
    </row>
    <row r="16033" spans="65:67" ht="18.75" customHeight="1">
      <c r="BM16033" s="1025"/>
      <c r="BO16033" s="43"/>
    </row>
    <row r="16034" spans="65:67" ht="18.75" customHeight="1">
      <c r="BM16034" s="1025"/>
      <c r="BO16034" s="43"/>
    </row>
    <row r="16035" spans="65:67" ht="18.75" customHeight="1">
      <c r="BM16035" s="1025"/>
      <c r="BO16035" s="43"/>
    </row>
    <row r="16036" spans="65:67" ht="18.75" customHeight="1">
      <c r="BM16036" s="1025"/>
      <c r="BO16036" s="43"/>
    </row>
    <row r="16037" spans="65:67" ht="18.75" customHeight="1">
      <c r="BM16037" s="1025"/>
      <c r="BO16037" s="43"/>
    </row>
    <row r="16038" spans="65:67" ht="18.75" customHeight="1">
      <c r="BM16038" s="1025"/>
      <c r="BO16038" s="43"/>
    </row>
    <row r="16039" spans="65:67" ht="18.75" customHeight="1">
      <c r="BM16039" s="1025"/>
      <c r="BO16039" s="43"/>
    </row>
    <row r="16040" spans="65:67" ht="18.75" customHeight="1">
      <c r="BM16040" s="1025"/>
      <c r="BO16040" s="43"/>
    </row>
    <row r="16041" spans="65:67" ht="18.75" customHeight="1">
      <c r="BM16041" s="1025"/>
      <c r="BO16041" s="43"/>
    </row>
    <row r="16042" spans="65:67" ht="18.75" customHeight="1">
      <c r="BM16042" s="1025"/>
      <c r="BO16042" s="43"/>
    </row>
    <row r="16043" spans="65:67" ht="18.75" customHeight="1">
      <c r="BM16043" s="1025"/>
      <c r="BO16043" s="43"/>
    </row>
    <row r="16044" spans="65:67" ht="18.75" customHeight="1">
      <c r="BM16044" s="1025"/>
      <c r="BO16044" s="43"/>
    </row>
    <row r="16045" spans="65:67" ht="18.75" customHeight="1">
      <c r="BM16045" s="1025"/>
      <c r="BO16045" s="43"/>
    </row>
    <row r="16046" spans="65:67" ht="18.75" customHeight="1">
      <c r="BM16046" s="1025"/>
      <c r="BO16046" s="43"/>
    </row>
    <row r="16047" spans="65:67" ht="18.75" customHeight="1">
      <c r="BM16047" s="1025"/>
      <c r="BO16047" s="43"/>
    </row>
    <row r="16048" spans="65:67" ht="18.75" customHeight="1">
      <c r="BM16048" s="1025"/>
      <c r="BO16048" s="43"/>
    </row>
    <row r="16049" spans="65:67" ht="18.75" customHeight="1">
      <c r="BM16049" s="1025"/>
      <c r="BO16049" s="43"/>
    </row>
    <row r="16050" spans="65:67" ht="18.75" customHeight="1">
      <c r="BM16050" s="1025"/>
      <c r="BO16050" s="43"/>
    </row>
    <row r="16051" spans="65:67" ht="18.75" customHeight="1">
      <c r="BM16051" s="1025"/>
      <c r="BO16051" s="43"/>
    </row>
    <row r="16052" spans="65:67" ht="18.75" customHeight="1">
      <c r="BM16052" s="1025"/>
      <c r="BO16052" s="43"/>
    </row>
    <row r="16053" spans="65:67" ht="18.75" customHeight="1">
      <c r="BM16053" s="1025"/>
      <c r="BO16053" s="43"/>
    </row>
    <row r="16054" spans="65:67" ht="18.75" customHeight="1">
      <c r="BM16054" s="1025"/>
      <c r="BO16054" s="43"/>
    </row>
    <row r="16055" spans="65:67" ht="18.75" customHeight="1">
      <c r="BM16055" s="1025"/>
      <c r="BO16055" s="43"/>
    </row>
    <row r="16056" spans="65:67" ht="18.75" customHeight="1">
      <c r="BM16056" s="1025"/>
      <c r="BO16056" s="43"/>
    </row>
    <row r="16057" spans="65:67" ht="18.75" customHeight="1">
      <c r="BM16057" s="1025"/>
      <c r="BO16057" s="43"/>
    </row>
    <row r="16058" spans="65:67" ht="18.75" customHeight="1">
      <c r="BM16058" s="1025"/>
      <c r="BO16058" s="43"/>
    </row>
    <row r="16059" spans="65:67" ht="18.75" customHeight="1">
      <c r="BM16059" s="1025"/>
      <c r="BO16059" s="43"/>
    </row>
    <row r="16060" spans="65:67" ht="18.75" customHeight="1">
      <c r="BM16060" s="1025"/>
      <c r="BO16060" s="43"/>
    </row>
    <row r="16061" spans="65:67" ht="18.75" customHeight="1">
      <c r="BM16061" s="1025"/>
      <c r="BO16061" s="43"/>
    </row>
    <row r="16062" spans="65:67" ht="18.75" customHeight="1">
      <c r="BM16062" s="1025"/>
      <c r="BO16062" s="43"/>
    </row>
    <row r="16063" spans="65:67" ht="18.75" customHeight="1">
      <c r="BM16063" s="1025"/>
      <c r="BO16063" s="43"/>
    </row>
    <row r="16064" spans="65:67" ht="18.75" customHeight="1">
      <c r="BM16064" s="1025"/>
      <c r="BO16064" s="43"/>
    </row>
    <row r="16065" spans="65:67" ht="18.75" customHeight="1">
      <c r="BM16065" s="1025"/>
      <c r="BO16065" s="43"/>
    </row>
    <row r="16066" spans="65:67" ht="18.75" customHeight="1">
      <c r="BM16066" s="1025"/>
      <c r="BO16066" s="43"/>
    </row>
    <row r="16067" spans="65:67" ht="18.75" customHeight="1">
      <c r="BM16067" s="1025"/>
      <c r="BO16067" s="43"/>
    </row>
    <row r="16068" spans="65:67" ht="18.75" customHeight="1">
      <c r="BM16068" s="1025"/>
      <c r="BO16068" s="43"/>
    </row>
    <row r="16069" spans="65:67" ht="18.75" customHeight="1">
      <c r="BM16069" s="1025"/>
      <c r="BO16069" s="43"/>
    </row>
    <row r="16070" spans="65:67" ht="18.75" customHeight="1">
      <c r="BM16070" s="1025"/>
      <c r="BO16070" s="43"/>
    </row>
    <row r="16071" spans="65:67" ht="18.75" customHeight="1">
      <c r="BM16071" s="1025"/>
      <c r="BO16071" s="43"/>
    </row>
    <row r="16072" spans="65:67" ht="18.75" customHeight="1">
      <c r="BM16072" s="1025"/>
      <c r="BO16072" s="43"/>
    </row>
    <row r="16073" spans="65:67" ht="18.75" customHeight="1">
      <c r="BM16073" s="1025"/>
      <c r="BO16073" s="43"/>
    </row>
    <row r="16074" spans="65:67" ht="18.75" customHeight="1">
      <c r="BM16074" s="1025"/>
      <c r="BO16074" s="43"/>
    </row>
    <row r="16075" spans="65:67" ht="18.75" customHeight="1">
      <c r="BM16075" s="1025"/>
      <c r="BO16075" s="43"/>
    </row>
    <row r="16076" spans="65:67" ht="18.75" customHeight="1">
      <c r="BM16076" s="1025"/>
      <c r="BO16076" s="43"/>
    </row>
    <row r="16077" spans="65:67" ht="18.75" customHeight="1">
      <c r="BM16077" s="1025"/>
      <c r="BO16077" s="43"/>
    </row>
    <row r="16078" spans="65:67" ht="18.75" customHeight="1">
      <c r="BM16078" s="1025"/>
      <c r="BO16078" s="43"/>
    </row>
    <row r="16079" spans="65:67" ht="18.75" customHeight="1">
      <c r="BM16079" s="1025"/>
      <c r="BO16079" s="43"/>
    </row>
    <row r="16080" spans="65:67" ht="18.75" customHeight="1">
      <c r="BM16080" s="1025"/>
      <c r="BO16080" s="43"/>
    </row>
    <row r="16081" spans="65:67" ht="18.75" customHeight="1">
      <c r="BM16081" s="1025"/>
      <c r="BO16081" s="43"/>
    </row>
    <row r="16082" spans="65:67" ht="18.75" customHeight="1">
      <c r="BM16082" s="1025"/>
      <c r="BO16082" s="43"/>
    </row>
    <row r="16083" spans="65:67" ht="18.75" customHeight="1">
      <c r="BM16083" s="1025"/>
      <c r="BO16083" s="43"/>
    </row>
    <row r="16084" spans="65:67" ht="18.75" customHeight="1">
      <c r="BM16084" s="1025"/>
      <c r="BO16084" s="43"/>
    </row>
    <row r="16085" spans="65:67" ht="18.75" customHeight="1">
      <c r="BM16085" s="1025"/>
      <c r="BO16085" s="43"/>
    </row>
    <row r="16086" spans="65:67" ht="18.75" customHeight="1">
      <c r="BM16086" s="1025"/>
      <c r="BO16086" s="43"/>
    </row>
    <row r="16087" spans="65:67" ht="18.75" customHeight="1">
      <c r="BM16087" s="1025"/>
      <c r="BO16087" s="43"/>
    </row>
    <row r="16088" spans="65:67" ht="18.75" customHeight="1">
      <c r="BM16088" s="1025"/>
      <c r="BO16088" s="43"/>
    </row>
    <row r="16089" spans="65:67" ht="18.75" customHeight="1">
      <c r="BM16089" s="1025"/>
      <c r="BO16089" s="43"/>
    </row>
    <row r="16090" spans="65:67" ht="18.75" customHeight="1">
      <c r="BM16090" s="1025"/>
      <c r="BO16090" s="43"/>
    </row>
    <row r="16091" spans="65:67" ht="18.75" customHeight="1">
      <c r="BM16091" s="1025"/>
      <c r="BO16091" s="43"/>
    </row>
    <row r="16092" spans="65:67" ht="18.75" customHeight="1">
      <c r="BM16092" s="1025"/>
      <c r="BO16092" s="43"/>
    </row>
    <row r="16093" spans="65:67" ht="18.75" customHeight="1">
      <c r="BM16093" s="1025"/>
      <c r="BO16093" s="43"/>
    </row>
    <row r="16094" spans="65:67" ht="18.75" customHeight="1">
      <c r="BM16094" s="1025"/>
      <c r="BO16094" s="43"/>
    </row>
    <row r="16095" spans="65:67" ht="18.75" customHeight="1">
      <c r="BM16095" s="1025"/>
      <c r="BO16095" s="43"/>
    </row>
    <row r="16096" spans="65:67" ht="18.75" customHeight="1">
      <c r="BM16096" s="1025"/>
      <c r="BO16096" s="43"/>
    </row>
    <row r="16097" spans="65:67" ht="18.75" customHeight="1">
      <c r="BM16097" s="1025"/>
      <c r="BO16097" s="43"/>
    </row>
    <row r="16098" spans="65:67" ht="18.75" customHeight="1">
      <c r="BM16098" s="1025"/>
      <c r="BO16098" s="43"/>
    </row>
    <row r="16099" spans="65:67" ht="18.75" customHeight="1">
      <c r="BM16099" s="1025"/>
      <c r="BO16099" s="43"/>
    </row>
    <row r="16100" spans="65:67" ht="18.75" customHeight="1">
      <c r="BM16100" s="1025"/>
      <c r="BO16100" s="43"/>
    </row>
    <row r="16101" spans="65:67" ht="18.75" customHeight="1">
      <c r="BM16101" s="1025"/>
      <c r="BO16101" s="43"/>
    </row>
    <row r="16102" spans="65:67" ht="18.75" customHeight="1">
      <c r="BM16102" s="1025"/>
      <c r="BO16102" s="43"/>
    </row>
    <row r="16103" spans="65:67" ht="18.75" customHeight="1">
      <c r="BM16103" s="1025"/>
      <c r="BO16103" s="43"/>
    </row>
    <row r="16104" spans="65:67" ht="18.75" customHeight="1">
      <c r="BM16104" s="1025"/>
      <c r="BO16104" s="43"/>
    </row>
    <row r="16105" spans="65:67" ht="18.75" customHeight="1">
      <c r="BM16105" s="1025"/>
      <c r="BO16105" s="43"/>
    </row>
    <row r="16106" spans="65:67" ht="18.75" customHeight="1">
      <c r="BM16106" s="1025"/>
      <c r="BO16106" s="43"/>
    </row>
    <row r="16107" spans="65:67" ht="18.75" customHeight="1">
      <c r="BM16107" s="1025"/>
      <c r="BO16107" s="43"/>
    </row>
    <row r="16108" spans="65:67" ht="18.75" customHeight="1">
      <c r="BM16108" s="1025"/>
      <c r="BO16108" s="43"/>
    </row>
    <row r="16109" spans="65:67" ht="18.75" customHeight="1">
      <c r="BM16109" s="1025"/>
      <c r="BO16109" s="43"/>
    </row>
    <row r="16110" spans="65:67" ht="18.75" customHeight="1">
      <c r="BM16110" s="1025"/>
      <c r="BO16110" s="43"/>
    </row>
    <row r="16111" spans="65:67" ht="18.75" customHeight="1">
      <c r="BM16111" s="1025"/>
      <c r="BO16111" s="43"/>
    </row>
    <row r="16112" spans="65:67" ht="18.75" customHeight="1">
      <c r="BM16112" s="1025"/>
      <c r="BO16112" s="43"/>
    </row>
    <row r="16113" spans="65:67" ht="18.75" customHeight="1">
      <c r="BM16113" s="1025"/>
      <c r="BO16113" s="43"/>
    </row>
    <row r="16114" spans="65:67" ht="18.75" customHeight="1">
      <c r="BM16114" s="1025"/>
      <c r="BO16114" s="43"/>
    </row>
    <row r="16115" spans="65:67" ht="18.75" customHeight="1">
      <c r="BM16115" s="1025"/>
      <c r="BO16115" s="43"/>
    </row>
    <row r="16116" spans="65:67" ht="18.75" customHeight="1">
      <c r="BM16116" s="1025"/>
      <c r="BO16116" s="43"/>
    </row>
    <row r="16117" spans="65:67" ht="18.75" customHeight="1">
      <c r="BM16117" s="1025"/>
      <c r="BO16117" s="43"/>
    </row>
    <row r="16118" spans="65:67" ht="18.75" customHeight="1">
      <c r="BM16118" s="1025"/>
      <c r="BO16118" s="43"/>
    </row>
    <row r="16119" spans="65:67" ht="18.75" customHeight="1">
      <c r="BM16119" s="1025"/>
      <c r="BO16119" s="43"/>
    </row>
    <row r="16120" spans="65:67" ht="18.75" customHeight="1">
      <c r="BM16120" s="1025"/>
      <c r="BO16120" s="43"/>
    </row>
    <row r="16121" spans="65:67" ht="18.75" customHeight="1">
      <c r="BM16121" s="1025"/>
      <c r="BO16121" s="43"/>
    </row>
    <row r="16122" spans="65:67" ht="18.75" customHeight="1">
      <c r="BM16122" s="1025"/>
      <c r="BO16122" s="43"/>
    </row>
    <row r="16123" spans="65:67" ht="18.75" customHeight="1">
      <c r="BM16123" s="1025"/>
      <c r="BO16123" s="43"/>
    </row>
    <row r="16124" spans="65:67" ht="18.75" customHeight="1">
      <c r="BM16124" s="1025"/>
      <c r="BO16124" s="43"/>
    </row>
    <row r="16125" spans="65:67" ht="18.75" customHeight="1">
      <c r="BM16125" s="1025"/>
      <c r="BO16125" s="43"/>
    </row>
    <row r="16126" spans="65:67" ht="18.75" customHeight="1">
      <c r="BM16126" s="1025"/>
      <c r="BO16126" s="43"/>
    </row>
    <row r="16127" spans="65:67" ht="18.75" customHeight="1">
      <c r="BM16127" s="1025"/>
      <c r="BO16127" s="43"/>
    </row>
    <row r="16128" spans="65:67" ht="18.75" customHeight="1">
      <c r="BM16128" s="1025"/>
      <c r="BO16128" s="43"/>
    </row>
    <row r="16129" spans="65:67" ht="18.75" customHeight="1">
      <c r="BM16129" s="1025"/>
      <c r="BO16129" s="43"/>
    </row>
    <row r="16130" spans="65:67" ht="18.75" customHeight="1">
      <c r="BM16130" s="1025"/>
      <c r="BO16130" s="43"/>
    </row>
    <row r="16131" spans="65:67" ht="18.75" customHeight="1">
      <c r="BM16131" s="1025"/>
      <c r="BO16131" s="43"/>
    </row>
    <row r="16132" spans="65:67" ht="18.75" customHeight="1">
      <c r="BM16132" s="1025"/>
      <c r="BO16132" s="43"/>
    </row>
    <row r="16133" spans="65:67" ht="18.75" customHeight="1">
      <c r="BM16133" s="1025"/>
      <c r="BO16133" s="43"/>
    </row>
    <row r="16134" spans="65:67" ht="18.75" customHeight="1">
      <c r="BM16134" s="1025"/>
      <c r="BO16134" s="43"/>
    </row>
    <row r="16135" spans="65:67" ht="18.75" customHeight="1">
      <c r="BM16135" s="1025"/>
      <c r="BO16135" s="43"/>
    </row>
    <row r="16136" spans="65:67" ht="18.75" customHeight="1">
      <c r="BM16136" s="1025"/>
      <c r="BO16136" s="43"/>
    </row>
    <row r="16137" spans="65:67" ht="18.75" customHeight="1">
      <c r="BM16137" s="1025"/>
      <c r="BO16137" s="43"/>
    </row>
    <row r="16138" spans="65:67" ht="18.75" customHeight="1">
      <c r="BM16138" s="1025"/>
      <c r="BO16138" s="43"/>
    </row>
    <row r="16139" spans="65:67" ht="18.75" customHeight="1">
      <c r="BM16139" s="1025"/>
      <c r="BO16139" s="43"/>
    </row>
    <row r="16140" spans="65:67" ht="18.75" customHeight="1">
      <c r="BM16140" s="1025"/>
      <c r="BO16140" s="43"/>
    </row>
    <row r="16141" spans="65:67" ht="18.75" customHeight="1">
      <c r="BM16141" s="1025"/>
      <c r="BO16141" s="43"/>
    </row>
    <row r="16142" spans="65:67" ht="18.75" customHeight="1">
      <c r="BM16142" s="1025"/>
      <c r="BO16142" s="43"/>
    </row>
    <row r="16143" spans="65:67" ht="18.75" customHeight="1">
      <c r="BM16143" s="1025"/>
      <c r="BO16143" s="43"/>
    </row>
    <row r="16144" spans="65:67" ht="18.75" customHeight="1">
      <c r="BM16144" s="1025"/>
      <c r="BO16144" s="43"/>
    </row>
    <row r="16145" spans="65:67" ht="18.75" customHeight="1">
      <c r="BM16145" s="1025"/>
      <c r="BO16145" s="43"/>
    </row>
    <row r="16146" spans="65:67" ht="18.75" customHeight="1">
      <c r="BM16146" s="1025"/>
      <c r="BO16146" s="43"/>
    </row>
    <row r="16147" spans="65:67" ht="18.75" customHeight="1">
      <c r="BM16147" s="1025"/>
      <c r="BO16147" s="43"/>
    </row>
    <row r="16148" spans="65:67" ht="18.75" customHeight="1">
      <c r="BM16148" s="1025"/>
      <c r="BO16148" s="43"/>
    </row>
    <row r="16149" spans="65:67" ht="18.75" customHeight="1">
      <c r="BM16149" s="1025"/>
      <c r="BO16149" s="43"/>
    </row>
    <row r="16150" spans="65:67" ht="18.75" customHeight="1">
      <c r="BM16150" s="1025"/>
      <c r="BO16150" s="43"/>
    </row>
    <row r="16151" spans="65:67" ht="18.75" customHeight="1">
      <c r="BM16151" s="1025"/>
      <c r="BO16151" s="43"/>
    </row>
    <row r="16152" spans="65:67" ht="18.75" customHeight="1">
      <c r="BM16152" s="1025"/>
      <c r="BO16152" s="43"/>
    </row>
    <row r="16153" spans="65:67" ht="18.75" customHeight="1">
      <c r="BM16153" s="1025"/>
      <c r="BO16153" s="43"/>
    </row>
    <row r="16154" spans="65:67" ht="18.75" customHeight="1">
      <c r="BM16154" s="1025"/>
      <c r="BO16154" s="43"/>
    </row>
    <row r="16155" spans="65:67" ht="18.75" customHeight="1">
      <c r="BM16155" s="1025"/>
      <c r="BO16155" s="43"/>
    </row>
    <row r="16156" spans="65:67" ht="18.75" customHeight="1">
      <c r="BM16156" s="1025"/>
      <c r="BO16156" s="43"/>
    </row>
    <row r="16157" spans="65:67" ht="18.75" customHeight="1">
      <c r="BM16157" s="1025"/>
      <c r="BO16157" s="43"/>
    </row>
    <row r="16158" spans="65:67" ht="18.75" customHeight="1">
      <c r="BM16158" s="1025"/>
      <c r="BO16158" s="43"/>
    </row>
    <row r="16159" spans="65:67" ht="18.75" customHeight="1">
      <c r="BM16159" s="1025"/>
      <c r="BO16159" s="43"/>
    </row>
    <row r="16160" spans="65:67" ht="18.75" customHeight="1">
      <c r="BM16160" s="1025"/>
      <c r="BO16160" s="43"/>
    </row>
    <row r="16161" spans="65:67" ht="18.75" customHeight="1">
      <c r="BM16161" s="1025"/>
      <c r="BO16161" s="43"/>
    </row>
    <row r="16162" spans="65:67" ht="18.75" customHeight="1">
      <c r="BM16162" s="1025"/>
      <c r="BO16162" s="43"/>
    </row>
    <row r="16163" spans="65:67" ht="18.75" customHeight="1">
      <c r="BM16163" s="1025"/>
      <c r="BO16163" s="43"/>
    </row>
    <row r="16164" spans="65:67" ht="18.75" customHeight="1">
      <c r="BM16164" s="1025"/>
      <c r="BO16164" s="43"/>
    </row>
    <row r="16165" spans="65:67" ht="18.75" customHeight="1">
      <c r="BM16165" s="1025"/>
      <c r="BO16165" s="43"/>
    </row>
    <row r="16166" spans="65:67" ht="18.75" customHeight="1">
      <c r="BM16166" s="1025"/>
      <c r="BO16166" s="43"/>
    </row>
    <row r="16167" spans="65:67" ht="18.75" customHeight="1">
      <c r="BM16167" s="1025"/>
      <c r="BO16167" s="43"/>
    </row>
    <row r="16168" spans="65:67" ht="18.75" customHeight="1">
      <c r="BM16168" s="1025"/>
      <c r="BO16168" s="43"/>
    </row>
    <row r="16169" spans="65:67" ht="18.75" customHeight="1">
      <c r="BM16169" s="1025"/>
      <c r="BO16169" s="43"/>
    </row>
    <row r="16170" spans="65:67" ht="18.75" customHeight="1">
      <c r="BM16170" s="1025"/>
      <c r="BO16170" s="43"/>
    </row>
    <row r="16171" spans="65:67" ht="18.75" customHeight="1">
      <c r="BM16171" s="1025"/>
      <c r="BO16171" s="43"/>
    </row>
    <row r="16172" spans="65:67" ht="18.75" customHeight="1">
      <c r="BM16172" s="1025"/>
      <c r="BO16172" s="43"/>
    </row>
    <row r="16173" spans="65:67" ht="18.75" customHeight="1">
      <c r="BM16173" s="1025"/>
      <c r="BO16173" s="43"/>
    </row>
    <row r="16174" spans="65:67" ht="18.75" customHeight="1">
      <c r="BM16174" s="1025"/>
      <c r="BO16174" s="43"/>
    </row>
    <row r="16175" spans="65:67" ht="18.75" customHeight="1">
      <c r="BM16175" s="1025"/>
      <c r="BO16175" s="43"/>
    </row>
    <row r="16176" spans="65:67" ht="18.75" customHeight="1">
      <c r="BM16176" s="1025"/>
      <c r="BO16176" s="43"/>
    </row>
    <row r="16177" spans="65:67" ht="18.75" customHeight="1">
      <c r="BM16177" s="1025"/>
      <c r="BO16177" s="43"/>
    </row>
    <row r="16178" spans="65:67" ht="18.75" customHeight="1">
      <c r="BM16178" s="1025"/>
      <c r="BO16178" s="43"/>
    </row>
    <row r="16179" spans="65:67" ht="18.75" customHeight="1">
      <c r="BM16179" s="1025"/>
      <c r="BO16179" s="43"/>
    </row>
    <row r="16180" spans="65:67" ht="18.75" customHeight="1">
      <c r="BM16180" s="1025"/>
      <c r="BO16180" s="43"/>
    </row>
    <row r="16181" spans="65:67" ht="18.75" customHeight="1">
      <c r="BM16181" s="1025"/>
      <c r="BO16181" s="43"/>
    </row>
    <row r="16182" spans="65:67" ht="18.75" customHeight="1">
      <c r="BM16182" s="1025"/>
      <c r="BO16182" s="43"/>
    </row>
    <row r="16183" spans="65:67" ht="18.75" customHeight="1">
      <c r="BM16183" s="1025"/>
      <c r="BO16183" s="43"/>
    </row>
    <row r="16184" spans="65:67" ht="18.75" customHeight="1">
      <c r="BM16184" s="1025"/>
      <c r="BO16184" s="43"/>
    </row>
    <row r="16185" spans="65:67" ht="18.75" customHeight="1">
      <c r="BM16185" s="1025"/>
      <c r="BO16185" s="43"/>
    </row>
    <row r="16186" spans="65:67" ht="18.75" customHeight="1">
      <c r="BM16186" s="1025"/>
      <c r="BO16186" s="43"/>
    </row>
    <row r="16187" spans="65:67" ht="18.75" customHeight="1">
      <c r="BM16187" s="1025"/>
      <c r="BO16187" s="43"/>
    </row>
    <row r="16188" spans="65:67" ht="18.75" customHeight="1">
      <c r="BM16188" s="1025"/>
      <c r="BO16188" s="43"/>
    </row>
    <row r="16189" spans="65:67" ht="18.75" customHeight="1">
      <c r="BM16189" s="1025"/>
      <c r="BO16189" s="43"/>
    </row>
    <row r="16190" spans="65:67" ht="18.75" customHeight="1">
      <c r="BM16190" s="1025"/>
      <c r="BO16190" s="43"/>
    </row>
    <row r="16191" spans="65:67" ht="18.75" customHeight="1">
      <c r="BM16191" s="1025"/>
      <c r="BO16191" s="43"/>
    </row>
    <row r="16192" spans="65:67" ht="18.75" customHeight="1">
      <c r="BM16192" s="1025"/>
      <c r="BO16192" s="43"/>
    </row>
    <row r="16193" spans="65:67" ht="18.75" customHeight="1">
      <c r="BM16193" s="1025"/>
      <c r="BO16193" s="43"/>
    </row>
    <row r="16194" spans="65:67" ht="18.75" customHeight="1">
      <c r="BM16194" s="1025"/>
      <c r="BO16194" s="43"/>
    </row>
    <row r="16195" spans="65:67" ht="18.75" customHeight="1">
      <c r="BM16195" s="1025"/>
      <c r="BO16195" s="43"/>
    </row>
    <row r="16196" spans="65:67" ht="18.75" customHeight="1">
      <c r="BM16196" s="1025"/>
      <c r="BO16196" s="43"/>
    </row>
    <row r="16197" spans="65:67" ht="18.75" customHeight="1">
      <c r="BM16197" s="1025"/>
      <c r="BO16197" s="43"/>
    </row>
    <row r="16198" spans="65:67" ht="18.75" customHeight="1">
      <c r="BM16198" s="1025"/>
      <c r="BO16198" s="43"/>
    </row>
    <row r="16199" spans="65:67" ht="18.75" customHeight="1">
      <c r="BM16199" s="1025"/>
      <c r="BO16199" s="43"/>
    </row>
    <row r="16200" spans="65:67" ht="18.75" customHeight="1">
      <c r="BM16200" s="1025"/>
      <c r="BO16200" s="43"/>
    </row>
    <row r="16201" spans="65:67" ht="18.75" customHeight="1">
      <c r="BM16201" s="1025"/>
      <c r="BO16201" s="43"/>
    </row>
    <row r="16202" spans="65:67" ht="18.75" customHeight="1">
      <c r="BM16202" s="1025"/>
      <c r="BO16202" s="43"/>
    </row>
    <row r="16203" spans="65:67" ht="18.75" customHeight="1">
      <c r="BM16203" s="1025"/>
      <c r="BO16203" s="43"/>
    </row>
    <row r="16204" spans="65:67" ht="18.75" customHeight="1">
      <c r="BM16204" s="1025"/>
      <c r="BO16204" s="43"/>
    </row>
    <row r="16205" spans="65:67" ht="18.75" customHeight="1">
      <c r="BM16205" s="1025"/>
      <c r="BO16205" s="43"/>
    </row>
    <row r="16206" spans="65:67" ht="18.75" customHeight="1">
      <c r="BM16206" s="1025"/>
      <c r="BO16206" s="43"/>
    </row>
    <row r="16207" spans="65:67" ht="18.75" customHeight="1">
      <c r="BM16207" s="1025"/>
      <c r="BO16207" s="43"/>
    </row>
    <row r="16208" spans="65:67" ht="18.75" customHeight="1">
      <c r="BM16208" s="1025"/>
      <c r="BO16208" s="43"/>
    </row>
    <row r="16209" spans="65:67" ht="18.75" customHeight="1">
      <c r="BM16209" s="1025"/>
      <c r="BO16209" s="43"/>
    </row>
    <row r="16210" spans="65:67" ht="18.75" customHeight="1">
      <c r="BM16210" s="1025"/>
      <c r="BO16210" s="43"/>
    </row>
    <row r="16211" spans="65:67" ht="18.75" customHeight="1">
      <c r="BM16211" s="1025"/>
      <c r="BO16211" s="43"/>
    </row>
    <row r="16212" spans="65:67" ht="18.75" customHeight="1">
      <c r="BM16212" s="1025"/>
      <c r="BO16212" s="43"/>
    </row>
    <row r="16213" spans="65:67" ht="18.75" customHeight="1">
      <c r="BM16213" s="1025"/>
      <c r="BO16213" s="43"/>
    </row>
    <row r="16214" spans="65:67" ht="18.75" customHeight="1">
      <c r="BM16214" s="1025"/>
      <c r="BO16214" s="43"/>
    </row>
    <row r="16215" spans="65:67" ht="18.75" customHeight="1">
      <c r="BM16215" s="1025"/>
      <c r="BO16215" s="43"/>
    </row>
    <row r="16216" spans="65:67" ht="18.75" customHeight="1">
      <c r="BM16216" s="1025"/>
      <c r="BO16216" s="43"/>
    </row>
    <row r="16217" spans="65:67" ht="18.75" customHeight="1">
      <c r="BM16217" s="1025"/>
      <c r="BO16217" s="43"/>
    </row>
    <row r="16218" spans="65:67" ht="18.75" customHeight="1">
      <c r="BM16218" s="1025"/>
      <c r="BO16218" s="43"/>
    </row>
    <row r="16219" spans="65:67" ht="18.75" customHeight="1">
      <c r="BM16219" s="1025"/>
      <c r="BO16219" s="43"/>
    </row>
    <row r="16220" spans="65:67" ht="18.75" customHeight="1">
      <c r="BM16220" s="1025"/>
      <c r="BO16220" s="43"/>
    </row>
    <row r="16221" spans="65:67" ht="18.75" customHeight="1">
      <c r="BM16221" s="1025"/>
      <c r="BO16221" s="43"/>
    </row>
    <row r="16222" spans="65:67" ht="18.75" customHeight="1">
      <c r="BM16222" s="1025"/>
      <c r="BO16222" s="43"/>
    </row>
    <row r="16223" spans="65:67" ht="18.75" customHeight="1">
      <c r="BM16223" s="1025"/>
      <c r="BO16223" s="43"/>
    </row>
    <row r="16224" spans="65:67" ht="18.75" customHeight="1">
      <c r="BM16224" s="1025"/>
      <c r="BO16224" s="43"/>
    </row>
    <row r="16225" spans="65:67" ht="18.75" customHeight="1">
      <c r="BM16225" s="1025"/>
      <c r="BO16225" s="43"/>
    </row>
    <row r="16226" spans="65:67" ht="18.75" customHeight="1">
      <c r="BM16226" s="1025"/>
      <c r="BO16226" s="43"/>
    </row>
    <row r="16227" spans="65:67" ht="18.75" customHeight="1">
      <c r="BM16227" s="1025"/>
      <c r="BO16227" s="43"/>
    </row>
    <row r="16228" spans="65:67" ht="18.75" customHeight="1">
      <c r="BM16228" s="1025"/>
      <c r="BO16228" s="43"/>
    </row>
    <row r="16229" spans="65:67" ht="18.75" customHeight="1">
      <c r="BM16229" s="1025"/>
      <c r="BO16229" s="43"/>
    </row>
    <row r="16230" spans="65:67" ht="18.75" customHeight="1">
      <c r="BM16230" s="1025"/>
      <c r="BO16230" s="43"/>
    </row>
    <row r="16231" spans="65:67" ht="18.75" customHeight="1">
      <c r="BM16231" s="1025"/>
      <c r="BO16231" s="43"/>
    </row>
    <row r="16232" spans="65:67" ht="18.75" customHeight="1">
      <c r="BM16232" s="1025"/>
      <c r="BO16232" s="43"/>
    </row>
    <row r="16233" spans="65:67" ht="18.75" customHeight="1">
      <c r="BM16233" s="1025"/>
      <c r="BO16233" s="43"/>
    </row>
    <row r="16234" spans="65:67" ht="18.75" customHeight="1">
      <c r="BM16234" s="1025"/>
      <c r="BO16234" s="43"/>
    </row>
    <row r="16235" spans="65:67" ht="18.75" customHeight="1">
      <c r="BM16235" s="1025"/>
      <c r="BO16235" s="43"/>
    </row>
    <row r="16236" spans="65:67" ht="18.75" customHeight="1">
      <c r="BM16236" s="1025"/>
      <c r="BO16236" s="43"/>
    </row>
    <row r="16237" spans="65:67" ht="18.75" customHeight="1">
      <c r="BM16237" s="1025"/>
      <c r="BO16237" s="43"/>
    </row>
    <row r="16238" spans="65:67" ht="18.75" customHeight="1">
      <c r="BM16238" s="1025"/>
      <c r="BO16238" s="43"/>
    </row>
    <row r="16239" spans="65:67" ht="18.75" customHeight="1">
      <c r="BM16239" s="1025"/>
      <c r="BO16239" s="43"/>
    </row>
    <row r="16240" spans="65:67" ht="18.75" customHeight="1">
      <c r="BM16240" s="1025"/>
      <c r="BO16240" s="43"/>
    </row>
    <row r="16241" spans="65:67" ht="18.75" customHeight="1">
      <c r="BM16241" s="1025"/>
      <c r="BO16241" s="43"/>
    </row>
    <row r="16242" spans="65:67" ht="18.75" customHeight="1">
      <c r="BM16242" s="1025"/>
      <c r="BO16242" s="43"/>
    </row>
    <row r="16243" spans="65:67" ht="18.75" customHeight="1">
      <c r="BM16243" s="1025"/>
      <c r="BO16243" s="43"/>
    </row>
    <row r="16244" spans="65:67" ht="18.75" customHeight="1">
      <c r="BM16244" s="1025"/>
      <c r="BO16244" s="43"/>
    </row>
    <row r="16245" spans="65:67" ht="18.75" customHeight="1">
      <c r="BM16245" s="1025"/>
      <c r="BO16245" s="43"/>
    </row>
    <row r="16246" spans="65:67" ht="18.75" customHeight="1">
      <c r="BM16246" s="1025"/>
      <c r="BO16246" s="43"/>
    </row>
    <row r="16247" spans="65:67" ht="18.75" customHeight="1">
      <c r="BM16247" s="1025"/>
      <c r="BO16247" s="43"/>
    </row>
    <row r="16248" spans="65:67" ht="18.75" customHeight="1">
      <c r="BM16248" s="1025"/>
      <c r="BO16248" s="43"/>
    </row>
    <row r="16249" spans="65:67" ht="18.75" customHeight="1">
      <c r="BM16249" s="1025"/>
      <c r="BO16249" s="43"/>
    </row>
    <row r="16250" spans="65:67" ht="18.75" customHeight="1">
      <c r="BM16250" s="1025"/>
      <c r="BO16250" s="43"/>
    </row>
    <row r="16251" spans="65:67" ht="18.75" customHeight="1">
      <c r="BM16251" s="1025"/>
      <c r="BO16251" s="43"/>
    </row>
    <row r="16252" spans="65:67" ht="18.75" customHeight="1">
      <c r="BM16252" s="1025"/>
      <c r="BO16252" s="43"/>
    </row>
    <row r="16253" spans="65:67" ht="18.75" customHeight="1">
      <c r="BM16253" s="1025"/>
      <c r="BO16253" s="43"/>
    </row>
    <row r="16254" spans="65:67" ht="18.75" customHeight="1">
      <c r="BM16254" s="1025"/>
      <c r="BO16254" s="43"/>
    </row>
    <row r="16255" spans="65:67" ht="18.75" customHeight="1">
      <c r="BM16255" s="1025"/>
      <c r="BO16255" s="43"/>
    </row>
    <row r="16256" spans="65:67" ht="18.75" customHeight="1">
      <c r="BM16256" s="1025"/>
      <c r="BO16256" s="43"/>
    </row>
    <row r="16257" spans="65:67" ht="18.75" customHeight="1">
      <c r="BM16257" s="1025"/>
      <c r="BO16257" s="43"/>
    </row>
    <row r="16258" spans="65:67" ht="18.75" customHeight="1">
      <c r="BM16258" s="1025"/>
      <c r="BO16258" s="43"/>
    </row>
    <row r="16259" spans="65:67" ht="18.75" customHeight="1">
      <c r="BM16259" s="1025"/>
      <c r="BO16259" s="43"/>
    </row>
    <row r="16260" spans="65:67" ht="18.75" customHeight="1">
      <c r="BM16260" s="1025"/>
      <c r="BO16260" s="43"/>
    </row>
    <row r="16261" spans="65:67" ht="18.75" customHeight="1">
      <c r="BM16261" s="1025"/>
      <c r="BO16261" s="43"/>
    </row>
    <row r="16262" spans="65:67" ht="18.75" customHeight="1">
      <c r="BM16262" s="1025"/>
      <c r="BO16262" s="43"/>
    </row>
    <row r="16263" spans="65:67" ht="18.75" customHeight="1">
      <c r="BM16263" s="1025"/>
      <c r="BO16263" s="43"/>
    </row>
    <row r="16264" spans="65:67" ht="18.75" customHeight="1">
      <c r="BM16264" s="1025"/>
      <c r="BO16264" s="43"/>
    </row>
    <row r="16265" spans="65:67" ht="18.75" customHeight="1">
      <c r="BM16265" s="1025"/>
      <c r="BO16265" s="43"/>
    </row>
    <row r="16266" spans="65:67" ht="18.75" customHeight="1">
      <c r="BM16266" s="1025"/>
      <c r="BO16266" s="43"/>
    </row>
    <row r="16267" spans="65:67" ht="18.75" customHeight="1">
      <c r="BM16267" s="1025"/>
      <c r="BO16267" s="43"/>
    </row>
    <row r="16268" spans="65:67" ht="18.75" customHeight="1">
      <c r="BM16268" s="1025"/>
      <c r="BO16268" s="43"/>
    </row>
    <row r="16269" spans="65:67" ht="18.75" customHeight="1">
      <c r="BM16269" s="1025"/>
      <c r="BO16269" s="43"/>
    </row>
    <row r="16270" spans="65:67" ht="18.75" customHeight="1">
      <c r="BM16270" s="1025"/>
      <c r="BO16270" s="43"/>
    </row>
    <row r="16271" spans="65:67" ht="18.75" customHeight="1">
      <c r="BM16271" s="1025"/>
      <c r="BO16271" s="43"/>
    </row>
    <row r="16272" spans="65:67" ht="18.75" customHeight="1">
      <c r="BM16272" s="1025"/>
      <c r="BO16272" s="43"/>
    </row>
    <row r="16273" spans="65:67" ht="18.75" customHeight="1">
      <c r="BM16273" s="1025"/>
      <c r="BO16273" s="43"/>
    </row>
    <row r="16274" spans="65:67" ht="18.75" customHeight="1">
      <c r="BM16274" s="1025"/>
      <c r="BO16274" s="43"/>
    </row>
    <row r="16275" spans="65:67" ht="18.75" customHeight="1">
      <c r="BM16275" s="1025"/>
      <c r="BO16275" s="43"/>
    </row>
    <row r="16276" spans="65:67" ht="18.75" customHeight="1">
      <c r="BM16276" s="1025"/>
      <c r="BO16276" s="43"/>
    </row>
    <row r="16277" spans="65:67" ht="18.75" customHeight="1">
      <c r="BM16277" s="1025"/>
      <c r="BO16277" s="43"/>
    </row>
    <row r="16278" spans="65:67" ht="18.75" customHeight="1">
      <c r="BM16278" s="1025"/>
      <c r="BO16278" s="43"/>
    </row>
    <row r="16279" spans="65:67" ht="18.75" customHeight="1">
      <c r="BM16279" s="1025"/>
      <c r="BO16279" s="43"/>
    </row>
    <row r="16280" spans="65:67" ht="18.75" customHeight="1">
      <c r="BM16280" s="1025"/>
      <c r="BO16280" s="43"/>
    </row>
    <row r="16281" spans="65:67" ht="18.75" customHeight="1">
      <c r="BM16281" s="1025"/>
      <c r="BO16281" s="43"/>
    </row>
    <row r="16282" spans="65:67" ht="18.75" customHeight="1">
      <c r="BM16282" s="1025"/>
      <c r="BO16282" s="43"/>
    </row>
    <row r="16283" spans="65:67" ht="18.75" customHeight="1">
      <c r="BM16283" s="1025"/>
      <c r="BO16283" s="43"/>
    </row>
    <row r="16284" spans="65:67" ht="18.75" customHeight="1">
      <c r="BM16284" s="1025"/>
      <c r="BO16284" s="43"/>
    </row>
    <row r="16285" spans="65:67" ht="18.75" customHeight="1">
      <c r="BM16285" s="1025"/>
      <c r="BO16285" s="43"/>
    </row>
    <row r="16286" spans="65:67" ht="18.75" customHeight="1">
      <c r="BM16286" s="1025"/>
      <c r="BO16286" s="43"/>
    </row>
    <row r="16287" spans="65:67" ht="18.75" customHeight="1">
      <c r="BM16287" s="1025"/>
      <c r="BO16287" s="43"/>
    </row>
    <row r="16288" spans="65:67" ht="18.75" customHeight="1">
      <c r="BM16288" s="1025"/>
      <c r="BO16288" s="43"/>
    </row>
    <row r="16289" spans="65:67" ht="18.75" customHeight="1">
      <c r="BM16289" s="1025"/>
      <c r="BO16289" s="43"/>
    </row>
    <row r="16290" spans="65:67" ht="18.75" customHeight="1">
      <c r="BM16290" s="1025"/>
      <c r="BO16290" s="43"/>
    </row>
    <row r="16291" spans="65:67" ht="18.75" customHeight="1">
      <c r="BM16291" s="1025"/>
      <c r="BO16291" s="43"/>
    </row>
    <row r="16292" spans="65:67" ht="18.75" customHeight="1">
      <c r="BM16292" s="1025"/>
      <c r="BO16292" s="43"/>
    </row>
    <row r="16293" spans="65:67" ht="18.75" customHeight="1">
      <c r="BM16293" s="1025"/>
      <c r="BO16293" s="43"/>
    </row>
    <row r="16294" spans="65:67" ht="18.75" customHeight="1">
      <c r="BM16294" s="1025"/>
      <c r="BO16294" s="43"/>
    </row>
    <row r="16295" spans="65:67" ht="18.75" customHeight="1">
      <c r="BM16295" s="1025"/>
      <c r="BO16295" s="43"/>
    </row>
    <row r="16296" spans="65:67" ht="18.75" customHeight="1">
      <c r="BM16296" s="1025"/>
      <c r="BO16296" s="43"/>
    </row>
    <row r="16297" spans="65:67" ht="18.75" customHeight="1">
      <c r="BM16297" s="1025"/>
      <c r="BO16297" s="43"/>
    </row>
    <row r="16298" spans="65:67" ht="18.75" customHeight="1">
      <c r="BM16298" s="1025"/>
      <c r="BO16298" s="43"/>
    </row>
    <row r="16299" spans="65:67" ht="18.75" customHeight="1">
      <c r="BM16299" s="1025"/>
      <c r="BO16299" s="43"/>
    </row>
    <row r="16300" spans="65:67" ht="18.75" customHeight="1">
      <c r="BM16300" s="1025"/>
      <c r="BO16300" s="43"/>
    </row>
    <row r="16301" spans="65:67" ht="18.75" customHeight="1">
      <c r="BM16301" s="1025"/>
      <c r="BO16301" s="43"/>
    </row>
    <row r="16302" spans="65:67" ht="18.75" customHeight="1">
      <c r="BM16302" s="1025"/>
      <c r="BO16302" s="43"/>
    </row>
    <row r="16303" spans="65:67" ht="18.75" customHeight="1">
      <c r="BM16303" s="1025"/>
      <c r="BO16303" s="43"/>
    </row>
    <row r="16304" spans="65:67" ht="18.75" customHeight="1">
      <c r="BM16304" s="1025"/>
      <c r="BO16304" s="43"/>
    </row>
    <row r="16305" spans="65:67" ht="18.75" customHeight="1">
      <c r="BM16305" s="1025"/>
      <c r="BO16305" s="43"/>
    </row>
    <row r="16306" spans="65:67" ht="18.75" customHeight="1">
      <c r="BM16306" s="1025"/>
      <c r="BO16306" s="43"/>
    </row>
    <row r="16307" spans="65:67" ht="18.75" customHeight="1">
      <c r="BM16307" s="1025"/>
      <c r="BO16307" s="43"/>
    </row>
    <row r="16308" spans="65:67" ht="18.75" customHeight="1">
      <c r="BM16308" s="1025"/>
      <c r="BO16308" s="43"/>
    </row>
    <row r="16309" spans="65:67" ht="18.75" customHeight="1">
      <c r="BM16309" s="1025"/>
      <c r="BO16309" s="43"/>
    </row>
    <row r="16310" spans="65:67" ht="18.75" customHeight="1">
      <c r="BM16310" s="1025"/>
      <c r="BO16310" s="43"/>
    </row>
    <row r="16311" spans="65:67" ht="18.75" customHeight="1">
      <c r="BM16311" s="1025"/>
      <c r="BO16311" s="43"/>
    </row>
    <row r="16312" spans="65:67" ht="18.75" customHeight="1">
      <c r="BM16312" s="1025"/>
      <c r="BO16312" s="43"/>
    </row>
    <row r="16313" spans="65:67" ht="18.75" customHeight="1">
      <c r="BM16313" s="1025"/>
      <c r="BO16313" s="43"/>
    </row>
    <row r="16314" spans="65:67" ht="18.75" customHeight="1">
      <c r="BM16314" s="1025"/>
      <c r="BO16314" s="43"/>
    </row>
    <row r="16315" spans="65:67" ht="18.75" customHeight="1">
      <c r="BM16315" s="1025"/>
      <c r="BO16315" s="43"/>
    </row>
    <row r="16316" spans="65:67" ht="18.75" customHeight="1">
      <c r="BM16316" s="1025"/>
      <c r="BO16316" s="43"/>
    </row>
    <row r="16317" spans="65:67" ht="18.75" customHeight="1">
      <c r="BM16317" s="1025"/>
      <c r="BO16317" s="43"/>
    </row>
    <row r="16318" spans="65:67" ht="18.75" customHeight="1">
      <c r="BM16318" s="1025"/>
      <c r="BO16318" s="43"/>
    </row>
    <row r="16319" spans="65:67" ht="18.75" customHeight="1">
      <c r="BM16319" s="1025"/>
      <c r="BO16319" s="43"/>
    </row>
    <row r="16320" spans="65:67" ht="18.75" customHeight="1">
      <c r="BM16320" s="1025"/>
      <c r="BO16320" s="43"/>
    </row>
    <row r="16321" spans="65:67" ht="18.75" customHeight="1">
      <c r="BM16321" s="1025"/>
      <c r="BO16321" s="43"/>
    </row>
    <row r="16322" spans="65:67" ht="18.75" customHeight="1">
      <c r="BM16322" s="1025"/>
      <c r="BO16322" s="43"/>
    </row>
    <row r="16323" spans="65:67" ht="18.75" customHeight="1">
      <c r="BM16323" s="1025"/>
      <c r="BO16323" s="43"/>
    </row>
    <row r="16324" spans="65:67" ht="18.75" customHeight="1">
      <c r="BM16324" s="1025"/>
      <c r="BO16324" s="43"/>
    </row>
    <row r="16325" spans="65:67" ht="18.75" customHeight="1">
      <c r="BM16325" s="1025"/>
      <c r="BO16325" s="43"/>
    </row>
    <row r="16326" spans="65:67" ht="18.75" customHeight="1">
      <c r="BM16326" s="1025"/>
      <c r="BO16326" s="43"/>
    </row>
    <row r="16327" spans="65:67" ht="18.75" customHeight="1">
      <c r="BM16327" s="1025"/>
      <c r="BO16327" s="43"/>
    </row>
    <row r="16328" spans="65:67" ht="18.75" customHeight="1">
      <c r="BM16328" s="1025"/>
      <c r="BO16328" s="43"/>
    </row>
    <row r="16329" spans="65:67" ht="18.75" customHeight="1">
      <c r="BM16329" s="1025"/>
      <c r="BO16329" s="43"/>
    </row>
    <row r="16330" spans="65:67" ht="18.75" customHeight="1">
      <c r="BM16330" s="1025"/>
      <c r="BO16330" s="43"/>
    </row>
    <row r="16331" spans="65:67" ht="18.75" customHeight="1">
      <c r="BM16331" s="1025"/>
      <c r="BO16331" s="43"/>
    </row>
    <row r="16332" spans="65:67" ht="18.75" customHeight="1">
      <c r="BM16332" s="1025"/>
      <c r="BO16332" s="43"/>
    </row>
    <row r="16333" spans="65:67" ht="18.75" customHeight="1">
      <c r="BM16333" s="1025"/>
      <c r="BO16333" s="43"/>
    </row>
    <row r="16334" spans="65:67" ht="18.75" customHeight="1">
      <c r="BM16334" s="1025"/>
      <c r="BO16334" s="43"/>
    </row>
    <row r="16335" spans="65:67" ht="18.75" customHeight="1">
      <c r="BM16335" s="1025"/>
      <c r="BO16335" s="43"/>
    </row>
    <row r="16336" spans="65:67" ht="18.75" customHeight="1">
      <c r="BM16336" s="1025"/>
      <c r="BO16336" s="43"/>
    </row>
    <row r="16337" spans="65:67" ht="18.75" customHeight="1">
      <c r="BM16337" s="1025"/>
      <c r="BO16337" s="43"/>
    </row>
    <row r="16338" spans="65:67" ht="18.75" customHeight="1">
      <c r="BM16338" s="1025"/>
      <c r="BO16338" s="43"/>
    </row>
    <row r="16339" spans="65:67" ht="18.75" customHeight="1">
      <c r="BM16339" s="1025"/>
      <c r="BO16339" s="43"/>
    </row>
    <row r="16340" spans="65:67" ht="18.75" customHeight="1">
      <c r="BM16340" s="1025"/>
      <c r="BO16340" s="43"/>
    </row>
    <row r="16341" spans="65:67" ht="18.75" customHeight="1">
      <c r="BM16341" s="1025"/>
      <c r="BO16341" s="43"/>
    </row>
    <row r="16342" spans="65:67" ht="18.75" customHeight="1">
      <c r="BM16342" s="1025"/>
      <c r="BO16342" s="43"/>
    </row>
    <row r="16343" spans="65:67" ht="18.75" customHeight="1">
      <c r="BM16343" s="1025"/>
      <c r="BO16343" s="43"/>
    </row>
    <row r="16344" spans="65:67" ht="18.75" customHeight="1">
      <c r="BM16344" s="1025"/>
      <c r="BO16344" s="43"/>
    </row>
    <row r="16345" spans="65:67" ht="18.75" customHeight="1">
      <c r="BM16345" s="1025"/>
      <c r="BO16345" s="43"/>
    </row>
    <row r="16346" spans="65:67" ht="18.75" customHeight="1">
      <c r="BM16346" s="1025"/>
      <c r="BO16346" s="43"/>
    </row>
    <row r="16347" spans="65:67" ht="18.75" customHeight="1">
      <c r="BM16347" s="1025"/>
      <c r="BO16347" s="43"/>
    </row>
    <row r="16348" spans="65:67" ht="18.75" customHeight="1">
      <c r="BM16348" s="1025"/>
      <c r="BO16348" s="43"/>
    </row>
    <row r="16349" spans="65:67" ht="18.75" customHeight="1">
      <c r="BM16349" s="1025"/>
      <c r="BO16349" s="43"/>
    </row>
    <row r="16350" spans="65:67" ht="18.75" customHeight="1">
      <c r="BM16350" s="1025"/>
      <c r="BO16350" s="43"/>
    </row>
    <row r="16351" spans="65:67" ht="18.75" customHeight="1">
      <c r="BM16351" s="1025"/>
      <c r="BO16351" s="43"/>
    </row>
    <row r="16352" spans="65:67" ht="18.75" customHeight="1">
      <c r="BM16352" s="1025"/>
      <c r="BO16352" s="43"/>
    </row>
    <row r="16353" spans="65:67" ht="18.75" customHeight="1">
      <c r="BM16353" s="1025"/>
      <c r="BO16353" s="43"/>
    </row>
    <row r="16354" spans="65:67" ht="18.75" customHeight="1">
      <c r="BM16354" s="1025"/>
      <c r="BO16354" s="43"/>
    </row>
    <row r="16355" spans="65:67" ht="18.75" customHeight="1">
      <c r="BM16355" s="1025"/>
      <c r="BO16355" s="43"/>
    </row>
    <row r="16356" spans="65:67" ht="18.75" customHeight="1">
      <c r="BM16356" s="1025"/>
      <c r="BO16356" s="43"/>
    </row>
    <row r="16357" spans="65:67" ht="18.75" customHeight="1">
      <c r="BM16357" s="1025"/>
      <c r="BO16357" s="43"/>
    </row>
    <row r="16358" spans="65:67" ht="18.75" customHeight="1">
      <c r="BM16358" s="1025"/>
      <c r="BO16358" s="43"/>
    </row>
    <row r="16359" spans="65:67" ht="18.75" customHeight="1">
      <c r="BM16359" s="1025"/>
      <c r="BO16359" s="43"/>
    </row>
    <row r="16360" spans="65:67" ht="18.75" customHeight="1">
      <c r="BM16360" s="1025"/>
      <c r="BO16360" s="43"/>
    </row>
    <row r="16361" spans="65:67" ht="18.75" customHeight="1">
      <c r="BM16361" s="1025"/>
      <c r="BO16361" s="43"/>
    </row>
    <row r="16362" spans="65:67" ht="18.75" customHeight="1">
      <c r="BM16362" s="1025"/>
      <c r="BO16362" s="43"/>
    </row>
    <row r="16363" spans="65:67" ht="18.75" customHeight="1">
      <c r="BM16363" s="1025"/>
      <c r="BO16363" s="43"/>
    </row>
    <row r="16364" spans="65:67" ht="18.75" customHeight="1">
      <c r="BM16364" s="1025"/>
      <c r="BO16364" s="43"/>
    </row>
    <row r="16365" spans="65:67" ht="18.75" customHeight="1">
      <c r="BM16365" s="1025"/>
      <c r="BO16365" s="43"/>
    </row>
    <row r="16366" spans="65:67" ht="18.75" customHeight="1">
      <c r="BM16366" s="1025"/>
      <c r="BO16366" s="43"/>
    </row>
    <row r="16367" spans="65:67" ht="18.75" customHeight="1">
      <c r="BM16367" s="1025"/>
      <c r="BO16367" s="43"/>
    </row>
    <row r="16368" spans="65:67" ht="18.75" customHeight="1">
      <c r="BM16368" s="1025"/>
      <c r="BO16368" s="43"/>
    </row>
    <row r="16369" spans="65:67" ht="18.75" customHeight="1">
      <c r="BM16369" s="1025"/>
      <c r="BO16369" s="43"/>
    </row>
    <row r="16370" spans="65:67" ht="18.75" customHeight="1">
      <c r="BM16370" s="1025"/>
      <c r="BO16370" s="43"/>
    </row>
    <row r="16371" spans="65:67" ht="18.75" customHeight="1">
      <c r="BM16371" s="1025"/>
      <c r="BO16371" s="43"/>
    </row>
    <row r="16372" spans="65:67" ht="18.75" customHeight="1">
      <c r="BM16372" s="1025"/>
      <c r="BO16372" s="43"/>
    </row>
    <row r="16373" spans="65:67" ht="18.75" customHeight="1">
      <c r="BM16373" s="1025"/>
      <c r="BO16373" s="43"/>
    </row>
    <row r="16374" spans="65:67" ht="18.75" customHeight="1">
      <c r="BM16374" s="1025"/>
      <c r="BO16374" s="43"/>
    </row>
    <row r="16375" spans="65:67" ht="18.75" customHeight="1">
      <c r="BM16375" s="1025"/>
      <c r="BO16375" s="43"/>
    </row>
    <row r="16376" spans="65:67" ht="18.75" customHeight="1">
      <c r="BM16376" s="1025"/>
      <c r="BO16376" s="43"/>
    </row>
    <row r="16377" spans="65:67" ht="18.75" customHeight="1">
      <c r="BM16377" s="1025"/>
      <c r="BO16377" s="43"/>
    </row>
    <row r="16378" spans="65:67" ht="18.75" customHeight="1">
      <c r="BM16378" s="1025"/>
      <c r="BO16378" s="43"/>
    </row>
    <row r="16379" spans="65:67" ht="18.75" customHeight="1">
      <c r="BM16379" s="1025"/>
      <c r="BO16379" s="43"/>
    </row>
    <row r="16380" spans="65:67" ht="18.75" customHeight="1">
      <c r="BM16380" s="1025"/>
      <c r="BO16380" s="43"/>
    </row>
    <row r="16381" spans="65:67" ht="18.75" customHeight="1">
      <c r="BM16381" s="1025"/>
      <c r="BO16381" s="43"/>
    </row>
    <row r="16382" spans="65:67" ht="18.75" customHeight="1">
      <c r="BM16382" s="1025"/>
      <c r="BO16382" s="43"/>
    </row>
    <row r="16383" spans="65:67" ht="18.75" customHeight="1">
      <c r="BM16383" s="1025"/>
      <c r="BO16383" s="43"/>
    </row>
    <row r="16384" spans="65:67" ht="18.75" customHeight="1">
      <c r="BM16384" s="1025"/>
      <c r="BO16384" s="43"/>
    </row>
    <row r="16385" spans="65:67" ht="18.75" customHeight="1">
      <c r="BM16385" s="1025"/>
      <c r="BO16385" s="43"/>
    </row>
    <row r="16386" spans="65:67" ht="18.75" customHeight="1">
      <c r="BM16386" s="1025"/>
      <c r="BO16386" s="43"/>
    </row>
    <row r="16387" spans="65:67" ht="18.75" customHeight="1">
      <c r="BM16387" s="1025"/>
      <c r="BO16387" s="43"/>
    </row>
    <row r="16388" spans="65:67" ht="18.75" customHeight="1">
      <c r="BM16388" s="1025"/>
      <c r="BO16388" s="43"/>
    </row>
    <row r="16389" spans="65:67" ht="18.75" customHeight="1">
      <c r="BM16389" s="1025"/>
      <c r="BO16389" s="43"/>
    </row>
    <row r="16390" spans="65:67" ht="18.75" customHeight="1">
      <c r="BM16390" s="1025"/>
      <c r="BO16390" s="43"/>
    </row>
    <row r="16391" spans="65:67" ht="18.75" customHeight="1">
      <c r="BM16391" s="1025"/>
      <c r="BO16391" s="43"/>
    </row>
    <row r="16392" spans="65:67" ht="18.75" customHeight="1">
      <c r="BM16392" s="1025"/>
      <c r="BO16392" s="43"/>
    </row>
    <row r="16393" spans="65:67" ht="18.75" customHeight="1">
      <c r="BM16393" s="1025"/>
      <c r="BO16393" s="43"/>
    </row>
    <row r="16394" spans="65:67" ht="18.75" customHeight="1">
      <c r="BM16394" s="1025"/>
      <c r="BO16394" s="43"/>
    </row>
    <row r="16395" spans="65:67" ht="18.75" customHeight="1">
      <c r="BM16395" s="1025"/>
      <c r="BO16395" s="43"/>
    </row>
    <row r="16396" spans="65:67" ht="18.75" customHeight="1">
      <c r="BM16396" s="1025"/>
      <c r="BO16396" s="43"/>
    </row>
    <row r="16397" spans="65:67" ht="18.75" customHeight="1">
      <c r="BM16397" s="1025"/>
      <c r="BO16397" s="43"/>
    </row>
    <row r="16398" spans="65:67" ht="18.75" customHeight="1">
      <c r="BM16398" s="1025"/>
      <c r="BO16398" s="43"/>
    </row>
    <row r="16399" spans="65:67" ht="18.75" customHeight="1">
      <c r="BM16399" s="1025"/>
      <c r="BO16399" s="43"/>
    </row>
    <row r="16400" spans="65:67" ht="18.75" customHeight="1">
      <c r="BM16400" s="1025"/>
      <c r="BO16400" s="43"/>
    </row>
    <row r="16401" spans="65:67" ht="18.75" customHeight="1">
      <c r="BM16401" s="1025"/>
      <c r="BO16401" s="43"/>
    </row>
    <row r="16402" spans="65:67" ht="18.75" customHeight="1">
      <c r="BM16402" s="1025"/>
      <c r="BO16402" s="43"/>
    </row>
    <row r="16403" spans="65:67" ht="18.75" customHeight="1">
      <c r="BM16403" s="1025"/>
      <c r="BO16403" s="43"/>
    </row>
    <row r="16404" spans="65:67" ht="18.75" customHeight="1">
      <c r="BM16404" s="1025"/>
      <c r="BO16404" s="43"/>
    </row>
    <row r="16405" spans="65:67" ht="18.75" customHeight="1">
      <c r="BM16405" s="1025"/>
      <c r="BO16405" s="43"/>
    </row>
    <row r="16406" spans="65:67" ht="18.75" customHeight="1">
      <c r="BM16406" s="1025"/>
      <c r="BO16406" s="43"/>
    </row>
    <row r="16407" spans="65:67" ht="18.75" customHeight="1">
      <c r="BM16407" s="1025"/>
      <c r="BO16407" s="43"/>
    </row>
    <row r="16408" spans="65:67" ht="18.75" customHeight="1">
      <c r="BM16408" s="1025"/>
      <c r="BO16408" s="43"/>
    </row>
    <row r="16409" spans="65:67" ht="18.75" customHeight="1">
      <c r="BM16409" s="1025"/>
      <c r="BO16409" s="43"/>
    </row>
    <row r="16410" spans="65:67" ht="18.75" customHeight="1">
      <c r="BM16410" s="1025"/>
      <c r="BO16410" s="43"/>
    </row>
    <row r="16411" spans="65:67" ht="18.75" customHeight="1">
      <c r="BM16411" s="1025"/>
      <c r="BO16411" s="43"/>
    </row>
    <row r="16412" spans="65:67" ht="18.75" customHeight="1">
      <c r="BM16412" s="1025"/>
      <c r="BO16412" s="43"/>
    </row>
    <row r="16413" spans="65:67" ht="18.75" customHeight="1">
      <c r="BM16413" s="1025"/>
      <c r="BO16413" s="43"/>
    </row>
    <row r="16414" spans="65:67" ht="18.75" customHeight="1">
      <c r="BM16414" s="1025"/>
      <c r="BO16414" s="43"/>
    </row>
    <row r="16415" spans="65:67" ht="18.75" customHeight="1">
      <c r="BM16415" s="1025"/>
      <c r="BO16415" s="43"/>
    </row>
    <row r="16416" spans="65:67" ht="18.75" customHeight="1">
      <c r="BM16416" s="1025"/>
      <c r="BO16416" s="43"/>
    </row>
    <row r="16417" spans="65:67" ht="18.75" customHeight="1">
      <c r="BM16417" s="1025"/>
      <c r="BO16417" s="43"/>
    </row>
    <row r="16418" spans="65:67" ht="18.75" customHeight="1">
      <c r="BM16418" s="1025"/>
      <c r="BO16418" s="43"/>
    </row>
    <row r="16419" spans="65:67" ht="18.75" customHeight="1">
      <c r="BM16419" s="1025"/>
      <c r="BO16419" s="43"/>
    </row>
    <row r="16420" spans="65:67" ht="18.75" customHeight="1">
      <c r="BM16420" s="1025"/>
      <c r="BO16420" s="43"/>
    </row>
    <row r="16421" spans="65:67" ht="18.75" customHeight="1">
      <c r="BM16421" s="1025"/>
      <c r="BO16421" s="43"/>
    </row>
    <row r="16422" spans="65:67" ht="18.75" customHeight="1">
      <c r="BM16422" s="1025"/>
      <c r="BO16422" s="43"/>
    </row>
    <row r="16423" spans="65:67" ht="18.75" customHeight="1">
      <c r="BM16423" s="1025"/>
      <c r="BO16423" s="43"/>
    </row>
    <row r="16424" spans="65:67" ht="18.75" customHeight="1">
      <c r="BM16424" s="1025"/>
      <c r="BO16424" s="43"/>
    </row>
    <row r="16425" spans="65:67" ht="18.75" customHeight="1">
      <c r="BM16425" s="1025"/>
      <c r="BO16425" s="43"/>
    </row>
    <row r="16426" spans="65:67" ht="18.75" customHeight="1">
      <c r="BM16426" s="1025"/>
      <c r="BO16426" s="43"/>
    </row>
    <row r="16427" spans="65:67" ht="18.75" customHeight="1">
      <c r="BM16427" s="1025"/>
      <c r="BO16427" s="43"/>
    </row>
    <row r="16428" spans="65:67" ht="18.75" customHeight="1">
      <c r="BM16428" s="1025"/>
      <c r="BO16428" s="43"/>
    </row>
    <row r="16429" spans="65:67" ht="18.75" customHeight="1">
      <c r="BM16429" s="1025"/>
      <c r="BO16429" s="43"/>
    </row>
    <row r="16430" spans="65:67" ht="18.75" customHeight="1">
      <c r="BM16430" s="1025"/>
      <c r="BO16430" s="43"/>
    </row>
    <row r="16431" spans="65:67" ht="18.75" customHeight="1">
      <c r="BM16431" s="1025"/>
      <c r="BO16431" s="43"/>
    </row>
    <row r="16432" spans="65:67" ht="18.75" customHeight="1">
      <c r="BM16432" s="1025"/>
      <c r="BO16432" s="43"/>
    </row>
    <row r="16433" spans="65:67" ht="18.75" customHeight="1">
      <c r="BM16433" s="1025"/>
      <c r="BO16433" s="43"/>
    </row>
    <row r="16434" spans="65:67" ht="18.75" customHeight="1">
      <c r="BM16434" s="1025"/>
      <c r="BO16434" s="43"/>
    </row>
    <row r="16435" spans="65:67" ht="18.75" customHeight="1">
      <c r="BM16435" s="1025"/>
      <c r="BO16435" s="43"/>
    </row>
    <row r="16436" spans="65:67" ht="18.75" customHeight="1">
      <c r="BM16436" s="1025"/>
      <c r="BO16436" s="43"/>
    </row>
    <row r="16437" spans="65:67" ht="18.75" customHeight="1">
      <c r="BM16437" s="1025"/>
      <c r="BO16437" s="43"/>
    </row>
    <row r="16438" spans="65:67" ht="18.75" customHeight="1">
      <c r="BM16438" s="1025"/>
      <c r="BO16438" s="43"/>
    </row>
    <row r="16439" spans="65:67" ht="18.75" customHeight="1">
      <c r="BM16439" s="1025"/>
      <c r="BO16439" s="43"/>
    </row>
    <row r="16440" spans="65:67" ht="18.75" customHeight="1">
      <c r="BM16440" s="1025"/>
      <c r="BO16440" s="43"/>
    </row>
    <row r="16441" spans="65:67" ht="18.75" customHeight="1">
      <c r="BM16441" s="1025"/>
      <c r="BO16441" s="43"/>
    </row>
    <row r="16442" spans="65:67" ht="18.75" customHeight="1">
      <c r="BM16442" s="1025"/>
      <c r="BO16442" s="43"/>
    </row>
    <row r="16443" spans="65:67" ht="18.75" customHeight="1">
      <c r="BM16443" s="1025"/>
      <c r="BO16443" s="43"/>
    </row>
    <row r="16444" spans="65:67" ht="18.75" customHeight="1">
      <c r="BM16444" s="1025"/>
      <c r="BO16444" s="43"/>
    </row>
    <row r="16445" spans="65:67" ht="18.75" customHeight="1">
      <c r="BM16445" s="1025"/>
      <c r="BO16445" s="43"/>
    </row>
    <row r="16446" spans="65:67" ht="18.75" customHeight="1">
      <c r="BM16446" s="1025"/>
      <c r="BO16446" s="43"/>
    </row>
    <row r="16447" spans="65:67" ht="18.75" customHeight="1">
      <c r="BM16447" s="1025"/>
      <c r="BO16447" s="43"/>
    </row>
    <row r="16448" spans="65:67" ht="18.75" customHeight="1">
      <c r="BM16448" s="1025"/>
      <c r="BO16448" s="43"/>
    </row>
    <row r="16449" spans="65:67" ht="18.75" customHeight="1">
      <c r="BM16449" s="1025"/>
      <c r="BO16449" s="43"/>
    </row>
    <row r="16450" spans="65:67" ht="18.75" customHeight="1">
      <c r="BM16450" s="1025"/>
      <c r="BO16450" s="43"/>
    </row>
    <row r="16451" spans="65:67" ht="18.75" customHeight="1">
      <c r="BM16451" s="1025"/>
      <c r="BO16451" s="43"/>
    </row>
    <row r="16452" spans="65:67" ht="18.75" customHeight="1">
      <c r="BM16452" s="1025"/>
      <c r="BO16452" s="43"/>
    </row>
    <row r="16453" spans="65:67" ht="18.75" customHeight="1">
      <c r="BM16453" s="1025"/>
      <c r="BO16453" s="43"/>
    </row>
    <row r="16454" spans="65:67" ht="18.75" customHeight="1">
      <c r="BM16454" s="1025"/>
      <c r="BO16454" s="43"/>
    </row>
    <row r="16455" spans="65:67" ht="18.75" customHeight="1">
      <c r="BM16455" s="1025"/>
      <c r="BO16455" s="43"/>
    </row>
    <row r="16456" spans="65:67" ht="18.75" customHeight="1">
      <c r="BM16456" s="1025"/>
      <c r="BO16456" s="43"/>
    </row>
    <row r="16457" spans="65:67" ht="18.75" customHeight="1">
      <c r="BM16457" s="1025"/>
      <c r="BO16457" s="43"/>
    </row>
    <row r="16458" spans="65:67" ht="18.75" customHeight="1">
      <c r="BM16458" s="1025"/>
      <c r="BO16458" s="43"/>
    </row>
    <row r="16459" spans="65:67" ht="18.75" customHeight="1">
      <c r="BM16459" s="1025"/>
      <c r="BO16459" s="43"/>
    </row>
    <row r="16460" spans="65:67" ht="18.75" customHeight="1">
      <c r="BM16460" s="1025"/>
      <c r="BO16460" s="43"/>
    </row>
    <row r="16461" spans="65:67" ht="18.75" customHeight="1">
      <c r="BM16461" s="1025"/>
      <c r="BO16461" s="43"/>
    </row>
    <row r="16462" spans="65:67" ht="18.75" customHeight="1">
      <c r="BM16462" s="1025"/>
      <c r="BO16462" s="43"/>
    </row>
    <row r="16463" spans="65:67" ht="18.75" customHeight="1">
      <c r="BM16463" s="1025"/>
      <c r="BO16463" s="43"/>
    </row>
    <row r="16464" spans="65:67" ht="18.75" customHeight="1">
      <c r="BM16464" s="1025"/>
      <c r="BO16464" s="43"/>
    </row>
    <row r="16465" spans="65:67" ht="18.75" customHeight="1">
      <c r="BM16465" s="1025"/>
      <c r="BO16465" s="43"/>
    </row>
    <row r="16466" spans="65:67" ht="18.75" customHeight="1">
      <c r="BM16466" s="1025"/>
      <c r="BO16466" s="43"/>
    </row>
    <row r="16467" spans="65:67" ht="18.75" customHeight="1">
      <c r="BM16467" s="1025"/>
      <c r="BO16467" s="43"/>
    </row>
    <row r="16468" spans="65:67" ht="18.75" customHeight="1">
      <c r="BM16468" s="1025"/>
      <c r="BO16468" s="43"/>
    </row>
    <row r="16469" spans="65:67" ht="18.75" customHeight="1">
      <c r="BM16469" s="1025"/>
      <c r="BO16469" s="43"/>
    </row>
    <row r="16470" spans="65:67" ht="18.75" customHeight="1">
      <c r="BM16470" s="1025"/>
      <c r="BO16470" s="43"/>
    </row>
    <row r="16471" spans="65:67" ht="18.75" customHeight="1">
      <c r="BM16471" s="1025"/>
      <c r="BO16471" s="43"/>
    </row>
    <row r="16472" spans="65:67" ht="18.75" customHeight="1">
      <c r="BM16472" s="1025"/>
      <c r="BO16472" s="43"/>
    </row>
    <row r="16473" spans="65:67" ht="18.75" customHeight="1">
      <c r="BM16473" s="1025"/>
      <c r="BO16473" s="43"/>
    </row>
    <row r="16474" spans="65:67" ht="18.75" customHeight="1">
      <c r="BM16474" s="1025"/>
      <c r="BO16474" s="43"/>
    </row>
    <row r="16475" spans="65:67" ht="18.75" customHeight="1">
      <c r="BM16475" s="1025"/>
      <c r="BO16475" s="43"/>
    </row>
    <row r="16476" spans="65:67" ht="18.75" customHeight="1">
      <c r="BM16476" s="1025"/>
      <c r="BO16476" s="43"/>
    </row>
    <row r="16477" spans="65:67" ht="18.75" customHeight="1">
      <c r="BM16477" s="1025"/>
      <c r="BO16477" s="43"/>
    </row>
    <row r="16478" spans="65:67" ht="18.75" customHeight="1">
      <c r="BM16478" s="1025"/>
      <c r="BO16478" s="43"/>
    </row>
    <row r="16479" spans="65:67" ht="18.75" customHeight="1">
      <c r="BM16479" s="1025"/>
      <c r="BO16479" s="43"/>
    </row>
    <row r="16480" spans="65:67" ht="18.75" customHeight="1">
      <c r="BM16480" s="1025"/>
      <c r="BO16480" s="43"/>
    </row>
    <row r="16481" spans="65:67" ht="18.75" customHeight="1">
      <c r="BM16481" s="1025"/>
      <c r="BO16481" s="43"/>
    </row>
    <row r="16482" spans="65:67" ht="18.75" customHeight="1">
      <c r="BM16482" s="1025"/>
      <c r="BO16482" s="43"/>
    </row>
    <row r="16483" spans="65:67" ht="18.75" customHeight="1">
      <c r="BM16483" s="1025"/>
      <c r="BO16483" s="43"/>
    </row>
    <row r="16484" spans="65:67" ht="18.75" customHeight="1">
      <c r="BM16484" s="1025"/>
      <c r="BO16484" s="43"/>
    </row>
    <row r="16485" spans="65:67" ht="18.75" customHeight="1">
      <c r="BM16485" s="1025"/>
      <c r="BO16485" s="43"/>
    </row>
    <row r="16486" spans="65:67" ht="18.75" customHeight="1">
      <c r="BM16486" s="1025"/>
      <c r="BO16486" s="43"/>
    </row>
    <row r="16487" spans="65:67" ht="18.75" customHeight="1">
      <c r="BM16487" s="1025"/>
      <c r="BO16487" s="43"/>
    </row>
    <row r="16488" spans="65:67" ht="18.75" customHeight="1">
      <c r="BM16488" s="1025"/>
      <c r="BO16488" s="43"/>
    </row>
    <row r="16489" spans="65:67" ht="18.75" customHeight="1">
      <c r="BM16489" s="1025"/>
      <c r="BO16489" s="43"/>
    </row>
    <row r="16490" spans="65:67" ht="18.75" customHeight="1">
      <c r="BM16490" s="1025"/>
      <c r="BO16490" s="43"/>
    </row>
    <row r="16491" spans="65:67" ht="18.75" customHeight="1">
      <c r="BM16491" s="1025"/>
      <c r="BO16491" s="43"/>
    </row>
    <row r="16492" spans="65:67" ht="18.75" customHeight="1">
      <c r="BM16492" s="1025"/>
      <c r="BO16492" s="43"/>
    </row>
    <row r="16493" spans="65:67" ht="18.75" customHeight="1">
      <c r="BM16493" s="1025"/>
      <c r="BO16493" s="43"/>
    </row>
    <row r="16494" spans="65:67" ht="18.75" customHeight="1">
      <c r="BM16494" s="1025"/>
      <c r="BO16494" s="43"/>
    </row>
    <row r="16495" spans="65:67" ht="18.75" customHeight="1">
      <c r="BM16495" s="1025"/>
      <c r="BO16495" s="43"/>
    </row>
    <row r="16496" spans="65:67" ht="18.75" customHeight="1">
      <c r="BM16496" s="1025"/>
      <c r="BO16496" s="43"/>
    </row>
    <row r="16497" spans="65:67" ht="18.75" customHeight="1">
      <c r="BM16497" s="1025"/>
      <c r="BO16497" s="43"/>
    </row>
    <row r="16498" spans="65:67" ht="18.75" customHeight="1">
      <c r="BM16498" s="1025"/>
      <c r="BO16498" s="43"/>
    </row>
    <row r="16499" spans="65:67" ht="18.75" customHeight="1">
      <c r="BM16499" s="1025"/>
      <c r="BO16499" s="43"/>
    </row>
    <row r="16500" spans="65:67" ht="18.75" customHeight="1">
      <c r="BM16500" s="1025"/>
      <c r="BO16500" s="43"/>
    </row>
    <row r="16501" spans="65:67" ht="18.75" customHeight="1">
      <c r="BM16501" s="1025"/>
      <c r="BO16501" s="43"/>
    </row>
    <row r="16502" spans="65:67" ht="18.75" customHeight="1">
      <c r="BM16502" s="1025"/>
      <c r="BO16502" s="43"/>
    </row>
    <row r="16503" spans="65:67" ht="18.75" customHeight="1">
      <c r="BM16503" s="1025"/>
      <c r="BO16503" s="43"/>
    </row>
    <row r="16504" spans="65:67" ht="18.75" customHeight="1">
      <c r="BM16504" s="1025"/>
      <c r="BO16504" s="43"/>
    </row>
    <row r="16505" spans="65:67" ht="18.75" customHeight="1">
      <c r="BM16505" s="1025"/>
      <c r="BO16505" s="43"/>
    </row>
    <row r="16506" spans="65:67" ht="18.75" customHeight="1">
      <c r="BM16506" s="1025"/>
      <c r="BO16506" s="43"/>
    </row>
    <row r="16507" spans="65:67" ht="18.75" customHeight="1">
      <c r="BM16507" s="1025"/>
      <c r="BO16507" s="43"/>
    </row>
    <row r="16508" spans="65:67" ht="18.75" customHeight="1">
      <c r="BM16508" s="1025"/>
      <c r="BO16508" s="43"/>
    </row>
    <row r="16509" spans="65:67" ht="18.75" customHeight="1">
      <c r="BM16509" s="1025"/>
      <c r="BO16509" s="43"/>
    </row>
    <row r="16510" spans="65:67" ht="18.75" customHeight="1">
      <c r="BM16510" s="1025"/>
      <c r="BO16510" s="43"/>
    </row>
    <row r="16511" spans="65:67" ht="18.75" customHeight="1">
      <c r="BM16511" s="1025"/>
      <c r="BO16511" s="43"/>
    </row>
    <row r="16512" spans="65:67" ht="18.75" customHeight="1">
      <c r="BM16512" s="1025"/>
      <c r="BO16512" s="43"/>
    </row>
    <row r="16513" spans="65:67" ht="18.75" customHeight="1">
      <c r="BM16513" s="1025"/>
      <c r="BO16513" s="43"/>
    </row>
    <row r="16514" spans="65:67" ht="18.75" customHeight="1">
      <c r="BM16514" s="1025"/>
      <c r="BO16514" s="43"/>
    </row>
    <row r="16515" spans="65:67" ht="18.75" customHeight="1">
      <c r="BM16515" s="1025"/>
      <c r="BO16515" s="43"/>
    </row>
    <row r="16516" spans="65:67" ht="18.75" customHeight="1">
      <c r="BM16516" s="1025"/>
      <c r="BO16516" s="43"/>
    </row>
    <row r="16517" spans="65:67" ht="18.75" customHeight="1">
      <c r="BM16517" s="1025"/>
      <c r="BO16517" s="43"/>
    </row>
    <row r="16518" spans="65:67" ht="18.75" customHeight="1">
      <c r="BM16518" s="1025"/>
      <c r="BO16518" s="43"/>
    </row>
    <row r="16519" spans="65:67" ht="18.75" customHeight="1">
      <c r="BM16519" s="1025"/>
      <c r="BO16519" s="43"/>
    </row>
    <row r="16520" spans="65:67" ht="18.75" customHeight="1">
      <c r="BM16520" s="1025"/>
      <c r="BO16520" s="43"/>
    </row>
    <row r="16521" spans="65:67" ht="18.75" customHeight="1">
      <c r="BM16521" s="1025"/>
      <c r="BO16521" s="43"/>
    </row>
    <row r="16522" spans="65:67" ht="18.75" customHeight="1">
      <c r="BM16522" s="1025"/>
      <c r="BO16522" s="43"/>
    </row>
    <row r="16523" spans="65:67" ht="18.75" customHeight="1">
      <c r="BM16523" s="1025"/>
      <c r="BO16523" s="43"/>
    </row>
    <row r="16524" spans="65:67" ht="18.75" customHeight="1">
      <c r="BM16524" s="1025"/>
      <c r="BO16524" s="43"/>
    </row>
    <row r="16525" spans="65:67" ht="18.75" customHeight="1">
      <c r="BM16525" s="1025"/>
      <c r="BO16525" s="43"/>
    </row>
    <row r="16526" spans="65:67" ht="18.75" customHeight="1">
      <c r="BM16526" s="1025"/>
      <c r="BO16526" s="43"/>
    </row>
    <row r="16527" spans="65:67" ht="18.75" customHeight="1">
      <c r="BM16527" s="1025"/>
      <c r="BO16527" s="43"/>
    </row>
    <row r="16528" spans="65:67" ht="18.75" customHeight="1">
      <c r="BM16528" s="1025"/>
      <c r="BO16528" s="43"/>
    </row>
    <row r="16529" spans="65:67" ht="18.75" customHeight="1">
      <c r="BM16529" s="1025"/>
      <c r="BO16529" s="43"/>
    </row>
    <row r="16530" spans="65:67" ht="18.75" customHeight="1">
      <c r="BM16530" s="1025"/>
      <c r="BO16530" s="43"/>
    </row>
    <row r="16531" spans="65:67" ht="18.75" customHeight="1">
      <c r="BM16531" s="1025"/>
      <c r="BO16531" s="43"/>
    </row>
    <row r="16532" spans="65:67" ht="18.75" customHeight="1">
      <c r="BM16532" s="1025"/>
      <c r="BO16532" s="43"/>
    </row>
    <row r="16533" spans="65:67" ht="18.75" customHeight="1">
      <c r="BM16533" s="1025"/>
      <c r="BO16533" s="43"/>
    </row>
    <row r="16534" spans="65:67" ht="18.75" customHeight="1">
      <c r="BM16534" s="1025"/>
      <c r="BO16534" s="43"/>
    </row>
    <row r="16535" spans="65:67" ht="18.75" customHeight="1">
      <c r="BM16535" s="1025"/>
      <c r="BO16535" s="43"/>
    </row>
    <row r="16536" spans="65:67" ht="18.75" customHeight="1">
      <c r="BM16536" s="1025"/>
      <c r="BO16536" s="43"/>
    </row>
    <row r="16537" spans="65:67" ht="18.75" customHeight="1">
      <c r="BM16537" s="1025"/>
      <c r="BO16537" s="43"/>
    </row>
    <row r="16538" spans="65:67" ht="18.75" customHeight="1">
      <c r="BM16538" s="1025"/>
      <c r="BO16538" s="43"/>
    </row>
    <row r="16539" spans="65:67" ht="18.75" customHeight="1">
      <c r="BM16539" s="1025"/>
      <c r="BO16539" s="43"/>
    </row>
    <row r="16540" spans="65:67" ht="18.75" customHeight="1">
      <c r="BM16540" s="1025"/>
      <c r="BO16540" s="43"/>
    </row>
    <row r="16541" spans="65:67" ht="18.75" customHeight="1">
      <c r="BM16541" s="1025"/>
      <c r="BO16541" s="43"/>
    </row>
    <row r="16542" spans="65:67" ht="18.75" customHeight="1">
      <c r="BM16542" s="1025"/>
      <c r="BO16542" s="43"/>
    </row>
    <row r="16543" spans="65:67" ht="18.75" customHeight="1">
      <c r="BM16543" s="1025"/>
      <c r="BO16543" s="43"/>
    </row>
    <row r="16544" spans="65:67" ht="18.75" customHeight="1">
      <c r="BM16544" s="1025"/>
      <c r="BO16544" s="43"/>
    </row>
    <row r="16545" spans="65:67" ht="18.75" customHeight="1">
      <c r="BM16545" s="1025"/>
      <c r="BO16545" s="43"/>
    </row>
    <row r="16546" spans="65:67" ht="18.75" customHeight="1">
      <c r="BM16546" s="1025"/>
      <c r="BO16546" s="43"/>
    </row>
    <row r="16547" spans="65:67" ht="18.75" customHeight="1">
      <c r="BM16547" s="1025"/>
      <c r="BO16547" s="43"/>
    </row>
    <row r="16548" spans="65:67" ht="18.75" customHeight="1">
      <c r="BM16548" s="1025"/>
      <c r="BO16548" s="43"/>
    </row>
    <row r="16549" spans="65:67" ht="18.75" customHeight="1">
      <c r="BM16549" s="1025"/>
      <c r="BO16549" s="43"/>
    </row>
    <row r="16550" spans="65:67" ht="18.75" customHeight="1">
      <c r="BM16550" s="1025"/>
      <c r="BO16550" s="43"/>
    </row>
    <row r="16551" spans="65:67" ht="18.75" customHeight="1">
      <c r="BM16551" s="1025"/>
      <c r="BO16551" s="43"/>
    </row>
    <row r="16552" spans="65:67" ht="18.75" customHeight="1">
      <c r="BM16552" s="1025"/>
      <c r="BO16552" s="43"/>
    </row>
    <row r="16553" spans="65:67" ht="18.75" customHeight="1">
      <c r="BM16553" s="1025"/>
      <c r="BO16553" s="43"/>
    </row>
    <row r="16554" spans="65:67" ht="18.75" customHeight="1">
      <c r="BM16554" s="1025"/>
      <c r="BO16554" s="43"/>
    </row>
    <row r="16555" spans="65:67" ht="18.75" customHeight="1">
      <c r="BM16555" s="1025"/>
      <c r="BO16555" s="43"/>
    </row>
    <row r="16556" spans="65:67" ht="18.75" customHeight="1">
      <c r="BM16556" s="1025"/>
      <c r="BO16556" s="43"/>
    </row>
    <row r="16557" spans="65:67" ht="18.75" customHeight="1">
      <c r="BM16557" s="1025"/>
      <c r="BO16557" s="43"/>
    </row>
    <row r="16558" spans="65:67" ht="18.75" customHeight="1">
      <c r="BM16558" s="1025"/>
      <c r="BO16558" s="43"/>
    </row>
    <row r="16559" spans="65:67" ht="18.75" customHeight="1">
      <c r="BM16559" s="1025"/>
      <c r="BO16559" s="43"/>
    </row>
    <row r="16560" spans="65:67" ht="18.75" customHeight="1">
      <c r="BM16560" s="1025"/>
      <c r="BO16560" s="43"/>
    </row>
    <row r="16561" spans="65:67" ht="18.75" customHeight="1">
      <c r="BM16561" s="1025"/>
      <c r="BO16561" s="43"/>
    </row>
    <row r="16562" spans="65:67" ht="18.75" customHeight="1">
      <c r="BM16562" s="1025"/>
      <c r="BO16562" s="43"/>
    </row>
    <row r="16563" spans="65:67" ht="18.75" customHeight="1">
      <c r="BM16563" s="1025"/>
      <c r="BO16563" s="43"/>
    </row>
    <row r="16564" spans="65:67" ht="18.75" customHeight="1">
      <c r="BM16564" s="1025"/>
      <c r="BO16564" s="43"/>
    </row>
    <row r="16565" spans="65:67" ht="18.75" customHeight="1">
      <c r="BM16565" s="1025"/>
      <c r="BO16565" s="43"/>
    </row>
    <row r="16566" spans="65:67" ht="18.75" customHeight="1">
      <c r="BM16566" s="1025"/>
      <c r="BO16566" s="43"/>
    </row>
    <row r="16567" spans="65:67" ht="18.75" customHeight="1">
      <c r="BM16567" s="1025"/>
      <c r="BO16567" s="43"/>
    </row>
    <row r="16568" spans="65:67" ht="18.75" customHeight="1">
      <c r="BM16568" s="1025"/>
      <c r="BO16568" s="43"/>
    </row>
    <row r="16569" spans="65:67" ht="18.75" customHeight="1">
      <c r="BM16569" s="1025"/>
      <c r="BO16569" s="43"/>
    </row>
    <row r="16570" spans="65:67" ht="18.75" customHeight="1">
      <c r="BM16570" s="1025"/>
      <c r="BO16570" s="43"/>
    </row>
    <row r="16571" spans="65:67" ht="18.75" customHeight="1">
      <c r="BM16571" s="1025"/>
      <c r="BO16571" s="43"/>
    </row>
    <row r="16572" spans="65:67" ht="18.75" customHeight="1">
      <c r="BM16572" s="1025"/>
      <c r="BO16572" s="43"/>
    </row>
    <row r="16573" spans="65:67" ht="18.75" customHeight="1">
      <c r="BM16573" s="1025"/>
      <c r="BO16573" s="43"/>
    </row>
    <row r="16574" spans="65:67" ht="18.75" customHeight="1">
      <c r="BM16574" s="1025"/>
      <c r="BO16574" s="43"/>
    </row>
    <row r="16575" spans="65:67" ht="18.75" customHeight="1">
      <c r="BM16575" s="1025"/>
      <c r="BO16575" s="43"/>
    </row>
    <row r="16576" spans="65:67" ht="18.75" customHeight="1">
      <c r="BM16576" s="1025"/>
      <c r="BO16576" s="43"/>
    </row>
    <row r="16577" spans="65:67" ht="18.75" customHeight="1">
      <c r="BM16577" s="1025"/>
      <c r="BO16577" s="43"/>
    </row>
    <row r="16578" spans="65:67" ht="18.75" customHeight="1">
      <c r="BM16578" s="1025"/>
      <c r="BO16578" s="43"/>
    </row>
    <row r="16579" spans="65:67" ht="18.75" customHeight="1">
      <c r="BM16579" s="1025"/>
      <c r="BO16579" s="43"/>
    </row>
    <row r="16580" spans="65:67" ht="18.75" customHeight="1">
      <c r="BM16580" s="1025"/>
      <c r="BO16580" s="43"/>
    </row>
    <row r="16581" spans="65:67" ht="18.75" customHeight="1">
      <c r="BM16581" s="1025"/>
      <c r="BO16581" s="43"/>
    </row>
    <row r="16582" spans="65:67" ht="18.75" customHeight="1">
      <c r="BM16582" s="1025"/>
      <c r="BO16582" s="43"/>
    </row>
    <row r="16583" spans="65:67" ht="18.75" customHeight="1">
      <c r="BM16583" s="1025"/>
      <c r="BO16583" s="43"/>
    </row>
    <row r="16584" spans="65:67" ht="18.75" customHeight="1">
      <c r="BM16584" s="1025"/>
      <c r="BO16584" s="43"/>
    </row>
    <row r="16585" spans="65:67" ht="18.75" customHeight="1">
      <c r="BM16585" s="1025"/>
      <c r="BO16585" s="43"/>
    </row>
    <row r="16586" spans="65:67" ht="18.75" customHeight="1">
      <c r="BM16586" s="1025"/>
      <c r="BO16586" s="43"/>
    </row>
    <row r="16587" spans="65:67" ht="18.75" customHeight="1">
      <c r="BM16587" s="1025"/>
      <c r="BO16587" s="43"/>
    </row>
    <row r="16588" spans="65:67" ht="18.75" customHeight="1">
      <c r="BM16588" s="1025"/>
      <c r="BO16588" s="43"/>
    </row>
    <row r="16589" spans="65:67" ht="18.75" customHeight="1">
      <c r="BM16589" s="1025"/>
      <c r="BO16589" s="43"/>
    </row>
    <row r="16590" spans="65:67" ht="18.75" customHeight="1">
      <c r="BM16590" s="1025"/>
      <c r="BO16590" s="43"/>
    </row>
    <row r="16591" spans="65:67" ht="18.75" customHeight="1">
      <c r="BM16591" s="1025"/>
      <c r="BO16591" s="43"/>
    </row>
    <row r="16592" spans="65:67" ht="18.75" customHeight="1">
      <c r="BM16592" s="1025"/>
      <c r="BO16592" s="43"/>
    </row>
    <row r="16593" spans="65:67" ht="18.75" customHeight="1">
      <c r="BM16593" s="1025"/>
      <c r="BO16593" s="43"/>
    </row>
    <row r="16594" spans="65:67" ht="18.75" customHeight="1">
      <c r="BM16594" s="1025"/>
      <c r="BO16594" s="43"/>
    </row>
    <row r="16595" spans="65:67" ht="18.75" customHeight="1">
      <c r="BM16595" s="1025"/>
      <c r="BO16595" s="43"/>
    </row>
    <row r="16596" spans="65:67" ht="18.75" customHeight="1">
      <c r="BM16596" s="1025"/>
      <c r="BO16596" s="43"/>
    </row>
    <row r="16597" spans="65:67" ht="18.75" customHeight="1">
      <c r="BM16597" s="1025"/>
      <c r="BO16597" s="43"/>
    </row>
    <row r="16598" spans="65:67" ht="18.75" customHeight="1">
      <c r="BM16598" s="1025"/>
      <c r="BO16598" s="43"/>
    </row>
    <row r="16599" spans="65:67" ht="18.75" customHeight="1">
      <c r="BM16599" s="1025"/>
      <c r="BO16599" s="43"/>
    </row>
    <row r="16600" spans="65:67" ht="18.75" customHeight="1">
      <c r="BM16600" s="1025"/>
      <c r="BO16600" s="43"/>
    </row>
    <row r="16601" spans="65:67" ht="18.75" customHeight="1">
      <c r="BM16601" s="1025"/>
      <c r="BO16601" s="43"/>
    </row>
    <row r="16602" spans="65:67" ht="18.75" customHeight="1">
      <c r="BM16602" s="1025"/>
      <c r="BO16602" s="43"/>
    </row>
    <row r="16603" spans="65:67" ht="18.75" customHeight="1">
      <c r="BM16603" s="1025"/>
      <c r="BO16603" s="43"/>
    </row>
    <row r="16604" spans="65:67" ht="18.75" customHeight="1">
      <c r="BM16604" s="1025"/>
      <c r="BO16604" s="43"/>
    </row>
    <row r="16605" spans="65:67" ht="18.75" customHeight="1">
      <c r="BM16605" s="1025"/>
      <c r="BO16605" s="43"/>
    </row>
    <row r="16606" spans="65:67" ht="18.75" customHeight="1">
      <c r="BM16606" s="1025"/>
      <c r="BO16606" s="43"/>
    </row>
    <row r="16607" spans="65:67" ht="18.75" customHeight="1">
      <c r="BM16607" s="1025"/>
      <c r="BO16607" s="43"/>
    </row>
    <row r="16608" spans="65:67" ht="18.75" customHeight="1">
      <c r="BM16608" s="1025"/>
      <c r="BO16608" s="43"/>
    </row>
    <row r="16609" spans="65:67" ht="18.75" customHeight="1">
      <c r="BM16609" s="1025"/>
      <c r="BO16609" s="43"/>
    </row>
    <row r="16610" spans="65:67" ht="18.75" customHeight="1">
      <c r="BM16610" s="1025"/>
      <c r="BO16610" s="43"/>
    </row>
    <row r="16611" spans="65:67" ht="18.75" customHeight="1">
      <c r="BM16611" s="1025"/>
      <c r="BO16611" s="43"/>
    </row>
    <row r="16612" spans="65:67" ht="18.75" customHeight="1">
      <c r="BM16612" s="1025"/>
      <c r="BO16612" s="43"/>
    </row>
    <row r="16613" spans="65:67" ht="18.75" customHeight="1">
      <c r="BM16613" s="1025"/>
      <c r="BO16613" s="43"/>
    </row>
    <row r="16614" spans="65:67" ht="18.75" customHeight="1">
      <c r="BM16614" s="1025"/>
      <c r="BO16614" s="43"/>
    </row>
    <row r="16615" spans="65:67" ht="18.75" customHeight="1">
      <c r="BM16615" s="1025"/>
      <c r="BO16615" s="43"/>
    </row>
    <row r="16616" spans="65:67" ht="18.75" customHeight="1">
      <c r="BM16616" s="1025"/>
      <c r="BO16616" s="43"/>
    </row>
    <row r="16617" spans="65:67" ht="18.75" customHeight="1">
      <c r="BM16617" s="1025"/>
      <c r="BO16617" s="43"/>
    </row>
    <row r="16618" spans="65:67" ht="18.75" customHeight="1">
      <c r="BM16618" s="1025"/>
      <c r="BO16618" s="43"/>
    </row>
    <row r="16619" spans="65:67" ht="18.75" customHeight="1">
      <c r="BM16619" s="1025"/>
      <c r="BO16619" s="43"/>
    </row>
    <row r="16620" spans="65:67" ht="18.75" customHeight="1">
      <c r="BM16620" s="1025"/>
      <c r="BO16620" s="43"/>
    </row>
    <row r="16621" spans="65:67" ht="18.75" customHeight="1">
      <c r="BM16621" s="1025"/>
      <c r="BO16621" s="43"/>
    </row>
    <row r="16622" spans="65:67" ht="18.75" customHeight="1">
      <c r="BM16622" s="1025"/>
      <c r="BO16622" s="43"/>
    </row>
    <row r="16623" spans="65:67" ht="18.75" customHeight="1">
      <c r="BM16623" s="1025"/>
      <c r="BO16623" s="43"/>
    </row>
    <row r="16624" spans="65:67" ht="18.75" customHeight="1">
      <c r="BM16624" s="1025"/>
      <c r="BO16624" s="43"/>
    </row>
    <row r="16625" spans="65:67" ht="18.75" customHeight="1">
      <c r="BM16625" s="1025"/>
      <c r="BO16625" s="43"/>
    </row>
    <row r="16626" spans="65:67" ht="18.75" customHeight="1">
      <c r="BM16626" s="1025"/>
      <c r="BO16626" s="43"/>
    </row>
    <row r="16627" spans="65:67" ht="18.75" customHeight="1">
      <c r="BM16627" s="1025"/>
      <c r="BO16627" s="43"/>
    </row>
    <row r="16628" spans="65:67" ht="18.75" customHeight="1">
      <c r="BM16628" s="1025"/>
      <c r="BO16628" s="43"/>
    </row>
    <row r="16629" spans="65:67" ht="18.75" customHeight="1">
      <c r="BM16629" s="1025"/>
      <c r="BO16629" s="43"/>
    </row>
    <row r="16630" spans="65:67" ht="18.75" customHeight="1">
      <c r="BM16630" s="1025"/>
      <c r="BO16630" s="43"/>
    </row>
    <row r="16631" spans="65:67" ht="18.75" customHeight="1">
      <c r="BM16631" s="1025"/>
      <c r="BO16631" s="43"/>
    </row>
    <row r="16632" spans="65:67" ht="18.75" customHeight="1">
      <c r="BM16632" s="1025"/>
      <c r="BO16632" s="43"/>
    </row>
    <row r="16633" spans="65:67" ht="18.75" customHeight="1">
      <c r="BM16633" s="1025"/>
      <c r="BO16633" s="43"/>
    </row>
    <row r="16634" spans="65:67" ht="18.75" customHeight="1">
      <c r="BM16634" s="1025"/>
      <c r="BO16634" s="43"/>
    </row>
    <row r="16635" spans="65:67" ht="18.75" customHeight="1">
      <c r="BM16635" s="1025"/>
      <c r="BO16635" s="43"/>
    </row>
    <row r="16636" spans="65:67" ht="18.75" customHeight="1">
      <c r="BM16636" s="1025"/>
      <c r="BO16636" s="43"/>
    </row>
    <row r="16637" spans="65:67" ht="18.75" customHeight="1">
      <c r="BM16637" s="1025"/>
      <c r="BO16637" s="43"/>
    </row>
    <row r="16638" spans="65:67" ht="18.75" customHeight="1">
      <c r="BM16638" s="1025"/>
      <c r="BO16638" s="43"/>
    </row>
    <row r="16639" spans="65:67" ht="18.75" customHeight="1">
      <c r="BM16639" s="1025"/>
      <c r="BO16639" s="43"/>
    </row>
    <row r="16640" spans="65:67" ht="18.75" customHeight="1">
      <c r="BM16640" s="1025"/>
      <c r="BO16640" s="43"/>
    </row>
    <row r="16641" spans="65:67" ht="18.75" customHeight="1">
      <c r="BM16641" s="1025"/>
      <c r="BO16641" s="43"/>
    </row>
    <row r="16642" spans="65:67" ht="18.75" customHeight="1">
      <c r="BM16642" s="1025"/>
      <c r="BO16642" s="43"/>
    </row>
    <row r="16643" spans="65:67" ht="18.75" customHeight="1">
      <c r="BM16643" s="1025"/>
      <c r="BO16643" s="43"/>
    </row>
    <row r="16644" spans="65:67" ht="18.75" customHeight="1">
      <c r="BM16644" s="1025"/>
      <c r="BO16644" s="43"/>
    </row>
    <row r="16645" spans="65:67" ht="18.75" customHeight="1">
      <c r="BM16645" s="1025"/>
      <c r="BO16645" s="43"/>
    </row>
    <row r="16646" spans="65:67" ht="18.75" customHeight="1">
      <c r="BM16646" s="1025"/>
      <c r="BO16646" s="43"/>
    </row>
    <row r="16647" spans="65:67" ht="18.75" customHeight="1">
      <c r="BM16647" s="1025"/>
      <c r="BO16647" s="43"/>
    </row>
    <row r="16648" spans="65:67" ht="18.75" customHeight="1">
      <c r="BM16648" s="1025"/>
      <c r="BO16648" s="43"/>
    </row>
    <row r="16649" spans="65:67" ht="18.75" customHeight="1">
      <c r="BM16649" s="1025"/>
      <c r="BO16649" s="43"/>
    </row>
    <row r="16650" spans="65:67" ht="18.75" customHeight="1">
      <c r="BM16650" s="1025"/>
      <c r="BO16650" s="43"/>
    </row>
    <row r="16651" spans="65:67" ht="18.75" customHeight="1">
      <c r="BM16651" s="1025"/>
      <c r="BO16651" s="43"/>
    </row>
    <row r="16652" spans="65:67" ht="18.75" customHeight="1">
      <c r="BM16652" s="1025"/>
      <c r="BO16652" s="43"/>
    </row>
    <row r="16653" spans="65:67" ht="18.75" customHeight="1">
      <c r="BM16653" s="1025"/>
      <c r="BO16653" s="43"/>
    </row>
    <row r="16654" spans="65:67" ht="18.75" customHeight="1">
      <c r="BM16654" s="1025"/>
      <c r="BO16654" s="43"/>
    </row>
    <row r="16655" spans="65:67" ht="18.75" customHeight="1">
      <c r="BM16655" s="1025"/>
      <c r="BO16655" s="43"/>
    </row>
    <row r="16656" spans="65:67" ht="18.75" customHeight="1">
      <c r="BM16656" s="1025"/>
      <c r="BO16656" s="43"/>
    </row>
    <row r="16657" spans="65:67" ht="18.75" customHeight="1">
      <c r="BM16657" s="1025"/>
      <c r="BO16657" s="43"/>
    </row>
    <row r="16658" spans="65:67" ht="18.75" customHeight="1">
      <c r="BM16658" s="1025"/>
      <c r="BO16658" s="43"/>
    </row>
    <row r="16659" spans="65:67" ht="18.75" customHeight="1">
      <c r="BM16659" s="1025"/>
      <c r="BO16659" s="43"/>
    </row>
    <row r="16660" spans="65:67" ht="18.75" customHeight="1">
      <c r="BM16660" s="1025"/>
      <c r="BO16660" s="43"/>
    </row>
    <row r="16661" spans="65:67" ht="18.75" customHeight="1">
      <c r="BM16661" s="1025"/>
      <c r="BO16661" s="43"/>
    </row>
    <row r="16662" spans="65:67" ht="18.75" customHeight="1">
      <c r="BM16662" s="1025"/>
      <c r="BO16662" s="43"/>
    </row>
    <row r="16663" spans="65:67" ht="18.75" customHeight="1">
      <c r="BM16663" s="1025"/>
      <c r="BO16663" s="43"/>
    </row>
    <row r="16664" spans="65:67" ht="18.75" customHeight="1">
      <c r="BM16664" s="1025"/>
      <c r="BO16664" s="43"/>
    </row>
    <row r="16665" spans="65:67" ht="18.75" customHeight="1">
      <c r="BM16665" s="1025"/>
      <c r="BO16665" s="43"/>
    </row>
    <row r="16666" spans="65:67" ht="18.75" customHeight="1">
      <c r="BM16666" s="1025"/>
      <c r="BO16666" s="43"/>
    </row>
    <row r="16667" spans="65:67" ht="18.75" customHeight="1">
      <c r="BM16667" s="1025"/>
      <c r="BO16667" s="43"/>
    </row>
    <row r="16668" spans="65:67" ht="18.75" customHeight="1">
      <c r="BM16668" s="1025"/>
      <c r="BO16668" s="43"/>
    </row>
    <row r="16669" spans="65:67" ht="18.75" customHeight="1">
      <c r="BM16669" s="1025"/>
      <c r="BO16669" s="43"/>
    </row>
    <row r="16670" spans="65:67" ht="18.75" customHeight="1">
      <c r="BM16670" s="1025"/>
      <c r="BO16670" s="43"/>
    </row>
    <row r="16671" spans="65:67" ht="18.75" customHeight="1">
      <c r="BM16671" s="1025"/>
      <c r="BO16671" s="43"/>
    </row>
    <row r="16672" spans="65:67" ht="18.75" customHeight="1">
      <c r="BM16672" s="1025"/>
      <c r="BO16672" s="43"/>
    </row>
    <row r="16673" spans="65:67" ht="18.75" customHeight="1">
      <c r="BM16673" s="1025"/>
      <c r="BO16673" s="43"/>
    </row>
    <row r="16674" spans="65:67" ht="18.75" customHeight="1">
      <c r="BM16674" s="1025"/>
      <c r="BO16674" s="43"/>
    </row>
    <row r="16675" spans="65:67" ht="18.75" customHeight="1">
      <c r="BM16675" s="1025"/>
      <c r="BO16675" s="43"/>
    </row>
    <row r="16676" spans="65:67" ht="18.75" customHeight="1">
      <c r="BM16676" s="1025"/>
      <c r="BO16676" s="43"/>
    </row>
    <row r="16677" spans="65:67" ht="18.75" customHeight="1">
      <c r="BM16677" s="1025"/>
      <c r="BO16677" s="43"/>
    </row>
    <row r="16678" spans="65:67" ht="18.75" customHeight="1">
      <c r="BM16678" s="1025"/>
      <c r="BO16678" s="43"/>
    </row>
    <row r="16679" spans="65:67" ht="18.75" customHeight="1">
      <c r="BM16679" s="1025"/>
      <c r="BO16679" s="43"/>
    </row>
    <row r="16680" spans="65:67" ht="18.75" customHeight="1">
      <c r="BM16680" s="1025"/>
      <c r="BO16680" s="43"/>
    </row>
    <row r="16681" spans="65:67" ht="18.75" customHeight="1">
      <c r="BM16681" s="1025"/>
      <c r="BO16681" s="43"/>
    </row>
    <row r="16682" spans="65:67" ht="18.75" customHeight="1">
      <c r="BM16682" s="1025"/>
      <c r="BO16682" s="43"/>
    </row>
    <row r="16683" spans="65:67" ht="18.75" customHeight="1">
      <c r="BM16683" s="1025"/>
      <c r="BO16683" s="43"/>
    </row>
    <row r="16684" spans="65:67" ht="18.75" customHeight="1">
      <c r="BM16684" s="1025"/>
      <c r="BO16684" s="43"/>
    </row>
    <row r="16685" spans="65:67" ht="18.75" customHeight="1">
      <c r="BM16685" s="1025"/>
      <c r="BO16685" s="43"/>
    </row>
    <row r="16686" spans="65:67" ht="18.75" customHeight="1">
      <c r="BM16686" s="1025"/>
      <c r="BO16686" s="43"/>
    </row>
    <row r="16687" spans="65:67" ht="18.75" customHeight="1">
      <c r="BM16687" s="1025"/>
      <c r="BO16687" s="43"/>
    </row>
    <row r="16688" spans="65:67" ht="18.75" customHeight="1">
      <c r="BM16688" s="1025"/>
      <c r="BO16688" s="43"/>
    </row>
    <row r="16689" spans="65:67" ht="18.75" customHeight="1">
      <c r="BM16689" s="1025"/>
      <c r="BO16689" s="43"/>
    </row>
    <row r="16690" spans="65:67" ht="18.75" customHeight="1">
      <c r="BM16690" s="1025"/>
      <c r="BO16690" s="43"/>
    </row>
    <row r="16691" spans="65:67" ht="18.75" customHeight="1">
      <c r="BM16691" s="1025"/>
      <c r="BO16691" s="43"/>
    </row>
    <row r="16692" spans="65:67" ht="18.75" customHeight="1">
      <c r="BM16692" s="1025"/>
      <c r="BO16692" s="43"/>
    </row>
    <row r="16693" spans="65:67" ht="18.75" customHeight="1">
      <c r="BM16693" s="1025"/>
      <c r="BO16693" s="43"/>
    </row>
    <row r="16694" spans="65:67" ht="18.75" customHeight="1">
      <c r="BM16694" s="1025"/>
      <c r="BO16694" s="43"/>
    </row>
    <row r="16695" spans="65:67" ht="18.75" customHeight="1">
      <c r="BM16695" s="1025"/>
      <c r="BO16695" s="43"/>
    </row>
    <row r="16696" spans="65:67" ht="18.75" customHeight="1">
      <c r="BM16696" s="1025"/>
      <c r="BO16696" s="43"/>
    </row>
    <row r="16697" spans="65:67" ht="18.75" customHeight="1">
      <c r="BM16697" s="1025"/>
      <c r="BO16697" s="43"/>
    </row>
    <row r="16698" spans="65:67" ht="18.75" customHeight="1">
      <c r="BM16698" s="1025"/>
      <c r="BO16698" s="43"/>
    </row>
    <row r="16699" spans="65:67" ht="18.75" customHeight="1">
      <c r="BM16699" s="1025"/>
      <c r="BO16699" s="43"/>
    </row>
    <row r="16700" spans="65:67" ht="18.75" customHeight="1">
      <c r="BM16700" s="1025"/>
      <c r="BO16700" s="43"/>
    </row>
    <row r="16701" spans="65:67" ht="18.75" customHeight="1">
      <c r="BM16701" s="1025"/>
      <c r="BO16701" s="43"/>
    </row>
    <row r="16702" spans="65:67" ht="18.75" customHeight="1">
      <c r="BM16702" s="1025"/>
      <c r="BO16702" s="43"/>
    </row>
    <row r="16703" spans="65:67" ht="18.75" customHeight="1">
      <c r="BM16703" s="1025"/>
      <c r="BO16703" s="43"/>
    </row>
    <row r="16704" spans="65:67" ht="18.75" customHeight="1">
      <c r="BM16704" s="1025"/>
      <c r="BO16704" s="43"/>
    </row>
    <row r="16705" spans="65:67" ht="18.75" customHeight="1">
      <c r="BM16705" s="1025"/>
      <c r="BO16705" s="43"/>
    </row>
    <row r="16706" spans="65:67" ht="18.75" customHeight="1">
      <c r="BM16706" s="1025"/>
      <c r="BO16706" s="43"/>
    </row>
    <row r="16707" spans="65:67" ht="18.75" customHeight="1">
      <c r="BM16707" s="1025"/>
      <c r="BO16707" s="43"/>
    </row>
    <row r="16708" spans="65:67" ht="18.75" customHeight="1">
      <c r="BM16708" s="1025"/>
      <c r="BO16708" s="43"/>
    </row>
    <row r="16709" spans="65:67" ht="18.75" customHeight="1">
      <c r="BM16709" s="1025"/>
      <c r="BO16709" s="43"/>
    </row>
    <row r="16710" spans="65:67" ht="18.75" customHeight="1">
      <c r="BM16710" s="1025"/>
      <c r="BO16710" s="43"/>
    </row>
    <row r="16711" spans="65:67" ht="18.75" customHeight="1">
      <c r="BM16711" s="1025"/>
      <c r="BO16711" s="43"/>
    </row>
    <row r="16712" spans="65:67" ht="18.75" customHeight="1">
      <c r="BM16712" s="1025"/>
      <c r="BO16712" s="43"/>
    </row>
    <row r="16713" spans="65:67" ht="18.75" customHeight="1">
      <c r="BM16713" s="1025"/>
      <c r="BO16713" s="43"/>
    </row>
    <row r="16714" spans="65:67" ht="18.75" customHeight="1">
      <c r="BM16714" s="1025"/>
      <c r="BO16714" s="43"/>
    </row>
    <row r="16715" spans="65:67" ht="18.75" customHeight="1">
      <c r="BM16715" s="1025"/>
      <c r="BO16715" s="43"/>
    </row>
    <row r="16716" spans="65:67" ht="18.75" customHeight="1">
      <c r="BM16716" s="1025"/>
      <c r="BO16716" s="43"/>
    </row>
    <row r="16717" spans="65:67" ht="18.75" customHeight="1">
      <c r="BM16717" s="1025"/>
      <c r="BO16717" s="43"/>
    </row>
    <row r="16718" spans="65:67" ht="18.75" customHeight="1">
      <c r="BM16718" s="1025"/>
      <c r="BO16718" s="43"/>
    </row>
    <row r="16719" spans="65:67" ht="18.75" customHeight="1">
      <c r="BM16719" s="1025"/>
      <c r="BO16719" s="43"/>
    </row>
    <row r="16720" spans="65:67" ht="18.75" customHeight="1">
      <c r="BM16720" s="1025"/>
      <c r="BO16720" s="43"/>
    </row>
    <row r="16721" spans="65:67" ht="18.75" customHeight="1">
      <c r="BM16721" s="1025"/>
      <c r="BO16721" s="43"/>
    </row>
    <row r="16722" spans="65:67" ht="18.75" customHeight="1">
      <c r="BM16722" s="1025"/>
      <c r="BO16722" s="43"/>
    </row>
    <row r="16723" spans="65:67" ht="18.75" customHeight="1">
      <c r="BM16723" s="1025"/>
      <c r="BO16723" s="43"/>
    </row>
    <row r="16724" spans="65:67" ht="18.75" customHeight="1">
      <c r="BM16724" s="1025"/>
      <c r="BO16724" s="43"/>
    </row>
    <row r="16725" spans="65:67" ht="18.75" customHeight="1">
      <c r="BM16725" s="1025"/>
      <c r="BO16725" s="43"/>
    </row>
    <row r="16726" spans="65:67" ht="18.75" customHeight="1">
      <c r="BM16726" s="1025"/>
      <c r="BO16726" s="43"/>
    </row>
    <row r="16727" spans="65:67" ht="18.75" customHeight="1">
      <c r="BM16727" s="1025"/>
      <c r="BO16727" s="43"/>
    </row>
    <row r="16728" spans="65:67" ht="18.75" customHeight="1">
      <c r="BM16728" s="1025"/>
      <c r="BO16728" s="43"/>
    </row>
    <row r="16729" spans="65:67" ht="18.75" customHeight="1">
      <c r="BM16729" s="1025"/>
      <c r="BO16729" s="43"/>
    </row>
    <row r="16730" spans="65:67" ht="18.75" customHeight="1">
      <c r="BM16730" s="1025"/>
      <c r="BO16730" s="43"/>
    </row>
    <row r="16731" spans="65:67" ht="18.75" customHeight="1">
      <c r="BM16731" s="1025"/>
      <c r="BO16731" s="43"/>
    </row>
    <row r="16732" spans="65:67" ht="18.75" customHeight="1">
      <c r="BM16732" s="1025"/>
      <c r="BO16732" s="43"/>
    </row>
    <row r="16733" spans="65:67" ht="18.75" customHeight="1">
      <c r="BM16733" s="1025"/>
      <c r="BO16733" s="43"/>
    </row>
    <row r="16734" spans="65:67" ht="18.75" customHeight="1">
      <c r="BM16734" s="1025"/>
      <c r="BO16734" s="43"/>
    </row>
    <row r="16735" spans="65:67" ht="18.75" customHeight="1">
      <c r="BM16735" s="1025"/>
      <c r="BO16735" s="43"/>
    </row>
    <row r="16736" spans="65:67" ht="18.75" customHeight="1">
      <c r="BM16736" s="1025"/>
      <c r="BO16736" s="43"/>
    </row>
    <row r="16737" spans="65:67" ht="18.75" customHeight="1">
      <c r="BM16737" s="1025"/>
      <c r="BO16737" s="43"/>
    </row>
    <row r="16738" spans="65:67" ht="18.75" customHeight="1">
      <c r="BM16738" s="1025"/>
      <c r="BO16738" s="43"/>
    </row>
    <row r="16739" spans="65:67" ht="18.75" customHeight="1">
      <c r="BM16739" s="1025"/>
      <c r="BO16739" s="43"/>
    </row>
    <row r="16740" spans="65:67" ht="18.75" customHeight="1">
      <c r="BM16740" s="1025"/>
      <c r="BO16740" s="43"/>
    </row>
    <row r="16741" spans="65:67" ht="18.75" customHeight="1">
      <c r="BM16741" s="1025"/>
      <c r="BO16741" s="43"/>
    </row>
    <row r="16742" spans="65:67" ht="18.75" customHeight="1">
      <c r="BM16742" s="1025"/>
      <c r="BO16742" s="43"/>
    </row>
    <row r="16743" spans="65:67" ht="18.75" customHeight="1">
      <c r="BM16743" s="1025"/>
      <c r="BO16743" s="43"/>
    </row>
    <row r="16744" spans="65:67" ht="18.75" customHeight="1">
      <c r="BM16744" s="1025"/>
      <c r="BO16744" s="43"/>
    </row>
    <row r="16745" spans="65:67" ht="18.75" customHeight="1">
      <c r="BM16745" s="1025"/>
      <c r="BO16745" s="43"/>
    </row>
    <row r="16746" spans="65:67" ht="18.75" customHeight="1">
      <c r="BM16746" s="1025"/>
      <c r="BO16746" s="43"/>
    </row>
    <row r="16747" spans="65:67" ht="18.75" customHeight="1">
      <c r="BM16747" s="1025"/>
      <c r="BO16747" s="43"/>
    </row>
    <row r="16748" spans="65:67" ht="18.75" customHeight="1">
      <c r="BM16748" s="1025"/>
      <c r="BO16748" s="43"/>
    </row>
    <row r="16749" spans="65:67" ht="18.75" customHeight="1">
      <c r="BM16749" s="1025"/>
      <c r="BO16749" s="43"/>
    </row>
    <row r="16750" spans="65:67" ht="18.75" customHeight="1">
      <c r="BM16750" s="1025"/>
      <c r="BO16750" s="43"/>
    </row>
    <row r="16751" spans="65:67" ht="18.75" customHeight="1">
      <c r="BM16751" s="1025"/>
      <c r="BO16751" s="43"/>
    </row>
    <row r="16752" spans="65:67" ht="18.75" customHeight="1">
      <c r="BM16752" s="1025"/>
      <c r="BO16752" s="43"/>
    </row>
    <row r="16753" spans="65:67" ht="18.75" customHeight="1">
      <c r="BM16753" s="1025"/>
      <c r="BO16753" s="43"/>
    </row>
    <row r="16754" spans="65:67" ht="18.75" customHeight="1">
      <c r="BM16754" s="1025"/>
      <c r="BO16754" s="43"/>
    </row>
    <row r="16755" spans="65:67" ht="18.75" customHeight="1">
      <c r="BM16755" s="1025"/>
      <c r="BO16755" s="43"/>
    </row>
    <row r="16756" spans="65:67" ht="18.75" customHeight="1">
      <c r="BM16756" s="1025"/>
      <c r="BO16756" s="43"/>
    </row>
    <row r="16757" spans="65:67" ht="18.75" customHeight="1">
      <c r="BM16757" s="1025"/>
      <c r="BO16757" s="43"/>
    </row>
    <row r="16758" spans="65:67" ht="18.75" customHeight="1">
      <c r="BM16758" s="1025"/>
      <c r="BO16758" s="43"/>
    </row>
    <row r="16759" spans="65:67" ht="18.75" customHeight="1">
      <c r="BM16759" s="1025"/>
      <c r="BO16759" s="43"/>
    </row>
    <row r="16760" spans="65:67" ht="18.75" customHeight="1">
      <c r="BM16760" s="1025"/>
      <c r="BO16760" s="43"/>
    </row>
    <row r="16761" spans="65:67" ht="18.75" customHeight="1">
      <c r="BM16761" s="1025"/>
      <c r="BO16761" s="43"/>
    </row>
    <row r="16762" spans="65:67" ht="18.75" customHeight="1">
      <c r="BM16762" s="1025"/>
      <c r="BO16762" s="43"/>
    </row>
    <row r="16763" spans="65:67" ht="18.75" customHeight="1">
      <c r="BM16763" s="1025"/>
      <c r="BO16763" s="43"/>
    </row>
    <row r="16764" spans="65:67" ht="18.75" customHeight="1">
      <c r="BM16764" s="1025"/>
      <c r="BO16764" s="43"/>
    </row>
    <row r="16765" spans="65:67" ht="18.75" customHeight="1">
      <c r="BM16765" s="1025"/>
      <c r="BO16765" s="43"/>
    </row>
    <row r="16766" spans="65:67" ht="18.75" customHeight="1">
      <c r="BM16766" s="1025"/>
      <c r="BO16766" s="43"/>
    </row>
    <row r="16767" spans="65:67" ht="18.75" customHeight="1">
      <c r="BM16767" s="1025"/>
      <c r="BO16767" s="43"/>
    </row>
    <row r="16768" spans="65:67" ht="18.75" customHeight="1">
      <c r="BM16768" s="1025"/>
      <c r="BO16768" s="43"/>
    </row>
    <row r="16769" spans="65:67" ht="18.75" customHeight="1">
      <c r="BM16769" s="1025"/>
      <c r="BO16769" s="43"/>
    </row>
    <row r="16770" spans="65:67" ht="18.75" customHeight="1">
      <c r="BM16770" s="1025"/>
      <c r="BO16770" s="43"/>
    </row>
    <row r="16771" spans="65:67" ht="18.75" customHeight="1">
      <c r="BM16771" s="1025"/>
      <c r="BO16771" s="43"/>
    </row>
    <row r="16772" spans="65:67" ht="18.75" customHeight="1">
      <c r="BM16772" s="1025"/>
      <c r="BO16772" s="43"/>
    </row>
    <row r="16773" spans="65:67" ht="18.75" customHeight="1">
      <c r="BM16773" s="1025"/>
      <c r="BO16773" s="43"/>
    </row>
    <row r="16774" spans="65:67" ht="18.75" customHeight="1">
      <c r="BM16774" s="1025"/>
      <c r="BO16774" s="43"/>
    </row>
    <row r="16775" spans="65:67" ht="18.75" customHeight="1">
      <c r="BM16775" s="1025"/>
      <c r="BO16775" s="43"/>
    </row>
    <row r="16776" spans="65:67" ht="18.75" customHeight="1">
      <c r="BM16776" s="1025"/>
      <c r="BO16776" s="43"/>
    </row>
    <row r="16777" spans="65:67" ht="18.75" customHeight="1">
      <c r="BM16777" s="1025"/>
      <c r="BO16777" s="43"/>
    </row>
    <row r="16778" spans="65:67" ht="18.75" customHeight="1">
      <c r="BM16778" s="1025"/>
      <c r="BO16778" s="43"/>
    </row>
    <row r="16779" spans="65:67" ht="18.75" customHeight="1">
      <c r="BM16779" s="1025"/>
      <c r="BO16779" s="43"/>
    </row>
    <row r="16780" spans="65:67" ht="18.75" customHeight="1">
      <c r="BM16780" s="1025"/>
      <c r="BO16780" s="43"/>
    </row>
    <row r="16781" spans="65:67" ht="18.75" customHeight="1">
      <c r="BM16781" s="1025"/>
      <c r="BO16781" s="43"/>
    </row>
    <row r="16782" spans="65:67" ht="18.75" customHeight="1">
      <c r="BM16782" s="1025"/>
      <c r="BO16782" s="43"/>
    </row>
    <row r="16783" spans="65:67" ht="18.75" customHeight="1">
      <c r="BM16783" s="1025"/>
      <c r="BO16783" s="43"/>
    </row>
    <row r="16784" spans="65:67" ht="18.75" customHeight="1">
      <c r="BM16784" s="1025"/>
      <c r="BO16784" s="43"/>
    </row>
    <row r="16785" spans="65:67" ht="18.75" customHeight="1">
      <c r="BM16785" s="1025"/>
      <c r="BO16785" s="43"/>
    </row>
    <row r="16786" spans="65:67" ht="18.75" customHeight="1">
      <c r="BM16786" s="1025"/>
      <c r="BO16786" s="43"/>
    </row>
    <row r="16787" spans="65:67" ht="18.75" customHeight="1">
      <c r="BM16787" s="1025"/>
      <c r="BO16787" s="43"/>
    </row>
    <row r="16788" spans="65:67" ht="18.75" customHeight="1">
      <c r="BM16788" s="1025"/>
      <c r="BO16788" s="43"/>
    </row>
    <row r="16789" spans="65:67" ht="18.75" customHeight="1">
      <c r="BM16789" s="1025"/>
      <c r="BO16789" s="43"/>
    </row>
    <row r="16790" spans="65:67" ht="18.75" customHeight="1">
      <c r="BM16790" s="1025"/>
      <c r="BO16790" s="43"/>
    </row>
    <row r="16791" spans="65:67" ht="18.75" customHeight="1">
      <c r="BM16791" s="1025"/>
      <c r="BO16791" s="43"/>
    </row>
    <row r="16792" spans="65:67" ht="18.75" customHeight="1">
      <c r="BM16792" s="1025"/>
      <c r="BO16792" s="43"/>
    </row>
    <row r="16793" spans="65:67" ht="18.75" customHeight="1">
      <c r="BM16793" s="1025"/>
      <c r="BO16793" s="43"/>
    </row>
    <row r="16794" spans="65:67" ht="18.75" customHeight="1">
      <c r="BM16794" s="1025"/>
      <c r="BO16794" s="43"/>
    </row>
    <row r="16795" spans="65:67" ht="18.75" customHeight="1">
      <c r="BM16795" s="1025"/>
      <c r="BO16795" s="43"/>
    </row>
    <row r="16796" spans="65:67" ht="18.75" customHeight="1">
      <c r="BM16796" s="1025"/>
      <c r="BO16796" s="43"/>
    </row>
    <row r="16797" spans="65:67" ht="18.75" customHeight="1">
      <c r="BM16797" s="1025"/>
      <c r="BO16797" s="43"/>
    </row>
    <row r="16798" spans="65:67" ht="18.75" customHeight="1">
      <c r="BM16798" s="1025"/>
      <c r="BO16798" s="43"/>
    </row>
    <row r="16799" spans="65:67" ht="18.75" customHeight="1">
      <c r="BM16799" s="1025"/>
      <c r="BO16799" s="43"/>
    </row>
    <row r="16800" spans="65:67" ht="18.75" customHeight="1">
      <c r="BM16800" s="1025"/>
      <c r="BO16800" s="43"/>
    </row>
    <row r="16801" spans="65:67" ht="18.75" customHeight="1">
      <c r="BM16801" s="1025"/>
      <c r="BO16801" s="43"/>
    </row>
    <row r="16802" spans="65:67" ht="18.75" customHeight="1">
      <c r="BM16802" s="1025"/>
      <c r="BO16802" s="43"/>
    </row>
    <row r="16803" spans="65:67" ht="18.75" customHeight="1">
      <c r="BM16803" s="1025"/>
      <c r="BO16803" s="43"/>
    </row>
    <row r="16804" spans="65:67" ht="18.75" customHeight="1">
      <c r="BM16804" s="1025"/>
      <c r="BO16804" s="43"/>
    </row>
    <row r="16805" spans="65:67" ht="18.75" customHeight="1">
      <c r="BM16805" s="1025"/>
      <c r="BO16805" s="43"/>
    </row>
    <row r="16806" spans="65:67" ht="18.75" customHeight="1">
      <c r="BM16806" s="1025"/>
      <c r="BO16806" s="43"/>
    </row>
    <row r="16807" spans="65:67" ht="18.75" customHeight="1">
      <c r="BM16807" s="1025"/>
      <c r="BO16807" s="43"/>
    </row>
    <row r="16808" spans="65:67" ht="18.75" customHeight="1">
      <c r="BM16808" s="1025"/>
      <c r="BO16808" s="43"/>
    </row>
    <row r="16809" spans="65:67" ht="18.75" customHeight="1">
      <c r="BM16809" s="1025"/>
      <c r="BO16809" s="43"/>
    </row>
    <row r="16810" spans="65:67" ht="18.75" customHeight="1">
      <c r="BM16810" s="1025"/>
      <c r="BO16810" s="43"/>
    </row>
    <row r="16811" spans="65:67" ht="18.75" customHeight="1">
      <c r="BM16811" s="1025"/>
      <c r="BO16811" s="43"/>
    </row>
    <row r="16812" spans="65:67" ht="18.75" customHeight="1">
      <c r="BM16812" s="1025"/>
      <c r="BO16812" s="43"/>
    </row>
    <row r="16813" spans="65:67" ht="18.75" customHeight="1">
      <c r="BM16813" s="1025"/>
      <c r="BO16813" s="43"/>
    </row>
    <row r="16814" spans="65:67" ht="18.75" customHeight="1">
      <c r="BM16814" s="1025"/>
      <c r="BO16814" s="43"/>
    </row>
    <row r="16815" spans="65:67" ht="18.75" customHeight="1">
      <c r="BM16815" s="1025"/>
      <c r="BO16815" s="43"/>
    </row>
    <row r="16816" spans="65:67" ht="18.75" customHeight="1">
      <c r="BM16816" s="1025"/>
      <c r="BO16816" s="43"/>
    </row>
    <row r="16817" spans="65:67" ht="18.75" customHeight="1">
      <c r="BM16817" s="1025"/>
      <c r="BO16817" s="43"/>
    </row>
    <row r="16818" spans="65:67" ht="18.75" customHeight="1">
      <c r="BM16818" s="1025"/>
      <c r="BO16818" s="43"/>
    </row>
    <row r="16819" spans="65:67" ht="18.75" customHeight="1">
      <c r="BM16819" s="1025"/>
      <c r="BO16819" s="43"/>
    </row>
    <row r="16820" spans="65:67" ht="18.75" customHeight="1">
      <c r="BM16820" s="1025"/>
      <c r="BO16820" s="43"/>
    </row>
    <row r="16821" spans="65:67" ht="18.75" customHeight="1">
      <c r="BM16821" s="1025"/>
      <c r="BO16821" s="43"/>
    </row>
    <row r="16822" spans="65:67" ht="18.75" customHeight="1">
      <c r="BM16822" s="1025"/>
      <c r="BO16822" s="43"/>
    </row>
    <row r="16823" spans="65:67" ht="18.75" customHeight="1">
      <c r="BM16823" s="1025"/>
      <c r="BO16823" s="43"/>
    </row>
    <row r="16824" spans="65:67" ht="18.75" customHeight="1">
      <c r="BM16824" s="1025"/>
      <c r="BO16824" s="43"/>
    </row>
    <row r="16825" spans="65:67" ht="18.75" customHeight="1">
      <c r="BM16825" s="1025"/>
      <c r="BO16825" s="43"/>
    </row>
    <row r="16826" spans="65:67" ht="18.75" customHeight="1">
      <c r="BM16826" s="1025"/>
      <c r="BO16826" s="43"/>
    </row>
    <row r="16827" spans="65:67" ht="18.75" customHeight="1">
      <c r="BM16827" s="1025"/>
      <c r="BO16827" s="43"/>
    </row>
    <row r="16828" spans="65:67" ht="18.75" customHeight="1">
      <c r="BM16828" s="1025"/>
      <c r="BO16828" s="43"/>
    </row>
    <row r="16829" spans="65:67" ht="18.75" customHeight="1">
      <c r="BM16829" s="1025"/>
      <c r="BO16829" s="43"/>
    </row>
    <row r="16830" spans="65:67" ht="18.75" customHeight="1">
      <c r="BM16830" s="1025"/>
      <c r="BO16830" s="43"/>
    </row>
    <row r="16831" spans="65:67" ht="18.75" customHeight="1">
      <c r="BM16831" s="1025"/>
      <c r="BO16831" s="43"/>
    </row>
    <row r="16832" spans="65:67" ht="18.75" customHeight="1">
      <c r="BM16832" s="1025"/>
      <c r="BO16832" s="43"/>
    </row>
    <row r="16833" spans="65:67" ht="18.75" customHeight="1">
      <c r="BM16833" s="1025"/>
      <c r="BO16833" s="43"/>
    </row>
    <row r="16834" spans="65:67" ht="18.75" customHeight="1">
      <c r="BM16834" s="1025"/>
      <c r="BO16834" s="43"/>
    </row>
    <row r="16835" spans="65:67" ht="18.75" customHeight="1">
      <c r="BM16835" s="1025"/>
      <c r="BO16835" s="43"/>
    </row>
    <row r="16836" spans="65:67" ht="18.75" customHeight="1">
      <c r="BM16836" s="1025"/>
      <c r="BO16836" s="43"/>
    </row>
    <row r="16837" spans="65:67" ht="18.75" customHeight="1">
      <c r="BM16837" s="1025"/>
      <c r="BO16837" s="43"/>
    </row>
    <row r="16838" spans="65:67" ht="18.75" customHeight="1">
      <c r="BM16838" s="1025"/>
      <c r="BO16838" s="43"/>
    </row>
    <row r="16839" spans="65:67" ht="18.75" customHeight="1">
      <c r="BM16839" s="1025"/>
      <c r="BO16839" s="43"/>
    </row>
    <row r="16840" spans="65:67" ht="18.75" customHeight="1">
      <c r="BM16840" s="1025"/>
      <c r="BO16840" s="43"/>
    </row>
    <row r="16841" spans="65:67" ht="18.75" customHeight="1">
      <c r="BM16841" s="1025"/>
      <c r="BO16841" s="43"/>
    </row>
    <row r="16842" spans="65:67" ht="18.75" customHeight="1">
      <c r="BM16842" s="1025"/>
      <c r="BO16842" s="43"/>
    </row>
    <row r="16843" spans="65:67" ht="18.75" customHeight="1">
      <c r="BM16843" s="1025"/>
      <c r="BO16843" s="43"/>
    </row>
    <row r="16844" spans="65:67" ht="18.75" customHeight="1">
      <c r="BM16844" s="1025"/>
      <c r="BO16844" s="43"/>
    </row>
    <row r="16845" spans="65:67" ht="18.75" customHeight="1">
      <c r="BM16845" s="1025"/>
      <c r="BO16845" s="43"/>
    </row>
    <row r="16846" spans="65:67" ht="18.75" customHeight="1">
      <c r="BM16846" s="1025"/>
      <c r="BO16846" s="43"/>
    </row>
    <row r="16847" spans="65:67" ht="18.75" customHeight="1">
      <c r="BM16847" s="1025"/>
      <c r="BO16847" s="43"/>
    </row>
    <row r="16848" spans="65:67" ht="18.75" customHeight="1">
      <c r="BM16848" s="1025"/>
      <c r="BO16848" s="43"/>
    </row>
    <row r="16849" spans="65:67" ht="18.75" customHeight="1">
      <c r="BM16849" s="1025"/>
      <c r="BO16849" s="43"/>
    </row>
    <row r="16850" spans="65:67" ht="18.75" customHeight="1">
      <c r="BM16850" s="1025"/>
      <c r="BO16850" s="43"/>
    </row>
    <row r="16851" spans="65:67" ht="18.75" customHeight="1">
      <c r="BM16851" s="1025"/>
      <c r="BO16851" s="43"/>
    </row>
    <row r="16852" spans="65:67" ht="18.75" customHeight="1">
      <c r="BM16852" s="1025"/>
      <c r="BO16852" s="43"/>
    </row>
    <row r="16853" spans="65:67" ht="18.75" customHeight="1">
      <c r="BM16853" s="1025"/>
      <c r="BO16853" s="43"/>
    </row>
    <row r="16854" spans="65:67" ht="18.75" customHeight="1">
      <c r="BM16854" s="1025"/>
      <c r="BO16854" s="43"/>
    </row>
    <row r="16855" spans="65:67" ht="18.75" customHeight="1">
      <c r="BM16855" s="1025"/>
      <c r="BO16855" s="43"/>
    </row>
    <row r="16856" spans="65:67" ht="18.75" customHeight="1">
      <c r="BM16856" s="1025"/>
      <c r="BO16856" s="43"/>
    </row>
    <row r="16857" spans="65:67" ht="18.75" customHeight="1">
      <c r="BM16857" s="1025"/>
      <c r="BO16857" s="43"/>
    </row>
    <row r="16858" spans="65:67" ht="18.75" customHeight="1">
      <c r="BM16858" s="1025"/>
      <c r="BO16858" s="43"/>
    </row>
    <row r="16859" spans="65:67" ht="18.75" customHeight="1">
      <c r="BM16859" s="1025"/>
      <c r="BO16859" s="43"/>
    </row>
    <row r="16860" spans="65:67" ht="18.75" customHeight="1">
      <c r="BM16860" s="1025"/>
      <c r="BO16860" s="43"/>
    </row>
    <row r="16861" spans="65:67" ht="18.75" customHeight="1">
      <c r="BM16861" s="1025"/>
      <c r="BO16861" s="43"/>
    </row>
    <row r="16862" spans="65:67" ht="18.75" customHeight="1">
      <c r="BM16862" s="1025"/>
      <c r="BO16862" s="43"/>
    </row>
    <row r="16863" spans="65:67" ht="18.75" customHeight="1">
      <c r="BM16863" s="1025"/>
      <c r="BO16863" s="43"/>
    </row>
    <row r="16864" spans="65:67" ht="18.75" customHeight="1">
      <c r="BM16864" s="1025"/>
      <c r="BO16864" s="43"/>
    </row>
    <row r="16865" spans="65:67" ht="18.75" customHeight="1">
      <c r="BM16865" s="1025"/>
      <c r="BO16865" s="43"/>
    </row>
    <row r="16866" spans="65:67" ht="18.75" customHeight="1">
      <c r="BM16866" s="1025"/>
      <c r="BO16866" s="43"/>
    </row>
    <row r="16867" spans="65:67" ht="18.75" customHeight="1">
      <c r="BM16867" s="1025"/>
      <c r="BO16867" s="43"/>
    </row>
    <row r="16868" spans="65:67" ht="18.75" customHeight="1">
      <c r="BM16868" s="1025"/>
      <c r="BO16868" s="43"/>
    </row>
    <row r="16869" spans="65:67" ht="18.75" customHeight="1">
      <c r="BM16869" s="1025"/>
      <c r="BO16869" s="43"/>
    </row>
    <row r="16870" spans="65:67" ht="18.75" customHeight="1">
      <c r="BM16870" s="1025"/>
      <c r="BO16870" s="43"/>
    </row>
    <row r="16871" spans="65:67" ht="18.75" customHeight="1">
      <c r="BM16871" s="1025"/>
      <c r="BO16871" s="43"/>
    </row>
    <row r="16872" spans="65:67" ht="18.75" customHeight="1">
      <c r="BM16872" s="1025"/>
      <c r="BO16872" s="43"/>
    </row>
    <row r="16873" spans="65:67" ht="18.75" customHeight="1">
      <c r="BM16873" s="1025"/>
      <c r="BO16873" s="43"/>
    </row>
    <row r="16874" spans="65:67" ht="18.75" customHeight="1">
      <c r="BM16874" s="1025"/>
      <c r="BO16874" s="43"/>
    </row>
    <row r="16875" spans="65:67" ht="18.75" customHeight="1">
      <c r="BM16875" s="1025"/>
      <c r="BO16875" s="43"/>
    </row>
    <row r="16876" spans="65:67" ht="18.75" customHeight="1">
      <c r="BM16876" s="1025"/>
      <c r="BO16876" s="43"/>
    </row>
    <row r="16877" spans="65:67" ht="18.75" customHeight="1">
      <c r="BM16877" s="1025"/>
      <c r="BO16877" s="43"/>
    </row>
    <row r="16878" spans="65:67" ht="18.75" customHeight="1">
      <c r="BM16878" s="1025"/>
      <c r="BO16878" s="43"/>
    </row>
    <row r="16879" spans="65:67" ht="18.75" customHeight="1">
      <c r="BM16879" s="1025"/>
      <c r="BO16879" s="43"/>
    </row>
    <row r="16880" spans="65:67" ht="18.75" customHeight="1">
      <c r="BM16880" s="1025"/>
      <c r="BO16880" s="43"/>
    </row>
    <row r="16881" spans="65:67" ht="18.75" customHeight="1">
      <c r="BM16881" s="1025"/>
      <c r="BO16881" s="43"/>
    </row>
    <row r="16882" spans="65:67" ht="18.75" customHeight="1">
      <c r="BM16882" s="1025"/>
      <c r="BO16882" s="43"/>
    </row>
    <row r="16883" spans="65:67" ht="18.75" customHeight="1">
      <c r="BM16883" s="1025"/>
      <c r="BO16883" s="43"/>
    </row>
    <row r="16884" spans="65:67" ht="18.75" customHeight="1">
      <c r="BM16884" s="1025"/>
      <c r="BO16884" s="43"/>
    </row>
    <row r="16885" spans="65:67" ht="18.75" customHeight="1">
      <c r="BM16885" s="1025"/>
      <c r="BO16885" s="43"/>
    </row>
    <row r="16886" spans="65:67" ht="18.75" customHeight="1">
      <c r="BM16886" s="1025"/>
      <c r="BO16886" s="43"/>
    </row>
    <row r="16887" spans="65:67" ht="18.75" customHeight="1">
      <c r="BM16887" s="1025"/>
      <c r="BO16887" s="43"/>
    </row>
    <row r="16888" spans="65:67" ht="18.75" customHeight="1">
      <c r="BM16888" s="1025"/>
      <c r="BO16888" s="43"/>
    </row>
    <row r="16889" spans="65:67" ht="18.75" customHeight="1">
      <c r="BM16889" s="1025"/>
      <c r="BO16889" s="43"/>
    </row>
    <row r="16890" spans="65:67" ht="18.75" customHeight="1">
      <c r="BM16890" s="1025"/>
      <c r="BO16890" s="43"/>
    </row>
    <row r="16891" spans="65:67" ht="18.75" customHeight="1">
      <c r="BM16891" s="1025"/>
      <c r="BO16891" s="43"/>
    </row>
    <row r="16892" spans="65:67" ht="18.75" customHeight="1">
      <c r="BM16892" s="1025"/>
      <c r="BO16892" s="43"/>
    </row>
    <row r="16893" spans="65:67" ht="18.75" customHeight="1">
      <c r="BM16893" s="1025"/>
      <c r="BO16893" s="43"/>
    </row>
    <row r="16894" spans="65:67" ht="18.75" customHeight="1">
      <c r="BM16894" s="1025"/>
      <c r="BO16894" s="43"/>
    </row>
    <row r="16895" spans="65:67" ht="18.75" customHeight="1">
      <c r="BM16895" s="1025"/>
      <c r="BO16895" s="43"/>
    </row>
    <row r="16896" spans="65:67" ht="18.75" customHeight="1">
      <c r="BM16896" s="1025"/>
      <c r="BO16896" s="43"/>
    </row>
    <row r="16897" spans="65:67" ht="18.75" customHeight="1">
      <c r="BM16897" s="1025"/>
      <c r="BO16897" s="43"/>
    </row>
    <row r="16898" spans="65:67" ht="18.75" customHeight="1">
      <c r="BM16898" s="1025"/>
      <c r="BO16898" s="43"/>
    </row>
    <row r="16899" spans="65:67" ht="18.75" customHeight="1">
      <c r="BM16899" s="1025"/>
      <c r="BO16899" s="43"/>
    </row>
    <row r="16900" spans="65:67" ht="18.75" customHeight="1">
      <c r="BM16900" s="1025"/>
      <c r="BO16900" s="43"/>
    </row>
    <row r="16901" spans="65:67" ht="18.75" customHeight="1">
      <c r="BM16901" s="1025"/>
      <c r="BO16901" s="43"/>
    </row>
    <row r="16902" spans="65:67" ht="18.75" customHeight="1">
      <c r="BM16902" s="1025"/>
      <c r="BO16902" s="43"/>
    </row>
    <row r="16903" spans="65:67" ht="18.75" customHeight="1">
      <c r="BM16903" s="1025"/>
      <c r="BO16903" s="43"/>
    </row>
    <row r="16904" spans="65:67" ht="18.75" customHeight="1">
      <c r="BM16904" s="1025"/>
      <c r="BO16904" s="43"/>
    </row>
    <row r="16905" spans="65:67" ht="18.75" customHeight="1">
      <c r="BM16905" s="1025"/>
      <c r="BO16905" s="43"/>
    </row>
    <row r="16906" spans="65:67" ht="18.75" customHeight="1">
      <c r="BM16906" s="1025"/>
      <c r="BO16906" s="43"/>
    </row>
    <row r="16907" spans="65:67" ht="18.75" customHeight="1">
      <c r="BM16907" s="1025"/>
      <c r="BO16907" s="43"/>
    </row>
    <row r="16908" spans="65:67" ht="18.75" customHeight="1">
      <c r="BM16908" s="1025"/>
      <c r="BO16908" s="43"/>
    </row>
    <row r="16909" spans="65:67" ht="18.75" customHeight="1">
      <c r="BM16909" s="1025"/>
      <c r="BO16909" s="43"/>
    </row>
    <row r="16910" spans="65:67" ht="18.75" customHeight="1">
      <c r="BM16910" s="1025"/>
      <c r="BO16910" s="43"/>
    </row>
    <row r="16911" spans="65:67" ht="18.75" customHeight="1">
      <c r="BM16911" s="1025"/>
      <c r="BO16911" s="43"/>
    </row>
    <row r="16912" spans="65:67" ht="18.75" customHeight="1">
      <c r="BM16912" s="1025"/>
      <c r="BO16912" s="43"/>
    </row>
    <row r="16913" spans="65:67" ht="18.75" customHeight="1">
      <c r="BM16913" s="1025"/>
      <c r="BO16913" s="43"/>
    </row>
    <row r="16914" spans="65:67" ht="18.75" customHeight="1">
      <c r="BM16914" s="1025"/>
      <c r="BO16914" s="43"/>
    </row>
    <row r="16915" spans="65:67" ht="18.75" customHeight="1">
      <c r="BM16915" s="1025"/>
      <c r="BO16915" s="43"/>
    </row>
    <row r="16916" spans="65:67" ht="18.75" customHeight="1">
      <c r="BM16916" s="1025"/>
      <c r="BO16916" s="43"/>
    </row>
    <row r="16917" spans="65:67" ht="18.75" customHeight="1">
      <c r="BM16917" s="1025"/>
      <c r="BO16917" s="43"/>
    </row>
    <row r="16918" spans="65:67" ht="18.75" customHeight="1">
      <c r="BM16918" s="1025"/>
      <c r="BO16918" s="43"/>
    </row>
    <row r="16919" spans="65:67" ht="18.75" customHeight="1">
      <c r="BM16919" s="1025"/>
      <c r="BO16919" s="43"/>
    </row>
    <row r="16920" spans="65:67" ht="18.75" customHeight="1">
      <c r="BM16920" s="1025"/>
      <c r="BO16920" s="43"/>
    </row>
    <row r="16921" spans="65:67" ht="18.75" customHeight="1">
      <c r="BM16921" s="1025"/>
      <c r="BO16921" s="43"/>
    </row>
    <row r="16922" spans="65:67" ht="18.75" customHeight="1">
      <c r="BM16922" s="1025"/>
      <c r="BO16922" s="43"/>
    </row>
    <row r="16923" spans="65:67" ht="18.75" customHeight="1">
      <c r="BM16923" s="1025"/>
      <c r="BO16923" s="43"/>
    </row>
    <row r="16924" spans="65:67" ht="18.75" customHeight="1">
      <c r="BM16924" s="1025"/>
      <c r="BO16924" s="43"/>
    </row>
    <row r="16925" spans="65:67" ht="18.75" customHeight="1">
      <c r="BM16925" s="1025"/>
      <c r="BO16925" s="43"/>
    </row>
    <row r="16926" spans="65:67" ht="18.75" customHeight="1">
      <c r="BM16926" s="1025"/>
      <c r="BO16926" s="43"/>
    </row>
    <row r="16927" spans="65:67" ht="18.75" customHeight="1">
      <c r="BM16927" s="1025"/>
      <c r="BO16927" s="43"/>
    </row>
    <row r="16928" spans="65:67" ht="18.75" customHeight="1">
      <c r="BM16928" s="1025"/>
      <c r="BO16928" s="43"/>
    </row>
    <row r="16929" spans="65:67" ht="18.75" customHeight="1">
      <c r="BM16929" s="1025"/>
      <c r="BO16929" s="43"/>
    </row>
    <row r="16930" spans="65:67" ht="18.75" customHeight="1">
      <c r="BM16930" s="1025"/>
      <c r="BO16930" s="43"/>
    </row>
    <row r="16931" spans="65:67" ht="18.75" customHeight="1">
      <c r="BM16931" s="1025"/>
      <c r="BO16931" s="43"/>
    </row>
    <row r="16932" spans="65:67" ht="18.75" customHeight="1">
      <c r="BM16932" s="1025"/>
      <c r="BO16932" s="43"/>
    </row>
    <row r="16933" spans="65:67" ht="18.75" customHeight="1">
      <c r="BM16933" s="1025"/>
      <c r="BO16933" s="43"/>
    </row>
    <row r="16934" spans="65:67" ht="18.75" customHeight="1">
      <c r="BM16934" s="1025"/>
      <c r="BO16934" s="43"/>
    </row>
    <row r="16935" spans="65:67" ht="18.75" customHeight="1">
      <c r="BM16935" s="1025"/>
      <c r="BO16935" s="43"/>
    </row>
    <row r="16936" spans="65:67" ht="18.75" customHeight="1">
      <c r="BM16936" s="1025"/>
      <c r="BO16936" s="43"/>
    </row>
    <row r="16937" spans="65:67" ht="18.75" customHeight="1">
      <c r="BM16937" s="1025"/>
      <c r="BO16937" s="43"/>
    </row>
    <row r="16938" spans="65:67" ht="18.75" customHeight="1">
      <c r="BM16938" s="1025"/>
      <c r="BO16938" s="43"/>
    </row>
    <row r="16939" spans="65:67" ht="18.75" customHeight="1">
      <c r="BM16939" s="1025"/>
      <c r="BO16939" s="43"/>
    </row>
    <row r="16940" spans="65:67" ht="18.75" customHeight="1">
      <c r="BM16940" s="1025"/>
      <c r="BO16940" s="43"/>
    </row>
    <row r="16941" spans="65:67" ht="18.75" customHeight="1">
      <c r="BM16941" s="1025"/>
      <c r="BO16941" s="43"/>
    </row>
    <row r="16942" spans="65:67" ht="18.75" customHeight="1">
      <c r="BM16942" s="1025"/>
      <c r="BO16942" s="43"/>
    </row>
    <row r="16943" spans="65:67" ht="18.75" customHeight="1">
      <c r="BM16943" s="1025"/>
      <c r="BO16943" s="43"/>
    </row>
    <row r="16944" spans="65:67" ht="18.75" customHeight="1">
      <c r="BM16944" s="1025"/>
      <c r="BO16944" s="43"/>
    </row>
    <row r="16945" spans="65:67" ht="18.75" customHeight="1">
      <c r="BM16945" s="1025"/>
      <c r="BO16945" s="43"/>
    </row>
    <row r="16946" spans="65:67" ht="18.75" customHeight="1">
      <c r="BM16946" s="1025"/>
      <c r="BO16946" s="43"/>
    </row>
    <row r="16947" spans="65:67" ht="18.75" customHeight="1">
      <c r="BM16947" s="1025"/>
      <c r="BO16947" s="43"/>
    </row>
    <row r="16948" spans="65:67" ht="18.75" customHeight="1">
      <c r="BM16948" s="1025"/>
      <c r="BO16948" s="43"/>
    </row>
    <row r="16949" spans="65:67" ht="18.75" customHeight="1">
      <c r="BM16949" s="1025"/>
      <c r="BO16949" s="43"/>
    </row>
    <row r="16950" spans="65:67" ht="18.75" customHeight="1">
      <c r="BM16950" s="1025"/>
      <c r="BO16950" s="43"/>
    </row>
    <row r="16951" spans="65:67" ht="18.75" customHeight="1">
      <c r="BM16951" s="1025"/>
      <c r="BO16951" s="43"/>
    </row>
    <row r="16952" spans="65:67" ht="18.75" customHeight="1">
      <c r="BM16952" s="1025"/>
      <c r="BO16952" s="43"/>
    </row>
    <row r="16953" spans="65:67" ht="18.75" customHeight="1">
      <c r="BM16953" s="1025"/>
      <c r="BO16953" s="43"/>
    </row>
    <row r="16954" spans="65:67" ht="18.75" customHeight="1">
      <c r="BM16954" s="1025"/>
      <c r="BO16954" s="43"/>
    </row>
    <row r="16955" spans="65:67" ht="18.75" customHeight="1">
      <c r="BM16955" s="1025"/>
      <c r="BO16955" s="43"/>
    </row>
    <row r="16956" spans="65:67" ht="18.75" customHeight="1">
      <c r="BM16956" s="1025"/>
      <c r="BO16956" s="43"/>
    </row>
    <row r="16957" spans="65:67" ht="18.75" customHeight="1">
      <c r="BM16957" s="1025"/>
      <c r="BO16957" s="43"/>
    </row>
    <row r="16958" spans="65:67" ht="18.75" customHeight="1">
      <c r="BM16958" s="1025"/>
      <c r="BO16958" s="43"/>
    </row>
    <row r="16959" spans="65:67" ht="18.75" customHeight="1">
      <c r="BM16959" s="1025"/>
      <c r="BO16959" s="43"/>
    </row>
    <row r="16960" spans="65:67" ht="18.75" customHeight="1">
      <c r="BM16960" s="1025"/>
      <c r="BO16960" s="43"/>
    </row>
    <row r="16961" spans="65:67" ht="18.75" customHeight="1">
      <c r="BM16961" s="1025"/>
      <c r="BO16961" s="43"/>
    </row>
    <row r="16962" spans="65:67" ht="18.75" customHeight="1">
      <c r="BM16962" s="1025"/>
      <c r="BO16962" s="43"/>
    </row>
    <row r="16963" spans="65:67" ht="18.75" customHeight="1">
      <c r="BM16963" s="1025"/>
      <c r="BO16963" s="43"/>
    </row>
    <row r="16964" spans="65:67" ht="18.75" customHeight="1">
      <c r="BM16964" s="1025"/>
      <c r="BO16964" s="43"/>
    </row>
    <row r="16965" spans="65:67" ht="18.75" customHeight="1">
      <c r="BM16965" s="1025"/>
      <c r="BO16965" s="43"/>
    </row>
    <row r="16966" spans="65:67" ht="18.75" customHeight="1">
      <c r="BM16966" s="1025"/>
      <c r="BO16966" s="43"/>
    </row>
    <row r="16967" spans="65:67" ht="18.75" customHeight="1">
      <c r="BM16967" s="1025"/>
      <c r="BO16967" s="43"/>
    </row>
    <row r="16968" spans="65:67" ht="18.75" customHeight="1">
      <c r="BM16968" s="1025"/>
      <c r="BO16968" s="43"/>
    </row>
    <row r="16969" spans="65:67" ht="18.75" customHeight="1">
      <c r="BM16969" s="1025"/>
      <c r="BO16969" s="43"/>
    </row>
    <row r="16970" spans="65:67" ht="18.75" customHeight="1">
      <c r="BM16970" s="1025"/>
      <c r="BO16970" s="43"/>
    </row>
    <row r="16971" spans="65:67" ht="18.75" customHeight="1">
      <c r="BM16971" s="1025"/>
      <c r="BO16971" s="43"/>
    </row>
    <row r="16972" spans="65:67" ht="18.75" customHeight="1">
      <c r="BM16972" s="1025"/>
      <c r="BO16972" s="43"/>
    </row>
    <row r="16973" spans="65:67" ht="18.75" customHeight="1">
      <c r="BM16973" s="1025"/>
      <c r="BO16973" s="43"/>
    </row>
    <row r="16974" spans="65:67" ht="18.75" customHeight="1">
      <c r="BM16974" s="1025"/>
      <c r="BO16974" s="43"/>
    </row>
    <row r="16975" spans="65:67" ht="18.75" customHeight="1">
      <c r="BM16975" s="1025"/>
      <c r="BO16975" s="43"/>
    </row>
    <row r="16976" spans="65:67" ht="18.75" customHeight="1">
      <c r="BM16976" s="1025"/>
      <c r="BO16976" s="43"/>
    </row>
    <row r="16977" spans="65:67" ht="18.75" customHeight="1">
      <c r="BM16977" s="1025"/>
      <c r="BO16977" s="43"/>
    </row>
    <row r="16978" spans="65:67" ht="18.75" customHeight="1">
      <c r="BM16978" s="1025"/>
      <c r="BO16978" s="43"/>
    </row>
    <row r="16979" spans="65:67" ht="18.75" customHeight="1">
      <c r="BM16979" s="1025"/>
      <c r="BO16979" s="43"/>
    </row>
    <row r="16980" spans="65:67" ht="18.75" customHeight="1">
      <c r="BM16980" s="1025"/>
      <c r="BO16980" s="43"/>
    </row>
    <row r="16981" spans="65:67" ht="18.75" customHeight="1">
      <c r="BM16981" s="1025"/>
      <c r="BO16981" s="43"/>
    </row>
    <row r="16982" spans="65:67" ht="18.75" customHeight="1">
      <c r="BM16982" s="1025"/>
      <c r="BO16982" s="43"/>
    </row>
    <row r="16983" spans="65:67" ht="18.75" customHeight="1">
      <c r="BM16983" s="1025"/>
      <c r="BO16983" s="43"/>
    </row>
    <row r="16984" spans="65:67" ht="18.75" customHeight="1">
      <c r="BM16984" s="1025"/>
      <c r="BO16984" s="43"/>
    </row>
    <row r="16985" spans="65:67" ht="18.75" customHeight="1">
      <c r="BM16985" s="1025"/>
      <c r="BO16985" s="43"/>
    </row>
    <row r="16986" spans="65:67" ht="18.75" customHeight="1">
      <c r="BM16986" s="1025"/>
      <c r="BO16986" s="43"/>
    </row>
    <row r="16987" spans="65:67" ht="18.75" customHeight="1">
      <c r="BM16987" s="1025"/>
      <c r="BO16987" s="43"/>
    </row>
    <row r="16988" spans="65:67" ht="18.75" customHeight="1">
      <c r="BM16988" s="1025"/>
      <c r="BO16988" s="43"/>
    </row>
    <row r="16989" spans="65:67" ht="18.75" customHeight="1">
      <c r="BM16989" s="1025"/>
      <c r="BO16989" s="43"/>
    </row>
    <row r="16990" spans="65:67" ht="18.75" customHeight="1">
      <c r="BM16990" s="1025"/>
      <c r="BO16990" s="43"/>
    </row>
    <row r="16991" spans="65:67" ht="18.75" customHeight="1">
      <c r="BM16991" s="1025"/>
      <c r="BO16991" s="43"/>
    </row>
    <row r="16992" spans="65:67" ht="18.75" customHeight="1">
      <c r="BM16992" s="1025"/>
      <c r="BO16992" s="43"/>
    </row>
    <row r="16993" spans="65:67" ht="18.75" customHeight="1">
      <c r="BM16993" s="1025"/>
      <c r="BO16993" s="43"/>
    </row>
    <row r="16994" spans="65:67" ht="18.75" customHeight="1">
      <c r="BM16994" s="1025"/>
      <c r="BO16994" s="43"/>
    </row>
    <row r="16995" spans="65:67" ht="18.75" customHeight="1">
      <c r="BM16995" s="1025"/>
      <c r="BO16995" s="43"/>
    </row>
    <row r="16996" spans="65:67" ht="18.75" customHeight="1">
      <c r="BM16996" s="1025"/>
      <c r="BO16996" s="43"/>
    </row>
    <row r="16997" spans="65:67" ht="18.75" customHeight="1">
      <c r="BM16997" s="1025"/>
      <c r="BO16997" s="43"/>
    </row>
    <row r="16998" spans="65:67" ht="18.75" customHeight="1">
      <c r="BM16998" s="1025"/>
      <c r="BO16998" s="43"/>
    </row>
    <row r="16999" spans="65:67" ht="18.75" customHeight="1">
      <c r="BM16999" s="1025"/>
      <c r="BO16999" s="43"/>
    </row>
    <row r="17000" spans="65:67" ht="18.75" customHeight="1">
      <c r="BM17000" s="1025"/>
      <c r="BO17000" s="43"/>
    </row>
    <row r="17001" spans="65:67" ht="18.75" customHeight="1">
      <c r="BM17001" s="1025"/>
      <c r="BO17001" s="43"/>
    </row>
    <row r="17002" spans="65:67" ht="18.75" customHeight="1">
      <c r="BM17002" s="1025"/>
      <c r="BO17002" s="43"/>
    </row>
    <row r="17003" spans="65:67" ht="18.75" customHeight="1">
      <c r="BM17003" s="1025"/>
      <c r="BO17003" s="43"/>
    </row>
    <row r="17004" spans="65:67" ht="18.75" customHeight="1">
      <c r="BM17004" s="1025"/>
      <c r="BO17004" s="43"/>
    </row>
    <row r="17005" spans="65:67" ht="18.75" customHeight="1">
      <c r="BM17005" s="1025"/>
      <c r="BO17005" s="43"/>
    </row>
    <row r="17006" spans="65:67" ht="18.75" customHeight="1">
      <c r="BM17006" s="1025"/>
      <c r="BO17006" s="43"/>
    </row>
    <row r="17007" spans="65:67" ht="18.75" customHeight="1">
      <c r="BM17007" s="1025"/>
      <c r="BO17007" s="43"/>
    </row>
    <row r="17008" spans="65:67" ht="18.75" customHeight="1">
      <c r="BM17008" s="1025"/>
      <c r="BO17008" s="43"/>
    </row>
    <row r="17009" spans="65:67" ht="18.75" customHeight="1">
      <c r="BM17009" s="1025"/>
      <c r="BO17009" s="43"/>
    </row>
    <row r="17010" spans="65:67" ht="18.75" customHeight="1">
      <c r="BM17010" s="1025"/>
      <c r="BO17010" s="43"/>
    </row>
    <row r="17011" spans="65:67" ht="18.75" customHeight="1">
      <c r="BM17011" s="1025"/>
      <c r="BO17011" s="43"/>
    </row>
    <row r="17012" spans="65:67" ht="18.75" customHeight="1">
      <c r="BM17012" s="1025"/>
      <c r="BO17012" s="43"/>
    </row>
    <row r="17013" spans="65:67" ht="18.75" customHeight="1">
      <c r="BM17013" s="1025"/>
      <c r="BO17013" s="43"/>
    </row>
    <row r="17014" spans="65:67" ht="18.75" customHeight="1">
      <c r="BM17014" s="1025"/>
      <c r="BO17014" s="43"/>
    </row>
    <row r="17015" spans="65:67" ht="18.75" customHeight="1">
      <c r="BM17015" s="1025"/>
      <c r="BO17015" s="43"/>
    </row>
    <row r="17016" spans="65:67" ht="18.75" customHeight="1">
      <c r="BM17016" s="1025"/>
      <c r="BO17016" s="43"/>
    </row>
    <row r="17017" spans="65:67" ht="18.75" customHeight="1">
      <c r="BM17017" s="1025"/>
      <c r="BO17017" s="43"/>
    </row>
    <row r="17018" spans="65:67" ht="18.75" customHeight="1">
      <c r="BM17018" s="1025"/>
      <c r="BO17018" s="43"/>
    </row>
    <row r="17019" spans="65:67" ht="18.75" customHeight="1">
      <c r="BM17019" s="1025"/>
      <c r="BO17019" s="43"/>
    </row>
    <row r="17020" spans="65:67" ht="18.75" customHeight="1">
      <c r="BM17020" s="1025"/>
      <c r="BO17020" s="43"/>
    </row>
    <row r="17021" spans="65:67" ht="18.75" customHeight="1">
      <c r="BM17021" s="1025"/>
      <c r="BO17021" s="43"/>
    </row>
    <row r="17022" spans="65:67" ht="18.75" customHeight="1">
      <c r="BM17022" s="1025"/>
      <c r="BO17022" s="43"/>
    </row>
    <row r="17023" spans="65:67" ht="18.75" customHeight="1">
      <c r="BM17023" s="1025"/>
      <c r="BO17023" s="43"/>
    </row>
    <row r="17024" spans="65:67" ht="18.75" customHeight="1">
      <c r="BM17024" s="1025"/>
      <c r="BO17024" s="43"/>
    </row>
    <row r="17025" spans="65:67" ht="18.75" customHeight="1">
      <c r="BM17025" s="1025"/>
      <c r="BO17025" s="43"/>
    </row>
    <row r="17026" spans="65:67" ht="18.75" customHeight="1">
      <c r="BM17026" s="1025"/>
      <c r="BO17026" s="43"/>
    </row>
    <row r="17027" spans="65:67" ht="18.75" customHeight="1">
      <c r="BM17027" s="1025"/>
      <c r="BO17027" s="43"/>
    </row>
    <row r="17028" spans="65:67" ht="18.75" customHeight="1">
      <c r="BM17028" s="1025"/>
      <c r="BO17028" s="43"/>
    </row>
    <row r="17029" spans="65:67" ht="18.75" customHeight="1">
      <c r="BM17029" s="1025"/>
      <c r="BO17029" s="43"/>
    </row>
    <row r="17030" spans="65:67" ht="18.75" customHeight="1">
      <c r="BM17030" s="1025"/>
      <c r="BO17030" s="43"/>
    </row>
    <row r="17031" spans="65:67" ht="18.75" customHeight="1">
      <c r="BM17031" s="1025"/>
      <c r="BO17031" s="43"/>
    </row>
    <row r="17032" spans="65:67" ht="18.75" customHeight="1">
      <c r="BM17032" s="1025"/>
      <c r="BO17032" s="43"/>
    </row>
    <row r="17033" spans="65:67" ht="18.75" customHeight="1">
      <c r="BM17033" s="1025"/>
      <c r="BO17033" s="43"/>
    </row>
    <row r="17034" spans="65:67" ht="18.75" customHeight="1">
      <c r="BM17034" s="1025"/>
      <c r="BO17034" s="43"/>
    </row>
    <row r="17035" spans="65:67" ht="18.75" customHeight="1">
      <c r="BM17035" s="1025"/>
      <c r="BO17035" s="43"/>
    </row>
    <row r="17036" spans="65:67" ht="18.75" customHeight="1">
      <c r="BM17036" s="1025"/>
      <c r="BO17036" s="43"/>
    </row>
    <row r="17037" spans="65:67" ht="18.75" customHeight="1">
      <c r="BM17037" s="1025"/>
      <c r="BO17037" s="43"/>
    </row>
    <row r="17038" spans="65:67" ht="18.75" customHeight="1">
      <c r="BM17038" s="1025"/>
      <c r="BO17038" s="43"/>
    </row>
    <row r="17039" spans="65:67" ht="18.75" customHeight="1">
      <c r="BM17039" s="1025"/>
      <c r="BO17039" s="43"/>
    </row>
    <row r="17040" spans="65:67" ht="18.75" customHeight="1">
      <c r="BM17040" s="1025"/>
      <c r="BO17040" s="43"/>
    </row>
    <row r="17041" spans="65:67" ht="18.75" customHeight="1">
      <c r="BM17041" s="1025"/>
      <c r="BO17041" s="43"/>
    </row>
    <row r="17042" spans="65:67" ht="18.75" customHeight="1">
      <c r="BM17042" s="1025"/>
      <c r="BO17042" s="43"/>
    </row>
    <row r="17043" spans="65:67" ht="18.75" customHeight="1">
      <c r="BM17043" s="1025"/>
      <c r="BO17043" s="43"/>
    </row>
    <row r="17044" spans="65:67" ht="18.75" customHeight="1">
      <c r="BM17044" s="1025"/>
      <c r="BO17044" s="43"/>
    </row>
    <row r="17045" spans="65:67" ht="18.75" customHeight="1">
      <c r="BM17045" s="1025"/>
      <c r="BO17045" s="43"/>
    </row>
    <row r="17046" spans="65:67" ht="18.75" customHeight="1">
      <c r="BM17046" s="1025"/>
      <c r="BO17046" s="43"/>
    </row>
    <row r="17047" spans="65:67" ht="18.75" customHeight="1">
      <c r="BM17047" s="1025"/>
      <c r="BO17047" s="43"/>
    </row>
    <row r="17048" spans="65:67" ht="18.75" customHeight="1">
      <c r="BM17048" s="1025"/>
      <c r="BO17048" s="43"/>
    </row>
    <row r="17049" spans="65:67" ht="18.75" customHeight="1">
      <c r="BM17049" s="1025"/>
      <c r="BO17049" s="43"/>
    </row>
    <row r="17050" spans="65:67" ht="18.75" customHeight="1">
      <c r="BM17050" s="1025"/>
      <c r="BO17050" s="43"/>
    </row>
    <row r="17051" spans="65:67" ht="18.75" customHeight="1">
      <c r="BM17051" s="1025"/>
      <c r="BO17051" s="43"/>
    </row>
    <row r="17052" spans="65:67" ht="18.75" customHeight="1">
      <c r="BM17052" s="1025"/>
      <c r="BO17052" s="43"/>
    </row>
    <row r="17053" spans="65:67" ht="18.75" customHeight="1">
      <c r="BM17053" s="1025"/>
      <c r="BO17053" s="43"/>
    </row>
    <row r="17054" spans="65:67" ht="18.75" customHeight="1">
      <c r="BM17054" s="1025"/>
      <c r="BO17054" s="43"/>
    </row>
    <row r="17055" spans="65:67" ht="18.75" customHeight="1">
      <c r="BM17055" s="1025"/>
      <c r="BO17055" s="43"/>
    </row>
    <row r="17056" spans="65:67" ht="18.75" customHeight="1">
      <c r="BM17056" s="1025"/>
      <c r="BO17056" s="43"/>
    </row>
    <row r="17057" spans="65:67" ht="18.75" customHeight="1">
      <c r="BM17057" s="1025"/>
      <c r="BO17057" s="43"/>
    </row>
    <row r="17058" spans="65:67" ht="18.75" customHeight="1">
      <c r="BM17058" s="1025"/>
      <c r="BO17058" s="43"/>
    </row>
    <row r="17059" spans="65:67" ht="18.75" customHeight="1">
      <c r="BM17059" s="1025"/>
      <c r="BO17059" s="43"/>
    </row>
    <row r="17060" spans="65:67" ht="18.75" customHeight="1">
      <c r="BM17060" s="1025"/>
      <c r="BO17060" s="43"/>
    </row>
    <row r="17061" spans="65:67" ht="18.75" customHeight="1">
      <c r="BM17061" s="1025"/>
      <c r="BO17061" s="43"/>
    </row>
    <row r="17062" spans="65:67" ht="18.75" customHeight="1">
      <c r="BM17062" s="1025"/>
      <c r="BO17062" s="43"/>
    </row>
    <row r="17063" spans="65:67" ht="18.75" customHeight="1">
      <c r="BM17063" s="1025"/>
      <c r="BO17063" s="43"/>
    </row>
    <row r="17064" spans="65:67" ht="18.75" customHeight="1">
      <c r="BM17064" s="1025"/>
      <c r="BO17064" s="43"/>
    </row>
    <row r="17065" spans="65:67" ht="18.75" customHeight="1">
      <c r="BM17065" s="1025"/>
      <c r="BO17065" s="43"/>
    </row>
    <row r="17066" spans="65:67" ht="18.75" customHeight="1">
      <c r="BM17066" s="1025"/>
      <c r="BO17066" s="43"/>
    </row>
    <row r="17067" spans="65:67" ht="18.75" customHeight="1">
      <c r="BM17067" s="1025"/>
      <c r="BO17067" s="43"/>
    </row>
    <row r="17068" spans="65:67" ht="18.75" customHeight="1">
      <c r="BM17068" s="1025"/>
      <c r="BO17068" s="43"/>
    </row>
    <row r="17069" spans="65:67" ht="18.75" customHeight="1">
      <c r="BM17069" s="1025"/>
      <c r="BO17069" s="43"/>
    </row>
    <row r="17070" spans="65:67" ht="18.75" customHeight="1">
      <c r="BM17070" s="1025"/>
      <c r="BO17070" s="43"/>
    </row>
    <row r="17071" spans="65:67" ht="18.75" customHeight="1">
      <c r="BM17071" s="1025"/>
      <c r="BO17071" s="43"/>
    </row>
    <row r="17072" spans="65:67" ht="18.75" customHeight="1">
      <c r="BM17072" s="1025"/>
      <c r="BO17072" s="43"/>
    </row>
    <row r="17073" spans="65:67" ht="18.75" customHeight="1">
      <c r="BM17073" s="1025"/>
      <c r="BO17073" s="43"/>
    </row>
    <row r="17074" spans="65:67" ht="18.75" customHeight="1">
      <c r="BM17074" s="1025"/>
      <c r="BO17074" s="43"/>
    </row>
    <row r="17075" spans="65:67" ht="18.75" customHeight="1">
      <c r="BM17075" s="1025"/>
      <c r="BO17075" s="43"/>
    </row>
    <row r="17076" spans="65:67" ht="18.75" customHeight="1">
      <c r="BM17076" s="1025"/>
      <c r="BO17076" s="43"/>
    </row>
    <row r="17077" spans="65:67" ht="18.75" customHeight="1">
      <c r="BM17077" s="1025"/>
      <c r="BO17077" s="43"/>
    </row>
    <row r="17078" spans="65:67" ht="18.75" customHeight="1">
      <c r="BM17078" s="1025"/>
      <c r="BO17078" s="43"/>
    </row>
    <row r="17079" spans="65:67" ht="18.75" customHeight="1">
      <c r="BM17079" s="1025"/>
      <c r="BO17079" s="43"/>
    </row>
    <row r="17080" spans="65:67" ht="18.75" customHeight="1">
      <c r="BM17080" s="1025"/>
      <c r="BO17080" s="43"/>
    </row>
    <row r="17081" spans="65:67" ht="18.75" customHeight="1">
      <c r="BM17081" s="1025"/>
      <c r="BO17081" s="43"/>
    </row>
    <row r="17082" spans="65:67" ht="18.75" customHeight="1">
      <c r="BM17082" s="1025"/>
      <c r="BO17082" s="43"/>
    </row>
    <row r="17083" spans="65:67" ht="18.75" customHeight="1">
      <c r="BM17083" s="1025"/>
      <c r="BO17083" s="43"/>
    </row>
    <row r="17084" spans="65:67" ht="18.75" customHeight="1">
      <c r="BM17084" s="1025"/>
      <c r="BO17084" s="43"/>
    </row>
    <row r="17085" spans="65:67" ht="18.75" customHeight="1">
      <c r="BM17085" s="1025"/>
      <c r="BO17085" s="43"/>
    </row>
    <row r="17086" spans="65:67" ht="18.75" customHeight="1">
      <c r="BM17086" s="1025"/>
      <c r="BO17086" s="43"/>
    </row>
    <row r="17087" spans="65:67" ht="18.75" customHeight="1">
      <c r="BM17087" s="1025"/>
      <c r="BO17087" s="43"/>
    </row>
    <row r="17088" spans="65:67" ht="18.75" customHeight="1">
      <c r="BM17088" s="1025"/>
      <c r="BO17088" s="43"/>
    </row>
    <row r="17089" spans="65:67" ht="18.75" customHeight="1">
      <c r="BM17089" s="1025"/>
      <c r="BO17089" s="43"/>
    </row>
    <row r="17090" spans="65:67" ht="18.75" customHeight="1">
      <c r="BM17090" s="1025"/>
      <c r="BO17090" s="43"/>
    </row>
    <row r="17091" spans="65:67" ht="18.75" customHeight="1">
      <c r="BM17091" s="1025"/>
      <c r="BO17091" s="43"/>
    </row>
    <row r="17092" spans="65:67" ht="18.75" customHeight="1">
      <c r="BM17092" s="1025"/>
      <c r="BO17092" s="43"/>
    </row>
    <row r="17093" spans="65:67" ht="18.75" customHeight="1">
      <c r="BM17093" s="1025"/>
      <c r="BO17093" s="43"/>
    </row>
    <row r="17094" spans="65:67" ht="18.75" customHeight="1">
      <c r="BM17094" s="1025"/>
      <c r="BO17094" s="43"/>
    </row>
    <row r="17095" spans="65:67" ht="18.75" customHeight="1">
      <c r="BM17095" s="1025"/>
      <c r="BO17095" s="43"/>
    </row>
    <row r="17096" spans="65:67" ht="18.75" customHeight="1">
      <c r="BM17096" s="1025"/>
      <c r="BO17096" s="43"/>
    </row>
    <row r="17097" spans="65:67" ht="18.75" customHeight="1">
      <c r="BM17097" s="1025"/>
      <c r="BO17097" s="43"/>
    </row>
    <row r="17098" spans="65:67" ht="18.75" customHeight="1">
      <c r="BM17098" s="1025"/>
      <c r="BO17098" s="43"/>
    </row>
    <row r="17099" spans="65:67" ht="18.75" customHeight="1">
      <c r="BM17099" s="1025"/>
      <c r="BO17099" s="43"/>
    </row>
    <row r="17100" spans="65:67" ht="18.75" customHeight="1">
      <c r="BM17100" s="1025"/>
      <c r="BO17100" s="43"/>
    </row>
    <row r="17101" spans="65:67" ht="18.75" customHeight="1">
      <c r="BM17101" s="1025"/>
      <c r="BO17101" s="43"/>
    </row>
    <row r="17102" spans="65:67" ht="18.75" customHeight="1">
      <c r="BM17102" s="1025"/>
      <c r="BO17102" s="43"/>
    </row>
    <row r="17103" spans="65:67" ht="18.75" customHeight="1">
      <c r="BM17103" s="1025"/>
      <c r="BO17103" s="43"/>
    </row>
    <row r="17104" spans="65:67" ht="18.75" customHeight="1">
      <c r="BM17104" s="1025"/>
      <c r="BO17104" s="43"/>
    </row>
    <row r="17105" spans="65:67" ht="18.75" customHeight="1">
      <c r="BM17105" s="1025"/>
      <c r="BO17105" s="43"/>
    </row>
    <row r="17106" spans="65:67" ht="18.75" customHeight="1">
      <c r="BM17106" s="1025"/>
      <c r="BO17106" s="43"/>
    </row>
    <row r="17107" spans="65:67" ht="18.75" customHeight="1">
      <c r="BM17107" s="1025"/>
      <c r="BO17107" s="43"/>
    </row>
    <row r="17108" spans="65:67" ht="18.75" customHeight="1">
      <c r="BM17108" s="1025"/>
      <c r="BO17108" s="43"/>
    </row>
    <row r="17109" spans="65:67" ht="18.75" customHeight="1">
      <c r="BM17109" s="1025"/>
      <c r="BO17109" s="43"/>
    </row>
    <row r="17110" spans="65:67" ht="18.75" customHeight="1">
      <c r="BM17110" s="1025"/>
      <c r="BO17110" s="43"/>
    </row>
    <row r="17111" spans="65:67" ht="18.75" customHeight="1">
      <c r="BM17111" s="1025"/>
      <c r="BO17111" s="43"/>
    </row>
    <row r="17112" spans="65:67" ht="18.75" customHeight="1">
      <c r="BM17112" s="1025"/>
      <c r="BO17112" s="43"/>
    </row>
    <row r="17113" spans="65:67" ht="18.75" customHeight="1">
      <c r="BM17113" s="1025"/>
      <c r="BO17113" s="43"/>
    </row>
    <row r="17114" spans="65:67" ht="18.75" customHeight="1">
      <c r="BM17114" s="1025"/>
      <c r="BO17114" s="43"/>
    </row>
    <row r="17115" spans="65:67" ht="18.75" customHeight="1">
      <c r="BM17115" s="1025"/>
      <c r="BO17115" s="43"/>
    </row>
    <row r="17116" spans="65:67" ht="18.75" customHeight="1">
      <c r="BM17116" s="1025"/>
      <c r="BO17116" s="43"/>
    </row>
    <row r="17117" spans="65:67" ht="18.75" customHeight="1">
      <c r="BM17117" s="1025"/>
      <c r="BO17117" s="43"/>
    </row>
    <row r="17118" spans="65:67" ht="18.75" customHeight="1">
      <c r="BM17118" s="1025"/>
      <c r="BO17118" s="43"/>
    </row>
    <row r="17119" spans="65:67" ht="18.75" customHeight="1">
      <c r="BM17119" s="1025"/>
      <c r="BO17119" s="43"/>
    </row>
    <row r="17120" spans="65:67" ht="18.75" customHeight="1">
      <c r="BM17120" s="1025"/>
      <c r="BO17120" s="43"/>
    </row>
    <row r="17121" spans="65:67" ht="18.75" customHeight="1">
      <c r="BM17121" s="1025"/>
      <c r="BO17121" s="43"/>
    </row>
    <row r="17122" spans="65:67" ht="18.75" customHeight="1">
      <c r="BM17122" s="1025"/>
      <c r="BO17122" s="43"/>
    </row>
    <row r="17123" spans="65:67" ht="18.75" customHeight="1">
      <c r="BM17123" s="1025"/>
      <c r="BO17123" s="43"/>
    </row>
    <row r="17124" spans="65:67" ht="18.75" customHeight="1">
      <c r="BM17124" s="1025"/>
      <c r="BO17124" s="43"/>
    </row>
    <row r="17125" spans="65:67" ht="18.75" customHeight="1">
      <c r="BM17125" s="1025"/>
      <c r="BO17125" s="43"/>
    </row>
    <row r="17126" spans="65:67" ht="18.75" customHeight="1">
      <c r="BM17126" s="1025"/>
      <c r="BO17126" s="43"/>
    </row>
    <row r="17127" spans="65:67" ht="18.75" customHeight="1">
      <c r="BM17127" s="1025"/>
      <c r="BO17127" s="43"/>
    </row>
    <row r="17128" spans="65:67" ht="18.75" customHeight="1">
      <c r="BM17128" s="1025"/>
      <c r="BO17128" s="43"/>
    </row>
    <row r="17129" spans="65:67" ht="18.75" customHeight="1">
      <c r="BM17129" s="1025"/>
      <c r="BO17129" s="43"/>
    </row>
    <row r="17130" spans="65:67" ht="18.75" customHeight="1">
      <c r="BM17130" s="1025"/>
      <c r="BO17130" s="43"/>
    </row>
    <row r="17131" spans="65:67" ht="18.75" customHeight="1">
      <c r="BM17131" s="1025"/>
      <c r="BO17131" s="43"/>
    </row>
    <row r="17132" spans="65:67" ht="18.75" customHeight="1">
      <c r="BM17132" s="1025"/>
      <c r="BO17132" s="43"/>
    </row>
    <row r="17133" spans="65:67" ht="18.75" customHeight="1">
      <c r="BM17133" s="1025"/>
      <c r="BO17133" s="43"/>
    </row>
    <row r="17134" spans="65:67" ht="18.75" customHeight="1">
      <c r="BM17134" s="1025"/>
      <c r="BO17134" s="43"/>
    </row>
    <row r="17135" spans="65:67" ht="18.75" customHeight="1">
      <c r="BM17135" s="1025"/>
      <c r="BO17135" s="43"/>
    </row>
    <row r="17136" spans="65:67" ht="18.75" customHeight="1">
      <c r="BM17136" s="1025"/>
      <c r="BO17136" s="43"/>
    </row>
    <row r="17137" spans="65:67" ht="18.75" customHeight="1">
      <c r="BM17137" s="1025"/>
      <c r="BO17137" s="43"/>
    </row>
    <row r="17138" spans="65:67" ht="18.75" customHeight="1">
      <c r="BM17138" s="1025"/>
      <c r="BO17138" s="43"/>
    </row>
    <row r="17139" spans="65:67" ht="18.75" customHeight="1">
      <c r="BM17139" s="1025"/>
      <c r="BO17139" s="43"/>
    </row>
    <row r="17140" spans="65:67" ht="18.75" customHeight="1">
      <c r="BM17140" s="1025"/>
      <c r="BO17140" s="43"/>
    </row>
    <row r="17141" spans="65:67" ht="18.75" customHeight="1">
      <c r="BM17141" s="1025"/>
      <c r="BO17141" s="43"/>
    </row>
    <row r="17142" spans="65:67" ht="18.75" customHeight="1">
      <c r="BM17142" s="1025"/>
      <c r="BO17142" s="43"/>
    </row>
    <row r="17143" spans="65:67" ht="18.75" customHeight="1">
      <c r="BM17143" s="1025"/>
      <c r="BO17143" s="43"/>
    </row>
    <row r="17144" spans="65:67" ht="18.75" customHeight="1">
      <c r="BM17144" s="1025"/>
      <c r="BO17144" s="43"/>
    </row>
    <row r="17145" spans="65:67" ht="18.75" customHeight="1">
      <c r="BM17145" s="1025"/>
      <c r="BO17145" s="43"/>
    </row>
    <row r="17146" spans="65:67" ht="18.75" customHeight="1">
      <c r="BM17146" s="1025"/>
      <c r="BO17146" s="43"/>
    </row>
    <row r="17147" spans="65:67" ht="18.75" customHeight="1">
      <c r="BM17147" s="1025"/>
      <c r="BO17147" s="43"/>
    </row>
    <row r="17148" spans="65:67" ht="18.75" customHeight="1">
      <c r="BM17148" s="1025"/>
      <c r="BO17148" s="43"/>
    </row>
    <row r="17149" spans="65:67" ht="18.75" customHeight="1">
      <c r="BM17149" s="1025"/>
      <c r="BO17149" s="43"/>
    </row>
    <row r="17150" spans="65:67" ht="18.75" customHeight="1">
      <c r="BM17150" s="1025"/>
      <c r="BO17150" s="43"/>
    </row>
    <row r="17151" spans="65:67" ht="18.75" customHeight="1">
      <c r="BM17151" s="1025"/>
      <c r="BO17151" s="43"/>
    </row>
    <row r="17152" spans="65:67" ht="18.75" customHeight="1">
      <c r="BM17152" s="1025"/>
      <c r="BO17152" s="43"/>
    </row>
    <row r="17153" spans="65:67" ht="18.75" customHeight="1">
      <c r="BM17153" s="1025"/>
      <c r="BO17153" s="43"/>
    </row>
    <row r="17154" spans="65:67" ht="18.75" customHeight="1">
      <c r="BM17154" s="1025"/>
      <c r="BO17154" s="43"/>
    </row>
    <row r="17155" spans="65:67" ht="18.75" customHeight="1">
      <c r="BM17155" s="1025"/>
      <c r="BO17155" s="43"/>
    </row>
    <row r="17156" spans="65:67" ht="18.75" customHeight="1">
      <c r="BM17156" s="1025"/>
      <c r="BO17156" s="43"/>
    </row>
    <row r="17157" spans="65:67" ht="18.75" customHeight="1">
      <c r="BM17157" s="1025"/>
      <c r="BO17157" s="43"/>
    </row>
    <row r="17158" spans="65:67" ht="18.75" customHeight="1">
      <c r="BM17158" s="1025"/>
      <c r="BO17158" s="43"/>
    </row>
    <row r="17159" spans="65:67" ht="18.75" customHeight="1">
      <c r="BM17159" s="1025"/>
      <c r="BO17159" s="43"/>
    </row>
    <row r="17160" spans="65:67" ht="18.75" customHeight="1">
      <c r="BM17160" s="1025"/>
      <c r="BO17160" s="43"/>
    </row>
    <row r="17161" spans="65:67" ht="18.75" customHeight="1">
      <c r="BM17161" s="1025"/>
      <c r="BO17161" s="43"/>
    </row>
    <row r="17162" spans="65:67" ht="18.75" customHeight="1">
      <c r="BM17162" s="1025"/>
      <c r="BO17162" s="43"/>
    </row>
    <row r="17163" spans="65:67" ht="18.75" customHeight="1">
      <c r="BM17163" s="1025"/>
      <c r="BO17163" s="43"/>
    </row>
    <row r="17164" spans="65:67" ht="18.75" customHeight="1">
      <c r="BM17164" s="1025"/>
      <c r="BO17164" s="43"/>
    </row>
    <row r="17165" spans="65:67" ht="18.75" customHeight="1">
      <c r="BM17165" s="1025"/>
      <c r="BO17165" s="43"/>
    </row>
    <row r="17166" spans="65:67" ht="18.75" customHeight="1">
      <c r="BM17166" s="1025"/>
      <c r="BO17166" s="43"/>
    </row>
    <row r="17167" spans="65:67" ht="18.75" customHeight="1">
      <c r="BM17167" s="1025"/>
      <c r="BO17167" s="43"/>
    </row>
    <row r="17168" spans="65:67" ht="18.75" customHeight="1">
      <c r="BM17168" s="1025"/>
      <c r="BO17168" s="43"/>
    </row>
    <row r="17169" spans="65:67" ht="18.75" customHeight="1">
      <c r="BM17169" s="1025"/>
      <c r="BO17169" s="43"/>
    </row>
    <row r="17170" spans="65:67" ht="18.75" customHeight="1">
      <c r="BM17170" s="1025"/>
      <c r="BO17170" s="43"/>
    </row>
    <row r="17171" spans="65:67" ht="18.75" customHeight="1">
      <c r="BM17171" s="1025"/>
      <c r="BO17171" s="43"/>
    </row>
    <row r="17172" spans="65:67" ht="18.75" customHeight="1">
      <c r="BM17172" s="1025"/>
      <c r="BO17172" s="43"/>
    </row>
    <row r="17173" spans="65:67" ht="18.75" customHeight="1">
      <c r="BM17173" s="1025"/>
      <c r="BO17173" s="43"/>
    </row>
    <row r="17174" spans="65:67" ht="18.75" customHeight="1">
      <c r="BM17174" s="1025"/>
      <c r="BO17174" s="43"/>
    </row>
    <row r="17175" spans="65:67" ht="18.75" customHeight="1">
      <c r="BM17175" s="1025"/>
      <c r="BO17175" s="43"/>
    </row>
    <row r="17176" spans="65:67" ht="18.75" customHeight="1">
      <c r="BM17176" s="1025"/>
      <c r="BO17176" s="43"/>
    </row>
    <row r="17177" spans="65:67" ht="18.75" customHeight="1">
      <c r="BM17177" s="1025"/>
      <c r="BO17177" s="43"/>
    </row>
    <row r="17178" spans="65:67" ht="18.75" customHeight="1">
      <c r="BM17178" s="1025"/>
      <c r="BO17178" s="43"/>
    </row>
    <row r="17179" spans="65:67" ht="18.75" customHeight="1">
      <c r="BM17179" s="1025"/>
      <c r="BO17179" s="43"/>
    </row>
    <row r="17180" spans="65:67" ht="18.75" customHeight="1">
      <c r="BM17180" s="1025"/>
      <c r="BO17180" s="43"/>
    </row>
    <row r="17181" spans="65:67" ht="18.75" customHeight="1">
      <c r="BM17181" s="1025"/>
      <c r="BO17181" s="43"/>
    </row>
    <row r="17182" spans="65:67" ht="18.75" customHeight="1">
      <c r="BM17182" s="1025"/>
      <c r="BO17182" s="43"/>
    </row>
    <row r="17183" spans="65:67" ht="18.75" customHeight="1">
      <c r="BM17183" s="1025"/>
      <c r="BO17183" s="43"/>
    </row>
    <row r="17184" spans="65:67" ht="18.75" customHeight="1">
      <c r="BM17184" s="1025"/>
      <c r="BO17184" s="43"/>
    </row>
    <row r="17185" spans="65:67" ht="18.75" customHeight="1">
      <c r="BM17185" s="1025"/>
      <c r="BO17185" s="43"/>
    </row>
    <row r="17186" spans="65:67" ht="18.75" customHeight="1">
      <c r="BM17186" s="1025"/>
      <c r="BO17186" s="43"/>
    </row>
    <row r="17187" spans="65:67" ht="18.75" customHeight="1">
      <c r="BM17187" s="1025"/>
      <c r="BO17187" s="43"/>
    </row>
    <row r="17188" spans="65:67" ht="18.75" customHeight="1">
      <c r="BM17188" s="1025"/>
      <c r="BO17188" s="43"/>
    </row>
    <row r="17189" spans="65:67" ht="18.75" customHeight="1">
      <c r="BM17189" s="1025"/>
      <c r="BO17189" s="43"/>
    </row>
    <row r="17190" spans="65:67" ht="18.75" customHeight="1">
      <c r="BM17190" s="1025"/>
      <c r="BO17190" s="43"/>
    </row>
    <row r="17191" spans="65:67" ht="18.75" customHeight="1">
      <c r="BM17191" s="1025"/>
      <c r="BO17191" s="43"/>
    </row>
    <row r="17192" spans="65:67" ht="18.75" customHeight="1">
      <c r="BM17192" s="1025"/>
      <c r="BO17192" s="43"/>
    </row>
    <row r="17193" spans="65:67" ht="18.75" customHeight="1">
      <c r="BM17193" s="1025"/>
      <c r="BO17193" s="43"/>
    </row>
    <row r="17194" spans="65:67" ht="18.75" customHeight="1">
      <c r="BM17194" s="1025"/>
      <c r="BO17194" s="43"/>
    </row>
    <row r="17195" spans="65:67" ht="18.75" customHeight="1">
      <c r="BM17195" s="1025"/>
      <c r="BO17195" s="43"/>
    </row>
    <row r="17196" spans="65:67" ht="18.75" customHeight="1">
      <c r="BM17196" s="1025"/>
      <c r="BO17196" s="43"/>
    </row>
    <row r="17197" spans="65:67" ht="18.75" customHeight="1">
      <c r="BM17197" s="1025"/>
      <c r="BO17197" s="43"/>
    </row>
    <row r="17198" spans="65:67" ht="18.75" customHeight="1">
      <c r="BM17198" s="1025"/>
      <c r="BO17198" s="43"/>
    </row>
    <row r="17199" spans="65:67" ht="18.75" customHeight="1">
      <c r="BM17199" s="1025"/>
      <c r="BO17199" s="43"/>
    </row>
    <row r="17200" spans="65:67" ht="18.75" customHeight="1">
      <c r="BM17200" s="1025"/>
      <c r="BO17200" s="43"/>
    </row>
    <row r="17201" spans="65:67" ht="18.75" customHeight="1">
      <c r="BM17201" s="1025"/>
      <c r="BO17201" s="43"/>
    </row>
    <row r="17202" spans="65:67" ht="18.75" customHeight="1">
      <c r="BM17202" s="1025"/>
      <c r="BO17202" s="43"/>
    </row>
    <row r="17203" spans="65:67" ht="18.75" customHeight="1">
      <c r="BM17203" s="1025"/>
      <c r="BO17203" s="43"/>
    </row>
    <row r="17204" spans="65:67" ht="18.75" customHeight="1">
      <c r="BM17204" s="1025"/>
      <c r="BO17204" s="43"/>
    </row>
    <row r="17205" spans="65:67" ht="18.75" customHeight="1">
      <c r="BM17205" s="1025"/>
      <c r="BO17205" s="43"/>
    </row>
    <row r="17206" spans="65:67" ht="18.75" customHeight="1">
      <c r="BM17206" s="1025"/>
      <c r="BO17206" s="43"/>
    </row>
    <row r="17207" spans="65:67" ht="18.75" customHeight="1">
      <c r="BM17207" s="1025"/>
      <c r="BO17207" s="43"/>
    </row>
    <row r="17208" spans="65:67" ht="18.75" customHeight="1">
      <c r="BM17208" s="1025"/>
      <c r="BO17208" s="43"/>
    </row>
    <row r="17209" spans="65:67" ht="18.75" customHeight="1">
      <c r="BM17209" s="1025"/>
      <c r="BO17209" s="43"/>
    </row>
    <row r="17210" spans="65:67" ht="18.75" customHeight="1">
      <c r="BM17210" s="1025"/>
      <c r="BO17210" s="43"/>
    </row>
    <row r="17211" spans="65:67" ht="18.75" customHeight="1">
      <c r="BM17211" s="1025"/>
      <c r="BO17211" s="43"/>
    </row>
    <row r="17212" spans="65:67" ht="18.75" customHeight="1">
      <c r="BM17212" s="1025"/>
      <c r="BO17212" s="43"/>
    </row>
    <row r="17213" spans="65:67" ht="18.75" customHeight="1">
      <c r="BM17213" s="1025"/>
      <c r="BO17213" s="43"/>
    </row>
    <row r="17214" spans="65:67" ht="18.75" customHeight="1">
      <c r="BM17214" s="1025"/>
      <c r="BO17214" s="43"/>
    </row>
    <row r="17215" spans="65:67" ht="18.75" customHeight="1">
      <c r="BM17215" s="1025"/>
      <c r="BO17215" s="43"/>
    </row>
    <row r="17216" spans="65:67" ht="18.75" customHeight="1">
      <c r="BM17216" s="1025"/>
      <c r="BO17216" s="43"/>
    </row>
    <row r="17217" spans="65:67" ht="18.75" customHeight="1">
      <c r="BM17217" s="1025"/>
      <c r="BO17217" s="43"/>
    </row>
    <row r="17218" spans="65:67" ht="18.75" customHeight="1">
      <c r="BM17218" s="1025"/>
      <c r="BO17218" s="43"/>
    </row>
    <row r="17219" spans="65:67" ht="18.75" customHeight="1">
      <c r="BM17219" s="1025"/>
      <c r="BO17219" s="43"/>
    </row>
    <row r="17220" spans="65:67" ht="18.75" customHeight="1">
      <c r="BM17220" s="1025"/>
      <c r="BO17220" s="43"/>
    </row>
    <row r="17221" spans="65:67" ht="18.75" customHeight="1">
      <c r="BM17221" s="1025"/>
      <c r="BO17221" s="43"/>
    </row>
    <row r="17222" spans="65:67" ht="18.75" customHeight="1">
      <c r="BM17222" s="1025"/>
      <c r="BO17222" s="43"/>
    </row>
    <row r="17223" spans="65:67" ht="18.75" customHeight="1">
      <c r="BM17223" s="1025"/>
      <c r="BO17223" s="43"/>
    </row>
    <row r="17224" spans="65:67" ht="18.75" customHeight="1">
      <c r="BM17224" s="1025"/>
      <c r="BO17224" s="43"/>
    </row>
    <row r="17225" spans="65:67" ht="18.75" customHeight="1">
      <c r="BM17225" s="1025"/>
      <c r="BO17225" s="43"/>
    </row>
    <row r="17226" spans="65:67" ht="18.75" customHeight="1">
      <c r="BM17226" s="1025"/>
      <c r="BO17226" s="43"/>
    </row>
    <row r="17227" spans="65:67" ht="18.75" customHeight="1">
      <c r="BM17227" s="1025"/>
      <c r="BO17227" s="43"/>
    </row>
    <row r="17228" spans="65:67" ht="18.75" customHeight="1">
      <c r="BM17228" s="1025"/>
      <c r="BO17228" s="43"/>
    </row>
    <row r="17229" spans="65:67" ht="18.75" customHeight="1">
      <c r="BM17229" s="1025"/>
      <c r="BO17229" s="43"/>
    </row>
    <row r="17230" spans="65:67" ht="18.75" customHeight="1">
      <c r="BM17230" s="1025"/>
      <c r="BO17230" s="43"/>
    </row>
    <row r="17231" spans="65:67" ht="18.75" customHeight="1">
      <c r="BM17231" s="1025"/>
      <c r="BO17231" s="43"/>
    </row>
    <row r="17232" spans="65:67" ht="18.75" customHeight="1">
      <c r="BM17232" s="1025"/>
      <c r="BO17232" s="43"/>
    </row>
    <row r="17233" spans="65:67" ht="18.75" customHeight="1">
      <c r="BM17233" s="1025"/>
      <c r="BO17233" s="43"/>
    </row>
    <row r="17234" spans="65:67" ht="18.75" customHeight="1">
      <c r="BM17234" s="1025"/>
      <c r="BO17234" s="43"/>
    </row>
    <row r="17235" spans="65:67" ht="18.75" customHeight="1">
      <c r="BM17235" s="1025"/>
      <c r="BO17235" s="43"/>
    </row>
    <row r="17236" spans="65:67" ht="18.75" customHeight="1">
      <c r="BM17236" s="1025"/>
      <c r="BO17236" s="43"/>
    </row>
    <row r="17237" spans="65:67" ht="18.75" customHeight="1">
      <c r="BM17237" s="1025"/>
      <c r="BO17237" s="43"/>
    </row>
    <row r="17238" spans="65:67" ht="18.75" customHeight="1">
      <c r="BM17238" s="1025"/>
      <c r="BO17238" s="43"/>
    </row>
    <row r="17239" spans="65:67" ht="18.75" customHeight="1">
      <c r="BM17239" s="1025"/>
      <c r="BO17239" s="43"/>
    </row>
    <row r="17240" spans="65:67" ht="18.75" customHeight="1">
      <c r="BM17240" s="1025"/>
      <c r="BO17240" s="43"/>
    </row>
    <row r="17241" spans="65:67" ht="18.75" customHeight="1">
      <c r="BM17241" s="1025"/>
      <c r="BO17241" s="43"/>
    </row>
    <row r="17242" spans="65:67" ht="18.75" customHeight="1">
      <c r="BM17242" s="1025"/>
      <c r="BO17242" s="43"/>
    </row>
    <row r="17243" spans="65:67" ht="18.75" customHeight="1">
      <c r="BM17243" s="1025"/>
      <c r="BO17243" s="43"/>
    </row>
    <row r="17244" spans="65:67" ht="18.75" customHeight="1">
      <c r="BM17244" s="1025"/>
      <c r="BO17244" s="43"/>
    </row>
    <row r="17245" spans="65:67" ht="18.75" customHeight="1">
      <c r="BM17245" s="1025"/>
      <c r="BO17245" s="43"/>
    </row>
    <row r="17246" spans="65:67" ht="18.75" customHeight="1">
      <c r="BM17246" s="1025"/>
      <c r="BO17246" s="43"/>
    </row>
    <row r="17247" spans="65:67" ht="18.75" customHeight="1">
      <c r="BM17247" s="1025"/>
      <c r="BO17247" s="43"/>
    </row>
    <row r="17248" spans="65:67" ht="18.75" customHeight="1">
      <c r="BM17248" s="1025"/>
      <c r="BO17248" s="43"/>
    </row>
    <row r="17249" spans="65:67" ht="18.75" customHeight="1">
      <c r="BM17249" s="1025"/>
      <c r="BO17249" s="43"/>
    </row>
    <row r="17250" spans="65:67" ht="18.75" customHeight="1">
      <c r="BM17250" s="1025"/>
      <c r="BO17250" s="43"/>
    </row>
    <row r="17251" spans="65:67" ht="18.75" customHeight="1">
      <c r="BM17251" s="1025"/>
      <c r="BO17251" s="43"/>
    </row>
    <row r="17252" spans="65:67" ht="18.75" customHeight="1">
      <c r="BM17252" s="1025"/>
      <c r="BO17252" s="43"/>
    </row>
    <row r="17253" spans="65:67" ht="18.75" customHeight="1">
      <c r="BM17253" s="1025"/>
      <c r="BO17253" s="43"/>
    </row>
    <row r="17254" spans="65:67" ht="18.75" customHeight="1">
      <c r="BM17254" s="1025"/>
      <c r="BO17254" s="43"/>
    </row>
    <row r="17255" spans="65:67" ht="18.75" customHeight="1">
      <c r="BM17255" s="1025"/>
      <c r="BO17255" s="43"/>
    </row>
    <row r="17256" spans="65:67" ht="18.75" customHeight="1">
      <c r="BM17256" s="1025"/>
      <c r="BO17256" s="43"/>
    </row>
    <row r="17257" spans="65:67" ht="18.75" customHeight="1">
      <c r="BM17257" s="1025"/>
      <c r="BO17257" s="43"/>
    </row>
    <row r="17258" spans="65:67" ht="18.75" customHeight="1">
      <c r="BM17258" s="1025"/>
      <c r="BO17258" s="43"/>
    </row>
    <row r="17259" spans="65:67" ht="18.75" customHeight="1">
      <c r="BM17259" s="1025"/>
      <c r="BO17259" s="43"/>
    </row>
    <row r="17260" spans="65:67" ht="18.75" customHeight="1">
      <c r="BM17260" s="1025"/>
      <c r="BO17260" s="43"/>
    </row>
    <row r="17261" spans="65:67" ht="18.75" customHeight="1">
      <c r="BM17261" s="1025"/>
      <c r="BO17261" s="43"/>
    </row>
    <row r="17262" spans="65:67" ht="18.75" customHeight="1">
      <c r="BM17262" s="1025"/>
      <c r="BO17262" s="43"/>
    </row>
    <row r="17263" spans="65:67" ht="18.75" customHeight="1">
      <c r="BM17263" s="1025"/>
      <c r="BO17263" s="43"/>
    </row>
    <row r="17264" spans="65:67" ht="18.75" customHeight="1">
      <c r="BM17264" s="1025"/>
      <c r="BO17264" s="43"/>
    </row>
    <row r="17265" spans="65:67" ht="18.75" customHeight="1">
      <c r="BM17265" s="1025"/>
      <c r="BO17265" s="43"/>
    </row>
    <row r="17266" spans="65:67" ht="18.75" customHeight="1">
      <c r="BM17266" s="1025"/>
      <c r="BO17266" s="43"/>
    </row>
    <row r="17267" spans="65:67" ht="18.75" customHeight="1">
      <c r="BM17267" s="1025"/>
      <c r="BO17267" s="43"/>
    </row>
    <row r="17268" spans="65:67" ht="18.75" customHeight="1">
      <c r="BM17268" s="1025"/>
      <c r="BO17268" s="43"/>
    </row>
    <row r="17269" spans="65:67" ht="18.75" customHeight="1">
      <c r="BM17269" s="1025"/>
      <c r="BO17269" s="43"/>
    </row>
    <row r="17270" spans="65:67" ht="18.75" customHeight="1">
      <c r="BM17270" s="1025"/>
      <c r="BO17270" s="43"/>
    </row>
    <row r="17271" spans="65:67" ht="18.75" customHeight="1">
      <c r="BM17271" s="1025"/>
      <c r="BO17271" s="43"/>
    </row>
    <row r="17272" spans="65:67" ht="18.75" customHeight="1">
      <c r="BM17272" s="1025"/>
      <c r="BO17272" s="43"/>
    </row>
    <row r="17273" spans="65:67" ht="18.75" customHeight="1">
      <c r="BM17273" s="1025"/>
      <c r="BO17273" s="43"/>
    </row>
    <row r="17274" spans="65:67" ht="18.75" customHeight="1">
      <c r="BM17274" s="1025"/>
      <c r="BO17274" s="43"/>
    </row>
    <row r="17275" spans="65:67" ht="18.75" customHeight="1">
      <c r="BM17275" s="1025"/>
      <c r="BO17275" s="43"/>
    </row>
    <row r="17276" spans="65:67" ht="18.75" customHeight="1">
      <c r="BM17276" s="1025"/>
      <c r="BO17276" s="43"/>
    </row>
    <row r="17277" spans="65:67" ht="18.75" customHeight="1">
      <c r="BM17277" s="1025"/>
      <c r="BO17277" s="43"/>
    </row>
    <row r="17278" spans="65:67" ht="18.75" customHeight="1">
      <c r="BM17278" s="1025"/>
      <c r="BO17278" s="43"/>
    </row>
    <row r="17279" spans="65:67" ht="18.75" customHeight="1">
      <c r="BM17279" s="1025"/>
      <c r="BO17279" s="43"/>
    </row>
    <row r="17280" spans="65:67" ht="18.75" customHeight="1">
      <c r="BM17280" s="1025"/>
      <c r="BO17280" s="43"/>
    </row>
    <row r="17281" spans="65:67" ht="18.75" customHeight="1">
      <c r="BM17281" s="1025"/>
      <c r="BO17281" s="43"/>
    </row>
    <row r="17282" spans="65:67" ht="18.75" customHeight="1">
      <c r="BM17282" s="1025"/>
      <c r="BO17282" s="43"/>
    </row>
    <row r="17283" spans="65:67" ht="18.75" customHeight="1">
      <c r="BM17283" s="1025"/>
      <c r="BO17283" s="43"/>
    </row>
    <row r="17284" spans="65:67" ht="18.75" customHeight="1">
      <c r="BM17284" s="1025"/>
      <c r="BO17284" s="43"/>
    </row>
    <row r="17285" spans="65:67" ht="18.75" customHeight="1">
      <c r="BM17285" s="1025"/>
      <c r="BO17285" s="43"/>
    </row>
    <row r="17286" spans="65:67" ht="18.75" customHeight="1">
      <c r="BM17286" s="1025"/>
      <c r="BO17286" s="43"/>
    </row>
    <row r="17287" spans="65:67" ht="18.75" customHeight="1">
      <c r="BM17287" s="1025"/>
      <c r="BO17287" s="43"/>
    </row>
    <row r="17288" spans="65:67" ht="18.75" customHeight="1">
      <c r="BM17288" s="1025"/>
      <c r="BO17288" s="43"/>
    </row>
    <row r="17289" spans="65:67" ht="18.75" customHeight="1">
      <c r="BM17289" s="1025"/>
      <c r="BO17289" s="43"/>
    </row>
    <row r="17290" spans="65:67" ht="18.75" customHeight="1">
      <c r="BM17290" s="1025"/>
      <c r="BO17290" s="43"/>
    </row>
    <row r="17291" spans="65:67" ht="18.75" customHeight="1">
      <c r="BM17291" s="1025"/>
      <c r="BO17291" s="43"/>
    </row>
    <row r="17292" spans="65:67" ht="18.75" customHeight="1">
      <c r="BM17292" s="1025"/>
      <c r="BO17292" s="43"/>
    </row>
    <row r="17293" spans="65:67" ht="18.75" customHeight="1">
      <c r="BM17293" s="1025"/>
      <c r="BO17293" s="43"/>
    </row>
    <row r="17294" spans="65:67" ht="18.75" customHeight="1">
      <c r="BM17294" s="1025"/>
      <c r="BO17294" s="43"/>
    </row>
    <row r="17295" spans="65:67" ht="18.75" customHeight="1">
      <c r="BM17295" s="1025"/>
      <c r="BO17295" s="43"/>
    </row>
    <row r="17296" spans="65:67" ht="18.75" customHeight="1">
      <c r="BM17296" s="1025"/>
      <c r="BO17296" s="43"/>
    </row>
    <row r="17297" spans="65:67" ht="18.75" customHeight="1">
      <c r="BM17297" s="1025"/>
      <c r="BO17297" s="43"/>
    </row>
    <row r="17298" spans="65:67" ht="18.75" customHeight="1">
      <c r="BM17298" s="1025"/>
      <c r="BO17298" s="43"/>
    </row>
    <row r="17299" spans="65:67" ht="18.75" customHeight="1">
      <c r="BM17299" s="1025"/>
      <c r="BO17299" s="43"/>
    </row>
    <row r="17300" spans="65:67" ht="18.75" customHeight="1">
      <c r="BM17300" s="1025"/>
      <c r="BO17300" s="43"/>
    </row>
    <row r="17301" spans="65:67" ht="18.75" customHeight="1">
      <c r="BM17301" s="1025"/>
      <c r="BO17301" s="43"/>
    </row>
    <row r="17302" spans="65:67" ht="18.75" customHeight="1">
      <c r="BM17302" s="1025"/>
      <c r="BO17302" s="43"/>
    </row>
    <row r="17303" spans="65:67" ht="18.75" customHeight="1">
      <c r="BM17303" s="1025"/>
      <c r="BO17303" s="43"/>
    </row>
    <row r="17304" spans="65:67" ht="18.75" customHeight="1">
      <c r="BM17304" s="1025"/>
      <c r="BO17304" s="43"/>
    </row>
    <row r="17305" spans="65:67" ht="18.75" customHeight="1">
      <c r="BM17305" s="1025"/>
      <c r="BO17305" s="43"/>
    </row>
    <row r="17306" spans="65:67" ht="18.75" customHeight="1">
      <c r="BM17306" s="1025"/>
      <c r="BO17306" s="43"/>
    </row>
    <row r="17307" spans="65:67" ht="18.75" customHeight="1">
      <c r="BM17307" s="1025"/>
      <c r="BO17307" s="43"/>
    </row>
    <row r="17308" spans="65:67" ht="18.75" customHeight="1">
      <c r="BM17308" s="1025"/>
      <c r="BO17308" s="43"/>
    </row>
    <row r="17309" spans="65:67" ht="18.75" customHeight="1">
      <c r="BM17309" s="1025"/>
      <c r="BO17309" s="43"/>
    </row>
    <row r="17310" spans="65:67" ht="18.75" customHeight="1">
      <c r="BM17310" s="1025"/>
      <c r="BO17310" s="43"/>
    </row>
    <row r="17311" spans="65:67" ht="18.75" customHeight="1">
      <c r="BM17311" s="1025"/>
      <c r="BO17311" s="43"/>
    </row>
    <row r="17312" spans="65:67" ht="18.75" customHeight="1">
      <c r="BM17312" s="1025"/>
      <c r="BO17312" s="43"/>
    </row>
    <row r="17313" spans="65:67" ht="18.75" customHeight="1">
      <c r="BM17313" s="1025"/>
      <c r="BO17313" s="43"/>
    </row>
    <row r="17314" spans="65:67" ht="18.75" customHeight="1">
      <c r="BM17314" s="1025"/>
      <c r="BO17314" s="43"/>
    </row>
    <row r="17315" spans="65:67" ht="18.75" customHeight="1">
      <c r="BM17315" s="1025"/>
      <c r="BO17315" s="43"/>
    </row>
    <row r="17316" spans="65:67" ht="18.75" customHeight="1">
      <c r="BM17316" s="1025"/>
      <c r="BO17316" s="43"/>
    </row>
    <row r="17317" spans="65:67" ht="18.75" customHeight="1">
      <c r="BM17317" s="1025"/>
      <c r="BO17317" s="43"/>
    </row>
    <row r="17318" spans="65:67" ht="18.75" customHeight="1">
      <c r="BM17318" s="1025"/>
      <c r="BO17318" s="43"/>
    </row>
    <row r="17319" spans="65:67" ht="18.75" customHeight="1">
      <c r="BM17319" s="1025"/>
      <c r="BO17319" s="43"/>
    </row>
    <row r="17320" spans="65:67" ht="18.75" customHeight="1">
      <c r="BM17320" s="1025"/>
      <c r="BO17320" s="43"/>
    </row>
    <row r="17321" spans="65:67" ht="18.75" customHeight="1">
      <c r="BM17321" s="1025"/>
      <c r="BO17321" s="43"/>
    </row>
    <row r="17322" spans="65:67" ht="18.75" customHeight="1">
      <c r="BM17322" s="1025"/>
      <c r="BO17322" s="43"/>
    </row>
    <row r="17323" spans="65:67" ht="18.75" customHeight="1">
      <c r="BM17323" s="1025"/>
      <c r="BO17323" s="43"/>
    </row>
    <row r="17324" spans="65:67" ht="18.75" customHeight="1">
      <c r="BM17324" s="1025"/>
      <c r="BO17324" s="43"/>
    </row>
    <row r="17325" spans="65:67" ht="18.75" customHeight="1">
      <c r="BM17325" s="1025"/>
      <c r="BO17325" s="43"/>
    </row>
    <row r="17326" spans="65:67" ht="18.75" customHeight="1">
      <c r="BM17326" s="1025"/>
      <c r="BO17326" s="43"/>
    </row>
    <row r="17327" spans="65:67" ht="18.75" customHeight="1">
      <c r="BM17327" s="1025"/>
      <c r="BO17327" s="43"/>
    </row>
    <row r="17328" spans="65:67" ht="18.75" customHeight="1">
      <c r="BM17328" s="1025"/>
      <c r="BO17328" s="43"/>
    </row>
    <row r="17329" spans="65:67" ht="18.75" customHeight="1">
      <c r="BM17329" s="1025"/>
      <c r="BO17329" s="43"/>
    </row>
    <row r="17330" spans="65:67" ht="18.75" customHeight="1">
      <c r="BM17330" s="1025"/>
      <c r="BO17330" s="43"/>
    </row>
    <row r="17331" spans="65:67" ht="18.75" customHeight="1">
      <c r="BM17331" s="1025"/>
      <c r="BO17331" s="43"/>
    </row>
    <row r="17332" spans="65:67" ht="18.75" customHeight="1">
      <c r="BM17332" s="1025"/>
      <c r="BO17332" s="43"/>
    </row>
    <row r="17333" spans="65:67" ht="18.75" customHeight="1">
      <c r="BM17333" s="1025"/>
      <c r="BO17333" s="43"/>
    </row>
    <row r="17334" spans="65:67" ht="18.75" customHeight="1">
      <c r="BM17334" s="1025"/>
      <c r="BO17334" s="43"/>
    </row>
    <row r="17335" spans="65:67" ht="18.75" customHeight="1">
      <c r="BM17335" s="1025"/>
      <c r="BO17335" s="43"/>
    </row>
    <row r="17336" spans="65:67" ht="18.75" customHeight="1">
      <c r="BM17336" s="1025"/>
      <c r="BO17336" s="43"/>
    </row>
    <row r="17337" spans="65:67" ht="18.75" customHeight="1">
      <c r="BM17337" s="1025"/>
      <c r="BO17337" s="43"/>
    </row>
    <row r="17338" spans="65:67" ht="18.75" customHeight="1">
      <c r="BM17338" s="1025"/>
      <c r="BO17338" s="43"/>
    </row>
    <row r="17339" spans="65:67" ht="18.75" customHeight="1">
      <c r="BM17339" s="1025"/>
      <c r="BO17339" s="43"/>
    </row>
    <row r="17340" spans="65:67" ht="18.75" customHeight="1">
      <c r="BM17340" s="1025"/>
      <c r="BO17340" s="43"/>
    </row>
    <row r="17341" spans="65:67" ht="18.75" customHeight="1">
      <c r="BM17341" s="1025"/>
      <c r="BO17341" s="43"/>
    </row>
    <row r="17342" spans="65:67" ht="18.75" customHeight="1">
      <c r="BM17342" s="1025"/>
      <c r="BO17342" s="43"/>
    </row>
    <row r="17343" spans="65:67" ht="18.75" customHeight="1">
      <c r="BM17343" s="1025"/>
      <c r="BO17343" s="43"/>
    </row>
    <row r="17344" spans="65:67" ht="18.75" customHeight="1">
      <c r="BM17344" s="1025"/>
      <c r="BO17344" s="43"/>
    </row>
    <row r="17345" spans="65:67" ht="18.75" customHeight="1">
      <c r="BM17345" s="1025"/>
      <c r="BO17345" s="43"/>
    </row>
    <row r="17346" spans="65:67" ht="18.75" customHeight="1">
      <c r="BM17346" s="1025"/>
      <c r="BO17346" s="43"/>
    </row>
    <row r="17347" spans="65:67" ht="18.75" customHeight="1">
      <c r="BM17347" s="1025"/>
      <c r="BO17347" s="43"/>
    </row>
    <row r="17348" spans="65:67" ht="18.75" customHeight="1">
      <c r="BM17348" s="1025"/>
      <c r="BO17348" s="43"/>
    </row>
    <row r="17349" spans="65:67" ht="18.75" customHeight="1">
      <c r="BM17349" s="1025"/>
      <c r="BO17349" s="43"/>
    </row>
    <row r="17350" spans="65:67" ht="18.75" customHeight="1">
      <c r="BM17350" s="1025"/>
      <c r="BO17350" s="43"/>
    </row>
    <row r="17351" spans="65:67" ht="18.75" customHeight="1">
      <c r="BM17351" s="1025"/>
      <c r="BO17351" s="43"/>
    </row>
    <row r="17352" spans="65:67" ht="18.75" customHeight="1">
      <c r="BM17352" s="1025"/>
      <c r="BO17352" s="43"/>
    </row>
    <row r="17353" spans="65:67" ht="18.75" customHeight="1">
      <c r="BM17353" s="1025"/>
      <c r="BO17353" s="43"/>
    </row>
    <row r="17354" spans="65:67" ht="18.75" customHeight="1">
      <c r="BM17354" s="1025"/>
      <c r="BO17354" s="43"/>
    </row>
    <row r="17355" spans="65:67" ht="18.75" customHeight="1">
      <c r="BM17355" s="1025"/>
      <c r="BO17355" s="43"/>
    </row>
    <row r="17356" spans="65:67" ht="18.75" customHeight="1">
      <c r="BM17356" s="1025"/>
      <c r="BO17356" s="43"/>
    </row>
    <row r="17357" spans="65:67" ht="18.75" customHeight="1">
      <c r="BM17357" s="1025"/>
      <c r="BO17357" s="43"/>
    </row>
    <row r="17358" spans="65:67" ht="18.75" customHeight="1">
      <c r="BM17358" s="1025"/>
      <c r="BO17358" s="43"/>
    </row>
    <row r="17359" spans="65:67" ht="18.75" customHeight="1">
      <c r="BM17359" s="1025"/>
      <c r="BO17359" s="43"/>
    </row>
    <row r="17360" spans="65:67" ht="18.75" customHeight="1">
      <c r="BM17360" s="1025"/>
      <c r="BO17360" s="43"/>
    </row>
    <row r="17361" spans="65:67" ht="18.75" customHeight="1">
      <c r="BM17361" s="1025"/>
      <c r="BO17361" s="43"/>
    </row>
    <row r="17362" spans="65:67" ht="18.75" customHeight="1">
      <c r="BM17362" s="1025"/>
      <c r="BO17362" s="43"/>
    </row>
    <row r="17363" spans="65:67" ht="18.75" customHeight="1">
      <c r="BM17363" s="1025"/>
      <c r="BO17363" s="43"/>
    </row>
    <row r="17364" spans="65:67" ht="18.75" customHeight="1">
      <c r="BM17364" s="1025"/>
      <c r="BO17364" s="43"/>
    </row>
    <row r="17365" spans="65:67" ht="18.75" customHeight="1">
      <c r="BM17365" s="1025"/>
      <c r="BO17365" s="43"/>
    </row>
    <row r="17366" spans="65:67" ht="18.75" customHeight="1">
      <c r="BM17366" s="1025"/>
      <c r="BO17366" s="43"/>
    </row>
    <row r="17367" spans="65:67" ht="18.75" customHeight="1">
      <c r="BM17367" s="1025"/>
      <c r="BO17367" s="43"/>
    </row>
    <row r="17368" spans="65:67" ht="18.75" customHeight="1">
      <c r="BM17368" s="1025"/>
      <c r="BO17368" s="43"/>
    </row>
    <row r="17369" spans="65:67" ht="18.75" customHeight="1">
      <c r="BM17369" s="1025"/>
      <c r="BO17369" s="43"/>
    </row>
    <row r="17370" spans="65:67" ht="18.75" customHeight="1">
      <c r="BM17370" s="1025"/>
      <c r="BO17370" s="43"/>
    </row>
    <row r="17371" spans="65:67" ht="18.75" customHeight="1">
      <c r="BM17371" s="1025"/>
      <c r="BO17371" s="43"/>
    </row>
    <row r="17372" spans="65:67" ht="18.75" customHeight="1">
      <c r="BM17372" s="1025"/>
      <c r="BO17372" s="43"/>
    </row>
    <row r="17373" spans="65:67" ht="18.75" customHeight="1">
      <c r="BM17373" s="1025"/>
      <c r="BO17373" s="43"/>
    </row>
    <row r="17374" spans="65:67" ht="18.75" customHeight="1">
      <c r="BM17374" s="1025"/>
      <c r="BO17374" s="43"/>
    </row>
    <row r="17375" spans="65:67" ht="18.75" customHeight="1">
      <c r="BM17375" s="1025"/>
      <c r="BO17375" s="43"/>
    </row>
    <row r="17376" spans="65:67" ht="18.75" customHeight="1">
      <c r="BM17376" s="1025"/>
      <c r="BO17376" s="43"/>
    </row>
    <row r="17377" spans="65:67" ht="18.75" customHeight="1">
      <c r="BM17377" s="1025"/>
      <c r="BO17377" s="43"/>
    </row>
    <row r="17378" spans="65:67" ht="18.75" customHeight="1">
      <c r="BM17378" s="1025"/>
      <c r="BO17378" s="43"/>
    </row>
    <row r="17379" spans="65:67" ht="18.75" customHeight="1">
      <c r="BM17379" s="1025"/>
      <c r="BO17379" s="43"/>
    </row>
    <row r="17380" spans="65:67" ht="18.75" customHeight="1">
      <c r="BM17380" s="1025"/>
      <c r="BO17380" s="43"/>
    </row>
    <row r="17381" spans="65:67" ht="18.75" customHeight="1">
      <c r="BM17381" s="1025"/>
      <c r="BO17381" s="43"/>
    </row>
    <row r="17382" spans="65:67" ht="18.75" customHeight="1">
      <c r="BM17382" s="1025"/>
      <c r="BO17382" s="43"/>
    </row>
    <row r="17383" spans="65:67" ht="18.75" customHeight="1">
      <c r="BM17383" s="1025"/>
      <c r="BO17383" s="43"/>
    </row>
    <row r="17384" spans="65:67" ht="18.75" customHeight="1">
      <c r="BM17384" s="1025"/>
      <c r="BO17384" s="43"/>
    </row>
    <row r="17385" spans="65:67" ht="18.75" customHeight="1">
      <c r="BM17385" s="1025"/>
      <c r="BO17385" s="43"/>
    </row>
    <row r="17386" spans="65:67" ht="18.75" customHeight="1">
      <c r="BM17386" s="1025"/>
      <c r="BO17386" s="43"/>
    </row>
    <row r="17387" spans="65:67" ht="18.75" customHeight="1">
      <c r="BM17387" s="1025"/>
      <c r="BO17387" s="43"/>
    </row>
    <row r="17388" spans="65:67" ht="18.75" customHeight="1">
      <c r="BM17388" s="1025"/>
      <c r="BO17388" s="43"/>
    </row>
    <row r="17389" spans="65:67" ht="18.75" customHeight="1">
      <c r="BM17389" s="1025"/>
      <c r="BO17389" s="43"/>
    </row>
    <row r="17390" spans="65:67" ht="18.75" customHeight="1">
      <c r="BM17390" s="1025"/>
      <c r="BO17390" s="43"/>
    </row>
    <row r="17391" spans="65:67" ht="18.75" customHeight="1">
      <c r="BM17391" s="1025"/>
      <c r="BO17391" s="43"/>
    </row>
    <row r="17392" spans="65:67" ht="18.75" customHeight="1">
      <c r="BM17392" s="1025"/>
      <c r="BO17392" s="43"/>
    </row>
    <row r="17393" spans="65:67" ht="18.75" customHeight="1">
      <c r="BM17393" s="1025"/>
      <c r="BO17393" s="43"/>
    </row>
    <row r="17394" spans="65:67" ht="18.75" customHeight="1">
      <c r="BM17394" s="1025"/>
      <c r="BO17394" s="43"/>
    </row>
    <row r="17395" spans="65:67" ht="18.75" customHeight="1">
      <c r="BM17395" s="1025"/>
      <c r="BO17395" s="43"/>
    </row>
    <row r="17396" spans="65:67" ht="18.75" customHeight="1">
      <c r="BM17396" s="1025"/>
      <c r="BO17396" s="43"/>
    </row>
    <row r="17397" spans="65:67" ht="18.75" customHeight="1">
      <c r="BM17397" s="1025"/>
      <c r="BO17397" s="43"/>
    </row>
    <row r="17398" spans="65:67" ht="18.75" customHeight="1">
      <c r="BM17398" s="1025"/>
      <c r="BO17398" s="43"/>
    </row>
    <row r="17399" spans="65:67" ht="18.75" customHeight="1">
      <c r="BM17399" s="1025"/>
      <c r="BO17399" s="43"/>
    </row>
    <row r="17400" spans="65:67" ht="18.75" customHeight="1">
      <c r="BM17400" s="1025"/>
      <c r="BO17400" s="43"/>
    </row>
    <row r="17401" spans="65:67" ht="18.75" customHeight="1">
      <c r="BM17401" s="1025"/>
      <c r="BO17401" s="43"/>
    </row>
    <row r="17402" spans="65:67" ht="18.75" customHeight="1">
      <c r="BM17402" s="1025"/>
      <c r="BO17402" s="43"/>
    </row>
    <row r="17403" spans="65:67" ht="18.75" customHeight="1">
      <c r="BM17403" s="1025"/>
      <c r="BO17403" s="43"/>
    </row>
    <row r="17404" spans="65:67" ht="18.75" customHeight="1">
      <c r="BM17404" s="1025"/>
      <c r="BO17404" s="43"/>
    </row>
    <row r="17405" spans="65:67" ht="18.75" customHeight="1">
      <c r="BM17405" s="1025"/>
      <c r="BO17405" s="43"/>
    </row>
    <row r="17406" spans="65:67" ht="18.75" customHeight="1">
      <c r="BM17406" s="1025"/>
      <c r="BO17406" s="43"/>
    </row>
    <row r="17407" spans="65:67" ht="18.75" customHeight="1">
      <c r="BM17407" s="1025"/>
      <c r="BO17407" s="43"/>
    </row>
    <row r="17408" spans="65:67" ht="18.75" customHeight="1">
      <c r="BM17408" s="1025"/>
      <c r="BO17408" s="43"/>
    </row>
    <row r="17409" spans="65:67" ht="18.75" customHeight="1">
      <c r="BM17409" s="1025"/>
      <c r="BO17409" s="43"/>
    </row>
    <row r="17410" spans="65:67" ht="18.75" customHeight="1">
      <c r="BM17410" s="1025"/>
      <c r="BO17410" s="43"/>
    </row>
    <row r="17411" spans="65:67" ht="18.75" customHeight="1">
      <c r="BM17411" s="1025"/>
      <c r="BO17411" s="43"/>
    </row>
    <row r="17412" spans="65:67" ht="18.75" customHeight="1">
      <c r="BM17412" s="1025"/>
      <c r="BO17412" s="43"/>
    </row>
    <row r="17413" spans="65:67" ht="18.75" customHeight="1">
      <c r="BM17413" s="1025"/>
      <c r="BO17413" s="43"/>
    </row>
    <row r="17414" spans="65:67" ht="18.75" customHeight="1">
      <c r="BM17414" s="1025"/>
      <c r="BO17414" s="43"/>
    </row>
    <row r="17415" spans="65:67" ht="18.75" customHeight="1">
      <c r="BM17415" s="1025"/>
      <c r="BO17415" s="43"/>
    </row>
    <row r="17416" spans="65:67" ht="18.75" customHeight="1">
      <c r="BM17416" s="1025"/>
      <c r="BO17416" s="43"/>
    </row>
    <row r="17417" spans="65:67" ht="18.75" customHeight="1">
      <c r="BM17417" s="1025"/>
      <c r="BO17417" s="43"/>
    </row>
    <row r="17418" spans="65:67" ht="18.75" customHeight="1">
      <c r="BM17418" s="1025"/>
      <c r="BO17418" s="43"/>
    </row>
    <row r="17419" spans="65:67" ht="18.75" customHeight="1">
      <c r="BM17419" s="1025"/>
      <c r="BO17419" s="43"/>
    </row>
    <row r="17420" spans="65:67" ht="18.75" customHeight="1">
      <c r="BM17420" s="1025"/>
      <c r="BO17420" s="43"/>
    </row>
    <row r="17421" spans="65:67" ht="18.75" customHeight="1">
      <c r="BM17421" s="1025"/>
      <c r="BO17421" s="43"/>
    </row>
    <row r="17422" spans="65:67" ht="18.75" customHeight="1">
      <c r="BM17422" s="1025"/>
      <c r="BO17422" s="43"/>
    </row>
    <row r="17423" spans="65:67" ht="18.75" customHeight="1">
      <c r="BM17423" s="1025"/>
      <c r="BO17423" s="43"/>
    </row>
    <row r="17424" spans="65:67" ht="18.75" customHeight="1">
      <c r="BM17424" s="1025"/>
      <c r="BO17424" s="43"/>
    </row>
    <row r="17425" spans="65:67" ht="18.75" customHeight="1">
      <c r="BM17425" s="1025"/>
      <c r="BO17425" s="43"/>
    </row>
    <row r="17426" spans="65:67" ht="18.75" customHeight="1">
      <c r="BM17426" s="1025"/>
      <c r="BO17426" s="43"/>
    </row>
    <row r="17427" spans="65:67" ht="18.75" customHeight="1">
      <c r="BM17427" s="1025"/>
      <c r="BO17427" s="43"/>
    </row>
    <row r="17428" spans="65:67" ht="18.75" customHeight="1">
      <c r="BM17428" s="1025"/>
      <c r="BO17428" s="43"/>
    </row>
    <row r="17429" spans="65:67" ht="18.75" customHeight="1">
      <c r="BM17429" s="1025"/>
      <c r="BO17429" s="43"/>
    </row>
    <row r="17430" spans="65:67" ht="18.75" customHeight="1">
      <c r="BM17430" s="1025"/>
      <c r="BO17430" s="43"/>
    </row>
    <row r="17431" spans="65:67" ht="18.75" customHeight="1">
      <c r="BM17431" s="1025"/>
      <c r="BO17431" s="43"/>
    </row>
    <row r="17432" spans="65:67" ht="18.75" customHeight="1">
      <c r="BM17432" s="1025"/>
      <c r="BO17432" s="43"/>
    </row>
    <row r="17433" spans="65:67" ht="18.75" customHeight="1">
      <c r="BM17433" s="1025"/>
      <c r="BO17433" s="43"/>
    </row>
    <row r="17434" spans="65:67" ht="18.75" customHeight="1">
      <c r="BM17434" s="1025"/>
      <c r="BO17434" s="43"/>
    </row>
    <row r="17435" spans="65:67" ht="18.75" customHeight="1">
      <c r="BM17435" s="1025"/>
      <c r="BO17435" s="43"/>
    </row>
    <row r="17436" spans="65:67" ht="18.75" customHeight="1">
      <c r="BM17436" s="1025"/>
      <c r="BO17436" s="43"/>
    </row>
    <row r="17437" spans="65:67" ht="18.75" customHeight="1">
      <c r="BM17437" s="1025"/>
      <c r="BO17437" s="43"/>
    </row>
    <row r="17438" spans="65:67" ht="18.75" customHeight="1">
      <c r="BM17438" s="1025"/>
      <c r="BO17438" s="43"/>
    </row>
    <row r="17439" spans="65:67" ht="18.75" customHeight="1">
      <c r="BM17439" s="1025"/>
      <c r="BO17439" s="43"/>
    </row>
    <row r="17440" spans="65:67" ht="18.75" customHeight="1">
      <c r="BM17440" s="1025"/>
      <c r="BO17440" s="43"/>
    </row>
    <row r="17441" spans="65:67" ht="18.75" customHeight="1">
      <c r="BM17441" s="1025"/>
      <c r="BO17441" s="43"/>
    </row>
    <row r="17442" spans="65:67" ht="18.75" customHeight="1">
      <c r="BM17442" s="1025"/>
      <c r="BO17442" s="43"/>
    </row>
    <row r="17443" spans="65:67" ht="18.75" customHeight="1">
      <c r="BM17443" s="1025"/>
      <c r="BO17443" s="43"/>
    </row>
    <row r="17444" spans="65:67" ht="18.75" customHeight="1">
      <c r="BM17444" s="1025"/>
      <c r="BO17444" s="43"/>
    </row>
    <row r="17445" spans="65:67" ht="18.75" customHeight="1">
      <c r="BM17445" s="1025"/>
      <c r="BO17445" s="43"/>
    </row>
    <row r="17446" spans="65:67" ht="18.75" customHeight="1">
      <c r="BM17446" s="1025"/>
      <c r="BO17446" s="43"/>
    </row>
    <row r="17447" spans="65:67" ht="18.75" customHeight="1">
      <c r="BM17447" s="1025"/>
      <c r="BO17447" s="43"/>
    </row>
    <row r="17448" spans="65:67" ht="18.75" customHeight="1">
      <c r="BM17448" s="1025"/>
      <c r="BO17448" s="43"/>
    </row>
    <row r="17449" spans="65:67" ht="18.75" customHeight="1">
      <c r="BM17449" s="1025"/>
      <c r="BO17449" s="43"/>
    </row>
    <row r="17450" spans="65:67" ht="18.75" customHeight="1">
      <c r="BM17450" s="1025"/>
      <c r="BO17450" s="43"/>
    </row>
    <row r="17451" spans="65:67" ht="18.75" customHeight="1">
      <c r="BM17451" s="1025"/>
      <c r="BO17451" s="43"/>
    </row>
    <row r="17452" spans="65:67" ht="18.75" customHeight="1">
      <c r="BM17452" s="1025"/>
      <c r="BO17452" s="43"/>
    </row>
    <row r="17453" spans="65:67" ht="18.75" customHeight="1">
      <c r="BM17453" s="1025"/>
      <c r="BO17453" s="43"/>
    </row>
    <row r="17454" spans="65:67" ht="18.75" customHeight="1">
      <c r="BM17454" s="1025"/>
      <c r="BO17454" s="43"/>
    </row>
    <row r="17455" spans="65:67" ht="18.75" customHeight="1">
      <c r="BM17455" s="1025"/>
      <c r="BO17455" s="43"/>
    </row>
    <row r="17456" spans="65:67" ht="18.75" customHeight="1">
      <c r="BM17456" s="1025"/>
      <c r="BO17456" s="43"/>
    </row>
    <row r="17457" spans="65:67" ht="18.75" customHeight="1">
      <c r="BM17457" s="1025"/>
      <c r="BO17457" s="43"/>
    </row>
    <row r="17458" spans="65:67" ht="18.75" customHeight="1">
      <c r="BM17458" s="1025"/>
      <c r="BO17458" s="43"/>
    </row>
    <row r="17459" spans="65:67" ht="18.75" customHeight="1">
      <c r="BM17459" s="1025"/>
      <c r="BO17459" s="43"/>
    </row>
    <row r="17460" spans="65:67" ht="18.75" customHeight="1">
      <c r="BM17460" s="1025"/>
      <c r="BO17460" s="43"/>
    </row>
    <row r="17461" spans="65:67" ht="18.75" customHeight="1">
      <c r="BM17461" s="1025"/>
      <c r="BO17461" s="43"/>
    </row>
    <row r="17462" spans="65:67" ht="18.75" customHeight="1">
      <c r="BM17462" s="1025"/>
      <c r="BO17462" s="43"/>
    </row>
    <row r="17463" spans="65:67" ht="18.75" customHeight="1">
      <c r="BM17463" s="1025"/>
      <c r="BO17463" s="43"/>
    </row>
    <row r="17464" spans="65:67" ht="18.75" customHeight="1">
      <c r="BM17464" s="1025"/>
      <c r="BO17464" s="43"/>
    </row>
    <row r="17465" spans="65:67" ht="18.75" customHeight="1">
      <c r="BM17465" s="1025"/>
      <c r="BO17465" s="43"/>
    </row>
    <row r="17466" spans="65:67" ht="18.75" customHeight="1">
      <c r="BM17466" s="1025"/>
      <c r="BO17466" s="43"/>
    </row>
    <row r="17467" spans="65:67" ht="18.75" customHeight="1">
      <c r="BM17467" s="1025"/>
      <c r="BO17467" s="43"/>
    </row>
    <row r="17468" spans="65:67" ht="18.75" customHeight="1">
      <c r="BM17468" s="1025"/>
      <c r="BO17468" s="43"/>
    </row>
    <row r="17469" spans="65:67" ht="18.75" customHeight="1">
      <c r="BM17469" s="1025"/>
      <c r="BO17469" s="43"/>
    </row>
    <row r="17470" spans="65:67" ht="18.75" customHeight="1">
      <c r="BM17470" s="1025"/>
      <c r="BO17470" s="43"/>
    </row>
    <row r="17471" spans="65:67" ht="18.75" customHeight="1">
      <c r="BM17471" s="1025"/>
      <c r="BO17471" s="43"/>
    </row>
    <row r="17472" spans="65:67" ht="18.75" customHeight="1">
      <c r="BM17472" s="1025"/>
      <c r="BO17472" s="43"/>
    </row>
    <row r="17473" spans="65:67" ht="18.75" customHeight="1">
      <c r="BM17473" s="1025"/>
      <c r="BO17473" s="43"/>
    </row>
    <row r="17474" spans="65:67" ht="18.75" customHeight="1">
      <c r="BM17474" s="1025"/>
      <c r="BO17474" s="43"/>
    </row>
    <row r="17475" spans="65:67" ht="18.75" customHeight="1">
      <c r="BM17475" s="1025"/>
      <c r="BO17475" s="43"/>
    </row>
    <row r="17476" spans="65:67" ht="18.75" customHeight="1">
      <c r="BM17476" s="1025"/>
      <c r="BO17476" s="43"/>
    </row>
    <row r="17477" spans="65:67" ht="18.75" customHeight="1">
      <c r="BM17477" s="1025"/>
      <c r="BO17477" s="43"/>
    </row>
    <row r="17478" spans="65:67" ht="18.75" customHeight="1">
      <c r="BM17478" s="1025"/>
      <c r="BO17478" s="43"/>
    </row>
    <row r="17479" spans="65:67" ht="18.75" customHeight="1">
      <c r="BM17479" s="1025"/>
      <c r="BO17479" s="43"/>
    </row>
    <row r="17480" spans="65:67" ht="18.75" customHeight="1">
      <c r="BM17480" s="1025"/>
      <c r="BO17480" s="43"/>
    </row>
    <row r="17481" spans="65:67" ht="18.75" customHeight="1">
      <c r="BM17481" s="1025"/>
      <c r="BO17481" s="43"/>
    </row>
    <row r="17482" spans="65:67" ht="18.75" customHeight="1">
      <c r="BM17482" s="1025"/>
      <c r="BO17482" s="43"/>
    </row>
    <row r="17483" spans="65:67" ht="18.75" customHeight="1">
      <c r="BM17483" s="1025"/>
      <c r="BO17483" s="43"/>
    </row>
    <row r="17484" spans="65:67" ht="18.75" customHeight="1">
      <c r="BM17484" s="1025"/>
      <c r="BO17484" s="43"/>
    </row>
    <row r="17485" spans="65:67" ht="18.75" customHeight="1">
      <c r="BM17485" s="1025"/>
      <c r="BO17485" s="43"/>
    </row>
    <row r="17486" spans="65:67" ht="18.75" customHeight="1">
      <c r="BM17486" s="1025"/>
      <c r="BO17486" s="43"/>
    </row>
    <row r="17487" spans="65:67" ht="18.75" customHeight="1">
      <c r="BM17487" s="1025"/>
      <c r="BO17487" s="43"/>
    </row>
    <row r="17488" spans="65:67" ht="18.75" customHeight="1">
      <c r="BM17488" s="1025"/>
      <c r="BO17488" s="43"/>
    </row>
    <row r="17489" spans="65:67" ht="18.75" customHeight="1">
      <c r="BM17489" s="1025"/>
      <c r="BO17489" s="43"/>
    </row>
    <row r="17490" spans="65:67" ht="18.75" customHeight="1">
      <c r="BM17490" s="1025"/>
      <c r="BO17490" s="43"/>
    </row>
    <row r="17491" spans="65:67" ht="18.75" customHeight="1">
      <c r="BM17491" s="1025"/>
      <c r="BO17491" s="43"/>
    </row>
    <row r="17492" spans="65:67" ht="18.75" customHeight="1">
      <c r="BM17492" s="1025"/>
      <c r="BO17492" s="43"/>
    </row>
    <row r="17493" spans="65:67" ht="18.75" customHeight="1">
      <c r="BM17493" s="1025"/>
      <c r="BO17493" s="43"/>
    </row>
    <row r="17494" spans="65:67" ht="18.75" customHeight="1">
      <c r="BM17494" s="1025"/>
      <c r="BO17494" s="43"/>
    </row>
    <row r="17495" spans="65:67" ht="18.75" customHeight="1">
      <c r="BM17495" s="1025"/>
      <c r="BO17495" s="43"/>
    </row>
    <row r="17496" spans="65:67" ht="18.75" customHeight="1">
      <c r="BM17496" s="1025"/>
      <c r="BO17496" s="43"/>
    </row>
    <row r="17497" spans="65:67" ht="18.75" customHeight="1">
      <c r="BM17497" s="1025"/>
      <c r="BO17497" s="43"/>
    </row>
    <row r="17498" spans="65:67" ht="18.75" customHeight="1">
      <c r="BM17498" s="1025"/>
      <c r="BO17498" s="43"/>
    </row>
    <row r="17499" spans="65:67" ht="18.75" customHeight="1">
      <c r="BM17499" s="1025"/>
      <c r="BO17499" s="43"/>
    </row>
    <row r="17500" spans="65:67" ht="18.75" customHeight="1">
      <c r="BM17500" s="1025"/>
      <c r="BO17500" s="43"/>
    </row>
    <row r="17501" spans="65:67" ht="18.75" customHeight="1">
      <c r="BM17501" s="1025"/>
      <c r="BO17501" s="43"/>
    </row>
    <row r="17502" spans="65:67" ht="18.75" customHeight="1">
      <c r="BM17502" s="1025"/>
      <c r="BO17502" s="43"/>
    </row>
    <row r="17503" spans="65:67" ht="18.75" customHeight="1">
      <c r="BM17503" s="1025"/>
      <c r="BO17503" s="43"/>
    </row>
    <row r="17504" spans="65:67" ht="18.75" customHeight="1">
      <c r="BM17504" s="1025"/>
      <c r="BO17504" s="43"/>
    </row>
    <row r="17505" spans="65:67" ht="18.75" customHeight="1">
      <c r="BM17505" s="1025"/>
      <c r="BO17505" s="43"/>
    </row>
    <row r="17506" spans="65:67" ht="18.75" customHeight="1">
      <c r="BM17506" s="1025"/>
      <c r="BO17506" s="43"/>
    </row>
    <row r="17507" spans="65:67" ht="18.75" customHeight="1">
      <c r="BM17507" s="1025"/>
      <c r="BO17507" s="43"/>
    </row>
    <row r="17508" spans="65:67" ht="18.75" customHeight="1">
      <c r="BM17508" s="1025"/>
      <c r="BO17508" s="43"/>
    </row>
    <row r="17509" spans="65:67" ht="18.75" customHeight="1">
      <c r="BM17509" s="1025"/>
      <c r="BO17509" s="43"/>
    </row>
    <row r="17510" spans="65:67" ht="18.75" customHeight="1">
      <c r="BM17510" s="1025"/>
      <c r="BO17510" s="43"/>
    </row>
    <row r="17511" spans="65:67" ht="18.75" customHeight="1">
      <c r="BM17511" s="1025"/>
      <c r="BO17511" s="43"/>
    </row>
    <row r="17512" spans="65:67" ht="18.75" customHeight="1">
      <c r="BM17512" s="1025"/>
      <c r="BO17512" s="43"/>
    </row>
    <row r="17513" spans="65:67" ht="18.75" customHeight="1">
      <c r="BM17513" s="1025"/>
      <c r="BO17513" s="43"/>
    </row>
    <row r="17514" spans="65:67" ht="18.75" customHeight="1">
      <c r="BM17514" s="1025"/>
      <c r="BO17514" s="43"/>
    </row>
    <row r="17515" spans="65:67" ht="18.75" customHeight="1">
      <c r="BM17515" s="1025"/>
      <c r="BO17515" s="43"/>
    </row>
    <row r="17516" spans="65:67" ht="18.75" customHeight="1">
      <c r="BM17516" s="1025"/>
      <c r="BO17516" s="43"/>
    </row>
    <row r="17517" spans="65:67" ht="18.75" customHeight="1">
      <c r="BM17517" s="1025"/>
      <c r="BO17517" s="43"/>
    </row>
    <row r="17518" spans="65:67" ht="18.75" customHeight="1">
      <c r="BM17518" s="1025"/>
      <c r="BO17518" s="43"/>
    </row>
    <row r="17519" spans="65:67" ht="18.75" customHeight="1">
      <c r="BM17519" s="1025"/>
      <c r="BO17519" s="43"/>
    </row>
    <row r="17520" spans="65:67" ht="18.75" customHeight="1">
      <c r="BM17520" s="1025"/>
      <c r="BO17520" s="43"/>
    </row>
    <row r="17521" spans="65:67" ht="18.75" customHeight="1">
      <c r="BM17521" s="1025"/>
      <c r="BO17521" s="43"/>
    </row>
    <row r="17522" spans="65:67" ht="18.75" customHeight="1">
      <c r="BM17522" s="1025"/>
      <c r="BO17522" s="43"/>
    </row>
    <row r="17523" spans="65:67" ht="18.75" customHeight="1">
      <c r="BM17523" s="1025"/>
      <c r="BO17523" s="43"/>
    </row>
    <row r="17524" spans="65:67" ht="18.75" customHeight="1">
      <c r="BM17524" s="1025"/>
      <c r="BO17524" s="43"/>
    </row>
    <row r="17525" spans="65:67" ht="18.75" customHeight="1">
      <c r="BM17525" s="1025"/>
      <c r="BO17525" s="43"/>
    </row>
    <row r="17526" spans="65:67" ht="18.75" customHeight="1">
      <c r="BM17526" s="1025"/>
      <c r="BO17526" s="43"/>
    </row>
    <row r="17527" spans="65:67" ht="18.75" customHeight="1">
      <c r="BM17527" s="1025"/>
      <c r="BO17527" s="43"/>
    </row>
    <row r="17528" spans="65:67" ht="18.75" customHeight="1">
      <c r="BM17528" s="1025"/>
      <c r="BO17528" s="43"/>
    </row>
    <row r="17529" spans="65:67" ht="18.75" customHeight="1">
      <c r="BM17529" s="1025"/>
      <c r="BO17529" s="43"/>
    </row>
    <row r="17530" spans="65:67" ht="18.75" customHeight="1">
      <c r="BM17530" s="1025"/>
      <c r="BO17530" s="43"/>
    </row>
    <row r="17531" spans="65:67" ht="18.75" customHeight="1">
      <c r="BM17531" s="1025"/>
      <c r="BO17531" s="43"/>
    </row>
    <row r="17532" spans="65:67" ht="18.75" customHeight="1">
      <c r="BM17532" s="1025"/>
      <c r="BO17532" s="43"/>
    </row>
    <row r="17533" spans="65:67" ht="18.75" customHeight="1">
      <c r="BM17533" s="1025"/>
      <c r="BO17533" s="43"/>
    </row>
    <row r="17534" spans="65:67" ht="18.75" customHeight="1">
      <c r="BM17534" s="1025"/>
      <c r="BO17534" s="43"/>
    </row>
    <row r="17535" spans="65:67" ht="18.75" customHeight="1">
      <c r="BM17535" s="1025"/>
      <c r="BO17535" s="43"/>
    </row>
    <row r="17536" spans="65:67" ht="18.75" customHeight="1">
      <c r="BM17536" s="1025"/>
      <c r="BO17536" s="43"/>
    </row>
    <row r="17537" spans="65:67" ht="18.75" customHeight="1">
      <c r="BM17537" s="1025"/>
      <c r="BO17537" s="43"/>
    </row>
    <row r="17538" spans="65:67" ht="18.75" customHeight="1">
      <c r="BM17538" s="1025"/>
      <c r="BO17538" s="43"/>
    </row>
    <row r="17539" spans="65:67" ht="18.75" customHeight="1">
      <c r="BM17539" s="1025"/>
      <c r="BO17539" s="43"/>
    </row>
    <row r="17540" spans="65:67" ht="18.75" customHeight="1">
      <c r="BM17540" s="1025"/>
      <c r="BO17540" s="43"/>
    </row>
    <row r="17541" spans="65:67" ht="18.75" customHeight="1">
      <c r="BM17541" s="1025"/>
      <c r="BO17541" s="43"/>
    </row>
    <row r="17542" spans="65:67" ht="18.75" customHeight="1">
      <c r="BM17542" s="1025"/>
      <c r="BO17542" s="43"/>
    </row>
    <row r="17543" spans="65:67" ht="18.75" customHeight="1">
      <c r="BM17543" s="1025"/>
      <c r="BO17543" s="43"/>
    </row>
    <row r="17544" spans="65:67" ht="18.75" customHeight="1">
      <c r="BM17544" s="1025"/>
      <c r="BO17544" s="43"/>
    </row>
    <row r="17545" spans="65:67" ht="18.75" customHeight="1">
      <c r="BM17545" s="1025"/>
      <c r="BO17545" s="43"/>
    </row>
    <row r="17546" spans="65:67" ht="18.75" customHeight="1">
      <c r="BM17546" s="1025"/>
      <c r="BO17546" s="43"/>
    </row>
    <row r="17547" spans="65:67" ht="18.75" customHeight="1">
      <c r="BM17547" s="1025"/>
      <c r="BO17547" s="43"/>
    </row>
    <row r="17548" spans="65:67" ht="18.75" customHeight="1">
      <c r="BM17548" s="1025"/>
      <c r="BO17548" s="43"/>
    </row>
    <row r="17549" spans="65:67" ht="18.75" customHeight="1">
      <c r="BM17549" s="1025"/>
      <c r="BO17549" s="43"/>
    </row>
    <row r="17550" spans="65:67" ht="18.75" customHeight="1">
      <c r="BM17550" s="1025"/>
      <c r="BO17550" s="43"/>
    </row>
    <row r="17551" spans="65:67" ht="18.75" customHeight="1">
      <c r="BM17551" s="1025"/>
      <c r="BO17551" s="43"/>
    </row>
    <row r="17552" spans="65:67" ht="18.75" customHeight="1">
      <c r="BM17552" s="1025"/>
      <c r="BO17552" s="43"/>
    </row>
    <row r="17553" spans="65:67" ht="18.75" customHeight="1">
      <c r="BM17553" s="1025"/>
      <c r="BO17553" s="43"/>
    </row>
    <row r="17554" spans="65:67" ht="18.75" customHeight="1">
      <c r="BM17554" s="1025"/>
      <c r="BO17554" s="43"/>
    </row>
    <row r="17555" spans="65:67" ht="18.75" customHeight="1">
      <c r="BM17555" s="1025"/>
      <c r="BO17555" s="43"/>
    </row>
    <row r="17556" spans="65:67" ht="18.75" customHeight="1">
      <c r="BM17556" s="1025"/>
      <c r="BO17556" s="43"/>
    </row>
    <row r="17557" spans="65:67" ht="18.75" customHeight="1">
      <c r="BM17557" s="1025"/>
      <c r="BO17557" s="43"/>
    </row>
    <row r="17558" spans="65:67" ht="18.75" customHeight="1">
      <c r="BM17558" s="1025"/>
      <c r="BO17558" s="43"/>
    </row>
    <row r="17559" spans="65:67" ht="18.75" customHeight="1">
      <c r="BM17559" s="1025"/>
      <c r="BO17559" s="43"/>
    </row>
    <row r="17560" spans="65:67" ht="18.75" customHeight="1">
      <c r="BM17560" s="1025"/>
      <c r="BO17560" s="43"/>
    </row>
    <row r="17561" spans="65:67" ht="18.75" customHeight="1">
      <c r="BM17561" s="1025"/>
      <c r="BO17561" s="43"/>
    </row>
    <row r="17562" spans="65:67" ht="18.75" customHeight="1">
      <c r="BM17562" s="1025"/>
      <c r="BO17562" s="43"/>
    </row>
    <row r="17563" spans="65:67" ht="18.75" customHeight="1">
      <c r="BM17563" s="1025"/>
      <c r="BO17563" s="43"/>
    </row>
    <row r="17564" spans="65:67" ht="18.75" customHeight="1">
      <c r="BM17564" s="1025"/>
      <c r="BO17564" s="43"/>
    </row>
    <row r="17565" spans="65:67" ht="18.75" customHeight="1">
      <c r="BM17565" s="1025"/>
      <c r="BO17565" s="43"/>
    </row>
    <row r="17566" spans="65:67" ht="18.75" customHeight="1">
      <c r="BM17566" s="1025"/>
      <c r="BO17566" s="43"/>
    </row>
    <row r="17567" spans="65:67" ht="18.75" customHeight="1">
      <c r="BM17567" s="1025"/>
      <c r="BO17567" s="43"/>
    </row>
    <row r="17568" spans="65:67" ht="18.75" customHeight="1">
      <c r="BM17568" s="1025"/>
      <c r="BO17568" s="43"/>
    </row>
    <row r="17569" spans="65:67" ht="18.75" customHeight="1">
      <c r="BM17569" s="1025"/>
      <c r="BO17569" s="43"/>
    </row>
    <row r="17570" spans="65:67" ht="18.75" customHeight="1">
      <c r="BM17570" s="1025"/>
      <c r="BO17570" s="43"/>
    </row>
    <row r="17571" spans="65:67" ht="18.75" customHeight="1">
      <c r="BM17571" s="1025"/>
      <c r="BO17571" s="43"/>
    </row>
    <row r="17572" spans="65:67" ht="18.75" customHeight="1">
      <c r="BM17572" s="1025"/>
      <c r="BO17572" s="43"/>
    </row>
    <row r="17573" spans="65:67" ht="18.75" customHeight="1">
      <c r="BM17573" s="1025"/>
      <c r="BO17573" s="43"/>
    </row>
    <row r="17574" spans="65:67" ht="18.75" customHeight="1">
      <c r="BM17574" s="1025"/>
      <c r="BO17574" s="43"/>
    </row>
    <row r="17575" spans="65:67" ht="18.75" customHeight="1">
      <c r="BM17575" s="1025"/>
      <c r="BO17575" s="43"/>
    </row>
    <row r="17576" spans="65:67" ht="18.75" customHeight="1">
      <c r="BM17576" s="1025"/>
      <c r="BO17576" s="43"/>
    </row>
    <row r="17577" spans="65:67" ht="18.75" customHeight="1">
      <c r="BM17577" s="1025"/>
      <c r="BO17577" s="43"/>
    </row>
    <row r="17578" spans="65:67" ht="18.75" customHeight="1">
      <c r="BM17578" s="1025"/>
      <c r="BO17578" s="43"/>
    </row>
    <row r="17579" spans="65:67" ht="18.75" customHeight="1">
      <c r="BM17579" s="1025"/>
      <c r="BO17579" s="43"/>
    </row>
    <row r="17580" spans="65:67" ht="18.75" customHeight="1">
      <c r="BM17580" s="1025"/>
      <c r="BO17580" s="43"/>
    </row>
    <row r="17581" spans="65:67" ht="18.75" customHeight="1">
      <c r="BM17581" s="1025"/>
      <c r="BO17581" s="43"/>
    </row>
    <row r="17582" spans="65:67" ht="18.75" customHeight="1">
      <c r="BM17582" s="1025"/>
      <c r="BO17582" s="43"/>
    </row>
    <row r="17583" spans="65:67" ht="18.75" customHeight="1">
      <c r="BM17583" s="1025"/>
      <c r="BO17583" s="43"/>
    </row>
    <row r="17584" spans="65:67" ht="18.75" customHeight="1">
      <c r="BM17584" s="1025"/>
      <c r="BO17584" s="43"/>
    </row>
    <row r="17585" spans="65:67" ht="18.75" customHeight="1">
      <c r="BM17585" s="1025"/>
      <c r="BO17585" s="43"/>
    </row>
    <row r="17586" spans="65:67" ht="18.75" customHeight="1">
      <c r="BM17586" s="1025"/>
      <c r="BO17586" s="43"/>
    </row>
    <row r="17587" spans="65:67" ht="18.75" customHeight="1">
      <c r="BM17587" s="1025"/>
      <c r="BO17587" s="43"/>
    </row>
    <row r="17588" spans="65:67" ht="18.75" customHeight="1">
      <c r="BM17588" s="1025"/>
      <c r="BO17588" s="43"/>
    </row>
    <row r="17589" spans="65:67" ht="18.75" customHeight="1">
      <c r="BM17589" s="1025"/>
      <c r="BO17589" s="43"/>
    </row>
    <row r="17590" spans="65:67" ht="18.75" customHeight="1">
      <c r="BM17590" s="1025"/>
      <c r="BO17590" s="43"/>
    </row>
    <row r="17591" spans="65:67" ht="18.75" customHeight="1">
      <c r="BM17591" s="1025"/>
      <c r="BO17591" s="43"/>
    </row>
    <row r="17592" spans="65:67" ht="18.75" customHeight="1">
      <c r="BM17592" s="1025"/>
      <c r="BO17592" s="43"/>
    </row>
    <row r="17593" spans="65:67" ht="18.75" customHeight="1">
      <c r="BM17593" s="1025"/>
      <c r="BO17593" s="43"/>
    </row>
    <row r="17594" spans="65:67" ht="18.75" customHeight="1">
      <c r="BM17594" s="1025"/>
      <c r="BO17594" s="43"/>
    </row>
    <row r="17595" spans="65:67" ht="18.75" customHeight="1">
      <c r="BM17595" s="1025"/>
      <c r="BO17595" s="43"/>
    </row>
    <row r="17596" spans="65:67" ht="18.75" customHeight="1">
      <c r="BM17596" s="1025"/>
      <c r="BO17596" s="43"/>
    </row>
    <row r="17597" spans="65:67" ht="18.75" customHeight="1">
      <c r="BM17597" s="1025"/>
      <c r="BO17597" s="43"/>
    </row>
    <row r="17598" spans="65:67" ht="18.75" customHeight="1">
      <c r="BM17598" s="1025"/>
      <c r="BO17598" s="43"/>
    </row>
    <row r="17599" spans="65:67" ht="18.75" customHeight="1">
      <c r="BM17599" s="1025"/>
      <c r="BO17599" s="43"/>
    </row>
    <row r="17600" spans="65:67" ht="18.75" customHeight="1">
      <c r="BM17600" s="1025"/>
      <c r="BO17600" s="43"/>
    </row>
    <row r="17601" spans="65:67" ht="18.75" customHeight="1">
      <c r="BM17601" s="1025"/>
      <c r="BO17601" s="43"/>
    </row>
    <row r="17602" spans="65:67" ht="18.75" customHeight="1">
      <c r="BM17602" s="1025"/>
      <c r="BO17602" s="43"/>
    </row>
    <row r="17603" spans="65:67" ht="18.75" customHeight="1">
      <c r="BM17603" s="1025"/>
      <c r="BO17603" s="43"/>
    </row>
    <row r="17604" spans="65:67" ht="18.75" customHeight="1">
      <c r="BM17604" s="1025"/>
      <c r="BO17604" s="43"/>
    </row>
    <row r="17605" spans="65:67" ht="18.75" customHeight="1">
      <c r="BM17605" s="1025"/>
      <c r="BO17605" s="43"/>
    </row>
    <row r="17606" spans="65:67" ht="18.75" customHeight="1">
      <c r="BM17606" s="1025"/>
      <c r="BO17606" s="43"/>
    </row>
    <row r="17607" spans="65:67" ht="18.75" customHeight="1">
      <c r="BM17607" s="1025"/>
      <c r="BO17607" s="43"/>
    </row>
    <row r="17608" spans="65:67" ht="18.75" customHeight="1">
      <c r="BM17608" s="1025"/>
      <c r="BO17608" s="43"/>
    </row>
    <row r="17609" spans="65:67" ht="18.75" customHeight="1">
      <c r="BM17609" s="1025"/>
      <c r="BO17609" s="43"/>
    </row>
    <row r="17610" spans="65:67" ht="18.75" customHeight="1">
      <c r="BM17610" s="1025"/>
      <c r="BO17610" s="43"/>
    </row>
    <row r="17611" spans="65:67" ht="18.75" customHeight="1">
      <c r="BM17611" s="1025"/>
      <c r="BO17611" s="43"/>
    </row>
    <row r="17612" spans="65:67" ht="18.75" customHeight="1">
      <c r="BM17612" s="1025"/>
      <c r="BO17612" s="43"/>
    </row>
    <row r="17613" spans="65:67" ht="18.75" customHeight="1">
      <c r="BM17613" s="1025"/>
      <c r="BO17613" s="43"/>
    </row>
    <row r="17614" spans="65:67" ht="18.75" customHeight="1">
      <c r="BM17614" s="1025"/>
      <c r="BO17614" s="43"/>
    </row>
    <row r="17615" spans="65:67" ht="18.75" customHeight="1">
      <c r="BM17615" s="1025"/>
      <c r="BO17615" s="43"/>
    </row>
    <row r="17616" spans="65:67" ht="18.75" customHeight="1">
      <c r="BM17616" s="1025"/>
      <c r="BO17616" s="43"/>
    </row>
    <row r="17617" spans="65:67" ht="18.75" customHeight="1">
      <c r="BM17617" s="1025"/>
      <c r="BO17617" s="43"/>
    </row>
    <row r="17618" spans="65:67" ht="18.75" customHeight="1">
      <c r="BM17618" s="1025"/>
      <c r="BO17618" s="43"/>
    </row>
    <row r="17619" spans="65:67" ht="18.75" customHeight="1">
      <c r="BM17619" s="1025"/>
      <c r="BO17619" s="43"/>
    </row>
    <row r="17620" spans="65:67" ht="18.75" customHeight="1">
      <c r="BM17620" s="1025"/>
      <c r="BO17620" s="43"/>
    </row>
    <row r="17621" spans="65:67" ht="18.75" customHeight="1">
      <c r="BM17621" s="1025"/>
      <c r="BO17621" s="43"/>
    </row>
    <row r="17622" spans="65:67" ht="18.75" customHeight="1">
      <c r="BM17622" s="1025"/>
      <c r="BO17622" s="43"/>
    </row>
    <row r="17623" spans="65:67" ht="18.75" customHeight="1">
      <c r="BM17623" s="1025"/>
      <c r="BO17623" s="43"/>
    </row>
    <row r="17624" spans="65:67" ht="18.75" customHeight="1">
      <c r="BM17624" s="1025"/>
      <c r="BO17624" s="43"/>
    </row>
    <row r="17625" spans="65:67" ht="18.75" customHeight="1">
      <c r="BM17625" s="1025"/>
      <c r="BO17625" s="43"/>
    </row>
    <row r="17626" spans="65:67" ht="18.75" customHeight="1">
      <c r="BM17626" s="1025"/>
      <c r="BO17626" s="43"/>
    </row>
    <row r="17627" spans="65:67" ht="18.75" customHeight="1">
      <c r="BM17627" s="1025"/>
      <c r="BO17627" s="43"/>
    </row>
    <row r="17628" spans="65:67" ht="18.75" customHeight="1">
      <c r="BM17628" s="1025"/>
      <c r="BO17628" s="43"/>
    </row>
    <row r="17629" spans="65:67" ht="18.75" customHeight="1">
      <c r="BM17629" s="1025"/>
      <c r="BO17629" s="43"/>
    </row>
    <row r="17630" spans="65:67" ht="18.75" customHeight="1">
      <c r="BM17630" s="1025"/>
      <c r="BO17630" s="43"/>
    </row>
    <row r="17631" spans="65:67" ht="18.75" customHeight="1">
      <c r="BM17631" s="1025"/>
      <c r="BO17631" s="43"/>
    </row>
    <row r="17632" spans="65:67" ht="18.75" customHeight="1">
      <c r="BM17632" s="1025"/>
      <c r="BO17632" s="43"/>
    </row>
    <row r="17633" spans="65:67" ht="18.75" customHeight="1">
      <c r="BM17633" s="1025"/>
      <c r="BO17633" s="43"/>
    </row>
    <row r="17634" spans="65:67" ht="18.75" customHeight="1">
      <c r="BM17634" s="1025"/>
      <c r="BO17634" s="43"/>
    </row>
    <row r="17635" spans="65:67" ht="18.75" customHeight="1">
      <c r="BM17635" s="1025"/>
      <c r="BO17635" s="43"/>
    </row>
    <row r="17636" spans="65:67" ht="18.75" customHeight="1">
      <c r="BM17636" s="1025"/>
      <c r="BO17636" s="43"/>
    </row>
    <row r="17637" spans="65:67" ht="18.75" customHeight="1">
      <c r="BM17637" s="1025"/>
      <c r="BO17637" s="43"/>
    </row>
    <row r="17638" spans="65:67" ht="18.75" customHeight="1">
      <c r="BM17638" s="1025"/>
      <c r="BO17638" s="43"/>
    </row>
    <row r="17639" spans="65:67" ht="18.75" customHeight="1">
      <c r="BM17639" s="1025"/>
      <c r="BO17639" s="43"/>
    </row>
    <row r="17640" spans="65:67" ht="18.75" customHeight="1">
      <c r="BM17640" s="1025"/>
      <c r="BO17640" s="43"/>
    </row>
    <row r="17641" spans="65:67" ht="18.75" customHeight="1">
      <c r="BM17641" s="1025"/>
      <c r="BO17641" s="43"/>
    </row>
    <row r="17642" spans="65:67" ht="18.75" customHeight="1">
      <c r="BM17642" s="1025"/>
      <c r="BO17642" s="43"/>
    </row>
    <row r="17643" spans="65:67" ht="18.75" customHeight="1">
      <c r="BM17643" s="1025"/>
      <c r="BO17643" s="43"/>
    </row>
    <row r="17644" spans="65:67" ht="18.75" customHeight="1">
      <c r="BM17644" s="1025"/>
      <c r="BO17644" s="43"/>
    </row>
    <row r="17645" spans="65:67" ht="18.75" customHeight="1">
      <c r="BM17645" s="1025"/>
      <c r="BO17645" s="43"/>
    </row>
    <row r="17646" spans="65:67" ht="18.75" customHeight="1">
      <c r="BM17646" s="1025"/>
      <c r="BO17646" s="43"/>
    </row>
    <row r="17647" spans="65:67" ht="18.75" customHeight="1">
      <c r="BM17647" s="1025"/>
      <c r="BO17647" s="43"/>
    </row>
    <row r="17648" spans="65:67" ht="18.75" customHeight="1">
      <c r="BM17648" s="1025"/>
      <c r="BO17648" s="43"/>
    </row>
    <row r="17649" spans="65:67" ht="18.75" customHeight="1">
      <c r="BM17649" s="1025"/>
      <c r="BO17649" s="43"/>
    </row>
    <row r="17650" spans="65:67" ht="18.75" customHeight="1">
      <c r="BM17650" s="1025"/>
      <c r="BO17650" s="43"/>
    </row>
    <row r="17651" spans="65:67" ht="18.75" customHeight="1">
      <c r="BM17651" s="1025"/>
      <c r="BO17651" s="43"/>
    </row>
    <row r="17652" spans="65:67" ht="18.75" customHeight="1">
      <c r="BM17652" s="1025"/>
      <c r="BO17652" s="43"/>
    </row>
    <row r="17653" spans="65:67" ht="18.75" customHeight="1">
      <c r="BM17653" s="1025"/>
      <c r="BO17653" s="43"/>
    </row>
    <row r="17654" spans="65:67" ht="18.75" customHeight="1">
      <c r="BM17654" s="1025"/>
      <c r="BO17654" s="43"/>
    </row>
    <row r="17655" spans="65:67" ht="18.75" customHeight="1">
      <c r="BM17655" s="1025"/>
      <c r="BO17655" s="43"/>
    </row>
    <row r="17656" spans="65:67" ht="18.75" customHeight="1">
      <c r="BM17656" s="1025"/>
      <c r="BO17656" s="43"/>
    </row>
    <row r="17657" spans="65:67" ht="18.75" customHeight="1">
      <c r="BM17657" s="1025"/>
      <c r="BO17657" s="43"/>
    </row>
    <row r="17658" spans="65:67" ht="18.75" customHeight="1">
      <c r="BM17658" s="1025"/>
      <c r="BO17658" s="43"/>
    </row>
    <row r="17659" spans="65:67" ht="18.75" customHeight="1">
      <c r="BM17659" s="1025"/>
      <c r="BO17659" s="43"/>
    </row>
    <row r="17660" spans="65:67" ht="18.75" customHeight="1">
      <c r="BM17660" s="1025"/>
      <c r="BO17660" s="43"/>
    </row>
    <row r="17661" spans="65:67" ht="18.75" customHeight="1">
      <c r="BM17661" s="1025"/>
      <c r="BO17661" s="43"/>
    </row>
    <row r="17662" spans="65:67" ht="18.75" customHeight="1">
      <c r="BM17662" s="1025"/>
      <c r="BO17662" s="43"/>
    </row>
    <row r="17663" spans="65:67" ht="18.75" customHeight="1">
      <c r="BM17663" s="1025"/>
      <c r="BO17663" s="43"/>
    </row>
    <row r="17664" spans="65:67" ht="18.75" customHeight="1">
      <c r="BM17664" s="1025"/>
      <c r="BO17664" s="43"/>
    </row>
    <row r="17665" spans="65:67" ht="18.75" customHeight="1">
      <c r="BM17665" s="1025"/>
      <c r="BO17665" s="43"/>
    </row>
    <row r="17666" spans="65:67" ht="18.75" customHeight="1">
      <c r="BM17666" s="1025"/>
      <c r="BO17666" s="43"/>
    </row>
    <row r="17667" spans="65:67" ht="18.75" customHeight="1">
      <c r="BM17667" s="1025"/>
      <c r="BO17667" s="43"/>
    </row>
    <row r="17668" spans="65:67" ht="18.75" customHeight="1">
      <c r="BM17668" s="1025"/>
      <c r="BO17668" s="43"/>
    </row>
    <row r="17669" spans="65:67" ht="18.75" customHeight="1">
      <c r="BM17669" s="1025"/>
      <c r="BO17669" s="43"/>
    </row>
    <row r="17670" spans="65:67" ht="18.75" customHeight="1">
      <c r="BM17670" s="1025"/>
      <c r="BO17670" s="43"/>
    </row>
    <row r="17671" spans="65:67" ht="18.75" customHeight="1">
      <c r="BM17671" s="1025"/>
      <c r="BO17671" s="43"/>
    </row>
    <row r="17672" spans="65:67" ht="18.75" customHeight="1">
      <c r="BM17672" s="1025"/>
      <c r="BO17672" s="43"/>
    </row>
    <row r="17673" spans="65:67" ht="18.75" customHeight="1">
      <c r="BM17673" s="1025"/>
      <c r="BO17673" s="43"/>
    </row>
    <row r="17674" spans="65:67" ht="18.75" customHeight="1">
      <c r="BM17674" s="1025"/>
      <c r="BO17674" s="43"/>
    </row>
    <row r="17675" spans="65:67" ht="18.75" customHeight="1">
      <c r="BM17675" s="1025"/>
      <c r="BO17675" s="43"/>
    </row>
    <row r="17676" spans="65:67" ht="18.75" customHeight="1">
      <c r="BM17676" s="1025"/>
      <c r="BO17676" s="43"/>
    </row>
    <row r="17677" spans="65:67" ht="18.75" customHeight="1">
      <c r="BM17677" s="1025"/>
      <c r="BO17677" s="43"/>
    </row>
    <row r="17678" spans="65:67" ht="18.75" customHeight="1">
      <c r="BM17678" s="1025"/>
      <c r="BO17678" s="43"/>
    </row>
    <row r="17679" spans="65:67" ht="18.75" customHeight="1">
      <c r="BM17679" s="1025"/>
      <c r="BO17679" s="43"/>
    </row>
    <row r="17680" spans="65:67" ht="18.75" customHeight="1">
      <c r="BM17680" s="1025"/>
      <c r="BO17680" s="43"/>
    </row>
    <row r="17681" spans="65:67" ht="18.75" customHeight="1">
      <c r="BM17681" s="1025"/>
      <c r="BO17681" s="43"/>
    </row>
    <row r="17682" spans="65:67" ht="18.75" customHeight="1">
      <c r="BM17682" s="1025"/>
      <c r="BO17682" s="43"/>
    </row>
    <row r="17683" spans="65:67" ht="18.75" customHeight="1">
      <c r="BM17683" s="1025"/>
      <c r="BO17683" s="43"/>
    </row>
    <row r="17684" spans="65:67" ht="18.75" customHeight="1">
      <c r="BM17684" s="1025"/>
      <c r="BO17684" s="43"/>
    </row>
    <row r="17685" spans="65:67" ht="18.75" customHeight="1">
      <c r="BM17685" s="1025"/>
      <c r="BO17685" s="43"/>
    </row>
    <row r="17686" spans="65:67" ht="18.75" customHeight="1">
      <c r="BM17686" s="1025"/>
      <c r="BO17686" s="43"/>
    </row>
    <row r="17687" spans="65:67" ht="18.75" customHeight="1">
      <c r="BM17687" s="1025"/>
      <c r="BO17687" s="43"/>
    </row>
    <row r="17688" spans="65:67" ht="18.75" customHeight="1">
      <c r="BM17688" s="1025"/>
      <c r="BO17688" s="43"/>
    </row>
    <row r="17689" spans="65:67" ht="18.75" customHeight="1">
      <c r="BM17689" s="1025"/>
      <c r="BO17689" s="43"/>
    </row>
    <row r="17690" spans="65:67" ht="18.75" customHeight="1">
      <c r="BM17690" s="1025"/>
      <c r="BO17690" s="43"/>
    </row>
    <row r="17691" spans="65:67" ht="18.75" customHeight="1">
      <c r="BM17691" s="1025"/>
      <c r="BO17691" s="43"/>
    </row>
    <row r="17692" spans="65:67" ht="18.75" customHeight="1">
      <c r="BM17692" s="1025"/>
      <c r="BO17692" s="43"/>
    </row>
    <row r="17693" spans="65:67" ht="18.75" customHeight="1">
      <c r="BM17693" s="1025"/>
      <c r="BO17693" s="43"/>
    </row>
    <row r="17694" spans="65:67" ht="18.75" customHeight="1">
      <c r="BM17694" s="1025"/>
      <c r="BO17694" s="43"/>
    </row>
    <row r="17695" spans="65:67" ht="18.75" customHeight="1">
      <c r="BM17695" s="1025"/>
      <c r="BO17695" s="43"/>
    </row>
    <row r="17696" spans="65:67" ht="18.75" customHeight="1">
      <c r="BM17696" s="1025"/>
      <c r="BO17696" s="43"/>
    </row>
    <row r="17697" spans="65:67" ht="18.75" customHeight="1">
      <c r="BM17697" s="1025"/>
      <c r="BO17697" s="43"/>
    </row>
    <row r="17698" spans="65:67" ht="18.75" customHeight="1">
      <c r="BM17698" s="1025"/>
      <c r="BO17698" s="43"/>
    </row>
    <row r="17699" spans="65:67" ht="18.75" customHeight="1">
      <c r="BM17699" s="1025"/>
      <c r="BO17699" s="43"/>
    </row>
    <row r="17700" spans="65:67" ht="18.75" customHeight="1">
      <c r="BM17700" s="1025"/>
      <c r="BO17700" s="43"/>
    </row>
    <row r="17701" spans="65:67" ht="18.75" customHeight="1">
      <c r="BM17701" s="1025"/>
      <c r="BO17701" s="43"/>
    </row>
    <row r="17702" spans="65:67" ht="18.75" customHeight="1">
      <c r="BM17702" s="1025"/>
      <c r="BO17702" s="43"/>
    </row>
    <row r="17703" spans="65:67" ht="18.75" customHeight="1">
      <c r="BM17703" s="1025"/>
      <c r="BO17703" s="43"/>
    </row>
    <row r="17704" spans="65:67" ht="18.75" customHeight="1">
      <c r="BM17704" s="1025"/>
      <c r="BO17704" s="43"/>
    </row>
    <row r="17705" spans="65:67" ht="18.75" customHeight="1">
      <c r="BM17705" s="1025"/>
      <c r="BO17705" s="43"/>
    </row>
    <row r="17706" spans="65:67" ht="18.75" customHeight="1">
      <c r="BM17706" s="1025"/>
      <c r="BO17706" s="43"/>
    </row>
    <row r="17707" spans="65:67" ht="18.75" customHeight="1">
      <c r="BM17707" s="1025"/>
      <c r="BO17707" s="43"/>
    </row>
    <row r="17708" spans="65:67" ht="18.75" customHeight="1">
      <c r="BM17708" s="1025"/>
      <c r="BO17708" s="43"/>
    </row>
    <row r="17709" spans="65:67" ht="18.75" customHeight="1">
      <c r="BM17709" s="1025"/>
      <c r="BO17709" s="43"/>
    </row>
    <row r="17710" spans="65:67" ht="18.75" customHeight="1">
      <c r="BM17710" s="1025"/>
      <c r="BO17710" s="43"/>
    </row>
    <row r="17711" spans="65:67" ht="18.75" customHeight="1">
      <c r="BM17711" s="1025"/>
      <c r="BO17711" s="43"/>
    </row>
    <row r="17712" spans="65:67" ht="18.75" customHeight="1">
      <c r="BM17712" s="1025"/>
      <c r="BO17712" s="43"/>
    </row>
    <row r="17713" spans="65:67" ht="18.75" customHeight="1">
      <c r="BM17713" s="1025"/>
      <c r="BO17713" s="43"/>
    </row>
    <row r="17714" spans="65:67" ht="18.75" customHeight="1">
      <c r="BM17714" s="1025"/>
      <c r="BO17714" s="43"/>
    </row>
    <row r="17715" spans="65:67" ht="18.75" customHeight="1">
      <c r="BM17715" s="1025"/>
      <c r="BO17715" s="43"/>
    </row>
    <row r="17716" spans="65:67" ht="18.75" customHeight="1">
      <c r="BM17716" s="1025"/>
      <c r="BO17716" s="43"/>
    </row>
    <row r="17717" spans="65:67" ht="18.75" customHeight="1">
      <c r="BM17717" s="1025"/>
      <c r="BO17717" s="43"/>
    </row>
    <row r="17718" spans="65:67" ht="18.75" customHeight="1">
      <c r="BM17718" s="1025"/>
      <c r="BO17718" s="43"/>
    </row>
    <row r="17719" spans="65:67" ht="18.75" customHeight="1">
      <c r="BM17719" s="1025"/>
      <c r="BO17719" s="43"/>
    </row>
    <row r="17720" spans="65:67" ht="18.75" customHeight="1">
      <c r="BM17720" s="1025"/>
      <c r="BO17720" s="43"/>
    </row>
    <row r="17721" spans="65:67" ht="18.75" customHeight="1">
      <c r="BM17721" s="1025"/>
      <c r="BO17721" s="43"/>
    </row>
    <row r="17722" spans="65:67" ht="18.75" customHeight="1">
      <c r="BM17722" s="1025"/>
      <c r="BO17722" s="43"/>
    </row>
    <row r="17723" spans="65:67" ht="18.75" customHeight="1">
      <c r="BM17723" s="1025"/>
      <c r="BO17723" s="43"/>
    </row>
    <row r="17724" spans="65:67" ht="18.75" customHeight="1">
      <c r="BM17724" s="1025"/>
      <c r="BO17724" s="43"/>
    </row>
    <row r="17725" spans="65:67" ht="18.75" customHeight="1">
      <c r="BM17725" s="1025"/>
      <c r="BO17725" s="43"/>
    </row>
    <row r="17726" spans="65:67" ht="18.75" customHeight="1">
      <c r="BM17726" s="1025"/>
      <c r="BO17726" s="43"/>
    </row>
    <row r="17727" spans="65:67" ht="18.75" customHeight="1">
      <c r="BM17727" s="1025"/>
      <c r="BO17727" s="43"/>
    </row>
    <row r="17728" spans="65:67" ht="18.75" customHeight="1">
      <c r="BM17728" s="1025"/>
      <c r="BO17728" s="43"/>
    </row>
    <row r="17729" spans="65:67" ht="18.75" customHeight="1">
      <c r="BM17729" s="1025"/>
      <c r="BO17729" s="43"/>
    </row>
    <row r="17730" spans="65:67" ht="18.75" customHeight="1">
      <c r="BM17730" s="1025"/>
      <c r="BO17730" s="43"/>
    </row>
    <row r="17731" spans="65:67" ht="18.75" customHeight="1">
      <c r="BM17731" s="1025"/>
      <c r="BO17731" s="43"/>
    </row>
    <row r="17732" spans="65:67" ht="18.75" customHeight="1">
      <c r="BM17732" s="1025"/>
      <c r="BO17732" s="43"/>
    </row>
    <row r="17733" spans="65:67" ht="18.75" customHeight="1">
      <c r="BM17733" s="1025"/>
      <c r="BO17733" s="43"/>
    </row>
    <row r="17734" spans="65:67" ht="18.75" customHeight="1">
      <c r="BM17734" s="1025"/>
      <c r="BO17734" s="43"/>
    </row>
    <row r="17735" spans="65:67" ht="18.75" customHeight="1">
      <c r="BM17735" s="1025"/>
      <c r="BO17735" s="43"/>
    </row>
    <row r="17736" spans="65:67" ht="18.75" customHeight="1">
      <c r="BM17736" s="1025"/>
      <c r="BO17736" s="43"/>
    </row>
    <row r="17737" spans="65:67" ht="18.75" customHeight="1">
      <c r="BM17737" s="1025"/>
      <c r="BO17737" s="43"/>
    </row>
    <row r="17738" spans="65:67" ht="18.75" customHeight="1">
      <c r="BM17738" s="1025"/>
      <c r="BO17738" s="43"/>
    </row>
    <row r="17739" spans="65:67" ht="18.75" customHeight="1">
      <c r="BM17739" s="1025"/>
      <c r="BO17739" s="43"/>
    </row>
    <row r="17740" spans="65:67" ht="18.75" customHeight="1">
      <c r="BM17740" s="1025"/>
      <c r="BO17740" s="43"/>
    </row>
    <row r="17741" spans="65:67" ht="18.75" customHeight="1">
      <c r="BM17741" s="1025"/>
      <c r="BO17741" s="43"/>
    </row>
    <row r="17742" spans="65:67" ht="18.75" customHeight="1">
      <c r="BM17742" s="1025"/>
      <c r="BO17742" s="43"/>
    </row>
    <row r="17743" spans="65:67" ht="18.75" customHeight="1">
      <c r="BM17743" s="1025"/>
      <c r="BO17743" s="43"/>
    </row>
    <row r="17744" spans="65:67" ht="18.75" customHeight="1">
      <c r="BM17744" s="1025"/>
      <c r="BO17744" s="43"/>
    </row>
    <row r="17745" spans="65:67" ht="18.75" customHeight="1">
      <c r="BM17745" s="1025"/>
      <c r="BO17745" s="43"/>
    </row>
    <row r="17746" spans="65:67" ht="18.75" customHeight="1">
      <c r="BM17746" s="1025"/>
      <c r="BO17746" s="43"/>
    </row>
    <row r="17747" spans="65:67" ht="18.75" customHeight="1">
      <c r="BM17747" s="1025"/>
      <c r="BO17747" s="43"/>
    </row>
    <row r="17748" spans="65:67" ht="18.75" customHeight="1">
      <c r="BM17748" s="1025"/>
      <c r="BO17748" s="43"/>
    </row>
    <row r="17749" spans="65:67" ht="18.75" customHeight="1">
      <c r="BM17749" s="1025"/>
      <c r="BO17749" s="43"/>
    </row>
    <row r="17750" spans="65:67" ht="18.75" customHeight="1">
      <c r="BM17750" s="1025"/>
      <c r="BO17750" s="43"/>
    </row>
    <row r="17751" spans="65:67" ht="18.75" customHeight="1">
      <c r="BM17751" s="1025"/>
      <c r="BO17751" s="43"/>
    </row>
    <row r="17752" spans="65:67" ht="18.75" customHeight="1">
      <c r="BM17752" s="1025"/>
      <c r="BO17752" s="43"/>
    </row>
    <row r="17753" spans="65:67" ht="18.75" customHeight="1">
      <c r="BM17753" s="1025"/>
      <c r="BO17753" s="43"/>
    </row>
    <row r="17754" spans="65:67" ht="18.75" customHeight="1">
      <c r="BM17754" s="1025"/>
      <c r="BO17754" s="43"/>
    </row>
    <row r="17755" spans="65:67" ht="18.75" customHeight="1">
      <c r="BM17755" s="1025"/>
      <c r="BO17755" s="43"/>
    </row>
    <row r="17756" spans="65:67" ht="18.75" customHeight="1">
      <c r="BM17756" s="1025"/>
      <c r="BO17756" s="43"/>
    </row>
    <row r="17757" spans="65:67" ht="18.75" customHeight="1">
      <c r="BM17757" s="1025"/>
      <c r="BO17757" s="43"/>
    </row>
    <row r="17758" spans="65:67" ht="18.75" customHeight="1">
      <c r="BM17758" s="1025"/>
      <c r="BO17758" s="43"/>
    </row>
    <row r="17759" spans="65:67" ht="18.75" customHeight="1">
      <c r="BM17759" s="1025"/>
      <c r="BO17759" s="43"/>
    </row>
    <row r="17760" spans="65:67" ht="18.75" customHeight="1">
      <c r="BM17760" s="1025"/>
      <c r="BO17760" s="43"/>
    </row>
    <row r="17761" spans="65:67" ht="18.75" customHeight="1">
      <c r="BM17761" s="1025"/>
      <c r="BO17761" s="43"/>
    </row>
    <row r="17762" spans="65:67" ht="18.75" customHeight="1">
      <c r="BM17762" s="1025"/>
      <c r="BO17762" s="43"/>
    </row>
    <row r="17763" spans="65:67" ht="18.75" customHeight="1">
      <c r="BM17763" s="1025"/>
      <c r="BO17763" s="43"/>
    </row>
    <row r="17764" spans="65:67" ht="18.75" customHeight="1">
      <c r="BM17764" s="1025"/>
      <c r="BO17764" s="43"/>
    </row>
    <row r="17765" spans="65:67" ht="18.75" customHeight="1">
      <c r="BM17765" s="1025"/>
      <c r="BO17765" s="43"/>
    </row>
    <row r="17766" spans="65:67" ht="18.75" customHeight="1">
      <c r="BM17766" s="1025"/>
      <c r="BO17766" s="43"/>
    </row>
    <row r="17767" spans="65:67" ht="18.75" customHeight="1">
      <c r="BM17767" s="1025"/>
      <c r="BO17767" s="43"/>
    </row>
    <row r="17768" spans="65:67" ht="18.75" customHeight="1">
      <c r="BM17768" s="1025"/>
      <c r="BO17768" s="43"/>
    </row>
    <row r="17769" spans="65:67" ht="18.75" customHeight="1">
      <c r="BM17769" s="1025"/>
      <c r="BO17769" s="43"/>
    </row>
    <row r="17770" spans="65:67" ht="18.75" customHeight="1">
      <c r="BM17770" s="1025"/>
      <c r="BO17770" s="43"/>
    </row>
    <row r="17771" spans="65:67" ht="18.75" customHeight="1">
      <c r="BM17771" s="1025"/>
      <c r="BO17771" s="43"/>
    </row>
    <row r="17772" spans="65:67" ht="18.75" customHeight="1">
      <c r="BM17772" s="1025"/>
      <c r="BO17772" s="43"/>
    </row>
    <row r="17773" spans="65:67" ht="18.75" customHeight="1">
      <c r="BM17773" s="1025"/>
      <c r="BO17773" s="43"/>
    </row>
    <row r="17774" spans="65:67" ht="18.75" customHeight="1">
      <c r="BM17774" s="1025"/>
      <c r="BO17774" s="43"/>
    </row>
    <row r="17775" spans="65:67" ht="18.75" customHeight="1">
      <c r="BM17775" s="1025"/>
      <c r="BO17775" s="43"/>
    </row>
    <row r="17776" spans="65:67" ht="18.75" customHeight="1">
      <c r="BM17776" s="1025"/>
      <c r="BO17776" s="43"/>
    </row>
    <row r="17777" spans="65:67" ht="18.75" customHeight="1">
      <c r="BM17777" s="1025"/>
      <c r="BO17777" s="43"/>
    </row>
    <row r="17778" spans="65:67" ht="18.75" customHeight="1">
      <c r="BM17778" s="1025"/>
      <c r="BO17778" s="43"/>
    </row>
    <row r="17779" spans="65:67" ht="18.75" customHeight="1">
      <c r="BM17779" s="1025"/>
      <c r="BO17779" s="43"/>
    </row>
    <row r="17780" spans="65:67" ht="18.75" customHeight="1">
      <c r="BM17780" s="1025"/>
      <c r="BO17780" s="43"/>
    </row>
    <row r="17781" spans="65:67" ht="18.75" customHeight="1">
      <c r="BM17781" s="1025"/>
      <c r="BO17781" s="43"/>
    </row>
    <row r="17782" spans="65:67" ht="18.75" customHeight="1">
      <c r="BM17782" s="1025"/>
      <c r="BO17782" s="43"/>
    </row>
    <row r="17783" spans="65:67" ht="18.75" customHeight="1">
      <c r="BM17783" s="1025"/>
      <c r="BO17783" s="43"/>
    </row>
    <row r="17784" spans="65:67" ht="18.75" customHeight="1">
      <c r="BM17784" s="1025"/>
      <c r="BO17784" s="43"/>
    </row>
    <row r="17785" spans="65:67" ht="18.75" customHeight="1">
      <c r="BM17785" s="1025"/>
      <c r="BO17785" s="43"/>
    </row>
    <row r="17786" spans="65:67" ht="18.75" customHeight="1">
      <c r="BM17786" s="1025"/>
      <c r="BO17786" s="43"/>
    </row>
    <row r="17787" spans="65:67" ht="18.75" customHeight="1">
      <c r="BM17787" s="1025"/>
      <c r="BO17787" s="43"/>
    </row>
    <row r="17788" spans="65:67" ht="18.75" customHeight="1">
      <c r="BM17788" s="1025"/>
      <c r="BO17788" s="43"/>
    </row>
    <row r="17789" spans="65:67" ht="18.75" customHeight="1">
      <c r="BM17789" s="1025"/>
      <c r="BO17789" s="43"/>
    </row>
    <row r="17790" spans="65:67" ht="18.75" customHeight="1">
      <c r="BM17790" s="1025"/>
      <c r="BO17790" s="43"/>
    </row>
    <row r="17791" spans="65:67" ht="18.75" customHeight="1">
      <c r="BM17791" s="1025"/>
      <c r="BO17791" s="43"/>
    </row>
    <row r="17792" spans="65:67" ht="18.75" customHeight="1">
      <c r="BM17792" s="1025"/>
      <c r="BO17792" s="43"/>
    </row>
    <row r="17793" spans="65:67" ht="18.75" customHeight="1">
      <c r="BM17793" s="1025"/>
      <c r="BO17793" s="43"/>
    </row>
    <row r="17794" spans="65:67" ht="18.75" customHeight="1">
      <c r="BM17794" s="1025"/>
      <c r="BO17794" s="43"/>
    </row>
    <row r="17795" spans="65:67" ht="18.75" customHeight="1">
      <c r="BM17795" s="1025"/>
      <c r="BO17795" s="43"/>
    </row>
    <row r="17796" spans="65:67" ht="18.75" customHeight="1">
      <c r="BM17796" s="1025"/>
      <c r="BO17796" s="43"/>
    </row>
    <row r="17797" spans="65:67" ht="18.75" customHeight="1">
      <c r="BM17797" s="1025"/>
      <c r="BO17797" s="43"/>
    </row>
    <row r="17798" spans="65:67" ht="18.75" customHeight="1">
      <c r="BM17798" s="1025"/>
      <c r="BO17798" s="43"/>
    </row>
    <row r="17799" spans="65:67" ht="18.75" customHeight="1">
      <c r="BM17799" s="1025"/>
      <c r="BO17799" s="43"/>
    </row>
    <row r="17800" spans="65:67" ht="18.75" customHeight="1">
      <c r="BM17800" s="1025"/>
      <c r="BO17800" s="43"/>
    </row>
    <row r="17801" spans="65:67" ht="18.75" customHeight="1">
      <c r="BM17801" s="1025"/>
      <c r="BO17801" s="43"/>
    </row>
    <row r="17802" spans="65:67" ht="18.75" customHeight="1">
      <c r="BM17802" s="1025"/>
      <c r="BO17802" s="43"/>
    </row>
    <row r="17803" spans="65:67" ht="18.75" customHeight="1">
      <c r="BM17803" s="1025"/>
      <c r="BO17803" s="43"/>
    </row>
    <row r="17804" spans="65:67" ht="18.75" customHeight="1">
      <c r="BM17804" s="1025"/>
      <c r="BO17804" s="43"/>
    </row>
    <row r="17805" spans="65:67" ht="18.75" customHeight="1">
      <c r="BM17805" s="1025"/>
      <c r="BO17805" s="43"/>
    </row>
    <row r="17806" spans="65:67" ht="18.75" customHeight="1">
      <c r="BM17806" s="1025"/>
      <c r="BO17806" s="43"/>
    </row>
    <row r="17807" spans="65:67" ht="18.75" customHeight="1">
      <c r="BM17807" s="1025"/>
      <c r="BO17807" s="43"/>
    </row>
    <row r="17808" spans="65:67" ht="18.75" customHeight="1">
      <c r="BM17808" s="1025"/>
      <c r="BO17808" s="43"/>
    </row>
    <row r="17809" spans="65:67" ht="18.75" customHeight="1">
      <c r="BM17809" s="1025"/>
      <c r="BO17809" s="43"/>
    </row>
    <row r="17810" spans="65:67" ht="18.75" customHeight="1">
      <c r="BM17810" s="1025"/>
      <c r="BO17810" s="43"/>
    </row>
    <row r="17811" spans="65:67" ht="18.75" customHeight="1">
      <c r="BM17811" s="1025"/>
      <c r="BO17811" s="43"/>
    </row>
    <row r="17812" spans="65:67" ht="18.75" customHeight="1">
      <c r="BM17812" s="1025"/>
      <c r="BO17812" s="43"/>
    </row>
    <row r="17813" spans="65:67" ht="18.75" customHeight="1">
      <c r="BM17813" s="1025"/>
      <c r="BO17813" s="43"/>
    </row>
    <row r="17814" spans="65:67" ht="18.75" customHeight="1">
      <c r="BM17814" s="1025"/>
      <c r="BO17814" s="43"/>
    </row>
    <row r="17815" spans="65:67" ht="18.75" customHeight="1">
      <c r="BM17815" s="1025"/>
      <c r="BO17815" s="43"/>
    </row>
    <row r="17816" spans="65:67" ht="18.75" customHeight="1">
      <c r="BM17816" s="1025"/>
      <c r="BO17816" s="43"/>
    </row>
    <row r="17817" spans="65:67" ht="18.75" customHeight="1">
      <c r="BM17817" s="1025"/>
      <c r="BO17817" s="43"/>
    </row>
    <row r="17818" spans="65:67" ht="18.75" customHeight="1">
      <c r="BM17818" s="1025"/>
      <c r="BO17818" s="43"/>
    </row>
    <row r="17819" spans="65:67" ht="18.75" customHeight="1">
      <c r="BM17819" s="1025"/>
      <c r="BO17819" s="43"/>
    </row>
    <row r="17820" spans="65:67" ht="18.75" customHeight="1">
      <c r="BM17820" s="1025"/>
      <c r="BO17820" s="43"/>
    </row>
    <row r="17821" spans="65:67" ht="18.75" customHeight="1">
      <c r="BM17821" s="1025"/>
      <c r="BO17821" s="43"/>
    </row>
    <row r="17822" spans="65:67" ht="18.75" customHeight="1">
      <c r="BM17822" s="1025"/>
      <c r="BO17822" s="43"/>
    </row>
    <row r="17823" spans="65:67" ht="18.75" customHeight="1">
      <c r="BM17823" s="1025"/>
      <c r="BO17823" s="43"/>
    </row>
    <row r="17824" spans="65:67" ht="18.75" customHeight="1">
      <c r="BM17824" s="1025"/>
      <c r="BO17824" s="43"/>
    </row>
    <row r="17825" spans="65:67" ht="18.75" customHeight="1">
      <c r="BM17825" s="1025"/>
      <c r="BO17825" s="43"/>
    </row>
    <row r="17826" spans="65:67" ht="18.75" customHeight="1">
      <c r="BM17826" s="1025"/>
      <c r="BO17826" s="43"/>
    </row>
    <row r="17827" spans="65:67" ht="18.75" customHeight="1">
      <c r="BM17827" s="1025"/>
      <c r="BO17827" s="43"/>
    </row>
    <row r="17828" spans="65:67" ht="18.75" customHeight="1">
      <c r="BM17828" s="1025"/>
      <c r="BO17828" s="43"/>
    </row>
    <row r="17829" spans="65:67" ht="18.75" customHeight="1">
      <c r="BM17829" s="1025"/>
      <c r="BO17829" s="43"/>
    </row>
    <row r="17830" spans="65:67" ht="18.75" customHeight="1">
      <c r="BM17830" s="1025"/>
      <c r="BO17830" s="43"/>
    </row>
    <row r="17831" spans="65:67" ht="18.75" customHeight="1">
      <c r="BM17831" s="1025"/>
      <c r="BO17831" s="43"/>
    </row>
    <row r="17832" spans="65:67" ht="18.75" customHeight="1">
      <c r="BM17832" s="1025"/>
      <c r="BO17832" s="43"/>
    </row>
    <row r="17833" spans="65:67" ht="18.75" customHeight="1">
      <c r="BM17833" s="1025"/>
      <c r="BO17833" s="43"/>
    </row>
    <row r="17834" spans="65:67" ht="18.75" customHeight="1">
      <c r="BM17834" s="1025"/>
      <c r="BO17834" s="43"/>
    </row>
    <row r="17835" spans="65:67" ht="18.75" customHeight="1">
      <c r="BM17835" s="1025"/>
      <c r="BO17835" s="43"/>
    </row>
    <row r="17836" spans="65:67" ht="18.75" customHeight="1">
      <c r="BM17836" s="1025"/>
      <c r="BO17836" s="43"/>
    </row>
    <row r="17837" spans="65:67" ht="18.75" customHeight="1">
      <c r="BM17837" s="1025"/>
      <c r="BO17837" s="43"/>
    </row>
    <row r="17838" spans="65:67" ht="18.75" customHeight="1">
      <c r="BM17838" s="1025"/>
      <c r="BO17838" s="43"/>
    </row>
    <row r="17839" spans="65:67" ht="18.75" customHeight="1">
      <c r="BM17839" s="1025"/>
      <c r="BO17839" s="43"/>
    </row>
    <row r="17840" spans="65:67" ht="18.75" customHeight="1">
      <c r="BM17840" s="1025"/>
      <c r="BO17840" s="43"/>
    </row>
    <row r="17841" spans="65:67" ht="18.75" customHeight="1">
      <c r="BM17841" s="1025"/>
      <c r="BO17841" s="43"/>
    </row>
    <row r="17842" spans="65:67" ht="18.75" customHeight="1">
      <c r="BM17842" s="1025"/>
      <c r="BO17842" s="43"/>
    </row>
    <row r="17843" spans="65:67" ht="18.75" customHeight="1">
      <c r="BM17843" s="1025"/>
      <c r="BO17843" s="43"/>
    </row>
    <row r="17844" spans="65:67" ht="18.75" customHeight="1">
      <c r="BM17844" s="1025"/>
      <c r="BO17844" s="43"/>
    </row>
    <row r="17845" spans="65:67" ht="18.75" customHeight="1">
      <c r="BM17845" s="1025"/>
      <c r="BO17845" s="43"/>
    </row>
    <row r="17846" spans="65:67" ht="18.75" customHeight="1">
      <c r="BM17846" s="1025"/>
      <c r="BO17846" s="43"/>
    </row>
    <row r="17847" spans="65:67" ht="18.75" customHeight="1">
      <c r="BM17847" s="1025"/>
      <c r="BO17847" s="43"/>
    </row>
    <row r="17848" spans="65:67" ht="18.75" customHeight="1">
      <c r="BM17848" s="1025"/>
      <c r="BO17848" s="43"/>
    </row>
    <row r="17849" spans="65:67" ht="18.75" customHeight="1">
      <c r="BM17849" s="1025"/>
      <c r="BO17849" s="43"/>
    </row>
    <row r="17850" spans="65:67" ht="18.75" customHeight="1">
      <c r="BM17850" s="1025"/>
      <c r="BO17850" s="43"/>
    </row>
    <row r="17851" spans="65:67" ht="18.75" customHeight="1">
      <c r="BM17851" s="1025"/>
      <c r="BO17851" s="43"/>
    </row>
    <row r="17852" spans="65:67" ht="18.75" customHeight="1">
      <c r="BM17852" s="1025"/>
      <c r="BO17852" s="43"/>
    </row>
    <row r="17853" spans="65:67" ht="18.75" customHeight="1">
      <c r="BM17853" s="1025"/>
      <c r="BO17853" s="43"/>
    </row>
    <row r="17854" spans="65:67" ht="18.75" customHeight="1">
      <c r="BM17854" s="1025"/>
      <c r="BO17854" s="43"/>
    </row>
    <row r="17855" spans="65:67" ht="18.75" customHeight="1">
      <c r="BM17855" s="1025"/>
      <c r="BO17855" s="43"/>
    </row>
    <row r="17856" spans="65:67" ht="18.75" customHeight="1">
      <c r="BM17856" s="1025"/>
      <c r="BO17856" s="43"/>
    </row>
    <row r="17857" spans="65:67" ht="18.75" customHeight="1">
      <c r="BM17857" s="1025"/>
      <c r="BO17857" s="43"/>
    </row>
    <row r="17858" spans="65:67" ht="18.75" customHeight="1">
      <c r="BM17858" s="1025"/>
      <c r="BO17858" s="43"/>
    </row>
    <row r="17859" spans="65:67" ht="18.75" customHeight="1">
      <c r="BM17859" s="1025"/>
      <c r="BO17859" s="43"/>
    </row>
    <row r="17860" spans="65:67" ht="18.75" customHeight="1">
      <c r="BM17860" s="1025"/>
      <c r="BO17860" s="43"/>
    </row>
    <row r="17861" spans="65:67" ht="18.75" customHeight="1">
      <c r="BM17861" s="1025"/>
      <c r="BO17861" s="43"/>
    </row>
    <row r="17862" spans="65:67" ht="18.75" customHeight="1">
      <c r="BM17862" s="1025"/>
      <c r="BO17862" s="43"/>
    </row>
    <row r="17863" spans="65:67" ht="18.75" customHeight="1">
      <c r="BM17863" s="1025"/>
      <c r="BO17863" s="43"/>
    </row>
    <row r="17864" spans="65:67" ht="18.75" customHeight="1">
      <c r="BM17864" s="1025"/>
      <c r="BO17864" s="43"/>
    </row>
    <row r="17865" spans="65:67" ht="18.75" customHeight="1">
      <c r="BM17865" s="1025"/>
      <c r="BO17865" s="43"/>
    </row>
    <row r="17866" spans="65:67" ht="18.75" customHeight="1">
      <c r="BM17866" s="1025"/>
      <c r="BO17866" s="43"/>
    </row>
    <row r="17867" spans="65:67" ht="18.75" customHeight="1">
      <c r="BM17867" s="1025"/>
      <c r="BO17867" s="43"/>
    </row>
    <row r="17868" spans="65:67" ht="18.75" customHeight="1">
      <c r="BM17868" s="1025"/>
      <c r="BO17868" s="43"/>
    </row>
    <row r="17869" spans="65:67" ht="18.75" customHeight="1">
      <c r="BM17869" s="1025"/>
      <c r="BO17869" s="43"/>
    </row>
    <row r="17870" spans="65:67" ht="18.75" customHeight="1">
      <c r="BM17870" s="1025"/>
      <c r="BO17870" s="43"/>
    </row>
    <row r="17871" spans="65:67" ht="18.75" customHeight="1">
      <c r="BM17871" s="1025"/>
      <c r="BO17871" s="43"/>
    </row>
    <row r="17872" spans="65:67" ht="18.75" customHeight="1">
      <c r="BM17872" s="1025"/>
      <c r="BO17872" s="43"/>
    </row>
    <row r="17873" spans="65:67" ht="18.75" customHeight="1">
      <c r="BM17873" s="1025"/>
      <c r="BO17873" s="43"/>
    </row>
    <row r="17874" spans="65:67" ht="18.75" customHeight="1">
      <c r="BM17874" s="1025"/>
      <c r="BO17874" s="43"/>
    </row>
    <row r="17875" spans="65:67" ht="18.75" customHeight="1">
      <c r="BM17875" s="1025"/>
      <c r="BO17875" s="43"/>
    </row>
    <row r="17876" spans="65:67" ht="18.75" customHeight="1">
      <c r="BM17876" s="1025"/>
      <c r="BO17876" s="43"/>
    </row>
    <row r="17877" spans="65:67" ht="18.75" customHeight="1">
      <c r="BM17877" s="1025"/>
      <c r="BO17877" s="43"/>
    </row>
    <row r="17878" spans="65:67" ht="18.75" customHeight="1">
      <c r="BM17878" s="1025"/>
      <c r="BO17878" s="43"/>
    </row>
    <row r="17879" spans="65:67" ht="18.75" customHeight="1">
      <c r="BM17879" s="1025"/>
      <c r="BO17879" s="43"/>
    </row>
    <row r="17880" spans="65:67" ht="18.75" customHeight="1">
      <c r="BM17880" s="1025"/>
      <c r="BO17880" s="43"/>
    </row>
    <row r="17881" spans="65:67" ht="18.75" customHeight="1">
      <c r="BM17881" s="1025"/>
      <c r="BO17881" s="43"/>
    </row>
    <row r="17882" spans="65:67" ht="18.75" customHeight="1">
      <c r="BM17882" s="1025"/>
      <c r="BO17882" s="43"/>
    </row>
    <row r="17883" spans="65:67" ht="18.75" customHeight="1">
      <c r="BM17883" s="1025"/>
      <c r="BO17883" s="43"/>
    </row>
    <row r="17884" spans="65:67" ht="18.75" customHeight="1">
      <c r="BM17884" s="1025"/>
      <c r="BO17884" s="43"/>
    </row>
    <row r="17885" spans="65:67" ht="18.75" customHeight="1">
      <c r="BM17885" s="1025"/>
      <c r="BO17885" s="43"/>
    </row>
    <row r="17886" spans="65:67" ht="18.75" customHeight="1">
      <c r="BM17886" s="1025"/>
      <c r="BO17886" s="43"/>
    </row>
    <row r="17887" spans="65:67" ht="18.75" customHeight="1">
      <c r="BM17887" s="1025"/>
      <c r="BO17887" s="43"/>
    </row>
    <row r="17888" spans="65:67" ht="18.75" customHeight="1">
      <c r="BM17888" s="1025"/>
      <c r="BO17888" s="43"/>
    </row>
    <row r="17889" spans="65:67" ht="18.75" customHeight="1">
      <c r="BM17889" s="1025"/>
      <c r="BO17889" s="43"/>
    </row>
    <row r="17890" spans="65:67" ht="18.75" customHeight="1">
      <c r="BM17890" s="1025"/>
      <c r="BO17890" s="43"/>
    </row>
    <row r="17891" spans="65:67" ht="18.75" customHeight="1">
      <c r="BM17891" s="1025"/>
      <c r="BO17891" s="43"/>
    </row>
    <row r="17892" spans="65:67" ht="18.75" customHeight="1">
      <c r="BM17892" s="1025"/>
      <c r="BO17892" s="43"/>
    </row>
    <row r="17893" spans="65:67" ht="18.75" customHeight="1">
      <c r="BM17893" s="1025"/>
      <c r="BO17893" s="43"/>
    </row>
    <row r="17894" spans="65:67" ht="18.75" customHeight="1">
      <c r="BM17894" s="1025"/>
      <c r="BO17894" s="43"/>
    </row>
    <row r="17895" spans="65:67" ht="18.75" customHeight="1">
      <c r="BM17895" s="1025"/>
      <c r="BO17895" s="43"/>
    </row>
    <row r="17896" spans="65:67" ht="18.75" customHeight="1">
      <c r="BM17896" s="1025"/>
      <c r="BO17896" s="43"/>
    </row>
    <row r="17897" spans="65:67" ht="18.75" customHeight="1">
      <c r="BM17897" s="1025"/>
      <c r="BO17897" s="43"/>
    </row>
    <row r="17898" spans="65:67" ht="18.75" customHeight="1">
      <c r="BM17898" s="1025"/>
      <c r="BO17898" s="43"/>
    </row>
    <row r="17899" spans="65:67" ht="18.75" customHeight="1">
      <c r="BM17899" s="1025"/>
      <c r="BO17899" s="43"/>
    </row>
    <row r="17900" spans="65:67" ht="18.75" customHeight="1">
      <c r="BM17900" s="1025"/>
      <c r="BO17900" s="43"/>
    </row>
    <row r="17901" spans="65:67" ht="18.75" customHeight="1">
      <c r="BM17901" s="1025"/>
      <c r="BO17901" s="43"/>
    </row>
    <row r="17902" spans="65:67" ht="18.75" customHeight="1">
      <c r="BM17902" s="1025"/>
      <c r="BO17902" s="43"/>
    </row>
    <row r="17903" spans="65:67" ht="18.75" customHeight="1">
      <c r="BM17903" s="1025"/>
      <c r="BO17903" s="43"/>
    </row>
    <row r="17904" spans="65:67" ht="18.75" customHeight="1">
      <c r="BM17904" s="1025"/>
      <c r="BO17904" s="43"/>
    </row>
    <row r="17905" spans="65:67" ht="18.75" customHeight="1">
      <c r="BM17905" s="1025"/>
      <c r="BO17905" s="43"/>
    </row>
    <row r="17906" spans="65:67" ht="18.75" customHeight="1">
      <c r="BM17906" s="1025"/>
      <c r="BO17906" s="43"/>
    </row>
    <row r="17907" spans="65:67" ht="18.75" customHeight="1">
      <c r="BM17907" s="1025"/>
      <c r="BO17907" s="43"/>
    </row>
    <row r="17908" spans="65:67" ht="18.75" customHeight="1">
      <c r="BM17908" s="1025"/>
      <c r="BO17908" s="43"/>
    </row>
    <row r="17909" spans="65:67" ht="18.75" customHeight="1">
      <c r="BM17909" s="1025"/>
      <c r="BO17909" s="43"/>
    </row>
    <row r="17910" spans="65:67" ht="18.75" customHeight="1">
      <c r="BM17910" s="1025"/>
      <c r="BO17910" s="43"/>
    </row>
    <row r="17911" spans="65:67" ht="18.75" customHeight="1">
      <c r="BM17911" s="1025"/>
      <c r="BO17911" s="43"/>
    </row>
    <row r="17912" spans="65:67" ht="18.75" customHeight="1">
      <c r="BM17912" s="1025"/>
      <c r="BO17912" s="43"/>
    </row>
    <row r="17913" spans="65:67" ht="18.75" customHeight="1">
      <c r="BM17913" s="1025"/>
      <c r="BO17913" s="43"/>
    </row>
    <row r="17914" spans="65:67" ht="18.75" customHeight="1">
      <c r="BM17914" s="1025"/>
      <c r="BO17914" s="43"/>
    </row>
    <row r="17915" spans="65:67" ht="18.75" customHeight="1">
      <c r="BM17915" s="1025"/>
      <c r="BO17915" s="43"/>
    </row>
    <row r="17916" spans="65:67" ht="18.75" customHeight="1">
      <c r="BM17916" s="1025"/>
      <c r="BO17916" s="43"/>
    </row>
    <row r="17917" spans="65:67" ht="18.75" customHeight="1">
      <c r="BM17917" s="1025"/>
      <c r="BO17917" s="43"/>
    </row>
    <row r="17918" spans="65:67" ht="18.75" customHeight="1">
      <c r="BM17918" s="1025"/>
      <c r="BO17918" s="43"/>
    </row>
    <row r="17919" spans="65:67" ht="18.75" customHeight="1">
      <c r="BM17919" s="1025"/>
      <c r="BO17919" s="43"/>
    </row>
    <row r="17920" spans="65:67" ht="18.75" customHeight="1">
      <c r="BM17920" s="1025"/>
      <c r="BO17920" s="43"/>
    </row>
    <row r="17921" spans="65:67" ht="18.75" customHeight="1">
      <c r="BM17921" s="1025"/>
      <c r="BO17921" s="43"/>
    </row>
    <row r="17922" spans="65:67" ht="18.75" customHeight="1">
      <c r="BM17922" s="1025"/>
      <c r="BO17922" s="43"/>
    </row>
    <row r="17923" spans="65:67" ht="18.75" customHeight="1">
      <c r="BM17923" s="1025"/>
      <c r="BO17923" s="43"/>
    </row>
    <row r="17924" spans="65:67" ht="18.75" customHeight="1">
      <c r="BM17924" s="1025"/>
      <c r="BO17924" s="43"/>
    </row>
    <row r="17925" spans="65:67" ht="18.75" customHeight="1">
      <c r="BM17925" s="1025"/>
      <c r="BO17925" s="43"/>
    </row>
    <row r="17926" spans="65:67" ht="18.75" customHeight="1">
      <c r="BM17926" s="1025"/>
      <c r="BO17926" s="43"/>
    </row>
    <row r="17927" spans="65:67" ht="18.75" customHeight="1">
      <c r="BM17927" s="1025"/>
      <c r="BO17927" s="43"/>
    </row>
    <row r="17928" spans="65:67" ht="18.75" customHeight="1">
      <c r="BM17928" s="1025"/>
      <c r="BO17928" s="43"/>
    </row>
    <row r="17929" spans="65:67" ht="18.75" customHeight="1">
      <c r="BM17929" s="1025"/>
      <c r="BO17929" s="43"/>
    </row>
    <row r="17930" spans="65:67" ht="18.75" customHeight="1">
      <c r="BM17930" s="1025"/>
      <c r="BO17930" s="43"/>
    </row>
    <row r="17931" spans="65:67" ht="18.75" customHeight="1">
      <c r="BM17931" s="1025"/>
      <c r="BO17931" s="43"/>
    </row>
    <row r="17932" spans="65:67" ht="18.75" customHeight="1">
      <c r="BM17932" s="1025"/>
      <c r="BO17932" s="43"/>
    </row>
    <row r="17933" spans="65:67" ht="18.75" customHeight="1">
      <c r="BM17933" s="1025"/>
      <c r="BO17933" s="43"/>
    </row>
    <row r="17934" spans="65:67" ht="18.75" customHeight="1">
      <c r="BM17934" s="1025"/>
      <c r="BO17934" s="43"/>
    </row>
    <row r="17935" spans="65:67" ht="18.75" customHeight="1">
      <c r="BM17935" s="1025"/>
      <c r="BO17935" s="43"/>
    </row>
    <row r="17936" spans="65:67" ht="18.75" customHeight="1">
      <c r="BM17936" s="1025"/>
      <c r="BO17936" s="43"/>
    </row>
    <row r="17937" spans="65:67" ht="18.75" customHeight="1">
      <c r="BM17937" s="1025"/>
      <c r="BO17937" s="43"/>
    </row>
    <row r="17938" spans="65:67" ht="18.75" customHeight="1">
      <c r="BM17938" s="1025"/>
      <c r="BO17938" s="43"/>
    </row>
    <row r="17939" spans="65:67" ht="18.75" customHeight="1">
      <c r="BM17939" s="1025"/>
      <c r="BO17939" s="43"/>
    </row>
    <row r="17940" spans="65:67" ht="18.75" customHeight="1">
      <c r="BM17940" s="1025"/>
      <c r="BO17940" s="43"/>
    </row>
    <row r="17941" spans="65:67" ht="18.75" customHeight="1">
      <c r="BM17941" s="1025"/>
      <c r="BO17941" s="43"/>
    </row>
    <row r="17942" spans="65:67" ht="18.75" customHeight="1">
      <c r="BM17942" s="1025"/>
      <c r="BO17942" s="43"/>
    </row>
    <row r="17943" spans="65:67" ht="18.75" customHeight="1">
      <c r="BM17943" s="1025"/>
      <c r="BO17943" s="43"/>
    </row>
    <row r="17944" spans="65:67" ht="18.75" customHeight="1">
      <c r="BM17944" s="1025"/>
      <c r="BO17944" s="43"/>
    </row>
    <row r="17945" spans="65:67" ht="18.75" customHeight="1">
      <c r="BM17945" s="1025"/>
      <c r="BO17945" s="43"/>
    </row>
    <row r="17946" spans="65:67" ht="18.75" customHeight="1">
      <c r="BM17946" s="1025"/>
      <c r="BO17946" s="43"/>
    </row>
    <row r="17947" spans="65:67" ht="18.75" customHeight="1">
      <c r="BM17947" s="1025"/>
      <c r="BO17947" s="43"/>
    </row>
    <row r="17948" spans="65:67" ht="18.75" customHeight="1">
      <c r="BM17948" s="1025"/>
      <c r="BO17948" s="43"/>
    </row>
    <row r="17949" spans="65:67" ht="18.75" customHeight="1">
      <c r="BM17949" s="1025"/>
      <c r="BO17949" s="43"/>
    </row>
    <row r="17950" spans="65:67" ht="18.75" customHeight="1">
      <c r="BM17950" s="1025"/>
      <c r="BO17950" s="43"/>
    </row>
    <row r="17951" spans="65:67" ht="18.75" customHeight="1">
      <c r="BM17951" s="1025"/>
      <c r="BO17951" s="43"/>
    </row>
    <row r="17952" spans="65:67" ht="18.75" customHeight="1">
      <c r="BM17952" s="1025"/>
      <c r="BO17952" s="43"/>
    </row>
    <row r="17953" spans="65:67" ht="18.75" customHeight="1">
      <c r="BM17953" s="1025"/>
      <c r="BO17953" s="43"/>
    </row>
    <row r="17954" spans="65:67" ht="18.75" customHeight="1">
      <c r="BM17954" s="1025"/>
      <c r="BO17954" s="43"/>
    </row>
    <row r="17955" spans="65:67" ht="18.75" customHeight="1">
      <c r="BM17955" s="1025"/>
      <c r="BO17955" s="43"/>
    </row>
    <row r="17956" spans="65:67" ht="18.75" customHeight="1">
      <c r="BM17956" s="1025"/>
      <c r="BO17956" s="43"/>
    </row>
    <row r="17957" spans="65:67" ht="18.75" customHeight="1">
      <c r="BM17957" s="1025"/>
      <c r="BO17957" s="43"/>
    </row>
    <row r="17958" spans="65:67" ht="18.75" customHeight="1">
      <c r="BM17958" s="1025"/>
      <c r="BO17958" s="43"/>
    </row>
    <row r="17959" spans="65:67" ht="18.75" customHeight="1">
      <c r="BM17959" s="1025"/>
      <c r="BO17959" s="43"/>
    </row>
    <row r="17960" spans="65:67" ht="18.75" customHeight="1">
      <c r="BM17960" s="1025"/>
      <c r="BO17960" s="43"/>
    </row>
    <row r="17961" spans="65:67" ht="18.75" customHeight="1">
      <c r="BM17961" s="1025"/>
      <c r="BO17961" s="43"/>
    </row>
    <row r="17962" spans="65:67" ht="18.75" customHeight="1">
      <c r="BM17962" s="1025"/>
      <c r="BO17962" s="43"/>
    </row>
    <row r="17963" spans="65:67" ht="18.75" customHeight="1">
      <c r="BM17963" s="1025"/>
      <c r="BO17963" s="43"/>
    </row>
    <row r="17964" spans="65:67" ht="18.75" customHeight="1">
      <c r="BM17964" s="1025"/>
      <c r="BO17964" s="43"/>
    </row>
    <row r="17965" spans="65:67" ht="18.75" customHeight="1">
      <c r="BM17965" s="1025"/>
      <c r="BO17965" s="43"/>
    </row>
    <row r="17966" spans="65:67" ht="18.75" customHeight="1">
      <c r="BM17966" s="1025"/>
      <c r="BO17966" s="43"/>
    </row>
    <row r="17967" spans="65:67" ht="18.75" customHeight="1">
      <c r="BM17967" s="1025"/>
      <c r="BO17967" s="43"/>
    </row>
    <row r="17968" spans="65:67" ht="18.75" customHeight="1">
      <c r="BM17968" s="1025"/>
      <c r="BO17968" s="43"/>
    </row>
    <row r="17969" spans="65:67" ht="18.75" customHeight="1">
      <c r="BM17969" s="1025"/>
      <c r="BO17969" s="43"/>
    </row>
    <row r="17970" spans="65:67" ht="18.75" customHeight="1">
      <c r="BM17970" s="1025"/>
      <c r="BO17970" s="43"/>
    </row>
    <row r="17971" spans="65:67" ht="18.75" customHeight="1">
      <c r="BM17971" s="1025"/>
      <c r="BO17971" s="43"/>
    </row>
    <row r="17972" spans="65:67" ht="18.75" customHeight="1">
      <c r="BM17972" s="1025"/>
      <c r="BO17972" s="43"/>
    </row>
    <row r="17973" spans="65:67" ht="18.75" customHeight="1">
      <c r="BM17973" s="1025"/>
      <c r="BO17973" s="43"/>
    </row>
    <row r="17974" spans="65:67" ht="18.75" customHeight="1">
      <c r="BM17974" s="1025"/>
      <c r="BO17974" s="43"/>
    </row>
    <row r="17975" spans="65:67" ht="18.75" customHeight="1">
      <c r="BM17975" s="1025"/>
      <c r="BO17975" s="43"/>
    </row>
    <row r="17976" spans="65:67" ht="18.75" customHeight="1">
      <c r="BM17976" s="1025"/>
      <c r="BO17976" s="43"/>
    </row>
    <row r="17977" spans="65:67" ht="18.75" customHeight="1">
      <c r="BM17977" s="1025"/>
      <c r="BO17977" s="43"/>
    </row>
    <row r="17978" spans="65:67" ht="18.75" customHeight="1">
      <c r="BM17978" s="1025"/>
      <c r="BO17978" s="43"/>
    </row>
    <row r="17979" spans="65:67" ht="18.75" customHeight="1">
      <c r="BM17979" s="1025"/>
      <c r="BO17979" s="43"/>
    </row>
    <row r="17980" spans="65:67" ht="18.75" customHeight="1">
      <c r="BM17980" s="1025"/>
      <c r="BO17980" s="43"/>
    </row>
    <row r="17981" spans="65:67" ht="18.75" customHeight="1">
      <c r="BM17981" s="1025"/>
      <c r="BO17981" s="43"/>
    </row>
    <row r="17982" spans="65:67" ht="18.75" customHeight="1">
      <c r="BM17982" s="1025"/>
      <c r="BO17982" s="43"/>
    </row>
    <row r="17983" spans="65:67" ht="18.75" customHeight="1">
      <c r="BM17983" s="1025"/>
      <c r="BO17983" s="43"/>
    </row>
    <row r="17984" spans="65:67" ht="18.75" customHeight="1">
      <c r="BM17984" s="1025"/>
      <c r="BO17984" s="43"/>
    </row>
    <row r="17985" spans="65:67" ht="18.75" customHeight="1">
      <c r="BM17985" s="1025"/>
      <c r="BO17985" s="43"/>
    </row>
    <row r="17986" spans="65:67" ht="18.75" customHeight="1">
      <c r="BM17986" s="1025"/>
      <c r="BO17986" s="43"/>
    </row>
    <row r="17987" spans="65:67" ht="18.75" customHeight="1">
      <c r="BM17987" s="1025"/>
      <c r="BO17987" s="43"/>
    </row>
    <row r="17988" spans="65:67" ht="18.75" customHeight="1">
      <c r="BM17988" s="1025"/>
      <c r="BO17988" s="43"/>
    </row>
    <row r="17989" spans="65:67" ht="18.75" customHeight="1">
      <c r="BM17989" s="1025"/>
      <c r="BO17989" s="43"/>
    </row>
    <row r="17990" spans="65:67" ht="18.75" customHeight="1">
      <c r="BM17990" s="1025"/>
      <c r="BO17990" s="43"/>
    </row>
    <row r="17991" spans="65:67" ht="18.75" customHeight="1">
      <c r="BM17991" s="1025"/>
      <c r="BO17991" s="43"/>
    </row>
    <row r="17992" spans="65:67" ht="18.75" customHeight="1">
      <c r="BM17992" s="1025"/>
      <c r="BO17992" s="43"/>
    </row>
    <row r="17993" spans="65:67" ht="18.75" customHeight="1">
      <c r="BM17993" s="1025"/>
      <c r="BO17993" s="43"/>
    </row>
    <row r="17994" spans="65:67" ht="18.75" customHeight="1">
      <c r="BM17994" s="1025"/>
      <c r="BO17994" s="43"/>
    </row>
    <row r="17995" spans="65:67" ht="18.75" customHeight="1">
      <c r="BM17995" s="1025"/>
      <c r="BO17995" s="43"/>
    </row>
    <row r="17996" spans="65:67" ht="18.75" customHeight="1">
      <c r="BM17996" s="1025"/>
      <c r="BO17996" s="43"/>
    </row>
    <row r="17997" spans="65:67" ht="18.75" customHeight="1">
      <c r="BM17997" s="1025"/>
      <c r="BO17997" s="43"/>
    </row>
    <row r="17998" spans="65:67" ht="18.75" customHeight="1">
      <c r="BM17998" s="1025"/>
      <c r="BO17998" s="43"/>
    </row>
    <row r="17999" spans="65:67" ht="18.75" customHeight="1">
      <c r="BM17999" s="1025"/>
      <c r="BO17999" s="43"/>
    </row>
    <row r="18000" spans="65:67" ht="18.75" customHeight="1">
      <c r="BM18000" s="1025"/>
      <c r="BO18000" s="43"/>
    </row>
    <row r="18001" spans="65:67" ht="18.75" customHeight="1">
      <c r="BM18001" s="1025"/>
      <c r="BO18001" s="43"/>
    </row>
    <row r="18002" spans="65:67" ht="18.75" customHeight="1">
      <c r="BM18002" s="1025"/>
      <c r="BO18002" s="43"/>
    </row>
    <row r="18003" spans="65:67" ht="18.75" customHeight="1">
      <c r="BM18003" s="1025"/>
      <c r="BO18003" s="43"/>
    </row>
    <row r="18004" spans="65:67" ht="18.75" customHeight="1">
      <c r="BM18004" s="1025"/>
      <c r="BO18004" s="43"/>
    </row>
    <row r="18005" spans="65:67" ht="18.75" customHeight="1">
      <c r="BM18005" s="1025"/>
      <c r="BO18005" s="43"/>
    </row>
    <row r="18006" spans="65:67" ht="18.75" customHeight="1">
      <c r="BM18006" s="1025"/>
      <c r="BO18006" s="43"/>
    </row>
    <row r="18007" spans="65:67" ht="18.75" customHeight="1">
      <c r="BM18007" s="1025"/>
      <c r="BO18007" s="43"/>
    </row>
    <row r="18008" spans="65:67" ht="18.75" customHeight="1">
      <c r="BM18008" s="1025"/>
      <c r="BO18008" s="43"/>
    </row>
    <row r="18009" spans="65:67" ht="18.75" customHeight="1">
      <c r="BM18009" s="1025"/>
      <c r="BO18009" s="43"/>
    </row>
    <row r="18010" spans="65:67" ht="18.75" customHeight="1">
      <c r="BM18010" s="1025"/>
      <c r="BO18010" s="43"/>
    </row>
    <row r="18011" spans="65:67" ht="18.75" customHeight="1">
      <c r="BM18011" s="1025"/>
      <c r="BO18011" s="43"/>
    </row>
    <row r="18012" spans="65:67" ht="18.75" customHeight="1">
      <c r="BM18012" s="1025"/>
      <c r="BO18012" s="43"/>
    </row>
    <row r="18013" spans="65:67" ht="18.75" customHeight="1">
      <c r="BM18013" s="1025"/>
      <c r="BO18013" s="43"/>
    </row>
    <row r="18014" spans="65:67" ht="18.75" customHeight="1">
      <c r="BM18014" s="1025"/>
      <c r="BO18014" s="43"/>
    </row>
    <row r="18015" spans="65:67" ht="18.75" customHeight="1">
      <c r="BM18015" s="1025"/>
      <c r="BO18015" s="43"/>
    </row>
    <row r="18016" spans="65:67" ht="18.75" customHeight="1">
      <c r="BM18016" s="1025"/>
      <c r="BO18016" s="43"/>
    </row>
    <row r="18017" spans="65:67" ht="18.75" customHeight="1">
      <c r="BM18017" s="1025"/>
      <c r="BO18017" s="43"/>
    </row>
    <row r="18018" spans="65:67" ht="18.75" customHeight="1">
      <c r="BM18018" s="1025"/>
      <c r="BO18018" s="43"/>
    </row>
    <row r="18019" spans="65:67" ht="18.75" customHeight="1">
      <c r="BM18019" s="1025"/>
      <c r="BO18019" s="43"/>
    </row>
    <row r="18020" spans="65:67" ht="18.75" customHeight="1">
      <c r="BM18020" s="1025"/>
      <c r="BO18020" s="43"/>
    </row>
    <row r="18021" spans="65:67" ht="18.75" customHeight="1">
      <c r="BM18021" s="1025"/>
      <c r="BO18021" s="43"/>
    </row>
    <row r="18022" spans="65:67" ht="18.75" customHeight="1">
      <c r="BM18022" s="1025"/>
      <c r="BO18022" s="43"/>
    </row>
    <row r="18023" spans="65:67" ht="18.75" customHeight="1">
      <c r="BM18023" s="1025"/>
      <c r="BO18023" s="43"/>
    </row>
    <row r="18024" spans="65:67" ht="18.75" customHeight="1">
      <c r="BM18024" s="1025"/>
      <c r="BO18024" s="43"/>
    </row>
    <row r="18025" spans="65:67" ht="18.75" customHeight="1">
      <c r="BM18025" s="1025"/>
      <c r="BO18025" s="43"/>
    </row>
    <row r="18026" spans="65:67" ht="18.75" customHeight="1">
      <c r="BM18026" s="1025"/>
      <c r="BO18026" s="43"/>
    </row>
    <row r="18027" spans="65:67" ht="18.75" customHeight="1">
      <c r="BM18027" s="1025"/>
      <c r="BO18027" s="43"/>
    </row>
    <row r="18028" spans="65:67" ht="18.75" customHeight="1">
      <c r="BM18028" s="1025"/>
      <c r="BO18028" s="43"/>
    </row>
    <row r="18029" spans="65:67" ht="18.75" customHeight="1">
      <c r="BM18029" s="1025"/>
      <c r="BO18029" s="43"/>
    </row>
    <row r="18030" spans="65:67" ht="18.75" customHeight="1">
      <c r="BM18030" s="1025"/>
      <c r="BO18030" s="43"/>
    </row>
    <row r="18031" spans="65:67" ht="18.75" customHeight="1">
      <c r="BM18031" s="1025"/>
      <c r="BO18031" s="43"/>
    </row>
    <row r="18032" spans="65:67" ht="18.75" customHeight="1">
      <c r="BM18032" s="1025"/>
      <c r="BO18032" s="43"/>
    </row>
    <row r="18033" spans="65:67" ht="18.75" customHeight="1">
      <c r="BM18033" s="1025"/>
      <c r="BO18033" s="43"/>
    </row>
    <row r="18034" spans="65:67" ht="18.75" customHeight="1">
      <c r="BM18034" s="1025"/>
      <c r="BO18034" s="43"/>
    </row>
    <row r="18035" spans="65:67" ht="18.75" customHeight="1">
      <c r="BM18035" s="1025"/>
      <c r="BO18035" s="43"/>
    </row>
    <row r="18036" spans="65:67" ht="18.75" customHeight="1">
      <c r="BM18036" s="1025"/>
      <c r="BO18036" s="43"/>
    </row>
    <row r="18037" spans="65:67" ht="18.75" customHeight="1">
      <c r="BM18037" s="1025"/>
      <c r="BO18037" s="43"/>
    </row>
    <row r="18038" spans="65:67" ht="18.75" customHeight="1">
      <c r="BM18038" s="1025"/>
      <c r="BO18038" s="43"/>
    </row>
    <row r="18039" spans="65:67" ht="18.75" customHeight="1">
      <c r="BM18039" s="1025"/>
      <c r="BO18039" s="43"/>
    </row>
    <row r="18040" spans="65:67" ht="18.75" customHeight="1">
      <c r="BM18040" s="1025"/>
      <c r="BO18040" s="43"/>
    </row>
    <row r="18041" spans="65:67" ht="18.75" customHeight="1">
      <c r="BM18041" s="1025"/>
      <c r="BO18041" s="43"/>
    </row>
    <row r="18042" spans="65:67" ht="18.75" customHeight="1">
      <c r="BM18042" s="1025"/>
      <c r="BO18042" s="43"/>
    </row>
    <row r="18043" spans="65:67" ht="18.75" customHeight="1">
      <c r="BM18043" s="1025"/>
      <c r="BO18043" s="43"/>
    </row>
    <row r="18044" spans="65:67" ht="18.75" customHeight="1">
      <c r="BM18044" s="1025"/>
      <c r="BO18044" s="43"/>
    </row>
    <row r="18045" spans="65:67" ht="18.75" customHeight="1">
      <c r="BM18045" s="1025"/>
      <c r="BO18045" s="43"/>
    </row>
    <row r="18046" spans="65:67" ht="18.75" customHeight="1">
      <c r="BM18046" s="1025"/>
      <c r="BO18046" s="43"/>
    </row>
    <row r="18047" spans="65:67" ht="18.75" customHeight="1">
      <c r="BM18047" s="1025"/>
      <c r="BO18047" s="43"/>
    </row>
    <row r="18048" spans="65:67" ht="18.75" customHeight="1">
      <c r="BM18048" s="1025"/>
      <c r="BO18048" s="43"/>
    </row>
    <row r="18049" spans="65:67" ht="18.75" customHeight="1">
      <c r="BM18049" s="1025"/>
      <c r="BO18049" s="43"/>
    </row>
    <row r="18050" spans="65:67" ht="18.75" customHeight="1">
      <c r="BM18050" s="1025"/>
      <c r="BO18050" s="43"/>
    </row>
    <row r="18051" spans="65:67" ht="18.75" customHeight="1">
      <c r="BM18051" s="1025"/>
      <c r="BO18051" s="43"/>
    </row>
    <row r="18052" spans="65:67" ht="18.75" customHeight="1">
      <c r="BM18052" s="1025"/>
      <c r="BO18052" s="43"/>
    </row>
    <row r="18053" spans="65:67" ht="18.75" customHeight="1">
      <c r="BM18053" s="1025"/>
      <c r="BO18053" s="43"/>
    </row>
    <row r="18054" spans="65:67" ht="18.75" customHeight="1">
      <c r="BM18054" s="1025"/>
      <c r="BO18054" s="43"/>
    </row>
    <row r="18055" spans="65:67" ht="18.75" customHeight="1">
      <c r="BM18055" s="1025"/>
      <c r="BO18055" s="43"/>
    </row>
    <row r="18056" spans="65:67" ht="18.75" customHeight="1">
      <c r="BM18056" s="1025"/>
      <c r="BO18056" s="43"/>
    </row>
    <row r="18057" spans="65:67" ht="18.75" customHeight="1">
      <c r="BM18057" s="1025"/>
      <c r="BO18057" s="43"/>
    </row>
    <row r="18058" spans="65:67" ht="18.75" customHeight="1">
      <c r="BM18058" s="1025"/>
      <c r="BO18058" s="43"/>
    </row>
    <row r="18059" spans="65:67" ht="18.75" customHeight="1">
      <c r="BM18059" s="1025"/>
      <c r="BO18059" s="43"/>
    </row>
    <row r="18060" spans="65:67" ht="18.75" customHeight="1">
      <c r="BM18060" s="1025"/>
      <c r="BO18060" s="43"/>
    </row>
    <row r="18061" spans="65:67" ht="18.75" customHeight="1">
      <c r="BM18061" s="1025"/>
      <c r="BO18061" s="43"/>
    </row>
    <row r="18062" spans="65:67" ht="18.75" customHeight="1">
      <c r="BM18062" s="1025"/>
      <c r="BO18062" s="43"/>
    </row>
    <row r="18063" spans="65:67" ht="18.75" customHeight="1">
      <c r="BM18063" s="1025"/>
      <c r="BO18063" s="43"/>
    </row>
    <row r="18064" spans="65:67" ht="18.75" customHeight="1">
      <c r="BM18064" s="1025"/>
      <c r="BO18064" s="43"/>
    </row>
    <row r="18065" spans="65:67" ht="18.75" customHeight="1">
      <c r="BM18065" s="1025"/>
      <c r="BO18065" s="43"/>
    </row>
    <row r="18066" spans="65:67" ht="18.75" customHeight="1">
      <c r="BM18066" s="1025"/>
      <c r="BO18066" s="43"/>
    </row>
    <row r="18067" spans="65:67" ht="18.75" customHeight="1">
      <c r="BM18067" s="1025"/>
      <c r="BO18067" s="43"/>
    </row>
    <row r="18068" spans="65:67" ht="18.75" customHeight="1">
      <c r="BM18068" s="1025"/>
      <c r="BO18068" s="43"/>
    </row>
    <row r="18069" spans="65:67" ht="18.75" customHeight="1">
      <c r="BM18069" s="1025"/>
      <c r="BO18069" s="43"/>
    </row>
    <row r="18070" spans="65:67" ht="18.75" customHeight="1">
      <c r="BM18070" s="1025"/>
      <c r="BO18070" s="43"/>
    </row>
    <row r="18071" spans="65:67" ht="18.75" customHeight="1">
      <c r="BM18071" s="1025"/>
      <c r="BO18071" s="43"/>
    </row>
    <row r="18072" spans="65:67" ht="18.75" customHeight="1">
      <c r="BM18072" s="1025"/>
      <c r="BO18072" s="43"/>
    </row>
    <row r="18073" spans="65:67" ht="18.75" customHeight="1">
      <c r="BM18073" s="1025"/>
      <c r="BO18073" s="43"/>
    </row>
    <row r="18074" spans="65:67" ht="18.75" customHeight="1">
      <c r="BM18074" s="1025"/>
      <c r="BO18074" s="43"/>
    </row>
    <row r="18075" spans="65:67" ht="18.75" customHeight="1">
      <c r="BM18075" s="1025"/>
      <c r="BO18075" s="43"/>
    </row>
    <row r="18076" spans="65:67" ht="18.75" customHeight="1">
      <c r="BM18076" s="1025"/>
      <c r="BO18076" s="43"/>
    </row>
    <row r="18077" spans="65:67" ht="18.75" customHeight="1">
      <c r="BM18077" s="1025"/>
      <c r="BO18077" s="43"/>
    </row>
    <row r="18078" spans="65:67" ht="18.75" customHeight="1">
      <c r="BM18078" s="1025"/>
      <c r="BO18078" s="43"/>
    </row>
    <row r="18079" spans="65:67" ht="18.75" customHeight="1">
      <c r="BM18079" s="1025"/>
      <c r="BO18079" s="43"/>
    </row>
    <row r="18080" spans="65:67" ht="18.75" customHeight="1">
      <c r="BM18080" s="1025"/>
      <c r="BO18080" s="43"/>
    </row>
    <row r="18081" spans="65:67" ht="18.75" customHeight="1">
      <c r="BM18081" s="1025"/>
      <c r="BO18081" s="43"/>
    </row>
    <row r="18082" spans="65:67" ht="18.75" customHeight="1">
      <c r="BM18082" s="1025"/>
      <c r="BO18082" s="43"/>
    </row>
    <row r="18083" spans="65:67" ht="18.75" customHeight="1">
      <c r="BM18083" s="1025"/>
      <c r="BO18083" s="43"/>
    </row>
    <row r="18084" spans="65:67" ht="18.75" customHeight="1">
      <c r="BM18084" s="1025"/>
      <c r="BO18084" s="43"/>
    </row>
    <row r="18085" spans="65:67" ht="18.75" customHeight="1">
      <c r="BM18085" s="1025"/>
      <c r="BO18085" s="43"/>
    </row>
    <row r="18086" spans="65:67" ht="18.75" customHeight="1">
      <c r="BM18086" s="1025"/>
      <c r="BO18086" s="43"/>
    </row>
    <row r="18087" spans="65:67" ht="18.75" customHeight="1">
      <c r="BM18087" s="1025"/>
      <c r="BO18087" s="43"/>
    </row>
    <row r="18088" spans="65:67" ht="18.75" customHeight="1">
      <c r="BM18088" s="1025"/>
      <c r="BO18088" s="43"/>
    </row>
    <row r="18089" spans="65:67" ht="18.75" customHeight="1">
      <c r="BM18089" s="1025"/>
      <c r="BO18089" s="43"/>
    </row>
    <row r="18090" spans="65:67" ht="18.75" customHeight="1">
      <c r="BM18090" s="1025"/>
      <c r="BO18090" s="43"/>
    </row>
    <row r="18091" spans="65:67" ht="18.75" customHeight="1">
      <c r="BM18091" s="1025"/>
      <c r="BO18091" s="43"/>
    </row>
    <row r="18092" spans="65:67" ht="18.75" customHeight="1">
      <c r="BM18092" s="1025"/>
      <c r="BO18092" s="43"/>
    </row>
    <row r="18093" spans="65:67" ht="18.75" customHeight="1">
      <c r="BM18093" s="1025"/>
      <c r="BO18093" s="43"/>
    </row>
    <row r="18094" spans="65:67" ht="18.75" customHeight="1">
      <c r="BM18094" s="1025"/>
      <c r="BO18094" s="43"/>
    </row>
    <row r="18095" spans="65:67" ht="18.75" customHeight="1">
      <c r="BM18095" s="1025"/>
      <c r="BO18095" s="43"/>
    </row>
    <row r="18096" spans="65:67" ht="18.75" customHeight="1">
      <c r="BM18096" s="1025"/>
      <c r="BO18096" s="43"/>
    </row>
    <row r="18097" spans="65:67" ht="18.75" customHeight="1">
      <c r="BM18097" s="1025"/>
      <c r="BO18097" s="43"/>
    </row>
    <row r="18098" spans="65:67" ht="18.75" customHeight="1">
      <c r="BM18098" s="1025"/>
      <c r="BO18098" s="43"/>
    </row>
    <row r="18099" spans="65:67" ht="18.75" customHeight="1">
      <c r="BM18099" s="1025"/>
      <c r="BO18099" s="43"/>
    </row>
    <row r="18100" spans="65:67" ht="18.75" customHeight="1">
      <c r="BM18100" s="1025"/>
      <c r="BO18100" s="43"/>
    </row>
    <row r="18101" spans="65:67" ht="18.75" customHeight="1">
      <c r="BM18101" s="1025"/>
      <c r="BO18101" s="43"/>
    </row>
    <row r="18102" spans="65:67" ht="18.75" customHeight="1">
      <c r="BM18102" s="1025"/>
      <c r="BO18102" s="43"/>
    </row>
    <row r="18103" spans="65:67" ht="18.75" customHeight="1">
      <c r="BM18103" s="1025"/>
      <c r="BO18103" s="43"/>
    </row>
    <row r="18104" spans="65:67" ht="18.75" customHeight="1">
      <c r="BM18104" s="1025"/>
      <c r="BO18104" s="43"/>
    </row>
    <row r="18105" spans="65:67" ht="18.75" customHeight="1">
      <c r="BM18105" s="1025"/>
      <c r="BO18105" s="43"/>
    </row>
    <row r="18106" spans="65:67" ht="18.75" customHeight="1">
      <c r="BM18106" s="1025"/>
      <c r="BO18106" s="43"/>
    </row>
    <row r="18107" spans="65:67" ht="18.75" customHeight="1">
      <c r="BM18107" s="1025"/>
      <c r="BO18107" s="43"/>
    </row>
    <row r="18108" spans="65:67" ht="18.75" customHeight="1">
      <c r="BM18108" s="1025"/>
      <c r="BO18108" s="43"/>
    </row>
    <row r="18109" spans="65:67" ht="18.75" customHeight="1">
      <c r="BM18109" s="1025"/>
      <c r="BO18109" s="43"/>
    </row>
    <row r="18110" spans="65:67" ht="18.75" customHeight="1">
      <c r="BM18110" s="1025"/>
      <c r="BO18110" s="43"/>
    </row>
    <row r="18111" spans="65:67" ht="18.75" customHeight="1">
      <c r="BM18111" s="1025"/>
      <c r="BO18111" s="43"/>
    </row>
    <row r="18112" spans="65:67" ht="18.75" customHeight="1">
      <c r="BM18112" s="1025"/>
      <c r="BO18112" s="43"/>
    </row>
    <row r="18113" spans="65:67" ht="18.75" customHeight="1">
      <c r="BM18113" s="1025"/>
      <c r="BO18113" s="43"/>
    </row>
    <row r="18114" spans="65:67" ht="18.75" customHeight="1">
      <c r="BM18114" s="1025"/>
      <c r="BO18114" s="43"/>
    </row>
    <row r="18115" spans="65:67" ht="18.75" customHeight="1">
      <c r="BM18115" s="1025"/>
      <c r="BO18115" s="43"/>
    </row>
    <row r="18116" spans="65:67" ht="18.75" customHeight="1">
      <c r="BM18116" s="1025"/>
      <c r="BO18116" s="43"/>
    </row>
    <row r="18117" spans="65:67" ht="18.75" customHeight="1">
      <c r="BM18117" s="1025"/>
      <c r="BO18117" s="43"/>
    </row>
    <row r="18118" spans="65:67" ht="18.75" customHeight="1">
      <c r="BM18118" s="1025"/>
      <c r="BO18118" s="43"/>
    </row>
    <row r="18119" spans="65:67" ht="18.75" customHeight="1">
      <c r="BM18119" s="1025"/>
      <c r="BO18119" s="43"/>
    </row>
    <row r="18120" spans="65:67" ht="18.75" customHeight="1">
      <c r="BM18120" s="1025"/>
      <c r="BO18120" s="43"/>
    </row>
    <row r="18121" spans="65:67" ht="18.75" customHeight="1">
      <c r="BM18121" s="1025"/>
      <c r="BO18121" s="43"/>
    </row>
    <row r="18122" spans="65:67" ht="18.75" customHeight="1">
      <c r="BM18122" s="1025"/>
      <c r="BO18122" s="43"/>
    </row>
    <row r="18123" spans="65:67" ht="18.75" customHeight="1">
      <c r="BM18123" s="1025"/>
      <c r="BO18123" s="43"/>
    </row>
    <row r="18124" spans="65:67" ht="18.75" customHeight="1">
      <c r="BM18124" s="1025"/>
      <c r="BO18124" s="43"/>
    </row>
    <row r="18125" spans="65:67" ht="18.75" customHeight="1">
      <c r="BM18125" s="1025"/>
      <c r="BO18125" s="43"/>
    </row>
    <row r="18126" spans="65:67" ht="18.75" customHeight="1">
      <c r="BM18126" s="1025"/>
      <c r="BO18126" s="43"/>
    </row>
    <row r="18127" spans="65:67" ht="18.75" customHeight="1">
      <c r="BM18127" s="1025"/>
      <c r="BO18127" s="43"/>
    </row>
    <row r="18128" spans="65:67" ht="18.75" customHeight="1">
      <c r="BM18128" s="1025"/>
      <c r="BO18128" s="43"/>
    </row>
    <row r="18129" spans="65:67" ht="18.75" customHeight="1">
      <c r="BM18129" s="1025"/>
      <c r="BO18129" s="43"/>
    </row>
    <row r="18130" spans="65:67" ht="18.75" customHeight="1">
      <c r="BM18130" s="1025"/>
      <c r="BO18130" s="43"/>
    </row>
    <row r="18131" spans="65:67" ht="18.75" customHeight="1">
      <c r="BM18131" s="1025"/>
      <c r="BO18131" s="43"/>
    </row>
    <row r="18132" spans="65:67" ht="18.75" customHeight="1">
      <c r="BM18132" s="1025"/>
      <c r="BO18132" s="43"/>
    </row>
    <row r="18133" spans="65:67" ht="18.75" customHeight="1">
      <c r="BM18133" s="1025"/>
      <c r="BO18133" s="43"/>
    </row>
    <row r="18134" spans="65:67" ht="18.75" customHeight="1">
      <c r="BM18134" s="1025"/>
      <c r="BO18134" s="43"/>
    </row>
    <row r="18135" spans="65:67" ht="18.75" customHeight="1">
      <c r="BM18135" s="1025"/>
      <c r="BO18135" s="43"/>
    </row>
    <row r="18136" spans="65:67" ht="18.75" customHeight="1">
      <c r="BM18136" s="1025"/>
      <c r="BO18136" s="43"/>
    </row>
    <row r="18137" spans="65:67" ht="18.75" customHeight="1">
      <c r="BM18137" s="1025"/>
      <c r="BO18137" s="43"/>
    </row>
    <row r="18138" spans="65:67" ht="18.75" customHeight="1">
      <c r="BM18138" s="1025"/>
      <c r="BO18138" s="43"/>
    </row>
    <row r="18139" spans="65:67" ht="18.75" customHeight="1">
      <c r="BM18139" s="1025"/>
      <c r="BO18139" s="43"/>
    </row>
    <row r="18140" spans="65:67" ht="18.75" customHeight="1">
      <c r="BM18140" s="1025"/>
      <c r="BO18140" s="43"/>
    </row>
    <row r="18141" spans="65:67" ht="18.75" customHeight="1">
      <c r="BM18141" s="1025"/>
      <c r="BO18141" s="43"/>
    </row>
    <row r="18142" spans="65:67" ht="18.75" customHeight="1">
      <c r="BM18142" s="1025"/>
      <c r="BO18142" s="43"/>
    </row>
    <row r="18143" spans="65:67" ht="18.75" customHeight="1">
      <c r="BM18143" s="1025"/>
      <c r="BO18143" s="43"/>
    </row>
    <row r="18144" spans="65:67" ht="18.75" customHeight="1">
      <c r="BM18144" s="1025"/>
      <c r="BO18144" s="43"/>
    </row>
    <row r="18145" spans="65:67" ht="18.75" customHeight="1">
      <c r="BM18145" s="1025"/>
      <c r="BO18145" s="43"/>
    </row>
    <row r="18146" spans="65:67" ht="18.75" customHeight="1">
      <c r="BM18146" s="1025"/>
      <c r="BO18146" s="43"/>
    </row>
    <row r="18147" spans="65:67" ht="18.75" customHeight="1">
      <c r="BM18147" s="1025"/>
      <c r="BO18147" s="43"/>
    </row>
    <row r="18148" spans="65:67" ht="18.75" customHeight="1">
      <c r="BM18148" s="1025"/>
      <c r="BO18148" s="43"/>
    </row>
    <row r="18149" spans="65:67" ht="18.75" customHeight="1">
      <c r="BM18149" s="1025"/>
      <c r="BO18149" s="43"/>
    </row>
    <row r="18150" spans="65:67" ht="18.75" customHeight="1">
      <c r="BM18150" s="1025"/>
      <c r="BO18150" s="43"/>
    </row>
    <row r="18151" spans="65:67" ht="18.75" customHeight="1">
      <c r="BM18151" s="1025"/>
      <c r="BO18151" s="43"/>
    </row>
    <row r="18152" spans="65:67" ht="18.75" customHeight="1">
      <c r="BM18152" s="1025"/>
      <c r="BO18152" s="43"/>
    </row>
    <row r="18153" spans="65:67" ht="18.75" customHeight="1">
      <c r="BM18153" s="1025"/>
      <c r="BO18153" s="43"/>
    </row>
    <row r="18154" spans="65:67" ht="18.75" customHeight="1">
      <c r="BM18154" s="1025"/>
      <c r="BO18154" s="43"/>
    </row>
    <row r="18155" spans="65:67" ht="18.75" customHeight="1">
      <c r="BM18155" s="1025"/>
      <c r="BO18155" s="43"/>
    </row>
    <row r="18156" spans="65:67" ht="18.75" customHeight="1">
      <c r="BM18156" s="1025"/>
      <c r="BO18156" s="43"/>
    </row>
    <row r="18157" spans="65:67" ht="18.75" customHeight="1">
      <c r="BM18157" s="1025"/>
      <c r="BO18157" s="43"/>
    </row>
    <row r="18158" spans="65:67" ht="18.75" customHeight="1">
      <c r="BM18158" s="1025"/>
      <c r="BO18158" s="43"/>
    </row>
    <row r="18159" spans="65:67" ht="18.75" customHeight="1">
      <c r="BM18159" s="1025"/>
      <c r="BO18159" s="43"/>
    </row>
    <row r="18160" spans="65:67" ht="18.75" customHeight="1">
      <c r="BM18160" s="1025"/>
      <c r="BO18160" s="43"/>
    </row>
    <row r="18161" spans="65:67" ht="18.75" customHeight="1">
      <c r="BM18161" s="1025"/>
      <c r="BO18161" s="43"/>
    </row>
    <row r="18162" spans="65:67" ht="18.75" customHeight="1">
      <c r="BM18162" s="1025"/>
      <c r="BO18162" s="43"/>
    </row>
    <row r="18163" spans="65:67" ht="18.75" customHeight="1">
      <c r="BM18163" s="1025"/>
      <c r="BO18163" s="43"/>
    </row>
    <row r="18164" spans="65:67" ht="18.75" customHeight="1">
      <c r="BM18164" s="1025"/>
      <c r="BO18164" s="43"/>
    </row>
    <row r="18165" spans="65:67" ht="18.75" customHeight="1">
      <c r="BM18165" s="1025"/>
      <c r="BO18165" s="43"/>
    </row>
    <row r="18166" spans="65:67" ht="18.75" customHeight="1">
      <c r="BM18166" s="1025"/>
      <c r="BO18166" s="43"/>
    </row>
    <row r="18167" spans="65:67" ht="18.75" customHeight="1">
      <c r="BM18167" s="1025"/>
      <c r="BO18167" s="43"/>
    </row>
    <row r="18168" spans="65:67" ht="18.75" customHeight="1">
      <c r="BM18168" s="1025"/>
      <c r="BO18168" s="43"/>
    </row>
    <row r="18169" spans="65:67" ht="18.75" customHeight="1">
      <c r="BM18169" s="1025"/>
      <c r="BO18169" s="43"/>
    </row>
    <row r="18170" spans="65:67" ht="18.75" customHeight="1">
      <c r="BM18170" s="1025"/>
      <c r="BO18170" s="43"/>
    </row>
    <row r="18171" spans="65:67" ht="18.75" customHeight="1">
      <c r="BM18171" s="1025"/>
      <c r="BO18171" s="43"/>
    </row>
    <row r="18172" spans="65:67" ht="18.75" customHeight="1">
      <c r="BM18172" s="1025"/>
      <c r="BO18172" s="43"/>
    </row>
    <row r="18173" spans="65:67" ht="18.75" customHeight="1">
      <c r="BM18173" s="1025"/>
      <c r="BO18173" s="43"/>
    </row>
    <row r="18174" spans="65:67" ht="18.75" customHeight="1">
      <c r="BM18174" s="1025"/>
      <c r="BO18174" s="43"/>
    </row>
    <row r="18175" spans="65:67" ht="18.75" customHeight="1">
      <c r="BM18175" s="1025"/>
      <c r="BO18175" s="43"/>
    </row>
    <row r="18176" spans="65:67" ht="18.75" customHeight="1">
      <c r="BM18176" s="1025"/>
      <c r="BO18176" s="43"/>
    </row>
    <row r="18177" spans="65:67" ht="18.75" customHeight="1">
      <c r="BM18177" s="1025"/>
      <c r="BO18177" s="43"/>
    </row>
    <row r="18178" spans="65:67" ht="18.75" customHeight="1">
      <c r="BM18178" s="1025"/>
      <c r="BO18178" s="43"/>
    </row>
    <row r="18179" spans="65:67" ht="18.75" customHeight="1">
      <c r="BM18179" s="1025"/>
      <c r="BO18179" s="43"/>
    </row>
    <row r="18180" spans="65:67" ht="18.75" customHeight="1">
      <c r="BM18180" s="1025"/>
      <c r="BO18180" s="43"/>
    </row>
    <row r="18181" spans="65:67" ht="18.75" customHeight="1">
      <c r="BM18181" s="1025"/>
      <c r="BO18181" s="43"/>
    </row>
    <row r="18182" spans="65:67" ht="18.75" customHeight="1">
      <c r="BM18182" s="1025"/>
      <c r="BO18182" s="43"/>
    </row>
    <row r="18183" spans="65:67" ht="18.75" customHeight="1">
      <c r="BM18183" s="1025"/>
      <c r="BO18183" s="43"/>
    </row>
    <row r="18184" spans="65:67" ht="18.75" customHeight="1">
      <c r="BM18184" s="1025"/>
      <c r="BO18184" s="43"/>
    </row>
    <row r="18185" spans="65:67" ht="18.75" customHeight="1">
      <c r="BM18185" s="1025"/>
      <c r="BO18185" s="43"/>
    </row>
    <row r="18186" spans="65:67" ht="18.75" customHeight="1">
      <c r="BM18186" s="1025"/>
      <c r="BO18186" s="43"/>
    </row>
    <row r="18187" spans="65:67" ht="18.75" customHeight="1">
      <c r="BM18187" s="1025"/>
      <c r="BO18187" s="43"/>
    </row>
    <row r="18188" spans="65:67" ht="18.75" customHeight="1">
      <c r="BM18188" s="1025"/>
      <c r="BO18188" s="43"/>
    </row>
    <row r="18189" spans="65:67" ht="18.75" customHeight="1">
      <c r="BM18189" s="1025"/>
      <c r="BO18189" s="43"/>
    </row>
    <row r="18190" spans="65:67" ht="18.75" customHeight="1">
      <c r="BM18190" s="1025"/>
      <c r="BO18190" s="43"/>
    </row>
    <row r="18191" spans="65:67" ht="18.75" customHeight="1">
      <c r="BM18191" s="1025"/>
      <c r="BO18191" s="43"/>
    </row>
    <row r="18192" spans="65:67" ht="18.75" customHeight="1">
      <c r="BM18192" s="1025"/>
      <c r="BO18192" s="43"/>
    </row>
    <row r="18193" spans="65:67" ht="18.75" customHeight="1">
      <c r="BM18193" s="1025"/>
      <c r="BO18193" s="43"/>
    </row>
    <row r="18194" spans="65:67" ht="18.75" customHeight="1">
      <c r="BM18194" s="1025"/>
      <c r="BO18194" s="43"/>
    </row>
    <row r="18195" spans="65:67" ht="18.75" customHeight="1">
      <c r="BM18195" s="1025"/>
      <c r="BO18195" s="43"/>
    </row>
    <row r="18196" spans="65:67" ht="18.75" customHeight="1">
      <c r="BM18196" s="1025"/>
      <c r="BO18196" s="43"/>
    </row>
    <row r="18197" spans="65:67" ht="18.75" customHeight="1">
      <c r="BM18197" s="1025"/>
      <c r="BO18197" s="43"/>
    </row>
    <row r="18198" spans="65:67" ht="18.75" customHeight="1">
      <c r="BM18198" s="1025"/>
      <c r="BO18198" s="43"/>
    </row>
    <row r="18199" spans="65:67" ht="18.75" customHeight="1">
      <c r="BM18199" s="1025"/>
      <c r="BO18199" s="43"/>
    </row>
    <row r="18200" spans="65:67" ht="18.75" customHeight="1">
      <c r="BM18200" s="1025"/>
      <c r="BO18200" s="43"/>
    </row>
    <row r="18201" spans="65:67" ht="18.75" customHeight="1">
      <c r="BM18201" s="1025"/>
      <c r="BO18201" s="43"/>
    </row>
    <row r="18202" spans="65:67" ht="18.75" customHeight="1">
      <c r="BM18202" s="1025"/>
      <c r="BO18202" s="43"/>
    </row>
    <row r="18203" spans="65:67" ht="18.75" customHeight="1">
      <c r="BM18203" s="1025"/>
      <c r="BO18203" s="43"/>
    </row>
    <row r="18204" spans="65:67" ht="18.75" customHeight="1">
      <c r="BM18204" s="1025"/>
      <c r="BO18204" s="43"/>
    </row>
    <row r="18205" spans="65:67" ht="18.75" customHeight="1">
      <c r="BM18205" s="1025"/>
      <c r="BO18205" s="43"/>
    </row>
    <row r="18206" spans="65:67" ht="18.75" customHeight="1">
      <c r="BM18206" s="1025"/>
      <c r="BO18206" s="43"/>
    </row>
    <row r="18207" spans="65:67" ht="18.75" customHeight="1">
      <c r="BM18207" s="1025"/>
      <c r="BO18207" s="43"/>
    </row>
    <row r="18208" spans="65:67" ht="18.75" customHeight="1">
      <c r="BM18208" s="1025"/>
      <c r="BO18208" s="43"/>
    </row>
    <row r="18209" spans="65:67" ht="18.75" customHeight="1">
      <c r="BM18209" s="1025"/>
      <c r="BO18209" s="43"/>
    </row>
    <row r="18210" spans="65:67" ht="18.75" customHeight="1">
      <c r="BM18210" s="1025"/>
      <c r="BO18210" s="43"/>
    </row>
    <row r="18211" spans="65:67" ht="18.75" customHeight="1">
      <c r="BM18211" s="1025"/>
      <c r="BO18211" s="43"/>
    </row>
    <row r="18212" spans="65:67" ht="18.75" customHeight="1">
      <c r="BM18212" s="1025"/>
      <c r="BO18212" s="43"/>
    </row>
    <row r="18213" spans="65:67" ht="18.75" customHeight="1">
      <c r="BM18213" s="1025"/>
      <c r="BO18213" s="43"/>
    </row>
    <row r="18214" spans="65:67" ht="18.75" customHeight="1">
      <c r="BM18214" s="1025"/>
      <c r="BO18214" s="43"/>
    </row>
    <row r="18215" spans="65:67" ht="18.75" customHeight="1">
      <c r="BM18215" s="1025"/>
      <c r="BO18215" s="43"/>
    </row>
    <row r="18216" spans="65:67" ht="18.75" customHeight="1">
      <c r="BM18216" s="1025"/>
      <c r="BO18216" s="43"/>
    </row>
    <row r="18217" spans="65:67" ht="18.75" customHeight="1">
      <c r="BM18217" s="1025"/>
      <c r="BO18217" s="43"/>
    </row>
    <row r="18218" spans="65:67" ht="18.75" customHeight="1">
      <c r="BM18218" s="1025"/>
      <c r="BO18218" s="43"/>
    </row>
    <row r="18219" spans="65:67" ht="18.75" customHeight="1">
      <c r="BM18219" s="1025"/>
      <c r="BO18219" s="43"/>
    </row>
    <row r="18220" spans="65:67" ht="18.75" customHeight="1">
      <c r="BM18220" s="1025"/>
      <c r="BO18220" s="43"/>
    </row>
    <row r="18221" spans="65:67" ht="18.75" customHeight="1">
      <c r="BM18221" s="1025"/>
      <c r="BO18221" s="43"/>
    </row>
    <row r="18222" spans="65:67" ht="18.75" customHeight="1">
      <c r="BM18222" s="1025"/>
      <c r="BO18222" s="43"/>
    </row>
    <row r="18223" spans="65:67" ht="18.75" customHeight="1">
      <c r="BM18223" s="1025"/>
      <c r="BO18223" s="43"/>
    </row>
    <row r="18224" spans="65:67" ht="18.75" customHeight="1">
      <c r="BM18224" s="1025"/>
      <c r="BO18224" s="43"/>
    </row>
    <row r="18225" spans="65:67" ht="18.75" customHeight="1">
      <c r="BM18225" s="1025"/>
      <c r="BO18225" s="43"/>
    </row>
    <row r="18226" spans="65:67" ht="18.75" customHeight="1">
      <c r="BM18226" s="1025"/>
      <c r="BO18226" s="43"/>
    </row>
    <row r="18227" spans="65:67" ht="18.75" customHeight="1">
      <c r="BM18227" s="1025"/>
      <c r="BO18227" s="43"/>
    </row>
    <row r="18228" spans="65:67" ht="18.75" customHeight="1">
      <c r="BM18228" s="1025"/>
      <c r="BO18228" s="43"/>
    </row>
    <row r="18229" spans="65:67" ht="18.75" customHeight="1">
      <c r="BM18229" s="1025"/>
      <c r="BO18229" s="43"/>
    </row>
    <row r="18230" spans="65:67" ht="18.75" customHeight="1">
      <c r="BM18230" s="1025"/>
      <c r="BO18230" s="43"/>
    </row>
    <row r="18231" spans="65:67" ht="18.75" customHeight="1">
      <c r="BM18231" s="1025"/>
      <c r="BO18231" s="43"/>
    </row>
    <row r="18232" spans="65:67" ht="18.75" customHeight="1">
      <c r="BM18232" s="1025"/>
      <c r="BO18232" s="43"/>
    </row>
    <row r="18233" spans="65:67" ht="18.75" customHeight="1">
      <c r="BM18233" s="1025"/>
      <c r="BO18233" s="43"/>
    </row>
    <row r="18234" spans="65:67" ht="18.75" customHeight="1">
      <c r="BM18234" s="1025"/>
      <c r="BO18234" s="43"/>
    </row>
    <row r="18235" spans="65:67" ht="18.75" customHeight="1">
      <c r="BM18235" s="1025"/>
      <c r="BO18235" s="43"/>
    </row>
    <row r="18236" spans="65:67" ht="18.75" customHeight="1">
      <c r="BM18236" s="1025"/>
      <c r="BO18236" s="43"/>
    </row>
    <row r="18237" spans="65:67" ht="18.75" customHeight="1">
      <c r="BM18237" s="1025"/>
      <c r="BO18237" s="43"/>
    </row>
    <row r="18238" spans="65:67" ht="18.75" customHeight="1">
      <c r="BM18238" s="1025"/>
      <c r="BO18238" s="43"/>
    </row>
    <row r="18239" spans="65:67" ht="18.75" customHeight="1">
      <c r="BM18239" s="1025"/>
      <c r="BO18239" s="43"/>
    </row>
    <row r="18240" spans="65:67" ht="18.75" customHeight="1">
      <c r="BM18240" s="1025"/>
      <c r="BO18240" s="43"/>
    </row>
    <row r="18241" spans="65:67" ht="18.75" customHeight="1">
      <c r="BM18241" s="1025"/>
      <c r="BO18241" s="43"/>
    </row>
    <row r="18242" spans="65:67" ht="18.75" customHeight="1">
      <c r="BM18242" s="1025"/>
      <c r="BO18242" s="43"/>
    </row>
    <row r="18243" spans="65:67" ht="18.75" customHeight="1">
      <c r="BM18243" s="1025"/>
      <c r="BO18243" s="43"/>
    </row>
    <row r="18244" spans="65:67" ht="18.75" customHeight="1">
      <c r="BM18244" s="1025"/>
      <c r="BO18244" s="43"/>
    </row>
    <row r="18245" spans="65:67" ht="18.75" customHeight="1">
      <c r="BM18245" s="1025"/>
      <c r="BO18245" s="43"/>
    </row>
    <row r="18246" spans="65:67" ht="18.75" customHeight="1">
      <c r="BM18246" s="1025"/>
      <c r="BO18246" s="43"/>
    </row>
    <row r="18247" spans="65:67" ht="18.75" customHeight="1">
      <c r="BM18247" s="1025"/>
      <c r="BO18247" s="43"/>
    </row>
    <row r="18248" spans="65:67" ht="18.75" customHeight="1">
      <c r="BM18248" s="1025"/>
      <c r="BO18248" s="43"/>
    </row>
    <row r="18249" spans="65:67" ht="18.75" customHeight="1">
      <c r="BM18249" s="1025"/>
      <c r="BO18249" s="43"/>
    </row>
    <row r="18250" spans="65:67" ht="18.75" customHeight="1">
      <c r="BM18250" s="1025"/>
      <c r="BO18250" s="43"/>
    </row>
    <row r="18251" spans="65:67" ht="18.75" customHeight="1">
      <c r="BM18251" s="1025"/>
      <c r="BO18251" s="43"/>
    </row>
    <row r="18252" spans="65:67" ht="18.75" customHeight="1">
      <c r="BM18252" s="1025"/>
      <c r="BO18252" s="43"/>
    </row>
    <row r="18253" spans="65:67" ht="18.75" customHeight="1">
      <c r="BM18253" s="1025"/>
      <c r="BO18253" s="43"/>
    </row>
    <row r="18254" spans="65:67" ht="18.75" customHeight="1">
      <c r="BM18254" s="1025"/>
      <c r="BO18254" s="43"/>
    </row>
    <row r="18255" spans="65:67" ht="18.75" customHeight="1">
      <c r="BM18255" s="1025"/>
      <c r="BO18255" s="43"/>
    </row>
    <row r="18256" spans="65:67" ht="18.75" customHeight="1">
      <c r="BM18256" s="1025"/>
      <c r="BO18256" s="43"/>
    </row>
    <row r="18257" spans="65:67" ht="18.75" customHeight="1">
      <c r="BM18257" s="1025"/>
      <c r="BO18257" s="43"/>
    </row>
    <row r="18258" spans="65:67" ht="18.75" customHeight="1">
      <c r="BM18258" s="1025"/>
      <c r="BO18258" s="43"/>
    </row>
    <row r="18259" spans="65:67" ht="18.75" customHeight="1">
      <c r="BM18259" s="1025"/>
      <c r="BO18259" s="43"/>
    </row>
    <row r="18260" spans="65:67" ht="18.75" customHeight="1">
      <c r="BM18260" s="1025"/>
      <c r="BO18260" s="43"/>
    </row>
    <row r="18261" spans="65:67" ht="18.75" customHeight="1">
      <c r="BM18261" s="1025"/>
      <c r="BO18261" s="43"/>
    </row>
    <row r="18262" spans="65:67" ht="18.75" customHeight="1">
      <c r="BM18262" s="1025"/>
      <c r="BO18262" s="43"/>
    </row>
    <row r="18263" spans="65:67" ht="18.75" customHeight="1">
      <c r="BM18263" s="1025"/>
      <c r="BO18263" s="43"/>
    </row>
    <row r="18264" spans="65:67" ht="18.75" customHeight="1">
      <c r="BM18264" s="1025"/>
      <c r="BO18264" s="43"/>
    </row>
    <row r="18265" spans="65:67" ht="18.75" customHeight="1">
      <c r="BM18265" s="1025"/>
      <c r="BO18265" s="43"/>
    </row>
    <row r="18266" spans="65:67" ht="18.75" customHeight="1">
      <c r="BM18266" s="1025"/>
      <c r="BO18266" s="43"/>
    </row>
    <row r="18267" spans="65:67" ht="18.75" customHeight="1">
      <c r="BM18267" s="1025"/>
      <c r="BO18267" s="43"/>
    </row>
    <row r="18268" spans="65:67" ht="18.75" customHeight="1">
      <c r="BM18268" s="1025"/>
      <c r="BO18268" s="43"/>
    </row>
    <row r="18269" spans="65:67" ht="18.75" customHeight="1">
      <c r="BM18269" s="1025"/>
      <c r="BO18269" s="43"/>
    </row>
    <row r="18270" spans="65:67" ht="18.75" customHeight="1">
      <c r="BM18270" s="1025"/>
      <c r="BO18270" s="43"/>
    </row>
    <row r="18271" spans="65:67" ht="18.75" customHeight="1">
      <c r="BM18271" s="1025"/>
      <c r="BO18271" s="43"/>
    </row>
    <row r="18272" spans="65:67" ht="18.75" customHeight="1">
      <c r="BM18272" s="1025"/>
      <c r="BO18272" s="43"/>
    </row>
    <row r="18273" spans="65:67" ht="18.75" customHeight="1">
      <c r="BM18273" s="1025"/>
      <c r="BO18273" s="43"/>
    </row>
    <row r="18274" spans="65:67" ht="18.75" customHeight="1">
      <c r="BM18274" s="1025"/>
      <c r="BO18274" s="43"/>
    </row>
    <row r="18275" spans="65:67" ht="18.75" customHeight="1">
      <c r="BM18275" s="1025"/>
      <c r="BO18275" s="43"/>
    </row>
    <row r="18276" spans="65:67" ht="18.75" customHeight="1">
      <c r="BM18276" s="1025"/>
      <c r="BO18276" s="43"/>
    </row>
    <row r="18277" spans="65:67" ht="18.75" customHeight="1">
      <c r="BM18277" s="1025"/>
      <c r="BO18277" s="43"/>
    </row>
    <row r="18278" spans="65:67" ht="18.75" customHeight="1">
      <c r="BM18278" s="1025"/>
      <c r="BO18278" s="43"/>
    </row>
    <row r="18279" spans="65:67" ht="18.75" customHeight="1">
      <c r="BM18279" s="1025"/>
      <c r="BO18279" s="43"/>
    </row>
    <row r="18280" spans="65:67" ht="18.75" customHeight="1">
      <c r="BM18280" s="1025"/>
      <c r="BO18280" s="43"/>
    </row>
    <row r="18281" spans="65:67" ht="18.75" customHeight="1">
      <c r="BM18281" s="1025"/>
      <c r="BO18281" s="43"/>
    </row>
    <row r="18282" spans="65:67" ht="18.75" customHeight="1">
      <c r="BM18282" s="1025"/>
      <c r="BO18282" s="43"/>
    </row>
    <row r="18283" spans="65:67" ht="18.75" customHeight="1">
      <c r="BM18283" s="1025"/>
      <c r="BO18283" s="43"/>
    </row>
    <row r="18284" spans="65:67" ht="18.75" customHeight="1">
      <c r="BM18284" s="1025"/>
      <c r="BO18284" s="43"/>
    </row>
    <row r="18285" spans="65:67" ht="18.75" customHeight="1">
      <c r="BM18285" s="1025"/>
      <c r="BO18285" s="43"/>
    </row>
    <row r="18286" spans="65:67" ht="18.75" customHeight="1">
      <c r="BM18286" s="1025"/>
      <c r="BO18286" s="43"/>
    </row>
    <row r="18287" spans="65:67" ht="18.75" customHeight="1">
      <c r="BM18287" s="1025"/>
      <c r="BO18287" s="43"/>
    </row>
    <row r="18288" spans="65:67" ht="18.75" customHeight="1">
      <c r="BM18288" s="1025"/>
      <c r="BO18288" s="43"/>
    </row>
    <row r="18289" spans="65:67" ht="18.75" customHeight="1">
      <c r="BM18289" s="1025"/>
      <c r="BO18289" s="43"/>
    </row>
    <row r="18290" spans="65:67" ht="18.75" customHeight="1">
      <c r="BM18290" s="1025"/>
      <c r="BO18290" s="43"/>
    </row>
    <row r="18291" spans="65:67" ht="18.75" customHeight="1">
      <c r="BM18291" s="1025"/>
      <c r="BO18291" s="43"/>
    </row>
    <row r="18292" spans="65:67" ht="18.75" customHeight="1">
      <c r="BM18292" s="1025"/>
      <c r="BO18292" s="43"/>
    </row>
    <row r="18293" spans="65:67" ht="18.75" customHeight="1">
      <c r="BM18293" s="1025"/>
      <c r="BO18293" s="43"/>
    </row>
    <row r="18294" spans="65:67" ht="18.75" customHeight="1">
      <c r="BM18294" s="1025"/>
      <c r="BO18294" s="43"/>
    </row>
    <row r="18295" spans="65:67" ht="18.75" customHeight="1">
      <c r="BM18295" s="1025"/>
      <c r="BO18295" s="43"/>
    </row>
    <row r="18296" spans="65:67" ht="18.75" customHeight="1">
      <c r="BM18296" s="1025"/>
      <c r="BO18296" s="43"/>
    </row>
    <row r="18297" spans="65:67" ht="18.75" customHeight="1">
      <c r="BM18297" s="1025"/>
      <c r="BO18297" s="43"/>
    </row>
    <row r="18298" spans="65:67" ht="18.75" customHeight="1">
      <c r="BM18298" s="1025"/>
      <c r="BO18298" s="43"/>
    </row>
    <row r="18299" spans="65:67" ht="18.75" customHeight="1">
      <c r="BM18299" s="1025"/>
      <c r="BO18299" s="43"/>
    </row>
    <row r="18300" spans="65:67" ht="18.75" customHeight="1">
      <c r="BM18300" s="1025"/>
      <c r="BO18300" s="43"/>
    </row>
    <row r="18301" spans="65:67" ht="18.75" customHeight="1">
      <c r="BM18301" s="1025"/>
      <c r="BO18301" s="43"/>
    </row>
    <row r="18302" spans="65:67" ht="18.75" customHeight="1">
      <c r="BM18302" s="1025"/>
      <c r="BO18302" s="43"/>
    </row>
    <row r="18303" spans="65:67" ht="18.75" customHeight="1">
      <c r="BM18303" s="1025"/>
      <c r="BO18303" s="43"/>
    </row>
    <row r="18304" spans="65:67" ht="18.75" customHeight="1">
      <c r="BM18304" s="1025"/>
      <c r="BO18304" s="43"/>
    </row>
    <row r="18305" spans="65:67" ht="18.75" customHeight="1">
      <c r="BM18305" s="1025"/>
      <c r="BO18305" s="43"/>
    </row>
    <row r="18306" spans="65:67" ht="18.75" customHeight="1">
      <c r="BM18306" s="1025"/>
      <c r="BO18306" s="43"/>
    </row>
    <row r="18307" spans="65:67" ht="18.75" customHeight="1">
      <c r="BM18307" s="1025"/>
      <c r="BO18307" s="43"/>
    </row>
    <row r="18308" spans="65:67" ht="18.75" customHeight="1">
      <c r="BM18308" s="1025"/>
      <c r="BO18308" s="43"/>
    </row>
    <row r="18309" spans="65:67" ht="18.75" customHeight="1">
      <c r="BM18309" s="1025"/>
      <c r="BO18309" s="43"/>
    </row>
    <row r="18310" spans="65:67" ht="18.75" customHeight="1">
      <c r="BM18310" s="1025"/>
      <c r="BO18310" s="43"/>
    </row>
    <row r="18311" spans="65:67" ht="18.75" customHeight="1">
      <c r="BM18311" s="1025"/>
      <c r="BO18311" s="43"/>
    </row>
    <row r="18312" spans="65:67" ht="18.75" customHeight="1">
      <c r="BM18312" s="1025"/>
      <c r="BO18312" s="43"/>
    </row>
    <row r="18313" spans="65:67" ht="18.75" customHeight="1">
      <c r="BM18313" s="1025"/>
      <c r="BO18313" s="43"/>
    </row>
    <row r="18314" spans="65:67" ht="18.75" customHeight="1">
      <c r="BM18314" s="1025"/>
      <c r="BO18314" s="43"/>
    </row>
    <row r="18315" spans="65:67" ht="18.75" customHeight="1">
      <c r="BM18315" s="1025"/>
      <c r="BO18315" s="43"/>
    </row>
    <row r="18316" spans="65:67" ht="18.75" customHeight="1">
      <c r="BM18316" s="1025"/>
      <c r="BO18316" s="43"/>
    </row>
    <row r="18317" spans="65:67" ht="18.75" customHeight="1">
      <c r="BM18317" s="1025"/>
      <c r="BO18317" s="43"/>
    </row>
    <row r="18318" spans="65:67" ht="18.75" customHeight="1">
      <c r="BM18318" s="1025"/>
      <c r="BO18318" s="43"/>
    </row>
    <row r="18319" spans="65:67" ht="18.75" customHeight="1">
      <c r="BM18319" s="1025"/>
      <c r="BO18319" s="43"/>
    </row>
    <row r="18320" spans="65:67" ht="18.75" customHeight="1">
      <c r="BM18320" s="1025"/>
      <c r="BO18320" s="43"/>
    </row>
    <row r="18321" spans="65:67" ht="18.75" customHeight="1">
      <c r="BM18321" s="1025"/>
      <c r="BO18321" s="43"/>
    </row>
    <row r="18322" spans="65:67" ht="18.75" customHeight="1">
      <c r="BM18322" s="1025"/>
      <c r="BO18322" s="43"/>
    </row>
    <row r="18323" spans="65:67" ht="18.75" customHeight="1">
      <c r="BM18323" s="1025"/>
      <c r="BO18323" s="43"/>
    </row>
    <row r="18324" spans="65:67" ht="18.75" customHeight="1">
      <c r="BM18324" s="1025"/>
      <c r="BO18324" s="43"/>
    </row>
    <row r="18325" spans="65:67" ht="18.75" customHeight="1">
      <c r="BM18325" s="1025"/>
      <c r="BO18325" s="43"/>
    </row>
    <row r="18326" spans="65:67" ht="18.75" customHeight="1">
      <c r="BM18326" s="1025"/>
      <c r="BO18326" s="43"/>
    </row>
    <row r="18327" spans="65:67" ht="18.75" customHeight="1">
      <c r="BM18327" s="1025"/>
      <c r="BO18327" s="43"/>
    </row>
    <row r="18328" spans="65:67" ht="18.75" customHeight="1">
      <c r="BM18328" s="1025"/>
      <c r="BO18328" s="43"/>
    </row>
    <row r="18329" spans="65:67" ht="18.75" customHeight="1">
      <c r="BM18329" s="1025"/>
      <c r="BO18329" s="43"/>
    </row>
    <row r="18330" spans="65:67" ht="18.75" customHeight="1">
      <c r="BM18330" s="1025"/>
      <c r="BO18330" s="43"/>
    </row>
    <row r="18331" spans="65:67" ht="18.75" customHeight="1">
      <c r="BM18331" s="1025"/>
      <c r="BO18331" s="43"/>
    </row>
    <row r="18332" spans="65:67" ht="18.75" customHeight="1">
      <c r="BM18332" s="1025"/>
      <c r="BO18332" s="43"/>
    </row>
    <row r="18333" spans="65:67" ht="18.75" customHeight="1">
      <c r="BM18333" s="1025"/>
      <c r="BO18333" s="43"/>
    </row>
    <row r="18334" spans="65:67" ht="18.75" customHeight="1">
      <c r="BM18334" s="1025"/>
      <c r="BO18334" s="43"/>
    </row>
    <row r="18335" spans="65:67" ht="18.75" customHeight="1">
      <c r="BM18335" s="1025"/>
      <c r="BO18335" s="43"/>
    </row>
    <row r="18336" spans="65:67" ht="18.75" customHeight="1">
      <c r="BM18336" s="1025"/>
      <c r="BO18336" s="43"/>
    </row>
    <row r="18337" spans="65:67" ht="18.75" customHeight="1">
      <c r="BM18337" s="1025"/>
      <c r="BO18337" s="43"/>
    </row>
    <row r="18338" spans="65:67" ht="18.75" customHeight="1">
      <c r="BM18338" s="1025"/>
      <c r="BO18338" s="43"/>
    </row>
    <row r="18339" spans="65:67" ht="18.75" customHeight="1">
      <c r="BM18339" s="1025"/>
      <c r="BO18339" s="43"/>
    </row>
    <row r="18340" spans="65:67" ht="18.75" customHeight="1">
      <c r="BM18340" s="1025"/>
      <c r="BO18340" s="43"/>
    </row>
    <row r="18341" spans="65:67" ht="18.75" customHeight="1">
      <c r="BM18341" s="1025"/>
      <c r="BO18341" s="43"/>
    </row>
    <row r="18342" spans="65:67" ht="18.75" customHeight="1">
      <c r="BM18342" s="1025"/>
      <c r="BO18342" s="43"/>
    </row>
    <row r="18343" spans="65:67" ht="18.75" customHeight="1">
      <c r="BM18343" s="1025"/>
      <c r="BO18343" s="43"/>
    </row>
    <row r="18344" spans="65:67" ht="18.75" customHeight="1">
      <c r="BM18344" s="1025"/>
      <c r="BO18344" s="43"/>
    </row>
    <row r="18345" spans="65:67" ht="18.75" customHeight="1">
      <c r="BM18345" s="1025"/>
      <c r="BO18345" s="43"/>
    </row>
    <row r="18346" spans="65:67" ht="18.75" customHeight="1">
      <c r="BM18346" s="1025"/>
      <c r="BO18346" s="43"/>
    </row>
    <row r="18347" spans="65:67" ht="18.75" customHeight="1">
      <c r="BM18347" s="1025"/>
      <c r="BO18347" s="43"/>
    </row>
    <row r="18348" spans="65:67" ht="18.75" customHeight="1">
      <c r="BM18348" s="1025"/>
      <c r="BO18348" s="43"/>
    </row>
    <row r="18349" spans="65:67" ht="18.75" customHeight="1">
      <c r="BM18349" s="1025"/>
      <c r="BO18349" s="43"/>
    </row>
    <row r="18350" spans="65:67" ht="18.75" customHeight="1">
      <c r="BM18350" s="1025"/>
      <c r="BO18350" s="43"/>
    </row>
    <row r="18351" spans="65:67" ht="18.75" customHeight="1">
      <c r="BM18351" s="1025"/>
      <c r="BO18351" s="43"/>
    </row>
    <row r="18352" spans="65:67" ht="18.75" customHeight="1">
      <c r="BM18352" s="1025"/>
      <c r="BO18352" s="43"/>
    </row>
    <row r="18353" spans="65:67" ht="18.75" customHeight="1">
      <c r="BM18353" s="1025"/>
      <c r="BO18353" s="43"/>
    </row>
    <row r="18354" spans="65:67" ht="18.75" customHeight="1">
      <c r="BM18354" s="1025"/>
      <c r="BO18354" s="43"/>
    </row>
    <row r="18355" spans="65:67" ht="18.75" customHeight="1">
      <c r="BM18355" s="1025"/>
      <c r="BO18355" s="43"/>
    </row>
    <row r="18356" spans="65:67" ht="18.75" customHeight="1">
      <c r="BM18356" s="1025"/>
      <c r="BO18356" s="43"/>
    </row>
    <row r="18357" spans="65:67" ht="18.75" customHeight="1">
      <c r="BM18357" s="1025"/>
      <c r="BO18357" s="43"/>
    </row>
    <row r="18358" spans="65:67" ht="18.75" customHeight="1">
      <c r="BM18358" s="1025"/>
      <c r="BO18358" s="43"/>
    </row>
    <row r="18359" spans="65:67" ht="18.75" customHeight="1">
      <c r="BM18359" s="1025"/>
      <c r="BO18359" s="43"/>
    </row>
    <row r="18360" spans="65:67" ht="18.75" customHeight="1">
      <c r="BM18360" s="1025"/>
      <c r="BO18360" s="43"/>
    </row>
    <row r="18361" spans="65:67" ht="18.75" customHeight="1">
      <c r="BM18361" s="1025"/>
      <c r="BO18361" s="43"/>
    </row>
    <row r="18362" spans="65:67" ht="18.75" customHeight="1">
      <c r="BM18362" s="1025"/>
      <c r="BO18362" s="43"/>
    </row>
    <row r="18363" spans="65:67" ht="18.75" customHeight="1">
      <c r="BM18363" s="1025"/>
      <c r="BO18363" s="43"/>
    </row>
    <row r="18364" spans="65:67" ht="18.75" customHeight="1">
      <c r="BM18364" s="1025"/>
      <c r="BO18364" s="43"/>
    </row>
    <row r="18365" spans="65:67" ht="18.75" customHeight="1">
      <c r="BM18365" s="1025"/>
      <c r="BO18365" s="43"/>
    </row>
    <row r="18366" spans="65:67" ht="18.75" customHeight="1">
      <c r="BM18366" s="1025"/>
      <c r="BO18366" s="43"/>
    </row>
    <row r="18367" spans="65:67" ht="18.75" customHeight="1">
      <c r="BM18367" s="1025"/>
      <c r="BO18367" s="43"/>
    </row>
    <row r="18368" spans="65:67" ht="18.75" customHeight="1">
      <c r="BM18368" s="1025"/>
      <c r="BO18368" s="43"/>
    </row>
    <row r="18369" spans="65:67" ht="18.75" customHeight="1">
      <c r="BM18369" s="1025"/>
      <c r="BO18369" s="43"/>
    </row>
    <row r="18370" spans="65:67" ht="18.75" customHeight="1">
      <c r="BM18370" s="1025"/>
      <c r="BO18370" s="43"/>
    </row>
    <row r="18371" spans="65:67" ht="18.75" customHeight="1">
      <c r="BM18371" s="1025"/>
      <c r="BO18371" s="43"/>
    </row>
    <row r="18372" spans="65:67" ht="18.75" customHeight="1">
      <c r="BM18372" s="1025"/>
      <c r="BO18372" s="43"/>
    </row>
    <row r="18373" spans="65:67" ht="18.75" customHeight="1">
      <c r="BM18373" s="1025"/>
      <c r="BO18373" s="43"/>
    </row>
    <row r="18374" spans="65:67" ht="18.75" customHeight="1">
      <c r="BM18374" s="1025"/>
      <c r="BO18374" s="43"/>
    </row>
    <row r="18375" spans="65:67" ht="18.75" customHeight="1">
      <c r="BM18375" s="1025"/>
      <c r="BO18375" s="43"/>
    </row>
    <row r="18376" spans="65:67" ht="18.75" customHeight="1">
      <c r="BM18376" s="1025"/>
      <c r="BO18376" s="43"/>
    </row>
    <row r="18377" spans="65:67" ht="18.75" customHeight="1">
      <c r="BM18377" s="1025"/>
      <c r="BO18377" s="43"/>
    </row>
    <row r="18378" spans="65:67" ht="18.75" customHeight="1">
      <c r="BM18378" s="1025"/>
      <c r="BO18378" s="43"/>
    </row>
    <row r="18379" spans="65:67" ht="18.75" customHeight="1">
      <c r="BM18379" s="1025"/>
      <c r="BO18379" s="43"/>
    </row>
    <row r="18380" spans="65:67" ht="18.75" customHeight="1">
      <c r="BM18380" s="1025"/>
      <c r="BO18380" s="43"/>
    </row>
    <row r="18381" spans="65:67" ht="18.75" customHeight="1">
      <c r="BM18381" s="1025"/>
      <c r="BO18381" s="43"/>
    </row>
    <row r="18382" spans="65:67" ht="18.75" customHeight="1">
      <c r="BM18382" s="1025"/>
      <c r="BO18382" s="43"/>
    </row>
    <row r="18383" spans="65:67" ht="18.75" customHeight="1">
      <c r="BM18383" s="1025"/>
      <c r="BO18383" s="43"/>
    </row>
    <row r="18384" spans="65:67" ht="18.75" customHeight="1">
      <c r="BM18384" s="1025"/>
      <c r="BO18384" s="43"/>
    </row>
    <row r="18385" spans="65:67" ht="18.75" customHeight="1">
      <c r="BM18385" s="1025"/>
      <c r="BO18385" s="43"/>
    </row>
    <row r="18386" spans="65:67" ht="18.75" customHeight="1">
      <c r="BM18386" s="1025"/>
      <c r="BO18386" s="43"/>
    </row>
    <row r="18387" spans="65:67" ht="18.75" customHeight="1">
      <c r="BM18387" s="1025"/>
      <c r="BO18387" s="43"/>
    </row>
    <row r="18388" spans="65:67" ht="18.75" customHeight="1">
      <c r="BM18388" s="1025"/>
      <c r="BO18388" s="43"/>
    </row>
    <row r="18389" spans="65:67" ht="18.75" customHeight="1">
      <c r="BM18389" s="1025"/>
      <c r="BO18389" s="43"/>
    </row>
    <row r="18390" spans="65:67" ht="18.75" customHeight="1">
      <c r="BM18390" s="1025"/>
      <c r="BO18390" s="43"/>
    </row>
    <row r="18391" spans="65:67" ht="18.75" customHeight="1">
      <c r="BM18391" s="1025"/>
      <c r="BO18391" s="43"/>
    </row>
    <row r="18392" spans="65:67" ht="18.75" customHeight="1">
      <c r="BM18392" s="1025"/>
      <c r="BO18392" s="43"/>
    </row>
    <row r="18393" spans="65:67" ht="18.75" customHeight="1">
      <c r="BM18393" s="1025"/>
      <c r="BO18393" s="43"/>
    </row>
    <row r="18394" spans="65:67" ht="18.75" customHeight="1">
      <c r="BM18394" s="1025"/>
      <c r="BO18394" s="43"/>
    </row>
    <row r="18395" spans="65:67" ht="18.75" customHeight="1">
      <c r="BM18395" s="1025"/>
      <c r="BO18395" s="43"/>
    </row>
    <row r="18396" spans="65:67" ht="18.75" customHeight="1">
      <c r="BM18396" s="1025"/>
      <c r="BO18396" s="43"/>
    </row>
    <row r="18397" spans="65:67" ht="18.75" customHeight="1">
      <c r="BM18397" s="1025"/>
      <c r="BO18397" s="43"/>
    </row>
    <row r="18398" spans="65:67" ht="18.75" customHeight="1">
      <c r="BM18398" s="1025"/>
      <c r="BO18398" s="43"/>
    </row>
    <row r="18399" spans="65:67" ht="18.75" customHeight="1">
      <c r="BM18399" s="1025"/>
      <c r="BO18399" s="43"/>
    </row>
    <row r="18400" spans="65:67" ht="18.75" customHeight="1">
      <c r="BM18400" s="1025"/>
      <c r="BO18400" s="43"/>
    </row>
    <row r="18401" spans="65:67" ht="18.75" customHeight="1">
      <c r="BM18401" s="1025"/>
      <c r="BO18401" s="43"/>
    </row>
    <row r="18402" spans="65:67" ht="18.75" customHeight="1">
      <c r="BM18402" s="1025"/>
      <c r="BO18402" s="43"/>
    </row>
    <row r="18403" spans="65:67" ht="18.75" customHeight="1">
      <c r="BM18403" s="1025"/>
      <c r="BO18403" s="43"/>
    </row>
    <row r="18404" spans="65:67" ht="18.75" customHeight="1">
      <c r="BM18404" s="1025"/>
      <c r="BO18404" s="43"/>
    </row>
    <row r="18405" spans="65:67" ht="18.75" customHeight="1">
      <c r="BM18405" s="1025"/>
      <c r="BO18405" s="43"/>
    </row>
    <row r="18406" spans="65:67" ht="18.75" customHeight="1">
      <c r="BM18406" s="1025"/>
      <c r="BO18406" s="43"/>
    </row>
    <row r="18407" spans="65:67" ht="18.75" customHeight="1">
      <c r="BM18407" s="1025"/>
      <c r="BO18407" s="43"/>
    </row>
    <row r="18408" spans="65:67" ht="18.75" customHeight="1">
      <c r="BM18408" s="1025"/>
      <c r="BO18408" s="43"/>
    </row>
    <row r="18409" spans="65:67" ht="18.75" customHeight="1">
      <c r="BM18409" s="1025"/>
      <c r="BO18409" s="43"/>
    </row>
    <row r="18410" spans="65:67" ht="18.75" customHeight="1">
      <c r="BM18410" s="1025"/>
      <c r="BO18410" s="43"/>
    </row>
    <row r="18411" spans="65:67" ht="18.75" customHeight="1">
      <c r="BM18411" s="1025"/>
      <c r="BO18411" s="43"/>
    </row>
    <row r="18412" spans="65:67" ht="18.75" customHeight="1">
      <c r="BM18412" s="1025"/>
      <c r="BO18412" s="43"/>
    </row>
    <row r="18413" spans="65:67" ht="18.75" customHeight="1">
      <c r="BM18413" s="1025"/>
      <c r="BO18413" s="43"/>
    </row>
    <row r="18414" spans="65:67" ht="18.75" customHeight="1">
      <c r="BM18414" s="1025"/>
      <c r="BO18414" s="43"/>
    </row>
    <row r="18415" spans="65:67" ht="18.75" customHeight="1">
      <c r="BM18415" s="1025"/>
      <c r="BO18415" s="43"/>
    </row>
    <row r="18416" spans="65:67" ht="18.75" customHeight="1">
      <c r="BM18416" s="1025"/>
      <c r="BO18416" s="43"/>
    </row>
    <row r="18417" spans="65:67" ht="18.75" customHeight="1">
      <c r="BM18417" s="1025"/>
      <c r="BO18417" s="43"/>
    </row>
    <row r="18418" spans="65:67" ht="18.75" customHeight="1">
      <c r="BM18418" s="1025"/>
      <c r="BO18418" s="43"/>
    </row>
    <row r="18419" spans="65:67" ht="18.75" customHeight="1">
      <c r="BM18419" s="1025"/>
      <c r="BO18419" s="43"/>
    </row>
    <row r="18420" spans="65:67" ht="18.75" customHeight="1">
      <c r="BM18420" s="1025"/>
      <c r="BO18420" s="43"/>
    </row>
    <row r="18421" spans="65:67" ht="18.75" customHeight="1">
      <c r="BM18421" s="1025"/>
      <c r="BO18421" s="43"/>
    </row>
    <row r="18422" spans="65:67" ht="18.75" customHeight="1">
      <c r="BM18422" s="1025"/>
      <c r="BO18422" s="43"/>
    </row>
    <row r="18423" spans="65:67" ht="18.75" customHeight="1">
      <c r="BM18423" s="1025"/>
      <c r="BO18423" s="43"/>
    </row>
    <row r="18424" spans="65:67" ht="18.75" customHeight="1">
      <c r="BM18424" s="1025"/>
      <c r="BO18424" s="43"/>
    </row>
    <row r="18425" spans="65:67" ht="18.75" customHeight="1">
      <c r="BM18425" s="1025"/>
      <c r="BO18425" s="43"/>
    </row>
    <row r="18426" spans="65:67" ht="18.75" customHeight="1">
      <c r="BM18426" s="1025"/>
      <c r="BO18426" s="43"/>
    </row>
    <row r="18427" spans="65:67" ht="18.75" customHeight="1">
      <c r="BM18427" s="1025"/>
      <c r="BO18427" s="43"/>
    </row>
    <row r="18428" spans="65:67" ht="18.75" customHeight="1">
      <c r="BM18428" s="1025"/>
      <c r="BO18428" s="43"/>
    </row>
    <row r="18429" spans="65:67" ht="18.75" customHeight="1">
      <c r="BM18429" s="1025"/>
      <c r="BO18429" s="43"/>
    </row>
    <row r="18430" spans="65:67" ht="18.75" customHeight="1">
      <c r="BM18430" s="1025"/>
      <c r="BO18430" s="43"/>
    </row>
    <row r="18431" spans="65:67" ht="18.75" customHeight="1">
      <c r="BM18431" s="1025"/>
      <c r="BO18431" s="43"/>
    </row>
    <row r="18432" spans="65:67" ht="18.75" customHeight="1">
      <c r="BM18432" s="1025"/>
      <c r="BO18432" s="43"/>
    </row>
    <row r="18433" spans="65:67" ht="18.75" customHeight="1">
      <c r="BM18433" s="1025"/>
      <c r="BO18433" s="43"/>
    </row>
    <row r="18434" spans="65:67" ht="18.75" customHeight="1">
      <c r="BM18434" s="1025"/>
      <c r="BO18434" s="43"/>
    </row>
    <row r="18435" spans="65:67" ht="18.75" customHeight="1">
      <c r="BM18435" s="1025"/>
      <c r="BO18435" s="43"/>
    </row>
    <row r="18436" spans="65:67" ht="18.75" customHeight="1">
      <c r="BM18436" s="1025"/>
      <c r="BO18436" s="43"/>
    </row>
    <row r="18437" spans="65:67" ht="18.75" customHeight="1">
      <c r="BM18437" s="1025"/>
      <c r="BO18437" s="43"/>
    </row>
    <row r="18438" spans="65:67" ht="18.75" customHeight="1">
      <c r="BM18438" s="1025"/>
      <c r="BO18438" s="43"/>
    </row>
    <row r="18439" spans="65:67" ht="18.75" customHeight="1">
      <c r="BM18439" s="1025"/>
      <c r="BO18439" s="43"/>
    </row>
    <row r="18440" spans="65:67" ht="18.75" customHeight="1">
      <c r="BM18440" s="1025"/>
      <c r="BO18440" s="43"/>
    </row>
    <row r="18441" spans="65:67" ht="18.75" customHeight="1">
      <c r="BM18441" s="1025"/>
      <c r="BO18441" s="43"/>
    </row>
    <row r="18442" spans="65:67" ht="18.75" customHeight="1">
      <c r="BM18442" s="1025"/>
      <c r="BO18442" s="43"/>
    </row>
    <row r="18443" spans="65:67" ht="18.75" customHeight="1">
      <c r="BM18443" s="1025"/>
      <c r="BO18443" s="43"/>
    </row>
    <row r="18444" spans="65:67" ht="18.75" customHeight="1">
      <c r="BM18444" s="1025"/>
      <c r="BO18444" s="43"/>
    </row>
    <row r="18445" spans="65:67" ht="18.75" customHeight="1">
      <c r="BM18445" s="1025"/>
      <c r="BO18445" s="43"/>
    </row>
    <row r="18446" spans="65:67" ht="18.75" customHeight="1">
      <c r="BM18446" s="1025"/>
      <c r="BO18446" s="43"/>
    </row>
    <row r="18447" spans="65:67" ht="18.75" customHeight="1">
      <c r="BM18447" s="1025"/>
      <c r="BO18447" s="43"/>
    </row>
    <row r="18448" spans="65:67" ht="18.75" customHeight="1">
      <c r="BM18448" s="1025"/>
      <c r="BO18448" s="43"/>
    </row>
    <row r="18449" spans="65:67" ht="18.75" customHeight="1">
      <c r="BM18449" s="1025"/>
      <c r="BO18449" s="43"/>
    </row>
    <row r="18450" spans="65:67" ht="18.75" customHeight="1">
      <c r="BM18450" s="1025"/>
      <c r="BO18450" s="43"/>
    </row>
    <row r="18451" spans="65:67" ht="18.75" customHeight="1">
      <c r="BM18451" s="1025"/>
      <c r="BO18451" s="43"/>
    </row>
    <row r="18452" spans="65:67" ht="18.75" customHeight="1">
      <c r="BM18452" s="1025"/>
      <c r="BO18452" s="43"/>
    </row>
    <row r="18453" spans="65:67" ht="18.75" customHeight="1">
      <c r="BM18453" s="1025"/>
      <c r="BO18453" s="43"/>
    </row>
    <row r="18454" spans="65:67" ht="18.75" customHeight="1">
      <c r="BM18454" s="1025"/>
      <c r="BO18454" s="43"/>
    </row>
    <row r="18455" spans="65:67" ht="18.75" customHeight="1">
      <c r="BM18455" s="1025"/>
      <c r="BO18455" s="43"/>
    </row>
    <row r="18456" spans="65:67" ht="18.75" customHeight="1">
      <c r="BM18456" s="1025"/>
      <c r="BO18456" s="43"/>
    </row>
    <row r="18457" spans="65:67" ht="18.75" customHeight="1">
      <c r="BM18457" s="1025"/>
      <c r="BO18457" s="43"/>
    </row>
    <row r="18458" spans="65:67" ht="18.75" customHeight="1">
      <c r="BM18458" s="1025"/>
      <c r="BO18458" s="43"/>
    </row>
    <row r="18459" spans="65:67" ht="18.75" customHeight="1">
      <c r="BM18459" s="1025"/>
      <c r="BO18459" s="43"/>
    </row>
    <row r="18460" spans="65:67" ht="18.75" customHeight="1">
      <c r="BM18460" s="1025"/>
      <c r="BO18460" s="43"/>
    </row>
    <row r="18461" spans="65:67" ht="18.75" customHeight="1">
      <c r="BM18461" s="1025"/>
      <c r="BO18461" s="43"/>
    </row>
    <row r="18462" spans="65:67" ht="18.75" customHeight="1">
      <c r="BM18462" s="1025"/>
      <c r="BO18462" s="43"/>
    </row>
    <row r="18463" spans="65:67" ht="18.75" customHeight="1">
      <c r="BM18463" s="1025"/>
      <c r="BO18463" s="43"/>
    </row>
    <row r="18464" spans="65:67" ht="18.75" customHeight="1">
      <c r="BM18464" s="1025"/>
      <c r="BO18464" s="43"/>
    </row>
    <row r="18465" spans="65:67" ht="18.75" customHeight="1">
      <c r="BM18465" s="1025"/>
      <c r="BO18465" s="43"/>
    </row>
    <row r="18466" spans="65:67" ht="18.75" customHeight="1">
      <c r="BM18466" s="1025"/>
      <c r="BO18466" s="43"/>
    </row>
    <row r="18467" spans="65:67" ht="18.75" customHeight="1">
      <c r="BM18467" s="1025"/>
      <c r="BO18467" s="43"/>
    </row>
    <row r="18468" spans="65:67" ht="18.75" customHeight="1">
      <c r="BM18468" s="1025"/>
      <c r="BO18468" s="43"/>
    </row>
    <row r="18469" spans="65:67" ht="18.75" customHeight="1">
      <c r="BM18469" s="1025"/>
      <c r="BO18469" s="43"/>
    </row>
    <row r="18470" spans="65:67" ht="18.75" customHeight="1">
      <c r="BM18470" s="1025"/>
      <c r="BO18470" s="43"/>
    </row>
    <row r="18471" spans="65:67" ht="18.75" customHeight="1">
      <c r="BM18471" s="1025"/>
      <c r="BO18471" s="43"/>
    </row>
    <row r="18472" spans="65:67" ht="18.75" customHeight="1">
      <c r="BM18472" s="1025"/>
      <c r="BO18472" s="43"/>
    </row>
    <row r="18473" spans="65:67" ht="18.75" customHeight="1">
      <c r="BM18473" s="1025"/>
      <c r="BO18473" s="43"/>
    </row>
    <row r="18474" spans="65:67" ht="18.75" customHeight="1">
      <c r="BM18474" s="1025"/>
      <c r="BO18474" s="43"/>
    </row>
    <row r="18475" spans="65:67" ht="18.75" customHeight="1">
      <c r="BM18475" s="1025"/>
      <c r="BO18475" s="43"/>
    </row>
    <row r="18476" spans="65:67" ht="18.75" customHeight="1">
      <c r="BM18476" s="1025"/>
      <c r="BO18476" s="43"/>
    </row>
    <row r="18477" spans="65:67" ht="18.75" customHeight="1">
      <c r="BM18477" s="1025"/>
      <c r="BO18477" s="43"/>
    </row>
    <row r="18478" spans="65:67" ht="18.75" customHeight="1">
      <c r="BM18478" s="1025"/>
      <c r="BO18478" s="43"/>
    </row>
    <row r="18479" spans="65:67" ht="18.75" customHeight="1">
      <c r="BM18479" s="1025"/>
      <c r="BO18479" s="43"/>
    </row>
    <row r="18480" spans="65:67" ht="18.75" customHeight="1">
      <c r="BM18480" s="1025"/>
      <c r="BO18480" s="43"/>
    </row>
    <row r="18481" spans="65:67" ht="18.75" customHeight="1">
      <c r="BM18481" s="1025"/>
      <c r="BO18481" s="43"/>
    </row>
    <row r="18482" spans="65:67" ht="18.75" customHeight="1">
      <c r="BM18482" s="1025"/>
      <c r="BO18482" s="43"/>
    </row>
    <row r="18483" spans="65:67" ht="18.75" customHeight="1">
      <c r="BM18483" s="1025"/>
      <c r="BO18483" s="43"/>
    </row>
    <row r="18484" spans="65:67" ht="18.75" customHeight="1">
      <c r="BM18484" s="1025"/>
      <c r="BO18484" s="43"/>
    </row>
    <row r="18485" spans="65:67" ht="18.75" customHeight="1">
      <c r="BM18485" s="1025"/>
      <c r="BO18485" s="43"/>
    </row>
    <row r="18486" spans="65:67" ht="18.75" customHeight="1">
      <c r="BM18486" s="1025"/>
      <c r="BO18486" s="43"/>
    </row>
    <row r="18487" spans="65:67" ht="18.75" customHeight="1">
      <c r="BM18487" s="1025"/>
      <c r="BO18487" s="43"/>
    </row>
    <row r="18488" spans="65:67" ht="18.75" customHeight="1">
      <c r="BM18488" s="1025"/>
      <c r="BO18488" s="43"/>
    </row>
    <row r="18489" spans="65:67" ht="18.75" customHeight="1">
      <c r="BM18489" s="1025"/>
      <c r="BO18489" s="43"/>
    </row>
    <row r="18490" spans="65:67" ht="18.75" customHeight="1">
      <c r="BM18490" s="1025"/>
      <c r="BO18490" s="43"/>
    </row>
    <row r="18491" spans="65:67" ht="18.75" customHeight="1">
      <c r="BM18491" s="1025"/>
      <c r="BO18491" s="43"/>
    </row>
    <row r="18492" spans="65:67" ht="18.75" customHeight="1">
      <c r="BM18492" s="1025"/>
      <c r="BO18492" s="43"/>
    </row>
    <row r="18493" spans="65:67" ht="18.75" customHeight="1">
      <c r="BM18493" s="1025"/>
      <c r="BO18493" s="43"/>
    </row>
    <row r="18494" spans="65:67" ht="18.75" customHeight="1">
      <c r="BM18494" s="1025"/>
      <c r="BO18494" s="43"/>
    </row>
    <row r="18495" spans="65:67" ht="18.75" customHeight="1">
      <c r="BM18495" s="1025"/>
      <c r="BO18495" s="43"/>
    </row>
    <row r="18496" spans="65:67" ht="18.75" customHeight="1">
      <c r="BM18496" s="1025"/>
      <c r="BO18496" s="43"/>
    </row>
    <row r="18497" spans="65:67" ht="18.75" customHeight="1">
      <c r="BM18497" s="1025"/>
      <c r="BO18497" s="43"/>
    </row>
    <row r="18498" spans="65:67" ht="18.75" customHeight="1">
      <c r="BM18498" s="1025"/>
      <c r="BO18498" s="43"/>
    </row>
    <row r="18499" spans="65:67" ht="18.75" customHeight="1">
      <c r="BM18499" s="1025"/>
      <c r="BO18499" s="43"/>
    </row>
    <row r="18500" spans="65:67" ht="18.75" customHeight="1">
      <c r="BM18500" s="1025"/>
      <c r="BO18500" s="43"/>
    </row>
    <row r="18501" spans="65:67" ht="18.75" customHeight="1">
      <c r="BM18501" s="1025"/>
      <c r="BO18501" s="43"/>
    </row>
    <row r="18502" spans="65:67" ht="18.75" customHeight="1">
      <c r="BM18502" s="1025"/>
      <c r="BO18502" s="43"/>
    </row>
    <row r="18503" spans="65:67" ht="18.75" customHeight="1">
      <c r="BM18503" s="1025"/>
      <c r="BO18503" s="43"/>
    </row>
    <row r="18504" spans="65:67" ht="18.75" customHeight="1">
      <c r="BM18504" s="1025"/>
      <c r="BO18504" s="43"/>
    </row>
    <row r="18505" spans="65:67" ht="18.75" customHeight="1">
      <c r="BM18505" s="1025"/>
      <c r="BO18505" s="43"/>
    </row>
    <row r="18506" spans="65:67" ht="18.75" customHeight="1">
      <c r="BM18506" s="1025"/>
      <c r="BO18506" s="43"/>
    </row>
    <row r="18507" spans="65:67" ht="18.75" customHeight="1">
      <c r="BM18507" s="1025"/>
      <c r="BO18507" s="43"/>
    </row>
    <row r="18508" spans="65:67" ht="18.75" customHeight="1">
      <c r="BM18508" s="1025"/>
      <c r="BO18508" s="43"/>
    </row>
    <row r="18509" spans="65:67" ht="18.75" customHeight="1">
      <c r="BM18509" s="1025"/>
      <c r="BO18509" s="43"/>
    </row>
    <row r="18510" spans="65:67" ht="18.75" customHeight="1">
      <c r="BM18510" s="1025"/>
      <c r="BO18510" s="43"/>
    </row>
    <row r="18511" spans="65:67" ht="18.75" customHeight="1">
      <c r="BM18511" s="1025"/>
      <c r="BO18511" s="43"/>
    </row>
    <row r="18512" spans="65:67" ht="18.75" customHeight="1">
      <c r="BM18512" s="1025"/>
      <c r="BO18512" s="43"/>
    </row>
    <row r="18513" spans="65:67" ht="18.75" customHeight="1">
      <c r="BM18513" s="1025"/>
      <c r="BO18513" s="43"/>
    </row>
    <row r="18514" spans="65:67" ht="18.75" customHeight="1">
      <c r="BM18514" s="1025"/>
      <c r="BO18514" s="43"/>
    </row>
    <row r="18515" spans="65:67" ht="18.75" customHeight="1">
      <c r="BM18515" s="1025"/>
      <c r="BO18515" s="43"/>
    </row>
    <row r="18516" spans="65:67" ht="18.75" customHeight="1">
      <c r="BM18516" s="1025"/>
      <c r="BO18516" s="43"/>
    </row>
    <row r="18517" spans="65:67" ht="18.75" customHeight="1">
      <c r="BM18517" s="1025"/>
      <c r="BO18517" s="43"/>
    </row>
    <row r="18518" spans="65:67" ht="18.75" customHeight="1">
      <c r="BM18518" s="1025"/>
      <c r="BO18518" s="43"/>
    </row>
    <row r="18519" spans="65:67" ht="18.75" customHeight="1">
      <c r="BM18519" s="1025"/>
      <c r="BO18519" s="43"/>
    </row>
    <row r="18520" spans="65:67" ht="18.75" customHeight="1">
      <c r="BM18520" s="1025"/>
      <c r="BO18520" s="43"/>
    </row>
    <row r="18521" spans="65:67" ht="18.75" customHeight="1">
      <c r="BM18521" s="1025"/>
      <c r="BO18521" s="43"/>
    </row>
    <row r="18522" spans="65:67" ht="18.75" customHeight="1">
      <c r="BM18522" s="1025"/>
      <c r="BO18522" s="43"/>
    </row>
    <row r="18523" spans="65:67" ht="18.75" customHeight="1">
      <c r="BM18523" s="1025"/>
      <c r="BO18523" s="43"/>
    </row>
    <row r="18524" spans="65:67" ht="18.75" customHeight="1">
      <c r="BM18524" s="1025"/>
      <c r="BO18524" s="43"/>
    </row>
    <row r="18525" spans="65:67" ht="18.75" customHeight="1">
      <c r="BM18525" s="1025"/>
      <c r="BO18525" s="43"/>
    </row>
    <row r="18526" spans="65:67" ht="18.75" customHeight="1">
      <c r="BM18526" s="1025"/>
      <c r="BO18526" s="43"/>
    </row>
    <row r="18527" spans="65:67" ht="18.75" customHeight="1">
      <c r="BM18527" s="1025"/>
      <c r="BO18527" s="43"/>
    </row>
    <row r="18528" spans="65:67" ht="18.75" customHeight="1">
      <c r="BM18528" s="1025"/>
      <c r="BO18528" s="43"/>
    </row>
    <row r="18529" spans="65:67" ht="18.75" customHeight="1">
      <c r="BM18529" s="1025"/>
      <c r="BO18529" s="43"/>
    </row>
    <row r="18530" spans="65:67" ht="18.75" customHeight="1">
      <c r="BM18530" s="1025"/>
      <c r="BO18530" s="43"/>
    </row>
    <row r="18531" spans="65:67" ht="18.75" customHeight="1">
      <c r="BM18531" s="1025"/>
      <c r="BO18531" s="43"/>
    </row>
    <row r="18532" spans="65:67" ht="18.75" customHeight="1">
      <c r="BM18532" s="1025"/>
      <c r="BO18532" s="43"/>
    </row>
    <row r="18533" spans="65:67" ht="18.75" customHeight="1">
      <c r="BM18533" s="1025"/>
      <c r="BO18533" s="43"/>
    </row>
    <row r="18534" spans="65:67" ht="18.75" customHeight="1">
      <c r="BM18534" s="1025"/>
      <c r="BO18534" s="43"/>
    </row>
    <row r="18535" spans="65:67" ht="18.75" customHeight="1">
      <c r="BM18535" s="1025"/>
      <c r="BO18535" s="43"/>
    </row>
    <row r="18536" spans="65:67" ht="18.75" customHeight="1">
      <c r="BM18536" s="1025"/>
      <c r="BO18536" s="43"/>
    </row>
    <row r="18537" spans="65:67" ht="18.75" customHeight="1">
      <c r="BM18537" s="1025"/>
      <c r="BO18537" s="43"/>
    </row>
    <row r="18538" spans="65:67" ht="18.75" customHeight="1">
      <c r="BM18538" s="1025"/>
      <c r="BO18538" s="43"/>
    </row>
    <row r="18539" spans="65:67" ht="18.75" customHeight="1">
      <c r="BM18539" s="1025"/>
      <c r="BO18539" s="43"/>
    </row>
    <row r="18540" spans="65:67" ht="18.75" customHeight="1">
      <c r="BM18540" s="1025"/>
      <c r="BO18540" s="43"/>
    </row>
    <row r="18541" spans="65:67" ht="18.75" customHeight="1">
      <c r="BM18541" s="1025"/>
      <c r="BO18541" s="43"/>
    </row>
    <row r="18542" spans="65:67" ht="18.75" customHeight="1">
      <c r="BM18542" s="1025"/>
      <c r="BO18542" s="43"/>
    </row>
    <row r="18543" spans="65:67" ht="18.75" customHeight="1">
      <c r="BM18543" s="1025"/>
      <c r="BO18543" s="43"/>
    </row>
    <row r="18544" spans="65:67" ht="18.75" customHeight="1">
      <c r="BM18544" s="1025"/>
      <c r="BO18544" s="43"/>
    </row>
    <row r="18545" spans="65:67" ht="18.75" customHeight="1">
      <c r="BM18545" s="1025"/>
      <c r="BO18545" s="43"/>
    </row>
    <row r="18546" spans="65:67" ht="18.75" customHeight="1">
      <c r="BM18546" s="1025"/>
      <c r="BO18546" s="43"/>
    </row>
    <row r="18547" spans="65:67" ht="18.75" customHeight="1">
      <c r="BM18547" s="1025"/>
      <c r="BO18547" s="43"/>
    </row>
    <row r="18548" spans="65:67" ht="18.75" customHeight="1">
      <c r="BM18548" s="1025"/>
      <c r="BO18548" s="43"/>
    </row>
    <row r="18549" spans="65:67" ht="18.75" customHeight="1">
      <c r="BM18549" s="1025"/>
      <c r="BO18549" s="43"/>
    </row>
    <row r="18550" spans="65:67" ht="18.75" customHeight="1">
      <c r="BM18550" s="1025"/>
      <c r="BO18550" s="43"/>
    </row>
    <row r="18551" spans="65:67" ht="18.75" customHeight="1">
      <c r="BM18551" s="1025"/>
      <c r="BO18551" s="43"/>
    </row>
    <row r="18552" spans="65:67" ht="18.75" customHeight="1">
      <c r="BM18552" s="1025"/>
      <c r="BO18552" s="43"/>
    </row>
    <row r="18553" spans="65:67" ht="18.75" customHeight="1">
      <c r="BM18553" s="1025"/>
      <c r="BO18553" s="43"/>
    </row>
    <row r="18554" spans="65:67" ht="18.75" customHeight="1">
      <c r="BM18554" s="1025"/>
      <c r="BO18554" s="43"/>
    </row>
    <row r="18555" spans="65:67" ht="18.75" customHeight="1">
      <c r="BM18555" s="1025"/>
      <c r="BO18555" s="43"/>
    </row>
    <row r="18556" spans="65:67" ht="18.75" customHeight="1">
      <c r="BM18556" s="1025"/>
      <c r="BO18556" s="43"/>
    </row>
    <row r="18557" spans="65:67" ht="18.75" customHeight="1">
      <c r="BM18557" s="1025"/>
      <c r="BO18557" s="43"/>
    </row>
    <row r="18558" spans="65:67" ht="18.75" customHeight="1">
      <c r="BM18558" s="1025"/>
      <c r="BO18558" s="43"/>
    </row>
    <row r="18559" spans="65:67" ht="18.75" customHeight="1">
      <c r="BM18559" s="1025"/>
      <c r="BO18559" s="43"/>
    </row>
    <row r="18560" spans="65:67" ht="18.75" customHeight="1">
      <c r="BM18560" s="1025"/>
      <c r="BO18560" s="43"/>
    </row>
    <row r="18561" spans="65:67" ht="18.75" customHeight="1">
      <c r="BM18561" s="1025"/>
      <c r="BO18561" s="43"/>
    </row>
    <row r="18562" spans="65:67" ht="18.75" customHeight="1">
      <c r="BM18562" s="1025"/>
      <c r="BO18562" s="43"/>
    </row>
    <row r="18563" spans="65:67" ht="18.75" customHeight="1">
      <c r="BM18563" s="1025"/>
      <c r="BO18563" s="43"/>
    </row>
    <row r="18564" spans="65:67" ht="18.75" customHeight="1">
      <c r="BM18564" s="1025"/>
      <c r="BO18564" s="43"/>
    </row>
    <row r="18565" spans="65:67" ht="18.75" customHeight="1">
      <c r="BM18565" s="1025"/>
      <c r="BO18565" s="43"/>
    </row>
    <row r="18566" spans="65:67" ht="18.75" customHeight="1">
      <c r="BM18566" s="1025"/>
      <c r="BO18566" s="43"/>
    </row>
    <row r="18567" spans="65:67" ht="18.75" customHeight="1">
      <c r="BM18567" s="1025"/>
      <c r="BO18567" s="43"/>
    </row>
    <row r="18568" spans="65:67" ht="18.75" customHeight="1">
      <c r="BM18568" s="1025"/>
      <c r="BO18568" s="43"/>
    </row>
    <row r="18569" spans="65:67" ht="18.75" customHeight="1">
      <c r="BM18569" s="1025"/>
      <c r="BO18569" s="43"/>
    </row>
    <row r="18570" spans="65:67" ht="18.75" customHeight="1">
      <c r="BM18570" s="1025"/>
      <c r="BO18570" s="43"/>
    </row>
    <row r="18571" spans="65:67" ht="18.75" customHeight="1">
      <c r="BM18571" s="1025"/>
      <c r="BO18571" s="43"/>
    </row>
    <row r="18572" spans="65:67" ht="18.75" customHeight="1">
      <c r="BM18572" s="1025"/>
      <c r="BO18572" s="43"/>
    </row>
    <row r="18573" spans="65:67" ht="18.75" customHeight="1">
      <c r="BM18573" s="1025"/>
      <c r="BO18573" s="43"/>
    </row>
    <row r="18574" spans="65:67" ht="18.75" customHeight="1">
      <c r="BM18574" s="1025"/>
      <c r="BO18574" s="43"/>
    </row>
    <row r="18575" spans="65:67" ht="18.75" customHeight="1">
      <c r="BM18575" s="1025"/>
      <c r="BO18575" s="43"/>
    </row>
    <row r="18576" spans="65:67" ht="18.75" customHeight="1">
      <c r="BM18576" s="1025"/>
      <c r="BO18576" s="43"/>
    </row>
    <row r="18577" spans="65:67" ht="18.75" customHeight="1">
      <c r="BM18577" s="1025"/>
      <c r="BO18577" s="43"/>
    </row>
    <row r="18578" spans="65:67" ht="18.75" customHeight="1">
      <c r="BM18578" s="1025"/>
      <c r="BO18578" s="43"/>
    </row>
    <row r="18579" spans="65:67" ht="18.75" customHeight="1">
      <c r="BM18579" s="1025"/>
      <c r="BO18579" s="43"/>
    </row>
    <row r="18580" spans="65:67" ht="18.75" customHeight="1">
      <c r="BM18580" s="1025"/>
      <c r="BO18580" s="43"/>
    </row>
    <row r="18581" spans="65:67" ht="18.75" customHeight="1">
      <c r="BM18581" s="1025"/>
      <c r="BO18581" s="43"/>
    </row>
    <row r="18582" spans="65:67" ht="18.75" customHeight="1">
      <c r="BM18582" s="1025"/>
      <c r="BO18582" s="43"/>
    </row>
    <row r="18583" spans="65:67" ht="18.75" customHeight="1">
      <c r="BM18583" s="1025"/>
      <c r="BO18583" s="43"/>
    </row>
    <row r="18584" spans="65:67" ht="18.75" customHeight="1">
      <c r="BM18584" s="1025"/>
      <c r="BO18584" s="43"/>
    </row>
    <row r="18585" spans="65:67" ht="18.75" customHeight="1">
      <c r="BM18585" s="1025"/>
      <c r="BO18585" s="43"/>
    </row>
    <row r="18586" spans="65:67" ht="18.75" customHeight="1">
      <c r="BM18586" s="1025"/>
      <c r="BO18586" s="43"/>
    </row>
    <row r="18587" spans="65:67" ht="18.75" customHeight="1">
      <c r="BM18587" s="1025"/>
      <c r="BO18587" s="43"/>
    </row>
    <row r="18588" spans="65:67" ht="18.75" customHeight="1">
      <c r="BM18588" s="1025"/>
      <c r="BO18588" s="43"/>
    </row>
    <row r="18589" spans="65:67" ht="18.75" customHeight="1">
      <c r="BM18589" s="1025"/>
      <c r="BO18589" s="43"/>
    </row>
    <row r="18590" spans="65:67" ht="18.75" customHeight="1">
      <c r="BM18590" s="1025"/>
      <c r="BO18590" s="43"/>
    </row>
    <row r="18591" spans="65:67" ht="18.75" customHeight="1">
      <c r="BM18591" s="1025"/>
      <c r="BO18591" s="43"/>
    </row>
    <row r="18592" spans="65:67" ht="18.75" customHeight="1">
      <c r="BM18592" s="1025"/>
      <c r="BO18592" s="43"/>
    </row>
    <row r="18593" spans="65:67" ht="18.75" customHeight="1">
      <c r="BM18593" s="1025"/>
      <c r="BO18593" s="43"/>
    </row>
    <row r="18594" spans="65:67" ht="18.75" customHeight="1">
      <c r="BM18594" s="1025"/>
      <c r="BO18594" s="43"/>
    </row>
    <row r="18595" spans="65:67" ht="18.75" customHeight="1">
      <c r="BM18595" s="1025"/>
      <c r="BO18595" s="43"/>
    </row>
    <row r="18596" spans="65:67" ht="18.75" customHeight="1">
      <c r="BM18596" s="1025"/>
      <c r="BO18596" s="43"/>
    </row>
    <row r="18597" spans="65:67" ht="18.75" customHeight="1">
      <c r="BM18597" s="1025"/>
      <c r="BO18597" s="43"/>
    </row>
    <row r="18598" spans="65:67" ht="18.75" customHeight="1">
      <c r="BM18598" s="1025"/>
      <c r="BO18598" s="43"/>
    </row>
    <row r="18599" spans="65:67" ht="18.75" customHeight="1">
      <c r="BM18599" s="1025"/>
      <c r="BO18599" s="43"/>
    </row>
    <row r="18600" spans="65:67" ht="18.75" customHeight="1">
      <c r="BM18600" s="1025"/>
      <c r="BO18600" s="43"/>
    </row>
    <row r="18601" spans="65:67" ht="18.75" customHeight="1">
      <c r="BM18601" s="1025"/>
      <c r="BO18601" s="43"/>
    </row>
    <row r="18602" spans="65:67" ht="18.75" customHeight="1">
      <c r="BM18602" s="1025"/>
      <c r="BO18602" s="43"/>
    </row>
    <row r="18603" spans="65:67" ht="18.75" customHeight="1">
      <c r="BM18603" s="1025"/>
      <c r="BO18603" s="43"/>
    </row>
    <row r="18604" spans="65:67" ht="18.75" customHeight="1">
      <c r="BM18604" s="1025"/>
      <c r="BO18604" s="43"/>
    </row>
    <row r="18605" spans="65:67" ht="18.75" customHeight="1">
      <c r="BM18605" s="1025"/>
      <c r="BO18605" s="43"/>
    </row>
    <row r="18606" spans="65:67" ht="18.75" customHeight="1">
      <c r="BM18606" s="1025"/>
      <c r="BO18606" s="43"/>
    </row>
    <row r="18607" spans="65:67" ht="18.75" customHeight="1">
      <c r="BM18607" s="1025"/>
      <c r="BO18607" s="43"/>
    </row>
    <row r="18608" spans="65:67" ht="18.75" customHeight="1">
      <c r="BM18608" s="1025"/>
      <c r="BO18608" s="43"/>
    </row>
    <row r="18609" spans="65:67" ht="18.75" customHeight="1">
      <c r="BM18609" s="1025"/>
      <c r="BO18609" s="43"/>
    </row>
    <row r="18610" spans="65:67" ht="18.75" customHeight="1">
      <c r="BM18610" s="1025"/>
      <c r="BO18610" s="43"/>
    </row>
    <row r="18611" spans="65:67" ht="18.75" customHeight="1">
      <c r="BM18611" s="1025"/>
      <c r="BO18611" s="43"/>
    </row>
    <row r="18612" spans="65:67" ht="18.75" customHeight="1">
      <c r="BM18612" s="1025"/>
      <c r="BO18612" s="43"/>
    </row>
    <row r="18613" spans="65:67" ht="18.75" customHeight="1">
      <c r="BM18613" s="1025"/>
      <c r="BO18613" s="43"/>
    </row>
    <row r="18614" spans="65:67" ht="18.75" customHeight="1">
      <c r="BM18614" s="1025"/>
      <c r="BO18614" s="43"/>
    </row>
    <row r="18615" spans="65:67" ht="18.75" customHeight="1">
      <c r="BM18615" s="1025"/>
      <c r="BO18615" s="43"/>
    </row>
    <row r="18616" spans="65:67" ht="18.75" customHeight="1">
      <c r="BM18616" s="1025"/>
      <c r="BO18616" s="43"/>
    </row>
    <row r="18617" spans="65:67" ht="18.75" customHeight="1">
      <c r="BM18617" s="1025"/>
      <c r="BO18617" s="43"/>
    </row>
    <row r="18618" spans="65:67" ht="18.75" customHeight="1">
      <c r="BM18618" s="1025"/>
      <c r="BO18618" s="43"/>
    </row>
    <row r="18619" spans="65:67" ht="18.75" customHeight="1">
      <c r="BM18619" s="1025"/>
      <c r="BO18619" s="43"/>
    </row>
    <row r="18620" spans="65:67" ht="18.75" customHeight="1">
      <c r="BM18620" s="1025"/>
      <c r="BO18620" s="43"/>
    </row>
    <row r="18621" spans="65:67" ht="18.75" customHeight="1">
      <c r="BM18621" s="1025"/>
      <c r="BO18621" s="43"/>
    </row>
    <row r="18622" spans="65:67" ht="18.75" customHeight="1">
      <c r="BM18622" s="1025"/>
      <c r="BO18622" s="43"/>
    </row>
    <row r="18623" spans="65:67" ht="18.75" customHeight="1">
      <c r="BM18623" s="1025"/>
      <c r="BO18623" s="43"/>
    </row>
    <row r="18624" spans="65:67" ht="18.75" customHeight="1">
      <c r="BM18624" s="1025"/>
      <c r="BO18624" s="43"/>
    </row>
    <row r="18625" spans="65:67" ht="18.75" customHeight="1">
      <c r="BM18625" s="1025"/>
      <c r="BO18625" s="43"/>
    </row>
    <row r="18626" spans="65:67" ht="18.75" customHeight="1">
      <c r="BM18626" s="1025"/>
      <c r="BO18626" s="43"/>
    </row>
    <row r="18627" spans="65:67" ht="18.75" customHeight="1">
      <c r="BM18627" s="1025"/>
      <c r="BO18627" s="43"/>
    </row>
    <row r="18628" spans="65:67" ht="18.75" customHeight="1">
      <c r="BM18628" s="1025"/>
      <c r="BO18628" s="43"/>
    </row>
    <row r="18629" spans="65:67" ht="18.75" customHeight="1">
      <c r="BM18629" s="1025"/>
      <c r="BO18629" s="43"/>
    </row>
    <row r="18630" spans="65:67" ht="18.75" customHeight="1">
      <c r="BM18630" s="1025"/>
      <c r="BO18630" s="43"/>
    </row>
    <row r="18631" spans="65:67" ht="18.75" customHeight="1">
      <c r="BM18631" s="1025"/>
      <c r="BO18631" s="43"/>
    </row>
    <row r="18632" spans="65:67" ht="18.75" customHeight="1">
      <c r="BM18632" s="1025"/>
      <c r="BO18632" s="43"/>
    </row>
    <row r="18633" spans="65:67" ht="18.75" customHeight="1">
      <c r="BM18633" s="1025"/>
      <c r="BO18633" s="43"/>
    </row>
    <row r="18634" spans="65:67" ht="18.75" customHeight="1">
      <c r="BM18634" s="1025"/>
      <c r="BO18634" s="43"/>
    </row>
    <row r="18635" spans="65:67" ht="18.75" customHeight="1">
      <c r="BM18635" s="1025"/>
      <c r="BO18635" s="43"/>
    </row>
    <row r="18636" spans="65:67" ht="18.75" customHeight="1">
      <c r="BM18636" s="1025"/>
      <c r="BO18636" s="43"/>
    </row>
    <row r="18637" spans="65:67" ht="18.75" customHeight="1">
      <c r="BM18637" s="1025"/>
      <c r="BO18637" s="43"/>
    </row>
    <row r="18638" spans="65:67" ht="18.75" customHeight="1">
      <c r="BM18638" s="1025"/>
      <c r="BO18638" s="43"/>
    </row>
    <row r="18639" spans="65:67" ht="18.75" customHeight="1">
      <c r="BM18639" s="1025"/>
      <c r="BO18639" s="43"/>
    </row>
    <row r="18640" spans="65:67" ht="18.75" customHeight="1">
      <c r="BM18640" s="1025"/>
      <c r="BO18640" s="43"/>
    </row>
    <row r="18641" spans="65:67" ht="18.75" customHeight="1">
      <c r="BM18641" s="1025"/>
      <c r="BO18641" s="43"/>
    </row>
    <row r="18642" spans="65:67" ht="18.75" customHeight="1">
      <c r="BM18642" s="1025"/>
      <c r="BO18642" s="43"/>
    </row>
    <row r="18643" spans="65:67" ht="18.75" customHeight="1">
      <c r="BM18643" s="1025"/>
      <c r="BO18643" s="43"/>
    </row>
    <row r="18644" spans="65:67" ht="18.75" customHeight="1">
      <c r="BM18644" s="1025"/>
      <c r="BO18644" s="43"/>
    </row>
    <row r="18645" spans="65:67" ht="18.75" customHeight="1">
      <c r="BM18645" s="1025"/>
      <c r="BO18645" s="43"/>
    </row>
    <row r="18646" spans="65:67" ht="18.75" customHeight="1">
      <c r="BM18646" s="1025"/>
      <c r="BO18646" s="43"/>
    </row>
    <row r="18647" spans="65:67" ht="18.75" customHeight="1">
      <c r="BM18647" s="1025"/>
      <c r="BO18647" s="43"/>
    </row>
    <row r="18648" spans="65:67" ht="18.75" customHeight="1">
      <c r="BM18648" s="1025"/>
      <c r="BO18648" s="43"/>
    </row>
    <row r="18649" spans="65:67" ht="18.75" customHeight="1">
      <c r="BM18649" s="1025"/>
      <c r="BO18649" s="43"/>
    </row>
    <row r="18650" spans="65:67" ht="18.75" customHeight="1">
      <c r="BM18650" s="1025"/>
      <c r="BO18650" s="43"/>
    </row>
    <row r="18651" spans="65:67" ht="18.75" customHeight="1">
      <c r="BM18651" s="1025"/>
      <c r="BO18651" s="43"/>
    </row>
    <row r="18652" spans="65:67" ht="18.75" customHeight="1">
      <c r="BM18652" s="1025"/>
      <c r="BO18652" s="43"/>
    </row>
    <row r="18653" spans="65:67" ht="18.75" customHeight="1">
      <c r="BM18653" s="1025"/>
      <c r="BO18653" s="43"/>
    </row>
    <row r="18654" spans="65:67" ht="18.75" customHeight="1">
      <c r="BM18654" s="1025"/>
      <c r="BO18654" s="43"/>
    </row>
    <row r="18655" spans="65:67" ht="18.75" customHeight="1">
      <c r="BM18655" s="1025"/>
      <c r="BO18655" s="43"/>
    </row>
    <row r="18656" spans="65:67" ht="18.75" customHeight="1">
      <c r="BM18656" s="1025"/>
      <c r="BO18656" s="43"/>
    </row>
    <row r="18657" spans="65:67" ht="18.75" customHeight="1">
      <c r="BM18657" s="1025"/>
      <c r="BO18657" s="43"/>
    </row>
    <row r="18658" spans="65:67" ht="18.75" customHeight="1">
      <c r="BM18658" s="1025"/>
      <c r="BO18658" s="43"/>
    </row>
    <row r="18659" spans="65:67" ht="18.75" customHeight="1">
      <c r="BM18659" s="1025"/>
      <c r="BO18659" s="43"/>
    </row>
    <row r="18660" spans="65:67" ht="18.75" customHeight="1">
      <c r="BM18660" s="1025"/>
      <c r="BO18660" s="43"/>
    </row>
    <row r="18661" spans="65:67" ht="18.75" customHeight="1">
      <c r="BM18661" s="1025"/>
      <c r="BO18661" s="43"/>
    </row>
    <row r="18662" spans="65:67" ht="18.75" customHeight="1">
      <c r="BM18662" s="1025"/>
      <c r="BO18662" s="43"/>
    </row>
    <row r="18663" spans="65:67" ht="18.75" customHeight="1">
      <c r="BM18663" s="1025"/>
      <c r="BO18663" s="43"/>
    </row>
    <row r="18664" spans="65:67" ht="18.75" customHeight="1">
      <c r="BM18664" s="1025"/>
      <c r="BO18664" s="43"/>
    </row>
    <row r="18665" spans="65:67" ht="18.75" customHeight="1">
      <c r="BM18665" s="1025"/>
      <c r="BO18665" s="43"/>
    </row>
    <row r="18666" spans="65:67" ht="18.75" customHeight="1">
      <c r="BM18666" s="1025"/>
      <c r="BO18666" s="43"/>
    </row>
    <row r="18667" spans="65:67" ht="18.75" customHeight="1">
      <c r="BM18667" s="1025"/>
      <c r="BO18667" s="43"/>
    </row>
    <row r="18668" spans="65:67" ht="18.75" customHeight="1">
      <c r="BM18668" s="1025"/>
      <c r="BO18668" s="43"/>
    </row>
    <row r="18669" spans="65:67" ht="18.75" customHeight="1">
      <c r="BM18669" s="1025"/>
      <c r="BO18669" s="43"/>
    </row>
    <row r="18670" spans="65:67" ht="18.75" customHeight="1">
      <c r="BM18670" s="1025"/>
      <c r="BO18670" s="43"/>
    </row>
    <row r="18671" spans="65:67" ht="18.75" customHeight="1">
      <c r="BM18671" s="1025"/>
      <c r="BO18671" s="43"/>
    </row>
    <row r="18672" spans="65:67" ht="18.75" customHeight="1">
      <c r="BM18672" s="1025"/>
      <c r="BO18672" s="43"/>
    </row>
    <row r="18673" spans="65:67" ht="18.75" customHeight="1">
      <c r="BM18673" s="1025"/>
      <c r="BO18673" s="43"/>
    </row>
    <row r="18674" spans="65:67" ht="18.75" customHeight="1">
      <c r="BM18674" s="1025"/>
      <c r="BO18674" s="43"/>
    </row>
    <row r="18675" spans="65:67" ht="18.75" customHeight="1">
      <c r="BM18675" s="1025"/>
      <c r="BO18675" s="43"/>
    </row>
    <row r="18676" spans="65:67" ht="18.75" customHeight="1">
      <c r="BM18676" s="1025"/>
      <c r="BO18676" s="43"/>
    </row>
    <row r="18677" spans="65:67" ht="18.75" customHeight="1">
      <c r="BM18677" s="1025"/>
      <c r="BO18677" s="43"/>
    </row>
    <row r="18678" spans="65:67" ht="18.75" customHeight="1">
      <c r="BM18678" s="1025"/>
      <c r="BO18678" s="43"/>
    </row>
    <row r="18679" spans="65:67" ht="18.75" customHeight="1">
      <c r="BM18679" s="1025"/>
      <c r="BO18679" s="43"/>
    </row>
    <row r="18680" spans="65:67" ht="18.75" customHeight="1">
      <c r="BM18680" s="1025"/>
      <c r="BO18680" s="43"/>
    </row>
    <row r="18681" spans="65:67" ht="18.75" customHeight="1">
      <c r="BM18681" s="1025"/>
      <c r="BO18681" s="43"/>
    </row>
    <row r="18682" spans="65:67" ht="18.75" customHeight="1">
      <c r="BM18682" s="1025"/>
      <c r="BO18682" s="43"/>
    </row>
    <row r="18683" spans="65:67" ht="18.75" customHeight="1">
      <c r="BM18683" s="1025"/>
      <c r="BO18683" s="43"/>
    </row>
    <row r="18684" spans="65:67" ht="18.75" customHeight="1">
      <c r="BM18684" s="1025"/>
      <c r="BO18684" s="43"/>
    </row>
    <row r="18685" spans="65:67" ht="18.75" customHeight="1">
      <c r="BM18685" s="1025"/>
      <c r="BO18685" s="43"/>
    </row>
    <row r="18686" spans="65:67" ht="18.75" customHeight="1">
      <c r="BM18686" s="1025"/>
      <c r="BO18686" s="43"/>
    </row>
    <row r="18687" spans="65:67" ht="18.75" customHeight="1">
      <c r="BM18687" s="1025"/>
      <c r="BO18687" s="43"/>
    </row>
    <row r="18688" spans="65:67" ht="18.75" customHeight="1">
      <c r="BM18688" s="1025"/>
      <c r="BO18688" s="43"/>
    </row>
    <row r="18689" spans="65:67" ht="18.75" customHeight="1">
      <c r="BM18689" s="1025"/>
      <c r="BO18689" s="43"/>
    </row>
    <row r="18690" spans="65:67" ht="18.75" customHeight="1">
      <c r="BM18690" s="1025"/>
      <c r="BO18690" s="43"/>
    </row>
    <row r="18691" spans="65:67" ht="18.75" customHeight="1">
      <c r="BM18691" s="1025"/>
      <c r="BO18691" s="43"/>
    </row>
    <row r="18692" spans="65:67" ht="18.75" customHeight="1">
      <c r="BM18692" s="1025"/>
      <c r="BO18692" s="43"/>
    </row>
    <row r="18693" spans="65:67" ht="18.75" customHeight="1">
      <c r="BM18693" s="1025"/>
      <c r="BO18693" s="43"/>
    </row>
    <row r="18694" spans="65:67" ht="18.75" customHeight="1">
      <c r="BM18694" s="1025"/>
      <c r="BO18694" s="43"/>
    </row>
    <row r="18695" spans="65:67" ht="18.75" customHeight="1">
      <c r="BM18695" s="1025"/>
      <c r="BO18695" s="43"/>
    </row>
    <row r="18696" spans="65:67" ht="18.75" customHeight="1">
      <c r="BM18696" s="1025"/>
      <c r="BO18696" s="43"/>
    </row>
    <row r="18697" spans="65:67" ht="18.75" customHeight="1">
      <c r="BM18697" s="1025"/>
      <c r="BO18697" s="43"/>
    </row>
    <row r="18698" spans="65:67" ht="18.75" customHeight="1">
      <c r="BM18698" s="1025"/>
      <c r="BO18698" s="43"/>
    </row>
    <row r="18699" spans="65:67" ht="18.75" customHeight="1">
      <c r="BM18699" s="1025"/>
      <c r="BO18699" s="43"/>
    </row>
    <row r="18700" spans="65:67" ht="18.75" customHeight="1">
      <c r="BM18700" s="1025"/>
      <c r="BO18700" s="43"/>
    </row>
    <row r="18701" spans="65:67" ht="18.75" customHeight="1">
      <c r="BM18701" s="1025"/>
      <c r="BO18701" s="43"/>
    </row>
    <row r="18702" spans="65:67" ht="18.75" customHeight="1">
      <c r="BM18702" s="1025"/>
      <c r="BO18702" s="43"/>
    </row>
    <row r="18703" spans="65:67" ht="18.75" customHeight="1">
      <c r="BM18703" s="1025"/>
      <c r="BO18703" s="43"/>
    </row>
    <row r="18704" spans="65:67" ht="18.75" customHeight="1">
      <c r="BM18704" s="1025"/>
      <c r="BO18704" s="43"/>
    </row>
    <row r="18705" spans="65:67" ht="18.75" customHeight="1">
      <c r="BM18705" s="1025"/>
      <c r="BO18705" s="43"/>
    </row>
    <row r="18706" spans="65:67" ht="18.75" customHeight="1">
      <c r="BM18706" s="1025"/>
      <c r="BO18706" s="43"/>
    </row>
    <row r="18707" spans="65:67" ht="18.75" customHeight="1">
      <c r="BM18707" s="1025"/>
      <c r="BO18707" s="43"/>
    </row>
    <row r="18708" spans="65:67" ht="18.75" customHeight="1">
      <c r="BM18708" s="1025"/>
      <c r="BO18708" s="43"/>
    </row>
    <row r="18709" spans="65:67" ht="18.75" customHeight="1">
      <c r="BM18709" s="1025"/>
      <c r="BO18709" s="43"/>
    </row>
    <row r="18710" spans="65:67" ht="18.75" customHeight="1">
      <c r="BM18710" s="1025"/>
      <c r="BO18710" s="43"/>
    </row>
    <row r="18711" spans="65:67" ht="18.75" customHeight="1">
      <c r="BM18711" s="1025"/>
      <c r="BO18711" s="43"/>
    </row>
    <row r="18712" spans="65:67" ht="18.75" customHeight="1">
      <c r="BM18712" s="1025"/>
      <c r="BO18712" s="43"/>
    </row>
    <row r="18713" spans="65:67" ht="18.75" customHeight="1">
      <c r="BM18713" s="1025"/>
      <c r="BO18713" s="43"/>
    </row>
    <row r="18714" spans="65:67" ht="18.75" customHeight="1">
      <c r="BM18714" s="1025"/>
      <c r="BO18714" s="43"/>
    </row>
    <row r="18715" spans="65:67" ht="18.75" customHeight="1">
      <c r="BM18715" s="1025"/>
      <c r="BO18715" s="43"/>
    </row>
    <row r="18716" spans="65:67" ht="18.75" customHeight="1">
      <c r="BM18716" s="1025"/>
      <c r="BO18716" s="43"/>
    </row>
    <row r="18717" spans="65:67" ht="18.75" customHeight="1">
      <c r="BM18717" s="1025"/>
      <c r="BO18717" s="43"/>
    </row>
    <row r="18718" spans="65:67" ht="18.75" customHeight="1">
      <c r="BM18718" s="1025"/>
      <c r="BO18718" s="43"/>
    </row>
    <row r="18719" spans="65:67" ht="18.75" customHeight="1">
      <c r="BM18719" s="1025"/>
      <c r="BO18719" s="43"/>
    </row>
    <row r="18720" spans="65:67" ht="18.75" customHeight="1">
      <c r="BM18720" s="1025"/>
      <c r="BO18720" s="43"/>
    </row>
    <row r="18721" spans="65:67" ht="18.75" customHeight="1">
      <c r="BM18721" s="1025"/>
      <c r="BO18721" s="43"/>
    </row>
    <row r="18722" spans="65:67" ht="18.75" customHeight="1">
      <c r="BM18722" s="1025"/>
      <c r="BO18722" s="43"/>
    </row>
    <row r="18723" spans="65:67" ht="18.75" customHeight="1">
      <c r="BM18723" s="1025"/>
      <c r="BO18723" s="43"/>
    </row>
    <row r="18724" spans="65:67" ht="18.75" customHeight="1">
      <c r="BM18724" s="1025"/>
      <c r="BO18724" s="43"/>
    </row>
    <row r="18725" spans="65:67" ht="18.75" customHeight="1">
      <c r="BM18725" s="1025"/>
      <c r="BO18725" s="43"/>
    </row>
    <row r="18726" spans="65:67" ht="18.75" customHeight="1">
      <c r="BM18726" s="1025"/>
      <c r="BO18726" s="43"/>
    </row>
    <row r="18727" spans="65:67" ht="18.75" customHeight="1">
      <c r="BM18727" s="1025"/>
      <c r="BO18727" s="43"/>
    </row>
    <row r="18728" spans="65:67" ht="18.75" customHeight="1">
      <c r="BM18728" s="1025"/>
      <c r="BO18728" s="43"/>
    </row>
    <row r="18729" spans="65:67" ht="18.75" customHeight="1">
      <c r="BM18729" s="1025"/>
      <c r="BO18729" s="43"/>
    </row>
    <row r="18730" spans="65:67" ht="18.75" customHeight="1">
      <c r="BM18730" s="1025"/>
      <c r="BO18730" s="43"/>
    </row>
    <row r="18731" spans="65:67" ht="18.75" customHeight="1">
      <c r="BM18731" s="1025"/>
      <c r="BO18731" s="43"/>
    </row>
    <row r="18732" spans="65:67" ht="18.75" customHeight="1">
      <c r="BM18732" s="1025"/>
      <c r="BO18732" s="43"/>
    </row>
    <row r="18733" spans="65:67" ht="18.75" customHeight="1">
      <c r="BM18733" s="1025"/>
      <c r="BO18733" s="43"/>
    </row>
    <row r="18734" spans="65:67" ht="18.75" customHeight="1">
      <c r="BM18734" s="1025"/>
      <c r="BO18734" s="43"/>
    </row>
    <row r="18735" spans="65:67" ht="18.75" customHeight="1">
      <c r="BM18735" s="1025"/>
      <c r="BO18735" s="43"/>
    </row>
    <row r="18736" spans="65:67" ht="18.75" customHeight="1">
      <c r="BM18736" s="1025"/>
      <c r="BO18736" s="43"/>
    </row>
    <row r="18737" spans="65:67" ht="18.75" customHeight="1">
      <c r="BM18737" s="1025"/>
      <c r="BO18737" s="43"/>
    </row>
    <row r="18738" spans="65:67" ht="18.75" customHeight="1">
      <c r="BM18738" s="1025"/>
      <c r="BO18738" s="43"/>
    </row>
    <row r="18739" spans="65:67" ht="18.75" customHeight="1">
      <c r="BM18739" s="1025"/>
      <c r="BO18739" s="43"/>
    </row>
    <row r="18740" spans="65:67" ht="18.75" customHeight="1">
      <c r="BM18740" s="1025"/>
      <c r="BO18740" s="43"/>
    </row>
    <row r="18741" spans="65:67" ht="18.75" customHeight="1">
      <c r="BM18741" s="1025"/>
      <c r="BO18741" s="43"/>
    </row>
    <row r="18742" spans="65:67" ht="18.75" customHeight="1">
      <c r="BM18742" s="1025"/>
      <c r="BO18742" s="43"/>
    </row>
    <row r="18743" spans="65:67" ht="18.75" customHeight="1">
      <c r="BM18743" s="1025"/>
      <c r="BO18743" s="43"/>
    </row>
    <row r="18744" spans="65:67" ht="18.75" customHeight="1">
      <c r="BM18744" s="1025"/>
      <c r="BO18744" s="43"/>
    </row>
    <row r="18745" spans="65:67" ht="18.75" customHeight="1">
      <c r="BM18745" s="1025"/>
      <c r="BO18745" s="43"/>
    </row>
    <row r="18746" spans="65:67" ht="18.75" customHeight="1">
      <c r="BM18746" s="1025"/>
      <c r="BO18746" s="43"/>
    </row>
    <row r="18747" spans="65:67" ht="18.75" customHeight="1">
      <c r="BM18747" s="1025"/>
      <c r="BO18747" s="43"/>
    </row>
    <row r="18748" spans="65:67" ht="18.75" customHeight="1">
      <c r="BM18748" s="1025"/>
      <c r="BO18748" s="43"/>
    </row>
    <row r="18749" spans="65:67" ht="18.75" customHeight="1">
      <c r="BM18749" s="1025"/>
      <c r="BO18749" s="43"/>
    </row>
    <row r="18750" spans="65:67" ht="18.75" customHeight="1">
      <c r="BM18750" s="1025"/>
      <c r="BO18750" s="43"/>
    </row>
    <row r="18751" spans="65:67" ht="18.75" customHeight="1">
      <c r="BM18751" s="1025"/>
      <c r="BO18751" s="43"/>
    </row>
    <row r="18752" spans="65:67" ht="18.75" customHeight="1">
      <c r="BM18752" s="1025"/>
      <c r="BO18752" s="43"/>
    </row>
    <row r="18753" spans="65:67" ht="18.75" customHeight="1">
      <c r="BM18753" s="1025"/>
      <c r="BO18753" s="43"/>
    </row>
    <row r="18754" spans="65:67" ht="18.75" customHeight="1">
      <c r="BM18754" s="1025"/>
      <c r="BO18754" s="43"/>
    </row>
    <row r="18755" spans="65:67" ht="18.75" customHeight="1">
      <c r="BM18755" s="1025"/>
      <c r="BO18755" s="43"/>
    </row>
    <row r="18756" spans="65:67" ht="18.75" customHeight="1">
      <c r="BM18756" s="1025"/>
      <c r="BO18756" s="43"/>
    </row>
    <row r="18757" spans="65:67" ht="18.75" customHeight="1">
      <c r="BM18757" s="1025"/>
      <c r="BO18757" s="43"/>
    </row>
    <row r="18758" spans="65:67" ht="18.75" customHeight="1">
      <c r="BM18758" s="1025"/>
      <c r="BO18758" s="43"/>
    </row>
    <row r="18759" spans="65:67" ht="18.75" customHeight="1">
      <c r="BM18759" s="1025"/>
      <c r="BO18759" s="43"/>
    </row>
    <row r="18760" spans="65:67" ht="18.75" customHeight="1">
      <c r="BM18760" s="1025"/>
      <c r="BO18760" s="43"/>
    </row>
    <row r="18761" spans="65:67" ht="18.75" customHeight="1">
      <c r="BM18761" s="1025"/>
      <c r="BO18761" s="43"/>
    </row>
    <row r="18762" spans="65:67" ht="18.75" customHeight="1">
      <c r="BM18762" s="1025"/>
      <c r="BO18762" s="43"/>
    </row>
    <row r="18763" spans="65:67" ht="18.75" customHeight="1">
      <c r="BM18763" s="1025"/>
      <c r="BO18763" s="43"/>
    </row>
    <row r="18764" spans="65:67" ht="18.75" customHeight="1">
      <c r="BM18764" s="1025"/>
      <c r="BO18764" s="43"/>
    </row>
    <row r="18765" spans="65:67" ht="18.75" customHeight="1">
      <c r="BM18765" s="1025"/>
      <c r="BO18765" s="43"/>
    </row>
    <row r="18766" spans="65:67" ht="18.75" customHeight="1">
      <c r="BM18766" s="1025"/>
      <c r="BO18766" s="43"/>
    </row>
    <row r="18767" spans="65:67" ht="18.75" customHeight="1">
      <c r="BM18767" s="1025"/>
      <c r="BO18767" s="43"/>
    </row>
    <row r="18768" spans="65:67" ht="18.75" customHeight="1">
      <c r="BM18768" s="1025"/>
      <c r="BO18768" s="43"/>
    </row>
    <row r="18769" spans="65:67" ht="18.75" customHeight="1">
      <c r="BM18769" s="1025"/>
      <c r="BO18769" s="43"/>
    </row>
    <row r="18770" spans="65:67" ht="18.75" customHeight="1">
      <c r="BM18770" s="1025"/>
      <c r="BO18770" s="43"/>
    </row>
    <row r="18771" spans="65:67" ht="18.75" customHeight="1">
      <c r="BM18771" s="1025"/>
      <c r="BO18771" s="43"/>
    </row>
    <row r="18772" spans="65:67" ht="18.75" customHeight="1">
      <c r="BM18772" s="1025"/>
      <c r="BO18772" s="43"/>
    </row>
    <row r="18773" spans="65:67" ht="18.75" customHeight="1">
      <c r="BM18773" s="1025"/>
      <c r="BO18773" s="43"/>
    </row>
    <row r="18774" spans="65:67" ht="18.75" customHeight="1">
      <c r="BM18774" s="1025"/>
      <c r="BO18774" s="43"/>
    </row>
    <row r="18775" spans="65:67" ht="18.75" customHeight="1">
      <c r="BM18775" s="1025"/>
      <c r="BO18775" s="43"/>
    </row>
    <row r="18776" spans="65:67" ht="18.75" customHeight="1">
      <c r="BM18776" s="1025"/>
      <c r="BO18776" s="43"/>
    </row>
    <row r="18777" spans="65:67" ht="18.75" customHeight="1">
      <c r="BM18777" s="1025"/>
      <c r="BO18777" s="43"/>
    </row>
    <row r="18778" spans="65:67" ht="18.75" customHeight="1">
      <c r="BM18778" s="1025"/>
      <c r="BO18778" s="43"/>
    </row>
    <row r="18779" spans="65:67" ht="18.75" customHeight="1">
      <c r="BM18779" s="1025"/>
      <c r="BO18779" s="43"/>
    </row>
    <row r="18780" spans="65:67" ht="18.75" customHeight="1">
      <c r="BM18780" s="1025"/>
      <c r="BO18780" s="43"/>
    </row>
    <row r="18781" spans="65:67" ht="18.75" customHeight="1">
      <c r="BM18781" s="1025"/>
      <c r="BO18781" s="43"/>
    </row>
    <row r="18782" spans="65:67" ht="18.75" customHeight="1">
      <c r="BM18782" s="1025"/>
      <c r="BO18782" s="43"/>
    </row>
    <row r="18783" spans="65:67" ht="18.75" customHeight="1">
      <c r="BM18783" s="1025"/>
      <c r="BO18783" s="43"/>
    </row>
    <row r="18784" spans="65:67" ht="18.75" customHeight="1">
      <c r="BM18784" s="1025"/>
      <c r="BO18784" s="43"/>
    </row>
    <row r="18785" spans="65:67" ht="18.75" customHeight="1">
      <c r="BM18785" s="1025"/>
      <c r="BO18785" s="43"/>
    </row>
    <row r="18786" spans="65:67" ht="18.75" customHeight="1">
      <c r="BM18786" s="1025"/>
      <c r="BO18786" s="43"/>
    </row>
    <row r="18787" spans="65:67" ht="18.75" customHeight="1">
      <c r="BM18787" s="1025"/>
      <c r="BO18787" s="43"/>
    </row>
    <row r="18788" spans="65:67" ht="18.75" customHeight="1">
      <c r="BM18788" s="1025"/>
      <c r="BO18788" s="43"/>
    </row>
    <row r="18789" spans="65:67" ht="18.75" customHeight="1">
      <c r="BM18789" s="1025"/>
      <c r="BO18789" s="43"/>
    </row>
    <row r="18790" spans="65:67" ht="18.75" customHeight="1">
      <c r="BM18790" s="1025"/>
      <c r="BO18790" s="43"/>
    </row>
    <row r="18791" spans="65:67" ht="18.75" customHeight="1">
      <c r="BM18791" s="1025"/>
      <c r="BO18791" s="43"/>
    </row>
    <row r="18792" spans="65:67" ht="18.75" customHeight="1">
      <c r="BM18792" s="1025"/>
      <c r="BO18792" s="43"/>
    </row>
    <row r="18793" spans="65:67" ht="18.75" customHeight="1">
      <c r="BM18793" s="1025"/>
      <c r="BO18793" s="43"/>
    </row>
    <row r="18794" spans="65:67" ht="18.75" customHeight="1">
      <c r="BM18794" s="1025"/>
      <c r="BO18794" s="43"/>
    </row>
    <row r="18795" spans="65:67" ht="18.75" customHeight="1">
      <c r="BM18795" s="1025"/>
      <c r="BO18795" s="43"/>
    </row>
    <row r="18796" spans="65:67" ht="18.75" customHeight="1">
      <c r="BM18796" s="1025"/>
      <c r="BO18796" s="43"/>
    </row>
    <row r="18797" spans="65:67" ht="18.75" customHeight="1">
      <c r="BM18797" s="1025"/>
      <c r="BO18797" s="43"/>
    </row>
    <row r="18798" spans="65:67" ht="18.75" customHeight="1">
      <c r="BM18798" s="1025"/>
      <c r="BO18798" s="43"/>
    </row>
    <row r="18799" spans="65:67" ht="18.75" customHeight="1">
      <c r="BM18799" s="1025"/>
      <c r="BO18799" s="43"/>
    </row>
    <row r="18800" spans="65:67" ht="18.75" customHeight="1">
      <c r="BM18800" s="1025"/>
      <c r="BO18800" s="43"/>
    </row>
    <row r="18801" spans="65:67" ht="18.75" customHeight="1">
      <c r="BM18801" s="1025"/>
      <c r="BO18801" s="43"/>
    </row>
    <row r="18802" spans="65:67" ht="18.75" customHeight="1">
      <c r="BM18802" s="1025"/>
      <c r="BO18802" s="43"/>
    </row>
    <row r="18803" spans="65:67" ht="18.75" customHeight="1">
      <c r="BM18803" s="1025"/>
      <c r="BO18803" s="43"/>
    </row>
    <row r="18804" spans="65:67" ht="18.75" customHeight="1">
      <c r="BM18804" s="1025"/>
      <c r="BO18804" s="43"/>
    </row>
    <row r="18805" spans="65:67" ht="18.75" customHeight="1">
      <c r="BM18805" s="1025"/>
      <c r="BO18805" s="43"/>
    </row>
    <row r="18806" spans="65:67" ht="18.75" customHeight="1">
      <c r="BM18806" s="1025"/>
      <c r="BO18806" s="43"/>
    </row>
    <row r="18807" spans="65:67" ht="18.75" customHeight="1">
      <c r="BM18807" s="1025"/>
      <c r="BO18807" s="43"/>
    </row>
    <row r="18808" spans="65:67" ht="18.75" customHeight="1">
      <c r="BM18808" s="1025"/>
      <c r="BO18808" s="43"/>
    </row>
    <row r="18809" spans="65:67" ht="18.75" customHeight="1">
      <c r="BM18809" s="1025"/>
      <c r="BO18809" s="43"/>
    </row>
    <row r="18810" spans="65:67" ht="18.75" customHeight="1">
      <c r="BM18810" s="1025"/>
      <c r="BO18810" s="43"/>
    </row>
    <row r="18811" spans="65:67" ht="18.75" customHeight="1">
      <c r="BM18811" s="1025"/>
      <c r="BO18811" s="43"/>
    </row>
    <row r="18812" spans="65:67" ht="18.75" customHeight="1">
      <c r="BM18812" s="1025"/>
      <c r="BO18812" s="43"/>
    </row>
    <row r="18813" spans="65:67" ht="18.75" customHeight="1">
      <c r="BM18813" s="1025"/>
      <c r="BO18813" s="43"/>
    </row>
    <row r="18814" spans="65:67" ht="18.75" customHeight="1">
      <c r="BM18814" s="1025"/>
      <c r="BO18814" s="43"/>
    </row>
    <row r="18815" spans="65:67" ht="18.75" customHeight="1">
      <c r="BM18815" s="1025"/>
      <c r="BO18815" s="43"/>
    </row>
    <row r="18816" spans="65:67" ht="18.75" customHeight="1">
      <c r="BM18816" s="1025"/>
      <c r="BO18816" s="43"/>
    </row>
    <row r="18817" spans="65:67" ht="18.75" customHeight="1">
      <c r="BM18817" s="1025"/>
      <c r="BO18817" s="43"/>
    </row>
    <row r="18818" spans="65:67" ht="18.75" customHeight="1">
      <c r="BM18818" s="1025"/>
      <c r="BO18818" s="43"/>
    </row>
    <row r="18819" spans="65:67" ht="18.75" customHeight="1">
      <c r="BM18819" s="1025"/>
      <c r="BO18819" s="43"/>
    </row>
    <row r="18820" spans="65:67" ht="18.75" customHeight="1">
      <c r="BM18820" s="1025"/>
      <c r="BO18820" s="43"/>
    </row>
    <row r="18821" spans="65:67" ht="18.75" customHeight="1">
      <c r="BM18821" s="1025"/>
      <c r="BO18821" s="43"/>
    </row>
    <row r="18822" spans="65:67" ht="18.75" customHeight="1">
      <c r="BM18822" s="1025"/>
      <c r="BO18822" s="43"/>
    </row>
    <row r="18823" spans="65:67" ht="18.75" customHeight="1">
      <c r="BM18823" s="1025"/>
      <c r="BO18823" s="43"/>
    </row>
    <row r="18824" spans="65:67" ht="18.75" customHeight="1">
      <c r="BM18824" s="1025"/>
      <c r="BO18824" s="43"/>
    </row>
    <row r="18825" spans="65:67" ht="18.75" customHeight="1">
      <c r="BM18825" s="1025"/>
      <c r="BO18825" s="43"/>
    </row>
    <row r="18826" spans="65:67" ht="18.75" customHeight="1">
      <c r="BM18826" s="1025"/>
      <c r="BO18826" s="43"/>
    </row>
    <row r="18827" spans="65:67" ht="18.75" customHeight="1">
      <c r="BM18827" s="1025"/>
      <c r="BO18827" s="43"/>
    </row>
    <row r="18828" spans="65:67" ht="18.75" customHeight="1">
      <c r="BM18828" s="1025"/>
      <c r="BO18828" s="43"/>
    </row>
    <row r="18829" spans="65:67" ht="18.75" customHeight="1">
      <c r="BM18829" s="1025"/>
      <c r="BO18829" s="43"/>
    </row>
    <row r="18830" spans="65:67" ht="18.75" customHeight="1">
      <c r="BM18830" s="1025"/>
      <c r="BO18830" s="43"/>
    </row>
    <row r="18831" spans="65:67" ht="18.75" customHeight="1">
      <c r="BM18831" s="1025"/>
      <c r="BO18831" s="43"/>
    </row>
    <row r="18832" spans="65:67" ht="18.75" customHeight="1">
      <c r="BM18832" s="1025"/>
      <c r="BO18832" s="43"/>
    </row>
    <row r="18833" spans="65:67" ht="18.75" customHeight="1">
      <c r="BM18833" s="1025"/>
      <c r="BO18833" s="43"/>
    </row>
    <row r="18834" spans="65:67" ht="18.75" customHeight="1">
      <c r="BM18834" s="1025"/>
      <c r="BO18834" s="43"/>
    </row>
    <row r="18835" spans="65:67" ht="18.75" customHeight="1">
      <c r="BM18835" s="1025"/>
      <c r="BO18835" s="43"/>
    </row>
    <row r="18836" spans="65:67" ht="18.75" customHeight="1">
      <c r="BM18836" s="1025"/>
      <c r="BO18836" s="43"/>
    </row>
    <row r="18837" spans="65:67" ht="18.75" customHeight="1">
      <c r="BM18837" s="1025"/>
      <c r="BO18837" s="43"/>
    </row>
    <row r="18838" spans="65:67" ht="18.75" customHeight="1">
      <c r="BM18838" s="1025"/>
      <c r="BO18838" s="43"/>
    </row>
    <row r="18839" spans="65:67" ht="18.75" customHeight="1">
      <c r="BM18839" s="1025"/>
      <c r="BO18839" s="43"/>
    </row>
    <row r="18840" spans="65:67" ht="18.75" customHeight="1">
      <c r="BM18840" s="1025"/>
      <c r="BO18840" s="43"/>
    </row>
    <row r="18841" spans="65:67" ht="18.75" customHeight="1">
      <c r="BM18841" s="1025"/>
      <c r="BO18841" s="43"/>
    </row>
    <row r="18842" spans="65:67" ht="18.75" customHeight="1">
      <c r="BM18842" s="1025"/>
      <c r="BO18842" s="43"/>
    </row>
    <row r="18843" spans="65:67" ht="18.75" customHeight="1">
      <c r="BM18843" s="1025"/>
      <c r="BO18843" s="43"/>
    </row>
    <row r="18844" spans="65:67" ht="18.75" customHeight="1">
      <c r="BM18844" s="1025"/>
      <c r="BO18844" s="43"/>
    </row>
    <row r="18845" spans="65:67" ht="18.75" customHeight="1">
      <c r="BM18845" s="1025"/>
      <c r="BO18845" s="43"/>
    </row>
    <row r="18846" spans="65:67" ht="18.75" customHeight="1">
      <c r="BM18846" s="1025"/>
      <c r="BO18846" s="43"/>
    </row>
    <row r="18847" spans="65:67" ht="18.75" customHeight="1">
      <c r="BM18847" s="1025"/>
      <c r="BO18847" s="43"/>
    </row>
    <row r="18848" spans="65:67" ht="18.75" customHeight="1">
      <c r="BM18848" s="1025"/>
      <c r="BO18848" s="43"/>
    </row>
    <row r="18849" spans="65:67" ht="18.75" customHeight="1">
      <c r="BM18849" s="1025"/>
      <c r="BO18849" s="43"/>
    </row>
    <row r="18850" spans="65:67" ht="18.75" customHeight="1">
      <c r="BM18850" s="1025"/>
      <c r="BO18850" s="43"/>
    </row>
    <row r="18851" spans="65:67" ht="18.75" customHeight="1">
      <c r="BM18851" s="1025"/>
      <c r="BO18851" s="43"/>
    </row>
    <row r="18852" spans="65:67" ht="18.75" customHeight="1">
      <c r="BM18852" s="1025"/>
      <c r="BO18852" s="43"/>
    </row>
    <row r="18853" spans="65:67" ht="18.75" customHeight="1">
      <c r="BM18853" s="1025"/>
      <c r="BO18853" s="43"/>
    </row>
    <row r="18854" spans="65:67" ht="18.75" customHeight="1">
      <c r="BM18854" s="1025"/>
      <c r="BO18854" s="43"/>
    </row>
    <row r="18855" spans="65:67" ht="18.75" customHeight="1">
      <c r="BM18855" s="1025"/>
      <c r="BO18855" s="43"/>
    </row>
    <row r="18856" spans="65:67" ht="18.75" customHeight="1">
      <c r="BM18856" s="1025"/>
      <c r="BO18856" s="43"/>
    </row>
    <row r="18857" spans="65:67" ht="18.75" customHeight="1">
      <c r="BM18857" s="1025"/>
      <c r="BO18857" s="43"/>
    </row>
    <row r="18858" spans="65:67" ht="18.75" customHeight="1">
      <c r="BM18858" s="1025"/>
      <c r="BO18858" s="43"/>
    </row>
    <row r="18859" spans="65:67" ht="18.75" customHeight="1">
      <c r="BM18859" s="1025"/>
      <c r="BO18859" s="43"/>
    </row>
    <row r="18860" spans="65:67" ht="18.75" customHeight="1">
      <c r="BM18860" s="1025"/>
      <c r="BO18860" s="43"/>
    </row>
    <row r="18861" spans="65:67" ht="18.75" customHeight="1">
      <c r="BM18861" s="1025"/>
      <c r="BO18861" s="43"/>
    </row>
    <row r="18862" spans="65:67" ht="18.75" customHeight="1">
      <c r="BM18862" s="1025"/>
      <c r="BO18862" s="43"/>
    </row>
    <row r="18863" spans="65:67" ht="18.75" customHeight="1">
      <c r="BM18863" s="1025"/>
      <c r="BO18863" s="43"/>
    </row>
    <row r="18864" spans="65:67" ht="18.75" customHeight="1">
      <c r="BM18864" s="1025"/>
      <c r="BO18864" s="43"/>
    </row>
    <row r="18865" spans="65:67" ht="18.75" customHeight="1">
      <c r="BM18865" s="1025"/>
      <c r="BO18865" s="43"/>
    </row>
    <row r="18866" spans="65:67" ht="18.75" customHeight="1">
      <c r="BM18866" s="1025"/>
      <c r="BO18866" s="43"/>
    </row>
    <row r="18867" spans="65:67" ht="18.75" customHeight="1">
      <c r="BM18867" s="1025"/>
      <c r="BO18867" s="43"/>
    </row>
    <row r="18868" spans="65:67" ht="18.75" customHeight="1">
      <c r="BM18868" s="1025"/>
      <c r="BO18868" s="43"/>
    </row>
    <row r="18869" spans="65:67" ht="18.75" customHeight="1">
      <c r="BM18869" s="1025"/>
      <c r="BO18869" s="43"/>
    </row>
    <row r="18870" spans="65:67" ht="18.75" customHeight="1">
      <c r="BM18870" s="1025"/>
      <c r="BO18870" s="43"/>
    </row>
    <row r="18871" spans="65:67" ht="18.75" customHeight="1">
      <c r="BM18871" s="1025"/>
      <c r="BO18871" s="43"/>
    </row>
    <row r="18872" spans="65:67" ht="18.75" customHeight="1">
      <c r="BM18872" s="1025"/>
      <c r="BO18872" s="43"/>
    </row>
    <row r="18873" spans="65:67" ht="18.75" customHeight="1">
      <c r="BM18873" s="1025"/>
      <c r="BO18873" s="43"/>
    </row>
    <row r="18874" spans="65:67" ht="18.75" customHeight="1">
      <c r="BM18874" s="1025"/>
      <c r="BO18874" s="43"/>
    </row>
    <row r="18875" spans="65:67" ht="18.75" customHeight="1">
      <c r="BM18875" s="1025"/>
      <c r="BO18875" s="43"/>
    </row>
    <row r="18876" spans="65:67" ht="18.75" customHeight="1">
      <c r="BM18876" s="1025"/>
      <c r="BO18876" s="43"/>
    </row>
    <row r="18877" spans="65:67" ht="18.75" customHeight="1">
      <c r="BM18877" s="1025"/>
      <c r="BO18877" s="43"/>
    </row>
    <row r="18878" spans="65:67" ht="18.75" customHeight="1">
      <c r="BM18878" s="1025"/>
      <c r="BO18878" s="43"/>
    </row>
    <row r="18879" spans="65:67" ht="18.75" customHeight="1">
      <c r="BM18879" s="1025"/>
      <c r="BO18879" s="43"/>
    </row>
    <row r="18880" spans="65:67" ht="18.75" customHeight="1">
      <c r="BM18880" s="1025"/>
      <c r="BO18880" s="43"/>
    </row>
    <row r="18881" spans="65:67" ht="18.75" customHeight="1">
      <c r="BM18881" s="1025"/>
      <c r="BO18881" s="43"/>
    </row>
    <row r="18882" spans="65:67" ht="18.75" customHeight="1">
      <c r="BM18882" s="1025"/>
      <c r="BO18882" s="43"/>
    </row>
    <row r="18883" spans="65:67" ht="18.75" customHeight="1">
      <c r="BM18883" s="1025"/>
      <c r="BO18883" s="43"/>
    </row>
    <row r="18884" spans="65:67" ht="18.75" customHeight="1">
      <c r="BM18884" s="1025"/>
      <c r="BO18884" s="43"/>
    </row>
    <row r="18885" spans="65:67" ht="18.75" customHeight="1">
      <c r="BM18885" s="1025"/>
      <c r="BO18885" s="43"/>
    </row>
    <row r="18886" spans="65:67" ht="18.75" customHeight="1">
      <c r="BM18886" s="1025"/>
      <c r="BO18886" s="43"/>
    </row>
    <row r="18887" spans="65:67" ht="18.75" customHeight="1">
      <c r="BM18887" s="1025"/>
      <c r="BO18887" s="43"/>
    </row>
    <row r="18888" spans="65:67" ht="18.75" customHeight="1">
      <c r="BM18888" s="1025"/>
      <c r="BO18888" s="43"/>
    </row>
    <row r="18889" spans="65:67" ht="18.75" customHeight="1">
      <c r="BM18889" s="1025"/>
      <c r="BO18889" s="43"/>
    </row>
    <row r="18890" spans="65:67" ht="18.75" customHeight="1">
      <c r="BM18890" s="1025"/>
      <c r="BO18890" s="43"/>
    </row>
    <row r="18891" spans="65:67" ht="18.75" customHeight="1">
      <c r="BM18891" s="1025"/>
      <c r="BO18891" s="43"/>
    </row>
    <row r="18892" spans="65:67" ht="18.75" customHeight="1">
      <c r="BM18892" s="1025"/>
      <c r="BO18892" s="43"/>
    </row>
    <row r="18893" spans="65:67" ht="18.75" customHeight="1">
      <c r="BM18893" s="1025"/>
      <c r="BO18893" s="43"/>
    </row>
    <row r="18894" spans="65:67" ht="18.75" customHeight="1">
      <c r="BM18894" s="1025"/>
      <c r="BO18894" s="43"/>
    </row>
    <row r="18895" spans="65:67" ht="18.75" customHeight="1">
      <c r="BM18895" s="1025"/>
      <c r="BO18895" s="43"/>
    </row>
    <row r="18896" spans="65:67" ht="18.75" customHeight="1">
      <c r="BM18896" s="1025"/>
      <c r="BO18896" s="43"/>
    </row>
    <row r="18897" spans="65:67" ht="18.75" customHeight="1">
      <c r="BM18897" s="1025"/>
      <c r="BO18897" s="43"/>
    </row>
    <row r="18898" spans="65:67" ht="18.75" customHeight="1">
      <c r="BM18898" s="1025"/>
      <c r="BO18898" s="43"/>
    </row>
    <row r="18899" spans="65:67" ht="18.75" customHeight="1">
      <c r="BM18899" s="1025"/>
      <c r="BO18899" s="43"/>
    </row>
    <row r="18900" spans="65:67" ht="18.75" customHeight="1">
      <c r="BM18900" s="1025"/>
      <c r="BO18900" s="43"/>
    </row>
    <row r="18901" spans="65:67" ht="18.75" customHeight="1">
      <c r="BM18901" s="1025"/>
      <c r="BO18901" s="43"/>
    </row>
    <row r="18902" spans="65:67" ht="18.75" customHeight="1">
      <c r="BM18902" s="1025"/>
      <c r="BO18902" s="43"/>
    </row>
    <row r="18903" spans="65:67" ht="18.75" customHeight="1">
      <c r="BM18903" s="1025"/>
      <c r="BO18903" s="43"/>
    </row>
    <row r="18904" spans="65:67" ht="18.75" customHeight="1">
      <c r="BM18904" s="1025"/>
      <c r="BO18904" s="43"/>
    </row>
    <row r="18905" spans="65:67" ht="18.75" customHeight="1">
      <c r="BM18905" s="1025"/>
      <c r="BO18905" s="43"/>
    </row>
    <row r="18906" spans="65:67" ht="18.75" customHeight="1">
      <c r="BM18906" s="1025"/>
      <c r="BO18906" s="43"/>
    </row>
    <row r="18907" spans="65:67" ht="18.75" customHeight="1">
      <c r="BM18907" s="1025"/>
      <c r="BO18907" s="43"/>
    </row>
    <row r="18908" spans="65:67" ht="18.75" customHeight="1">
      <c r="BM18908" s="1025"/>
      <c r="BO18908" s="43"/>
    </row>
    <row r="18909" spans="65:67" ht="18.75" customHeight="1">
      <c r="BM18909" s="1025"/>
      <c r="BO18909" s="43"/>
    </row>
    <row r="18910" spans="65:67" ht="18.75" customHeight="1">
      <c r="BM18910" s="1025"/>
      <c r="BO18910" s="43"/>
    </row>
    <row r="18911" spans="65:67" ht="18.75" customHeight="1">
      <c r="BM18911" s="1025"/>
      <c r="BO18911" s="43"/>
    </row>
    <row r="18912" spans="65:67" ht="18.75" customHeight="1">
      <c r="BM18912" s="1025"/>
      <c r="BO18912" s="43"/>
    </row>
    <row r="18913" spans="65:67" ht="18.75" customHeight="1">
      <c r="BM18913" s="1025"/>
      <c r="BO18913" s="43"/>
    </row>
    <row r="18914" spans="65:67" ht="18.75" customHeight="1">
      <c r="BM18914" s="1025"/>
      <c r="BO18914" s="43"/>
    </row>
    <row r="18915" spans="65:67" ht="18.75" customHeight="1">
      <c r="BM18915" s="1025"/>
      <c r="BO18915" s="43"/>
    </row>
    <row r="18916" spans="65:67" ht="18.75" customHeight="1">
      <c r="BM18916" s="1025"/>
      <c r="BO18916" s="43"/>
    </row>
    <row r="18917" spans="65:67" ht="18.75" customHeight="1">
      <c r="BM18917" s="1025"/>
      <c r="BO18917" s="43"/>
    </row>
    <row r="18918" spans="65:67" ht="18.75" customHeight="1">
      <c r="BM18918" s="1025"/>
      <c r="BO18918" s="43"/>
    </row>
    <row r="18919" spans="65:67" ht="18.75" customHeight="1">
      <c r="BM18919" s="1025"/>
      <c r="BO18919" s="43"/>
    </row>
    <row r="18920" spans="65:67" ht="18.75" customHeight="1">
      <c r="BM18920" s="1025"/>
      <c r="BO18920" s="43"/>
    </row>
    <row r="18921" spans="65:67" ht="18.75" customHeight="1">
      <c r="BM18921" s="1025"/>
      <c r="BO18921" s="43"/>
    </row>
    <row r="18922" spans="65:67" ht="18.75" customHeight="1">
      <c r="BM18922" s="1025"/>
      <c r="BO18922" s="43"/>
    </row>
    <row r="18923" spans="65:67" ht="18.75" customHeight="1">
      <c r="BM18923" s="1025"/>
      <c r="BO18923" s="43"/>
    </row>
    <row r="18924" spans="65:67" ht="18.75" customHeight="1">
      <c r="BM18924" s="1025"/>
      <c r="BO18924" s="43"/>
    </row>
    <row r="18925" spans="65:67" ht="18.75" customHeight="1">
      <c r="BM18925" s="1025"/>
      <c r="BO18925" s="43"/>
    </row>
    <row r="18926" spans="65:67" ht="18.75" customHeight="1">
      <c r="BM18926" s="1025"/>
      <c r="BO18926" s="43"/>
    </row>
    <row r="18927" spans="65:67" ht="18.75" customHeight="1">
      <c r="BM18927" s="1025"/>
      <c r="BO18927" s="43"/>
    </row>
    <row r="18928" spans="65:67" ht="18.75" customHeight="1">
      <c r="BM18928" s="1025"/>
      <c r="BO18928" s="43"/>
    </row>
    <row r="18929" spans="65:67" ht="18.75" customHeight="1">
      <c r="BM18929" s="1025"/>
      <c r="BO18929" s="43"/>
    </row>
    <row r="18930" spans="65:67" ht="18.75" customHeight="1">
      <c r="BM18930" s="1025"/>
      <c r="BO18930" s="43"/>
    </row>
    <row r="18931" spans="65:67" ht="18.75" customHeight="1">
      <c r="BM18931" s="1025"/>
      <c r="BO18931" s="43"/>
    </row>
    <row r="18932" spans="65:67" ht="18.75" customHeight="1">
      <c r="BM18932" s="1025"/>
      <c r="BO18932" s="43"/>
    </row>
    <row r="18933" spans="65:67" ht="18.75" customHeight="1">
      <c r="BM18933" s="1025"/>
      <c r="BO18933" s="43"/>
    </row>
    <row r="18934" spans="65:67" ht="18.75" customHeight="1">
      <c r="BM18934" s="1025"/>
      <c r="BO18934" s="43"/>
    </row>
    <row r="18935" spans="65:67" ht="18.75" customHeight="1">
      <c r="BM18935" s="1025"/>
      <c r="BO18935" s="43"/>
    </row>
    <row r="18936" spans="65:67" ht="18.75" customHeight="1">
      <c r="BM18936" s="1025"/>
      <c r="BO18936" s="43"/>
    </row>
    <row r="18937" spans="65:67" ht="18.75" customHeight="1">
      <c r="BM18937" s="1025"/>
      <c r="BO18937" s="43"/>
    </row>
    <row r="18938" spans="65:67" ht="18.75" customHeight="1">
      <c r="BM18938" s="1025"/>
      <c r="BO18938" s="43"/>
    </row>
    <row r="18939" spans="65:67" ht="18.75" customHeight="1">
      <c r="BM18939" s="1025"/>
      <c r="BO18939" s="43"/>
    </row>
    <row r="18940" spans="65:67" ht="18.75" customHeight="1">
      <c r="BM18940" s="1025"/>
      <c r="BO18940" s="43"/>
    </row>
    <row r="18941" spans="65:67" ht="18.75" customHeight="1">
      <c r="BM18941" s="1025"/>
      <c r="BO18941" s="43"/>
    </row>
    <row r="18942" spans="65:67" ht="18.75" customHeight="1">
      <c r="BM18942" s="1025"/>
      <c r="BO18942" s="43"/>
    </row>
    <row r="18943" spans="65:67" ht="18.75" customHeight="1">
      <c r="BM18943" s="1025"/>
      <c r="BO18943" s="43"/>
    </row>
    <row r="18944" spans="65:67" ht="18.75" customHeight="1">
      <c r="BM18944" s="1025"/>
      <c r="BO18944" s="43"/>
    </row>
    <row r="18945" spans="65:67" ht="18.75" customHeight="1">
      <c r="BM18945" s="1025"/>
      <c r="BO18945" s="43"/>
    </row>
    <row r="18946" spans="65:67" ht="18.75" customHeight="1">
      <c r="BM18946" s="1025"/>
      <c r="BO18946" s="43"/>
    </row>
    <row r="18947" spans="65:67" ht="18.75" customHeight="1">
      <c r="BM18947" s="1025"/>
      <c r="BO18947" s="43"/>
    </row>
    <row r="18948" spans="65:67" ht="18.75" customHeight="1">
      <c r="BM18948" s="1025"/>
      <c r="BO18948" s="43"/>
    </row>
    <row r="18949" spans="65:67" ht="18.75" customHeight="1">
      <c r="BM18949" s="1025"/>
      <c r="BO18949" s="43"/>
    </row>
    <row r="18950" spans="65:67" ht="18.75" customHeight="1">
      <c r="BM18950" s="1025"/>
      <c r="BO18950" s="43"/>
    </row>
    <row r="18951" spans="65:67" ht="18.75" customHeight="1">
      <c r="BM18951" s="1025"/>
      <c r="BO18951" s="43"/>
    </row>
    <row r="18952" spans="65:67" ht="18.75" customHeight="1">
      <c r="BM18952" s="1025"/>
      <c r="BO18952" s="43"/>
    </row>
    <row r="18953" spans="65:67" ht="18.75" customHeight="1">
      <c r="BM18953" s="1025"/>
      <c r="BO18953" s="43"/>
    </row>
    <row r="18954" spans="65:67" ht="18.75" customHeight="1">
      <c r="BM18954" s="1025"/>
      <c r="BO18954" s="43"/>
    </row>
    <row r="18955" spans="65:67" ht="18.75" customHeight="1">
      <c r="BM18955" s="1025"/>
      <c r="BO18955" s="43"/>
    </row>
    <row r="18956" spans="65:67" ht="18.75" customHeight="1">
      <c r="BM18956" s="1025"/>
      <c r="BO18956" s="43"/>
    </row>
    <row r="18957" spans="65:67" ht="18.75" customHeight="1">
      <c r="BM18957" s="1025"/>
      <c r="BO18957" s="43"/>
    </row>
    <row r="18958" spans="65:67" ht="18.75" customHeight="1">
      <c r="BM18958" s="1025"/>
      <c r="BO18958" s="43"/>
    </row>
    <row r="18959" spans="65:67" ht="18.75" customHeight="1">
      <c r="BM18959" s="1025"/>
      <c r="BO18959" s="43"/>
    </row>
    <row r="18960" spans="65:67" ht="18.75" customHeight="1">
      <c r="BM18960" s="1025"/>
      <c r="BO18960" s="43"/>
    </row>
    <row r="18961" spans="65:67" ht="18.75" customHeight="1">
      <c r="BM18961" s="1025"/>
      <c r="BO18961" s="43"/>
    </row>
    <row r="18962" spans="65:67" ht="18.75" customHeight="1">
      <c r="BM18962" s="1025"/>
      <c r="BO18962" s="43"/>
    </row>
    <row r="18963" spans="65:67" ht="18.75" customHeight="1">
      <c r="BM18963" s="1025"/>
      <c r="BO18963" s="43"/>
    </row>
    <row r="18964" spans="65:67" ht="18.75" customHeight="1">
      <c r="BM18964" s="1025"/>
      <c r="BO18964" s="43"/>
    </row>
    <row r="18965" spans="65:67" ht="18.75" customHeight="1">
      <c r="BM18965" s="1025"/>
      <c r="BO18965" s="43"/>
    </row>
    <row r="18966" spans="65:67" ht="18.75" customHeight="1">
      <c r="BM18966" s="1025"/>
      <c r="BO18966" s="43"/>
    </row>
    <row r="18967" spans="65:67" ht="18.75" customHeight="1">
      <c r="BM18967" s="1025"/>
      <c r="BO18967" s="43"/>
    </row>
    <row r="18968" spans="65:67" ht="18.75" customHeight="1">
      <c r="BM18968" s="1025"/>
      <c r="BO18968" s="43"/>
    </row>
    <row r="18969" spans="65:67" ht="18.75" customHeight="1">
      <c r="BM18969" s="1025"/>
      <c r="BO18969" s="43"/>
    </row>
    <row r="18970" spans="65:67" ht="18.75" customHeight="1">
      <c r="BM18970" s="1025"/>
      <c r="BO18970" s="43"/>
    </row>
    <row r="18971" spans="65:67" ht="18.75" customHeight="1">
      <c r="BM18971" s="1025"/>
      <c r="BO18971" s="43"/>
    </row>
    <row r="18972" spans="65:67" ht="18.75" customHeight="1">
      <c r="BM18972" s="1025"/>
      <c r="BO18972" s="43"/>
    </row>
    <row r="18973" spans="65:67" ht="18.75" customHeight="1">
      <c r="BM18973" s="1025"/>
      <c r="BO18973" s="43"/>
    </row>
    <row r="18974" spans="65:67" ht="18.75" customHeight="1">
      <c r="BM18974" s="1025"/>
      <c r="BO18974" s="43"/>
    </row>
    <row r="18975" spans="65:67" ht="18.75" customHeight="1">
      <c r="BM18975" s="1025"/>
      <c r="BO18975" s="43"/>
    </row>
    <row r="18976" spans="65:67" ht="18.75" customHeight="1">
      <c r="BM18976" s="1025"/>
      <c r="BO18976" s="43"/>
    </row>
    <row r="18977" spans="65:67" ht="18.75" customHeight="1">
      <c r="BM18977" s="1025"/>
      <c r="BO18977" s="43"/>
    </row>
    <row r="18978" spans="65:67" ht="18.75" customHeight="1">
      <c r="BM18978" s="1025"/>
      <c r="BO18978" s="43"/>
    </row>
    <row r="18979" spans="65:67" ht="18.75" customHeight="1">
      <c r="BM18979" s="1025"/>
      <c r="BO18979" s="43"/>
    </row>
    <row r="18980" spans="65:67" ht="18.75" customHeight="1">
      <c r="BM18980" s="1025"/>
      <c r="BO18980" s="43"/>
    </row>
    <row r="18981" spans="65:67" ht="18.75" customHeight="1">
      <c r="BM18981" s="1025"/>
      <c r="BO18981" s="43"/>
    </row>
    <row r="18982" spans="65:67" ht="18.75" customHeight="1">
      <c r="BM18982" s="1025"/>
      <c r="BO18982" s="43"/>
    </row>
    <row r="18983" spans="65:67" ht="18.75" customHeight="1">
      <c r="BM18983" s="1025"/>
      <c r="BO18983" s="43"/>
    </row>
    <row r="18984" spans="65:67" ht="18.75" customHeight="1">
      <c r="BM18984" s="1025"/>
      <c r="BO18984" s="43"/>
    </row>
    <row r="18985" spans="65:67" ht="18.75" customHeight="1">
      <c r="BM18985" s="1025"/>
      <c r="BO18985" s="43"/>
    </row>
    <row r="18986" spans="65:67" ht="18.75" customHeight="1">
      <c r="BM18986" s="1025"/>
      <c r="BO18986" s="43"/>
    </row>
    <row r="18987" spans="65:67" ht="18.75" customHeight="1">
      <c r="BM18987" s="1025"/>
      <c r="BO18987" s="43"/>
    </row>
    <row r="18988" spans="65:67" ht="18.75" customHeight="1">
      <c r="BM18988" s="1025"/>
      <c r="BO18988" s="43"/>
    </row>
    <row r="18989" spans="65:67" ht="18.75" customHeight="1">
      <c r="BM18989" s="1025"/>
      <c r="BO18989" s="43"/>
    </row>
    <row r="18990" spans="65:67" ht="18.75" customHeight="1">
      <c r="BM18990" s="1025"/>
      <c r="BO18990" s="43"/>
    </row>
    <row r="18991" spans="65:67" ht="18.75" customHeight="1">
      <c r="BM18991" s="1025"/>
      <c r="BO18991" s="43"/>
    </row>
    <row r="18992" spans="65:67" ht="18.75" customHeight="1">
      <c r="BM18992" s="1025"/>
      <c r="BO18992" s="43"/>
    </row>
    <row r="18993" spans="65:67" ht="18.75" customHeight="1">
      <c r="BM18993" s="1025"/>
      <c r="BO18993" s="43"/>
    </row>
    <row r="18994" spans="65:67" ht="18.75" customHeight="1">
      <c r="BM18994" s="1025"/>
      <c r="BO18994" s="43"/>
    </row>
    <row r="18995" spans="65:67" ht="18.75" customHeight="1">
      <c r="BM18995" s="1025"/>
      <c r="BO18995" s="43"/>
    </row>
    <row r="18996" spans="65:67" ht="18.75" customHeight="1">
      <c r="BM18996" s="1025"/>
      <c r="BO18996" s="43"/>
    </row>
    <row r="18997" spans="65:67" ht="18.75" customHeight="1">
      <c r="BM18997" s="1025"/>
      <c r="BO18997" s="43"/>
    </row>
    <row r="18998" spans="65:67" ht="18.75" customHeight="1">
      <c r="BM18998" s="1025"/>
      <c r="BO18998" s="43"/>
    </row>
    <row r="18999" spans="65:67" ht="18.75" customHeight="1">
      <c r="BM18999" s="1025"/>
      <c r="BO18999" s="43"/>
    </row>
    <row r="19000" spans="65:67" ht="18.75" customHeight="1">
      <c r="BM19000" s="1025"/>
      <c r="BO19000" s="43"/>
    </row>
    <row r="19001" spans="65:67" ht="18.75" customHeight="1">
      <c r="BM19001" s="1025"/>
      <c r="BO19001" s="43"/>
    </row>
    <row r="19002" spans="65:67" ht="18.75" customHeight="1">
      <c r="BM19002" s="1025"/>
      <c r="BO19002" s="43"/>
    </row>
    <row r="19003" spans="65:67" ht="18.75" customHeight="1">
      <c r="BM19003" s="1025"/>
      <c r="BO19003" s="43"/>
    </row>
    <row r="19004" spans="65:67" ht="18.75" customHeight="1">
      <c r="BM19004" s="1025"/>
      <c r="BO19004" s="43"/>
    </row>
    <row r="19005" spans="65:67" ht="18.75" customHeight="1">
      <c r="BM19005" s="1025"/>
      <c r="BO19005" s="43"/>
    </row>
    <row r="19006" spans="65:67" ht="18.75" customHeight="1">
      <c r="BM19006" s="1025"/>
      <c r="BO19006" s="43"/>
    </row>
    <row r="19007" spans="65:67" ht="18.75" customHeight="1">
      <c r="BM19007" s="1025"/>
      <c r="BO19007" s="43"/>
    </row>
    <row r="19008" spans="65:67" ht="18.75" customHeight="1">
      <c r="BM19008" s="1025"/>
      <c r="BO19008" s="43"/>
    </row>
    <row r="19009" spans="65:67" ht="18.75" customHeight="1">
      <c r="BM19009" s="1025"/>
      <c r="BO19009" s="43"/>
    </row>
    <row r="19010" spans="65:67" ht="18.75" customHeight="1">
      <c r="BM19010" s="1025"/>
      <c r="BO19010" s="43"/>
    </row>
    <row r="19011" spans="65:67" ht="18.75" customHeight="1">
      <c r="BM19011" s="1025"/>
      <c r="BO19011" s="43"/>
    </row>
    <row r="19012" spans="65:67" ht="18.75" customHeight="1">
      <c r="BM19012" s="1025"/>
      <c r="BO19012" s="43"/>
    </row>
    <row r="19013" spans="65:67" ht="18.75" customHeight="1">
      <c r="BM19013" s="1025"/>
      <c r="BO19013" s="43"/>
    </row>
    <row r="19014" spans="65:67" ht="18.75" customHeight="1">
      <c r="BM19014" s="1025"/>
      <c r="BO19014" s="43"/>
    </row>
    <row r="19015" spans="65:67" ht="18.75" customHeight="1">
      <c r="BM19015" s="1025"/>
      <c r="BO19015" s="43"/>
    </row>
    <row r="19016" spans="65:67" ht="18.75" customHeight="1">
      <c r="BM19016" s="1025"/>
      <c r="BO19016" s="43"/>
    </row>
    <row r="19017" spans="65:67" ht="18.75" customHeight="1">
      <c r="BM19017" s="1025"/>
      <c r="BO19017" s="43"/>
    </row>
    <row r="19018" spans="65:67" ht="18.75" customHeight="1">
      <c r="BM19018" s="1025"/>
      <c r="BO19018" s="43"/>
    </row>
    <row r="19019" spans="65:67" ht="18.75" customHeight="1">
      <c r="BM19019" s="1025"/>
      <c r="BO19019" s="43"/>
    </row>
    <row r="19020" spans="65:67" ht="18.75" customHeight="1">
      <c r="BM19020" s="1025"/>
      <c r="BO19020" s="43"/>
    </row>
    <row r="19021" spans="65:67" ht="18.75" customHeight="1">
      <c r="BM19021" s="1025"/>
      <c r="BO19021" s="43"/>
    </row>
    <row r="19022" spans="65:67" ht="18.75" customHeight="1">
      <c r="BM19022" s="1025"/>
      <c r="BO19022" s="43"/>
    </row>
    <row r="19023" spans="65:67" ht="18.75" customHeight="1">
      <c r="BM19023" s="1025"/>
      <c r="BO19023" s="43"/>
    </row>
    <row r="19024" spans="65:67" ht="18.75" customHeight="1">
      <c r="BM19024" s="1025"/>
      <c r="BO19024" s="43"/>
    </row>
    <row r="19025" spans="65:67" ht="18.75" customHeight="1">
      <c r="BM19025" s="1025"/>
      <c r="BO19025" s="43"/>
    </row>
    <row r="19026" spans="65:67" ht="18.75" customHeight="1">
      <c r="BM19026" s="1025"/>
      <c r="BO19026" s="43"/>
    </row>
    <row r="19027" spans="65:67" ht="18.75" customHeight="1">
      <c r="BM19027" s="1025"/>
      <c r="BO19027" s="43"/>
    </row>
    <row r="19028" spans="65:67" ht="18.75" customHeight="1">
      <c r="BM19028" s="1025"/>
      <c r="BO19028" s="43"/>
    </row>
    <row r="19029" spans="65:67" ht="18.75" customHeight="1">
      <c r="BM19029" s="1025"/>
      <c r="BO19029" s="43"/>
    </row>
    <row r="19030" spans="65:67" ht="18.75" customHeight="1">
      <c r="BM19030" s="1025"/>
      <c r="BO19030" s="43"/>
    </row>
    <row r="19031" spans="65:67" ht="18.75" customHeight="1">
      <c r="BM19031" s="1025"/>
      <c r="BO19031" s="43"/>
    </row>
    <row r="19032" spans="65:67" ht="18.75" customHeight="1">
      <c r="BM19032" s="1025"/>
      <c r="BO19032" s="43"/>
    </row>
    <row r="19033" spans="65:67" ht="18.75" customHeight="1">
      <c r="BM19033" s="1025"/>
      <c r="BO19033" s="43"/>
    </row>
    <row r="19034" spans="65:67" ht="18.75" customHeight="1">
      <c r="BM19034" s="1025"/>
      <c r="BO19034" s="43"/>
    </row>
    <row r="19035" spans="65:67" ht="18.75" customHeight="1">
      <c r="BM19035" s="1025"/>
      <c r="BO19035" s="43"/>
    </row>
    <row r="19036" spans="65:67" ht="18.75" customHeight="1">
      <c r="BM19036" s="1025"/>
      <c r="BO19036" s="43"/>
    </row>
    <row r="19037" spans="65:67" ht="18.75" customHeight="1">
      <c r="BM19037" s="1025"/>
      <c r="BO19037" s="43"/>
    </row>
    <row r="19038" spans="65:67" ht="18.75" customHeight="1">
      <c r="BM19038" s="1025"/>
      <c r="BO19038" s="43"/>
    </row>
    <row r="19039" spans="65:67" ht="18.75" customHeight="1">
      <c r="BM19039" s="1025"/>
      <c r="BO19039" s="43"/>
    </row>
    <row r="19040" spans="65:67" ht="18.75" customHeight="1">
      <c r="BM19040" s="1025"/>
      <c r="BO19040" s="43"/>
    </row>
    <row r="19041" spans="65:67" ht="18.75" customHeight="1">
      <c r="BM19041" s="1025"/>
      <c r="BO19041" s="43"/>
    </row>
    <row r="19042" spans="65:67" ht="18.75" customHeight="1">
      <c r="BM19042" s="1025"/>
      <c r="BO19042" s="43"/>
    </row>
    <row r="19043" spans="65:67" ht="18.75" customHeight="1">
      <c r="BM19043" s="1025"/>
      <c r="BO19043" s="43"/>
    </row>
    <row r="19044" spans="65:67" ht="18.75" customHeight="1">
      <c r="BM19044" s="1025"/>
      <c r="BO19044" s="43"/>
    </row>
    <row r="19045" spans="65:67" ht="18.75" customHeight="1">
      <c r="BM19045" s="1025"/>
      <c r="BO19045" s="43"/>
    </row>
    <row r="19046" spans="65:67" ht="18.75" customHeight="1">
      <c r="BM19046" s="1025"/>
      <c r="BO19046" s="43"/>
    </row>
    <row r="19047" spans="65:67" ht="18.75" customHeight="1">
      <c r="BM19047" s="1025"/>
      <c r="BO19047" s="43"/>
    </row>
    <row r="19048" spans="65:67" ht="18.75" customHeight="1">
      <c r="BM19048" s="1025"/>
      <c r="BO19048" s="43"/>
    </row>
    <row r="19049" spans="65:67" ht="18.75" customHeight="1">
      <c r="BM19049" s="1025"/>
      <c r="BO19049" s="43"/>
    </row>
    <row r="19050" spans="65:67" ht="18.75" customHeight="1">
      <c r="BM19050" s="1025"/>
      <c r="BO19050" s="43"/>
    </row>
    <row r="19051" spans="65:67" ht="18.75" customHeight="1">
      <c r="BM19051" s="1025"/>
      <c r="BO19051" s="43"/>
    </row>
    <row r="19052" spans="65:67" ht="18.75" customHeight="1">
      <c r="BM19052" s="1025"/>
      <c r="BO19052" s="43"/>
    </row>
    <row r="19053" spans="65:67" ht="18.75" customHeight="1">
      <c r="BM19053" s="1025"/>
      <c r="BO19053" s="43"/>
    </row>
    <row r="19054" spans="65:67" ht="18.75" customHeight="1">
      <c r="BM19054" s="1025"/>
      <c r="BO19054" s="43"/>
    </row>
    <row r="19055" spans="65:67" ht="18.75" customHeight="1">
      <c r="BM19055" s="1025"/>
      <c r="BO19055" s="43"/>
    </row>
    <row r="19056" spans="65:67" ht="18.75" customHeight="1">
      <c r="BM19056" s="1025"/>
      <c r="BO19056" s="43"/>
    </row>
    <row r="19057" spans="65:67" ht="18.75" customHeight="1">
      <c r="BM19057" s="1025"/>
      <c r="BO19057" s="43"/>
    </row>
    <row r="19058" spans="65:67" ht="18.75" customHeight="1">
      <c r="BM19058" s="1025"/>
      <c r="BO19058" s="43"/>
    </row>
    <row r="19059" spans="65:67" ht="18.75" customHeight="1">
      <c r="BM19059" s="1025"/>
      <c r="BO19059" s="43"/>
    </row>
    <row r="19060" spans="65:67" ht="18.75" customHeight="1">
      <c r="BM19060" s="1025"/>
      <c r="BO19060" s="43"/>
    </row>
    <row r="19061" spans="65:67" ht="18.75" customHeight="1">
      <c r="BM19061" s="1025"/>
      <c r="BO19061" s="43"/>
    </row>
    <row r="19062" spans="65:67" ht="18.75" customHeight="1">
      <c r="BM19062" s="1025"/>
      <c r="BO19062" s="43"/>
    </row>
    <row r="19063" spans="65:67" ht="18.75" customHeight="1">
      <c r="BM19063" s="1025"/>
      <c r="BO19063" s="43"/>
    </row>
    <row r="19064" spans="65:67" ht="18.75" customHeight="1">
      <c r="BM19064" s="1025"/>
      <c r="BO19064" s="43"/>
    </row>
    <row r="19065" spans="65:67" ht="18.75" customHeight="1">
      <c r="BM19065" s="1025"/>
      <c r="BO19065" s="43"/>
    </row>
    <row r="19066" spans="65:67" ht="18.75" customHeight="1">
      <c r="BM19066" s="1025"/>
      <c r="BO19066" s="43"/>
    </row>
    <row r="19067" spans="65:67" ht="18.75" customHeight="1">
      <c r="BM19067" s="1025"/>
      <c r="BO19067" s="43"/>
    </row>
    <row r="19068" spans="65:67" ht="18.75" customHeight="1">
      <c r="BM19068" s="1025"/>
      <c r="BO19068" s="43"/>
    </row>
    <row r="19069" spans="65:67" ht="18.75" customHeight="1">
      <c r="BM19069" s="1025"/>
      <c r="BO19069" s="43"/>
    </row>
    <row r="19070" spans="65:67" ht="18.75" customHeight="1">
      <c r="BM19070" s="1025"/>
      <c r="BO19070" s="43"/>
    </row>
    <row r="19071" spans="65:67" ht="18.75" customHeight="1">
      <c r="BM19071" s="1025"/>
      <c r="BO19071" s="43"/>
    </row>
    <row r="19072" spans="65:67" ht="18.75" customHeight="1">
      <c r="BM19072" s="1025"/>
      <c r="BO19072" s="43"/>
    </row>
    <row r="19073" spans="65:67" ht="18.75" customHeight="1">
      <c r="BM19073" s="1025"/>
      <c r="BO19073" s="43"/>
    </row>
    <row r="19074" spans="65:67" ht="18.75" customHeight="1">
      <c r="BM19074" s="1025"/>
      <c r="BO19074" s="43"/>
    </row>
    <row r="19075" spans="65:67" ht="18.75" customHeight="1">
      <c r="BM19075" s="1025"/>
      <c r="BO19075" s="43"/>
    </row>
    <row r="19076" spans="65:67" ht="18.75" customHeight="1">
      <c r="BM19076" s="1025"/>
      <c r="BO19076" s="43"/>
    </row>
    <row r="19077" spans="65:67" ht="18.75" customHeight="1">
      <c r="BM19077" s="1025"/>
      <c r="BO19077" s="43"/>
    </row>
    <row r="19078" spans="65:67" ht="18.75" customHeight="1">
      <c r="BM19078" s="1025"/>
      <c r="BO19078" s="43"/>
    </row>
    <row r="19079" spans="65:67" ht="18.75" customHeight="1">
      <c r="BM19079" s="1025"/>
      <c r="BO19079" s="43"/>
    </row>
    <row r="19080" spans="65:67" ht="18.75" customHeight="1">
      <c r="BM19080" s="1025"/>
      <c r="BO19080" s="43"/>
    </row>
    <row r="19081" spans="65:67" ht="18.75" customHeight="1">
      <c r="BM19081" s="1025"/>
      <c r="BO19081" s="43"/>
    </row>
    <row r="19082" spans="65:67" ht="18.75" customHeight="1">
      <c r="BM19082" s="1025"/>
      <c r="BO19082" s="43"/>
    </row>
    <row r="19083" spans="65:67" ht="18.75" customHeight="1">
      <c r="BM19083" s="1025"/>
      <c r="BO19083" s="43"/>
    </row>
    <row r="19084" spans="65:67" ht="18.75" customHeight="1">
      <c r="BM19084" s="1025"/>
      <c r="BO19084" s="43"/>
    </row>
    <row r="19085" spans="65:67" ht="18.75" customHeight="1">
      <c r="BM19085" s="1025"/>
      <c r="BO19085" s="43"/>
    </row>
    <row r="19086" spans="65:67" ht="18.75" customHeight="1">
      <c r="BM19086" s="1025"/>
      <c r="BO19086" s="43"/>
    </row>
    <row r="19087" spans="65:67" ht="18.75" customHeight="1">
      <c r="BM19087" s="1025"/>
      <c r="BO19087" s="43"/>
    </row>
    <row r="19088" spans="65:67" ht="18.75" customHeight="1">
      <c r="BM19088" s="1025"/>
      <c r="BO19088" s="43"/>
    </row>
    <row r="19089" spans="65:67" ht="18.75" customHeight="1">
      <c r="BM19089" s="1025"/>
      <c r="BO19089" s="43"/>
    </row>
    <row r="19090" spans="65:67" ht="18.75" customHeight="1">
      <c r="BM19090" s="1025"/>
      <c r="BO19090" s="43"/>
    </row>
    <row r="19091" spans="65:67" ht="18.75" customHeight="1">
      <c r="BM19091" s="1025"/>
      <c r="BO19091" s="43"/>
    </row>
    <row r="19092" spans="65:67" ht="18.75" customHeight="1">
      <c r="BM19092" s="1025"/>
      <c r="BO19092" s="43"/>
    </row>
    <row r="19093" spans="65:67" ht="18.75" customHeight="1">
      <c r="BM19093" s="1025"/>
      <c r="BO19093" s="43"/>
    </row>
    <row r="19094" spans="65:67" ht="18.75" customHeight="1">
      <c r="BM19094" s="1025"/>
      <c r="BO19094" s="43"/>
    </row>
    <row r="19095" spans="65:67" ht="18.75" customHeight="1">
      <c r="BM19095" s="1025"/>
      <c r="BO19095" s="43"/>
    </row>
    <row r="19096" spans="65:67" ht="18.75" customHeight="1">
      <c r="BM19096" s="1025"/>
      <c r="BO19096" s="43"/>
    </row>
    <row r="19097" spans="65:67" ht="18.75" customHeight="1">
      <c r="BM19097" s="1025"/>
      <c r="BO19097" s="43"/>
    </row>
    <row r="19098" spans="65:67" ht="18.75" customHeight="1">
      <c r="BM19098" s="1025"/>
      <c r="BO19098" s="43"/>
    </row>
    <row r="19099" spans="65:67" ht="18.75" customHeight="1">
      <c r="BM19099" s="1025"/>
      <c r="BO19099" s="43"/>
    </row>
    <row r="19100" spans="65:67" ht="18.75" customHeight="1">
      <c r="BM19100" s="1025"/>
      <c r="BO19100" s="43"/>
    </row>
    <row r="19101" spans="65:67" ht="18.75" customHeight="1">
      <c r="BM19101" s="1025"/>
      <c r="BO19101" s="43"/>
    </row>
    <row r="19102" spans="65:67" ht="18.75" customHeight="1">
      <c r="BM19102" s="1025"/>
      <c r="BO19102" s="43"/>
    </row>
    <row r="19103" spans="65:67" ht="18.75" customHeight="1">
      <c r="BM19103" s="1025"/>
      <c r="BO19103" s="43"/>
    </row>
    <row r="19104" spans="65:67" ht="18.75" customHeight="1">
      <c r="BM19104" s="1025"/>
      <c r="BO19104" s="43"/>
    </row>
    <row r="19105" spans="65:67" ht="18.75" customHeight="1">
      <c r="BM19105" s="1025"/>
      <c r="BO19105" s="43"/>
    </row>
    <row r="19106" spans="65:67" ht="18.75" customHeight="1">
      <c r="BM19106" s="1025"/>
      <c r="BO19106" s="43"/>
    </row>
    <row r="19107" spans="65:67" ht="18.75" customHeight="1">
      <c r="BM19107" s="1025"/>
      <c r="BO19107" s="43"/>
    </row>
    <row r="19108" spans="65:67" ht="18.75" customHeight="1">
      <c r="BM19108" s="1025"/>
      <c r="BO19108" s="43"/>
    </row>
    <row r="19109" spans="65:67" ht="18.75" customHeight="1">
      <c r="BM19109" s="1025"/>
      <c r="BO19109" s="43"/>
    </row>
    <row r="19110" spans="65:67" ht="18.75" customHeight="1">
      <c r="BM19110" s="1025"/>
      <c r="BO19110" s="43"/>
    </row>
    <row r="19111" spans="65:67" ht="18.75" customHeight="1">
      <c r="BM19111" s="1025"/>
      <c r="BO19111" s="43"/>
    </row>
    <row r="19112" spans="65:67" ht="18.75" customHeight="1">
      <c r="BM19112" s="1025"/>
      <c r="BO19112" s="43"/>
    </row>
    <row r="19113" spans="65:67" ht="18.75" customHeight="1">
      <c r="BM19113" s="1025"/>
      <c r="BO19113" s="43"/>
    </row>
    <row r="19114" spans="65:67" ht="18.75" customHeight="1">
      <c r="BM19114" s="1025"/>
      <c r="BO19114" s="43"/>
    </row>
    <row r="19115" spans="65:67" ht="18.75" customHeight="1">
      <c r="BM19115" s="1025"/>
      <c r="BO19115" s="43"/>
    </row>
    <row r="19116" spans="65:67" ht="18.75" customHeight="1">
      <c r="BM19116" s="1025"/>
      <c r="BO19116" s="43"/>
    </row>
    <row r="19117" spans="65:67" ht="18.75" customHeight="1">
      <c r="BM19117" s="1025"/>
      <c r="BO19117" s="43"/>
    </row>
    <row r="19118" spans="65:67" ht="18.75" customHeight="1">
      <c r="BM19118" s="1025"/>
      <c r="BO19118" s="43"/>
    </row>
    <row r="19119" spans="65:67" ht="18.75" customHeight="1">
      <c r="BM19119" s="1025"/>
      <c r="BO19119" s="43"/>
    </row>
    <row r="19120" spans="65:67" ht="18.75" customHeight="1">
      <c r="BM19120" s="1025"/>
      <c r="BO19120" s="43"/>
    </row>
    <row r="19121" spans="65:67" ht="18.75" customHeight="1">
      <c r="BM19121" s="1025"/>
      <c r="BO19121" s="43"/>
    </row>
    <row r="19122" spans="65:67" ht="18.75" customHeight="1">
      <c r="BM19122" s="1025"/>
      <c r="BO19122" s="43"/>
    </row>
    <row r="19123" spans="65:67" ht="18.75" customHeight="1">
      <c r="BM19123" s="1025"/>
      <c r="BO19123" s="43"/>
    </row>
    <row r="19124" spans="65:67" ht="18.75" customHeight="1">
      <c r="BM19124" s="1025"/>
      <c r="BO19124" s="43"/>
    </row>
    <row r="19125" spans="65:67" ht="18.75" customHeight="1">
      <c r="BM19125" s="1025"/>
      <c r="BO19125" s="43"/>
    </row>
    <row r="19126" spans="65:67" ht="18.75" customHeight="1">
      <c r="BM19126" s="1025"/>
      <c r="BO19126" s="43"/>
    </row>
    <row r="19127" spans="65:67" ht="18.75" customHeight="1">
      <c r="BM19127" s="1025"/>
      <c r="BO19127" s="43"/>
    </row>
    <row r="19128" spans="65:67" ht="18.75" customHeight="1">
      <c r="BM19128" s="1025"/>
      <c r="BO19128" s="43"/>
    </row>
    <row r="19129" spans="65:67" ht="18.75" customHeight="1">
      <c r="BM19129" s="1025"/>
      <c r="BO19129" s="43"/>
    </row>
    <row r="19130" spans="65:67" ht="18.75" customHeight="1">
      <c r="BM19130" s="1025"/>
      <c r="BO19130" s="43"/>
    </row>
    <row r="19131" spans="65:67" ht="18.75" customHeight="1">
      <c r="BM19131" s="1025"/>
      <c r="BO19131" s="43"/>
    </row>
    <row r="19132" spans="65:67" ht="18.75" customHeight="1">
      <c r="BM19132" s="1025"/>
      <c r="BO19132" s="43"/>
    </row>
    <row r="19133" spans="65:67" ht="18.75" customHeight="1">
      <c r="BM19133" s="1025"/>
      <c r="BO19133" s="43"/>
    </row>
    <row r="19134" spans="65:67" ht="18.75" customHeight="1">
      <c r="BM19134" s="1025"/>
      <c r="BO19134" s="43"/>
    </row>
    <row r="19135" spans="65:67" ht="18.75" customHeight="1">
      <c r="BM19135" s="1025"/>
      <c r="BO19135" s="43"/>
    </row>
    <row r="19136" spans="65:67" ht="18.75" customHeight="1">
      <c r="BM19136" s="1025"/>
      <c r="BO19136" s="43"/>
    </row>
    <row r="19137" spans="65:67" ht="18.75" customHeight="1">
      <c r="BM19137" s="1025"/>
      <c r="BO19137" s="43"/>
    </row>
    <row r="19138" spans="65:67" ht="18.75" customHeight="1">
      <c r="BM19138" s="1025"/>
      <c r="BO19138" s="43"/>
    </row>
    <row r="19139" spans="65:67" ht="18.75" customHeight="1">
      <c r="BM19139" s="1025"/>
      <c r="BO19139" s="43"/>
    </row>
    <row r="19140" spans="65:67" ht="18.75" customHeight="1">
      <c r="BM19140" s="1025"/>
      <c r="BO19140" s="43"/>
    </row>
    <row r="19141" spans="65:67" ht="18.75" customHeight="1">
      <c r="BM19141" s="1025"/>
      <c r="BO19141" s="43"/>
    </row>
    <row r="19142" spans="65:67" ht="18.75" customHeight="1">
      <c r="BM19142" s="1025"/>
      <c r="BO19142" s="43"/>
    </row>
    <row r="19143" spans="65:67" ht="18.75" customHeight="1">
      <c r="BM19143" s="1025"/>
      <c r="BO19143" s="43"/>
    </row>
    <row r="19144" spans="65:67" ht="18.75" customHeight="1">
      <c r="BM19144" s="1025"/>
      <c r="BO19144" s="43"/>
    </row>
    <row r="19145" spans="65:67" ht="18.75" customHeight="1">
      <c r="BM19145" s="1025"/>
      <c r="BO19145" s="43"/>
    </row>
    <row r="19146" spans="65:67" ht="18.75" customHeight="1">
      <c r="BM19146" s="1025"/>
      <c r="BO19146" s="43"/>
    </row>
    <row r="19147" spans="65:67" ht="18.75" customHeight="1">
      <c r="BM19147" s="1025"/>
      <c r="BO19147" s="43"/>
    </row>
    <row r="19148" spans="65:67" ht="18.75" customHeight="1">
      <c r="BM19148" s="1025"/>
      <c r="BO19148" s="43"/>
    </row>
    <row r="19149" spans="65:67" ht="18.75" customHeight="1">
      <c r="BM19149" s="1025"/>
      <c r="BO19149" s="43"/>
    </row>
    <row r="19150" spans="65:67" ht="18.75" customHeight="1">
      <c r="BM19150" s="1025"/>
      <c r="BO19150" s="43"/>
    </row>
    <row r="19151" spans="65:67" ht="18.75" customHeight="1">
      <c r="BM19151" s="1025"/>
      <c r="BO19151" s="43"/>
    </row>
    <row r="19152" spans="65:67" ht="18.75" customHeight="1">
      <c r="BM19152" s="1025"/>
      <c r="BO19152" s="43"/>
    </row>
    <row r="19153" spans="65:67" ht="18.75" customHeight="1">
      <c r="BM19153" s="1025"/>
      <c r="BO19153" s="43"/>
    </row>
    <row r="19154" spans="65:67" ht="18.75" customHeight="1">
      <c r="BM19154" s="1025"/>
      <c r="BO19154" s="43"/>
    </row>
    <row r="19155" spans="65:67" ht="18.75" customHeight="1">
      <c r="BM19155" s="1025"/>
      <c r="BO19155" s="43"/>
    </row>
    <row r="19156" spans="65:67" ht="18.75" customHeight="1">
      <c r="BM19156" s="1025"/>
      <c r="BO19156" s="43"/>
    </row>
    <row r="19157" spans="65:67" ht="18.75" customHeight="1">
      <c r="BM19157" s="1025"/>
      <c r="BO19157" s="43"/>
    </row>
    <row r="19158" spans="65:67" ht="18.75" customHeight="1">
      <c r="BM19158" s="1025"/>
      <c r="BO19158" s="43"/>
    </row>
    <row r="19159" spans="65:67" ht="18.75" customHeight="1">
      <c r="BM19159" s="1025"/>
      <c r="BO19159" s="43"/>
    </row>
    <row r="19160" spans="65:67" ht="18.75" customHeight="1">
      <c r="BM19160" s="1025"/>
      <c r="BO19160" s="43"/>
    </row>
    <row r="19161" spans="65:67" ht="18.75" customHeight="1">
      <c r="BM19161" s="1025"/>
      <c r="BO19161" s="43"/>
    </row>
    <row r="19162" spans="65:67" ht="18.75" customHeight="1">
      <c r="BM19162" s="1025"/>
      <c r="BO19162" s="43"/>
    </row>
    <row r="19163" spans="65:67" ht="18.75" customHeight="1">
      <c r="BM19163" s="1025"/>
      <c r="BO19163" s="43"/>
    </row>
    <row r="19164" spans="65:67" ht="18.75" customHeight="1">
      <c r="BM19164" s="1025"/>
      <c r="BO19164" s="43"/>
    </row>
    <row r="19165" spans="65:67" ht="18.75" customHeight="1">
      <c r="BM19165" s="1025"/>
      <c r="BO19165" s="43"/>
    </row>
    <row r="19166" spans="65:67" ht="18.75" customHeight="1">
      <c r="BM19166" s="1025"/>
      <c r="BO19166" s="43"/>
    </row>
    <row r="19167" spans="65:67" ht="18.75" customHeight="1">
      <c r="BM19167" s="1025"/>
      <c r="BO19167" s="43"/>
    </row>
    <row r="19168" spans="65:67" ht="18.75" customHeight="1">
      <c r="BM19168" s="1025"/>
      <c r="BO19168" s="43"/>
    </row>
    <row r="19169" spans="65:67" ht="18.75" customHeight="1">
      <c r="BM19169" s="1025"/>
      <c r="BO19169" s="43"/>
    </row>
    <row r="19170" spans="65:67" ht="18.75" customHeight="1">
      <c r="BM19170" s="1025"/>
      <c r="BO19170" s="43"/>
    </row>
    <row r="19171" spans="65:67" ht="18.75" customHeight="1">
      <c r="BM19171" s="1025"/>
      <c r="BO19171" s="43"/>
    </row>
    <row r="19172" spans="65:67" ht="18.75" customHeight="1">
      <c r="BM19172" s="1025"/>
      <c r="BO19172" s="43"/>
    </row>
    <row r="19173" spans="65:67" ht="18.75" customHeight="1">
      <c r="BM19173" s="1025"/>
      <c r="BO19173" s="43"/>
    </row>
    <row r="19174" spans="65:67" ht="18.75" customHeight="1">
      <c r="BM19174" s="1025"/>
      <c r="BO19174" s="43"/>
    </row>
    <row r="19175" spans="65:67" ht="18.75" customHeight="1">
      <c r="BM19175" s="1025"/>
      <c r="BO19175" s="43"/>
    </row>
    <row r="19176" spans="65:67" ht="18.75" customHeight="1">
      <c r="BM19176" s="1025"/>
      <c r="BO19176" s="43"/>
    </row>
    <row r="19177" spans="65:67" ht="18.75" customHeight="1">
      <c r="BM19177" s="1025"/>
      <c r="BO19177" s="43"/>
    </row>
    <row r="19178" spans="65:67" ht="18.75" customHeight="1">
      <c r="BM19178" s="1025"/>
      <c r="BO19178" s="43"/>
    </row>
    <row r="19179" spans="65:67" ht="18.75" customHeight="1">
      <c r="BM19179" s="1025"/>
      <c r="BO19179" s="43"/>
    </row>
    <row r="19180" spans="65:67" ht="18.75" customHeight="1">
      <c r="BM19180" s="1025"/>
      <c r="BO19180" s="43"/>
    </row>
    <row r="19181" spans="65:67" ht="18.75" customHeight="1">
      <c r="BM19181" s="1025"/>
      <c r="BO19181" s="43"/>
    </row>
    <row r="19182" spans="65:67" ht="18.75" customHeight="1">
      <c r="BM19182" s="1025"/>
      <c r="BO19182" s="43"/>
    </row>
    <row r="19183" spans="65:67" ht="18.75" customHeight="1">
      <c r="BM19183" s="1025"/>
      <c r="BO19183" s="43"/>
    </row>
    <row r="19184" spans="65:67" ht="18.75" customHeight="1">
      <c r="BM19184" s="1025"/>
      <c r="BO19184" s="43"/>
    </row>
    <row r="19185" spans="65:67" ht="18.75" customHeight="1">
      <c r="BM19185" s="1025"/>
      <c r="BO19185" s="43"/>
    </row>
    <row r="19186" spans="65:67" ht="18.75" customHeight="1">
      <c r="BM19186" s="1025"/>
      <c r="BO19186" s="43"/>
    </row>
    <row r="19187" spans="65:67" ht="18.75" customHeight="1">
      <c r="BM19187" s="1025"/>
      <c r="BO19187" s="43"/>
    </row>
    <row r="19188" spans="65:67" ht="18.75" customHeight="1">
      <c r="BM19188" s="1025"/>
      <c r="BO19188" s="43"/>
    </row>
    <row r="19189" spans="65:67" ht="18.75" customHeight="1">
      <c r="BM19189" s="1025"/>
      <c r="BO19189" s="43"/>
    </row>
    <row r="19190" spans="65:67" ht="18.75" customHeight="1">
      <c r="BM19190" s="1025"/>
      <c r="BO19190" s="43"/>
    </row>
    <row r="19191" spans="65:67" ht="18.75" customHeight="1">
      <c r="BM19191" s="1025"/>
      <c r="BO19191" s="43"/>
    </row>
    <row r="19192" spans="65:67" ht="18.75" customHeight="1">
      <c r="BM19192" s="1025"/>
      <c r="BO19192" s="43"/>
    </row>
    <row r="19193" spans="65:67" ht="18.75" customHeight="1">
      <c r="BM19193" s="1025"/>
      <c r="BO19193" s="43"/>
    </row>
    <row r="19194" spans="65:67" ht="18.75" customHeight="1">
      <c r="BM19194" s="1025"/>
      <c r="BO19194" s="43"/>
    </row>
    <row r="19195" spans="65:67" ht="18.75" customHeight="1">
      <c r="BM19195" s="1025"/>
      <c r="BO19195" s="43"/>
    </row>
    <row r="19196" spans="65:67" ht="18.75" customHeight="1">
      <c r="BM19196" s="1025"/>
      <c r="BO19196" s="43"/>
    </row>
    <row r="19197" spans="65:67" ht="18.75" customHeight="1">
      <c r="BM19197" s="1025"/>
      <c r="BO19197" s="43"/>
    </row>
    <row r="19198" spans="65:67" ht="18.75" customHeight="1">
      <c r="BM19198" s="1025"/>
      <c r="BO19198" s="43"/>
    </row>
    <row r="19199" spans="65:67" ht="18.75" customHeight="1">
      <c r="BM19199" s="1025"/>
      <c r="BO19199" s="43"/>
    </row>
    <row r="19200" spans="65:67" ht="18.75" customHeight="1">
      <c r="BM19200" s="1025"/>
      <c r="BO19200" s="43"/>
    </row>
    <row r="19201" spans="65:67" ht="18.75" customHeight="1">
      <c r="BM19201" s="1025"/>
      <c r="BO19201" s="43"/>
    </row>
    <row r="19202" spans="65:67" ht="18.75" customHeight="1">
      <c r="BM19202" s="1025"/>
      <c r="BO19202" s="43"/>
    </row>
    <row r="19203" spans="65:67" ht="18.75" customHeight="1">
      <c r="BM19203" s="1025"/>
      <c r="BO19203" s="43"/>
    </row>
    <row r="19204" spans="65:67" ht="18.75" customHeight="1">
      <c r="BM19204" s="1025"/>
      <c r="BO19204" s="43"/>
    </row>
    <row r="19205" spans="65:67" ht="18.75" customHeight="1">
      <c r="BM19205" s="1025"/>
      <c r="BO19205" s="43"/>
    </row>
    <row r="19206" spans="65:67" ht="18.75" customHeight="1">
      <c r="BM19206" s="1025"/>
      <c r="BO19206" s="43"/>
    </row>
    <row r="19207" spans="65:67" ht="18.75" customHeight="1">
      <c r="BM19207" s="1025"/>
      <c r="BO19207" s="43"/>
    </row>
    <row r="19208" spans="65:67" ht="18.75" customHeight="1">
      <c r="BM19208" s="1025"/>
      <c r="BO19208" s="43"/>
    </row>
    <row r="19209" spans="65:67" ht="18.75" customHeight="1">
      <c r="BM19209" s="1025"/>
      <c r="BO19209" s="43"/>
    </row>
    <row r="19210" spans="65:67" ht="18.75" customHeight="1">
      <c r="BM19210" s="1025"/>
      <c r="BO19210" s="43"/>
    </row>
    <row r="19211" spans="65:67" ht="18.75" customHeight="1">
      <c r="BM19211" s="1025"/>
      <c r="BO19211" s="43"/>
    </row>
    <row r="19212" spans="65:67" ht="18.75" customHeight="1">
      <c r="BM19212" s="1025"/>
      <c r="BO19212" s="43"/>
    </row>
    <row r="19213" spans="65:67" ht="18.75" customHeight="1">
      <c r="BM19213" s="1025"/>
      <c r="BO19213" s="43"/>
    </row>
    <row r="19214" spans="65:67" ht="18.75" customHeight="1">
      <c r="BM19214" s="1025"/>
      <c r="BO19214" s="43"/>
    </row>
    <row r="19215" spans="65:67" ht="18.75" customHeight="1">
      <c r="BM19215" s="1025"/>
      <c r="BO19215" s="43"/>
    </row>
    <row r="19216" spans="65:67" ht="18.75" customHeight="1">
      <c r="BM19216" s="1025"/>
      <c r="BO19216" s="43"/>
    </row>
    <row r="19217" spans="65:67" ht="18.75" customHeight="1">
      <c r="BM19217" s="1025"/>
      <c r="BO19217" s="43"/>
    </row>
    <row r="19218" spans="65:67" ht="18.75" customHeight="1">
      <c r="BM19218" s="1025"/>
      <c r="BO19218" s="43"/>
    </row>
    <row r="19219" spans="65:67" ht="18.75" customHeight="1">
      <c r="BM19219" s="1025"/>
      <c r="BO19219" s="43"/>
    </row>
    <row r="19220" spans="65:67" ht="18.75" customHeight="1">
      <c r="BM19220" s="1025"/>
      <c r="BO19220" s="43"/>
    </row>
    <row r="19221" spans="65:67" ht="18.75" customHeight="1">
      <c r="BM19221" s="1025"/>
      <c r="BO19221" s="43"/>
    </row>
    <row r="19222" spans="65:67" ht="18.75" customHeight="1">
      <c r="BM19222" s="1025"/>
      <c r="BO19222" s="43"/>
    </row>
    <row r="19223" spans="65:67" ht="18.75" customHeight="1">
      <c r="BM19223" s="1025"/>
      <c r="BO19223" s="43"/>
    </row>
    <row r="19224" spans="65:67" ht="18.75" customHeight="1">
      <c r="BM19224" s="1025"/>
      <c r="BO19224" s="43"/>
    </row>
    <row r="19225" spans="65:67" ht="18.75" customHeight="1">
      <c r="BM19225" s="1025"/>
      <c r="BO19225" s="43"/>
    </row>
    <row r="19226" spans="65:67" ht="18.75" customHeight="1">
      <c r="BM19226" s="1025"/>
      <c r="BO19226" s="43"/>
    </row>
    <row r="19227" spans="65:67" ht="18.75" customHeight="1">
      <c r="BM19227" s="1025"/>
      <c r="BO19227" s="43"/>
    </row>
    <row r="19228" spans="65:67" ht="18.75" customHeight="1">
      <c r="BM19228" s="1025"/>
      <c r="BO19228" s="43"/>
    </row>
    <row r="19229" spans="65:67" ht="18.75" customHeight="1">
      <c r="BM19229" s="1025"/>
      <c r="BO19229" s="43"/>
    </row>
    <row r="19230" spans="65:67" ht="18.75" customHeight="1">
      <c r="BM19230" s="1025"/>
      <c r="BO19230" s="43"/>
    </row>
    <row r="19231" spans="65:67" ht="18.75" customHeight="1">
      <c r="BM19231" s="1025"/>
      <c r="BO19231" s="43"/>
    </row>
    <row r="19232" spans="65:67" ht="18.75" customHeight="1">
      <c r="BM19232" s="1025"/>
      <c r="BO19232" s="43"/>
    </row>
    <row r="19233" spans="65:67" ht="18.75" customHeight="1">
      <c r="BM19233" s="1025"/>
      <c r="BO19233" s="43"/>
    </row>
    <row r="19234" spans="65:67" ht="18.75" customHeight="1">
      <c r="BM19234" s="1025"/>
      <c r="BO19234" s="43"/>
    </row>
    <row r="19235" spans="65:67" ht="18.75" customHeight="1">
      <c r="BM19235" s="1025"/>
      <c r="BO19235" s="43"/>
    </row>
    <row r="19236" spans="65:67" ht="18.75" customHeight="1">
      <c r="BM19236" s="1025"/>
      <c r="BO19236" s="43"/>
    </row>
    <row r="19237" spans="65:67" ht="18.75" customHeight="1">
      <c r="BM19237" s="1025"/>
      <c r="BO19237" s="43"/>
    </row>
    <row r="19238" spans="65:67" ht="18.75" customHeight="1">
      <c r="BM19238" s="1025"/>
      <c r="BO19238" s="43"/>
    </row>
    <row r="19239" spans="65:67" ht="18.75" customHeight="1">
      <c r="BM19239" s="1025"/>
      <c r="BO19239" s="43"/>
    </row>
    <row r="19240" spans="65:67" ht="18.75" customHeight="1">
      <c r="BM19240" s="1025"/>
      <c r="BO19240" s="43"/>
    </row>
    <row r="19241" spans="65:67" ht="18.75" customHeight="1">
      <c r="BM19241" s="1025"/>
      <c r="BO19241" s="43"/>
    </row>
    <row r="19242" spans="65:67" ht="18.75" customHeight="1">
      <c r="BM19242" s="1025"/>
      <c r="BO19242" s="43"/>
    </row>
    <row r="19243" spans="65:67" ht="18.75" customHeight="1">
      <c r="BM19243" s="1025"/>
      <c r="BO19243" s="43"/>
    </row>
    <row r="19244" spans="65:67" ht="18.75" customHeight="1">
      <c r="BM19244" s="1025"/>
      <c r="BO19244" s="43"/>
    </row>
    <row r="19245" spans="65:67" ht="18.75" customHeight="1">
      <c r="BM19245" s="1025"/>
      <c r="BO19245" s="43"/>
    </row>
    <row r="19246" spans="65:67" ht="18.75" customHeight="1">
      <c r="BM19246" s="1025"/>
      <c r="BO19246" s="43"/>
    </row>
    <row r="19247" spans="65:67" ht="18.75" customHeight="1">
      <c r="BM19247" s="1025"/>
      <c r="BO19247" s="43"/>
    </row>
    <row r="19248" spans="65:67" ht="18.75" customHeight="1">
      <c r="BM19248" s="1025"/>
      <c r="BO19248" s="43"/>
    </row>
    <row r="19249" spans="65:67" ht="18.75" customHeight="1">
      <c r="BM19249" s="1025"/>
      <c r="BO19249" s="43"/>
    </row>
    <row r="19250" spans="65:67" ht="18.75" customHeight="1">
      <c r="BM19250" s="1025"/>
      <c r="BO19250" s="43"/>
    </row>
    <row r="19251" spans="65:67" ht="18.75" customHeight="1">
      <c r="BM19251" s="1025"/>
      <c r="BO19251" s="43"/>
    </row>
    <row r="19252" spans="65:67" ht="18.75" customHeight="1">
      <c r="BM19252" s="1025"/>
      <c r="BO19252" s="43"/>
    </row>
    <row r="19253" spans="65:67" ht="18.75" customHeight="1">
      <c r="BM19253" s="1025"/>
      <c r="BO19253" s="43"/>
    </row>
    <row r="19254" spans="65:67" ht="18.75" customHeight="1">
      <c r="BM19254" s="1025"/>
      <c r="BO19254" s="43"/>
    </row>
    <row r="19255" spans="65:67" ht="18.75" customHeight="1">
      <c r="BM19255" s="1025"/>
      <c r="BO19255" s="43"/>
    </row>
    <row r="19256" spans="65:67" ht="18.75" customHeight="1">
      <c r="BM19256" s="1025"/>
      <c r="BO19256" s="43"/>
    </row>
    <row r="19257" spans="65:67" ht="18.75" customHeight="1">
      <c r="BM19257" s="1025"/>
      <c r="BO19257" s="43"/>
    </row>
    <row r="19258" spans="65:67" ht="18.75" customHeight="1">
      <c r="BM19258" s="1025"/>
      <c r="BO19258" s="43"/>
    </row>
    <row r="19259" spans="65:67" ht="18.75" customHeight="1">
      <c r="BM19259" s="1025"/>
      <c r="BO19259" s="43"/>
    </row>
    <row r="19260" spans="65:67" ht="18.75" customHeight="1">
      <c r="BM19260" s="1025"/>
      <c r="BO19260" s="43"/>
    </row>
    <row r="19261" spans="65:67" ht="18.75" customHeight="1">
      <c r="BM19261" s="1025"/>
      <c r="BO19261" s="43"/>
    </row>
    <row r="19262" spans="65:67" ht="18.75" customHeight="1">
      <c r="BM19262" s="1025"/>
      <c r="BO19262" s="43"/>
    </row>
    <row r="19263" spans="65:67" ht="18.75" customHeight="1">
      <c r="BM19263" s="1025"/>
      <c r="BO19263" s="43"/>
    </row>
    <row r="19264" spans="65:67" ht="18.75" customHeight="1">
      <c r="BM19264" s="1025"/>
      <c r="BO19264" s="43"/>
    </row>
    <row r="19265" spans="65:67" ht="18.75" customHeight="1">
      <c r="BM19265" s="1025"/>
      <c r="BO19265" s="43"/>
    </row>
    <row r="19266" spans="65:67" ht="18.75" customHeight="1">
      <c r="BM19266" s="1025"/>
      <c r="BO19266" s="43"/>
    </row>
    <row r="19267" spans="65:67" ht="18.75" customHeight="1">
      <c r="BM19267" s="1025"/>
      <c r="BO19267" s="43"/>
    </row>
    <row r="19268" spans="65:67" ht="18.75" customHeight="1">
      <c r="BM19268" s="1025"/>
      <c r="BO19268" s="43"/>
    </row>
    <row r="19269" spans="65:67" ht="18.75" customHeight="1">
      <c r="BM19269" s="1025"/>
      <c r="BO19269" s="43"/>
    </row>
    <row r="19270" spans="65:67" ht="18.75" customHeight="1">
      <c r="BM19270" s="1025"/>
      <c r="BO19270" s="43"/>
    </row>
    <row r="19271" spans="65:67" ht="18.75" customHeight="1">
      <c r="BM19271" s="1025"/>
      <c r="BO19271" s="43"/>
    </row>
    <row r="19272" spans="65:67" ht="18.75" customHeight="1">
      <c r="BM19272" s="1025"/>
      <c r="BO19272" s="43"/>
    </row>
    <row r="19273" spans="65:67" ht="18.75" customHeight="1">
      <c r="BM19273" s="1025"/>
      <c r="BO19273" s="43"/>
    </row>
    <row r="19274" spans="65:67" ht="18.75" customHeight="1">
      <c r="BM19274" s="1025"/>
      <c r="BO19274" s="43"/>
    </row>
    <row r="19275" spans="65:67" ht="18.75" customHeight="1">
      <c r="BM19275" s="1025"/>
      <c r="BO19275" s="43"/>
    </row>
    <row r="19276" spans="65:67" ht="18.75" customHeight="1">
      <c r="BM19276" s="1025"/>
      <c r="BO19276" s="43"/>
    </row>
    <row r="19277" spans="65:67" ht="18.75" customHeight="1">
      <c r="BM19277" s="1025"/>
      <c r="BO19277" s="43"/>
    </row>
    <row r="19278" spans="65:67" ht="18.75" customHeight="1">
      <c r="BM19278" s="1025"/>
      <c r="BO19278" s="43"/>
    </row>
    <row r="19279" spans="65:67" ht="18.75" customHeight="1">
      <c r="BM19279" s="1025"/>
      <c r="BO19279" s="43"/>
    </row>
    <row r="19280" spans="65:67" ht="18.75" customHeight="1">
      <c r="BM19280" s="1025"/>
      <c r="BO19280" s="43"/>
    </row>
    <row r="19281" spans="65:67" ht="18.75" customHeight="1">
      <c r="BM19281" s="1025"/>
      <c r="BO19281" s="43"/>
    </row>
    <row r="19282" spans="65:67" ht="18.75" customHeight="1">
      <c r="BM19282" s="1025"/>
      <c r="BO19282" s="43"/>
    </row>
    <row r="19283" spans="65:67" ht="18.75" customHeight="1">
      <c r="BM19283" s="1025"/>
      <c r="BO19283" s="43"/>
    </row>
    <row r="19284" spans="65:67" ht="18.75" customHeight="1">
      <c r="BM19284" s="1025"/>
      <c r="BO19284" s="43"/>
    </row>
    <row r="19285" spans="65:67" ht="18.75" customHeight="1">
      <c r="BM19285" s="1025"/>
      <c r="BO19285" s="43"/>
    </row>
    <row r="19286" spans="65:67" ht="18.75" customHeight="1">
      <c r="BM19286" s="1025"/>
      <c r="BO19286" s="43"/>
    </row>
    <row r="19287" spans="65:67" ht="18.75" customHeight="1">
      <c r="BM19287" s="1025"/>
      <c r="BO19287" s="43"/>
    </row>
    <row r="19288" spans="65:67" ht="18.75" customHeight="1">
      <c r="BM19288" s="1025"/>
      <c r="BO19288" s="43"/>
    </row>
    <row r="19289" spans="65:67" ht="18.75" customHeight="1">
      <c r="BM19289" s="1025"/>
      <c r="BO19289" s="43"/>
    </row>
    <row r="19290" spans="65:67" ht="18.75" customHeight="1">
      <c r="BM19290" s="1025"/>
      <c r="BO19290" s="43"/>
    </row>
    <row r="19291" spans="65:67" ht="18.75" customHeight="1">
      <c r="BM19291" s="1025"/>
      <c r="BO19291" s="43"/>
    </row>
    <row r="19292" spans="65:67" ht="18.75" customHeight="1">
      <c r="BM19292" s="1025"/>
      <c r="BO19292" s="43"/>
    </row>
    <row r="19293" spans="65:67" ht="18.75" customHeight="1">
      <c r="BM19293" s="1025"/>
      <c r="BO19293" s="43"/>
    </row>
    <row r="19294" spans="65:67" ht="18.75" customHeight="1">
      <c r="BM19294" s="1025"/>
      <c r="BO19294" s="43"/>
    </row>
    <row r="19295" spans="65:67" ht="18.75" customHeight="1">
      <c r="BM19295" s="1025"/>
      <c r="BO19295" s="43"/>
    </row>
    <row r="19296" spans="65:67" ht="18.75" customHeight="1">
      <c r="BM19296" s="1025"/>
      <c r="BO19296" s="43"/>
    </row>
    <row r="19297" spans="65:67" ht="18.75" customHeight="1">
      <c r="BM19297" s="1025"/>
      <c r="BO19297" s="43"/>
    </row>
    <row r="19298" spans="65:67" ht="18.75" customHeight="1">
      <c r="BM19298" s="1025"/>
      <c r="BO19298" s="43"/>
    </row>
    <row r="19299" spans="65:67" ht="18.75" customHeight="1">
      <c r="BM19299" s="1025"/>
      <c r="BO19299" s="43"/>
    </row>
    <row r="19300" spans="65:67" ht="18.75" customHeight="1">
      <c r="BM19300" s="1025"/>
      <c r="BO19300" s="43"/>
    </row>
    <row r="19301" spans="65:67" ht="18.75" customHeight="1">
      <c r="BM19301" s="1025"/>
      <c r="BO19301" s="43"/>
    </row>
    <row r="19302" spans="65:67" ht="18.75" customHeight="1">
      <c r="BM19302" s="1025"/>
      <c r="BO19302" s="43"/>
    </row>
    <row r="19303" spans="65:67" ht="18.75" customHeight="1">
      <c r="BM19303" s="1025"/>
      <c r="BO19303" s="43"/>
    </row>
    <row r="19304" spans="65:67" ht="18.75" customHeight="1">
      <c r="BM19304" s="1025"/>
      <c r="BO19304" s="43"/>
    </row>
    <row r="19305" spans="65:67" ht="18.75" customHeight="1">
      <c r="BM19305" s="1025"/>
      <c r="BO19305" s="43"/>
    </row>
    <row r="19306" spans="65:67" ht="18.75" customHeight="1">
      <c r="BM19306" s="1025"/>
      <c r="BO19306" s="43"/>
    </row>
    <row r="19307" spans="65:67" ht="18.75" customHeight="1">
      <c r="BM19307" s="1025"/>
      <c r="BO19307" s="43"/>
    </row>
    <row r="19308" spans="65:67" ht="18.75" customHeight="1">
      <c r="BM19308" s="1025"/>
      <c r="BO19308" s="43"/>
    </row>
    <row r="19309" spans="65:67" ht="18.75" customHeight="1">
      <c r="BM19309" s="1025"/>
      <c r="BO19309" s="43"/>
    </row>
    <row r="19310" spans="65:67" ht="18.75" customHeight="1">
      <c r="BM19310" s="1025"/>
      <c r="BO19310" s="43"/>
    </row>
    <row r="19311" spans="65:67" ht="18.75" customHeight="1">
      <c r="BM19311" s="1025"/>
      <c r="BO19311" s="43"/>
    </row>
    <row r="19312" spans="65:67" ht="18.75" customHeight="1">
      <c r="BM19312" s="1025"/>
      <c r="BO19312" s="43"/>
    </row>
    <row r="19313" spans="65:67" ht="18.75" customHeight="1">
      <c r="BM19313" s="1025"/>
      <c r="BO19313" s="43"/>
    </row>
    <row r="19314" spans="65:67" ht="18.75" customHeight="1">
      <c r="BM19314" s="1025"/>
      <c r="BO19314" s="43"/>
    </row>
    <row r="19315" spans="65:67" ht="18.75" customHeight="1">
      <c r="BM19315" s="1025"/>
      <c r="BO19315" s="43"/>
    </row>
    <row r="19316" spans="65:67" ht="18.75" customHeight="1">
      <c r="BM19316" s="1025"/>
      <c r="BO19316" s="43"/>
    </row>
    <row r="19317" spans="65:67" ht="18.75" customHeight="1">
      <c r="BM19317" s="1025"/>
      <c r="BO19317" s="43"/>
    </row>
    <row r="19318" spans="65:67" ht="18.75" customHeight="1">
      <c r="BM19318" s="1025"/>
      <c r="BO19318" s="43"/>
    </row>
    <row r="19319" spans="65:67" ht="18.75" customHeight="1">
      <c r="BM19319" s="1025"/>
      <c r="BO19319" s="43"/>
    </row>
    <row r="19320" spans="65:67" ht="18.75" customHeight="1">
      <c r="BM19320" s="1025"/>
      <c r="BO19320" s="43"/>
    </row>
    <row r="19321" spans="65:67" ht="18.75" customHeight="1">
      <c r="BM19321" s="1025"/>
      <c r="BO19321" s="43"/>
    </row>
    <row r="19322" spans="65:67" ht="18.75" customHeight="1">
      <c r="BM19322" s="1025"/>
      <c r="BO19322" s="43"/>
    </row>
    <row r="19323" spans="65:67" ht="18.75" customHeight="1">
      <c r="BM19323" s="1025"/>
      <c r="BO19323" s="43"/>
    </row>
    <row r="19324" spans="65:67" ht="18.75" customHeight="1">
      <c r="BM19324" s="1025"/>
      <c r="BO19324" s="43"/>
    </row>
    <row r="19325" spans="65:67" ht="18.75" customHeight="1">
      <c r="BM19325" s="1025"/>
      <c r="BO19325" s="43"/>
    </row>
    <row r="19326" spans="65:67" ht="18.75" customHeight="1">
      <c r="BM19326" s="1025"/>
      <c r="BO19326" s="43"/>
    </row>
    <row r="19327" spans="65:67" ht="18.75" customHeight="1">
      <c r="BM19327" s="1025"/>
      <c r="BO19327" s="43"/>
    </row>
    <row r="19328" spans="65:67" ht="18.75" customHeight="1">
      <c r="BM19328" s="1025"/>
      <c r="BO19328" s="43"/>
    </row>
    <row r="19329" spans="65:67" ht="18.75" customHeight="1">
      <c r="BM19329" s="1025"/>
      <c r="BO19329" s="43"/>
    </row>
    <row r="19330" spans="65:67" ht="18.75" customHeight="1">
      <c r="BM19330" s="1025"/>
      <c r="BO19330" s="43"/>
    </row>
    <row r="19331" spans="65:67" ht="18.75" customHeight="1">
      <c r="BM19331" s="1025"/>
      <c r="BO19331" s="43"/>
    </row>
    <row r="19332" spans="65:67" ht="18.75" customHeight="1">
      <c r="BM19332" s="1025"/>
      <c r="BO19332" s="43"/>
    </row>
    <row r="19333" spans="65:67" ht="18.75" customHeight="1">
      <c r="BM19333" s="1025"/>
      <c r="BO19333" s="43"/>
    </row>
    <row r="19334" spans="65:67" ht="18.75" customHeight="1">
      <c r="BM19334" s="1025"/>
      <c r="BO19334" s="43"/>
    </row>
    <row r="19335" spans="65:67" ht="18.75" customHeight="1">
      <c r="BM19335" s="1025"/>
      <c r="BO19335" s="43"/>
    </row>
    <row r="19336" spans="65:67" ht="18.75" customHeight="1">
      <c r="BM19336" s="1025"/>
      <c r="BO19336" s="43"/>
    </row>
    <row r="19337" spans="65:67" ht="18.75" customHeight="1">
      <c r="BM19337" s="1025"/>
      <c r="BO19337" s="43"/>
    </row>
    <row r="19338" spans="65:67" ht="18.75" customHeight="1">
      <c r="BM19338" s="1025"/>
      <c r="BO19338" s="43"/>
    </row>
    <row r="19339" spans="65:67" ht="18.75" customHeight="1">
      <c r="BM19339" s="1025"/>
      <c r="BO19339" s="43"/>
    </row>
    <row r="19340" spans="65:67" ht="18.75" customHeight="1">
      <c r="BM19340" s="1025"/>
      <c r="BO19340" s="43"/>
    </row>
    <row r="19341" spans="65:67" ht="18.75" customHeight="1">
      <c r="BM19341" s="1025"/>
      <c r="BO19341" s="43"/>
    </row>
    <row r="19342" spans="65:67" ht="18.75" customHeight="1">
      <c r="BM19342" s="1025"/>
      <c r="BO19342" s="43"/>
    </row>
    <row r="19343" spans="65:67" ht="18.75" customHeight="1">
      <c r="BM19343" s="1025"/>
      <c r="BO19343" s="43"/>
    </row>
    <row r="19344" spans="65:67" ht="18.75" customHeight="1">
      <c r="BM19344" s="1025"/>
      <c r="BO19344" s="43"/>
    </row>
    <row r="19345" spans="65:67" ht="18.75" customHeight="1">
      <c r="BM19345" s="1025"/>
      <c r="BO19345" s="43"/>
    </row>
    <row r="19346" spans="65:67" ht="18.75" customHeight="1">
      <c r="BM19346" s="1025"/>
      <c r="BO19346" s="43"/>
    </row>
    <row r="19347" spans="65:67" ht="18.75" customHeight="1">
      <c r="BM19347" s="1025"/>
      <c r="BO19347" s="43"/>
    </row>
    <row r="19348" spans="65:67" ht="18.75" customHeight="1">
      <c r="BM19348" s="1025"/>
      <c r="BO19348" s="43"/>
    </row>
    <row r="19349" spans="65:67" ht="18.75" customHeight="1">
      <c r="BM19349" s="1025"/>
      <c r="BO19349" s="43"/>
    </row>
    <row r="19350" spans="65:67" ht="18.75" customHeight="1">
      <c r="BM19350" s="1025"/>
      <c r="BO19350" s="43"/>
    </row>
    <row r="19351" spans="65:67" ht="18.75" customHeight="1">
      <c r="BM19351" s="1025"/>
      <c r="BO19351" s="43"/>
    </row>
    <row r="19352" spans="65:67" ht="18.75" customHeight="1">
      <c r="BM19352" s="1025"/>
      <c r="BO19352" s="43"/>
    </row>
    <row r="19353" spans="65:67" ht="18.75" customHeight="1">
      <c r="BM19353" s="1025"/>
      <c r="BO19353" s="43"/>
    </row>
    <row r="19354" spans="65:67" ht="18.75" customHeight="1">
      <c r="BM19354" s="1025"/>
      <c r="BO19354" s="43"/>
    </row>
    <row r="19355" spans="65:67" ht="18.75" customHeight="1">
      <c r="BM19355" s="1025"/>
      <c r="BO19355" s="43"/>
    </row>
    <row r="19356" spans="65:67" ht="18.75" customHeight="1">
      <c r="BM19356" s="1025"/>
      <c r="BO19356" s="43"/>
    </row>
    <row r="19357" spans="65:67" ht="18.75" customHeight="1">
      <c r="BM19357" s="1025"/>
      <c r="BO19357" s="43"/>
    </row>
    <row r="19358" spans="65:67" ht="18.75" customHeight="1">
      <c r="BM19358" s="1025"/>
      <c r="BO19358" s="43"/>
    </row>
    <row r="19359" spans="65:67" ht="18.75" customHeight="1">
      <c r="BM19359" s="1025"/>
      <c r="BO19359" s="43"/>
    </row>
    <row r="19360" spans="65:67" ht="18.75" customHeight="1">
      <c r="BM19360" s="1025"/>
      <c r="BO19360" s="43"/>
    </row>
    <row r="19361" spans="65:67" ht="18.75" customHeight="1">
      <c r="BM19361" s="1025"/>
      <c r="BO19361" s="43"/>
    </row>
    <row r="19362" spans="65:67" ht="18.75" customHeight="1">
      <c r="BM19362" s="1025"/>
      <c r="BO19362" s="43"/>
    </row>
    <row r="19363" spans="65:67" ht="18.75" customHeight="1">
      <c r="BM19363" s="1025"/>
      <c r="BO19363" s="43"/>
    </row>
    <row r="19364" spans="65:67" ht="18.75" customHeight="1">
      <c r="BM19364" s="1025"/>
      <c r="BO19364" s="43"/>
    </row>
    <row r="19365" spans="65:67" ht="18.75" customHeight="1">
      <c r="BM19365" s="1025"/>
      <c r="BO19365" s="43"/>
    </row>
    <row r="19366" spans="65:67" ht="18.75" customHeight="1">
      <c r="BM19366" s="1025"/>
      <c r="BO19366" s="43"/>
    </row>
    <row r="19367" spans="65:67" ht="18.75" customHeight="1">
      <c r="BM19367" s="1025"/>
      <c r="BO19367" s="43"/>
    </row>
    <row r="19368" spans="65:67" ht="18.75" customHeight="1">
      <c r="BM19368" s="1025"/>
      <c r="BO19368" s="43"/>
    </row>
    <row r="19369" spans="65:67" ht="18.75" customHeight="1">
      <c r="BM19369" s="1025"/>
      <c r="BO19369" s="43"/>
    </row>
    <row r="19370" spans="65:67" ht="18.75" customHeight="1">
      <c r="BM19370" s="1025"/>
      <c r="BO19370" s="43"/>
    </row>
    <row r="19371" spans="65:67" ht="18.75" customHeight="1">
      <c r="BM19371" s="1025"/>
      <c r="BO19371" s="43"/>
    </row>
    <row r="19372" spans="65:67" ht="18.75" customHeight="1">
      <c r="BM19372" s="1025"/>
      <c r="BO19372" s="43"/>
    </row>
    <row r="19373" spans="65:67" ht="18.75" customHeight="1">
      <c r="BM19373" s="1025"/>
      <c r="BO19373" s="43"/>
    </row>
    <row r="19374" spans="65:67" ht="18.75" customHeight="1">
      <c r="BM19374" s="1025"/>
      <c r="BO19374" s="43"/>
    </row>
    <row r="19375" spans="65:67" ht="18.75" customHeight="1">
      <c r="BM19375" s="1025"/>
      <c r="BO19375" s="43"/>
    </row>
    <row r="19376" spans="65:67" ht="18.75" customHeight="1">
      <c r="BM19376" s="1025"/>
      <c r="BO19376" s="43"/>
    </row>
    <row r="19377" spans="65:67" ht="18.75" customHeight="1">
      <c r="BM19377" s="1025"/>
      <c r="BO19377" s="43"/>
    </row>
    <row r="19378" spans="65:67" ht="18.75" customHeight="1">
      <c r="BM19378" s="1025"/>
      <c r="BO19378" s="43"/>
    </row>
    <row r="19379" spans="65:67" ht="18.75" customHeight="1">
      <c r="BM19379" s="1025"/>
      <c r="BO19379" s="43"/>
    </row>
    <row r="19380" spans="65:67" ht="18.75" customHeight="1">
      <c r="BM19380" s="1025"/>
      <c r="BO19380" s="43"/>
    </row>
    <row r="19381" spans="65:67" ht="18.75" customHeight="1">
      <c r="BM19381" s="1025"/>
      <c r="BO19381" s="43"/>
    </row>
    <row r="19382" spans="65:67" ht="18.75" customHeight="1">
      <c r="BM19382" s="1025"/>
      <c r="BO19382" s="43"/>
    </row>
    <row r="19383" spans="65:67" ht="18.75" customHeight="1">
      <c r="BM19383" s="1025"/>
      <c r="BO19383" s="43"/>
    </row>
    <row r="19384" spans="65:67" ht="18.75" customHeight="1">
      <c r="BM19384" s="1025"/>
      <c r="BO19384" s="43"/>
    </row>
    <row r="19385" spans="65:67" ht="18.75" customHeight="1">
      <c r="BM19385" s="1025"/>
      <c r="BO19385" s="43"/>
    </row>
    <row r="19386" spans="65:67" ht="18.75" customHeight="1">
      <c r="BM19386" s="1025"/>
      <c r="BO19386" s="43"/>
    </row>
    <row r="19387" spans="65:67" ht="18.75" customHeight="1">
      <c r="BM19387" s="1025"/>
      <c r="BO19387" s="43"/>
    </row>
    <row r="19388" spans="65:67" ht="18.75" customHeight="1">
      <c r="BM19388" s="1025"/>
      <c r="BO19388" s="43"/>
    </row>
    <row r="19389" spans="65:67" ht="18.75" customHeight="1">
      <c r="BM19389" s="1025"/>
      <c r="BO19389" s="43"/>
    </row>
    <row r="19390" spans="65:67" ht="18.75" customHeight="1">
      <c r="BM19390" s="1025"/>
      <c r="BO19390" s="43"/>
    </row>
    <row r="19391" spans="65:67" ht="18.75" customHeight="1">
      <c r="BM19391" s="1025"/>
      <c r="BO19391" s="43"/>
    </row>
    <row r="19392" spans="65:67" ht="18.75" customHeight="1">
      <c r="BM19392" s="1025"/>
      <c r="BO19392" s="43"/>
    </row>
    <row r="19393" spans="65:67" ht="18.75" customHeight="1">
      <c r="BM19393" s="1025"/>
      <c r="BO19393" s="43"/>
    </row>
    <row r="19394" spans="65:67" ht="18.75" customHeight="1">
      <c r="BM19394" s="1025"/>
      <c r="BO19394" s="43"/>
    </row>
    <row r="19395" spans="65:67" ht="18.75" customHeight="1">
      <c r="BM19395" s="1025"/>
      <c r="BO19395" s="43"/>
    </row>
    <row r="19396" spans="65:67" ht="18.75" customHeight="1">
      <c r="BM19396" s="1025"/>
      <c r="BO19396" s="43"/>
    </row>
    <row r="19397" spans="65:67" ht="18.75" customHeight="1">
      <c r="BM19397" s="1025"/>
      <c r="BO19397" s="43"/>
    </row>
    <row r="19398" spans="65:67" ht="18.75" customHeight="1">
      <c r="BM19398" s="1025"/>
      <c r="BO19398" s="43"/>
    </row>
    <row r="19399" spans="65:67" ht="18.75" customHeight="1">
      <c r="BM19399" s="1025"/>
      <c r="BO19399" s="43"/>
    </row>
    <row r="19400" spans="65:67" ht="18.75" customHeight="1">
      <c r="BM19400" s="1025"/>
      <c r="BO19400" s="43"/>
    </row>
    <row r="19401" spans="65:67" ht="18.75" customHeight="1">
      <c r="BM19401" s="1025"/>
      <c r="BO19401" s="43"/>
    </row>
    <row r="19402" spans="65:67" ht="18.75" customHeight="1">
      <c r="BM19402" s="1025"/>
      <c r="BO19402" s="43"/>
    </row>
    <row r="19403" spans="65:67" ht="18.75" customHeight="1">
      <c r="BM19403" s="1025"/>
      <c r="BO19403" s="43"/>
    </row>
    <row r="19404" spans="65:67" ht="18.75" customHeight="1">
      <c r="BM19404" s="1025"/>
      <c r="BO19404" s="43"/>
    </row>
    <row r="19405" spans="65:67" ht="18.75" customHeight="1">
      <c r="BM19405" s="1025"/>
      <c r="BO19405" s="43"/>
    </row>
    <row r="19406" spans="65:67" ht="18.75" customHeight="1">
      <c r="BM19406" s="1025"/>
      <c r="BO19406" s="43"/>
    </row>
    <row r="19407" spans="65:67" ht="18.75" customHeight="1">
      <c r="BM19407" s="1025"/>
      <c r="BO19407" s="43"/>
    </row>
    <row r="19408" spans="65:67" ht="18.75" customHeight="1">
      <c r="BM19408" s="1025"/>
      <c r="BO19408" s="43"/>
    </row>
    <row r="19409" spans="65:67" ht="18.75" customHeight="1">
      <c r="BM19409" s="1025"/>
      <c r="BO19409" s="43"/>
    </row>
    <row r="19410" spans="65:67" ht="18.75" customHeight="1">
      <c r="BM19410" s="1025"/>
      <c r="BO19410" s="43"/>
    </row>
    <row r="19411" spans="65:67" ht="18.75" customHeight="1">
      <c r="BM19411" s="1025"/>
      <c r="BO19411" s="43"/>
    </row>
    <row r="19412" spans="65:67" ht="18.75" customHeight="1">
      <c r="BM19412" s="1025"/>
      <c r="BO19412" s="43"/>
    </row>
    <row r="19413" spans="65:67" ht="18.75" customHeight="1">
      <c r="BM19413" s="1025"/>
      <c r="BO19413" s="43"/>
    </row>
    <row r="19414" spans="65:67" ht="18.75" customHeight="1">
      <c r="BM19414" s="1025"/>
      <c r="BO19414" s="43"/>
    </row>
    <row r="19415" spans="65:67" ht="18.75" customHeight="1">
      <c r="BM19415" s="1025"/>
      <c r="BO19415" s="43"/>
    </row>
    <row r="19416" spans="65:67" ht="18.75" customHeight="1">
      <c r="BM19416" s="1025"/>
      <c r="BO19416" s="43"/>
    </row>
    <row r="19417" spans="65:67" ht="18.75" customHeight="1">
      <c r="BM19417" s="1025"/>
      <c r="BO19417" s="43"/>
    </row>
    <row r="19418" spans="65:67" ht="18.75" customHeight="1">
      <c r="BM19418" s="1025"/>
      <c r="BO19418" s="43"/>
    </row>
    <row r="19419" spans="65:67" ht="18.75" customHeight="1">
      <c r="BM19419" s="1025"/>
      <c r="BO19419" s="43"/>
    </row>
    <row r="19420" spans="65:67" ht="18.75" customHeight="1">
      <c r="BM19420" s="1025"/>
      <c r="BO19420" s="43"/>
    </row>
    <row r="19421" spans="65:67" ht="18.75" customHeight="1">
      <c r="BM19421" s="1025"/>
      <c r="BO19421" s="43"/>
    </row>
    <row r="19422" spans="65:67" ht="18.75" customHeight="1">
      <c r="BM19422" s="1025"/>
      <c r="BO19422" s="43"/>
    </row>
    <row r="19423" spans="65:67" ht="18.75" customHeight="1">
      <c r="BM19423" s="1025"/>
      <c r="BO19423" s="43"/>
    </row>
    <row r="19424" spans="65:67" ht="18.75" customHeight="1">
      <c r="BM19424" s="1025"/>
      <c r="BO19424" s="43"/>
    </row>
    <row r="19425" spans="65:67" ht="18.75" customHeight="1">
      <c r="BM19425" s="1025"/>
      <c r="BO19425" s="43"/>
    </row>
    <row r="19426" spans="65:67" ht="18.75" customHeight="1">
      <c r="BM19426" s="1025"/>
      <c r="BO19426" s="43"/>
    </row>
    <row r="19427" spans="65:67" ht="18.75" customHeight="1">
      <c r="BM19427" s="1025"/>
      <c r="BO19427" s="43"/>
    </row>
    <row r="19428" spans="65:67" ht="18.75" customHeight="1">
      <c r="BM19428" s="1025"/>
      <c r="BO19428" s="43"/>
    </row>
    <row r="19429" spans="65:67" ht="18.75" customHeight="1">
      <c r="BM19429" s="1025"/>
      <c r="BO19429" s="43"/>
    </row>
    <row r="19430" spans="65:67" ht="18.75" customHeight="1">
      <c r="BM19430" s="1025"/>
      <c r="BO19430" s="43"/>
    </row>
    <row r="19431" spans="65:67" ht="18.75" customHeight="1">
      <c r="BM19431" s="1025"/>
      <c r="BO19431" s="43"/>
    </row>
    <row r="19432" spans="65:67" ht="18.75" customHeight="1">
      <c r="BM19432" s="1025"/>
      <c r="BO19432" s="43"/>
    </row>
    <row r="19433" spans="65:67" ht="18.75" customHeight="1">
      <c r="BM19433" s="1025"/>
      <c r="BO19433" s="43"/>
    </row>
    <row r="19434" spans="65:67" ht="18.75" customHeight="1">
      <c r="BM19434" s="1025"/>
      <c r="BO19434" s="43"/>
    </row>
    <row r="19435" spans="65:67" ht="18.75" customHeight="1">
      <c r="BM19435" s="1025"/>
      <c r="BO19435" s="43"/>
    </row>
    <row r="19436" spans="65:67" ht="18.75" customHeight="1">
      <c r="BM19436" s="1025"/>
      <c r="BO19436" s="43"/>
    </row>
    <row r="19437" spans="65:67" ht="18.75" customHeight="1">
      <c r="BM19437" s="1025"/>
      <c r="BO19437" s="43"/>
    </row>
    <row r="19438" spans="65:67" ht="18.75" customHeight="1">
      <c r="BM19438" s="1025"/>
      <c r="BO19438" s="43"/>
    </row>
    <row r="19439" spans="65:67" ht="18.75" customHeight="1">
      <c r="BM19439" s="1025"/>
      <c r="BO19439" s="43"/>
    </row>
    <row r="19440" spans="65:67" ht="18.75" customHeight="1">
      <c r="BM19440" s="1025"/>
      <c r="BO19440" s="43"/>
    </row>
    <row r="19441" spans="65:67" ht="18.75" customHeight="1">
      <c r="BM19441" s="1025"/>
      <c r="BO19441" s="43"/>
    </row>
    <row r="19442" spans="65:67" ht="18.75" customHeight="1">
      <c r="BM19442" s="1025"/>
      <c r="BO19442" s="43"/>
    </row>
    <row r="19443" spans="65:67" ht="18.75" customHeight="1">
      <c r="BM19443" s="1025"/>
      <c r="BO19443" s="43"/>
    </row>
    <row r="19444" spans="65:67" ht="18.75" customHeight="1">
      <c r="BM19444" s="1025"/>
      <c r="BO19444" s="43"/>
    </row>
    <row r="19445" spans="65:67" ht="18.75" customHeight="1">
      <c r="BM19445" s="1025"/>
      <c r="BO19445" s="43"/>
    </row>
    <row r="19446" spans="65:67" ht="18.75" customHeight="1">
      <c r="BM19446" s="1025"/>
      <c r="BO19446" s="43"/>
    </row>
    <row r="19447" spans="65:67" ht="18.75" customHeight="1">
      <c r="BM19447" s="1025"/>
      <c r="BO19447" s="43"/>
    </row>
    <row r="19448" spans="65:67" ht="18.75" customHeight="1">
      <c r="BM19448" s="1025"/>
      <c r="BO19448" s="43"/>
    </row>
    <row r="19449" spans="65:67" ht="18.75" customHeight="1">
      <c r="BM19449" s="1025"/>
      <c r="BO19449" s="43"/>
    </row>
    <row r="19450" spans="65:67" ht="18.75" customHeight="1">
      <c r="BM19450" s="1025"/>
      <c r="BO19450" s="43"/>
    </row>
    <row r="19451" spans="65:67" ht="18.75" customHeight="1">
      <c r="BM19451" s="1025"/>
      <c r="BO19451" s="43"/>
    </row>
    <row r="19452" spans="65:67" ht="18.75" customHeight="1">
      <c r="BM19452" s="1025"/>
      <c r="BO19452" s="43"/>
    </row>
    <row r="19453" spans="65:67" ht="18.75" customHeight="1">
      <c r="BM19453" s="1025"/>
      <c r="BO19453" s="43"/>
    </row>
    <row r="19454" spans="65:67" ht="18.75" customHeight="1">
      <c r="BM19454" s="1025"/>
      <c r="BO19454" s="43"/>
    </row>
    <row r="19455" spans="65:67" ht="18.75" customHeight="1">
      <c r="BM19455" s="1025"/>
      <c r="BO19455" s="43"/>
    </row>
    <row r="19456" spans="65:67" ht="18.75" customHeight="1">
      <c r="BM19456" s="1025"/>
      <c r="BO19456" s="43"/>
    </row>
    <row r="19457" spans="65:67" ht="18.75" customHeight="1">
      <c r="BM19457" s="1025"/>
      <c r="BO19457" s="43"/>
    </row>
    <row r="19458" spans="65:67" ht="18.75" customHeight="1">
      <c r="BM19458" s="1025"/>
      <c r="BO19458" s="43"/>
    </row>
    <row r="19459" spans="65:67" ht="18.75" customHeight="1">
      <c r="BM19459" s="1025"/>
      <c r="BO19459" s="43"/>
    </row>
    <row r="19460" spans="65:67" ht="18.75" customHeight="1">
      <c r="BM19460" s="1025"/>
      <c r="BO19460" s="43"/>
    </row>
    <row r="19461" spans="65:67" ht="18.75" customHeight="1">
      <c r="BM19461" s="1025"/>
      <c r="BO19461" s="43"/>
    </row>
    <row r="19462" spans="65:67" ht="18.75" customHeight="1">
      <c r="BM19462" s="1025"/>
      <c r="BO19462" s="43"/>
    </row>
    <row r="19463" spans="65:67" ht="18.75" customHeight="1">
      <c r="BM19463" s="1025"/>
      <c r="BO19463" s="43"/>
    </row>
    <row r="19464" spans="65:67" ht="18.75" customHeight="1">
      <c r="BM19464" s="1025"/>
      <c r="BO19464" s="43"/>
    </row>
    <row r="19465" spans="65:67" ht="18.75" customHeight="1">
      <c r="BM19465" s="1025"/>
      <c r="BO19465" s="43"/>
    </row>
    <row r="19466" spans="65:67" ht="18.75" customHeight="1">
      <c r="BM19466" s="1025"/>
      <c r="BO19466" s="43"/>
    </row>
    <row r="19467" spans="65:67" ht="18.75" customHeight="1">
      <c r="BM19467" s="1025"/>
      <c r="BO19467" s="43"/>
    </row>
    <row r="19468" spans="65:67" ht="18.75" customHeight="1">
      <c r="BM19468" s="1025"/>
      <c r="BO19468" s="43"/>
    </row>
    <row r="19469" spans="65:67" ht="18.75" customHeight="1">
      <c r="BM19469" s="1025"/>
      <c r="BO19469" s="43"/>
    </row>
    <row r="19470" spans="65:67" ht="18.75" customHeight="1">
      <c r="BM19470" s="1025"/>
      <c r="BO19470" s="43"/>
    </row>
    <row r="19471" spans="65:67" ht="18.75" customHeight="1">
      <c r="BM19471" s="1025"/>
      <c r="BO19471" s="43"/>
    </row>
    <row r="19472" spans="65:67" ht="18.75" customHeight="1">
      <c r="BM19472" s="1025"/>
      <c r="BO19472" s="43"/>
    </row>
    <row r="19473" spans="65:67" ht="18.75" customHeight="1">
      <c r="BM19473" s="1025"/>
      <c r="BO19473" s="43"/>
    </row>
    <row r="19474" spans="65:67" ht="18.75" customHeight="1">
      <c r="BM19474" s="1025"/>
      <c r="BO19474" s="43"/>
    </row>
    <row r="19475" spans="65:67" ht="18.75" customHeight="1">
      <c r="BM19475" s="1025"/>
      <c r="BO19475" s="43"/>
    </row>
    <row r="19476" spans="65:67" ht="18.75" customHeight="1">
      <c r="BM19476" s="1025"/>
      <c r="BO19476" s="43"/>
    </row>
    <row r="19477" spans="65:67" ht="18.75" customHeight="1">
      <c r="BM19477" s="1025"/>
      <c r="BO19477" s="43"/>
    </row>
    <row r="19478" spans="65:67" ht="18.75" customHeight="1">
      <c r="BM19478" s="1025"/>
      <c r="BO19478" s="43"/>
    </row>
    <row r="19479" spans="65:67" ht="18.75" customHeight="1">
      <c r="BM19479" s="1025"/>
      <c r="BO19479" s="43"/>
    </row>
    <row r="19480" spans="65:67" ht="18.75" customHeight="1">
      <c r="BM19480" s="1025"/>
      <c r="BO19480" s="43"/>
    </row>
    <row r="19481" spans="65:67" ht="18.75" customHeight="1">
      <c r="BM19481" s="1025"/>
      <c r="BO19481" s="43"/>
    </row>
    <row r="19482" spans="65:67" ht="18.75" customHeight="1">
      <c r="BM19482" s="1025"/>
      <c r="BO19482" s="43"/>
    </row>
    <row r="19483" spans="65:67" ht="18.75" customHeight="1">
      <c r="BM19483" s="1025"/>
      <c r="BO19483" s="43"/>
    </row>
    <row r="19484" spans="65:67" ht="18.75" customHeight="1">
      <c r="BM19484" s="1025"/>
      <c r="BO19484" s="43"/>
    </row>
    <row r="19485" spans="65:67" ht="18.75" customHeight="1">
      <c r="BM19485" s="1025"/>
      <c r="BO19485" s="43"/>
    </row>
    <row r="19486" spans="65:67" ht="18.75" customHeight="1">
      <c r="BM19486" s="1025"/>
      <c r="BO19486" s="43"/>
    </row>
    <row r="19487" spans="65:67" ht="18.75" customHeight="1">
      <c r="BM19487" s="1025"/>
      <c r="BO19487" s="43"/>
    </row>
    <row r="19488" spans="65:67" ht="18.75" customHeight="1">
      <c r="BM19488" s="1025"/>
      <c r="BO19488" s="43"/>
    </row>
    <row r="19489" spans="65:67" ht="18.75" customHeight="1">
      <c r="BM19489" s="1025"/>
      <c r="BO19489" s="43"/>
    </row>
    <row r="19490" spans="65:67" ht="18.75" customHeight="1">
      <c r="BM19490" s="1025"/>
      <c r="BO19490" s="43"/>
    </row>
    <row r="19491" spans="65:67" ht="18.75" customHeight="1">
      <c r="BM19491" s="1025"/>
      <c r="BO19491" s="43"/>
    </row>
    <row r="19492" spans="65:67" ht="18.75" customHeight="1">
      <c r="BM19492" s="1025"/>
      <c r="BO19492" s="43"/>
    </row>
    <row r="19493" spans="65:67" ht="18.75" customHeight="1">
      <c r="BM19493" s="1025"/>
      <c r="BO19493" s="43"/>
    </row>
    <row r="19494" spans="65:67" ht="18.75" customHeight="1">
      <c r="BM19494" s="1025"/>
      <c r="BO19494" s="43"/>
    </row>
    <row r="19495" spans="65:67" ht="18.75" customHeight="1">
      <c r="BM19495" s="1025"/>
      <c r="BO19495" s="43"/>
    </row>
    <row r="19496" spans="65:67" ht="18.75" customHeight="1">
      <c r="BM19496" s="1025"/>
      <c r="BO19496" s="43"/>
    </row>
    <row r="19497" spans="65:67" ht="18.75" customHeight="1">
      <c r="BM19497" s="1025"/>
      <c r="BO19497" s="43"/>
    </row>
    <row r="19498" spans="65:67" ht="18.75" customHeight="1">
      <c r="BM19498" s="1025"/>
      <c r="BO19498" s="43"/>
    </row>
    <row r="19499" spans="65:67" ht="18.75" customHeight="1">
      <c r="BM19499" s="1025"/>
      <c r="BO19499" s="43"/>
    </row>
    <row r="19500" spans="65:67" ht="18.75" customHeight="1">
      <c r="BM19500" s="1025"/>
      <c r="BO19500" s="43"/>
    </row>
    <row r="19501" spans="65:67" ht="18.75" customHeight="1">
      <c r="BM19501" s="1025"/>
      <c r="BO19501" s="43"/>
    </row>
    <row r="19502" spans="65:67" ht="18.75" customHeight="1">
      <c r="BM19502" s="1025"/>
      <c r="BO19502" s="43"/>
    </row>
    <row r="19503" spans="65:67" ht="18.75" customHeight="1">
      <c r="BM19503" s="1025"/>
      <c r="BO19503" s="43"/>
    </row>
    <row r="19504" spans="65:67" ht="18.75" customHeight="1">
      <c r="BM19504" s="1025"/>
      <c r="BO19504" s="43"/>
    </row>
    <row r="19505" spans="65:67" ht="18.75" customHeight="1">
      <c r="BM19505" s="1025"/>
      <c r="BO19505" s="43"/>
    </row>
    <row r="19506" spans="65:67" ht="18.75" customHeight="1">
      <c r="BM19506" s="1025"/>
      <c r="BO19506" s="43"/>
    </row>
    <row r="19507" spans="65:67" ht="18.75" customHeight="1">
      <c r="BM19507" s="1025"/>
      <c r="BO19507" s="43"/>
    </row>
    <row r="19508" spans="65:67" ht="18.75" customHeight="1">
      <c r="BM19508" s="1025"/>
      <c r="BO19508" s="43"/>
    </row>
    <row r="19509" spans="65:67" ht="18.75" customHeight="1">
      <c r="BM19509" s="1025"/>
      <c r="BO19509" s="43"/>
    </row>
    <row r="19510" spans="65:67" ht="18.75" customHeight="1">
      <c r="BM19510" s="1025"/>
      <c r="BO19510" s="43"/>
    </row>
    <row r="19511" spans="65:67" ht="18.75" customHeight="1">
      <c r="BM19511" s="1025"/>
      <c r="BO19511" s="43"/>
    </row>
    <row r="19512" spans="65:67" ht="18.75" customHeight="1">
      <c r="BM19512" s="1025"/>
      <c r="BO19512" s="43"/>
    </row>
    <row r="19513" spans="65:67" ht="18.75" customHeight="1">
      <c r="BM19513" s="1025"/>
      <c r="BO19513" s="43"/>
    </row>
    <row r="19514" spans="65:67" ht="18.75" customHeight="1">
      <c r="BM19514" s="1025"/>
      <c r="BO19514" s="43"/>
    </row>
    <row r="19515" spans="65:67" ht="18.75" customHeight="1">
      <c r="BM19515" s="1025"/>
      <c r="BO19515" s="43"/>
    </row>
    <row r="19516" spans="65:67" ht="18.75" customHeight="1">
      <c r="BM19516" s="1025"/>
      <c r="BO19516" s="43"/>
    </row>
    <row r="19517" spans="65:67" ht="18.75" customHeight="1">
      <c r="BM19517" s="1025"/>
      <c r="BO19517" s="43"/>
    </row>
    <row r="19518" spans="65:67" ht="18.75" customHeight="1">
      <c r="BM19518" s="1025"/>
      <c r="BO19518" s="43"/>
    </row>
    <row r="19519" spans="65:67" ht="18.75" customHeight="1">
      <c r="BM19519" s="1025"/>
      <c r="BO19519" s="43"/>
    </row>
    <row r="19520" spans="65:67" ht="18.75" customHeight="1">
      <c r="BM19520" s="1025"/>
      <c r="BO19520" s="43"/>
    </row>
    <row r="19521" spans="65:67" ht="18.75" customHeight="1">
      <c r="BM19521" s="1025"/>
      <c r="BO19521" s="43"/>
    </row>
    <row r="19522" spans="65:67" ht="18.75" customHeight="1">
      <c r="BM19522" s="1025"/>
      <c r="BO19522" s="43"/>
    </row>
    <row r="19523" spans="65:67" ht="18.75" customHeight="1">
      <c r="BM19523" s="1025"/>
      <c r="BO19523" s="43"/>
    </row>
    <row r="19524" spans="65:67" ht="18.75" customHeight="1">
      <c r="BM19524" s="1025"/>
      <c r="BO19524" s="43"/>
    </row>
    <row r="19525" spans="65:67" ht="18.75" customHeight="1">
      <c r="BM19525" s="1025"/>
      <c r="BO19525" s="43"/>
    </row>
    <row r="19526" spans="65:67" ht="18.75" customHeight="1">
      <c r="BM19526" s="1025"/>
      <c r="BO19526" s="43"/>
    </row>
    <row r="19527" spans="65:67" ht="18.75" customHeight="1">
      <c r="BM19527" s="1025"/>
      <c r="BO19527" s="43"/>
    </row>
    <row r="19528" spans="65:67" ht="18.75" customHeight="1">
      <c r="BM19528" s="1025"/>
      <c r="BO19528" s="43"/>
    </row>
    <row r="19529" spans="65:67" ht="18.75" customHeight="1">
      <c r="BM19529" s="1025"/>
      <c r="BO19529" s="43"/>
    </row>
    <row r="19530" spans="65:67" ht="18.75" customHeight="1">
      <c r="BM19530" s="1025"/>
      <c r="BO19530" s="43"/>
    </row>
    <row r="19531" spans="65:67" ht="18.75" customHeight="1">
      <c r="BM19531" s="1025"/>
      <c r="BO19531" s="43"/>
    </row>
    <row r="19532" spans="65:67" ht="18.75" customHeight="1">
      <c r="BM19532" s="1025"/>
      <c r="BO19532" s="43"/>
    </row>
    <row r="19533" spans="65:67" ht="18.75" customHeight="1">
      <c r="BM19533" s="1025"/>
      <c r="BO19533" s="43"/>
    </row>
    <row r="19534" spans="65:67" ht="18.75" customHeight="1">
      <c r="BM19534" s="1025"/>
      <c r="BO19534" s="43"/>
    </row>
    <row r="19535" spans="65:67" ht="18.75" customHeight="1">
      <c r="BM19535" s="1025"/>
      <c r="BO19535" s="43"/>
    </row>
    <row r="19536" spans="65:67" ht="18.75" customHeight="1">
      <c r="BM19536" s="1025"/>
      <c r="BO19536" s="43"/>
    </row>
    <row r="19537" spans="65:67" ht="18.75" customHeight="1">
      <c r="BM19537" s="1025"/>
      <c r="BO19537" s="43"/>
    </row>
    <row r="19538" spans="65:67" ht="18.75" customHeight="1">
      <c r="BM19538" s="1025"/>
      <c r="BO19538" s="43"/>
    </row>
    <row r="19539" spans="65:67" ht="18.75" customHeight="1">
      <c r="BM19539" s="1025"/>
      <c r="BO19539" s="43"/>
    </row>
    <row r="19540" spans="65:67" ht="18.75" customHeight="1">
      <c r="BM19540" s="1025"/>
      <c r="BO19540" s="43"/>
    </row>
    <row r="19541" spans="65:67" ht="18.75" customHeight="1">
      <c r="BM19541" s="1025"/>
      <c r="BO19541" s="43"/>
    </row>
    <row r="19542" spans="65:67" ht="18.75" customHeight="1">
      <c r="BM19542" s="1025"/>
      <c r="BO19542" s="43"/>
    </row>
    <row r="19543" spans="65:67" ht="18.75" customHeight="1">
      <c r="BM19543" s="1025"/>
      <c r="BO19543" s="43"/>
    </row>
    <row r="19544" spans="65:67" ht="18.75" customHeight="1">
      <c r="BM19544" s="1025"/>
      <c r="BO19544" s="43"/>
    </row>
    <row r="19545" spans="65:67" ht="18.75" customHeight="1">
      <c r="BM19545" s="1025"/>
      <c r="BO19545" s="43"/>
    </row>
    <row r="19546" spans="65:67" ht="18.75" customHeight="1">
      <c r="BM19546" s="1025"/>
      <c r="BO19546" s="43"/>
    </row>
    <row r="19547" spans="65:67" ht="18.75" customHeight="1">
      <c r="BM19547" s="1025"/>
      <c r="BO19547" s="43"/>
    </row>
    <row r="19548" spans="65:67" ht="18.75" customHeight="1">
      <c r="BM19548" s="1025"/>
      <c r="BO19548" s="43"/>
    </row>
    <row r="19549" spans="65:67" ht="18.75" customHeight="1">
      <c r="BM19549" s="1025"/>
      <c r="BO19549" s="43"/>
    </row>
    <row r="19550" spans="65:67" ht="18.75" customHeight="1">
      <c r="BM19550" s="1025"/>
      <c r="BO19550" s="43"/>
    </row>
    <row r="19551" spans="65:67" ht="18.75" customHeight="1">
      <c r="BM19551" s="1025"/>
      <c r="BO19551" s="43"/>
    </row>
    <row r="19552" spans="65:67" ht="18.75" customHeight="1">
      <c r="BM19552" s="1025"/>
      <c r="BO19552" s="43"/>
    </row>
    <row r="19553" spans="65:67" ht="18.75" customHeight="1">
      <c r="BM19553" s="1025"/>
      <c r="BO19553" s="43"/>
    </row>
    <row r="19554" spans="65:67" ht="18.75" customHeight="1">
      <c r="BM19554" s="1025"/>
      <c r="BO19554" s="43"/>
    </row>
    <row r="19555" spans="65:67" ht="18.75" customHeight="1">
      <c r="BM19555" s="1025"/>
      <c r="BO19555" s="43"/>
    </row>
    <row r="19556" spans="65:67" ht="18.75" customHeight="1">
      <c r="BM19556" s="1025"/>
      <c r="BO19556" s="43"/>
    </row>
    <row r="19557" spans="65:67" ht="18.75" customHeight="1">
      <c r="BM19557" s="1025"/>
      <c r="BO19557" s="43"/>
    </row>
    <row r="19558" spans="65:67" ht="18.75" customHeight="1">
      <c r="BM19558" s="1025"/>
      <c r="BO19558" s="43"/>
    </row>
    <row r="19559" spans="65:67" ht="18.75" customHeight="1">
      <c r="BM19559" s="1025"/>
      <c r="BO19559" s="43"/>
    </row>
    <row r="19560" spans="65:67" ht="18.75" customHeight="1">
      <c r="BM19560" s="1025"/>
      <c r="BO19560" s="43"/>
    </row>
    <row r="19561" spans="65:67" ht="18.75" customHeight="1">
      <c r="BM19561" s="1025"/>
      <c r="BO19561" s="43"/>
    </row>
    <row r="19562" spans="65:67" ht="18.75" customHeight="1">
      <c r="BM19562" s="1025"/>
      <c r="BO19562" s="43"/>
    </row>
    <row r="19563" spans="65:67" ht="18.75" customHeight="1">
      <c r="BM19563" s="1025"/>
      <c r="BO19563" s="43"/>
    </row>
    <row r="19564" spans="65:67" ht="18.75" customHeight="1">
      <c r="BM19564" s="1025"/>
      <c r="BO19564" s="43"/>
    </row>
    <row r="19565" spans="65:67" ht="18.75" customHeight="1">
      <c r="BM19565" s="1025"/>
      <c r="BO19565" s="43"/>
    </row>
    <row r="19566" spans="65:67" ht="18.75" customHeight="1">
      <c r="BM19566" s="1025"/>
      <c r="BO19566" s="43"/>
    </row>
    <row r="19567" spans="65:67" ht="18.75" customHeight="1">
      <c r="BM19567" s="1025"/>
      <c r="BO19567" s="43"/>
    </row>
    <row r="19568" spans="65:67" ht="18.75" customHeight="1">
      <c r="BM19568" s="1025"/>
      <c r="BO19568" s="43"/>
    </row>
    <row r="19569" spans="65:67" ht="18.75" customHeight="1">
      <c r="BM19569" s="1025"/>
      <c r="BO19569" s="43"/>
    </row>
    <row r="19570" spans="65:67" ht="18.75" customHeight="1">
      <c r="BM19570" s="1025"/>
      <c r="BO19570" s="43"/>
    </row>
    <row r="19571" spans="65:67" ht="18.75" customHeight="1">
      <c r="BM19571" s="1025"/>
      <c r="BO19571" s="43"/>
    </row>
    <row r="19572" spans="65:67" ht="18.75" customHeight="1">
      <c r="BM19572" s="1025"/>
      <c r="BO19572" s="43"/>
    </row>
    <row r="19573" spans="65:67" ht="18.75" customHeight="1">
      <c r="BM19573" s="1025"/>
      <c r="BO19573" s="43"/>
    </row>
    <row r="19574" spans="65:67" ht="18.75" customHeight="1">
      <c r="BM19574" s="1025"/>
      <c r="BO19574" s="43"/>
    </row>
    <row r="19575" spans="65:67" ht="18.75" customHeight="1">
      <c r="BM19575" s="1025"/>
      <c r="BO19575" s="43"/>
    </row>
    <row r="19576" spans="65:67" ht="18.75" customHeight="1">
      <c r="BM19576" s="1025"/>
      <c r="BO19576" s="43"/>
    </row>
    <row r="19577" spans="65:67" ht="18.75" customHeight="1">
      <c r="BM19577" s="1025"/>
      <c r="BO19577" s="43"/>
    </row>
    <row r="19578" spans="65:67" ht="18.75" customHeight="1">
      <c r="BM19578" s="1025"/>
      <c r="BO19578" s="43"/>
    </row>
    <row r="19579" spans="65:67" ht="18.75" customHeight="1">
      <c r="BM19579" s="1025"/>
      <c r="BO19579" s="43"/>
    </row>
    <row r="19580" spans="65:67" ht="18.75" customHeight="1">
      <c r="BM19580" s="1025"/>
      <c r="BO19580" s="43"/>
    </row>
    <row r="19581" spans="65:67" ht="18.75" customHeight="1">
      <c r="BM19581" s="1025"/>
      <c r="BO19581" s="43"/>
    </row>
    <row r="19582" spans="65:67" ht="18.75" customHeight="1">
      <c r="BM19582" s="1025"/>
      <c r="BO19582" s="43"/>
    </row>
    <row r="19583" spans="65:67" ht="18.75" customHeight="1">
      <c r="BM19583" s="1025"/>
      <c r="BO19583" s="43"/>
    </row>
    <row r="19584" spans="65:67" ht="18.75" customHeight="1">
      <c r="BM19584" s="1025"/>
      <c r="BO19584" s="43"/>
    </row>
    <row r="19585" spans="65:67" ht="18.75" customHeight="1">
      <c r="BM19585" s="1025"/>
      <c r="BO19585" s="43"/>
    </row>
    <row r="19586" spans="65:67" ht="18.75" customHeight="1">
      <c r="BM19586" s="1025"/>
      <c r="BO19586" s="43"/>
    </row>
    <row r="19587" spans="65:67" ht="18.75" customHeight="1">
      <c r="BM19587" s="1025"/>
      <c r="BO19587" s="43"/>
    </row>
    <row r="19588" spans="65:67" ht="18.75" customHeight="1">
      <c r="BM19588" s="1025"/>
      <c r="BO19588" s="43"/>
    </row>
    <row r="19589" spans="65:67" ht="18.75" customHeight="1">
      <c r="BM19589" s="1025"/>
      <c r="BO19589" s="43"/>
    </row>
    <row r="19590" spans="65:67" ht="18.75" customHeight="1">
      <c r="BM19590" s="1025"/>
      <c r="BO19590" s="43"/>
    </row>
    <row r="19591" spans="65:67" ht="18.75" customHeight="1">
      <c r="BM19591" s="1025"/>
      <c r="BO19591" s="43"/>
    </row>
    <row r="19592" spans="65:67" ht="18.75" customHeight="1">
      <c r="BM19592" s="1025"/>
      <c r="BO19592" s="43"/>
    </row>
    <row r="19593" spans="65:67" ht="18.75" customHeight="1">
      <c r="BM19593" s="1025"/>
      <c r="BO19593" s="43"/>
    </row>
    <row r="19594" spans="65:67" ht="18.75" customHeight="1">
      <c r="BM19594" s="1025"/>
      <c r="BO19594" s="43"/>
    </row>
    <row r="19595" spans="65:67" ht="18.75" customHeight="1">
      <c r="BM19595" s="1025"/>
      <c r="BO19595" s="43"/>
    </row>
    <row r="19596" spans="65:67" ht="18.75" customHeight="1">
      <c r="BM19596" s="1025"/>
      <c r="BO19596" s="43"/>
    </row>
    <row r="19597" spans="65:67" ht="18.75" customHeight="1">
      <c r="BM19597" s="1025"/>
      <c r="BO19597" s="43"/>
    </row>
    <row r="19598" spans="65:67" ht="18.75" customHeight="1">
      <c r="BM19598" s="1025"/>
      <c r="BO19598" s="43"/>
    </row>
    <row r="19599" spans="65:67" ht="18.75" customHeight="1">
      <c r="BM19599" s="1025"/>
      <c r="BO19599" s="43"/>
    </row>
    <row r="19600" spans="65:67" ht="18.75" customHeight="1">
      <c r="BM19600" s="1025"/>
      <c r="BO19600" s="43"/>
    </row>
    <row r="19601" spans="65:67" ht="18.75" customHeight="1">
      <c r="BM19601" s="1025"/>
      <c r="BO19601" s="43"/>
    </row>
    <row r="19602" spans="65:67" ht="18.75" customHeight="1">
      <c r="BM19602" s="1025"/>
      <c r="BO19602" s="43"/>
    </row>
    <row r="19603" spans="65:67" ht="18.75" customHeight="1">
      <c r="BM19603" s="1025"/>
      <c r="BO19603" s="43"/>
    </row>
    <row r="19604" spans="65:67" ht="18.75" customHeight="1">
      <c r="BM19604" s="1025"/>
      <c r="BO19604" s="43"/>
    </row>
    <row r="19605" spans="65:67" ht="18.75" customHeight="1">
      <c r="BM19605" s="1025"/>
      <c r="BO19605" s="43"/>
    </row>
    <row r="19606" spans="65:67" ht="18.75" customHeight="1">
      <c r="BM19606" s="1025"/>
      <c r="BO19606" s="43"/>
    </row>
    <row r="19607" spans="65:67" ht="18.75" customHeight="1">
      <c r="BM19607" s="1025"/>
      <c r="BO19607" s="43"/>
    </row>
    <row r="19608" spans="65:67" ht="18.75" customHeight="1">
      <c r="BM19608" s="1025"/>
      <c r="BO19608" s="43"/>
    </row>
    <row r="19609" spans="65:67" ht="18.75" customHeight="1">
      <c r="BM19609" s="1025"/>
      <c r="BO19609" s="43"/>
    </row>
    <row r="19610" spans="65:67" ht="18.75" customHeight="1">
      <c r="BM19610" s="1025"/>
      <c r="BO19610" s="43"/>
    </row>
    <row r="19611" spans="65:67" ht="18.75" customHeight="1">
      <c r="BM19611" s="1025"/>
      <c r="BO19611" s="43"/>
    </row>
    <row r="19612" spans="65:67" ht="18.75" customHeight="1">
      <c r="BM19612" s="1025"/>
      <c r="BO19612" s="43"/>
    </row>
    <row r="19613" spans="65:67" ht="18.75" customHeight="1">
      <c r="BM19613" s="1025"/>
      <c r="BO19613" s="43"/>
    </row>
    <row r="19614" spans="65:67" ht="18.75" customHeight="1">
      <c r="BM19614" s="1025"/>
      <c r="BO19614" s="43"/>
    </row>
    <row r="19615" spans="65:67" ht="18.75" customHeight="1">
      <c r="BM19615" s="1025"/>
      <c r="BO19615" s="43"/>
    </row>
    <row r="19616" spans="65:67" ht="18.75" customHeight="1">
      <c r="BM19616" s="1025"/>
      <c r="BO19616" s="43"/>
    </row>
    <row r="19617" spans="65:67" ht="18.75" customHeight="1">
      <c r="BM19617" s="1025"/>
      <c r="BO19617" s="43"/>
    </row>
    <row r="19618" spans="65:67" ht="18.75" customHeight="1">
      <c r="BM19618" s="1025"/>
      <c r="BO19618" s="43"/>
    </row>
    <row r="19619" spans="65:67" ht="18.75" customHeight="1">
      <c r="BM19619" s="1025"/>
      <c r="BO19619" s="43"/>
    </row>
    <row r="19620" spans="65:67" ht="18.75" customHeight="1">
      <c r="BM19620" s="1025"/>
      <c r="BO19620" s="43"/>
    </row>
    <row r="19621" spans="65:67" ht="18.75" customHeight="1">
      <c r="BM19621" s="1025"/>
      <c r="BO19621" s="43"/>
    </row>
    <row r="19622" spans="65:67" ht="18.75" customHeight="1">
      <c r="BM19622" s="1025"/>
      <c r="BO19622" s="43"/>
    </row>
    <row r="19623" spans="65:67" ht="18.75" customHeight="1">
      <c r="BM19623" s="1025"/>
      <c r="BO19623" s="43"/>
    </row>
    <row r="19624" spans="65:67" ht="18.75" customHeight="1">
      <c r="BM19624" s="1025"/>
      <c r="BO19624" s="43"/>
    </row>
    <row r="19625" spans="65:67" ht="18.75" customHeight="1">
      <c r="BM19625" s="1025"/>
      <c r="BO19625" s="43"/>
    </row>
    <row r="19626" spans="65:67" ht="18.75" customHeight="1">
      <c r="BM19626" s="1025"/>
      <c r="BO19626" s="43"/>
    </row>
    <row r="19627" spans="65:67" ht="18.75" customHeight="1">
      <c r="BM19627" s="1025"/>
      <c r="BO19627" s="43"/>
    </row>
    <row r="19628" spans="65:67" ht="18.75" customHeight="1">
      <c r="BM19628" s="1025"/>
      <c r="BO19628" s="43"/>
    </row>
    <row r="19629" spans="65:67" ht="18.75" customHeight="1">
      <c r="BM19629" s="1025"/>
      <c r="BO19629" s="43"/>
    </row>
    <row r="19630" spans="65:67" ht="18.75" customHeight="1">
      <c r="BM19630" s="1025"/>
      <c r="BO19630" s="43"/>
    </row>
    <row r="19631" spans="65:67" ht="18.75" customHeight="1">
      <c r="BM19631" s="1025"/>
      <c r="BO19631" s="43"/>
    </row>
    <row r="19632" spans="65:67" ht="18.75" customHeight="1">
      <c r="BM19632" s="1025"/>
      <c r="BO19632" s="43"/>
    </row>
    <row r="19633" spans="65:67" ht="18.75" customHeight="1">
      <c r="BM19633" s="1025"/>
      <c r="BO19633" s="43"/>
    </row>
    <row r="19634" spans="65:67" ht="18.75" customHeight="1">
      <c r="BM19634" s="1025"/>
      <c r="BO19634" s="43"/>
    </row>
    <row r="19635" spans="65:67" ht="18.75" customHeight="1">
      <c r="BM19635" s="1025"/>
      <c r="BO19635" s="43"/>
    </row>
    <row r="19636" spans="65:67" ht="18.75" customHeight="1">
      <c r="BM19636" s="1025"/>
      <c r="BO19636" s="43"/>
    </row>
    <row r="19637" spans="65:67" ht="18.75" customHeight="1">
      <c r="BM19637" s="1025"/>
      <c r="BO19637" s="43"/>
    </row>
    <row r="19638" spans="65:67" ht="18.75" customHeight="1">
      <c r="BM19638" s="1025"/>
      <c r="BO19638" s="43"/>
    </row>
    <row r="19639" spans="65:67" ht="18.75" customHeight="1">
      <c r="BM19639" s="1025"/>
      <c r="BO19639" s="43"/>
    </row>
    <row r="19640" spans="65:67" ht="18.75" customHeight="1">
      <c r="BM19640" s="1025"/>
      <c r="BO19640" s="43"/>
    </row>
    <row r="19641" spans="65:67" ht="18.75" customHeight="1">
      <c r="BM19641" s="1025"/>
      <c r="BO19641" s="43"/>
    </row>
    <row r="19642" spans="65:67" ht="18.75" customHeight="1">
      <c r="BM19642" s="1025"/>
      <c r="BO19642" s="43"/>
    </row>
    <row r="19643" spans="65:67" ht="18.75" customHeight="1">
      <c r="BM19643" s="1025"/>
      <c r="BO19643" s="43"/>
    </row>
    <row r="19644" spans="65:67" ht="18.75" customHeight="1">
      <c r="BM19644" s="1025"/>
      <c r="BO19644" s="43"/>
    </row>
    <row r="19645" spans="65:67" ht="18.75" customHeight="1">
      <c r="BM19645" s="1025"/>
      <c r="BO19645" s="43"/>
    </row>
    <row r="19646" spans="65:67" ht="18.75" customHeight="1">
      <c r="BM19646" s="1025"/>
      <c r="BO19646" s="43"/>
    </row>
    <row r="19647" spans="65:67" ht="18.75" customHeight="1">
      <c r="BM19647" s="1025"/>
      <c r="BO19647" s="43"/>
    </row>
    <row r="19648" spans="65:67" ht="18.75" customHeight="1">
      <c r="BM19648" s="1025"/>
      <c r="BO19648" s="43"/>
    </row>
    <row r="19649" spans="65:67" ht="18.75" customHeight="1">
      <c r="BM19649" s="1025"/>
      <c r="BO19649" s="43"/>
    </row>
    <row r="19650" spans="65:67" ht="18.75" customHeight="1">
      <c r="BM19650" s="1025"/>
      <c r="BO19650" s="43"/>
    </row>
    <row r="19651" spans="65:67" ht="18.75" customHeight="1">
      <c r="BM19651" s="1025"/>
      <c r="BO19651" s="43"/>
    </row>
    <row r="19652" spans="65:67" ht="18.75" customHeight="1">
      <c r="BM19652" s="1025"/>
      <c r="BO19652" s="43"/>
    </row>
    <row r="19653" spans="65:67" ht="18.75" customHeight="1">
      <c r="BM19653" s="1025"/>
      <c r="BO19653" s="43"/>
    </row>
    <row r="19654" spans="65:67" ht="18.75" customHeight="1">
      <c r="BM19654" s="1025"/>
      <c r="BO19654" s="43"/>
    </row>
    <row r="19655" spans="65:67" ht="18.75" customHeight="1">
      <c r="BM19655" s="1025"/>
      <c r="BO19655" s="43"/>
    </row>
    <row r="19656" spans="65:67" ht="18.75" customHeight="1">
      <c r="BM19656" s="1025"/>
      <c r="BO19656" s="43"/>
    </row>
    <row r="19657" spans="65:67" ht="18.75" customHeight="1">
      <c r="BM19657" s="1025"/>
      <c r="BO19657" s="43"/>
    </row>
    <row r="19658" spans="65:67" ht="18.75" customHeight="1">
      <c r="BM19658" s="1025"/>
      <c r="BO19658" s="43"/>
    </row>
    <row r="19659" spans="65:67" ht="18.75" customHeight="1">
      <c r="BM19659" s="1025"/>
      <c r="BO19659" s="43"/>
    </row>
    <row r="19660" spans="65:67" ht="18.75" customHeight="1">
      <c r="BM19660" s="1025"/>
      <c r="BO19660" s="43"/>
    </row>
    <row r="19661" spans="65:67" ht="18.75" customHeight="1">
      <c r="BM19661" s="1025"/>
      <c r="BO19661" s="43"/>
    </row>
    <row r="19662" spans="65:67" ht="18.75" customHeight="1">
      <c r="BM19662" s="1025"/>
      <c r="BO19662" s="43"/>
    </row>
    <row r="19663" spans="65:67" ht="18.75" customHeight="1">
      <c r="BM19663" s="1025"/>
      <c r="BO19663" s="43"/>
    </row>
    <row r="19664" spans="65:67" ht="18.75" customHeight="1">
      <c r="BM19664" s="1025"/>
      <c r="BO19664" s="43"/>
    </row>
    <row r="19665" spans="65:67" ht="18.75" customHeight="1">
      <c r="BM19665" s="1025"/>
      <c r="BO19665" s="43"/>
    </row>
    <row r="19666" spans="65:67" ht="18.75" customHeight="1">
      <c r="BM19666" s="1025"/>
      <c r="BO19666" s="43"/>
    </row>
    <row r="19667" spans="65:67" ht="18.75" customHeight="1">
      <c r="BM19667" s="1025"/>
      <c r="BO19667" s="43"/>
    </row>
    <row r="19668" spans="65:67" ht="18.75" customHeight="1">
      <c r="BM19668" s="1025"/>
      <c r="BO19668" s="43"/>
    </row>
    <row r="19669" spans="65:67" ht="18.75" customHeight="1">
      <c r="BM19669" s="1025"/>
      <c r="BO19669" s="43"/>
    </row>
    <row r="19670" spans="65:67" ht="18.75" customHeight="1">
      <c r="BM19670" s="1025"/>
      <c r="BO19670" s="43"/>
    </row>
    <row r="19671" spans="65:67" ht="18.75" customHeight="1">
      <c r="BM19671" s="1025"/>
      <c r="BO19671" s="43"/>
    </row>
    <row r="19672" spans="65:67" ht="18.75" customHeight="1">
      <c r="BM19672" s="1025"/>
      <c r="BO19672" s="43"/>
    </row>
    <row r="19673" spans="65:67" ht="18.75" customHeight="1">
      <c r="BM19673" s="1025"/>
      <c r="BO19673" s="43"/>
    </row>
    <row r="19674" spans="65:67" ht="18.75" customHeight="1">
      <c r="BM19674" s="1025"/>
      <c r="BO19674" s="43"/>
    </row>
    <row r="19675" spans="65:67" ht="18.75" customHeight="1">
      <c r="BM19675" s="1025"/>
      <c r="BO19675" s="43"/>
    </row>
    <row r="19676" spans="65:67" ht="18.75" customHeight="1">
      <c r="BM19676" s="1025"/>
      <c r="BO19676" s="43"/>
    </row>
    <row r="19677" spans="65:67" ht="18.75" customHeight="1">
      <c r="BM19677" s="1025"/>
      <c r="BO19677" s="43"/>
    </row>
    <row r="19678" spans="65:67" ht="18.75" customHeight="1">
      <c r="BM19678" s="1025"/>
      <c r="BO19678" s="43"/>
    </row>
    <row r="19679" spans="65:67" ht="18.75" customHeight="1">
      <c r="BM19679" s="1025"/>
      <c r="BO19679" s="43"/>
    </row>
    <row r="19680" spans="65:67" ht="18.75" customHeight="1">
      <c r="BM19680" s="1025"/>
      <c r="BO19680" s="43"/>
    </row>
    <row r="19681" spans="65:67" ht="18.75" customHeight="1">
      <c r="BM19681" s="1025"/>
      <c r="BO19681" s="43"/>
    </row>
    <row r="19682" spans="65:67" ht="18.75" customHeight="1">
      <c r="BM19682" s="1025"/>
      <c r="BO19682" s="43"/>
    </row>
    <row r="19683" spans="65:67" ht="18.75" customHeight="1">
      <c r="BM19683" s="1025"/>
      <c r="BO19683" s="43"/>
    </row>
    <row r="19684" spans="65:67" ht="18.75" customHeight="1">
      <c r="BM19684" s="1025"/>
      <c r="BO19684" s="43"/>
    </row>
    <row r="19685" spans="65:67" ht="18.75" customHeight="1">
      <c r="BM19685" s="1025"/>
      <c r="BO19685" s="43"/>
    </row>
    <row r="19686" spans="65:67" ht="18.75" customHeight="1">
      <c r="BM19686" s="1025"/>
      <c r="BO19686" s="43"/>
    </row>
    <row r="19687" spans="65:67" ht="18.75" customHeight="1">
      <c r="BM19687" s="1025"/>
      <c r="BO19687" s="43"/>
    </row>
    <row r="19688" spans="65:67" ht="18.75" customHeight="1">
      <c r="BM19688" s="1025"/>
      <c r="BO19688" s="43"/>
    </row>
    <row r="19689" spans="65:67" ht="18.75" customHeight="1">
      <c r="BM19689" s="1025"/>
      <c r="BO19689" s="43"/>
    </row>
    <row r="19690" spans="65:67" ht="18.75" customHeight="1">
      <c r="BM19690" s="1025"/>
      <c r="BO19690" s="43"/>
    </row>
    <row r="19691" spans="65:67" ht="18.75" customHeight="1">
      <c r="BM19691" s="1025"/>
      <c r="BO19691" s="43"/>
    </row>
    <row r="19692" spans="65:67" ht="18.75" customHeight="1">
      <c r="BM19692" s="1025"/>
      <c r="BO19692" s="43"/>
    </row>
    <row r="19693" spans="65:67" ht="18.75" customHeight="1">
      <c r="BM19693" s="1025"/>
      <c r="BO19693" s="43"/>
    </row>
    <row r="19694" spans="65:67" ht="18.75" customHeight="1">
      <c r="BM19694" s="1025"/>
      <c r="BO19694" s="43"/>
    </row>
    <row r="19695" spans="65:67" ht="18.75" customHeight="1">
      <c r="BM19695" s="1025"/>
      <c r="BO19695" s="43"/>
    </row>
    <row r="19696" spans="65:67" ht="18.75" customHeight="1">
      <c r="BM19696" s="1025"/>
      <c r="BO19696" s="43"/>
    </row>
    <row r="19697" spans="65:67" ht="18.75" customHeight="1">
      <c r="BM19697" s="1025"/>
      <c r="BO19697" s="43"/>
    </row>
    <row r="19698" spans="65:67" ht="18.75" customHeight="1">
      <c r="BM19698" s="1025"/>
      <c r="BO19698" s="43"/>
    </row>
    <row r="19699" spans="65:67" ht="18.75" customHeight="1">
      <c r="BM19699" s="1025"/>
      <c r="BO19699" s="43"/>
    </row>
    <row r="19700" spans="65:67" ht="18.75" customHeight="1">
      <c r="BM19700" s="1025"/>
      <c r="BO19700" s="43"/>
    </row>
    <row r="19701" spans="65:67" ht="18.75" customHeight="1">
      <c r="BM19701" s="1025"/>
      <c r="BO19701" s="43"/>
    </row>
    <row r="19702" spans="65:67" ht="18.75" customHeight="1">
      <c r="BM19702" s="1025"/>
      <c r="BO19702" s="43"/>
    </row>
    <row r="19703" spans="65:67" ht="18.75" customHeight="1">
      <c r="BM19703" s="1025"/>
      <c r="BO19703" s="43"/>
    </row>
    <row r="19704" spans="65:67" ht="18.75" customHeight="1">
      <c r="BM19704" s="1025"/>
      <c r="BO19704" s="43"/>
    </row>
    <row r="19705" spans="65:67" ht="18.75" customHeight="1">
      <c r="BM19705" s="1025"/>
      <c r="BO19705" s="43"/>
    </row>
    <row r="19706" spans="65:67" ht="18.75" customHeight="1">
      <c r="BM19706" s="1025"/>
      <c r="BO19706" s="43"/>
    </row>
    <row r="19707" spans="65:67" ht="18.75" customHeight="1">
      <c r="BM19707" s="1025"/>
      <c r="BO19707" s="43"/>
    </row>
    <row r="19708" spans="65:67" ht="18.75" customHeight="1">
      <c r="BM19708" s="1025"/>
      <c r="BO19708" s="43"/>
    </row>
    <row r="19709" spans="65:67" ht="18.75" customHeight="1">
      <c r="BM19709" s="1025"/>
      <c r="BO19709" s="43"/>
    </row>
    <row r="19710" spans="65:67" ht="18.75" customHeight="1">
      <c r="BM19710" s="1025"/>
      <c r="BO19710" s="43"/>
    </row>
    <row r="19711" spans="65:67" ht="18.75" customHeight="1">
      <c r="BM19711" s="1025"/>
      <c r="BO19711" s="43"/>
    </row>
    <row r="19712" spans="65:67" ht="18.75" customHeight="1">
      <c r="BM19712" s="1025"/>
      <c r="BO19712" s="43"/>
    </row>
    <row r="19713" spans="65:67" ht="18.75" customHeight="1">
      <c r="BM19713" s="1025"/>
      <c r="BO19713" s="43"/>
    </row>
    <row r="19714" spans="65:67" ht="18.75" customHeight="1">
      <c r="BM19714" s="1025"/>
      <c r="BO19714" s="43"/>
    </row>
    <row r="19715" spans="65:67" ht="18.75" customHeight="1">
      <c r="BM19715" s="1025"/>
      <c r="BO19715" s="43"/>
    </row>
    <row r="19716" spans="65:67" ht="18.75" customHeight="1">
      <c r="BM19716" s="1025"/>
      <c r="BO19716" s="43"/>
    </row>
    <row r="19717" spans="65:67" ht="18.75" customHeight="1">
      <c r="BM19717" s="1025"/>
      <c r="BO19717" s="43"/>
    </row>
    <row r="19718" spans="65:67" ht="18.75" customHeight="1">
      <c r="BM19718" s="1025"/>
      <c r="BO19718" s="43"/>
    </row>
    <row r="19719" spans="65:67" ht="18.75" customHeight="1">
      <c r="BM19719" s="1025"/>
      <c r="BO19719" s="43"/>
    </row>
    <row r="19720" spans="65:67" ht="18.75" customHeight="1">
      <c r="BM19720" s="1025"/>
      <c r="BO19720" s="43"/>
    </row>
    <row r="19721" spans="65:67" ht="18.75" customHeight="1">
      <c r="BM19721" s="1025"/>
      <c r="BO19721" s="43"/>
    </row>
    <row r="19722" spans="65:67" ht="18.75" customHeight="1">
      <c r="BM19722" s="1025"/>
      <c r="BO19722" s="43"/>
    </row>
    <row r="19723" spans="65:67" ht="18.75" customHeight="1">
      <c r="BM19723" s="1025"/>
      <c r="BO19723" s="43"/>
    </row>
    <row r="19724" spans="65:67" ht="18.75" customHeight="1">
      <c r="BM19724" s="1025"/>
      <c r="BO19724" s="43"/>
    </row>
    <row r="19725" spans="65:67" ht="18.75" customHeight="1">
      <c r="BM19725" s="1025"/>
      <c r="BO19725" s="43"/>
    </row>
    <row r="19726" spans="65:67" ht="18.75" customHeight="1">
      <c r="BM19726" s="1025"/>
      <c r="BO19726" s="43"/>
    </row>
    <row r="19727" spans="65:67" ht="18.75" customHeight="1">
      <c r="BM19727" s="1025"/>
      <c r="BO19727" s="43"/>
    </row>
    <row r="19728" spans="65:67" ht="18.75" customHeight="1">
      <c r="BM19728" s="1025"/>
      <c r="BO19728" s="43"/>
    </row>
    <row r="19729" spans="65:67" ht="18.75" customHeight="1">
      <c r="BM19729" s="1025"/>
      <c r="BO19729" s="43"/>
    </row>
    <row r="19730" spans="65:67" ht="18.75" customHeight="1">
      <c r="BM19730" s="1025"/>
      <c r="BO19730" s="43"/>
    </row>
    <row r="19731" spans="65:67" ht="18.75" customHeight="1">
      <c r="BM19731" s="1025"/>
      <c r="BO19731" s="43"/>
    </row>
    <row r="19732" spans="65:67" ht="18.75" customHeight="1">
      <c r="BM19732" s="1025"/>
      <c r="BO19732" s="43"/>
    </row>
    <row r="19733" spans="65:67" ht="18.75" customHeight="1">
      <c r="BM19733" s="1025"/>
      <c r="BO19733" s="43"/>
    </row>
    <row r="19734" spans="65:67" ht="18.75" customHeight="1">
      <c r="BM19734" s="1025"/>
      <c r="BO19734" s="43"/>
    </row>
    <row r="19735" spans="65:67" ht="18.75" customHeight="1">
      <c r="BM19735" s="1025"/>
      <c r="BO19735" s="43"/>
    </row>
    <row r="19736" spans="65:67" ht="18.75" customHeight="1">
      <c r="BM19736" s="1025"/>
      <c r="BO19736" s="43"/>
    </row>
    <row r="19737" spans="65:67" ht="18.75" customHeight="1">
      <c r="BM19737" s="1025"/>
      <c r="BO19737" s="43"/>
    </row>
    <row r="19738" spans="65:67" ht="18.75" customHeight="1">
      <c r="BM19738" s="1025"/>
      <c r="BO19738" s="43"/>
    </row>
    <row r="19739" spans="65:67" ht="18.75" customHeight="1">
      <c r="BM19739" s="1025"/>
      <c r="BO19739" s="43"/>
    </row>
    <row r="19740" spans="65:67" ht="18.75" customHeight="1">
      <c r="BM19740" s="1025"/>
      <c r="BO19740" s="43"/>
    </row>
    <row r="19741" spans="65:67" ht="18.75" customHeight="1">
      <c r="BM19741" s="1025"/>
      <c r="BO19741" s="43"/>
    </row>
    <row r="19742" spans="65:67" ht="18.75" customHeight="1">
      <c r="BM19742" s="1025"/>
      <c r="BO19742" s="43"/>
    </row>
    <row r="19743" spans="65:67" ht="18.75" customHeight="1">
      <c r="BM19743" s="1025"/>
      <c r="BO19743" s="43"/>
    </row>
    <row r="19744" spans="65:67" ht="18.75" customHeight="1">
      <c r="BM19744" s="1025"/>
      <c r="BO19744" s="43"/>
    </row>
    <row r="19745" spans="65:67" ht="18.75" customHeight="1">
      <c r="BM19745" s="1025"/>
      <c r="BO19745" s="43"/>
    </row>
    <row r="19746" spans="65:67" ht="18.75" customHeight="1">
      <c r="BM19746" s="1025"/>
      <c r="BO19746" s="43"/>
    </row>
    <row r="19747" spans="65:67" ht="18.75" customHeight="1">
      <c r="BM19747" s="1025"/>
      <c r="BO19747" s="43"/>
    </row>
    <row r="19748" spans="65:67" ht="18.75" customHeight="1">
      <c r="BM19748" s="1025"/>
      <c r="BO19748" s="43"/>
    </row>
    <row r="19749" spans="65:67" ht="18.75" customHeight="1">
      <c r="BM19749" s="1025"/>
      <c r="BO19749" s="43"/>
    </row>
    <row r="19750" spans="65:67" ht="18.75" customHeight="1">
      <c r="BM19750" s="1025"/>
      <c r="BO19750" s="43"/>
    </row>
    <row r="19751" spans="65:67" ht="18.75" customHeight="1">
      <c r="BM19751" s="1025"/>
      <c r="BO19751" s="43"/>
    </row>
    <row r="19752" spans="65:67" ht="18.75" customHeight="1">
      <c r="BM19752" s="1025"/>
      <c r="BO19752" s="43"/>
    </row>
    <row r="19753" spans="65:67" ht="18.75" customHeight="1">
      <c r="BM19753" s="1025"/>
      <c r="BO19753" s="43"/>
    </row>
    <row r="19754" spans="65:67" ht="18.75" customHeight="1">
      <c r="BM19754" s="1025"/>
      <c r="BO19754" s="43"/>
    </row>
    <row r="19755" spans="65:67" ht="18.75" customHeight="1">
      <c r="BM19755" s="1025"/>
      <c r="BO19755" s="43"/>
    </row>
    <row r="19756" spans="65:67" ht="18.75" customHeight="1">
      <c r="BM19756" s="1025"/>
      <c r="BO19756" s="43"/>
    </row>
    <row r="19757" spans="65:67" ht="18.75" customHeight="1">
      <c r="BM19757" s="1025"/>
      <c r="BO19757" s="43"/>
    </row>
    <row r="19758" spans="65:67" ht="18.75" customHeight="1">
      <c r="BM19758" s="1025"/>
      <c r="BO19758" s="43"/>
    </row>
    <row r="19759" spans="65:67" ht="18.75" customHeight="1">
      <c r="BM19759" s="1025"/>
      <c r="BO19759" s="43"/>
    </row>
    <row r="19760" spans="65:67" ht="18.75" customHeight="1">
      <c r="BM19760" s="1025"/>
      <c r="BO19760" s="43"/>
    </row>
    <row r="19761" spans="65:67" ht="18.75" customHeight="1">
      <c r="BM19761" s="1025"/>
      <c r="BO19761" s="43"/>
    </row>
    <row r="19762" spans="65:67" ht="18.75" customHeight="1">
      <c r="BM19762" s="1025"/>
      <c r="BO19762" s="43"/>
    </row>
    <row r="19763" spans="65:67" ht="18.75" customHeight="1">
      <c r="BM19763" s="1025"/>
      <c r="BO19763" s="43"/>
    </row>
    <row r="19764" spans="65:67" ht="18.75" customHeight="1">
      <c r="BM19764" s="1025"/>
      <c r="BO19764" s="43"/>
    </row>
    <row r="19765" spans="65:67" ht="18.75" customHeight="1">
      <c r="BM19765" s="1025"/>
      <c r="BO19765" s="43"/>
    </row>
    <row r="19766" spans="65:67" ht="18.75" customHeight="1">
      <c r="BM19766" s="1025"/>
      <c r="BO19766" s="43"/>
    </row>
    <row r="19767" spans="65:67" ht="18.75" customHeight="1">
      <c r="BM19767" s="1025"/>
      <c r="BO19767" s="43"/>
    </row>
    <row r="19768" spans="65:67" ht="18.75" customHeight="1">
      <c r="BM19768" s="1025"/>
      <c r="BO19768" s="43"/>
    </row>
    <row r="19769" spans="65:67" ht="18.75" customHeight="1">
      <c r="BM19769" s="1025"/>
      <c r="BO19769" s="43"/>
    </row>
    <row r="19770" spans="65:67" ht="18.75" customHeight="1">
      <c r="BM19770" s="1025"/>
      <c r="BO19770" s="43"/>
    </row>
    <row r="19771" spans="65:67" ht="18.75" customHeight="1">
      <c r="BM19771" s="1025"/>
      <c r="BO19771" s="43"/>
    </row>
    <row r="19772" spans="65:67" ht="18.75" customHeight="1">
      <c r="BM19772" s="1025"/>
      <c r="BO19772" s="43"/>
    </row>
    <row r="19773" spans="65:67" ht="18.75" customHeight="1">
      <c r="BM19773" s="1025"/>
      <c r="BO19773" s="43"/>
    </row>
    <row r="19774" spans="65:67" ht="18.75" customHeight="1">
      <c r="BM19774" s="1025"/>
      <c r="BO19774" s="43"/>
    </row>
    <row r="19775" spans="65:67" ht="18.75" customHeight="1">
      <c r="BM19775" s="1025"/>
      <c r="BO19775" s="43"/>
    </row>
    <row r="19776" spans="65:67" ht="18.75" customHeight="1">
      <c r="BM19776" s="1025"/>
      <c r="BO19776" s="43"/>
    </row>
    <row r="19777" spans="65:67" ht="18.75" customHeight="1">
      <c r="BM19777" s="1025"/>
      <c r="BO19777" s="43"/>
    </row>
    <row r="19778" spans="65:67" ht="18.75" customHeight="1">
      <c r="BM19778" s="1025"/>
      <c r="BO19778" s="43"/>
    </row>
    <row r="19779" spans="65:67" ht="18.75" customHeight="1">
      <c r="BM19779" s="1025"/>
      <c r="BO19779" s="43"/>
    </row>
    <row r="19780" spans="65:67" ht="18.75" customHeight="1">
      <c r="BM19780" s="1025"/>
      <c r="BO19780" s="43"/>
    </row>
    <row r="19781" spans="65:67" ht="18.75" customHeight="1">
      <c r="BM19781" s="1025"/>
      <c r="BO19781" s="43"/>
    </row>
    <row r="19782" spans="65:67" ht="18.75" customHeight="1">
      <c r="BM19782" s="1025"/>
      <c r="BO19782" s="43"/>
    </row>
    <row r="19783" spans="65:67" ht="18.75" customHeight="1">
      <c r="BM19783" s="1025"/>
      <c r="BO19783" s="43"/>
    </row>
    <row r="19784" spans="65:67" ht="18.75" customHeight="1">
      <c r="BM19784" s="1025"/>
      <c r="BO19784" s="43"/>
    </row>
    <row r="19785" spans="65:67" ht="18.75" customHeight="1">
      <c r="BM19785" s="1025"/>
      <c r="BO19785" s="43"/>
    </row>
    <row r="19786" spans="65:67" ht="18.75" customHeight="1">
      <c r="BM19786" s="1025"/>
      <c r="BO19786" s="43"/>
    </row>
    <row r="19787" spans="65:67" ht="18.75" customHeight="1">
      <c r="BM19787" s="1025"/>
      <c r="BO19787" s="43"/>
    </row>
    <row r="19788" spans="65:67" ht="18.75" customHeight="1">
      <c r="BM19788" s="1025"/>
      <c r="BO19788" s="43"/>
    </row>
    <row r="19789" spans="65:67" ht="18.75" customHeight="1">
      <c r="BM19789" s="1025"/>
      <c r="BO19789" s="43"/>
    </row>
    <row r="19790" spans="65:67" ht="18.75" customHeight="1">
      <c r="BM19790" s="1025"/>
      <c r="BO19790" s="43"/>
    </row>
    <row r="19791" spans="65:67" ht="18.75" customHeight="1">
      <c r="BM19791" s="1025"/>
      <c r="BO19791" s="43"/>
    </row>
    <row r="19792" spans="65:67" ht="18.75" customHeight="1">
      <c r="BM19792" s="1025"/>
      <c r="BO19792" s="43"/>
    </row>
    <row r="19793" spans="65:67" ht="18.75" customHeight="1">
      <c r="BM19793" s="1025"/>
      <c r="BO19793" s="43"/>
    </row>
    <row r="19794" spans="65:67" ht="18.75" customHeight="1">
      <c r="BM19794" s="1025"/>
      <c r="BO19794" s="43"/>
    </row>
    <row r="19795" spans="65:67" ht="18.75" customHeight="1">
      <c r="BM19795" s="1025"/>
      <c r="BO19795" s="43"/>
    </row>
    <row r="19796" spans="65:67" ht="18.75" customHeight="1">
      <c r="BM19796" s="1025"/>
      <c r="BO19796" s="43"/>
    </row>
    <row r="19797" spans="65:67" ht="18.75" customHeight="1">
      <c r="BM19797" s="1025"/>
      <c r="BO19797" s="43"/>
    </row>
    <row r="19798" spans="65:67" ht="18.75" customHeight="1">
      <c r="BM19798" s="1025"/>
      <c r="BO19798" s="43"/>
    </row>
    <row r="19799" spans="65:67" ht="18.75" customHeight="1">
      <c r="BM19799" s="1025"/>
      <c r="BO19799" s="43"/>
    </row>
    <row r="19800" spans="65:67" ht="18.75" customHeight="1">
      <c r="BM19800" s="1025"/>
      <c r="BO19800" s="43"/>
    </row>
    <row r="19801" spans="65:67" ht="18.75" customHeight="1">
      <c r="BM19801" s="1025"/>
      <c r="BO19801" s="43"/>
    </row>
    <row r="19802" spans="65:67" ht="18.75" customHeight="1">
      <c r="BM19802" s="1025"/>
      <c r="BO19802" s="43"/>
    </row>
    <row r="19803" spans="65:67" ht="18.75" customHeight="1">
      <c r="BM19803" s="1025"/>
      <c r="BO19803" s="43"/>
    </row>
    <row r="19804" spans="65:67" ht="18.75" customHeight="1">
      <c r="BM19804" s="1025"/>
      <c r="BO19804" s="43"/>
    </row>
    <row r="19805" spans="65:67" ht="18.75" customHeight="1">
      <c r="BM19805" s="1025"/>
      <c r="BO19805" s="43"/>
    </row>
    <row r="19806" spans="65:67" ht="18.75" customHeight="1">
      <c r="BM19806" s="1025"/>
      <c r="BO19806" s="43"/>
    </row>
    <row r="19807" spans="65:67" ht="18.75" customHeight="1">
      <c r="BM19807" s="1025"/>
      <c r="BO19807" s="43"/>
    </row>
    <row r="19808" spans="65:67" ht="18.75" customHeight="1">
      <c r="BM19808" s="1025"/>
      <c r="BO19808" s="43"/>
    </row>
    <row r="19809" spans="65:67" ht="18.75" customHeight="1">
      <c r="BM19809" s="1025"/>
      <c r="BO19809" s="43"/>
    </row>
    <row r="19810" spans="65:67" ht="18.75" customHeight="1">
      <c r="BM19810" s="1025"/>
      <c r="BO19810" s="43"/>
    </row>
    <row r="19811" spans="65:67" ht="18.75" customHeight="1">
      <c r="BM19811" s="1025"/>
      <c r="BO19811" s="43"/>
    </row>
    <row r="19812" spans="65:67" ht="18.75" customHeight="1">
      <c r="BM19812" s="1025"/>
      <c r="BO19812" s="43"/>
    </row>
    <row r="19813" spans="65:67" ht="18.75" customHeight="1">
      <c r="BM19813" s="1025"/>
      <c r="BO19813" s="43"/>
    </row>
    <row r="19814" spans="65:67" ht="18.75" customHeight="1">
      <c r="BM19814" s="1025"/>
      <c r="BO19814" s="43"/>
    </row>
    <row r="19815" spans="65:67" ht="18.75" customHeight="1">
      <c r="BM19815" s="1025"/>
      <c r="BO19815" s="43"/>
    </row>
    <row r="19816" spans="65:67" ht="18.75" customHeight="1">
      <c r="BM19816" s="1025"/>
      <c r="BO19816" s="43"/>
    </row>
    <row r="19817" spans="65:67" ht="18.75" customHeight="1">
      <c r="BM19817" s="1025"/>
      <c r="BO19817" s="43"/>
    </row>
    <row r="19818" spans="65:67" ht="18.75" customHeight="1">
      <c r="BM19818" s="1025"/>
      <c r="BO19818" s="43"/>
    </row>
    <row r="19819" spans="65:67" ht="18.75" customHeight="1">
      <c r="BM19819" s="1025"/>
      <c r="BO19819" s="43"/>
    </row>
    <row r="19820" spans="65:67" ht="18.75" customHeight="1">
      <c r="BM19820" s="1025"/>
      <c r="BO19820" s="43"/>
    </row>
    <row r="19821" spans="65:67" ht="18.75" customHeight="1">
      <c r="BM19821" s="1025"/>
      <c r="BO19821" s="43"/>
    </row>
    <row r="19822" spans="65:67" ht="18.75" customHeight="1">
      <c r="BM19822" s="1025"/>
      <c r="BO19822" s="43"/>
    </row>
    <row r="19823" spans="65:67" ht="18.75" customHeight="1">
      <c r="BM19823" s="1025"/>
      <c r="BO19823" s="43"/>
    </row>
    <row r="19824" spans="65:67" ht="18.75" customHeight="1">
      <c r="BM19824" s="1025"/>
      <c r="BO19824" s="43"/>
    </row>
    <row r="19825" spans="65:67" ht="18.75" customHeight="1">
      <c r="BM19825" s="1025"/>
      <c r="BO19825" s="43"/>
    </row>
    <row r="19826" spans="65:67" ht="18.75" customHeight="1">
      <c r="BM19826" s="1025"/>
      <c r="BO19826" s="43"/>
    </row>
    <row r="19827" spans="65:67" ht="18.75" customHeight="1">
      <c r="BM19827" s="1025"/>
      <c r="BO19827" s="43"/>
    </row>
    <row r="19828" spans="65:67" ht="18.75" customHeight="1">
      <c r="BM19828" s="1025"/>
      <c r="BO19828" s="43"/>
    </row>
    <row r="19829" spans="65:67" ht="18.75" customHeight="1">
      <c r="BM19829" s="1025"/>
      <c r="BO19829" s="43"/>
    </row>
    <row r="19830" spans="65:67" ht="18.75" customHeight="1">
      <c r="BM19830" s="1025"/>
      <c r="BO19830" s="43"/>
    </row>
    <row r="19831" spans="65:67" ht="18.75" customHeight="1">
      <c r="BM19831" s="1025"/>
      <c r="BO19831" s="43"/>
    </row>
    <row r="19832" spans="65:67" ht="18.75" customHeight="1">
      <c r="BM19832" s="1025"/>
      <c r="BO19832" s="43"/>
    </row>
    <row r="19833" spans="65:67" ht="18.75" customHeight="1">
      <c r="BM19833" s="1025"/>
      <c r="BO19833" s="43"/>
    </row>
    <row r="19834" spans="65:67" ht="18.75" customHeight="1">
      <c r="BM19834" s="1025"/>
      <c r="BO19834" s="43"/>
    </row>
    <row r="19835" spans="65:67" ht="18.75" customHeight="1">
      <c r="BM19835" s="1025"/>
      <c r="BO19835" s="43"/>
    </row>
    <row r="19836" spans="65:67" ht="18.75" customHeight="1">
      <c r="BM19836" s="1025"/>
      <c r="BO19836" s="43"/>
    </row>
    <row r="19837" spans="65:67" ht="18.75" customHeight="1">
      <c r="BM19837" s="1025"/>
      <c r="BO19837" s="43"/>
    </row>
    <row r="19838" spans="65:67" ht="18.75" customHeight="1">
      <c r="BM19838" s="1025"/>
      <c r="BO19838" s="43"/>
    </row>
    <row r="19839" spans="65:67" ht="18.75" customHeight="1">
      <c r="BM19839" s="1025"/>
      <c r="BO19839" s="43"/>
    </row>
    <row r="19840" spans="65:67" ht="18.75" customHeight="1">
      <c r="BM19840" s="1025"/>
      <c r="BO19840" s="43"/>
    </row>
    <row r="19841" spans="65:67" ht="18.75" customHeight="1">
      <c r="BM19841" s="1025"/>
      <c r="BO19841" s="43"/>
    </row>
    <row r="19842" spans="65:67" ht="18.75" customHeight="1">
      <c r="BM19842" s="1025"/>
      <c r="BO19842" s="43"/>
    </row>
    <row r="19843" spans="65:67" ht="18.75" customHeight="1">
      <c r="BM19843" s="1025"/>
      <c r="BO19843" s="43"/>
    </row>
    <row r="19844" spans="65:67" ht="18.75" customHeight="1">
      <c r="BM19844" s="1025"/>
      <c r="BO19844" s="43"/>
    </row>
    <row r="19845" spans="65:67" ht="18.75" customHeight="1">
      <c r="BM19845" s="1025"/>
      <c r="BO19845" s="43"/>
    </row>
    <row r="19846" spans="65:67" ht="18.75" customHeight="1">
      <c r="BM19846" s="1025"/>
      <c r="BO19846" s="43"/>
    </row>
    <row r="19847" spans="65:67" ht="18.75" customHeight="1">
      <c r="BM19847" s="1025"/>
      <c r="BO19847" s="43"/>
    </row>
    <row r="19848" spans="65:67" ht="18.75" customHeight="1">
      <c r="BM19848" s="1025"/>
      <c r="BO19848" s="43"/>
    </row>
    <row r="19849" spans="65:67" ht="18.75" customHeight="1">
      <c r="BM19849" s="1025"/>
      <c r="BO19849" s="43"/>
    </row>
    <row r="19850" spans="65:67" ht="18.75" customHeight="1">
      <c r="BM19850" s="1025"/>
      <c r="BO19850" s="43"/>
    </row>
    <row r="19851" spans="65:67" ht="18.75" customHeight="1">
      <c r="BM19851" s="1025"/>
      <c r="BO19851" s="43"/>
    </row>
    <row r="19852" spans="65:67" ht="18.75" customHeight="1">
      <c r="BM19852" s="1025"/>
      <c r="BO19852" s="43"/>
    </row>
    <row r="19853" spans="65:67" ht="18.75" customHeight="1">
      <c r="BM19853" s="1025"/>
      <c r="BO19853" s="43"/>
    </row>
    <row r="19854" spans="65:67" ht="18.75" customHeight="1">
      <c r="BM19854" s="1025"/>
      <c r="BO19854" s="43"/>
    </row>
    <row r="19855" spans="65:67" ht="18.75" customHeight="1">
      <c r="BM19855" s="1025"/>
      <c r="BO19855" s="43"/>
    </row>
    <row r="19856" spans="65:67" ht="18.75" customHeight="1">
      <c r="BM19856" s="1025"/>
      <c r="BO19856" s="43"/>
    </row>
    <row r="19857" spans="65:67" ht="18.75" customHeight="1">
      <c r="BM19857" s="1025"/>
      <c r="BO19857" s="43"/>
    </row>
    <row r="19858" spans="65:67" ht="18.75" customHeight="1">
      <c r="BM19858" s="1025"/>
      <c r="BO19858" s="43"/>
    </row>
    <row r="19859" spans="65:67" ht="18.75" customHeight="1">
      <c r="BM19859" s="1025"/>
      <c r="BO19859" s="43"/>
    </row>
    <row r="19860" spans="65:67" ht="18.75" customHeight="1">
      <c r="BM19860" s="1025"/>
      <c r="BO19860" s="43"/>
    </row>
    <row r="19861" spans="65:67" ht="18.75" customHeight="1">
      <c r="BM19861" s="1025"/>
      <c r="BO19861" s="43"/>
    </row>
    <row r="19862" spans="65:67" ht="18.75" customHeight="1">
      <c r="BM19862" s="1025"/>
      <c r="BO19862" s="43"/>
    </row>
    <row r="19863" spans="65:67" ht="18.75" customHeight="1">
      <c r="BM19863" s="1025"/>
      <c r="BO19863" s="43"/>
    </row>
    <row r="19864" spans="65:67" ht="18.75" customHeight="1">
      <c r="BM19864" s="1025"/>
      <c r="BO19864" s="43"/>
    </row>
    <row r="19865" spans="65:67" ht="18.75" customHeight="1">
      <c r="BM19865" s="1025"/>
      <c r="BO19865" s="43"/>
    </row>
    <row r="19866" spans="65:67" ht="18.75" customHeight="1">
      <c r="BM19866" s="1025"/>
      <c r="BO19866" s="43"/>
    </row>
    <row r="19867" spans="65:67" ht="18.75" customHeight="1">
      <c r="BM19867" s="1025"/>
      <c r="BO19867" s="43"/>
    </row>
    <row r="19868" spans="65:67" ht="18.75" customHeight="1">
      <c r="BM19868" s="1025"/>
      <c r="BO19868" s="43"/>
    </row>
    <row r="19869" spans="65:67" ht="18.75" customHeight="1">
      <c r="BM19869" s="1025"/>
      <c r="BO19869" s="43"/>
    </row>
    <row r="19870" spans="65:67" ht="18.75" customHeight="1">
      <c r="BM19870" s="1025"/>
      <c r="BO19870" s="43"/>
    </row>
    <row r="19871" spans="65:67" ht="18.75" customHeight="1">
      <c r="BM19871" s="1025"/>
      <c r="BO19871" s="43"/>
    </row>
    <row r="19872" spans="65:67" ht="18.75" customHeight="1">
      <c r="BM19872" s="1025"/>
      <c r="BO19872" s="43"/>
    </row>
    <row r="19873" spans="65:67" ht="18.75" customHeight="1">
      <c r="BM19873" s="1025"/>
      <c r="BO19873" s="43"/>
    </row>
    <row r="19874" spans="65:67" ht="18.75" customHeight="1">
      <c r="BM19874" s="1025"/>
      <c r="BO19874" s="43"/>
    </row>
    <row r="19875" spans="65:67" ht="18.75" customHeight="1">
      <c r="BM19875" s="1025"/>
      <c r="BO19875" s="43"/>
    </row>
    <row r="19876" spans="65:67" ht="18.75" customHeight="1">
      <c r="BM19876" s="1025"/>
      <c r="BO19876" s="43"/>
    </row>
    <row r="19877" spans="65:67" ht="18.75" customHeight="1">
      <c r="BM19877" s="1025"/>
      <c r="BO19877" s="43"/>
    </row>
    <row r="19878" spans="65:67" ht="18.75" customHeight="1">
      <c r="BM19878" s="1025"/>
      <c r="BO19878" s="43"/>
    </row>
    <row r="19879" spans="65:67" ht="18.75" customHeight="1">
      <c r="BM19879" s="1025"/>
      <c r="BO19879" s="43"/>
    </row>
    <row r="19880" spans="65:67" ht="18.75" customHeight="1">
      <c r="BM19880" s="1025"/>
      <c r="BO19880" s="43"/>
    </row>
    <row r="19881" spans="65:67" ht="18.75" customHeight="1">
      <c r="BM19881" s="1025"/>
      <c r="BO19881" s="43"/>
    </row>
    <row r="19882" spans="65:67" ht="18.75" customHeight="1">
      <c r="BM19882" s="1025"/>
      <c r="BO19882" s="43"/>
    </row>
    <row r="19883" spans="65:67" ht="18.75" customHeight="1">
      <c r="BM19883" s="1025"/>
      <c r="BO19883" s="43"/>
    </row>
    <row r="19884" spans="65:67" ht="18.75" customHeight="1">
      <c r="BM19884" s="1025"/>
      <c r="BO19884" s="43"/>
    </row>
    <row r="19885" spans="65:67" ht="18.75" customHeight="1">
      <c r="BM19885" s="1025"/>
      <c r="BO19885" s="43"/>
    </row>
    <row r="19886" spans="65:67" ht="18.75" customHeight="1">
      <c r="BM19886" s="1025"/>
      <c r="BO19886" s="43"/>
    </row>
    <row r="19887" spans="65:67" ht="18.75" customHeight="1">
      <c r="BM19887" s="1025"/>
      <c r="BO19887" s="43"/>
    </row>
    <row r="19888" spans="65:67" ht="18.75" customHeight="1">
      <c r="BM19888" s="1025"/>
      <c r="BO19888" s="43"/>
    </row>
    <row r="19889" spans="65:67" ht="18.75" customHeight="1">
      <c r="BM19889" s="1025"/>
      <c r="BO19889" s="43"/>
    </row>
    <row r="19890" spans="65:67" ht="18.75" customHeight="1">
      <c r="BM19890" s="1025"/>
      <c r="BO19890" s="43"/>
    </row>
    <row r="19891" spans="65:67" ht="18.75" customHeight="1">
      <c r="BM19891" s="1025"/>
      <c r="BO19891" s="43"/>
    </row>
    <row r="19892" spans="65:67" ht="18.75" customHeight="1">
      <c r="BM19892" s="1025"/>
      <c r="BO19892" s="43"/>
    </row>
    <row r="19893" spans="65:67" ht="18.75" customHeight="1">
      <c r="BM19893" s="1025"/>
      <c r="BO19893" s="43"/>
    </row>
    <row r="19894" spans="65:67" ht="18.75" customHeight="1">
      <c r="BM19894" s="1025"/>
      <c r="BO19894" s="43"/>
    </row>
    <row r="19895" spans="65:67" ht="18.75" customHeight="1">
      <c r="BM19895" s="1025"/>
      <c r="BO19895" s="43"/>
    </row>
    <row r="19896" spans="65:67" ht="18.75" customHeight="1">
      <c r="BM19896" s="1025"/>
      <c r="BO19896" s="43"/>
    </row>
    <row r="19897" spans="65:67" ht="18.75" customHeight="1">
      <c r="BM19897" s="1025"/>
      <c r="BO19897" s="43"/>
    </row>
    <row r="19898" spans="65:67" ht="18.75" customHeight="1">
      <c r="BM19898" s="1025"/>
      <c r="BO19898" s="43"/>
    </row>
    <row r="19899" spans="65:67" ht="18.75" customHeight="1">
      <c r="BM19899" s="1025"/>
      <c r="BO19899" s="43"/>
    </row>
    <row r="19900" spans="65:67" ht="18.75" customHeight="1">
      <c r="BM19900" s="1025"/>
      <c r="BO19900" s="43"/>
    </row>
    <row r="19901" spans="65:67" ht="18.75" customHeight="1">
      <c r="BM19901" s="1025"/>
      <c r="BO19901" s="43"/>
    </row>
    <row r="19902" spans="65:67" ht="18.75" customHeight="1">
      <c r="BM19902" s="1025"/>
      <c r="BO19902" s="43"/>
    </row>
    <row r="19903" spans="65:67" ht="18.75" customHeight="1">
      <c r="BM19903" s="1025"/>
      <c r="BO19903" s="43"/>
    </row>
    <row r="19904" spans="65:67" ht="18.75" customHeight="1">
      <c r="BM19904" s="1025"/>
      <c r="BO19904" s="43"/>
    </row>
    <row r="19905" spans="65:67" ht="18.75" customHeight="1">
      <c r="BM19905" s="1025"/>
      <c r="BO19905" s="43"/>
    </row>
    <row r="19906" spans="65:67" ht="18.75" customHeight="1">
      <c r="BM19906" s="1025"/>
      <c r="BO19906" s="43"/>
    </row>
    <row r="19907" spans="65:67" ht="18.75" customHeight="1">
      <c r="BM19907" s="1025"/>
      <c r="BO19907" s="43"/>
    </row>
    <row r="19908" spans="65:67" ht="18.75" customHeight="1">
      <c r="BM19908" s="1025"/>
      <c r="BO19908" s="43"/>
    </row>
    <row r="19909" spans="65:67" ht="18.75" customHeight="1">
      <c r="BM19909" s="1025"/>
      <c r="BO19909" s="43"/>
    </row>
    <row r="19910" spans="65:67" ht="18.75" customHeight="1">
      <c r="BM19910" s="1025"/>
      <c r="BO19910" s="43"/>
    </row>
    <row r="19911" spans="65:67" ht="18.75" customHeight="1">
      <c r="BM19911" s="1025"/>
      <c r="BO19911" s="43"/>
    </row>
    <row r="19912" spans="65:67" ht="18.75" customHeight="1">
      <c r="BM19912" s="1025"/>
      <c r="BO19912" s="43"/>
    </row>
    <row r="19913" spans="65:67" ht="18.75" customHeight="1">
      <c r="BM19913" s="1025"/>
      <c r="BO19913" s="43"/>
    </row>
    <row r="19914" spans="65:67" ht="18.75" customHeight="1">
      <c r="BM19914" s="1025"/>
      <c r="BO19914" s="43"/>
    </row>
    <row r="19915" spans="65:67" ht="18.75" customHeight="1">
      <c r="BM19915" s="1025"/>
      <c r="BO19915" s="43"/>
    </row>
    <row r="19916" spans="65:67" ht="18.75" customHeight="1">
      <c r="BM19916" s="1025"/>
      <c r="BO19916" s="43"/>
    </row>
    <row r="19917" spans="65:67" ht="18.75" customHeight="1">
      <c r="BM19917" s="1025"/>
      <c r="BO19917" s="43"/>
    </row>
    <row r="19918" spans="65:67" ht="18.75" customHeight="1">
      <c r="BM19918" s="1025"/>
      <c r="BO19918" s="43"/>
    </row>
    <row r="19919" spans="65:67" ht="18.75" customHeight="1">
      <c r="BM19919" s="1025"/>
      <c r="BO19919" s="43"/>
    </row>
    <row r="19920" spans="65:67" ht="18.75" customHeight="1">
      <c r="BM19920" s="1025"/>
      <c r="BO19920" s="43"/>
    </row>
    <row r="19921" spans="65:67" ht="18.75" customHeight="1">
      <c r="BM19921" s="1025"/>
      <c r="BO19921" s="43"/>
    </row>
    <row r="19922" spans="65:67" ht="18.75" customHeight="1">
      <c r="BM19922" s="1025"/>
      <c r="BO19922" s="43"/>
    </row>
    <row r="19923" spans="65:67" ht="18.75" customHeight="1">
      <c r="BM19923" s="1025"/>
      <c r="BO19923" s="43"/>
    </row>
    <row r="19924" spans="65:67" ht="18.75" customHeight="1">
      <c r="BM19924" s="1025"/>
      <c r="BO19924" s="43"/>
    </row>
    <row r="19925" spans="65:67" ht="18.75" customHeight="1">
      <c r="BM19925" s="1025"/>
      <c r="BO19925" s="43"/>
    </row>
    <row r="19926" spans="65:67" ht="18.75" customHeight="1">
      <c r="BM19926" s="1025"/>
      <c r="BO19926" s="43"/>
    </row>
    <row r="19927" spans="65:67" ht="18.75" customHeight="1">
      <c r="BM19927" s="1025"/>
      <c r="BO19927" s="43"/>
    </row>
    <row r="19928" spans="65:67" ht="18.75" customHeight="1">
      <c r="BM19928" s="1025"/>
      <c r="BO19928" s="43"/>
    </row>
    <row r="19929" spans="65:67" ht="18.75" customHeight="1">
      <c r="BM19929" s="1025"/>
      <c r="BO19929" s="43"/>
    </row>
    <row r="19930" spans="65:67" ht="18.75" customHeight="1">
      <c r="BM19930" s="1025"/>
      <c r="BO19930" s="43"/>
    </row>
    <row r="19931" spans="65:67" ht="18.75" customHeight="1">
      <c r="BM19931" s="1025"/>
      <c r="BO19931" s="43"/>
    </row>
    <row r="19932" spans="65:67" ht="18.75" customHeight="1">
      <c r="BM19932" s="1025"/>
      <c r="BO19932" s="43"/>
    </row>
    <row r="19933" spans="65:67" ht="18.75" customHeight="1">
      <c r="BM19933" s="1025"/>
      <c r="BO19933" s="43"/>
    </row>
    <row r="19934" spans="65:67" ht="18.75" customHeight="1">
      <c r="BM19934" s="1025"/>
      <c r="BO19934" s="43"/>
    </row>
    <row r="19935" spans="65:67" ht="18.75" customHeight="1">
      <c r="BM19935" s="1025"/>
      <c r="BO19935" s="43"/>
    </row>
    <row r="19936" spans="65:67" ht="18.75" customHeight="1">
      <c r="BM19936" s="1025"/>
      <c r="BO19936" s="43"/>
    </row>
    <row r="19937" spans="65:67" ht="18.75" customHeight="1">
      <c r="BM19937" s="1025"/>
      <c r="BO19937" s="43"/>
    </row>
    <row r="19938" spans="65:67" ht="18.75" customHeight="1">
      <c r="BM19938" s="1025"/>
      <c r="BO19938" s="43"/>
    </row>
    <row r="19939" spans="65:67" ht="18.75" customHeight="1">
      <c r="BM19939" s="1025"/>
      <c r="BO19939" s="43"/>
    </row>
    <row r="19940" spans="65:67" ht="18.75" customHeight="1">
      <c r="BM19940" s="1025"/>
      <c r="BO19940" s="43"/>
    </row>
    <row r="19941" spans="65:67" ht="18.75" customHeight="1">
      <c r="BM19941" s="1025"/>
      <c r="BO19941" s="43"/>
    </row>
    <row r="19942" spans="65:67" ht="18.75" customHeight="1">
      <c r="BM19942" s="1025"/>
      <c r="BO19942" s="43"/>
    </row>
    <row r="19943" spans="65:67" ht="18.75" customHeight="1">
      <c r="BM19943" s="1025"/>
      <c r="BO19943" s="43"/>
    </row>
    <row r="19944" spans="65:67" ht="18.75" customHeight="1">
      <c r="BM19944" s="1025"/>
      <c r="BO19944" s="43"/>
    </row>
    <row r="19945" spans="65:67" ht="18.75" customHeight="1">
      <c r="BM19945" s="1025"/>
      <c r="BO19945" s="43"/>
    </row>
    <row r="19946" spans="65:67" ht="18.75" customHeight="1">
      <c r="BM19946" s="1025"/>
      <c r="BO19946" s="43"/>
    </row>
    <row r="19947" spans="65:67" ht="18.75" customHeight="1">
      <c r="BM19947" s="1025"/>
      <c r="BO19947" s="43"/>
    </row>
    <row r="19948" spans="65:67" ht="18.75" customHeight="1">
      <c r="BM19948" s="1025"/>
      <c r="BO19948" s="43"/>
    </row>
    <row r="19949" spans="65:67" ht="18.75" customHeight="1">
      <c r="BM19949" s="1025"/>
      <c r="BO19949" s="43"/>
    </row>
    <row r="19950" spans="65:67" ht="18.75" customHeight="1">
      <c r="BM19950" s="1025"/>
      <c r="BO19950" s="43"/>
    </row>
    <row r="19951" spans="65:67" ht="18.75" customHeight="1">
      <c r="BM19951" s="1025"/>
      <c r="BO19951" s="43"/>
    </row>
    <row r="19952" spans="65:67" ht="18.75" customHeight="1">
      <c r="BM19952" s="1025"/>
      <c r="BO19952" s="43"/>
    </row>
    <row r="19953" spans="65:67" ht="18.75" customHeight="1">
      <c r="BM19953" s="1025"/>
      <c r="BO19953" s="43"/>
    </row>
    <row r="19954" spans="65:67" ht="18.75" customHeight="1">
      <c r="BM19954" s="1025"/>
      <c r="BO19954" s="43"/>
    </row>
    <row r="19955" spans="65:67" ht="18.75" customHeight="1">
      <c r="BM19955" s="1025"/>
      <c r="BO19955" s="43"/>
    </row>
    <row r="19956" spans="65:67" ht="18.75" customHeight="1">
      <c r="BM19956" s="1025"/>
      <c r="BO19956" s="43"/>
    </row>
    <row r="19957" spans="65:67" ht="18.75" customHeight="1">
      <c r="BM19957" s="1025"/>
      <c r="BO19957" s="43"/>
    </row>
    <row r="19958" spans="65:67" ht="18.75" customHeight="1">
      <c r="BM19958" s="1025"/>
      <c r="BO19958" s="43"/>
    </row>
    <row r="19959" spans="65:67" ht="18.75" customHeight="1">
      <c r="BM19959" s="1025"/>
      <c r="BO19959" s="43"/>
    </row>
    <row r="19960" spans="65:67" ht="18.75" customHeight="1">
      <c r="BM19960" s="1025"/>
      <c r="BO19960" s="43"/>
    </row>
    <row r="19961" spans="65:67" ht="18.75" customHeight="1">
      <c r="BM19961" s="1025"/>
      <c r="BO19961" s="43"/>
    </row>
    <row r="19962" spans="65:67" ht="18.75" customHeight="1">
      <c r="BM19962" s="1025"/>
      <c r="BO19962" s="43"/>
    </row>
    <row r="19963" spans="65:67" ht="18.75" customHeight="1">
      <c r="BM19963" s="1025"/>
      <c r="BO19963" s="43"/>
    </row>
    <row r="19964" spans="65:67" ht="18.75" customHeight="1">
      <c r="BM19964" s="1025"/>
      <c r="BO19964" s="43"/>
    </row>
    <row r="19965" spans="65:67" ht="18.75" customHeight="1">
      <c r="BM19965" s="1025"/>
      <c r="BO19965" s="43"/>
    </row>
    <row r="19966" spans="65:67" ht="18.75" customHeight="1">
      <c r="BM19966" s="1025"/>
      <c r="BO19966" s="43"/>
    </row>
    <row r="19967" spans="65:67" ht="18.75" customHeight="1">
      <c r="BM19967" s="1025"/>
      <c r="BO19967" s="43"/>
    </row>
    <row r="19968" spans="65:67" ht="18.75" customHeight="1">
      <c r="BM19968" s="1025"/>
      <c r="BO19968" s="43"/>
    </row>
    <row r="19969" spans="65:67" ht="18.75" customHeight="1">
      <c r="BM19969" s="1025"/>
      <c r="BO19969" s="43"/>
    </row>
    <row r="19970" spans="65:67" ht="18.75" customHeight="1">
      <c r="BM19970" s="1025"/>
      <c r="BO19970" s="43"/>
    </row>
    <row r="19971" spans="65:67" ht="18.75" customHeight="1">
      <c r="BM19971" s="1025"/>
      <c r="BO19971" s="43"/>
    </row>
    <row r="19972" spans="65:67" ht="18.75" customHeight="1">
      <c r="BM19972" s="1025"/>
      <c r="BO19972" s="43"/>
    </row>
    <row r="19973" spans="65:67" ht="18.75" customHeight="1">
      <c r="BM19973" s="1025"/>
      <c r="BO19973" s="43"/>
    </row>
    <row r="19974" spans="65:67" ht="18.75" customHeight="1">
      <c r="BM19974" s="1025"/>
      <c r="BO19974" s="43"/>
    </row>
    <row r="19975" spans="65:67" ht="18.75" customHeight="1">
      <c r="BM19975" s="1025"/>
      <c r="BO19975" s="43"/>
    </row>
    <row r="19976" spans="65:67" ht="18.75" customHeight="1">
      <c r="BM19976" s="1025"/>
      <c r="BO19976" s="43"/>
    </row>
    <row r="19977" spans="65:67" ht="18.75" customHeight="1">
      <c r="BM19977" s="1025"/>
      <c r="BO19977" s="43"/>
    </row>
    <row r="19978" spans="65:67" ht="18.75" customHeight="1">
      <c r="BM19978" s="1025"/>
      <c r="BO19978" s="43"/>
    </row>
    <row r="19979" spans="65:67" ht="18.75" customHeight="1">
      <c r="BM19979" s="1025"/>
      <c r="BO19979" s="43"/>
    </row>
    <row r="19980" spans="65:67" ht="18.75" customHeight="1">
      <c r="BM19980" s="1025"/>
      <c r="BO19980" s="43"/>
    </row>
    <row r="19981" spans="65:67" ht="18.75" customHeight="1">
      <c r="BM19981" s="1025"/>
      <c r="BO19981" s="43"/>
    </row>
    <row r="19982" spans="65:67" ht="18.75" customHeight="1">
      <c r="BM19982" s="1025"/>
      <c r="BO19982" s="43"/>
    </row>
    <row r="19983" spans="65:67" ht="18.75" customHeight="1">
      <c r="BM19983" s="1025"/>
      <c r="BO19983" s="43"/>
    </row>
    <row r="19984" spans="65:67" ht="18.75" customHeight="1">
      <c r="BM19984" s="1025"/>
      <c r="BO19984" s="43"/>
    </row>
    <row r="19985" spans="65:67" ht="18.75" customHeight="1">
      <c r="BM19985" s="1025"/>
      <c r="BO19985" s="43"/>
    </row>
    <row r="19986" spans="65:67" ht="18.75" customHeight="1">
      <c r="BM19986" s="1025"/>
      <c r="BO19986" s="43"/>
    </row>
    <row r="19987" spans="65:67" ht="18.75" customHeight="1">
      <c r="BM19987" s="1025"/>
      <c r="BO19987" s="43"/>
    </row>
    <row r="19988" spans="65:67" ht="18.75" customHeight="1">
      <c r="BM19988" s="1025"/>
      <c r="BO19988" s="43"/>
    </row>
    <row r="19989" spans="65:67" ht="18.75" customHeight="1">
      <c r="BM19989" s="1025"/>
      <c r="BO19989" s="43"/>
    </row>
    <row r="19990" spans="65:67" ht="18.75" customHeight="1">
      <c r="BM19990" s="1025"/>
      <c r="BO19990" s="43"/>
    </row>
    <row r="19991" spans="65:67" ht="18.75" customHeight="1">
      <c r="BM19991" s="1025"/>
      <c r="BO19991" s="43"/>
    </row>
    <row r="19992" spans="65:67" ht="18.75" customHeight="1">
      <c r="BM19992" s="1025"/>
      <c r="BO19992" s="43"/>
    </row>
    <row r="19993" spans="65:67" ht="18.75" customHeight="1">
      <c r="BM19993" s="1025"/>
      <c r="BO19993" s="43"/>
    </row>
    <row r="19994" spans="65:67" ht="18.75" customHeight="1">
      <c r="BM19994" s="1025"/>
      <c r="BO19994" s="43"/>
    </row>
    <row r="19995" spans="65:67" ht="18.75" customHeight="1">
      <c r="BM19995" s="1025"/>
      <c r="BO19995" s="43"/>
    </row>
    <row r="19996" spans="65:67" ht="18.75" customHeight="1">
      <c r="BM19996" s="1025"/>
      <c r="BO19996" s="43"/>
    </row>
    <row r="19997" spans="65:67" ht="18.75" customHeight="1">
      <c r="BM19997" s="1025"/>
      <c r="BO19997" s="43"/>
    </row>
    <row r="19998" spans="65:67" ht="18.75" customHeight="1">
      <c r="BM19998" s="1025"/>
      <c r="BO19998" s="43"/>
    </row>
    <row r="19999" spans="65:67" ht="18.75" customHeight="1">
      <c r="BM19999" s="1025"/>
      <c r="BO19999" s="43"/>
    </row>
    <row r="20000" spans="65:67" ht="18.75" customHeight="1">
      <c r="BM20000" s="1025"/>
      <c r="BO20000" s="43"/>
    </row>
    <row r="20001" spans="65:67" ht="18.75" customHeight="1">
      <c r="BM20001" s="1025"/>
      <c r="BO20001" s="43"/>
    </row>
    <row r="20002" spans="65:67" ht="18.75" customHeight="1">
      <c r="BM20002" s="1025"/>
      <c r="BO20002" s="43"/>
    </row>
    <row r="20003" spans="65:67" ht="18.75" customHeight="1">
      <c r="BM20003" s="1025"/>
      <c r="BO20003" s="43"/>
    </row>
    <row r="20004" spans="65:67" ht="18.75" customHeight="1">
      <c r="BM20004" s="1025"/>
      <c r="BO20004" s="43"/>
    </row>
    <row r="20005" spans="65:67" ht="18.75" customHeight="1">
      <c r="BM20005" s="1025"/>
      <c r="BO20005" s="43"/>
    </row>
    <row r="20006" spans="65:67" ht="18.75" customHeight="1">
      <c r="BM20006" s="1025"/>
      <c r="BO20006" s="43"/>
    </row>
    <row r="20007" spans="65:67" ht="18.75" customHeight="1">
      <c r="BM20007" s="1025"/>
      <c r="BO20007" s="43"/>
    </row>
    <row r="20008" spans="65:67" ht="18.75" customHeight="1">
      <c r="BM20008" s="1025"/>
      <c r="BO20008" s="43"/>
    </row>
    <row r="20009" spans="65:67" ht="18.75" customHeight="1">
      <c r="BM20009" s="1025"/>
      <c r="BO20009" s="43"/>
    </row>
    <row r="20010" spans="65:67" ht="18.75" customHeight="1">
      <c r="BM20010" s="1025"/>
      <c r="BO20010" s="43"/>
    </row>
    <row r="20011" spans="65:67" ht="18.75" customHeight="1">
      <c r="BM20011" s="1025"/>
      <c r="BO20011" s="43"/>
    </row>
    <row r="20012" spans="65:67" ht="18.75" customHeight="1">
      <c r="BM20012" s="1025"/>
      <c r="BO20012" s="43"/>
    </row>
    <row r="20013" spans="65:67" ht="18.75" customHeight="1">
      <c r="BM20013" s="1025"/>
      <c r="BO20013" s="43"/>
    </row>
    <row r="20014" spans="65:67" ht="18.75" customHeight="1">
      <c r="BM20014" s="1025"/>
      <c r="BO20014" s="43"/>
    </row>
    <row r="20015" spans="65:67" ht="18.75" customHeight="1">
      <c r="BM20015" s="1025"/>
      <c r="BO20015" s="43"/>
    </row>
    <row r="20016" spans="65:67" ht="18.75" customHeight="1">
      <c r="BM20016" s="1025"/>
      <c r="BO20016" s="43"/>
    </row>
    <row r="20017" spans="65:67" ht="18.75" customHeight="1">
      <c r="BM20017" s="1025"/>
      <c r="BO20017" s="43"/>
    </row>
    <row r="20018" spans="65:67" ht="18.75" customHeight="1">
      <c r="BM20018" s="1025"/>
      <c r="BO20018" s="43"/>
    </row>
    <row r="20019" spans="65:67" ht="18.75" customHeight="1">
      <c r="BM20019" s="1025"/>
      <c r="BO20019" s="43"/>
    </row>
    <row r="20020" spans="65:67" ht="18.75" customHeight="1">
      <c r="BM20020" s="1025"/>
      <c r="BO20020" s="43"/>
    </row>
    <row r="20021" spans="65:67" ht="18.75" customHeight="1">
      <c r="BM20021" s="1025"/>
      <c r="BO20021" s="43"/>
    </row>
    <row r="20022" spans="65:67" ht="18.75" customHeight="1">
      <c r="BM20022" s="1025"/>
      <c r="BO20022" s="43"/>
    </row>
    <row r="20023" spans="65:67" ht="18.75" customHeight="1">
      <c r="BM20023" s="1025"/>
      <c r="BO20023" s="43"/>
    </row>
    <row r="20024" spans="65:67" ht="18.75" customHeight="1">
      <c r="BM20024" s="1025"/>
      <c r="BO20024" s="43"/>
    </row>
    <row r="20025" spans="65:67" ht="18.75" customHeight="1">
      <c r="BM20025" s="1025"/>
      <c r="BO20025" s="43"/>
    </row>
    <row r="20026" spans="65:67" ht="18.75" customHeight="1">
      <c r="BM20026" s="1025"/>
      <c r="BO20026" s="43"/>
    </row>
    <row r="20027" spans="65:67" ht="18.75" customHeight="1">
      <c r="BM20027" s="1025"/>
      <c r="BO20027" s="43"/>
    </row>
    <row r="20028" spans="65:67" ht="18.75" customHeight="1">
      <c r="BM20028" s="1025"/>
      <c r="BO20028" s="43"/>
    </row>
    <row r="20029" spans="65:67" ht="18.75" customHeight="1">
      <c r="BM20029" s="1025"/>
      <c r="BO20029" s="43"/>
    </row>
    <row r="20030" spans="65:67" ht="18.75" customHeight="1">
      <c r="BM20030" s="1025"/>
      <c r="BO20030" s="43"/>
    </row>
    <row r="20031" spans="65:67" ht="18.75" customHeight="1">
      <c r="BM20031" s="1025"/>
      <c r="BO20031" s="43"/>
    </row>
    <row r="20032" spans="65:67" ht="18.75" customHeight="1">
      <c r="BM20032" s="1025"/>
      <c r="BO20032" s="43"/>
    </row>
    <row r="20033" spans="65:67" ht="18.75" customHeight="1">
      <c r="BM20033" s="1025"/>
      <c r="BO20033" s="43"/>
    </row>
    <row r="20034" spans="65:67" ht="18.75" customHeight="1">
      <c r="BM20034" s="1025"/>
      <c r="BO20034" s="43"/>
    </row>
    <row r="20035" spans="65:67" ht="18.75" customHeight="1">
      <c r="BM20035" s="1025"/>
      <c r="BO20035" s="43"/>
    </row>
    <row r="20036" spans="65:67" ht="18.75" customHeight="1">
      <c r="BM20036" s="1025"/>
      <c r="BO20036" s="43"/>
    </row>
    <row r="20037" spans="65:67" ht="18.75" customHeight="1">
      <c r="BM20037" s="1025"/>
      <c r="BO20037" s="43"/>
    </row>
    <row r="20038" spans="65:67" ht="18.75" customHeight="1">
      <c r="BM20038" s="1025"/>
      <c r="BO20038" s="43"/>
    </row>
    <row r="20039" spans="65:67" ht="18.75" customHeight="1">
      <c r="BM20039" s="1025"/>
      <c r="BO20039" s="43"/>
    </row>
    <row r="20040" spans="65:67" ht="18.75" customHeight="1">
      <c r="BM20040" s="1025"/>
      <c r="BO20040" s="43"/>
    </row>
    <row r="20041" spans="65:67" ht="18.75" customHeight="1">
      <c r="BM20041" s="1025"/>
      <c r="BO20041" s="43"/>
    </row>
    <row r="20042" spans="65:67" ht="18.75" customHeight="1">
      <c r="BM20042" s="1025"/>
      <c r="BO20042" s="43"/>
    </row>
    <row r="20043" spans="65:67" ht="18.75" customHeight="1">
      <c r="BM20043" s="1025"/>
      <c r="BO20043" s="43"/>
    </row>
    <row r="20044" spans="65:67" ht="18.75" customHeight="1">
      <c r="BM20044" s="1025"/>
      <c r="BO20044" s="43"/>
    </row>
    <row r="20045" spans="65:67" ht="18.75" customHeight="1">
      <c r="BM20045" s="1025"/>
      <c r="BO20045" s="43"/>
    </row>
    <row r="20046" spans="65:67" ht="18.75" customHeight="1">
      <c r="BM20046" s="1025"/>
      <c r="BO20046" s="43"/>
    </row>
    <row r="20047" spans="65:67" ht="18.75" customHeight="1">
      <c r="BM20047" s="1025"/>
      <c r="BO20047" s="43"/>
    </row>
    <row r="20048" spans="65:67" ht="18.75" customHeight="1">
      <c r="BM20048" s="1025"/>
      <c r="BO20048" s="43"/>
    </row>
    <row r="20049" spans="65:67" ht="18.75" customHeight="1">
      <c r="BM20049" s="1025"/>
      <c r="BO20049" s="43"/>
    </row>
    <row r="20050" spans="65:67" ht="18.75" customHeight="1">
      <c r="BM20050" s="1025"/>
      <c r="BO20050" s="43"/>
    </row>
    <row r="20051" spans="65:67" ht="18.75" customHeight="1">
      <c r="BM20051" s="1025"/>
      <c r="BO20051" s="43"/>
    </row>
    <row r="20052" spans="65:67" ht="18.75" customHeight="1">
      <c r="BM20052" s="1025"/>
      <c r="BO20052" s="43"/>
    </row>
    <row r="20053" spans="65:67" ht="18.75" customHeight="1">
      <c r="BM20053" s="1025"/>
      <c r="BO20053" s="43"/>
    </row>
    <row r="20054" spans="65:67" ht="18.75" customHeight="1">
      <c r="BM20054" s="1025"/>
      <c r="BO20054" s="43"/>
    </row>
    <row r="20055" spans="65:67" ht="18.75" customHeight="1">
      <c r="BM20055" s="1025"/>
      <c r="BO20055" s="43"/>
    </row>
    <row r="20056" spans="65:67" ht="18.75" customHeight="1">
      <c r="BM20056" s="1025"/>
      <c r="BO20056" s="43"/>
    </row>
    <row r="20057" spans="65:67" ht="18.75" customHeight="1">
      <c r="BM20057" s="1025"/>
      <c r="BO20057" s="43"/>
    </row>
    <row r="20058" spans="65:67" ht="18.75" customHeight="1">
      <c r="BM20058" s="1025"/>
      <c r="BO20058" s="43"/>
    </row>
    <row r="20059" spans="65:67" ht="18.75" customHeight="1">
      <c r="BM20059" s="1025"/>
      <c r="BO20059" s="43"/>
    </row>
    <row r="20060" spans="65:67" ht="18.75" customHeight="1">
      <c r="BM20060" s="1025"/>
      <c r="BO20060" s="43"/>
    </row>
    <row r="20061" spans="65:67" ht="18.75" customHeight="1">
      <c r="BM20061" s="1025"/>
      <c r="BO20061" s="43"/>
    </row>
    <row r="20062" spans="65:67" ht="18.75" customHeight="1">
      <c r="BM20062" s="1025"/>
      <c r="BO20062" s="43"/>
    </row>
    <row r="20063" spans="65:67" ht="18.75" customHeight="1">
      <c r="BM20063" s="1025"/>
      <c r="BO20063" s="43"/>
    </row>
    <row r="20064" spans="65:67" ht="18.75" customHeight="1">
      <c r="BM20064" s="1025"/>
      <c r="BO20064" s="43"/>
    </row>
    <row r="20065" spans="65:67" ht="18.75" customHeight="1">
      <c r="BM20065" s="1025"/>
      <c r="BO20065" s="43"/>
    </row>
    <row r="20066" spans="65:67" ht="18.75" customHeight="1">
      <c r="BM20066" s="1025"/>
      <c r="BO20066" s="43"/>
    </row>
    <row r="20067" spans="65:67" ht="18.75" customHeight="1">
      <c r="BM20067" s="1025"/>
      <c r="BO20067" s="43"/>
    </row>
    <row r="20068" spans="65:67" ht="18.75" customHeight="1">
      <c r="BM20068" s="1025"/>
      <c r="BO20068" s="43"/>
    </row>
    <row r="20069" spans="65:67" ht="18.75" customHeight="1">
      <c r="BM20069" s="1025"/>
      <c r="BO20069" s="43"/>
    </row>
    <row r="20070" spans="65:67" ht="18.75" customHeight="1">
      <c r="BM20070" s="1025"/>
      <c r="BO20070" s="43"/>
    </row>
    <row r="20071" spans="65:67" ht="18.75" customHeight="1">
      <c r="BM20071" s="1025"/>
      <c r="BO20071" s="43"/>
    </row>
    <row r="20072" spans="65:67" ht="18.75" customHeight="1">
      <c r="BM20072" s="1025"/>
      <c r="BO20072" s="43"/>
    </row>
    <row r="20073" spans="65:67" ht="18.75" customHeight="1">
      <c r="BM20073" s="1025"/>
      <c r="BO20073" s="43"/>
    </row>
    <row r="20074" spans="65:67" ht="18.75" customHeight="1">
      <c r="BM20074" s="1025"/>
      <c r="BO20074" s="43"/>
    </row>
    <row r="20075" spans="65:67" ht="18.75" customHeight="1">
      <c r="BM20075" s="1025"/>
      <c r="BO20075" s="43"/>
    </row>
    <row r="20076" spans="65:67" ht="18.75" customHeight="1">
      <c r="BM20076" s="1025"/>
      <c r="BO20076" s="43"/>
    </row>
    <row r="20077" spans="65:67" ht="18.75" customHeight="1">
      <c r="BM20077" s="1025"/>
      <c r="BO20077" s="43"/>
    </row>
    <row r="20078" spans="65:67" ht="18.75" customHeight="1">
      <c r="BM20078" s="1025"/>
      <c r="BO20078" s="43"/>
    </row>
    <row r="20079" spans="65:67" ht="18.75" customHeight="1">
      <c r="BM20079" s="1025"/>
      <c r="BO20079" s="43"/>
    </row>
    <row r="20080" spans="65:67" ht="18.75" customHeight="1">
      <c r="BM20080" s="1025"/>
      <c r="BO20080" s="43"/>
    </row>
    <row r="20081" spans="65:67" ht="18.75" customHeight="1">
      <c r="BM20081" s="1025"/>
      <c r="BO20081" s="43"/>
    </row>
    <row r="20082" spans="65:67" ht="18.75" customHeight="1">
      <c r="BM20082" s="1025"/>
      <c r="BO20082" s="43"/>
    </row>
    <row r="20083" spans="65:67" ht="18.75" customHeight="1">
      <c r="BM20083" s="1025"/>
      <c r="BO20083" s="43"/>
    </row>
    <row r="20084" spans="65:67" ht="18.75" customHeight="1">
      <c r="BM20084" s="1025"/>
      <c r="BO20084" s="43"/>
    </row>
    <row r="20085" spans="65:67" ht="18.75" customHeight="1">
      <c r="BM20085" s="1025"/>
      <c r="BO20085" s="43"/>
    </row>
    <row r="20086" spans="65:67" ht="18.75" customHeight="1">
      <c r="BM20086" s="1025"/>
      <c r="BO20086" s="43"/>
    </row>
    <row r="20087" spans="65:67" ht="18.75" customHeight="1">
      <c r="BM20087" s="1025"/>
      <c r="BO20087" s="43"/>
    </row>
    <row r="20088" spans="65:67" ht="18.75" customHeight="1">
      <c r="BM20088" s="1025"/>
      <c r="BO20088" s="43"/>
    </row>
    <row r="20089" spans="65:67" ht="18.75" customHeight="1">
      <c r="BM20089" s="1025"/>
      <c r="BO20089" s="43"/>
    </row>
    <row r="20090" spans="65:67" ht="18.75" customHeight="1">
      <c r="BM20090" s="1025"/>
      <c r="BO20090" s="43"/>
    </row>
    <row r="20091" spans="65:67" ht="18.75" customHeight="1">
      <c r="BM20091" s="1025"/>
      <c r="BO20091" s="43"/>
    </row>
    <row r="20092" spans="65:67" ht="18.75" customHeight="1">
      <c r="BM20092" s="1025"/>
      <c r="BO20092" s="43"/>
    </row>
    <row r="20093" spans="65:67" ht="18.75" customHeight="1">
      <c r="BM20093" s="1025"/>
      <c r="BO20093" s="43"/>
    </row>
    <row r="20094" spans="65:67" ht="18.75" customHeight="1">
      <c r="BM20094" s="1025"/>
      <c r="BO20094" s="43"/>
    </row>
    <row r="20095" spans="65:67" ht="18.75" customHeight="1">
      <c r="BM20095" s="1025"/>
      <c r="BO20095" s="43"/>
    </row>
    <row r="20096" spans="65:67" ht="18.75" customHeight="1">
      <c r="BM20096" s="1025"/>
      <c r="BO20096" s="43"/>
    </row>
    <row r="20097" spans="65:67" ht="18.75" customHeight="1">
      <c r="BM20097" s="1025"/>
      <c r="BO20097" s="43"/>
    </row>
    <row r="20098" spans="65:67" ht="18.75" customHeight="1">
      <c r="BM20098" s="1025"/>
      <c r="BO20098" s="43"/>
    </row>
    <row r="20099" spans="65:67" ht="18.75" customHeight="1">
      <c r="BM20099" s="1025"/>
      <c r="BO20099" s="43"/>
    </row>
    <row r="20100" spans="65:67" ht="18.75" customHeight="1">
      <c r="BM20100" s="1025"/>
      <c r="BO20100" s="43"/>
    </row>
    <row r="20101" spans="65:67" ht="18.75" customHeight="1">
      <c r="BM20101" s="1025"/>
      <c r="BO20101" s="43"/>
    </row>
    <row r="20102" spans="65:67" ht="18.75" customHeight="1">
      <c r="BM20102" s="1025"/>
      <c r="BO20102" s="43"/>
    </row>
    <row r="20103" spans="65:67" ht="18.75" customHeight="1">
      <c r="BM20103" s="1025"/>
      <c r="BO20103" s="43"/>
    </row>
    <row r="20104" spans="65:67" ht="18.75" customHeight="1">
      <c r="BM20104" s="1025"/>
      <c r="BO20104" s="43"/>
    </row>
    <row r="20105" spans="65:67" ht="18.75" customHeight="1">
      <c r="BM20105" s="1025"/>
      <c r="BO20105" s="43"/>
    </row>
    <row r="20106" spans="65:67" ht="18.75" customHeight="1">
      <c r="BM20106" s="1025"/>
      <c r="BO20106" s="43"/>
    </row>
    <row r="20107" spans="65:67" ht="18.75" customHeight="1">
      <c r="BM20107" s="1025"/>
      <c r="BO20107" s="43"/>
    </row>
    <row r="20108" spans="65:67" ht="18.75" customHeight="1">
      <c r="BM20108" s="1025"/>
      <c r="BO20108" s="43"/>
    </row>
    <row r="20109" spans="65:67" ht="18.75" customHeight="1">
      <c r="BM20109" s="1025"/>
      <c r="BO20109" s="43"/>
    </row>
    <row r="20110" spans="65:67" ht="18.75" customHeight="1">
      <c r="BM20110" s="1025"/>
      <c r="BO20110" s="43"/>
    </row>
    <row r="20111" spans="65:67" ht="18.75" customHeight="1">
      <c r="BM20111" s="1025"/>
      <c r="BO20111" s="43"/>
    </row>
    <row r="20112" spans="65:67" ht="18.75" customHeight="1">
      <c r="BM20112" s="1025"/>
      <c r="BO20112" s="43"/>
    </row>
    <row r="20113" spans="65:67" ht="18.75" customHeight="1">
      <c r="BM20113" s="1025"/>
      <c r="BO20113" s="43"/>
    </row>
    <row r="20114" spans="65:67" ht="18.75" customHeight="1">
      <c r="BM20114" s="1025"/>
      <c r="BO20114" s="43"/>
    </row>
    <row r="20115" spans="65:67" ht="18.75" customHeight="1">
      <c r="BM20115" s="1025"/>
      <c r="BO20115" s="43"/>
    </row>
    <row r="20116" spans="65:67" ht="18.75" customHeight="1">
      <c r="BM20116" s="1025"/>
      <c r="BO20116" s="43"/>
    </row>
    <row r="20117" spans="65:67" ht="18.75" customHeight="1">
      <c r="BM20117" s="1025"/>
      <c r="BO20117" s="43"/>
    </row>
    <row r="20118" spans="65:67" ht="18.75" customHeight="1">
      <c r="BM20118" s="1025"/>
      <c r="BO20118" s="43"/>
    </row>
    <row r="20119" spans="65:67" ht="18.75" customHeight="1">
      <c r="BM20119" s="1025"/>
      <c r="BO20119" s="43"/>
    </row>
    <row r="20120" spans="65:67" ht="18.75" customHeight="1">
      <c r="BM20120" s="1025"/>
      <c r="BO20120" s="43"/>
    </row>
    <row r="20121" spans="65:67" ht="18.75" customHeight="1">
      <c r="BM20121" s="1025"/>
      <c r="BO20121" s="43"/>
    </row>
    <row r="20122" spans="65:67" ht="18.75" customHeight="1">
      <c r="BM20122" s="1025"/>
      <c r="BO20122" s="43"/>
    </row>
    <row r="20123" spans="65:67" ht="18.75" customHeight="1">
      <c r="BM20123" s="1025"/>
      <c r="BO20123" s="43"/>
    </row>
    <row r="20124" spans="65:67" ht="18.75" customHeight="1">
      <c r="BM20124" s="1025"/>
      <c r="BO20124" s="43"/>
    </row>
    <row r="20125" spans="65:67" ht="18.75" customHeight="1">
      <c r="BM20125" s="1025"/>
      <c r="BO20125" s="43"/>
    </row>
    <row r="20126" spans="65:67" ht="18.75" customHeight="1">
      <c r="BM20126" s="1025"/>
      <c r="BO20126" s="43"/>
    </row>
    <row r="20127" spans="65:67" ht="18.75" customHeight="1">
      <c r="BM20127" s="1025"/>
      <c r="BO20127" s="43"/>
    </row>
    <row r="20128" spans="65:67" ht="18.75" customHeight="1">
      <c r="BM20128" s="1025"/>
      <c r="BO20128" s="43"/>
    </row>
    <row r="20129" spans="65:67" ht="18.75" customHeight="1">
      <c r="BM20129" s="1025"/>
      <c r="BO20129" s="43"/>
    </row>
    <row r="20130" spans="65:67" ht="18.75" customHeight="1">
      <c r="BM20130" s="1025"/>
      <c r="BO20130" s="43"/>
    </row>
    <row r="20131" spans="65:67" ht="18.75" customHeight="1">
      <c r="BM20131" s="1025"/>
      <c r="BO20131" s="43"/>
    </row>
    <row r="20132" spans="65:67" ht="18.75" customHeight="1">
      <c r="BM20132" s="1025"/>
      <c r="BO20132" s="43"/>
    </row>
    <row r="20133" spans="65:67" ht="18.75" customHeight="1">
      <c r="BM20133" s="1025"/>
      <c r="BO20133" s="43"/>
    </row>
    <row r="20134" spans="65:67" ht="18.75" customHeight="1">
      <c r="BM20134" s="1025"/>
      <c r="BO20134" s="43"/>
    </row>
    <row r="20135" spans="65:67" ht="18.75" customHeight="1">
      <c r="BM20135" s="1025"/>
      <c r="BO20135" s="43"/>
    </row>
    <row r="20136" spans="65:67" ht="18.75" customHeight="1">
      <c r="BM20136" s="1025"/>
      <c r="BO20136" s="43"/>
    </row>
    <row r="20137" spans="65:67" ht="18.75" customHeight="1">
      <c r="BM20137" s="1025"/>
      <c r="BO20137" s="43"/>
    </row>
    <row r="20138" spans="65:67" ht="18.75" customHeight="1">
      <c r="BM20138" s="1025"/>
      <c r="BO20138" s="43"/>
    </row>
    <row r="20139" spans="65:67" ht="18.75" customHeight="1">
      <c r="BM20139" s="1025"/>
      <c r="BO20139" s="43"/>
    </row>
    <row r="20140" spans="65:67" ht="18.75" customHeight="1">
      <c r="BM20140" s="1025"/>
      <c r="BO20140" s="43"/>
    </row>
    <row r="20141" spans="65:67" ht="18.75" customHeight="1">
      <c r="BM20141" s="1025"/>
      <c r="BO20141" s="43"/>
    </row>
    <row r="20142" spans="65:67" ht="18.75" customHeight="1">
      <c r="BM20142" s="1025"/>
      <c r="BO20142" s="43"/>
    </row>
    <row r="20143" spans="65:67" ht="18.75" customHeight="1">
      <c r="BM20143" s="1025"/>
      <c r="BO20143" s="43"/>
    </row>
    <row r="20144" spans="65:67" ht="18.75" customHeight="1">
      <c r="BM20144" s="1025"/>
      <c r="BO20144" s="43"/>
    </row>
    <row r="20145" spans="65:67" ht="18.75" customHeight="1">
      <c r="BM20145" s="1025"/>
      <c r="BO20145" s="43"/>
    </row>
    <row r="20146" spans="65:67" ht="18.75" customHeight="1">
      <c r="BM20146" s="1025"/>
      <c r="BO20146" s="43"/>
    </row>
    <row r="20147" spans="65:67" ht="18.75" customHeight="1">
      <c r="BM20147" s="1025"/>
      <c r="BO20147" s="43"/>
    </row>
    <row r="20148" spans="65:67" ht="18.75" customHeight="1">
      <c r="BM20148" s="1025"/>
      <c r="BO20148" s="43"/>
    </row>
    <row r="20149" spans="65:67" ht="18.75" customHeight="1">
      <c r="BM20149" s="1025"/>
      <c r="BO20149" s="43"/>
    </row>
    <row r="20150" spans="65:67" ht="18.75" customHeight="1">
      <c r="BM20150" s="1025"/>
      <c r="BO20150" s="43"/>
    </row>
    <row r="20151" spans="65:67" ht="18.75" customHeight="1">
      <c r="BM20151" s="1025"/>
      <c r="BO20151" s="43"/>
    </row>
    <row r="20152" spans="65:67" ht="18.75" customHeight="1">
      <c r="BM20152" s="1025"/>
      <c r="BO20152" s="43"/>
    </row>
    <row r="20153" spans="65:67" ht="18.75" customHeight="1">
      <c r="BM20153" s="1025"/>
      <c r="BO20153" s="43"/>
    </row>
    <row r="20154" spans="65:67" ht="18.75" customHeight="1">
      <c r="BM20154" s="1025"/>
      <c r="BO20154" s="43"/>
    </row>
    <row r="20155" spans="65:67" ht="18.75" customHeight="1">
      <c r="BM20155" s="1025"/>
      <c r="BO20155" s="43"/>
    </row>
    <row r="20156" spans="65:67" ht="18.75" customHeight="1">
      <c r="BM20156" s="1025"/>
      <c r="BO20156" s="43"/>
    </row>
    <row r="20157" spans="65:67" ht="18.75" customHeight="1">
      <c r="BM20157" s="1025"/>
      <c r="BO20157" s="43"/>
    </row>
    <row r="20158" spans="65:67" ht="18.75" customHeight="1">
      <c r="BM20158" s="1025"/>
      <c r="BO20158" s="43"/>
    </row>
    <row r="20159" spans="65:67" ht="18.75" customHeight="1">
      <c r="BM20159" s="1025"/>
      <c r="BO20159" s="43"/>
    </row>
    <row r="20160" spans="65:67" ht="18.75" customHeight="1">
      <c r="BM20160" s="1025"/>
      <c r="BO20160" s="43"/>
    </row>
    <row r="20161" spans="65:67" ht="18.75" customHeight="1">
      <c r="BM20161" s="1025"/>
      <c r="BO20161" s="43"/>
    </row>
    <row r="20162" spans="65:67" ht="18.75" customHeight="1">
      <c r="BM20162" s="1025"/>
      <c r="BO20162" s="43"/>
    </row>
    <row r="20163" spans="65:67" ht="18.75" customHeight="1">
      <c r="BM20163" s="1025"/>
      <c r="BO20163" s="43"/>
    </row>
    <row r="20164" spans="65:67" ht="18.75" customHeight="1">
      <c r="BM20164" s="1025"/>
      <c r="BO20164" s="43"/>
    </row>
    <row r="20165" spans="65:67" ht="18.75" customHeight="1">
      <c r="BM20165" s="1025"/>
      <c r="BO20165" s="43"/>
    </row>
    <row r="20166" spans="65:67" ht="18.75" customHeight="1">
      <c r="BM20166" s="1025"/>
      <c r="BO20166" s="43"/>
    </row>
    <row r="20167" spans="65:67" ht="18.75" customHeight="1">
      <c r="BM20167" s="1025"/>
      <c r="BO20167" s="43"/>
    </row>
    <row r="20168" spans="65:67" ht="18.75" customHeight="1">
      <c r="BM20168" s="1025"/>
      <c r="BO20168" s="43"/>
    </row>
    <row r="20169" spans="65:67" ht="18.75" customHeight="1">
      <c r="BM20169" s="1025"/>
      <c r="BO20169" s="43"/>
    </row>
    <row r="20170" spans="65:67" ht="18.75" customHeight="1">
      <c r="BM20170" s="1025"/>
      <c r="BO20170" s="43"/>
    </row>
    <row r="20171" spans="65:67" ht="18.75" customHeight="1">
      <c r="BM20171" s="1025"/>
      <c r="BO20171" s="43"/>
    </row>
    <row r="20172" spans="65:67" ht="18.75" customHeight="1">
      <c r="BM20172" s="1025"/>
      <c r="BO20172" s="43"/>
    </row>
    <row r="20173" spans="65:67" ht="18.75" customHeight="1">
      <c r="BM20173" s="1025"/>
      <c r="BO20173" s="43"/>
    </row>
    <row r="20174" spans="65:67" ht="18.75" customHeight="1">
      <c r="BM20174" s="1025"/>
      <c r="BO20174" s="43"/>
    </row>
    <row r="20175" spans="65:67" ht="18.75" customHeight="1">
      <c r="BM20175" s="1025"/>
      <c r="BO20175" s="43"/>
    </row>
    <row r="20176" spans="65:67" ht="18.75" customHeight="1">
      <c r="BM20176" s="1025"/>
      <c r="BO20176" s="43"/>
    </row>
    <row r="20177" spans="65:67" ht="18.75" customHeight="1">
      <c r="BM20177" s="1025"/>
      <c r="BO20177" s="43"/>
    </row>
    <row r="20178" spans="65:67" ht="18.75" customHeight="1">
      <c r="BM20178" s="1025"/>
      <c r="BO20178" s="43"/>
    </row>
    <row r="20179" spans="65:67" ht="18.75" customHeight="1">
      <c r="BM20179" s="1025"/>
      <c r="BO20179" s="43"/>
    </row>
    <row r="20180" spans="65:67" ht="18.75" customHeight="1">
      <c r="BM20180" s="1025"/>
      <c r="BO20180" s="43"/>
    </row>
    <row r="20181" spans="65:67" ht="18.75" customHeight="1">
      <c r="BM20181" s="1025"/>
      <c r="BO20181" s="43"/>
    </row>
    <row r="20182" spans="65:67" ht="18.75" customHeight="1">
      <c r="BM20182" s="1025"/>
      <c r="BO20182" s="43"/>
    </row>
    <row r="20183" spans="65:67" ht="18.75" customHeight="1">
      <c r="BM20183" s="1025"/>
      <c r="BO20183" s="43"/>
    </row>
    <row r="20184" spans="65:67" ht="18.75" customHeight="1">
      <c r="BM20184" s="1025"/>
      <c r="BO20184" s="43"/>
    </row>
    <row r="20185" spans="65:67" ht="18.75" customHeight="1">
      <c r="BM20185" s="1025"/>
      <c r="BO20185" s="43"/>
    </row>
    <row r="20186" spans="65:67" ht="18.75" customHeight="1">
      <c r="BM20186" s="1025"/>
      <c r="BO20186" s="43"/>
    </row>
    <row r="20187" spans="65:67" ht="18.75" customHeight="1">
      <c r="BM20187" s="1025"/>
      <c r="BO20187" s="43"/>
    </row>
    <row r="20188" spans="65:67" ht="18.75" customHeight="1">
      <c r="BM20188" s="1025"/>
      <c r="BO20188" s="43"/>
    </row>
    <row r="20189" spans="65:67" ht="18.75" customHeight="1">
      <c r="BM20189" s="1025"/>
      <c r="BO20189" s="43"/>
    </row>
    <row r="20190" spans="65:67" ht="18.75" customHeight="1">
      <c r="BM20190" s="1025"/>
      <c r="BO20190" s="43"/>
    </row>
    <row r="20191" spans="65:67" ht="18.75" customHeight="1">
      <c r="BM20191" s="1025"/>
      <c r="BO20191" s="43"/>
    </row>
    <row r="20192" spans="65:67" ht="18.75" customHeight="1">
      <c r="BM20192" s="1025"/>
      <c r="BO20192" s="43"/>
    </row>
    <row r="20193" spans="65:67" ht="18.75" customHeight="1">
      <c r="BM20193" s="1025"/>
      <c r="BO20193" s="43"/>
    </row>
    <row r="20194" spans="65:67" ht="18.75" customHeight="1">
      <c r="BM20194" s="1025"/>
      <c r="BO20194" s="43"/>
    </row>
    <row r="20195" spans="65:67" ht="18.75" customHeight="1">
      <c r="BM20195" s="1025"/>
      <c r="BO20195" s="43"/>
    </row>
    <row r="20196" spans="65:67" ht="18.75" customHeight="1">
      <c r="BM20196" s="1025"/>
      <c r="BO20196" s="43"/>
    </row>
    <row r="20197" spans="65:67" ht="18.75" customHeight="1">
      <c r="BM20197" s="1025"/>
      <c r="BO20197" s="43"/>
    </row>
    <row r="20198" spans="65:67" ht="18.75" customHeight="1">
      <c r="BM20198" s="1025"/>
      <c r="BO20198" s="43"/>
    </row>
    <row r="20199" spans="65:67" ht="18.75" customHeight="1">
      <c r="BM20199" s="1025"/>
      <c r="BO20199" s="43"/>
    </row>
    <row r="20200" spans="65:67" ht="18.75" customHeight="1">
      <c r="BM20200" s="1025"/>
      <c r="BO20200" s="43"/>
    </row>
    <row r="20201" spans="65:67" ht="18.75" customHeight="1">
      <c r="BM20201" s="1025"/>
      <c r="BO20201" s="43"/>
    </row>
    <row r="20202" spans="65:67" ht="18.75" customHeight="1">
      <c r="BM20202" s="1025"/>
      <c r="BO20202" s="43"/>
    </row>
    <row r="20203" spans="65:67" ht="18.75" customHeight="1">
      <c r="BM20203" s="1025"/>
      <c r="BO20203" s="43"/>
    </row>
    <row r="20204" spans="65:67" ht="18.75" customHeight="1">
      <c r="BM20204" s="1025"/>
      <c r="BO20204" s="43"/>
    </row>
    <row r="20205" spans="65:67" ht="18.75" customHeight="1">
      <c r="BM20205" s="1025"/>
      <c r="BO20205" s="43"/>
    </row>
    <row r="20206" spans="65:67" ht="18.75" customHeight="1">
      <c r="BM20206" s="1025"/>
      <c r="BO20206" s="43"/>
    </row>
    <row r="20207" spans="65:67" ht="18.75" customHeight="1">
      <c r="BM20207" s="1025"/>
      <c r="BO20207" s="43"/>
    </row>
    <row r="20208" spans="65:67" ht="18.75" customHeight="1">
      <c r="BM20208" s="1025"/>
      <c r="BO20208" s="43"/>
    </row>
    <row r="20209" spans="65:67" ht="18.75" customHeight="1">
      <c r="BM20209" s="1025"/>
      <c r="BO20209" s="43"/>
    </row>
    <row r="20210" spans="65:67" ht="18.75" customHeight="1">
      <c r="BM20210" s="1025"/>
      <c r="BO20210" s="43"/>
    </row>
    <row r="20211" spans="65:67" ht="18.75" customHeight="1">
      <c r="BM20211" s="1025"/>
      <c r="BO20211" s="43"/>
    </row>
    <row r="20212" spans="65:67" ht="18.75" customHeight="1">
      <c r="BM20212" s="1025"/>
      <c r="BO20212" s="43"/>
    </row>
    <row r="20213" spans="65:67" ht="18.75" customHeight="1">
      <c r="BM20213" s="1025"/>
      <c r="BO20213" s="43"/>
    </row>
    <row r="20214" spans="65:67" ht="18.75" customHeight="1">
      <c r="BM20214" s="1025"/>
      <c r="BO20214" s="43"/>
    </row>
    <row r="20215" spans="65:67" ht="18.75" customHeight="1">
      <c r="BM20215" s="1025"/>
      <c r="BO20215" s="43"/>
    </row>
    <row r="20216" spans="65:67" ht="18.75" customHeight="1">
      <c r="BM20216" s="1025"/>
      <c r="BO20216" s="43"/>
    </row>
    <row r="20217" spans="65:67" ht="18.75" customHeight="1">
      <c r="BM20217" s="1025"/>
      <c r="BO20217" s="43"/>
    </row>
    <row r="20218" spans="65:67" ht="18.75" customHeight="1">
      <c r="BM20218" s="1025"/>
      <c r="BO20218" s="43"/>
    </row>
    <row r="20219" spans="65:67" ht="18.75" customHeight="1">
      <c r="BM20219" s="1025"/>
      <c r="BO20219" s="43"/>
    </row>
    <row r="20220" spans="65:67" ht="18.75" customHeight="1">
      <c r="BM20220" s="1025"/>
      <c r="BO20220" s="43"/>
    </row>
    <row r="20221" spans="65:67" ht="18.75" customHeight="1">
      <c r="BM20221" s="1025"/>
      <c r="BO20221" s="43"/>
    </row>
    <row r="20222" spans="65:67" ht="18.75" customHeight="1">
      <c r="BM20222" s="1025"/>
      <c r="BO20222" s="43"/>
    </row>
    <row r="20223" spans="65:67" ht="18.75" customHeight="1">
      <c r="BM20223" s="1025"/>
      <c r="BO20223" s="43"/>
    </row>
    <row r="20224" spans="65:67" ht="18.75" customHeight="1">
      <c r="BM20224" s="1025"/>
      <c r="BO20224" s="43"/>
    </row>
    <row r="20225" spans="65:67" ht="18.75" customHeight="1">
      <c r="BM20225" s="1025"/>
      <c r="BO20225" s="43"/>
    </row>
    <row r="20226" spans="65:67" ht="18.75" customHeight="1">
      <c r="BM20226" s="1025"/>
      <c r="BO20226" s="43"/>
    </row>
    <row r="20227" spans="65:67" ht="18.75" customHeight="1">
      <c r="BM20227" s="1025"/>
      <c r="BO20227" s="43"/>
    </row>
    <row r="20228" spans="65:67" ht="18.75" customHeight="1">
      <c r="BM20228" s="1025"/>
      <c r="BO20228" s="43"/>
    </row>
    <row r="20229" spans="65:67" ht="18.75" customHeight="1">
      <c r="BM20229" s="1025"/>
      <c r="BO20229" s="43"/>
    </row>
    <row r="20230" spans="65:67" ht="18.75" customHeight="1">
      <c r="BM20230" s="1025"/>
      <c r="BO20230" s="43"/>
    </row>
    <row r="20231" spans="65:67" ht="18.75" customHeight="1">
      <c r="BM20231" s="1025"/>
      <c r="BO20231" s="43"/>
    </row>
    <row r="20232" spans="65:67" ht="18.75" customHeight="1">
      <c r="BM20232" s="1025"/>
      <c r="BO20232" s="43"/>
    </row>
    <row r="20233" spans="65:67" ht="18.75" customHeight="1">
      <c r="BM20233" s="1025"/>
      <c r="BO20233" s="43"/>
    </row>
    <row r="20234" spans="65:67" ht="18.75" customHeight="1">
      <c r="BM20234" s="1025"/>
      <c r="BO20234" s="43"/>
    </row>
    <row r="20235" spans="65:67" ht="18.75" customHeight="1">
      <c r="BM20235" s="1025"/>
      <c r="BO20235" s="43"/>
    </row>
    <row r="20236" spans="65:67" ht="18.75" customHeight="1">
      <c r="BM20236" s="1025"/>
      <c r="BO20236" s="43"/>
    </row>
    <row r="20237" spans="65:67" ht="18.75" customHeight="1">
      <c r="BM20237" s="1025"/>
      <c r="BO20237" s="43"/>
    </row>
    <row r="20238" spans="65:67" ht="18.75" customHeight="1">
      <c r="BM20238" s="1025"/>
      <c r="BO20238" s="43"/>
    </row>
    <row r="20239" spans="65:67" ht="18.75" customHeight="1">
      <c r="BM20239" s="1025"/>
      <c r="BO20239" s="43"/>
    </row>
    <row r="20240" spans="65:67" ht="18.75" customHeight="1">
      <c r="BM20240" s="1025"/>
      <c r="BO20240" s="43"/>
    </row>
    <row r="20241" spans="65:67" ht="18.75" customHeight="1">
      <c r="BM20241" s="1025"/>
      <c r="BO20241" s="43"/>
    </row>
    <row r="20242" spans="65:67" ht="18.75" customHeight="1">
      <c r="BM20242" s="1025"/>
      <c r="BO20242" s="43"/>
    </row>
    <row r="20243" spans="65:67" ht="18.75" customHeight="1">
      <c r="BM20243" s="1025"/>
      <c r="BO20243" s="43"/>
    </row>
    <row r="20244" spans="65:67" ht="18.75" customHeight="1">
      <c r="BM20244" s="1025"/>
      <c r="BO20244" s="43"/>
    </row>
    <row r="20245" spans="65:67" ht="18.75" customHeight="1">
      <c r="BM20245" s="1025"/>
      <c r="BO20245" s="43"/>
    </row>
    <row r="20246" spans="65:67" ht="18.75" customHeight="1">
      <c r="BM20246" s="1025"/>
      <c r="BO20246" s="43"/>
    </row>
    <row r="20247" spans="65:67" ht="18.75" customHeight="1">
      <c r="BM20247" s="1025"/>
      <c r="BO20247" s="43"/>
    </row>
    <row r="20248" spans="65:67" ht="18.75" customHeight="1">
      <c r="BM20248" s="1025"/>
      <c r="BO20248" s="43"/>
    </row>
    <row r="20249" spans="65:67" ht="18.75" customHeight="1">
      <c r="BM20249" s="1025"/>
      <c r="BO20249" s="43"/>
    </row>
    <row r="20250" spans="65:67" ht="18.75" customHeight="1">
      <c r="BM20250" s="1025"/>
      <c r="BO20250" s="43"/>
    </row>
    <row r="20251" spans="65:67" ht="18.75" customHeight="1">
      <c r="BM20251" s="1025"/>
      <c r="BO20251" s="43"/>
    </row>
    <row r="20252" spans="65:67" ht="18.75" customHeight="1">
      <c r="BM20252" s="1025"/>
      <c r="BO20252" s="43"/>
    </row>
    <row r="20253" spans="65:67" ht="18.75" customHeight="1">
      <c r="BM20253" s="1025"/>
      <c r="BO20253" s="43"/>
    </row>
    <row r="20254" spans="65:67" ht="18.75" customHeight="1">
      <c r="BM20254" s="1025"/>
      <c r="BO20254" s="43"/>
    </row>
    <row r="20255" spans="65:67" ht="18.75" customHeight="1">
      <c r="BM20255" s="1025"/>
      <c r="BO20255" s="43"/>
    </row>
    <row r="20256" spans="65:67" ht="18.75" customHeight="1">
      <c r="BM20256" s="1025"/>
      <c r="BO20256" s="43"/>
    </row>
    <row r="20257" spans="65:67" ht="18.75" customHeight="1">
      <c r="BM20257" s="1025"/>
      <c r="BO20257" s="43"/>
    </row>
    <row r="20258" spans="65:67" ht="18.75" customHeight="1">
      <c r="BM20258" s="1025"/>
      <c r="BO20258" s="43"/>
    </row>
    <row r="20259" spans="65:67" ht="18.75" customHeight="1">
      <c r="BM20259" s="1025"/>
      <c r="BO20259" s="43"/>
    </row>
    <row r="20260" spans="65:67" ht="18.75" customHeight="1">
      <c r="BM20260" s="1025"/>
      <c r="BO20260" s="43"/>
    </row>
    <row r="20261" spans="65:67" ht="18.75" customHeight="1">
      <c r="BM20261" s="1025"/>
      <c r="BO20261" s="43"/>
    </row>
    <row r="20262" spans="65:67" ht="18.75" customHeight="1">
      <c r="BM20262" s="1025"/>
      <c r="BO20262" s="43"/>
    </row>
    <row r="20263" spans="65:67" ht="18.75" customHeight="1">
      <c r="BM20263" s="1025"/>
      <c r="BO20263" s="43"/>
    </row>
    <row r="20264" spans="65:67" ht="18.75" customHeight="1">
      <c r="BM20264" s="1025"/>
      <c r="BO20264" s="43"/>
    </row>
    <row r="20265" spans="65:67" ht="18.75" customHeight="1">
      <c r="BM20265" s="1025"/>
      <c r="BO20265" s="43"/>
    </row>
    <row r="20266" spans="65:67" ht="18.75" customHeight="1">
      <c r="BM20266" s="1025"/>
      <c r="BO20266" s="43"/>
    </row>
    <row r="20267" spans="65:67" ht="18.75" customHeight="1">
      <c r="BM20267" s="1025"/>
      <c r="BO20267" s="43"/>
    </row>
    <row r="20268" spans="65:67" ht="18.75" customHeight="1">
      <c r="BM20268" s="1025"/>
      <c r="BO20268" s="43"/>
    </row>
    <row r="20269" spans="65:67" ht="18.75" customHeight="1">
      <c r="BM20269" s="1025"/>
      <c r="BO20269" s="43"/>
    </row>
    <row r="20270" spans="65:67" ht="18.75" customHeight="1">
      <c r="BM20270" s="1025"/>
      <c r="BO20270" s="43"/>
    </row>
    <row r="20271" spans="65:67" ht="18.75" customHeight="1">
      <c r="BM20271" s="1025"/>
      <c r="BO20271" s="43"/>
    </row>
    <row r="20272" spans="65:67" ht="18.75" customHeight="1">
      <c r="BM20272" s="1025"/>
      <c r="BO20272" s="43"/>
    </row>
    <row r="20273" spans="65:67" ht="18.75" customHeight="1">
      <c r="BM20273" s="1025"/>
      <c r="BO20273" s="43"/>
    </row>
    <row r="20274" spans="65:67" ht="18.75" customHeight="1">
      <c r="BM20274" s="1025"/>
      <c r="BO20274" s="43"/>
    </row>
    <row r="20275" spans="65:67" ht="18.75" customHeight="1">
      <c r="BM20275" s="1025"/>
      <c r="BO20275" s="43"/>
    </row>
    <row r="20276" spans="65:67" ht="18.75" customHeight="1">
      <c r="BM20276" s="1025"/>
      <c r="BO20276" s="43"/>
    </row>
    <row r="20277" spans="65:67" ht="18.75" customHeight="1">
      <c r="BM20277" s="1025"/>
      <c r="BO20277" s="43"/>
    </row>
    <row r="20278" spans="65:67" ht="18.75" customHeight="1">
      <c r="BM20278" s="1025"/>
      <c r="BO20278" s="43"/>
    </row>
    <row r="20279" spans="65:67" ht="18.75" customHeight="1">
      <c r="BM20279" s="1025"/>
      <c r="BO20279" s="43"/>
    </row>
    <row r="20280" spans="65:67" ht="18.75" customHeight="1">
      <c r="BM20280" s="1025"/>
      <c r="BO20280" s="43"/>
    </row>
    <row r="20281" spans="65:67" ht="18.75" customHeight="1">
      <c r="BM20281" s="1025"/>
      <c r="BO20281" s="43"/>
    </row>
    <row r="20282" spans="65:67" ht="18.75" customHeight="1">
      <c r="BM20282" s="1025"/>
      <c r="BO20282" s="43"/>
    </row>
    <row r="20283" spans="65:67" ht="18.75" customHeight="1">
      <c r="BM20283" s="1025"/>
      <c r="BO20283" s="43"/>
    </row>
    <row r="20284" spans="65:67" ht="18.75" customHeight="1">
      <c r="BM20284" s="1025"/>
      <c r="BO20284" s="43"/>
    </row>
    <row r="20285" spans="65:67" ht="18.75" customHeight="1">
      <c r="BM20285" s="1025"/>
      <c r="BO20285" s="43"/>
    </row>
    <row r="20286" spans="65:67" ht="18.75" customHeight="1">
      <c r="BM20286" s="1025"/>
      <c r="BO20286" s="43"/>
    </row>
    <row r="20287" spans="65:67" ht="18.75" customHeight="1">
      <c r="BM20287" s="1025"/>
      <c r="BO20287" s="43"/>
    </row>
    <row r="20288" spans="65:67" ht="18.75" customHeight="1">
      <c r="BM20288" s="1025"/>
      <c r="BO20288" s="43"/>
    </row>
    <row r="20289" spans="65:67" ht="18.75" customHeight="1">
      <c r="BM20289" s="1025"/>
      <c r="BO20289" s="43"/>
    </row>
    <row r="20290" spans="65:67" ht="18.75" customHeight="1">
      <c r="BM20290" s="1025"/>
      <c r="BO20290" s="43"/>
    </row>
    <row r="20291" spans="65:67" ht="18.75" customHeight="1">
      <c r="BM20291" s="1025"/>
      <c r="BO20291" s="43"/>
    </row>
    <row r="20292" spans="65:67" ht="18.75" customHeight="1">
      <c r="BM20292" s="1025"/>
      <c r="BO20292" s="43"/>
    </row>
    <row r="20293" spans="65:67" ht="18.75" customHeight="1">
      <c r="BM20293" s="1025"/>
      <c r="BO20293" s="43"/>
    </row>
    <row r="20294" spans="65:67" ht="18.75" customHeight="1">
      <c r="BM20294" s="1025"/>
      <c r="BO20294" s="43"/>
    </row>
    <row r="20295" spans="65:67" ht="18.75" customHeight="1">
      <c r="BM20295" s="1025"/>
      <c r="BO20295" s="43"/>
    </row>
    <row r="20296" spans="65:67" ht="18.75" customHeight="1">
      <c r="BM20296" s="1025"/>
      <c r="BO20296" s="43"/>
    </row>
    <row r="20297" spans="65:67" ht="18.75" customHeight="1">
      <c r="BM20297" s="1025"/>
      <c r="BO20297" s="43"/>
    </row>
    <row r="20298" spans="65:67" ht="18.75" customHeight="1">
      <c r="BM20298" s="1025"/>
      <c r="BO20298" s="43"/>
    </row>
    <row r="20299" spans="65:67" ht="18.75" customHeight="1">
      <c r="BM20299" s="1025"/>
      <c r="BO20299" s="43"/>
    </row>
    <row r="20300" spans="65:67" ht="18.75" customHeight="1">
      <c r="BM20300" s="1025"/>
      <c r="BO20300" s="43"/>
    </row>
    <row r="20301" spans="65:67" ht="18.75" customHeight="1">
      <c r="BM20301" s="1025"/>
      <c r="BO20301" s="43"/>
    </row>
    <row r="20302" spans="65:67" ht="18.75" customHeight="1">
      <c r="BM20302" s="1025"/>
      <c r="BO20302" s="43"/>
    </row>
    <row r="20303" spans="65:67" ht="18.75" customHeight="1">
      <c r="BM20303" s="1025"/>
      <c r="BO20303" s="43"/>
    </row>
    <row r="20304" spans="65:67" ht="18.75" customHeight="1">
      <c r="BM20304" s="1025"/>
      <c r="BO20304" s="43"/>
    </row>
    <row r="20305" spans="65:67" ht="18.75" customHeight="1">
      <c r="BM20305" s="1025"/>
      <c r="BO20305" s="43"/>
    </row>
    <row r="20306" spans="65:67" ht="18.75" customHeight="1">
      <c r="BM20306" s="1025"/>
      <c r="BO20306" s="43"/>
    </row>
    <row r="20307" spans="65:67" ht="18.75" customHeight="1">
      <c r="BM20307" s="1025"/>
      <c r="BO20307" s="43"/>
    </row>
    <row r="20308" spans="65:67" ht="18.75" customHeight="1">
      <c r="BM20308" s="1025"/>
      <c r="BO20308" s="43"/>
    </row>
    <row r="20309" spans="65:67" ht="18.75" customHeight="1">
      <c r="BM20309" s="1025"/>
      <c r="BO20309" s="43"/>
    </row>
    <row r="20310" spans="65:67" ht="18.75" customHeight="1">
      <c r="BM20310" s="1025"/>
      <c r="BO20310" s="43"/>
    </row>
    <row r="20311" spans="65:67" ht="18.75" customHeight="1">
      <c r="BM20311" s="1025"/>
      <c r="BO20311" s="43"/>
    </row>
    <row r="20312" spans="65:67" ht="18.75" customHeight="1">
      <c r="BM20312" s="1025"/>
      <c r="BO20312" s="43"/>
    </row>
    <row r="20313" spans="65:67" ht="18.75" customHeight="1">
      <c r="BM20313" s="1025"/>
      <c r="BO20313" s="43"/>
    </row>
    <row r="20314" spans="65:67" ht="18.75" customHeight="1">
      <c r="BM20314" s="1025"/>
      <c r="BO20314" s="43"/>
    </row>
    <row r="20315" spans="65:67" ht="18.75" customHeight="1">
      <c r="BM20315" s="1025"/>
      <c r="BO20315" s="43"/>
    </row>
    <row r="20316" spans="65:67" ht="18.75" customHeight="1">
      <c r="BM20316" s="1025"/>
      <c r="BO20316" s="43"/>
    </row>
    <row r="20317" spans="65:67" ht="18.75" customHeight="1">
      <c r="BM20317" s="1025"/>
      <c r="BO20317" s="43"/>
    </row>
    <row r="20318" spans="65:67" ht="18.75" customHeight="1">
      <c r="BM20318" s="1025"/>
      <c r="BO20318" s="43"/>
    </row>
    <row r="20319" spans="65:67" ht="18.75" customHeight="1">
      <c r="BM20319" s="1025"/>
      <c r="BO20319" s="43"/>
    </row>
    <row r="20320" spans="65:67" ht="18.75" customHeight="1">
      <c r="BM20320" s="1025"/>
      <c r="BO20320" s="43"/>
    </row>
    <row r="20321" spans="65:67" ht="18.75" customHeight="1">
      <c r="BM20321" s="1025"/>
      <c r="BO20321" s="43"/>
    </row>
    <row r="20322" spans="65:67" ht="18.75" customHeight="1">
      <c r="BM20322" s="1025"/>
      <c r="BO20322" s="43"/>
    </row>
    <row r="20323" spans="65:67" ht="18.75" customHeight="1">
      <c r="BM20323" s="1025"/>
      <c r="BO20323" s="43"/>
    </row>
    <row r="20324" spans="65:67" ht="18.75" customHeight="1">
      <c r="BM20324" s="1025"/>
      <c r="BO20324" s="43"/>
    </row>
    <row r="20325" spans="65:67" ht="18.75" customHeight="1">
      <c r="BM20325" s="1025"/>
      <c r="BO20325" s="43"/>
    </row>
    <row r="20326" spans="65:67" ht="18.75" customHeight="1">
      <c r="BM20326" s="1025"/>
      <c r="BO20326" s="43"/>
    </row>
    <row r="20327" spans="65:67" ht="18.75" customHeight="1">
      <c r="BM20327" s="1025"/>
      <c r="BO20327" s="43"/>
    </row>
    <row r="20328" spans="65:67" ht="18.75" customHeight="1">
      <c r="BM20328" s="1025"/>
      <c r="BO20328" s="43"/>
    </row>
    <row r="20329" spans="65:67" ht="18.75" customHeight="1">
      <c r="BM20329" s="1025"/>
      <c r="BO20329" s="43"/>
    </row>
    <row r="20330" spans="65:67" ht="18.75" customHeight="1">
      <c r="BM20330" s="1025"/>
      <c r="BO20330" s="43"/>
    </row>
    <row r="20331" spans="65:67" ht="18.75" customHeight="1">
      <c r="BM20331" s="1025"/>
      <c r="BO20331" s="43"/>
    </row>
    <row r="20332" spans="65:67" ht="18.75" customHeight="1">
      <c r="BM20332" s="1025"/>
      <c r="BO20332" s="43"/>
    </row>
    <row r="20333" spans="65:67" ht="18.75" customHeight="1">
      <c r="BM20333" s="1025"/>
      <c r="BO20333" s="43"/>
    </row>
    <row r="20334" spans="65:67" ht="18.75" customHeight="1">
      <c r="BM20334" s="1025"/>
      <c r="BO20334" s="43"/>
    </row>
    <row r="20335" spans="65:67" ht="18.75" customHeight="1">
      <c r="BM20335" s="1025"/>
      <c r="BO20335" s="43"/>
    </row>
    <row r="20336" spans="65:67" ht="18.75" customHeight="1">
      <c r="BM20336" s="1025"/>
      <c r="BO20336" s="43"/>
    </row>
    <row r="20337" spans="65:67" ht="18.75" customHeight="1">
      <c r="BM20337" s="1025"/>
      <c r="BO20337" s="43"/>
    </row>
    <row r="20338" spans="65:67" ht="18.75" customHeight="1">
      <c r="BM20338" s="1025"/>
      <c r="BO20338" s="43"/>
    </row>
    <row r="20339" spans="65:67" ht="18.75" customHeight="1">
      <c r="BM20339" s="1025"/>
      <c r="BO20339" s="43"/>
    </row>
    <row r="20340" spans="65:67" ht="18.75" customHeight="1">
      <c r="BM20340" s="1025"/>
      <c r="BO20340" s="43"/>
    </row>
    <row r="20341" spans="65:67" ht="18.75" customHeight="1">
      <c r="BM20341" s="1025"/>
      <c r="BO20341" s="43"/>
    </row>
    <row r="20342" spans="65:67" ht="18.75" customHeight="1">
      <c r="BM20342" s="1025"/>
      <c r="BO20342" s="43"/>
    </row>
    <row r="20343" spans="65:67" ht="18.75" customHeight="1">
      <c r="BM20343" s="1025"/>
      <c r="BO20343" s="43"/>
    </row>
    <row r="20344" spans="65:67" ht="18.75" customHeight="1">
      <c r="BM20344" s="1025"/>
      <c r="BO20344" s="43"/>
    </row>
    <row r="20345" spans="65:67" ht="18.75" customHeight="1">
      <c r="BM20345" s="1025"/>
      <c r="BO20345" s="43"/>
    </row>
    <row r="20346" spans="65:67" ht="18.75" customHeight="1">
      <c r="BM20346" s="1025"/>
      <c r="BO20346" s="43"/>
    </row>
    <row r="20347" spans="65:67" ht="18.75" customHeight="1">
      <c r="BM20347" s="1025"/>
      <c r="BO20347" s="43"/>
    </row>
    <row r="20348" spans="65:67" ht="18.75" customHeight="1">
      <c r="BM20348" s="1025"/>
      <c r="BO20348" s="43"/>
    </row>
    <row r="20349" spans="65:67" ht="18.75" customHeight="1">
      <c r="BM20349" s="1025"/>
      <c r="BO20349" s="43"/>
    </row>
    <row r="20350" spans="65:67" ht="18.75" customHeight="1">
      <c r="BM20350" s="1025"/>
      <c r="BO20350" s="43"/>
    </row>
    <row r="20351" spans="65:67" ht="18.75" customHeight="1">
      <c r="BM20351" s="1025"/>
      <c r="BO20351" s="43"/>
    </row>
    <row r="20352" spans="65:67" ht="18.75" customHeight="1">
      <c r="BM20352" s="1025"/>
      <c r="BO20352" s="43"/>
    </row>
    <row r="20353" spans="65:67" ht="18.75" customHeight="1">
      <c r="BM20353" s="1025"/>
      <c r="BO20353" s="43"/>
    </row>
    <row r="20354" spans="65:67" ht="18.75" customHeight="1">
      <c r="BM20354" s="1025"/>
      <c r="BO20354" s="43"/>
    </row>
    <row r="20355" spans="65:67" ht="18.75" customHeight="1">
      <c r="BM20355" s="1025"/>
      <c r="BO20355" s="43"/>
    </row>
    <row r="20356" spans="65:67" ht="18.75" customHeight="1">
      <c r="BM20356" s="1025"/>
      <c r="BO20356" s="43"/>
    </row>
    <row r="20357" spans="65:67" ht="18.75" customHeight="1">
      <c r="BM20357" s="1025"/>
      <c r="BO20357" s="43"/>
    </row>
    <row r="20358" spans="65:67" ht="18.75" customHeight="1">
      <c r="BM20358" s="1025"/>
      <c r="BO20358" s="43"/>
    </row>
    <row r="20359" spans="65:67" ht="18.75" customHeight="1">
      <c r="BM20359" s="1025"/>
      <c r="BO20359" s="43"/>
    </row>
    <row r="20360" spans="65:67" ht="18.75" customHeight="1">
      <c r="BM20360" s="1025"/>
      <c r="BO20360" s="43"/>
    </row>
    <row r="20361" spans="65:67" ht="18.75" customHeight="1">
      <c r="BM20361" s="1025"/>
      <c r="BO20361" s="43"/>
    </row>
    <row r="20362" spans="65:67" ht="18.75" customHeight="1">
      <c r="BM20362" s="1025"/>
      <c r="BO20362" s="43"/>
    </row>
    <row r="20363" spans="65:67" ht="18.75" customHeight="1">
      <c r="BM20363" s="1025"/>
      <c r="BO20363" s="43"/>
    </row>
    <row r="20364" spans="65:67" ht="18.75" customHeight="1">
      <c r="BM20364" s="1025"/>
      <c r="BO20364" s="43"/>
    </row>
    <row r="20365" spans="65:67" ht="18.75" customHeight="1">
      <c r="BM20365" s="1025"/>
      <c r="BO20365" s="43"/>
    </row>
    <row r="20366" spans="65:67" ht="18.75" customHeight="1">
      <c r="BM20366" s="1025"/>
      <c r="BO20366" s="43"/>
    </row>
    <row r="20367" spans="65:67" ht="18.75" customHeight="1">
      <c r="BM20367" s="1025"/>
      <c r="BO20367" s="43"/>
    </row>
    <row r="20368" spans="65:67" ht="18.75" customHeight="1">
      <c r="BM20368" s="1025"/>
      <c r="BO20368" s="43"/>
    </row>
    <row r="20369" spans="65:67" ht="18.75" customHeight="1">
      <c r="BM20369" s="1025"/>
      <c r="BO20369" s="43"/>
    </row>
    <row r="20370" spans="65:67" ht="18.75" customHeight="1">
      <c r="BM20370" s="1025"/>
      <c r="BO20370" s="43"/>
    </row>
    <row r="20371" spans="65:67" ht="18.75" customHeight="1">
      <c r="BM20371" s="1025"/>
      <c r="BO20371" s="43"/>
    </row>
    <row r="20372" spans="65:67" ht="18.75" customHeight="1">
      <c r="BM20372" s="1025"/>
      <c r="BO20372" s="43"/>
    </row>
    <row r="20373" spans="65:67" ht="18.75" customHeight="1">
      <c r="BM20373" s="1025"/>
      <c r="BO20373" s="43"/>
    </row>
    <row r="20374" spans="65:67" ht="18.75" customHeight="1">
      <c r="BM20374" s="1025"/>
      <c r="BO20374" s="43"/>
    </row>
    <row r="20375" spans="65:67" ht="18.75" customHeight="1">
      <c r="BM20375" s="1025"/>
      <c r="BO20375" s="43"/>
    </row>
    <row r="20376" spans="65:67" ht="18.75" customHeight="1">
      <c r="BM20376" s="1025"/>
      <c r="BO20376" s="43"/>
    </row>
    <row r="20377" spans="65:67" ht="18.75" customHeight="1">
      <c r="BM20377" s="1025"/>
      <c r="BO20377" s="43"/>
    </row>
    <row r="20378" spans="65:67" ht="18.75" customHeight="1">
      <c r="BM20378" s="1025"/>
      <c r="BO20378" s="43"/>
    </row>
    <row r="20379" spans="65:67" ht="18.75" customHeight="1">
      <c r="BM20379" s="1025"/>
      <c r="BO20379" s="43"/>
    </row>
    <row r="20380" spans="65:67" ht="18.75" customHeight="1">
      <c r="BM20380" s="1025"/>
      <c r="BO20380" s="43"/>
    </row>
    <row r="20381" spans="65:67" ht="18.75" customHeight="1">
      <c r="BM20381" s="1025"/>
      <c r="BO20381" s="43"/>
    </row>
    <row r="20382" spans="65:67" ht="18.75" customHeight="1">
      <c r="BM20382" s="1025"/>
      <c r="BO20382" s="43"/>
    </row>
    <row r="20383" spans="65:67" ht="18.75" customHeight="1">
      <c r="BM20383" s="1025"/>
      <c r="BO20383" s="43"/>
    </row>
    <row r="20384" spans="65:67" ht="18.75" customHeight="1">
      <c r="BM20384" s="1025"/>
      <c r="BO20384" s="43"/>
    </row>
    <row r="20385" spans="65:67" ht="18.75" customHeight="1">
      <c r="BM20385" s="1025"/>
      <c r="BO20385" s="43"/>
    </row>
    <row r="20386" spans="65:67" ht="18.75" customHeight="1">
      <c r="BM20386" s="1025"/>
      <c r="BO20386" s="43"/>
    </row>
    <row r="20387" spans="65:67" ht="18.75" customHeight="1">
      <c r="BM20387" s="1025"/>
      <c r="BO20387" s="43"/>
    </row>
    <row r="20388" spans="65:67" ht="18.75" customHeight="1">
      <c r="BM20388" s="1025"/>
      <c r="BO20388" s="43"/>
    </row>
    <row r="20389" spans="65:67" ht="18.75" customHeight="1">
      <c r="BM20389" s="1025"/>
      <c r="BO20389" s="43"/>
    </row>
    <row r="20390" spans="65:67" ht="18.75" customHeight="1">
      <c r="BM20390" s="1025"/>
      <c r="BO20390" s="43"/>
    </row>
    <row r="20391" spans="65:67" ht="18.75" customHeight="1">
      <c r="BM20391" s="1025"/>
      <c r="BO20391" s="43"/>
    </row>
    <row r="20392" spans="65:67" ht="18.75" customHeight="1">
      <c r="BM20392" s="1025"/>
      <c r="BO20392" s="43"/>
    </row>
    <row r="20393" spans="65:67" ht="18.75" customHeight="1">
      <c r="BM20393" s="1025"/>
      <c r="BO20393" s="43"/>
    </row>
    <row r="20394" spans="65:67" ht="18.75" customHeight="1">
      <c r="BM20394" s="1025"/>
      <c r="BO20394" s="43"/>
    </row>
    <row r="20395" spans="65:67" ht="18.75" customHeight="1">
      <c r="BM20395" s="1025"/>
      <c r="BO20395" s="43"/>
    </row>
    <row r="20396" spans="65:67" ht="18.75" customHeight="1">
      <c r="BM20396" s="1025"/>
      <c r="BO20396" s="43"/>
    </row>
    <row r="20397" spans="65:67" ht="18.75" customHeight="1">
      <c r="BM20397" s="1025"/>
      <c r="BO20397" s="43"/>
    </row>
    <row r="20398" spans="65:67" ht="18.75" customHeight="1">
      <c r="BM20398" s="1025"/>
      <c r="BO20398" s="43"/>
    </row>
    <row r="20399" spans="65:67" ht="18.75" customHeight="1">
      <c r="BM20399" s="1025"/>
      <c r="BO20399" s="43"/>
    </row>
    <row r="20400" spans="65:67" ht="18.75" customHeight="1">
      <c r="BM20400" s="1025"/>
      <c r="BO20400" s="43"/>
    </row>
    <row r="20401" spans="65:67" ht="18.75" customHeight="1">
      <c r="BM20401" s="1025"/>
      <c r="BO20401" s="43"/>
    </row>
    <row r="20402" spans="65:67" ht="18.75" customHeight="1">
      <c r="BM20402" s="1025"/>
      <c r="BO20402" s="43"/>
    </row>
    <row r="20403" spans="65:67" ht="18.75" customHeight="1">
      <c r="BM20403" s="1025"/>
      <c r="BO20403" s="43"/>
    </row>
    <row r="20404" spans="65:67" ht="18.75" customHeight="1">
      <c r="BM20404" s="1025"/>
      <c r="BO20404" s="43"/>
    </row>
    <row r="20405" spans="65:67" ht="18.75" customHeight="1">
      <c r="BM20405" s="1025"/>
      <c r="BO20405" s="43"/>
    </row>
    <row r="20406" spans="65:67" ht="18.75" customHeight="1">
      <c r="BM20406" s="1025"/>
      <c r="BO20406" s="43"/>
    </row>
    <row r="20407" spans="65:67" ht="18.75" customHeight="1">
      <c r="BM20407" s="1025"/>
      <c r="BO20407" s="43"/>
    </row>
    <row r="20408" spans="65:67" ht="18.75" customHeight="1">
      <c r="BM20408" s="1025"/>
      <c r="BO20408" s="43"/>
    </row>
    <row r="20409" spans="65:67" ht="18.75" customHeight="1">
      <c r="BM20409" s="1025"/>
      <c r="BO20409" s="43"/>
    </row>
    <row r="20410" spans="65:67" ht="18.75" customHeight="1">
      <c r="BM20410" s="1025"/>
      <c r="BO20410" s="43"/>
    </row>
    <row r="20411" spans="65:67" ht="18.75" customHeight="1">
      <c r="BM20411" s="1025"/>
      <c r="BO20411" s="43"/>
    </row>
    <row r="20412" spans="65:67" ht="18.75" customHeight="1">
      <c r="BM20412" s="1025"/>
      <c r="BO20412" s="43"/>
    </row>
    <row r="20413" spans="65:67" ht="18.75" customHeight="1">
      <c r="BM20413" s="1025"/>
      <c r="BO20413" s="43"/>
    </row>
    <row r="20414" spans="65:67" ht="18.75" customHeight="1">
      <c r="BM20414" s="1025"/>
      <c r="BO20414" s="43"/>
    </row>
    <row r="20415" spans="65:67" ht="18.75" customHeight="1">
      <c r="BM20415" s="1025"/>
      <c r="BO20415" s="43"/>
    </row>
    <row r="20416" spans="65:67" ht="18.75" customHeight="1">
      <c r="BM20416" s="1025"/>
      <c r="BO20416" s="43"/>
    </row>
    <row r="20417" spans="65:67" ht="18.75" customHeight="1">
      <c r="BM20417" s="1025"/>
      <c r="BO20417" s="43"/>
    </row>
    <row r="20418" spans="65:67" ht="18.75" customHeight="1">
      <c r="BM20418" s="1025"/>
      <c r="BO20418" s="43"/>
    </row>
    <row r="20419" spans="65:67" ht="18.75" customHeight="1">
      <c r="BM20419" s="1025"/>
      <c r="BO20419" s="43"/>
    </row>
    <row r="20420" spans="65:67" ht="18.75" customHeight="1">
      <c r="BM20420" s="1025"/>
      <c r="BO20420" s="43"/>
    </row>
    <row r="20421" spans="65:67" ht="18.75" customHeight="1">
      <c r="BM20421" s="1025"/>
      <c r="BO20421" s="43"/>
    </row>
    <row r="20422" spans="65:67" ht="18.75" customHeight="1">
      <c r="BM20422" s="1025"/>
      <c r="BO20422" s="43"/>
    </row>
    <row r="20423" spans="65:67" ht="18.75" customHeight="1">
      <c r="BM20423" s="1025"/>
      <c r="BO20423" s="43"/>
    </row>
    <row r="20424" spans="65:67" ht="18.75" customHeight="1">
      <c r="BM20424" s="1025"/>
      <c r="BO20424" s="43"/>
    </row>
    <row r="20425" spans="65:67" ht="18.75" customHeight="1">
      <c r="BM20425" s="1025"/>
      <c r="BO20425" s="43"/>
    </row>
    <row r="20426" spans="65:67" ht="18.75" customHeight="1">
      <c r="BM20426" s="1025"/>
      <c r="BO20426" s="43"/>
    </row>
    <row r="20427" spans="65:67" ht="18.75" customHeight="1">
      <c r="BM20427" s="1025"/>
      <c r="BO20427" s="43"/>
    </row>
    <row r="20428" spans="65:67" ht="18.75" customHeight="1">
      <c r="BM20428" s="1025"/>
      <c r="BO20428" s="43"/>
    </row>
    <row r="20429" spans="65:67" ht="18.75" customHeight="1">
      <c r="BM20429" s="1025"/>
      <c r="BO20429" s="43"/>
    </row>
    <row r="20430" spans="65:67" ht="18.75" customHeight="1">
      <c r="BM20430" s="1025"/>
      <c r="BO20430" s="43"/>
    </row>
    <row r="20431" spans="65:67" ht="18.75" customHeight="1">
      <c r="BM20431" s="1025"/>
      <c r="BO20431" s="43"/>
    </row>
    <row r="20432" spans="65:67" ht="18.75" customHeight="1">
      <c r="BM20432" s="1025"/>
      <c r="BO20432" s="43"/>
    </row>
    <row r="20433" spans="65:67" ht="18.75" customHeight="1">
      <c r="BM20433" s="1025"/>
      <c r="BO20433" s="43"/>
    </row>
    <row r="20434" spans="65:67" ht="18.75" customHeight="1">
      <c r="BM20434" s="1025"/>
      <c r="BO20434" s="43"/>
    </row>
    <row r="20435" spans="65:67" ht="18.75" customHeight="1">
      <c r="BM20435" s="1025"/>
      <c r="BO20435" s="43"/>
    </row>
    <row r="20436" spans="65:67" ht="18.75" customHeight="1">
      <c r="BM20436" s="1025"/>
      <c r="BO20436" s="43"/>
    </row>
    <row r="20437" spans="65:67" ht="18.75" customHeight="1">
      <c r="BM20437" s="1025"/>
      <c r="BO20437" s="43"/>
    </row>
    <row r="20438" spans="65:67" ht="18.75" customHeight="1">
      <c r="BM20438" s="1025"/>
      <c r="BO20438" s="43"/>
    </row>
    <row r="20439" spans="65:67" ht="18.75" customHeight="1">
      <c r="BM20439" s="1025"/>
      <c r="BO20439" s="43"/>
    </row>
    <row r="20440" spans="65:67" ht="18.75" customHeight="1">
      <c r="BM20440" s="1025"/>
      <c r="BO20440" s="43"/>
    </row>
    <row r="20441" spans="65:67" ht="18.75" customHeight="1">
      <c r="BM20441" s="1025"/>
      <c r="BO20441" s="43"/>
    </row>
    <row r="20442" spans="65:67" ht="18.75" customHeight="1">
      <c r="BM20442" s="1025"/>
      <c r="BO20442" s="43"/>
    </row>
    <row r="20443" spans="65:67" ht="18.75" customHeight="1">
      <c r="BM20443" s="1025"/>
      <c r="BO20443" s="43"/>
    </row>
    <row r="20444" spans="65:67" ht="18.75" customHeight="1">
      <c r="BM20444" s="1025"/>
      <c r="BO20444" s="43"/>
    </row>
    <row r="20445" spans="65:67" ht="18.75" customHeight="1">
      <c r="BM20445" s="1025"/>
      <c r="BO20445" s="43"/>
    </row>
    <row r="20446" spans="65:67" ht="18.75" customHeight="1">
      <c r="BM20446" s="1025"/>
      <c r="BO20446" s="43"/>
    </row>
    <row r="20447" spans="65:67" ht="18.75" customHeight="1">
      <c r="BM20447" s="1025"/>
      <c r="BO20447" s="43"/>
    </row>
    <row r="20448" spans="65:67" ht="18.75" customHeight="1">
      <c r="BM20448" s="1025"/>
      <c r="BO20448" s="43"/>
    </row>
    <row r="20449" spans="65:67" ht="18.75" customHeight="1">
      <c r="BM20449" s="1025"/>
      <c r="BO20449" s="43"/>
    </row>
    <row r="20450" spans="65:67" ht="18.75" customHeight="1">
      <c r="BM20450" s="1025"/>
      <c r="BO20450" s="43"/>
    </row>
    <row r="20451" spans="65:67" ht="18.75" customHeight="1">
      <c r="BM20451" s="1025"/>
      <c r="BO20451" s="43"/>
    </row>
    <row r="20452" spans="65:67" ht="18.75" customHeight="1">
      <c r="BM20452" s="1025"/>
      <c r="BO20452" s="43"/>
    </row>
    <row r="20453" spans="65:67" ht="18.75" customHeight="1">
      <c r="BM20453" s="1025"/>
      <c r="BO20453" s="43"/>
    </row>
    <row r="20454" spans="65:67" ht="18.75" customHeight="1">
      <c r="BM20454" s="1025"/>
      <c r="BO20454" s="43"/>
    </row>
    <row r="20455" spans="65:67" ht="18.75" customHeight="1">
      <c r="BM20455" s="1025"/>
      <c r="BO20455" s="43"/>
    </row>
    <row r="20456" spans="65:67" ht="18.75" customHeight="1">
      <c r="BM20456" s="1025"/>
      <c r="BO20456" s="43"/>
    </row>
    <row r="20457" spans="65:67" ht="18.75" customHeight="1">
      <c r="BM20457" s="1025"/>
      <c r="BO20457" s="43"/>
    </row>
    <row r="20458" spans="65:67" ht="18.75" customHeight="1">
      <c r="BM20458" s="1025"/>
      <c r="BO20458" s="43"/>
    </row>
    <row r="20459" spans="65:67" ht="18.75" customHeight="1">
      <c r="BM20459" s="1025"/>
      <c r="BO20459" s="43"/>
    </row>
    <row r="20460" spans="65:67" ht="18.75" customHeight="1">
      <c r="BM20460" s="1025"/>
      <c r="BO20460" s="43"/>
    </row>
    <row r="20461" spans="65:67" ht="18.75" customHeight="1">
      <c r="BM20461" s="1025"/>
      <c r="BO20461" s="43"/>
    </row>
    <row r="20462" spans="65:67" ht="18.75" customHeight="1">
      <c r="BM20462" s="1025"/>
      <c r="BO20462" s="43"/>
    </row>
    <row r="20463" spans="65:67" ht="18.75" customHeight="1">
      <c r="BM20463" s="1025"/>
      <c r="BO20463" s="43"/>
    </row>
    <row r="20464" spans="65:67" ht="18.75" customHeight="1">
      <c r="BM20464" s="1025"/>
      <c r="BO20464" s="43"/>
    </row>
    <row r="20465" spans="65:67" ht="18.75" customHeight="1">
      <c r="BM20465" s="1025"/>
      <c r="BO20465" s="43"/>
    </row>
    <row r="20466" spans="65:67" ht="18.75" customHeight="1">
      <c r="BM20466" s="1025"/>
      <c r="BO20466" s="43"/>
    </row>
    <row r="20467" spans="65:67" ht="18.75" customHeight="1">
      <c r="BM20467" s="1025"/>
      <c r="BO20467" s="43"/>
    </row>
    <row r="20468" spans="65:67" ht="18.75" customHeight="1">
      <c r="BM20468" s="1025"/>
      <c r="BO20468" s="43"/>
    </row>
    <row r="20469" spans="65:67" ht="18.75" customHeight="1">
      <c r="BM20469" s="1025"/>
      <c r="BO20469" s="43"/>
    </row>
    <row r="20470" spans="65:67" ht="18.75" customHeight="1">
      <c r="BM20470" s="1025"/>
      <c r="BO20470" s="43"/>
    </row>
    <row r="20471" spans="65:67" ht="18.75" customHeight="1">
      <c r="BM20471" s="1025"/>
      <c r="BO20471" s="43"/>
    </row>
    <row r="20472" spans="65:67" ht="18.75" customHeight="1">
      <c r="BM20472" s="1025"/>
      <c r="BO20472" s="43"/>
    </row>
    <row r="20473" spans="65:67" ht="18.75" customHeight="1">
      <c r="BM20473" s="1025"/>
      <c r="BO20473" s="43"/>
    </row>
    <row r="20474" spans="65:67" ht="18.75" customHeight="1">
      <c r="BM20474" s="1025"/>
      <c r="BO20474" s="43"/>
    </row>
    <row r="20475" spans="65:67" ht="18.75" customHeight="1">
      <c r="BM20475" s="1025"/>
      <c r="BO20475" s="43"/>
    </row>
    <row r="20476" spans="65:67" ht="18.75" customHeight="1">
      <c r="BM20476" s="1025"/>
      <c r="BO20476" s="43"/>
    </row>
    <row r="20477" spans="65:67" ht="18.75" customHeight="1">
      <c r="BM20477" s="1025"/>
      <c r="BO20477" s="43"/>
    </row>
    <row r="20478" spans="65:67" ht="18.75" customHeight="1">
      <c r="BM20478" s="1025"/>
      <c r="BO20478" s="43"/>
    </row>
    <row r="20479" spans="65:67" ht="18.75" customHeight="1">
      <c r="BM20479" s="1025"/>
      <c r="BO20479" s="43"/>
    </row>
    <row r="20480" spans="65:67" ht="18.75" customHeight="1">
      <c r="BM20480" s="1025"/>
      <c r="BO20480" s="43"/>
    </row>
    <row r="20481" spans="65:67" ht="18.75" customHeight="1">
      <c r="BM20481" s="1025"/>
      <c r="BO20481" s="43"/>
    </row>
    <row r="20482" spans="65:67" ht="18.75" customHeight="1">
      <c r="BM20482" s="1025"/>
      <c r="BO20482" s="43"/>
    </row>
    <row r="20483" spans="65:67" ht="18.75" customHeight="1">
      <c r="BM20483" s="1025"/>
      <c r="BO20483" s="43"/>
    </row>
    <row r="20484" spans="65:67" ht="18.75" customHeight="1">
      <c r="BM20484" s="1025"/>
      <c r="BO20484" s="43"/>
    </row>
    <row r="20485" spans="65:67" ht="18.75" customHeight="1">
      <c r="BM20485" s="1025"/>
      <c r="BO20485" s="43"/>
    </row>
    <row r="20486" spans="65:67" ht="18.75" customHeight="1">
      <c r="BM20486" s="1025"/>
      <c r="BO20486" s="43"/>
    </row>
    <row r="20487" spans="65:67" ht="18.75" customHeight="1">
      <c r="BM20487" s="1025"/>
      <c r="BO20487" s="43"/>
    </row>
    <row r="20488" spans="65:67" ht="18.75" customHeight="1">
      <c r="BM20488" s="1025"/>
      <c r="BO20488" s="43"/>
    </row>
    <row r="20489" spans="65:67" ht="18.75" customHeight="1">
      <c r="BM20489" s="1025"/>
      <c r="BO20489" s="43"/>
    </row>
    <row r="20490" spans="65:67" ht="18.75" customHeight="1">
      <c r="BM20490" s="1025"/>
      <c r="BO20490" s="43"/>
    </row>
    <row r="20491" spans="65:67" ht="18.75" customHeight="1">
      <c r="BM20491" s="1025"/>
      <c r="BO20491" s="43"/>
    </row>
    <row r="20492" spans="65:67" ht="18.75" customHeight="1">
      <c r="BM20492" s="1025"/>
      <c r="BO20492" s="43"/>
    </row>
    <row r="20493" spans="65:67" ht="18.75" customHeight="1">
      <c r="BM20493" s="1025"/>
      <c r="BO20493" s="43"/>
    </row>
    <row r="20494" spans="65:67" ht="18.75" customHeight="1">
      <c r="BM20494" s="1025"/>
      <c r="BO20494" s="43"/>
    </row>
    <row r="20495" spans="65:67" ht="18.75" customHeight="1">
      <c r="BM20495" s="1025"/>
      <c r="BO20495" s="43"/>
    </row>
    <row r="20496" spans="65:67" ht="18.75" customHeight="1">
      <c r="BM20496" s="1025"/>
      <c r="BO20496" s="43"/>
    </row>
    <row r="20497" spans="65:67" ht="18.75" customHeight="1">
      <c r="BM20497" s="1025"/>
      <c r="BO20497" s="43"/>
    </row>
    <row r="20498" spans="65:67" ht="18.75" customHeight="1">
      <c r="BM20498" s="1025"/>
      <c r="BO20498" s="43"/>
    </row>
    <row r="20499" spans="65:67" ht="18.75" customHeight="1">
      <c r="BM20499" s="1025"/>
      <c r="BO20499" s="43"/>
    </row>
    <row r="20500" spans="65:67" ht="18.75" customHeight="1">
      <c r="BM20500" s="1025"/>
      <c r="BO20500" s="43"/>
    </row>
    <row r="20501" spans="65:67" ht="18.75" customHeight="1">
      <c r="BM20501" s="1025"/>
      <c r="BO20501" s="43"/>
    </row>
    <row r="20502" spans="65:67" ht="18.75" customHeight="1">
      <c r="BM20502" s="1025"/>
      <c r="BO20502" s="43"/>
    </row>
    <row r="20503" spans="65:67" ht="18.75" customHeight="1">
      <c r="BM20503" s="1025"/>
      <c r="BO20503" s="43"/>
    </row>
    <row r="20504" spans="65:67" ht="18.75" customHeight="1">
      <c r="BM20504" s="1025"/>
      <c r="BO20504" s="43"/>
    </row>
    <row r="20505" spans="65:67" ht="18.75" customHeight="1">
      <c r="BM20505" s="1025"/>
      <c r="BO20505" s="43"/>
    </row>
    <row r="20506" spans="65:67" ht="18.75" customHeight="1">
      <c r="BM20506" s="1025"/>
      <c r="BO20506" s="43"/>
    </row>
    <row r="20507" spans="65:67" ht="18.75" customHeight="1">
      <c r="BM20507" s="1025"/>
      <c r="BO20507" s="43"/>
    </row>
    <row r="20508" spans="65:67" ht="18.75" customHeight="1">
      <c r="BM20508" s="1025"/>
      <c r="BO20508" s="43"/>
    </row>
    <row r="20509" spans="65:67" ht="18.75" customHeight="1">
      <c r="BM20509" s="1025"/>
      <c r="BO20509" s="43"/>
    </row>
    <row r="20510" spans="65:67" ht="18.75" customHeight="1">
      <c r="BM20510" s="1025"/>
      <c r="BO20510" s="43"/>
    </row>
    <row r="20511" spans="65:67" ht="18.75" customHeight="1">
      <c r="BM20511" s="1025"/>
      <c r="BO20511" s="43"/>
    </row>
    <row r="20512" spans="65:67" ht="18.75" customHeight="1">
      <c r="BM20512" s="1025"/>
      <c r="BO20512" s="43"/>
    </row>
    <row r="20513" spans="65:67" ht="18.75" customHeight="1">
      <c r="BM20513" s="1025"/>
      <c r="BO20513" s="43"/>
    </row>
    <row r="20514" spans="65:67" ht="18.75" customHeight="1">
      <c r="BM20514" s="1025"/>
      <c r="BO20514" s="43"/>
    </row>
    <row r="20515" spans="65:67" ht="18.75" customHeight="1">
      <c r="BM20515" s="1025"/>
      <c r="BO20515" s="43"/>
    </row>
    <row r="20516" spans="65:67" ht="18.75" customHeight="1">
      <c r="BM20516" s="1025"/>
      <c r="BO20516" s="43"/>
    </row>
    <row r="20517" spans="65:67" ht="18.75" customHeight="1">
      <c r="BM20517" s="1025"/>
      <c r="BO20517" s="43"/>
    </row>
    <row r="20518" spans="65:67" ht="18.75" customHeight="1">
      <c r="BM20518" s="1025"/>
      <c r="BO20518" s="43"/>
    </row>
    <row r="20519" spans="65:67" ht="18.75" customHeight="1">
      <c r="BM20519" s="1025"/>
      <c r="BO20519" s="43"/>
    </row>
    <row r="20520" spans="65:67" ht="18.75" customHeight="1">
      <c r="BM20520" s="1025"/>
      <c r="BO20520" s="43"/>
    </row>
    <row r="20521" spans="65:67" ht="18.75" customHeight="1">
      <c r="BM20521" s="1025"/>
      <c r="BO20521" s="43"/>
    </row>
    <row r="20522" spans="65:67" ht="18.75" customHeight="1">
      <c r="BM20522" s="1025"/>
      <c r="BO20522" s="43"/>
    </row>
    <row r="20523" spans="65:67" ht="18.75" customHeight="1">
      <c r="BM20523" s="1025"/>
      <c r="BO20523" s="43"/>
    </row>
    <row r="20524" spans="65:67" ht="18.75" customHeight="1">
      <c r="BM20524" s="1025"/>
      <c r="BO20524" s="43"/>
    </row>
    <row r="20525" spans="65:67" ht="18.75" customHeight="1">
      <c r="BM20525" s="1025"/>
      <c r="BO20525" s="43"/>
    </row>
    <row r="20526" spans="65:67" ht="18.75" customHeight="1">
      <c r="BM20526" s="1025"/>
      <c r="BO20526" s="43"/>
    </row>
    <row r="20527" spans="65:67" ht="18.75" customHeight="1">
      <c r="BM20527" s="1025"/>
      <c r="BO20527" s="43"/>
    </row>
    <row r="20528" spans="65:67" ht="18.75" customHeight="1">
      <c r="BM20528" s="1025"/>
      <c r="BO20528" s="43"/>
    </row>
    <row r="20529" spans="65:67" ht="18.75" customHeight="1">
      <c r="BM20529" s="1025"/>
      <c r="BO20529" s="43"/>
    </row>
    <row r="20530" spans="65:67" ht="18.75" customHeight="1">
      <c r="BM20530" s="1025"/>
      <c r="BO20530" s="43"/>
    </row>
    <row r="20531" spans="65:67" ht="18.75" customHeight="1">
      <c r="BM20531" s="1025"/>
      <c r="BO20531" s="43"/>
    </row>
    <row r="20532" spans="65:67" ht="18.75" customHeight="1">
      <c r="BM20532" s="1025"/>
      <c r="BO20532" s="43"/>
    </row>
    <row r="20533" spans="65:67" ht="18.75" customHeight="1">
      <c r="BM20533" s="1025"/>
      <c r="BO20533" s="43"/>
    </row>
    <row r="20534" spans="65:67" ht="18.75" customHeight="1">
      <c r="BM20534" s="1025"/>
      <c r="BO20534" s="43"/>
    </row>
    <row r="20535" spans="65:67" ht="18.75" customHeight="1">
      <c r="BM20535" s="1025"/>
      <c r="BO20535" s="43"/>
    </row>
    <row r="20536" spans="65:67" ht="18.75" customHeight="1">
      <c r="BM20536" s="1025"/>
      <c r="BO20536" s="43"/>
    </row>
    <row r="20537" spans="65:67" ht="18.75" customHeight="1">
      <c r="BM20537" s="1025"/>
      <c r="BO20537" s="43"/>
    </row>
    <row r="20538" spans="65:67" ht="18.75" customHeight="1">
      <c r="BM20538" s="1025"/>
      <c r="BO20538" s="43"/>
    </row>
    <row r="20539" spans="65:67" ht="18.75" customHeight="1">
      <c r="BM20539" s="1025"/>
      <c r="BO20539" s="43"/>
    </row>
    <row r="20540" spans="65:67" ht="18.75" customHeight="1">
      <c r="BM20540" s="1025"/>
      <c r="BO20540" s="43"/>
    </row>
    <row r="20541" spans="65:67" ht="18.75" customHeight="1">
      <c r="BM20541" s="1025"/>
      <c r="BO20541" s="43"/>
    </row>
    <row r="20542" spans="65:67" ht="18.75" customHeight="1">
      <c r="BM20542" s="1025"/>
      <c r="BO20542" s="43"/>
    </row>
    <row r="20543" spans="65:67" ht="18.75" customHeight="1">
      <c r="BM20543" s="1025"/>
      <c r="BO20543" s="43"/>
    </row>
    <row r="20544" spans="65:67" ht="18.75" customHeight="1">
      <c r="BM20544" s="1025"/>
      <c r="BO20544" s="43"/>
    </row>
    <row r="20545" spans="65:67" ht="18.75" customHeight="1">
      <c r="BM20545" s="1025"/>
      <c r="BO20545" s="43"/>
    </row>
    <row r="20546" spans="65:67" ht="18.75" customHeight="1">
      <c r="BM20546" s="1025"/>
      <c r="BO20546" s="43"/>
    </row>
    <row r="20547" spans="65:67" ht="18.75" customHeight="1">
      <c r="BM20547" s="1025"/>
      <c r="BO20547" s="43"/>
    </row>
    <row r="20548" spans="65:67" ht="18.75" customHeight="1">
      <c r="BM20548" s="1025"/>
      <c r="BO20548" s="43"/>
    </row>
    <row r="20549" spans="65:67" ht="18.75" customHeight="1">
      <c r="BM20549" s="1025"/>
      <c r="BO20549" s="43"/>
    </row>
    <row r="20550" spans="65:67" ht="18.75" customHeight="1">
      <c r="BM20550" s="1025"/>
      <c r="BO20550" s="43"/>
    </row>
    <row r="20551" spans="65:67" ht="18.75" customHeight="1">
      <c r="BM20551" s="1025"/>
      <c r="BO20551" s="43"/>
    </row>
    <row r="20552" spans="65:67" ht="18.75" customHeight="1">
      <c r="BM20552" s="1025"/>
      <c r="BO20552" s="43"/>
    </row>
    <row r="20553" spans="65:67" ht="18.75" customHeight="1">
      <c r="BM20553" s="1025"/>
      <c r="BO20553" s="43"/>
    </row>
    <row r="20554" spans="65:67" ht="18.75" customHeight="1">
      <c r="BM20554" s="1025"/>
      <c r="BO20554" s="43"/>
    </row>
    <row r="20555" spans="65:67" ht="18.75" customHeight="1">
      <c r="BM20555" s="1025"/>
      <c r="BO20555" s="43"/>
    </row>
    <row r="20556" spans="65:67" ht="18.75" customHeight="1">
      <c r="BM20556" s="1025"/>
      <c r="BO20556" s="43"/>
    </row>
    <row r="20557" spans="65:67" ht="18.75" customHeight="1">
      <c r="BM20557" s="1025"/>
      <c r="BO20557" s="43"/>
    </row>
    <row r="20558" spans="65:67" ht="18.75" customHeight="1">
      <c r="BM20558" s="1025"/>
      <c r="BO20558" s="43"/>
    </row>
    <row r="20559" spans="65:67" ht="18.75" customHeight="1">
      <c r="BM20559" s="1025"/>
      <c r="BO20559" s="43"/>
    </row>
    <row r="20560" spans="65:67" ht="18.75" customHeight="1">
      <c r="BM20560" s="1025"/>
      <c r="BO20560" s="43"/>
    </row>
    <row r="20561" spans="65:67" ht="18.75" customHeight="1">
      <c r="BM20561" s="1025"/>
      <c r="BO20561" s="43"/>
    </row>
    <row r="20562" spans="65:67" ht="18.75" customHeight="1">
      <c r="BM20562" s="1025"/>
      <c r="BO20562" s="43"/>
    </row>
    <row r="20563" spans="65:67" ht="18.75" customHeight="1">
      <c r="BM20563" s="1025"/>
      <c r="BO20563" s="43"/>
    </row>
    <row r="20564" spans="65:67" ht="18.75" customHeight="1">
      <c r="BM20564" s="1025"/>
      <c r="BO20564" s="43"/>
    </row>
    <row r="20565" spans="65:67" ht="18.75" customHeight="1">
      <c r="BM20565" s="1025"/>
      <c r="BO20565" s="43"/>
    </row>
    <row r="20566" spans="65:67" ht="18.75" customHeight="1">
      <c r="BM20566" s="1025"/>
      <c r="BO20566" s="43"/>
    </row>
    <row r="20567" spans="65:67" ht="18.75" customHeight="1">
      <c r="BM20567" s="1025"/>
      <c r="BO20567" s="43"/>
    </row>
    <row r="20568" spans="65:67" ht="18.75" customHeight="1">
      <c r="BM20568" s="1025"/>
      <c r="BO20568" s="43"/>
    </row>
    <row r="20569" spans="65:67" ht="18.75" customHeight="1">
      <c r="BM20569" s="1025"/>
      <c r="BO20569" s="43"/>
    </row>
    <row r="20570" spans="65:67" ht="18.75" customHeight="1">
      <c r="BM20570" s="1025"/>
      <c r="BO20570" s="43"/>
    </row>
    <row r="20571" spans="65:67" ht="18.75" customHeight="1">
      <c r="BM20571" s="1025"/>
      <c r="BO20571" s="43"/>
    </row>
    <row r="20572" spans="65:67" ht="18.75" customHeight="1">
      <c r="BM20572" s="1025"/>
      <c r="BO20572" s="43"/>
    </row>
    <row r="20573" spans="65:67" ht="18.75" customHeight="1">
      <c r="BM20573" s="1025"/>
      <c r="BO20573" s="43"/>
    </row>
    <row r="20574" spans="65:67" ht="18.75" customHeight="1">
      <c r="BM20574" s="1025"/>
      <c r="BO20574" s="43"/>
    </row>
    <row r="20575" spans="65:67" ht="18.75" customHeight="1">
      <c r="BM20575" s="1025"/>
      <c r="BO20575" s="43"/>
    </row>
    <row r="20576" spans="65:67" ht="18.75" customHeight="1">
      <c r="BM20576" s="1025"/>
      <c r="BO20576" s="43"/>
    </row>
    <row r="20577" spans="65:67" ht="18.75" customHeight="1">
      <c r="BM20577" s="1025"/>
      <c r="BO20577" s="43"/>
    </row>
    <row r="20578" spans="65:67" ht="18.75" customHeight="1">
      <c r="BM20578" s="1025"/>
      <c r="BO20578" s="43"/>
    </row>
    <row r="20579" spans="65:67" ht="18.75" customHeight="1">
      <c r="BM20579" s="1025"/>
      <c r="BO20579" s="43"/>
    </row>
    <row r="20580" spans="65:67" ht="18.75" customHeight="1">
      <c r="BM20580" s="1025"/>
      <c r="BO20580" s="43"/>
    </row>
    <row r="20581" spans="65:67" ht="18.75" customHeight="1">
      <c r="BM20581" s="1025"/>
      <c r="BO20581" s="43"/>
    </row>
    <row r="20582" spans="65:67" ht="18.75" customHeight="1">
      <c r="BM20582" s="1025"/>
      <c r="BO20582" s="43"/>
    </row>
    <row r="20583" spans="65:67" ht="18.75" customHeight="1">
      <c r="BM20583" s="1025"/>
      <c r="BO20583" s="43"/>
    </row>
    <row r="20584" spans="65:67" ht="18.75" customHeight="1">
      <c r="BM20584" s="1025"/>
      <c r="BO20584" s="43"/>
    </row>
    <row r="20585" spans="65:67" ht="18.75" customHeight="1">
      <c r="BM20585" s="1025"/>
      <c r="BO20585" s="43"/>
    </row>
    <row r="20586" spans="65:67" ht="18.75" customHeight="1">
      <c r="BM20586" s="1025"/>
      <c r="BO20586" s="43"/>
    </row>
    <row r="20587" spans="65:67" ht="18.75" customHeight="1">
      <c r="BM20587" s="1025"/>
      <c r="BO20587" s="43"/>
    </row>
    <row r="20588" spans="65:67" ht="18.75" customHeight="1">
      <c r="BM20588" s="1025"/>
      <c r="BO20588" s="43"/>
    </row>
    <row r="20589" spans="65:67" ht="18.75" customHeight="1">
      <c r="BM20589" s="1025"/>
      <c r="BO20589" s="43"/>
    </row>
    <row r="20590" spans="65:67" ht="18.75" customHeight="1">
      <c r="BM20590" s="1025"/>
      <c r="BO20590" s="43"/>
    </row>
    <row r="20591" spans="65:67" ht="18.75" customHeight="1">
      <c r="BM20591" s="1025"/>
      <c r="BO20591" s="43"/>
    </row>
    <row r="20592" spans="65:67" ht="18.75" customHeight="1">
      <c r="BM20592" s="1025"/>
      <c r="BO20592" s="43"/>
    </row>
    <row r="20593" spans="65:67" ht="18.75" customHeight="1">
      <c r="BM20593" s="1025"/>
      <c r="BO20593" s="43"/>
    </row>
    <row r="20594" spans="65:67" ht="18.75" customHeight="1">
      <c r="BM20594" s="1025"/>
      <c r="BO20594" s="43"/>
    </row>
    <row r="20595" spans="65:67" ht="18.75" customHeight="1">
      <c r="BM20595" s="1025"/>
      <c r="BO20595" s="43"/>
    </row>
    <row r="20596" spans="65:67" ht="18.75" customHeight="1">
      <c r="BM20596" s="1025"/>
      <c r="BO20596" s="43"/>
    </row>
    <row r="20597" spans="65:67" ht="18.75" customHeight="1">
      <c r="BM20597" s="1025"/>
      <c r="BO20597" s="43"/>
    </row>
    <row r="20598" spans="65:67" ht="18.75" customHeight="1">
      <c r="BM20598" s="1025"/>
      <c r="BO20598" s="43"/>
    </row>
    <row r="20599" spans="65:67" ht="18.75" customHeight="1">
      <c r="BM20599" s="1025"/>
      <c r="BO20599" s="43"/>
    </row>
    <row r="20600" spans="65:67" ht="18.75" customHeight="1">
      <c r="BM20600" s="1025"/>
      <c r="BO20600" s="43"/>
    </row>
    <row r="20601" spans="65:67" ht="18.75" customHeight="1">
      <c r="BM20601" s="1025"/>
      <c r="BO20601" s="43"/>
    </row>
    <row r="20602" spans="65:67" ht="18.75" customHeight="1">
      <c r="BM20602" s="1025"/>
      <c r="BO20602" s="43"/>
    </row>
    <row r="20603" spans="65:67" ht="18.75" customHeight="1">
      <c r="BM20603" s="1025"/>
      <c r="BO20603" s="43"/>
    </row>
    <row r="20604" spans="65:67" ht="18.75" customHeight="1">
      <c r="BM20604" s="1025"/>
      <c r="BO20604" s="43"/>
    </row>
    <row r="20605" spans="65:67" ht="18.75" customHeight="1">
      <c r="BM20605" s="1025"/>
      <c r="BO20605" s="43"/>
    </row>
    <row r="20606" spans="65:67" ht="18.75" customHeight="1">
      <c r="BM20606" s="1025"/>
      <c r="BO20606" s="43"/>
    </row>
    <row r="20607" spans="65:67" ht="18.75" customHeight="1">
      <c r="BM20607" s="1025"/>
      <c r="BO20607" s="43"/>
    </row>
    <row r="20608" spans="65:67" ht="18.75" customHeight="1">
      <c r="BM20608" s="1025"/>
      <c r="BO20608" s="43"/>
    </row>
    <row r="20609" spans="65:67" ht="18.75" customHeight="1">
      <c r="BM20609" s="1025"/>
      <c r="BO20609" s="43"/>
    </row>
    <row r="20610" spans="65:67" ht="18.75" customHeight="1">
      <c r="BM20610" s="1025"/>
      <c r="BO20610" s="43"/>
    </row>
    <row r="20611" spans="65:67" ht="18.75" customHeight="1">
      <c r="BM20611" s="1025"/>
      <c r="BO20611" s="43"/>
    </row>
    <row r="20612" spans="65:67" ht="18.75" customHeight="1">
      <c r="BM20612" s="1025"/>
      <c r="BO20612" s="43"/>
    </row>
    <row r="20613" spans="65:67" ht="18.75" customHeight="1">
      <c r="BM20613" s="1025"/>
      <c r="BO20613" s="43"/>
    </row>
    <row r="20614" spans="65:67" ht="18.75" customHeight="1">
      <c r="BM20614" s="1025"/>
      <c r="BO20614" s="43"/>
    </row>
    <row r="20615" spans="65:67" ht="18.75" customHeight="1">
      <c r="BM20615" s="1025"/>
      <c r="BO20615" s="43"/>
    </row>
    <row r="20616" spans="65:67" ht="18.75" customHeight="1">
      <c r="BM20616" s="1025"/>
      <c r="BO20616" s="43"/>
    </row>
    <row r="20617" spans="65:67" ht="18.75" customHeight="1">
      <c r="BM20617" s="1025"/>
      <c r="BO20617" s="43"/>
    </row>
    <row r="20618" spans="65:67" ht="18.75" customHeight="1">
      <c r="BM20618" s="1025"/>
      <c r="BO20618" s="43"/>
    </row>
    <row r="20619" spans="65:67" ht="18.75" customHeight="1">
      <c r="BM20619" s="1025"/>
      <c r="BO20619" s="43"/>
    </row>
    <row r="20620" spans="65:67" ht="18.75" customHeight="1">
      <c r="BM20620" s="1025"/>
      <c r="BO20620" s="43"/>
    </row>
    <row r="20621" spans="65:67" ht="18.75" customHeight="1">
      <c r="BM20621" s="1025"/>
      <c r="BO20621" s="43"/>
    </row>
    <row r="20622" spans="65:67" ht="18.75" customHeight="1">
      <c r="BM20622" s="1025"/>
      <c r="BO20622" s="43"/>
    </row>
    <row r="20623" spans="65:67" ht="18.75" customHeight="1">
      <c r="BM20623" s="1025"/>
      <c r="BO20623" s="43"/>
    </row>
    <row r="20624" spans="65:67" ht="18.75" customHeight="1">
      <c r="BM20624" s="1025"/>
      <c r="BO20624" s="43"/>
    </row>
    <row r="20625" spans="65:67" ht="18.75" customHeight="1">
      <c r="BM20625" s="1025"/>
      <c r="BO20625" s="43"/>
    </row>
    <row r="20626" spans="65:67" ht="18.75" customHeight="1">
      <c r="BM20626" s="1025"/>
      <c r="BO20626" s="43"/>
    </row>
    <row r="20627" spans="65:67" ht="18.75" customHeight="1">
      <c r="BM20627" s="1025"/>
      <c r="BO20627" s="43"/>
    </row>
    <row r="20628" spans="65:67" ht="18.75" customHeight="1">
      <c r="BM20628" s="1025"/>
      <c r="BO20628" s="43"/>
    </row>
    <row r="20629" spans="65:67" ht="18.75" customHeight="1">
      <c r="BM20629" s="1025"/>
      <c r="BO20629" s="43"/>
    </row>
    <row r="20630" spans="65:67" ht="18.75" customHeight="1">
      <c r="BM20630" s="1025"/>
      <c r="BO20630" s="43"/>
    </row>
    <row r="20631" spans="65:67" ht="18.75" customHeight="1">
      <c r="BM20631" s="1025"/>
      <c r="BO20631" s="43"/>
    </row>
    <row r="20632" spans="65:67" ht="18.75" customHeight="1">
      <c r="BM20632" s="1025"/>
      <c r="BO20632" s="43"/>
    </row>
    <row r="20633" spans="65:67" ht="18.75" customHeight="1">
      <c r="BM20633" s="1025"/>
      <c r="BO20633" s="43"/>
    </row>
    <row r="20634" spans="65:67" ht="18.75" customHeight="1">
      <c r="BM20634" s="1025"/>
      <c r="BO20634" s="43"/>
    </row>
    <row r="20635" spans="65:67" ht="18.75" customHeight="1">
      <c r="BM20635" s="1025"/>
      <c r="BO20635" s="43"/>
    </row>
    <row r="20636" spans="65:67" ht="18.75" customHeight="1">
      <c r="BM20636" s="1025"/>
      <c r="BO20636" s="43"/>
    </row>
    <row r="20637" spans="65:67" ht="18.75" customHeight="1">
      <c r="BM20637" s="1025"/>
      <c r="BO20637" s="43"/>
    </row>
    <row r="20638" spans="65:67" ht="18.75" customHeight="1">
      <c r="BM20638" s="1025"/>
      <c r="BO20638" s="43"/>
    </row>
    <row r="20639" spans="65:67" ht="18.75" customHeight="1">
      <c r="BM20639" s="1025"/>
      <c r="BO20639" s="43"/>
    </row>
    <row r="20640" spans="65:67" ht="18.75" customHeight="1">
      <c r="BM20640" s="1025"/>
      <c r="BO20640" s="43"/>
    </row>
    <row r="20641" spans="65:67" ht="18.75" customHeight="1">
      <c r="BM20641" s="1025"/>
      <c r="BO20641" s="43"/>
    </row>
    <row r="20642" spans="65:67" ht="18.75" customHeight="1">
      <c r="BM20642" s="1025"/>
      <c r="BO20642" s="43"/>
    </row>
    <row r="20643" spans="65:67" ht="18.75" customHeight="1">
      <c r="BM20643" s="1025"/>
      <c r="BO20643" s="43"/>
    </row>
    <row r="20644" spans="65:67" ht="18.75" customHeight="1">
      <c r="BM20644" s="1025"/>
      <c r="BO20644" s="43"/>
    </row>
    <row r="20645" spans="65:67" ht="18.75" customHeight="1">
      <c r="BM20645" s="1025"/>
      <c r="BO20645" s="43"/>
    </row>
    <row r="20646" spans="65:67" ht="18.75" customHeight="1">
      <c r="BM20646" s="1025"/>
      <c r="BO20646" s="43"/>
    </row>
    <row r="20647" spans="65:67" ht="18.75" customHeight="1">
      <c r="BM20647" s="1025"/>
      <c r="BO20647" s="43"/>
    </row>
    <row r="20648" spans="65:67" ht="18.75" customHeight="1">
      <c r="BM20648" s="1025"/>
      <c r="BO20648" s="43"/>
    </row>
    <row r="20649" spans="65:67" ht="18.75" customHeight="1">
      <c r="BM20649" s="1025"/>
      <c r="BO20649" s="43"/>
    </row>
    <row r="20650" spans="65:67" ht="18.75" customHeight="1">
      <c r="BM20650" s="1025"/>
      <c r="BO20650" s="43"/>
    </row>
    <row r="20651" spans="65:67" ht="18.75" customHeight="1">
      <c r="BM20651" s="1025"/>
      <c r="BO20651" s="43"/>
    </row>
    <row r="20652" spans="65:67" ht="18.75" customHeight="1">
      <c r="BM20652" s="1025"/>
      <c r="BO20652" s="43"/>
    </row>
    <row r="20653" spans="65:67" ht="18.75" customHeight="1">
      <c r="BM20653" s="1025"/>
      <c r="BO20653" s="43"/>
    </row>
    <row r="20654" spans="65:67" ht="18.75" customHeight="1">
      <c r="BM20654" s="1025"/>
      <c r="BO20654" s="43"/>
    </row>
    <row r="20655" spans="65:67" ht="18.75" customHeight="1">
      <c r="BM20655" s="1025"/>
      <c r="BO20655" s="43"/>
    </row>
    <row r="20656" spans="65:67" ht="18.75" customHeight="1">
      <c r="BM20656" s="1025"/>
      <c r="BO20656" s="43"/>
    </row>
    <row r="20657" spans="65:67" ht="18.75" customHeight="1">
      <c r="BM20657" s="1025"/>
      <c r="BO20657" s="43"/>
    </row>
    <row r="20658" spans="65:67" ht="18.75" customHeight="1">
      <c r="BM20658" s="1025"/>
      <c r="BO20658" s="43"/>
    </row>
    <row r="20659" spans="65:67" ht="18.75" customHeight="1">
      <c r="BM20659" s="1025"/>
      <c r="BO20659" s="43"/>
    </row>
    <row r="20660" spans="65:67" ht="18.75" customHeight="1">
      <c r="BM20660" s="1025"/>
      <c r="BO20660" s="43"/>
    </row>
    <row r="20661" spans="65:67" ht="18.75" customHeight="1">
      <c r="BM20661" s="1025"/>
      <c r="BO20661" s="43"/>
    </row>
    <row r="20662" spans="65:67" ht="18.75" customHeight="1">
      <c r="BM20662" s="1025"/>
      <c r="BO20662" s="43"/>
    </row>
    <row r="20663" spans="65:67" ht="18.75" customHeight="1">
      <c r="BM20663" s="1025"/>
      <c r="BO20663" s="43"/>
    </row>
    <row r="20664" spans="65:67" ht="18.75" customHeight="1">
      <c r="BM20664" s="1025"/>
      <c r="BO20664" s="43"/>
    </row>
    <row r="20665" spans="65:67" ht="18.75" customHeight="1">
      <c r="BM20665" s="1025"/>
      <c r="BO20665" s="43"/>
    </row>
    <row r="20666" spans="65:67" ht="18.75" customHeight="1">
      <c r="BM20666" s="1025"/>
      <c r="BO20666" s="43"/>
    </row>
    <row r="20667" spans="65:67" ht="18.75" customHeight="1">
      <c r="BM20667" s="1025"/>
      <c r="BO20667" s="43"/>
    </row>
    <row r="20668" spans="65:67" ht="18.75" customHeight="1">
      <c r="BM20668" s="1025"/>
      <c r="BO20668" s="43"/>
    </row>
    <row r="20669" spans="65:67" ht="18.75" customHeight="1">
      <c r="BM20669" s="1025"/>
      <c r="BO20669" s="43"/>
    </row>
    <row r="20670" spans="65:67" ht="18.75" customHeight="1">
      <c r="BM20670" s="1025"/>
      <c r="BO20670" s="43"/>
    </row>
    <row r="20671" spans="65:67" ht="18.75" customHeight="1">
      <c r="BM20671" s="1025"/>
      <c r="BO20671" s="43"/>
    </row>
    <row r="20672" spans="65:67" ht="18.75" customHeight="1">
      <c r="BM20672" s="1025"/>
      <c r="BO20672" s="43"/>
    </row>
    <row r="20673" spans="65:67" ht="18.75" customHeight="1">
      <c r="BM20673" s="1025"/>
      <c r="BO20673" s="43"/>
    </row>
    <row r="20674" spans="65:67" ht="18.75" customHeight="1">
      <c r="BM20674" s="1025"/>
      <c r="BO20674" s="43"/>
    </row>
    <row r="20675" spans="65:67" ht="18.75" customHeight="1">
      <c r="BM20675" s="1025"/>
      <c r="BO20675" s="43"/>
    </row>
    <row r="20676" spans="65:67" ht="18.75" customHeight="1">
      <c r="BM20676" s="1025"/>
      <c r="BO20676" s="43"/>
    </row>
    <row r="20677" spans="65:67" ht="18.75" customHeight="1">
      <c r="BM20677" s="1025"/>
      <c r="BO20677" s="43"/>
    </row>
    <row r="20678" spans="65:67" ht="18.75" customHeight="1">
      <c r="BM20678" s="1025"/>
      <c r="BO20678" s="43"/>
    </row>
    <row r="20679" spans="65:67" ht="18.75" customHeight="1">
      <c r="BM20679" s="1025"/>
      <c r="BO20679" s="43"/>
    </row>
    <row r="20680" spans="65:67" ht="18.75" customHeight="1">
      <c r="BM20680" s="1025"/>
      <c r="BO20680" s="43"/>
    </row>
    <row r="20681" spans="65:67" ht="18.75" customHeight="1">
      <c r="BM20681" s="1025"/>
      <c r="BO20681" s="43"/>
    </row>
    <row r="20682" spans="65:67" ht="18.75" customHeight="1">
      <c r="BM20682" s="1025"/>
      <c r="BO20682" s="43"/>
    </row>
    <row r="20683" spans="65:67" ht="18.75" customHeight="1">
      <c r="BM20683" s="1025"/>
      <c r="BO20683" s="43"/>
    </row>
    <row r="20684" spans="65:67" ht="18.75" customHeight="1">
      <c r="BM20684" s="1025"/>
      <c r="BO20684" s="43"/>
    </row>
    <row r="20685" spans="65:67" ht="18.75" customHeight="1">
      <c r="BM20685" s="1025"/>
      <c r="BO20685" s="43"/>
    </row>
    <row r="20686" spans="65:67" ht="18.75" customHeight="1">
      <c r="BM20686" s="1025"/>
      <c r="BO20686" s="43"/>
    </row>
    <row r="20687" spans="65:67" ht="18.75" customHeight="1">
      <c r="BM20687" s="1025"/>
      <c r="BO20687" s="43"/>
    </row>
    <row r="20688" spans="65:67" ht="18.75" customHeight="1">
      <c r="BM20688" s="1025"/>
      <c r="BO20688" s="43"/>
    </row>
    <row r="20689" spans="65:67" ht="18.75" customHeight="1">
      <c r="BM20689" s="1025"/>
      <c r="BO20689" s="43"/>
    </row>
    <row r="20690" spans="65:67" ht="18.75" customHeight="1">
      <c r="BM20690" s="1025"/>
      <c r="BO20690" s="43"/>
    </row>
    <row r="20691" spans="65:67" ht="18.75" customHeight="1">
      <c r="BM20691" s="1025"/>
      <c r="BO20691" s="43"/>
    </row>
    <row r="20692" spans="65:67" ht="18.75" customHeight="1">
      <c r="BM20692" s="1025"/>
      <c r="BO20692" s="43"/>
    </row>
    <row r="20693" spans="65:67" ht="18.75" customHeight="1">
      <c r="BM20693" s="1025"/>
      <c r="BO20693" s="43"/>
    </row>
    <row r="20694" spans="65:67" ht="18.75" customHeight="1">
      <c r="BM20694" s="1025"/>
      <c r="BO20694" s="43"/>
    </row>
    <row r="20695" spans="65:67" ht="18.75" customHeight="1">
      <c r="BM20695" s="1025"/>
      <c r="BO20695" s="43"/>
    </row>
    <row r="20696" spans="65:67" ht="18.75" customHeight="1">
      <c r="BM20696" s="1025"/>
      <c r="BO20696" s="43"/>
    </row>
    <row r="20697" spans="65:67" ht="18.75" customHeight="1">
      <c r="BM20697" s="1025"/>
      <c r="BO20697" s="43"/>
    </row>
    <row r="20698" spans="65:67" ht="18.75" customHeight="1">
      <c r="BM20698" s="1025"/>
      <c r="BO20698" s="43"/>
    </row>
    <row r="20699" spans="65:67" ht="18.75" customHeight="1">
      <c r="BM20699" s="1025"/>
      <c r="BO20699" s="43"/>
    </row>
    <row r="20700" spans="65:67" ht="18.75" customHeight="1">
      <c r="BM20700" s="1025"/>
      <c r="BO20700" s="43"/>
    </row>
    <row r="20701" spans="65:67" ht="18.75" customHeight="1">
      <c r="BM20701" s="1025"/>
      <c r="BO20701" s="43"/>
    </row>
    <row r="20702" spans="65:67" ht="18.75" customHeight="1">
      <c r="BM20702" s="1025"/>
      <c r="BO20702" s="43"/>
    </row>
    <row r="20703" spans="65:67" ht="18.75" customHeight="1">
      <c r="BM20703" s="1025"/>
      <c r="BO20703" s="43"/>
    </row>
    <row r="20704" spans="65:67" ht="18.75" customHeight="1">
      <c r="BM20704" s="1025"/>
      <c r="BO20704" s="43"/>
    </row>
    <row r="20705" spans="65:67" ht="18.75" customHeight="1">
      <c r="BM20705" s="1025"/>
      <c r="BO20705" s="43"/>
    </row>
    <row r="20706" spans="65:67" ht="18.75" customHeight="1">
      <c r="BM20706" s="1025"/>
      <c r="BO20706" s="43"/>
    </row>
    <row r="20707" spans="65:67" ht="18.75" customHeight="1">
      <c r="BM20707" s="1025"/>
      <c r="BO20707" s="43"/>
    </row>
    <row r="20708" spans="65:67" ht="18.75" customHeight="1">
      <c r="BM20708" s="1025"/>
      <c r="BO20708" s="43"/>
    </row>
    <row r="20709" spans="65:67" ht="18.75" customHeight="1">
      <c r="BM20709" s="1025"/>
      <c r="BO20709" s="43"/>
    </row>
    <row r="20710" spans="65:67" ht="18.75" customHeight="1">
      <c r="BM20710" s="1025"/>
      <c r="BO20710" s="43"/>
    </row>
    <row r="20711" spans="65:67" ht="18.75" customHeight="1">
      <c r="BM20711" s="1025"/>
      <c r="BO20711" s="43"/>
    </row>
    <row r="20712" spans="65:67" ht="18.75" customHeight="1">
      <c r="BM20712" s="1025"/>
      <c r="BO20712" s="43"/>
    </row>
    <row r="20713" spans="65:67" ht="18.75" customHeight="1">
      <c r="BM20713" s="1025"/>
      <c r="BO20713" s="43"/>
    </row>
    <row r="20714" spans="65:67" ht="18.75" customHeight="1">
      <c r="BM20714" s="1025"/>
      <c r="BO20714" s="43"/>
    </row>
    <row r="20715" spans="65:67" ht="18.75" customHeight="1">
      <c r="BM20715" s="1025"/>
      <c r="BO20715" s="43"/>
    </row>
    <row r="20716" spans="65:67" ht="18.75" customHeight="1">
      <c r="BM20716" s="1025"/>
      <c r="BO20716" s="43"/>
    </row>
    <row r="20717" spans="65:67" ht="18.75" customHeight="1">
      <c r="BM20717" s="1025"/>
      <c r="BO20717" s="43"/>
    </row>
    <row r="20718" spans="65:67" ht="18.75" customHeight="1">
      <c r="BM20718" s="1025"/>
      <c r="BO20718" s="43"/>
    </row>
    <row r="20719" spans="65:67" ht="18.75" customHeight="1">
      <c r="BM20719" s="1025"/>
      <c r="BO20719" s="43"/>
    </row>
    <row r="20720" spans="65:67" ht="18.75" customHeight="1">
      <c r="BM20720" s="1025"/>
      <c r="BO20720" s="43"/>
    </row>
    <row r="20721" spans="65:67" ht="18.75" customHeight="1">
      <c r="BM20721" s="1025"/>
      <c r="BO20721" s="43"/>
    </row>
    <row r="20722" spans="65:67" ht="18.75" customHeight="1">
      <c r="BM20722" s="1025"/>
      <c r="BO20722" s="43"/>
    </row>
    <row r="20723" spans="65:67" ht="18.75" customHeight="1">
      <c r="BM20723" s="1025"/>
      <c r="BO20723" s="43"/>
    </row>
    <row r="20724" spans="65:67" ht="18.75" customHeight="1">
      <c r="BM20724" s="1025"/>
      <c r="BO20724" s="43"/>
    </row>
    <row r="20725" spans="65:67" ht="18.75" customHeight="1">
      <c r="BM20725" s="1025"/>
      <c r="BO20725" s="43"/>
    </row>
    <row r="20726" spans="65:67" ht="18.75" customHeight="1">
      <c r="BM20726" s="1025"/>
      <c r="BO20726" s="43"/>
    </row>
    <row r="20727" spans="65:67" ht="18.75" customHeight="1">
      <c r="BM20727" s="1025"/>
      <c r="BO20727" s="43"/>
    </row>
    <row r="20728" spans="65:67" ht="18.75" customHeight="1">
      <c r="BM20728" s="1025"/>
      <c r="BO20728" s="43"/>
    </row>
    <row r="20729" spans="65:67" ht="18.75" customHeight="1">
      <c r="BM20729" s="1025"/>
      <c r="BO20729" s="43"/>
    </row>
    <row r="20730" spans="65:67" ht="18.75" customHeight="1">
      <c r="BM20730" s="1025"/>
      <c r="BO20730" s="43"/>
    </row>
    <row r="20731" spans="65:67" ht="18.75" customHeight="1">
      <c r="BM20731" s="1025"/>
      <c r="BO20731" s="43"/>
    </row>
    <row r="20732" spans="65:67" ht="18.75" customHeight="1">
      <c r="BM20732" s="1025"/>
      <c r="BO20732" s="43"/>
    </row>
    <row r="20733" spans="65:67" ht="18.75" customHeight="1">
      <c r="BM20733" s="1025"/>
      <c r="BO20733" s="43"/>
    </row>
    <row r="20734" spans="65:67" ht="18.75" customHeight="1">
      <c r="BM20734" s="1025"/>
      <c r="BO20734" s="43"/>
    </row>
    <row r="20735" spans="65:67" ht="18.75" customHeight="1">
      <c r="BM20735" s="1025"/>
      <c r="BO20735" s="43"/>
    </row>
    <row r="20736" spans="65:67" ht="18.75" customHeight="1">
      <c r="BM20736" s="1025"/>
      <c r="BO20736" s="43"/>
    </row>
    <row r="20737" spans="65:67" ht="18.75" customHeight="1">
      <c r="BM20737" s="1025"/>
      <c r="BO20737" s="43"/>
    </row>
    <row r="20738" spans="65:67" ht="18.75" customHeight="1">
      <c r="BM20738" s="1025"/>
      <c r="BO20738" s="43"/>
    </row>
    <row r="20739" spans="65:67" ht="18.75" customHeight="1">
      <c r="BM20739" s="1025"/>
      <c r="BO20739" s="43"/>
    </row>
    <row r="20740" spans="65:67" ht="18.75" customHeight="1">
      <c r="BM20740" s="1025"/>
      <c r="BO20740" s="43"/>
    </row>
    <row r="20741" spans="65:67" ht="18.75" customHeight="1">
      <c r="BM20741" s="1025"/>
      <c r="BO20741" s="43"/>
    </row>
    <row r="20742" spans="65:67" ht="18.75" customHeight="1">
      <c r="BM20742" s="1025"/>
      <c r="BO20742" s="43"/>
    </row>
    <row r="20743" spans="65:67" ht="18.75" customHeight="1">
      <c r="BM20743" s="1025"/>
      <c r="BO20743" s="43"/>
    </row>
    <row r="20744" spans="65:67" ht="18.75" customHeight="1">
      <c r="BM20744" s="1025"/>
      <c r="BO20744" s="43"/>
    </row>
    <row r="20745" spans="65:67" ht="18.75" customHeight="1">
      <c r="BM20745" s="1025"/>
      <c r="BO20745" s="43"/>
    </row>
    <row r="20746" spans="65:67" ht="18.75" customHeight="1">
      <c r="BM20746" s="1025"/>
      <c r="BO20746" s="43"/>
    </row>
    <row r="20747" spans="65:67" ht="18.75" customHeight="1">
      <c r="BM20747" s="1025"/>
      <c r="BO20747" s="43"/>
    </row>
    <row r="20748" spans="65:67" ht="18.75" customHeight="1">
      <c r="BM20748" s="1025"/>
      <c r="BO20748" s="43"/>
    </row>
    <row r="20749" spans="65:67" ht="18.75" customHeight="1">
      <c r="BM20749" s="1025"/>
      <c r="BO20749" s="43"/>
    </row>
    <row r="20750" spans="65:67" ht="18.75" customHeight="1">
      <c r="BM20750" s="1025"/>
      <c r="BO20750" s="43"/>
    </row>
    <row r="20751" spans="65:67" ht="18.75" customHeight="1">
      <c r="BM20751" s="1025"/>
      <c r="BO20751" s="43"/>
    </row>
    <row r="20752" spans="65:67" ht="18.75" customHeight="1">
      <c r="BM20752" s="1025"/>
      <c r="BO20752" s="43"/>
    </row>
    <row r="20753" spans="65:67" ht="18.75" customHeight="1">
      <c r="BM20753" s="1025"/>
      <c r="BO20753" s="43"/>
    </row>
    <row r="20754" spans="65:67" ht="18.75" customHeight="1">
      <c r="BM20754" s="1025"/>
      <c r="BO20754" s="43"/>
    </row>
    <row r="20755" spans="65:67" ht="18.75" customHeight="1">
      <c r="BM20755" s="1025"/>
      <c r="BO20755" s="43"/>
    </row>
    <row r="20756" spans="65:67" ht="18.75" customHeight="1">
      <c r="BM20756" s="1025"/>
      <c r="BO20756" s="43"/>
    </row>
    <row r="20757" spans="65:67" ht="18.75" customHeight="1">
      <c r="BM20757" s="1025"/>
      <c r="BO20757" s="43"/>
    </row>
    <row r="20758" spans="65:67" ht="18.75" customHeight="1">
      <c r="BM20758" s="1025"/>
      <c r="BO20758" s="43"/>
    </row>
    <row r="20759" spans="65:67" ht="18.75" customHeight="1">
      <c r="BM20759" s="1025"/>
      <c r="BO20759" s="43"/>
    </row>
    <row r="20760" spans="65:67" ht="18.75" customHeight="1">
      <c r="BM20760" s="1025"/>
      <c r="BO20760" s="43"/>
    </row>
    <row r="20761" spans="65:67" ht="18.75" customHeight="1">
      <c r="BM20761" s="1025"/>
      <c r="BO20761" s="43"/>
    </row>
    <row r="20762" spans="65:67" ht="18.75" customHeight="1">
      <c r="BM20762" s="1025"/>
      <c r="BO20762" s="43"/>
    </row>
    <row r="20763" spans="65:67" ht="18.75" customHeight="1">
      <c r="BM20763" s="1025"/>
      <c r="BO20763" s="43"/>
    </row>
    <row r="20764" spans="65:67" ht="18.75" customHeight="1">
      <c r="BM20764" s="1025"/>
      <c r="BO20764" s="43"/>
    </row>
    <row r="20765" spans="65:67" ht="18.75" customHeight="1">
      <c r="BM20765" s="1025"/>
      <c r="BO20765" s="43"/>
    </row>
    <row r="20766" spans="65:67" ht="18.75" customHeight="1">
      <c r="BM20766" s="1025"/>
      <c r="BO20766" s="43"/>
    </row>
    <row r="20767" spans="65:67" ht="18.75" customHeight="1">
      <c r="BM20767" s="1025"/>
      <c r="BO20767" s="43"/>
    </row>
    <row r="20768" spans="65:67" ht="18.75" customHeight="1">
      <c r="BM20768" s="1025"/>
      <c r="BO20768" s="43"/>
    </row>
    <row r="20769" spans="65:67" ht="18.75" customHeight="1">
      <c r="BM20769" s="1025"/>
      <c r="BO20769" s="43"/>
    </row>
    <row r="20770" spans="65:67" ht="18.75" customHeight="1">
      <c r="BM20770" s="1025"/>
      <c r="BO20770" s="43"/>
    </row>
    <row r="20771" spans="65:67" ht="18.75" customHeight="1">
      <c r="BM20771" s="1025"/>
      <c r="BO20771" s="43"/>
    </row>
    <row r="20772" spans="65:67" ht="18.75" customHeight="1">
      <c r="BM20772" s="1025"/>
      <c r="BO20772" s="43"/>
    </row>
    <row r="20773" spans="65:67" ht="18.75" customHeight="1">
      <c r="BM20773" s="1025"/>
      <c r="BO20773" s="43"/>
    </row>
    <row r="20774" spans="65:67" ht="18.75" customHeight="1">
      <c r="BM20774" s="1025"/>
      <c r="BO20774" s="43"/>
    </row>
    <row r="20775" spans="65:67" ht="18.75" customHeight="1">
      <c r="BM20775" s="1025"/>
      <c r="BO20775" s="43"/>
    </row>
    <row r="20776" spans="65:67" ht="18.75" customHeight="1">
      <c r="BM20776" s="1025"/>
      <c r="BO20776" s="43"/>
    </row>
    <row r="20777" spans="65:67" ht="18.75" customHeight="1">
      <c r="BM20777" s="1025"/>
      <c r="BO20777" s="43"/>
    </row>
    <row r="20778" spans="65:67" ht="18.75" customHeight="1">
      <c r="BM20778" s="1025"/>
      <c r="BO20778" s="43"/>
    </row>
    <row r="20779" spans="65:67" ht="18.75" customHeight="1">
      <c r="BM20779" s="1025"/>
      <c r="BO20779" s="43"/>
    </row>
    <row r="20780" spans="65:67" ht="18.75" customHeight="1">
      <c r="BM20780" s="1025"/>
      <c r="BO20780" s="43"/>
    </row>
    <row r="20781" spans="65:67" ht="18.75" customHeight="1">
      <c r="BM20781" s="1025"/>
      <c r="BO20781" s="43"/>
    </row>
    <row r="20782" spans="65:67" ht="18.75" customHeight="1">
      <c r="BM20782" s="1025"/>
      <c r="BO20782" s="43"/>
    </row>
    <row r="20783" spans="65:67" ht="18.75" customHeight="1">
      <c r="BM20783" s="1025"/>
      <c r="BO20783" s="43"/>
    </row>
    <row r="20784" spans="65:67" ht="18.75" customHeight="1">
      <c r="BM20784" s="1025"/>
      <c r="BO20784" s="43"/>
    </row>
    <row r="20785" spans="65:67" ht="18.75" customHeight="1">
      <c r="BM20785" s="1025"/>
      <c r="BO20785" s="43"/>
    </row>
    <row r="20786" spans="65:67" ht="18.75" customHeight="1">
      <c r="BM20786" s="1025"/>
      <c r="BO20786" s="43"/>
    </row>
    <row r="20787" spans="65:67" ht="18.75" customHeight="1">
      <c r="BM20787" s="1025"/>
      <c r="BO20787" s="43"/>
    </row>
    <row r="20788" spans="65:67" ht="18.75" customHeight="1">
      <c r="BM20788" s="1025"/>
      <c r="BO20788" s="43"/>
    </row>
    <row r="20789" spans="65:67" ht="18.75" customHeight="1">
      <c r="BM20789" s="1025"/>
      <c r="BO20789" s="43"/>
    </row>
    <row r="20790" spans="65:67" ht="18.75" customHeight="1">
      <c r="BM20790" s="1025"/>
      <c r="BO20790" s="43"/>
    </row>
    <row r="20791" spans="65:67" ht="18.75" customHeight="1">
      <c r="BM20791" s="1025"/>
      <c r="BO20791" s="43"/>
    </row>
    <row r="20792" spans="65:67" ht="18.75" customHeight="1">
      <c r="BM20792" s="1025"/>
      <c r="BO20792" s="43"/>
    </row>
    <row r="20793" spans="65:67" ht="18.75" customHeight="1">
      <c r="BM20793" s="1025"/>
      <c r="BO20793" s="43"/>
    </row>
    <row r="20794" spans="65:67" ht="18.75" customHeight="1">
      <c r="BM20794" s="1025"/>
      <c r="BO20794" s="43"/>
    </row>
    <row r="20795" spans="65:67" ht="18.75" customHeight="1">
      <c r="BM20795" s="1025"/>
      <c r="BO20795" s="43"/>
    </row>
    <row r="20796" spans="65:67" ht="18.75" customHeight="1">
      <c r="BM20796" s="1025"/>
      <c r="BO20796" s="43"/>
    </row>
    <row r="20797" spans="65:67" ht="18.75" customHeight="1">
      <c r="BM20797" s="1025"/>
      <c r="BO20797" s="43"/>
    </row>
    <row r="20798" spans="65:67" ht="18.75" customHeight="1">
      <c r="BM20798" s="1025"/>
      <c r="BO20798" s="43"/>
    </row>
    <row r="20799" spans="65:67" ht="18.75" customHeight="1">
      <c r="BM20799" s="1025"/>
      <c r="BO20799" s="43"/>
    </row>
    <row r="20800" spans="65:67" ht="18.75" customHeight="1">
      <c r="BM20800" s="1025"/>
      <c r="BO20800" s="43"/>
    </row>
    <row r="20801" spans="65:67" ht="18.75" customHeight="1">
      <c r="BM20801" s="1025"/>
      <c r="BO20801" s="43"/>
    </row>
    <row r="20802" spans="65:67" ht="18.75" customHeight="1">
      <c r="BM20802" s="1025"/>
      <c r="BO20802" s="43"/>
    </row>
    <row r="20803" spans="65:67" ht="18.75" customHeight="1">
      <c r="BM20803" s="1025"/>
      <c r="BO20803" s="43"/>
    </row>
    <row r="20804" spans="65:67" ht="18.75" customHeight="1">
      <c r="BM20804" s="1025"/>
      <c r="BO20804" s="43"/>
    </row>
    <row r="20805" spans="65:67" ht="18.75" customHeight="1">
      <c r="BM20805" s="1025"/>
      <c r="BO20805" s="43"/>
    </row>
    <row r="20806" spans="65:67" ht="18.75" customHeight="1">
      <c r="BM20806" s="1025"/>
      <c r="BO20806" s="43"/>
    </row>
    <row r="20807" spans="65:67" ht="18.75" customHeight="1">
      <c r="BM20807" s="1025"/>
      <c r="BO20807" s="43"/>
    </row>
    <row r="20808" spans="65:67" ht="18.75" customHeight="1">
      <c r="BM20808" s="1025"/>
      <c r="BO20808" s="43"/>
    </row>
    <row r="20809" spans="65:67" ht="18.75" customHeight="1">
      <c r="BM20809" s="1025"/>
      <c r="BO20809" s="43"/>
    </row>
    <row r="20810" spans="65:67" ht="18.75" customHeight="1">
      <c r="BM20810" s="1025"/>
      <c r="BO20810" s="43"/>
    </row>
    <row r="20811" spans="65:67" ht="18.75" customHeight="1">
      <c r="BM20811" s="1025"/>
      <c r="BO20811" s="43"/>
    </row>
    <row r="20812" spans="65:67" ht="18.75" customHeight="1">
      <c r="BM20812" s="1025"/>
      <c r="BO20812" s="43"/>
    </row>
    <row r="20813" spans="65:67" ht="18.75" customHeight="1">
      <c r="BM20813" s="1025"/>
      <c r="BO20813" s="43"/>
    </row>
    <row r="20814" spans="65:67" ht="18.75" customHeight="1">
      <c r="BM20814" s="1025"/>
      <c r="BO20814" s="43"/>
    </row>
    <row r="20815" spans="65:67" ht="18.75" customHeight="1">
      <c r="BM20815" s="1025"/>
      <c r="BO20815" s="43"/>
    </row>
    <row r="20816" spans="65:67" ht="18.75" customHeight="1">
      <c r="BM20816" s="1025"/>
      <c r="BO20816" s="43"/>
    </row>
    <row r="20817" spans="65:67" ht="18.75" customHeight="1">
      <c r="BM20817" s="1025"/>
      <c r="BO20817" s="43"/>
    </row>
    <row r="20818" spans="65:67" ht="18.75" customHeight="1">
      <c r="BM20818" s="1025"/>
      <c r="BO20818" s="43"/>
    </row>
    <row r="20819" spans="65:67" ht="18.75" customHeight="1">
      <c r="BM20819" s="1025"/>
      <c r="BO20819" s="43"/>
    </row>
    <row r="20820" spans="65:67" ht="18.75" customHeight="1">
      <c r="BM20820" s="1025"/>
      <c r="BO20820" s="43"/>
    </row>
    <row r="20821" spans="65:67" ht="18.75" customHeight="1">
      <c r="BM20821" s="1025"/>
      <c r="BO20821" s="43"/>
    </row>
    <row r="20822" spans="65:67" ht="18.75" customHeight="1">
      <c r="BM20822" s="1025"/>
      <c r="BO20822" s="43"/>
    </row>
    <row r="20823" spans="65:67" ht="18.75" customHeight="1">
      <c r="BM20823" s="1025"/>
      <c r="BO20823" s="43"/>
    </row>
    <row r="20824" spans="65:67" ht="18.75" customHeight="1">
      <c r="BM20824" s="1025"/>
      <c r="BO20824" s="43"/>
    </row>
    <row r="20825" spans="65:67" ht="18.75" customHeight="1">
      <c r="BM20825" s="1025"/>
      <c r="BO20825" s="43"/>
    </row>
    <row r="20826" spans="65:67" ht="18.75" customHeight="1">
      <c r="BM20826" s="1025"/>
      <c r="BO20826" s="43"/>
    </row>
    <row r="20827" spans="65:67" ht="18.75" customHeight="1">
      <c r="BM20827" s="1025"/>
      <c r="BO20827" s="43"/>
    </row>
    <row r="20828" spans="65:67" ht="18.75" customHeight="1">
      <c r="BM20828" s="1025"/>
      <c r="BO20828" s="43"/>
    </row>
    <row r="20829" spans="65:67" ht="18.75" customHeight="1">
      <c r="BM20829" s="1025"/>
      <c r="BO20829" s="43"/>
    </row>
    <row r="20830" spans="65:67" ht="18.75" customHeight="1">
      <c r="BM20830" s="1025"/>
      <c r="BO20830" s="43"/>
    </row>
    <row r="20831" spans="65:67" ht="18.75" customHeight="1">
      <c r="BM20831" s="1025"/>
      <c r="BO20831" s="43"/>
    </row>
    <row r="20832" spans="65:67" ht="18.75" customHeight="1">
      <c r="BM20832" s="1025"/>
      <c r="BO20832" s="43"/>
    </row>
    <row r="20833" spans="65:67" ht="18.75" customHeight="1">
      <c r="BM20833" s="1025"/>
      <c r="BO20833" s="43"/>
    </row>
    <row r="20834" spans="65:67" ht="18.75" customHeight="1">
      <c r="BM20834" s="1025"/>
      <c r="BO20834" s="43"/>
    </row>
    <row r="20835" spans="65:67" ht="18.75" customHeight="1">
      <c r="BM20835" s="1025"/>
      <c r="BO20835" s="43"/>
    </row>
    <row r="20836" spans="65:67" ht="18.75" customHeight="1">
      <c r="BM20836" s="1025"/>
      <c r="BO20836" s="43"/>
    </row>
    <row r="20837" spans="65:67" ht="18.75" customHeight="1">
      <c r="BM20837" s="1025"/>
      <c r="BO20837" s="43"/>
    </row>
    <row r="20838" spans="65:67" ht="18.75" customHeight="1">
      <c r="BM20838" s="1025"/>
      <c r="BO20838" s="43"/>
    </row>
    <row r="20839" spans="65:67" ht="18.75" customHeight="1">
      <c r="BM20839" s="1025"/>
      <c r="BO20839" s="43"/>
    </row>
    <row r="20840" spans="65:67" ht="18.75" customHeight="1">
      <c r="BM20840" s="1025"/>
      <c r="BO20840" s="43"/>
    </row>
    <row r="20841" spans="65:67" ht="18.75" customHeight="1">
      <c r="BM20841" s="1025"/>
      <c r="BO20841" s="43"/>
    </row>
    <row r="20842" spans="65:67" ht="18.75" customHeight="1">
      <c r="BM20842" s="1025"/>
      <c r="BO20842" s="43"/>
    </row>
    <row r="20843" spans="65:67" ht="18.75" customHeight="1">
      <c r="BM20843" s="1025"/>
      <c r="BO20843" s="43"/>
    </row>
    <row r="20844" spans="65:67" ht="18.75" customHeight="1">
      <c r="BM20844" s="1025"/>
      <c r="BO20844" s="43"/>
    </row>
    <row r="20845" spans="65:67" ht="18.75" customHeight="1">
      <c r="BM20845" s="1025"/>
      <c r="BO20845" s="43"/>
    </row>
    <row r="20846" spans="65:67" ht="18.75" customHeight="1">
      <c r="BM20846" s="1025"/>
      <c r="BO20846" s="43"/>
    </row>
    <row r="20847" spans="65:67" ht="18.75" customHeight="1">
      <c r="BM20847" s="1025"/>
      <c r="BO20847" s="43"/>
    </row>
    <row r="20848" spans="65:67" ht="18.75" customHeight="1">
      <c r="BM20848" s="1025"/>
      <c r="BO20848" s="43"/>
    </row>
    <row r="20849" spans="65:67" ht="18.75" customHeight="1">
      <c r="BM20849" s="1025"/>
      <c r="BO20849" s="43"/>
    </row>
    <row r="20850" spans="65:67" ht="18.75" customHeight="1">
      <c r="BM20850" s="1025"/>
      <c r="BO20850" s="43"/>
    </row>
    <row r="20851" spans="65:67" ht="18.75" customHeight="1">
      <c r="BM20851" s="1025"/>
      <c r="BO20851" s="43"/>
    </row>
    <row r="20852" spans="65:67" ht="18.75" customHeight="1">
      <c r="BM20852" s="1025"/>
      <c r="BO20852" s="43"/>
    </row>
    <row r="20853" spans="65:67" ht="18.75" customHeight="1">
      <c r="BM20853" s="1025"/>
      <c r="BO20853" s="43"/>
    </row>
    <row r="20854" spans="65:67" ht="18.75" customHeight="1">
      <c r="BM20854" s="1025"/>
      <c r="BO20854" s="43"/>
    </row>
    <row r="20855" spans="65:67" ht="18.75" customHeight="1">
      <c r="BM20855" s="1025"/>
      <c r="BO20855" s="43"/>
    </row>
    <row r="20856" spans="65:67" ht="18.75" customHeight="1">
      <c r="BM20856" s="1025"/>
      <c r="BO20856" s="43"/>
    </row>
    <row r="20857" spans="65:67" ht="18.75" customHeight="1">
      <c r="BM20857" s="1025"/>
      <c r="BO20857" s="43"/>
    </row>
    <row r="20858" spans="65:67" ht="18.75" customHeight="1">
      <c r="BM20858" s="1025"/>
      <c r="BO20858" s="43"/>
    </row>
    <row r="20859" spans="65:67" ht="18.75" customHeight="1">
      <c r="BM20859" s="1025"/>
      <c r="BO20859" s="43"/>
    </row>
    <row r="20860" spans="65:67" ht="18.75" customHeight="1">
      <c r="BM20860" s="1025"/>
      <c r="BO20860" s="43"/>
    </row>
    <row r="20861" spans="65:67" ht="18.75" customHeight="1">
      <c r="BM20861" s="1025"/>
      <c r="BO20861" s="43"/>
    </row>
    <row r="20862" spans="65:67" ht="18.75" customHeight="1">
      <c r="BM20862" s="1025"/>
      <c r="BO20862" s="43"/>
    </row>
    <row r="20863" spans="65:67" ht="18.75" customHeight="1">
      <c r="BM20863" s="1025"/>
      <c r="BO20863" s="43"/>
    </row>
    <row r="20864" spans="65:67" ht="18.75" customHeight="1">
      <c r="BM20864" s="1025"/>
      <c r="BO20864" s="43"/>
    </row>
    <row r="20865" spans="65:67" ht="18.75" customHeight="1">
      <c r="BM20865" s="1025"/>
      <c r="BO20865" s="43"/>
    </row>
    <row r="20866" spans="65:67" ht="18.75" customHeight="1">
      <c r="BM20866" s="1025"/>
      <c r="BO20866" s="43"/>
    </row>
    <row r="20867" spans="65:67" ht="18.75" customHeight="1">
      <c r="BM20867" s="1025"/>
      <c r="BO20867" s="43"/>
    </row>
    <row r="20868" spans="65:67" ht="18.75" customHeight="1">
      <c r="BM20868" s="1025"/>
      <c r="BO20868" s="43"/>
    </row>
    <row r="20869" spans="65:67" ht="18.75" customHeight="1">
      <c r="BM20869" s="1025"/>
      <c r="BO20869" s="43"/>
    </row>
    <row r="20870" spans="65:67" ht="18.75" customHeight="1">
      <c r="BM20870" s="1025"/>
      <c r="BO20870" s="43"/>
    </row>
    <row r="20871" spans="65:67" ht="18.75" customHeight="1">
      <c r="BM20871" s="1025"/>
      <c r="BO20871" s="43"/>
    </row>
    <row r="20872" spans="65:67" ht="18.75" customHeight="1">
      <c r="BM20872" s="1025"/>
      <c r="BO20872" s="43"/>
    </row>
    <row r="20873" spans="65:67" ht="18.75" customHeight="1">
      <c r="BM20873" s="1025"/>
      <c r="BO20873" s="43"/>
    </row>
    <row r="20874" spans="65:67" ht="18.75" customHeight="1">
      <c r="BM20874" s="1025"/>
      <c r="BO20874" s="43"/>
    </row>
    <row r="20875" spans="65:67" ht="18.75" customHeight="1">
      <c r="BM20875" s="1025"/>
      <c r="BO20875" s="43"/>
    </row>
    <row r="20876" spans="65:67" ht="18.75" customHeight="1">
      <c r="BM20876" s="1025"/>
      <c r="BO20876" s="43"/>
    </row>
    <row r="20877" spans="65:67" ht="18.75" customHeight="1">
      <c r="BM20877" s="1025"/>
      <c r="BO20877" s="43"/>
    </row>
    <row r="20878" spans="65:67" ht="18.75" customHeight="1">
      <c r="BM20878" s="1025"/>
      <c r="BO20878" s="43"/>
    </row>
    <row r="20879" spans="65:67" ht="18.75" customHeight="1">
      <c r="BM20879" s="1025"/>
      <c r="BO20879" s="43"/>
    </row>
    <row r="20880" spans="65:67" ht="18.75" customHeight="1">
      <c r="BM20880" s="1025"/>
      <c r="BO20880" s="43"/>
    </row>
    <row r="20881" spans="65:67" ht="18.75" customHeight="1">
      <c r="BM20881" s="1025"/>
      <c r="BO20881" s="43"/>
    </row>
    <row r="20882" spans="65:67" ht="18.75" customHeight="1">
      <c r="BM20882" s="1025"/>
      <c r="BO20882" s="43"/>
    </row>
    <row r="20883" spans="65:67" ht="18.75" customHeight="1">
      <c r="BM20883" s="1025"/>
      <c r="BO20883" s="43"/>
    </row>
    <row r="20884" spans="65:67" ht="18.75" customHeight="1">
      <c r="BM20884" s="1025"/>
      <c r="BO20884" s="43"/>
    </row>
    <row r="20885" spans="65:67" ht="18.75" customHeight="1">
      <c r="BM20885" s="1025"/>
      <c r="BO20885" s="43"/>
    </row>
    <row r="20886" spans="65:67" ht="18.75" customHeight="1">
      <c r="BM20886" s="1025"/>
      <c r="BO20886" s="43"/>
    </row>
    <row r="20887" spans="65:67" ht="18.75" customHeight="1">
      <c r="BM20887" s="1025"/>
      <c r="BO20887" s="43"/>
    </row>
    <row r="20888" spans="65:67" ht="18.75" customHeight="1">
      <c r="BM20888" s="1025"/>
      <c r="BO20888" s="43"/>
    </row>
    <row r="20889" spans="65:67" ht="18.75" customHeight="1">
      <c r="BM20889" s="1025"/>
      <c r="BO20889" s="43"/>
    </row>
    <row r="20890" spans="65:67" ht="18.75" customHeight="1">
      <c r="BM20890" s="1025"/>
      <c r="BO20890" s="43"/>
    </row>
    <row r="20891" spans="65:67" ht="18.75" customHeight="1">
      <c r="BM20891" s="1025"/>
      <c r="BO20891" s="43"/>
    </row>
    <row r="20892" spans="65:67" ht="18.75" customHeight="1">
      <c r="BM20892" s="1025"/>
      <c r="BO20892" s="43"/>
    </row>
    <row r="20893" spans="65:67" ht="18.75" customHeight="1">
      <c r="BM20893" s="1025"/>
      <c r="BO20893" s="43"/>
    </row>
    <row r="20894" spans="65:67" ht="18.75" customHeight="1">
      <c r="BM20894" s="1025"/>
      <c r="BO20894" s="43"/>
    </row>
    <row r="20895" spans="65:67" ht="18.75" customHeight="1">
      <c r="BM20895" s="1025"/>
      <c r="BO20895" s="43"/>
    </row>
    <row r="20896" spans="65:67" ht="18.75" customHeight="1">
      <c r="BM20896" s="1025"/>
      <c r="BO20896" s="43"/>
    </row>
    <row r="20897" spans="65:67" ht="18.75" customHeight="1">
      <c r="BM20897" s="1025"/>
      <c r="BO20897" s="43"/>
    </row>
    <row r="20898" spans="65:67" ht="18.75" customHeight="1">
      <c r="BM20898" s="1025"/>
      <c r="BO20898" s="43"/>
    </row>
    <row r="20899" spans="65:67" ht="18.75" customHeight="1">
      <c r="BM20899" s="1025"/>
      <c r="BO20899" s="43"/>
    </row>
    <row r="20900" spans="65:67" ht="18.75" customHeight="1">
      <c r="BM20900" s="1025"/>
      <c r="BO20900" s="43"/>
    </row>
    <row r="20901" spans="65:67" ht="18.75" customHeight="1">
      <c r="BM20901" s="1025"/>
      <c r="BO20901" s="43"/>
    </row>
    <row r="20902" spans="65:67" ht="18.75" customHeight="1">
      <c r="BM20902" s="1025"/>
      <c r="BO20902" s="43"/>
    </row>
    <row r="20903" spans="65:67" ht="18.75" customHeight="1">
      <c r="BM20903" s="1025"/>
      <c r="BO20903" s="43"/>
    </row>
    <row r="20904" spans="65:67" ht="18.75" customHeight="1">
      <c r="BM20904" s="1025"/>
      <c r="BO20904" s="43"/>
    </row>
    <row r="20905" spans="65:67" ht="18.75" customHeight="1">
      <c r="BM20905" s="1025"/>
      <c r="BO20905" s="43"/>
    </row>
    <row r="20906" spans="65:67" ht="18.75" customHeight="1">
      <c r="BM20906" s="1025"/>
      <c r="BO20906" s="43"/>
    </row>
    <row r="20907" spans="65:67" ht="18.75" customHeight="1">
      <c r="BM20907" s="1025"/>
      <c r="BO20907" s="43"/>
    </row>
    <row r="20908" spans="65:67" ht="18.75" customHeight="1">
      <c r="BM20908" s="1025"/>
      <c r="BO20908" s="43"/>
    </row>
    <row r="20909" spans="65:67" ht="18.75" customHeight="1">
      <c r="BM20909" s="1025"/>
      <c r="BO20909" s="43"/>
    </row>
    <row r="20910" spans="65:67" ht="18.75" customHeight="1">
      <c r="BM20910" s="1025"/>
      <c r="BO20910" s="43"/>
    </row>
    <row r="20911" spans="65:67" ht="18.75" customHeight="1">
      <c r="BM20911" s="1025"/>
      <c r="BO20911" s="43"/>
    </row>
    <row r="20912" spans="65:67" ht="18.75" customHeight="1">
      <c r="BM20912" s="1025"/>
      <c r="BO20912" s="43"/>
    </row>
    <row r="20913" spans="65:67" ht="18.75" customHeight="1">
      <c r="BM20913" s="1025"/>
      <c r="BO20913" s="43"/>
    </row>
    <row r="20914" spans="65:67" ht="18.75" customHeight="1">
      <c r="BM20914" s="1025"/>
      <c r="BO20914" s="43"/>
    </row>
    <row r="20915" spans="65:67" ht="18.75" customHeight="1">
      <c r="BM20915" s="1025"/>
      <c r="BO20915" s="43"/>
    </row>
    <row r="20916" spans="65:67" ht="18.75" customHeight="1">
      <c r="BM20916" s="1025"/>
      <c r="BO20916" s="43"/>
    </row>
    <row r="20917" spans="65:67" ht="18.75" customHeight="1">
      <c r="BM20917" s="1025"/>
      <c r="BO20917" s="43"/>
    </row>
    <row r="20918" spans="65:67" ht="18.75" customHeight="1">
      <c r="BM20918" s="1025"/>
      <c r="BO20918" s="43"/>
    </row>
    <row r="20919" spans="65:67" ht="18.75" customHeight="1">
      <c r="BM20919" s="1025"/>
      <c r="BO20919" s="43"/>
    </row>
    <row r="20920" spans="65:67" ht="18.75" customHeight="1">
      <c r="BM20920" s="1025"/>
      <c r="BO20920" s="43"/>
    </row>
    <row r="20921" spans="65:67" ht="18.75" customHeight="1">
      <c r="BM20921" s="1025"/>
      <c r="BO20921" s="43"/>
    </row>
    <row r="20922" spans="65:67" ht="18.75" customHeight="1">
      <c r="BM20922" s="1025"/>
      <c r="BO20922" s="43"/>
    </row>
    <row r="20923" spans="65:67" ht="18.75" customHeight="1">
      <c r="BM20923" s="1025"/>
      <c r="BO20923" s="43"/>
    </row>
    <row r="20924" spans="65:67" ht="18.75" customHeight="1">
      <c r="BM20924" s="1025"/>
      <c r="BO20924" s="43"/>
    </row>
    <row r="20925" spans="65:67" ht="18.75" customHeight="1">
      <c r="BM20925" s="1025"/>
      <c r="BO20925" s="43"/>
    </row>
    <row r="20926" spans="65:67" ht="18.75" customHeight="1">
      <c r="BM20926" s="1025"/>
      <c r="BO20926" s="43"/>
    </row>
    <row r="20927" spans="65:67" ht="18.75" customHeight="1">
      <c r="BM20927" s="1025"/>
      <c r="BO20927" s="43"/>
    </row>
    <row r="20928" spans="65:67" ht="18.75" customHeight="1">
      <c r="BM20928" s="1025"/>
      <c r="BO20928" s="43"/>
    </row>
    <row r="20929" spans="65:67" ht="18.75" customHeight="1">
      <c r="BM20929" s="1025"/>
      <c r="BO20929" s="43"/>
    </row>
    <row r="20930" spans="65:67" ht="18.75" customHeight="1">
      <c r="BM20930" s="1025"/>
      <c r="BO20930" s="43"/>
    </row>
    <row r="20931" spans="65:67" ht="18.75" customHeight="1">
      <c r="BM20931" s="1025"/>
      <c r="BO20931" s="43"/>
    </row>
    <row r="20932" spans="65:67" ht="18.75" customHeight="1">
      <c r="BM20932" s="1025"/>
      <c r="BO20932" s="43"/>
    </row>
    <row r="20933" spans="65:67" ht="18.75" customHeight="1">
      <c r="BM20933" s="1025"/>
      <c r="BO20933" s="43"/>
    </row>
    <row r="20934" spans="65:67" ht="18.75" customHeight="1">
      <c r="BM20934" s="1025"/>
      <c r="BO20934" s="43"/>
    </row>
    <row r="20935" spans="65:67" ht="18.75" customHeight="1">
      <c r="BM20935" s="1025"/>
      <c r="BO20935" s="43"/>
    </row>
    <row r="20936" spans="65:67" ht="18.75" customHeight="1">
      <c r="BM20936" s="1025"/>
      <c r="BO20936" s="43"/>
    </row>
    <row r="20937" spans="65:67" ht="18.75" customHeight="1">
      <c r="BM20937" s="1025"/>
      <c r="BO20937" s="43"/>
    </row>
    <row r="20938" spans="65:67" ht="18.75" customHeight="1">
      <c r="BM20938" s="1025"/>
      <c r="BO20938" s="43"/>
    </row>
    <row r="20939" spans="65:67" ht="18.75" customHeight="1">
      <c r="BM20939" s="1025"/>
      <c r="BO20939" s="43"/>
    </row>
    <row r="20940" spans="65:67" ht="18.75" customHeight="1">
      <c r="BM20940" s="1025"/>
      <c r="BO20940" s="43"/>
    </row>
    <row r="20941" spans="65:67" ht="18.75" customHeight="1">
      <c r="BM20941" s="1025"/>
      <c r="BO20941" s="43"/>
    </row>
    <row r="20942" spans="65:67" ht="18.75" customHeight="1">
      <c r="BM20942" s="1025"/>
      <c r="BO20942" s="43"/>
    </row>
    <row r="20943" spans="65:67" ht="18.75" customHeight="1">
      <c r="BM20943" s="1025"/>
      <c r="BO20943" s="43"/>
    </row>
    <row r="20944" spans="65:67" ht="18.75" customHeight="1">
      <c r="BM20944" s="1025"/>
      <c r="BO20944" s="43"/>
    </row>
    <row r="20945" spans="65:67" ht="18.75" customHeight="1">
      <c r="BM20945" s="1025"/>
      <c r="BO20945" s="43"/>
    </row>
    <row r="20946" spans="65:67" ht="18.75" customHeight="1">
      <c r="BM20946" s="1025"/>
      <c r="BO20946" s="43"/>
    </row>
    <row r="20947" spans="65:67" ht="18.75" customHeight="1">
      <c r="BM20947" s="1025"/>
      <c r="BO20947" s="43"/>
    </row>
    <row r="20948" spans="65:67" ht="18.75" customHeight="1">
      <c r="BM20948" s="1025"/>
      <c r="BO20948" s="43"/>
    </row>
    <row r="20949" spans="65:67" ht="18.75" customHeight="1">
      <c r="BM20949" s="1025"/>
      <c r="BO20949" s="43"/>
    </row>
    <row r="20950" spans="65:67" ht="18.75" customHeight="1">
      <c r="BM20950" s="1025"/>
      <c r="BO20950" s="43"/>
    </row>
    <row r="20951" spans="65:67" ht="18.75" customHeight="1">
      <c r="BM20951" s="1025"/>
      <c r="BO20951" s="43"/>
    </row>
    <row r="20952" spans="65:67" ht="18.75" customHeight="1">
      <c r="BM20952" s="1025"/>
      <c r="BO20952" s="43"/>
    </row>
    <row r="20953" spans="65:67" ht="18.75" customHeight="1">
      <c r="BM20953" s="1025"/>
      <c r="BO20953" s="43"/>
    </row>
    <row r="20954" spans="65:67" ht="18.75" customHeight="1">
      <c r="BM20954" s="1025"/>
      <c r="BO20954" s="43"/>
    </row>
    <row r="20955" spans="65:67" ht="18.75" customHeight="1">
      <c r="BM20955" s="1025"/>
      <c r="BO20955" s="43"/>
    </row>
    <row r="20956" spans="65:67" ht="18.75" customHeight="1">
      <c r="BM20956" s="1025"/>
      <c r="BO20956" s="43"/>
    </row>
    <row r="20957" spans="65:67" ht="18.75" customHeight="1">
      <c r="BM20957" s="1025"/>
      <c r="BO20957" s="43"/>
    </row>
    <row r="20958" spans="65:67" ht="18.75" customHeight="1">
      <c r="BM20958" s="1025"/>
      <c r="BO20958" s="43"/>
    </row>
    <row r="20959" spans="65:67" ht="18.75" customHeight="1">
      <c r="BM20959" s="1025"/>
      <c r="BO20959" s="43"/>
    </row>
    <row r="20960" spans="65:67" ht="18.75" customHeight="1">
      <c r="BM20960" s="1025"/>
      <c r="BO20960" s="43"/>
    </row>
    <row r="20961" spans="65:67" ht="18.75" customHeight="1">
      <c r="BM20961" s="1025"/>
      <c r="BO20961" s="43"/>
    </row>
    <row r="20962" spans="65:67" ht="18.75" customHeight="1">
      <c r="BM20962" s="1025"/>
      <c r="BO20962" s="43"/>
    </row>
    <row r="20963" spans="65:67" ht="18.75" customHeight="1">
      <c r="BM20963" s="1025"/>
      <c r="BO20963" s="43"/>
    </row>
    <row r="20964" spans="65:67" ht="18.75" customHeight="1">
      <c r="BM20964" s="1025"/>
      <c r="BO20964" s="43"/>
    </row>
    <row r="20965" spans="65:67" ht="18.75" customHeight="1">
      <c r="BM20965" s="1025"/>
      <c r="BO20965" s="43"/>
    </row>
    <row r="20966" spans="65:67" ht="18.75" customHeight="1">
      <c r="BM20966" s="1025"/>
      <c r="BO20966" s="43"/>
    </row>
    <row r="20967" spans="65:67" ht="18.75" customHeight="1">
      <c r="BM20967" s="1025"/>
      <c r="BO20967" s="43"/>
    </row>
    <row r="20968" spans="65:67" ht="18.75" customHeight="1">
      <c r="BM20968" s="1025"/>
      <c r="BO20968" s="43"/>
    </row>
    <row r="20969" spans="65:67" ht="18.75" customHeight="1">
      <c r="BM20969" s="1025"/>
      <c r="BO20969" s="43"/>
    </row>
    <row r="20970" spans="65:67" ht="18.75" customHeight="1">
      <c r="BM20970" s="1025"/>
      <c r="BO20970" s="43"/>
    </row>
    <row r="20971" spans="65:67" ht="18.75" customHeight="1">
      <c r="BM20971" s="1025"/>
      <c r="BO20971" s="43"/>
    </row>
    <row r="20972" spans="65:67" ht="18.75" customHeight="1">
      <c r="BM20972" s="1025"/>
      <c r="BO20972" s="43"/>
    </row>
    <row r="20973" spans="65:67" ht="18.75" customHeight="1">
      <c r="BM20973" s="1025"/>
      <c r="BO20973" s="43"/>
    </row>
    <row r="20974" spans="65:67" ht="18.75" customHeight="1">
      <c r="BM20974" s="1025"/>
      <c r="BO20974" s="43"/>
    </row>
    <row r="20975" spans="65:67" ht="18.75" customHeight="1">
      <c r="BM20975" s="1025"/>
      <c r="BO20975" s="43"/>
    </row>
    <row r="20976" spans="65:67" ht="18.75" customHeight="1">
      <c r="BM20976" s="1025"/>
      <c r="BO20976" s="43"/>
    </row>
    <row r="20977" spans="65:67" ht="18.75" customHeight="1">
      <c r="BM20977" s="1025"/>
      <c r="BO20977" s="43"/>
    </row>
    <row r="20978" spans="65:67" ht="18.75" customHeight="1">
      <c r="BM20978" s="1025"/>
      <c r="BO20978" s="43"/>
    </row>
    <row r="20979" spans="65:67" ht="18.75" customHeight="1">
      <c r="BM20979" s="1025"/>
      <c r="BO20979" s="43"/>
    </row>
    <row r="20980" spans="65:67" ht="18.75" customHeight="1">
      <c r="BM20980" s="1025"/>
      <c r="BO20980" s="43"/>
    </row>
    <row r="20981" spans="65:67" ht="18.75" customHeight="1">
      <c r="BM20981" s="1025"/>
      <c r="BO20981" s="43"/>
    </row>
    <row r="20982" spans="65:67" ht="18.75" customHeight="1">
      <c r="BM20982" s="1025"/>
      <c r="BO20982" s="43"/>
    </row>
    <row r="20983" spans="65:67" ht="18.75" customHeight="1">
      <c r="BM20983" s="1025"/>
      <c r="BO20983" s="43"/>
    </row>
    <row r="20984" spans="65:67" ht="18.75" customHeight="1">
      <c r="BM20984" s="1025"/>
      <c r="BO20984" s="43"/>
    </row>
    <row r="20985" spans="65:67" ht="18.75" customHeight="1">
      <c r="BM20985" s="1025"/>
      <c r="BO20985" s="43"/>
    </row>
    <row r="20986" spans="65:67" ht="18.75" customHeight="1">
      <c r="BM20986" s="1025"/>
      <c r="BO20986" s="43"/>
    </row>
    <row r="20987" spans="65:67" ht="18.75" customHeight="1">
      <c r="BM20987" s="1025"/>
      <c r="BO20987" s="43"/>
    </row>
    <row r="20988" spans="65:67" ht="18.75" customHeight="1">
      <c r="BM20988" s="1025"/>
      <c r="BO20988" s="43"/>
    </row>
    <row r="20989" spans="65:67" ht="18.75" customHeight="1">
      <c r="BM20989" s="1025"/>
      <c r="BO20989" s="43"/>
    </row>
    <row r="20990" spans="65:67" ht="18.75" customHeight="1">
      <c r="BM20990" s="1025"/>
      <c r="BO20990" s="43"/>
    </row>
    <row r="20991" spans="65:67" ht="18.75" customHeight="1">
      <c r="BM20991" s="1025"/>
      <c r="BO20991" s="43"/>
    </row>
    <row r="20992" spans="65:67" ht="18.75" customHeight="1">
      <c r="BM20992" s="1025"/>
      <c r="BO20992" s="43"/>
    </row>
    <row r="20993" spans="65:67" ht="18.75" customHeight="1">
      <c r="BM20993" s="1025"/>
      <c r="BO20993" s="43"/>
    </row>
    <row r="20994" spans="65:67" ht="18.75" customHeight="1">
      <c r="BM20994" s="1025"/>
      <c r="BO20994" s="43"/>
    </row>
    <row r="20995" spans="65:67" ht="18.75" customHeight="1">
      <c r="BM20995" s="1025"/>
      <c r="BO20995" s="43"/>
    </row>
    <row r="20996" spans="65:67" ht="18.75" customHeight="1">
      <c r="BM20996" s="1025"/>
      <c r="BO20996" s="43"/>
    </row>
    <row r="20997" spans="65:67" ht="18.75" customHeight="1">
      <c r="BM20997" s="1025"/>
      <c r="BO20997" s="43"/>
    </row>
    <row r="20998" spans="65:67" ht="18.75" customHeight="1">
      <c r="BM20998" s="1025"/>
      <c r="BO20998" s="43"/>
    </row>
    <row r="20999" spans="65:67" ht="18.75" customHeight="1">
      <c r="BM20999" s="1025"/>
      <c r="BO20999" s="43"/>
    </row>
    <row r="21000" spans="65:67" ht="18.75" customHeight="1">
      <c r="BM21000" s="1025"/>
      <c r="BO21000" s="43"/>
    </row>
    <row r="21001" spans="65:67" ht="18.75" customHeight="1">
      <c r="BM21001" s="1025"/>
      <c r="BO21001" s="43"/>
    </row>
    <row r="21002" spans="65:67" ht="18.75" customHeight="1">
      <c r="BM21002" s="1025"/>
      <c r="BO21002" s="43"/>
    </row>
    <row r="21003" spans="65:67" ht="18.75" customHeight="1">
      <c r="BM21003" s="1025"/>
      <c r="BO21003" s="43"/>
    </row>
    <row r="21004" spans="65:67" ht="18.75" customHeight="1">
      <c r="BM21004" s="1025"/>
      <c r="BO21004" s="43"/>
    </row>
    <row r="21005" spans="65:67" ht="18.75" customHeight="1">
      <c r="BM21005" s="1025"/>
      <c r="BO21005" s="43"/>
    </row>
    <row r="21006" spans="65:67" ht="18.75" customHeight="1">
      <c r="BM21006" s="1025"/>
      <c r="BO21006" s="43"/>
    </row>
    <row r="21007" spans="65:67" ht="18.75" customHeight="1">
      <c r="BM21007" s="1025"/>
      <c r="BO21007" s="43"/>
    </row>
    <row r="21008" spans="65:67" ht="18.75" customHeight="1">
      <c r="BM21008" s="1025"/>
      <c r="BO21008" s="43"/>
    </row>
    <row r="21009" spans="65:67" ht="18.75" customHeight="1">
      <c r="BM21009" s="1025"/>
      <c r="BO21009" s="43"/>
    </row>
    <row r="21010" spans="65:67" ht="18.75" customHeight="1">
      <c r="BM21010" s="1025"/>
      <c r="BO21010" s="43"/>
    </row>
    <row r="21011" spans="65:67" ht="18.75" customHeight="1">
      <c r="BM21011" s="1025"/>
      <c r="BO21011" s="43"/>
    </row>
    <row r="21012" spans="65:67" ht="18.75" customHeight="1">
      <c r="BM21012" s="1025"/>
      <c r="BO21012" s="43"/>
    </row>
    <row r="21013" spans="65:67" ht="18.75" customHeight="1">
      <c r="BM21013" s="1025"/>
      <c r="BO21013" s="43"/>
    </row>
    <row r="21014" spans="65:67" ht="18.75" customHeight="1">
      <c r="BM21014" s="1025"/>
      <c r="BO21014" s="43"/>
    </row>
    <row r="21015" spans="65:67" ht="18.75" customHeight="1">
      <c r="BM21015" s="1025"/>
      <c r="BO21015" s="43"/>
    </row>
    <row r="21016" spans="65:67" ht="18.75" customHeight="1">
      <c r="BM21016" s="1025"/>
      <c r="BO21016" s="43"/>
    </row>
    <row r="21017" spans="65:67" ht="18.75" customHeight="1">
      <c r="BM21017" s="1025"/>
      <c r="BO21017" s="43"/>
    </row>
    <row r="21018" spans="65:67" ht="18.75" customHeight="1">
      <c r="BM21018" s="1025"/>
      <c r="BO21018" s="43"/>
    </row>
    <row r="21019" spans="65:67" ht="18.75" customHeight="1">
      <c r="BM21019" s="1025"/>
      <c r="BO21019" s="43"/>
    </row>
    <row r="21020" spans="65:67" ht="18.75" customHeight="1">
      <c r="BM21020" s="1025"/>
      <c r="BO21020" s="43"/>
    </row>
    <row r="21021" spans="65:67" ht="18.75" customHeight="1">
      <c r="BM21021" s="1025"/>
      <c r="BO21021" s="43"/>
    </row>
    <row r="21022" spans="65:67" ht="18.75" customHeight="1">
      <c r="BM21022" s="1025"/>
      <c r="BO21022" s="43"/>
    </row>
    <row r="21023" spans="65:67" ht="18.75" customHeight="1">
      <c r="BM21023" s="1025"/>
      <c r="BO21023" s="43"/>
    </row>
    <row r="21024" spans="65:67" ht="18.75" customHeight="1">
      <c r="BM21024" s="1025"/>
      <c r="BO21024" s="43"/>
    </row>
    <row r="21025" spans="65:67" ht="18.75" customHeight="1">
      <c r="BM21025" s="1025"/>
      <c r="BO21025" s="43"/>
    </row>
    <row r="21026" spans="65:67" ht="18.75" customHeight="1">
      <c r="BM21026" s="1025"/>
      <c r="BO21026" s="43"/>
    </row>
    <row r="21027" spans="65:67" ht="18.75" customHeight="1">
      <c r="BM21027" s="1025"/>
      <c r="BO21027" s="43"/>
    </row>
    <row r="21028" spans="65:67" ht="18.75" customHeight="1">
      <c r="BM21028" s="1025"/>
      <c r="BO21028" s="43"/>
    </row>
    <row r="21029" spans="65:67" ht="18.75" customHeight="1">
      <c r="BM21029" s="1025"/>
      <c r="BO21029" s="43"/>
    </row>
    <row r="21030" spans="65:67" ht="18.75" customHeight="1">
      <c r="BM21030" s="1025"/>
      <c r="BO21030" s="43"/>
    </row>
    <row r="21031" spans="65:67" ht="18.75" customHeight="1">
      <c r="BM21031" s="1025"/>
      <c r="BO21031" s="43"/>
    </row>
    <row r="21032" spans="65:67" ht="18.75" customHeight="1">
      <c r="BM21032" s="1025"/>
      <c r="BO21032" s="43"/>
    </row>
    <row r="21033" spans="65:67" ht="18.75" customHeight="1">
      <c r="BM21033" s="1025"/>
      <c r="BO21033" s="43"/>
    </row>
    <row r="21034" spans="65:67" ht="18.75" customHeight="1">
      <c r="BM21034" s="1025"/>
      <c r="BO21034" s="43"/>
    </row>
    <row r="21035" spans="65:67" ht="18.75" customHeight="1">
      <c r="BM21035" s="1025"/>
      <c r="BO21035" s="43"/>
    </row>
    <row r="21036" spans="65:67" ht="18.75" customHeight="1">
      <c r="BM21036" s="1025"/>
      <c r="BO21036" s="43"/>
    </row>
    <row r="21037" spans="65:67" ht="18.75" customHeight="1">
      <c r="BM21037" s="1025"/>
      <c r="BO21037" s="43"/>
    </row>
    <row r="21038" spans="65:67" ht="18.75" customHeight="1">
      <c r="BM21038" s="1025"/>
      <c r="BO21038" s="43"/>
    </row>
    <row r="21039" spans="65:67" ht="18.75" customHeight="1">
      <c r="BM21039" s="1025"/>
      <c r="BO21039" s="43"/>
    </row>
    <row r="21040" spans="65:67" ht="18.75" customHeight="1">
      <c r="BM21040" s="1025"/>
      <c r="BO21040" s="43"/>
    </row>
    <row r="21041" spans="65:67" ht="18.75" customHeight="1">
      <c r="BM21041" s="1025"/>
      <c r="BO21041" s="43"/>
    </row>
    <row r="21042" spans="65:67" ht="18.75" customHeight="1">
      <c r="BM21042" s="1025"/>
      <c r="BO21042" s="43"/>
    </row>
    <row r="21043" spans="65:67" ht="18.75" customHeight="1">
      <c r="BM21043" s="1025"/>
      <c r="BO21043" s="43"/>
    </row>
    <row r="21044" spans="65:67" ht="18.75" customHeight="1">
      <c r="BM21044" s="1025"/>
      <c r="BO21044" s="43"/>
    </row>
    <row r="21045" spans="65:67" ht="18.75" customHeight="1">
      <c r="BM21045" s="1025"/>
      <c r="BO21045" s="43"/>
    </row>
    <row r="21046" spans="65:67" ht="18.75" customHeight="1">
      <c r="BM21046" s="1025"/>
      <c r="BO21046" s="43"/>
    </row>
    <row r="21047" spans="65:67" ht="18.75" customHeight="1">
      <c r="BM21047" s="1025"/>
      <c r="BO21047" s="43"/>
    </row>
    <row r="21048" spans="65:67" ht="18.75" customHeight="1">
      <c r="BM21048" s="1025"/>
      <c r="BO21048" s="43"/>
    </row>
    <row r="21049" spans="65:67" ht="18.75" customHeight="1">
      <c r="BM21049" s="1025"/>
      <c r="BO21049" s="43"/>
    </row>
    <row r="21050" spans="65:67" ht="18.75" customHeight="1">
      <c r="BM21050" s="1025"/>
      <c r="BO21050" s="43"/>
    </row>
    <row r="21051" spans="65:67" ht="18.75" customHeight="1">
      <c r="BM21051" s="1025"/>
      <c r="BO21051" s="43"/>
    </row>
    <row r="21052" spans="65:67" ht="18.75" customHeight="1">
      <c r="BM21052" s="1025"/>
      <c r="BO21052" s="43"/>
    </row>
    <row r="21053" spans="65:67" ht="18.75" customHeight="1">
      <c r="BM21053" s="1025"/>
      <c r="BO21053" s="43"/>
    </row>
    <row r="21054" spans="65:67" ht="18.75" customHeight="1">
      <c r="BM21054" s="1025"/>
      <c r="BO21054" s="43"/>
    </row>
    <row r="21055" spans="65:67" ht="18.75" customHeight="1">
      <c r="BM21055" s="1025"/>
      <c r="BO21055" s="43"/>
    </row>
    <row r="21056" spans="65:67" ht="18.75" customHeight="1">
      <c r="BM21056" s="1025"/>
      <c r="BO21056" s="43"/>
    </row>
    <row r="21057" spans="65:67" ht="18.75" customHeight="1">
      <c r="BM21057" s="1025"/>
      <c r="BO21057" s="43"/>
    </row>
    <row r="21058" spans="65:67" ht="18.75" customHeight="1">
      <c r="BM21058" s="1025"/>
      <c r="BO21058" s="43"/>
    </row>
    <row r="21059" spans="65:67" ht="18.75" customHeight="1">
      <c r="BM21059" s="1025"/>
      <c r="BO21059" s="43"/>
    </row>
    <row r="21060" spans="65:67" ht="18.75" customHeight="1">
      <c r="BM21060" s="1025"/>
      <c r="BO21060" s="43"/>
    </row>
    <row r="21061" spans="65:67" ht="18.75" customHeight="1">
      <c r="BM21061" s="1025"/>
      <c r="BO21061" s="43"/>
    </row>
    <row r="21062" spans="65:67" ht="18.75" customHeight="1">
      <c r="BM21062" s="1025"/>
      <c r="BO21062" s="43"/>
    </row>
    <row r="21063" spans="65:67" ht="18.75" customHeight="1">
      <c r="BM21063" s="1025"/>
      <c r="BO21063" s="43"/>
    </row>
    <row r="21064" spans="65:67" ht="18.75" customHeight="1">
      <c r="BM21064" s="1025"/>
      <c r="BO21064" s="43"/>
    </row>
    <row r="21065" spans="65:67" ht="18.75" customHeight="1">
      <c r="BM21065" s="1025"/>
      <c r="BO21065" s="43"/>
    </row>
    <row r="21066" spans="65:67" ht="18.75" customHeight="1">
      <c r="BM21066" s="1025"/>
      <c r="BO21066" s="43"/>
    </row>
    <row r="21067" spans="65:67" ht="18.75" customHeight="1">
      <c r="BM21067" s="1025"/>
      <c r="BO21067" s="43"/>
    </row>
    <row r="21068" spans="65:67" ht="18.75" customHeight="1">
      <c r="BM21068" s="1025"/>
      <c r="BO21068" s="43"/>
    </row>
    <row r="21069" spans="65:67" ht="18.75" customHeight="1">
      <c r="BM21069" s="1025"/>
      <c r="BO21069" s="43"/>
    </row>
    <row r="21070" spans="65:67" ht="18.75" customHeight="1">
      <c r="BM21070" s="1025"/>
      <c r="BO21070" s="43"/>
    </row>
    <row r="21071" spans="65:67" ht="18.75" customHeight="1">
      <c r="BM21071" s="1025"/>
      <c r="BO21071" s="43"/>
    </row>
    <row r="21072" spans="65:67" ht="18.75" customHeight="1">
      <c r="BM21072" s="1025"/>
      <c r="BO21072" s="43"/>
    </row>
    <row r="21073" spans="65:67" ht="18.75" customHeight="1">
      <c r="BM21073" s="1025"/>
      <c r="BO21073" s="43"/>
    </row>
    <row r="21074" spans="65:67" ht="18.75" customHeight="1">
      <c r="BM21074" s="1025"/>
      <c r="BO21074" s="43"/>
    </row>
    <row r="21075" spans="65:67" ht="18.75" customHeight="1">
      <c r="BM21075" s="1025"/>
      <c r="BO21075" s="43"/>
    </row>
    <row r="21076" spans="65:67" ht="18.75" customHeight="1">
      <c r="BM21076" s="1025"/>
      <c r="BO21076" s="43"/>
    </row>
    <row r="21077" spans="65:67" ht="18.75" customHeight="1">
      <c r="BM21077" s="1025"/>
      <c r="BO21077" s="43"/>
    </row>
    <row r="21078" spans="65:67" ht="18.75" customHeight="1">
      <c r="BM21078" s="1025"/>
      <c r="BO21078" s="43"/>
    </row>
    <row r="21079" spans="65:67" ht="18.75" customHeight="1">
      <c r="BM21079" s="1025"/>
      <c r="BO21079" s="43"/>
    </row>
    <row r="21080" spans="65:67" ht="18.75" customHeight="1">
      <c r="BM21080" s="1025"/>
      <c r="BO21080" s="43"/>
    </row>
    <row r="21081" spans="65:67" ht="18.75" customHeight="1">
      <c r="BM21081" s="1025"/>
      <c r="BO21081" s="43"/>
    </row>
    <row r="21082" spans="65:67" ht="18.75" customHeight="1">
      <c r="BM21082" s="1025"/>
      <c r="BO21082" s="43"/>
    </row>
    <row r="21083" spans="65:67" ht="18.75" customHeight="1">
      <c r="BM21083" s="1025"/>
      <c r="BO21083" s="43"/>
    </row>
    <row r="21084" spans="65:67" ht="18.75" customHeight="1">
      <c r="BM21084" s="1025"/>
      <c r="BO21084" s="43"/>
    </row>
    <row r="21085" spans="65:67" ht="18.75" customHeight="1">
      <c r="BM21085" s="1025"/>
      <c r="BO21085" s="43"/>
    </row>
    <row r="21086" spans="65:67" ht="18.75" customHeight="1">
      <c r="BM21086" s="1025"/>
      <c r="BO21086" s="43"/>
    </row>
    <row r="21087" spans="65:67" ht="18.75" customHeight="1">
      <c r="BM21087" s="1025"/>
      <c r="BO21087" s="43"/>
    </row>
    <row r="21088" spans="65:67" ht="18.75" customHeight="1">
      <c r="BM21088" s="1025"/>
      <c r="BO21088" s="43"/>
    </row>
    <row r="21089" spans="65:67" ht="18.75" customHeight="1">
      <c r="BM21089" s="1025"/>
      <c r="BO21089" s="43"/>
    </row>
    <row r="21090" spans="65:67" ht="18.75" customHeight="1">
      <c r="BM21090" s="1025"/>
      <c r="BO21090" s="43"/>
    </row>
    <row r="21091" spans="65:67" ht="18.75" customHeight="1">
      <c r="BM21091" s="1025"/>
      <c r="BO21091" s="43"/>
    </row>
    <row r="21092" spans="65:67" ht="18.75" customHeight="1">
      <c r="BM21092" s="1025"/>
      <c r="BO21092" s="43"/>
    </row>
    <row r="21093" spans="65:67" ht="18.75" customHeight="1">
      <c r="BM21093" s="1025"/>
      <c r="BO21093" s="43"/>
    </row>
    <row r="21094" spans="65:67" ht="18.75" customHeight="1">
      <c r="BM21094" s="1025"/>
      <c r="BO21094" s="43"/>
    </row>
    <row r="21095" spans="65:67" ht="18.75" customHeight="1">
      <c r="BM21095" s="1025"/>
      <c r="BO21095" s="43"/>
    </row>
    <row r="21096" spans="65:67" ht="18.75" customHeight="1">
      <c r="BM21096" s="1025"/>
      <c r="BO21096" s="43"/>
    </row>
    <row r="21097" spans="65:67" ht="18.75" customHeight="1">
      <c r="BM21097" s="1025"/>
      <c r="BO21097" s="43"/>
    </row>
    <row r="21098" spans="65:67" ht="18.75" customHeight="1">
      <c r="BM21098" s="1025"/>
      <c r="BO21098" s="43"/>
    </row>
    <row r="21099" spans="65:67" ht="18.75" customHeight="1">
      <c r="BM21099" s="1025"/>
      <c r="BO21099" s="43"/>
    </row>
    <row r="21100" spans="65:67" ht="18.75" customHeight="1">
      <c r="BM21100" s="1025"/>
      <c r="BO21100" s="43"/>
    </row>
    <row r="21101" spans="65:67" ht="18.75" customHeight="1">
      <c r="BM21101" s="1025"/>
      <c r="BO21101" s="43"/>
    </row>
    <row r="21102" spans="65:67" ht="18.75" customHeight="1">
      <c r="BM21102" s="1025"/>
      <c r="BO21102" s="43"/>
    </row>
    <row r="21103" spans="65:67" ht="18.75" customHeight="1">
      <c r="BM21103" s="1025"/>
      <c r="BO21103" s="43"/>
    </row>
    <row r="21104" spans="65:67" ht="18.75" customHeight="1">
      <c r="BM21104" s="1025"/>
      <c r="BO21104" s="43"/>
    </row>
    <row r="21105" spans="65:67" ht="18.75" customHeight="1">
      <c r="BM21105" s="1025"/>
      <c r="BO21105" s="43"/>
    </row>
    <row r="21106" spans="65:67" ht="18.75" customHeight="1">
      <c r="BM21106" s="1025"/>
      <c r="BO21106" s="43"/>
    </row>
    <row r="21107" spans="65:67" ht="18.75" customHeight="1">
      <c r="BM21107" s="1025"/>
      <c r="BO21107" s="43"/>
    </row>
    <row r="21108" spans="65:67" ht="18.75" customHeight="1">
      <c r="BM21108" s="1025"/>
      <c r="BO21108" s="43"/>
    </row>
    <row r="21109" spans="65:67" ht="18.75" customHeight="1">
      <c r="BM21109" s="1025"/>
      <c r="BO21109" s="43"/>
    </row>
    <row r="21110" spans="65:67" ht="18.75" customHeight="1">
      <c r="BM21110" s="1025"/>
      <c r="BO21110" s="43"/>
    </row>
    <row r="21111" spans="65:67" ht="18.75" customHeight="1">
      <c r="BM21111" s="1025"/>
      <c r="BO21111" s="43"/>
    </row>
    <row r="21112" spans="65:67" ht="18.75" customHeight="1">
      <c r="BM21112" s="1025"/>
      <c r="BO21112" s="43"/>
    </row>
    <row r="21113" spans="65:67" ht="18.75" customHeight="1">
      <c r="BM21113" s="1025"/>
      <c r="BO21113" s="43"/>
    </row>
    <row r="21114" spans="65:67" ht="18.75" customHeight="1">
      <c r="BM21114" s="1025"/>
      <c r="BO21114" s="43"/>
    </row>
    <row r="21115" spans="65:67" ht="18.75" customHeight="1">
      <c r="BM21115" s="1025"/>
      <c r="BO21115" s="43"/>
    </row>
    <row r="21116" spans="65:67" ht="18.75" customHeight="1">
      <c r="BM21116" s="1025"/>
      <c r="BO21116" s="43"/>
    </row>
    <row r="21117" spans="65:67" ht="18.75" customHeight="1">
      <c r="BM21117" s="1025"/>
      <c r="BO21117" s="43"/>
    </row>
    <row r="21118" spans="65:67" ht="18.75" customHeight="1">
      <c r="BM21118" s="1025"/>
      <c r="BO21118" s="43"/>
    </row>
    <row r="21119" spans="65:67" ht="18.75" customHeight="1">
      <c r="BM21119" s="1025"/>
      <c r="BO21119" s="43"/>
    </row>
    <row r="21120" spans="65:67" ht="18.75" customHeight="1">
      <c r="BM21120" s="1025"/>
      <c r="BO21120" s="43"/>
    </row>
    <row r="21121" spans="65:67" ht="18.75" customHeight="1">
      <c r="BM21121" s="1025"/>
      <c r="BO21121" s="43"/>
    </row>
    <row r="21122" spans="65:67" ht="18.75" customHeight="1">
      <c r="BM21122" s="1025"/>
      <c r="BO21122" s="43"/>
    </row>
    <row r="21123" spans="65:67" ht="18.75" customHeight="1">
      <c r="BM21123" s="1025"/>
      <c r="BO21123" s="43"/>
    </row>
    <row r="21124" spans="65:67" ht="18.75" customHeight="1">
      <c r="BM21124" s="1025"/>
      <c r="BO21124" s="43"/>
    </row>
    <row r="21125" spans="65:67" ht="18.75" customHeight="1">
      <c r="BM21125" s="1025"/>
      <c r="BO21125" s="43"/>
    </row>
    <row r="21126" spans="65:67" ht="18.75" customHeight="1">
      <c r="BM21126" s="1025"/>
      <c r="BO21126" s="43"/>
    </row>
    <row r="21127" spans="65:67" ht="18.75" customHeight="1">
      <c r="BM21127" s="1025"/>
      <c r="BO21127" s="43"/>
    </row>
    <row r="21128" spans="65:67" ht="18.75" customHeight="1">
      <c r="BM21128" s="1025"/>
      <c r="BO21128" s="43"/>
    </row>
    <row r="21129" spans="65:67" ht="18.75" customHeight="1">
      <c r="BM21129" s="1025"/>
      <c r="BO21129" s="43"/>
    </row>
    <row r="21130" spans="65:67" ht="18.75" customHeight="1">
      <c r="BM21130" s="1025"/>
      <c r="BO21130" s="43"/>
    </row>
    <row r="21131" spans="65:67" ht="18.75" customHeight="1">
      <c r="BM21131" s="1025"/>
      <c r="BO21131" s="43"/>
    </row>
    <row r="21132" spans="65:67" ht="18.75" customHeight="1">
      <c r="BM21132" s="1025"/>
      <c r="BO21132" s="43"/>
    </row>
    <row r="21133" spans="65:67" ht="18.75" customHeight="1">
      <c r="BM21133" s="1025"/>
      <c r="BO21133" s="43"/>
    </row>
    <row r="21134" spans="65:67" ht="18.75" customHeight="1">
      <c r="BM21134" s="1025"/>
      <c r="BO21134" s="43"/>
    </row>
    <row r="21135" spans="65:67" ht="18.75" customHeight="1">
      <c r="BM21135" s="1025"/>
      <c r="BO21135" s="43"/>
    </row>
    <row r="21136" spans="65:67" ht="18.75" customHeight="1">
      <c r="BM21136" s="1025"/>
      <c r="BO21136" s="43"/>
    </row>
    <row r="21137" spans="65:67" ht="18.75" customHeight="1">
      <c r="BM21137" s="1025"/>
      <c r="BO21137" s="43"/>
    </row>
    <row r="21138" spans="65:67" ht="18.75" customHeight="1">
      <c r="BM21138" s="1025"/>
      <c r="BO21138" s="43"/>
    </row>
    <row r="21139" spans="65:67" ht="18.75" customHeight="1">
      <c r="BM21139" s="1025"/>
      <c r="BO21139" s="43"/>
    </row>
    <row r="21140" spans="65:67" ht="18.75" customHeight="1">
      <c r="BM21140" s="1025"/>
      <c r="BO21140" s="43"/>
    </row>
    <row r="21141" spans="65:67" ht="18.75" customHeight="1">
      <c r="BM21141" s="1025"/>
      <c r="BO21141" s="43"/>
    </row>
    <row r="21142" spans="65:67" ht="18.75" customHeight="1">
      <c r="BM21142" s="1025"/>
      <c r="BO21142" s="43"/>
    </row>
    <row r="21143" spans="65:67" ht="18.75" customHeight="1">
      <c r="BM21143" s="1025"/>
      <c r="BO21143" s="43"/>
    </row>
    <row r="21144" spans="65:67" ht="18.75" customHeight="1">
      <c r="BM21144" s="1025"/>
      <c r="BO21144" s="43"/>
    </row>
    <row r="21145" spans="65:67" ht="18.75" customHeight="1">
      <c r="BM21145" s="1025"/>
      <c r="BO21145" s="43"/>
    </row>
    <row r="21146" spans="65:67" ht="18.75" customHeight="1">
      <c r="BM21146" s="1025"/>
      <c r="BO21146" s="43"/>
    </row>
    <row r="21147" spans="65:67" ht="18.75" customHeight="1">
      <c r="BM21147" s="1025"/>
      <c r="BO21147" s="43"/>
    </row>
    <row r="21148" spans="65:67" ht="18.75" customHeight="1">
      <c r="BM21148" s="1025"/>
      <c r="BO21148" s="43"/>
    </row>
    <row r="21149" spans="65:67" ht="18.75" customHeight="1">
      <c r="BM21149" s="1025"/>
      <c r="BO21149" s="43"/>
    </row>
    <row r="21150" spans="65:67" ht="18.75" customHeight="1">
      <c r="BM21150" s="1025"/>
      <c r="BO21150" s="43"/>
    </row>
    <row r="21151" spans="65:67" ht="18.75" customHeight="1">
      <c r="BM21151" s="1025"/>
      <c r="BO21151" s="43"/>
    </row>
    <row r="21152" spans="65:67" ht="18.75" customHeight="1">
      <c r="BM21152" s="1025"/>
      <c r="BO21152" s="43"/>
    </row>
    <row r="21153" spans="65:67" ht="18.75" customHeight="1">
      <c r="BM21153" s="1025"/>
      <c r="BO21153" s="43"/>
    </row>
    <row r="21154" spans="65:67" ht="18.75" customHeight="1">
      <c r="BM21154" s="1025"/>
      <c r="BO21154" s="43"/>
    </row>
    <row r="21155" spans="65:67" ht="18.75" customHeight="1">
      <c r="BM21155" s="1025"/>
      <c r="BO21155" s="43"/>
    </row>
    <row r="21156" spans="65:67" ht="18.75" customHeight="1">
      <c r="BM21156" s="1025"/>
      <c r="BO21156" s="43"/>
    </row>
    <row r="21157" spans="65:67" ht="18.75" customHeight="1">
      <c r="BM21157" s="1025"/>
      <c r="BO21157" s="43"/>
    </row>
    <row r="21158" spans="65:67" ht="18.75" customHeight="1">
      <c r="BM21158" s="1025"/>
      <c r="BO21158" s="43"/>
    </row>
    <row r="21159" spans="65:67" ht="18.75" customHeight="1">
      <c r="BM21159" s="1025"/>
      <c r="BO21159" s="43"/>
    </row>
    <row r="21160" spans="65:67" ht="18.75" customHeight="1">
      <c r="BM21160" s="1025"/>
      <c r="BO21160" s="43"/>
    </row>
    <row r="21161" spans="65:67" ht="18.75" customHeight="1">
      <c r="BM21161" s="1025"/>
      <c r="BO21161" s="43"/>
    </row>
    <row r="21162" spans="65:67" ht="18.75" customHeight="1">
      <c r="BM21162" s="1025"/>
      <c r="BO21162" s="43"/>
    </row>
    <row r="21163" spans="65:67" ht="18.75" customHeight="1">
      <c r="BM21163" s="1025"/>
      <c r="BO21163" s="43"/>
    </row>
    <row r="21164" spans="65:67" ht="18.75" customHeight="1">
      <c r="BM21164" s="1025"/>
      <c r="BO21164" s="43"/>
    </row>
    <row r="21165" spans="65:67" ht="18.75" customHeight="1">
      <c r="BM21165" s="1025"/>
      <c r="BO21165" s="43"/>
    </row>
    <row r="21166" spans="65:67" ht="18.75" customHeight="1">
      <c r="BM21166" s="1025"/>
      <c r="BO21166" s="43"/>
    </row>
    <row r="21167" spans="65:67" ht="18.75" customHeight="1">
      <c r="BM21167" s="1025"/>
      <c r="BO21167" s="43"/>
    </row>
    <row r="21168" spans="65:67" ht="18.75" customHeight="1">
      <c r="BM21168" s="1025"/>
      <c r="BO21168" s="43"/>
    </row>
    <row r="21169" spans="65:67" ht="18.75" customHeight="1">
      <c r="BM21169" s="1025"/>
      <c r="BO21169" s="43"/>
    </row>
    <row r="21170" spans="65:67" ht="18.75" customHeight="1">
      <c r="BM21170" s="1025"/>
      <c r="BO21170" s="43"/>
    </row>
    <row r="21171" spans="65:67" ht="18.75" customHeight="1">
      <c r="BM21171" s="1025"/>
      <c r="BO21171" s="43"/>
    </row>
    <row r="21172" spans="65:67" ht="18.75" customHeight="1">
      <c r="BM21172" s="1025"/>
      <c r="BO21172" s="43"/>
    </row>
    <row r="21173" spans="65:67" ht="18.75" customHeight="1">
      <c r="BM21173" s="1025"/>
      <c r="BO21173" s="43"/>
    </row>
    <row r="21174" spans="65:67" ht="18.75" customHeight="1">
      <c r="BM21174" s="1025"/>
      <c r="BO21174" s="43"/>
    </row>
    <row r="21175" spans="65:67" ht="18.75" customHeight="1">
      <c r="BM21175" s="1025"/>
      <c r="BO21175" s="43"/>
    </row>
    <row r="21176" spans="65:67" ht="18.75" customHeight="1">
      <c r="BM21176" s="1025"/>
      <c r="BO21176" s="43"/>
    </row>
    <row r="21177" spans="65:67" ht="18.75" customHeight="1">
      <c r="BM21177" s="1025"/>
      <c r="BO21177" s="43"/>
    </row>
    <row r="21178" spans="65:67" ht="18.75" customHeight="1">
      <c r="BM21178" s="1025"/>
      <c r="BO21178" s="43"/>
    </row>
    <row r="21179" spans="65:67" ht="18.75" customHeight="1">
      <c r="BM21179" s="1025"/>
      <c r="BO21179" s="43"/>
    </row>
    <row r="21180" spans="65:67" ht="18.75" customHeight="1">
      <c r="BM21180" s="1025"/>
      <c r="BO21180" s="43"/>
    </row>
    <row r="21181" spans="65:67" ht="18.75" customHeight="1">
      <c r="BM21181" s="1025"/>
      <c r="BO21181" s="43"/>
    </row>
    <row r="21182" spans="65:67" ht="18.75" customHeight="1">
      <c r="BM21182" s="1025"/>
      <c r="BO21182" s="43"/>
    </row>
    <row r="21183" spans="65:67" ht="18.75" customHeight="1">
      <c r="BM21183" s="1025"/>
      <c r="BO21183" s="43"/>
    </row>
    <row r="21184" spans="65:67" ht="18.75" customHeight="1">
      <c r="BM21184" s="1025"/>
      <c r="BO21184" s="43"/>
    </row>
    <row r="21185" spans="65:67" ht="18.75" customHeight="1">
      <c r="BM21185" s="1025"/>
      <c r="BO21185" s="43"/>
    </row>
    <row r="21186" spans="65:67" ht="18.75" customHeight="1">
      <c r="BM21186" s="1025"/>
      <c r="BO21186" s="43"/>
    </row>
    <row r="21187" spans="65:67" ht="18.75" customHeight="1">
      <c r="BM21187" s="1025"/>
      <c r="BO21187" s="43"/>
    </row>
    <row r="21188" spans="65:67" ht="18.75" customHeight="1">
      <c r="BM21188" s="1025"/>
      <c r="BO21188" s="43"/>
    </row>
    <row r="21189" spans="65:67" ht="18.75" customHeight="1">
      <c r="BM21189" s="1025"/>
      <c r="BO21189" s="43"/>
    </row>
    <row r="21190" spans="65:67" ht="18.75" customHeight="1">
      <c r="BM21190" s="1025"/>
      <c r="BO21190" s="43"/>
    </row>
    <row r="21191" spans="65:67" ht="18.75" customHeight="1">
      <c r="BM21191" s="1025"/>
      <c r="BO21191" s="43"/>
    </row>
    <row r="21192" spans="65:67" ht="18.75" customHeight="1">
      <c r="BM21192" s="1025"/>
      <c r="BO21192" s="43"/>
    </row>
    <row r="21193" spans="65:67" ht="18.75" customHeight="1">
      <c r="BM21193" s="1025"/>
      <c r="BO21193" s="43"/>
    </row>
    <row r="21194" spans="65:67" ht="18.75" customHeight="1">
      <c r="BM21194" s="1025"/>
      <c r="BO21194" s="43"/>
    </row>
    <row r="21195" spans="65:67" ht="18.75" customHeight="1">
      <c r="BM21195" s="1025"/>
      <c r="BO21195" s="43"/>
    </row>
    <row r="21196" spans="65:67" ht="18.75" customHeight="1">
      <c r="BM21196" s="1025"/>
      <c r="BO21196" s="43"/>
    </row>
    <row r="21197" spans="65:67" ht="18.75" customHeight="1">
      <c r="BM21197" s="1025"/>
      <c r="BO21197" s="43"/>
    </row>
    <row r="21198" spans="65:67" ht="18.75" customHeight="1">
      <c r="BM21198" s="1025"/>
      <c r="BO21198" s="43"/>
    </row>
    <row r="21199" spans="65:67" ht="18.75" customHeight="1">
      <c r="BM21199" s="1025"/>
      <c r="BO21199" s="43"/>
    </row>
    <row r="21200" spans="65:67" ht="18.75" customHeight="1">
      <c r="BM21200" s="1025"/>
      <c r="BO21200" s="43"/>
    </row>
    <row r="21201" spans="65:67" ht="18.75" customHeight="1">
      <c r="BM21201" s="1025"/>
      <c r="BO21201" s="43"/>
    </row>
    <row r="21202" spans="65:67" ht="18.75" customHeight="1">
      <c r="BM21202" s="1025"/>
      <c r="BO21202" s="43"/>
    </row>
    <row r="21203" spans="65:67" ht="18.75" customHeight="1">
      <c r="BM21203" s="1025"/>
      <c r="BO21203" s="43"/>
    </row>
    <row r="21204" spans="65:67" ht="18.75" customHeight="1">
      <c r="BM21204" s="1025"/>
      <c r="BO21204" s="43"/>
    </row>
    <row r="21205" spans="65:67" ht="18.75" customHeight="1">
      <c r="BM21205" s="1025"/>
      <c r="BO21205" s="43"/>
    </row>
    <row r="21206" spans="65:67" ht="18.75" customHeight="1">
      <c r="BM21206" s="1025"/>
      <c r="BO21206" s="43"/>
    </row>
    <row r="21207" spans="65:67" ht="18.75" customHeight="1">
      <c r="BM21207" s="1025"/>
      <c r="BO21207" s="43"/>
    </row>
    <row r="21208" spans="65:67" ht="18.75" customHeight="1">
      <c r="BM21208" s="1025"/>
      <c r="BO21208" s="43"/>
    </row>
    <row r="21209" spans="65:67" ht="18.75" customHeight="1">
      <c r="BM21209" s="1025"/>
      <c r="BO21209" s="43"/>
    </row>
    <row r="21210" spans="65:67" ht="18.75" customHeight="1">
      <c r="BM21210" s="1025"/>
      <c r="BO21210" s="43"/>
    </row>
    <row r="21211" spans="65:67" ht="18.75" customHeight="1">
      <c r="BM21211" s="1025"/>
      <c r="BO21211" s="43"/>
    </row>
    <row r="21212" spans="65:67" ht="18.75" customHeight="1">
      <c r="BM21212" s="1025"/>
      <c r="BO21212" s="43"/>
    </row>
    <row r="21213" spans="65:67" ht="18.75" customHeight="1">
      <c r="BM21213" s="1025"/>
      <c r="BO21213" s="43"/>
    </row>
    <row r="21214" spans="65:67" ht="18.75" customHeight="1">
      <c r="BM21214" s="1025"/>
      <c r="BO21214" s="43"/>
    </row>
    <row r="21215" spans="65:67" ht="18.75" customHeight="1">
      <c r="BM21215" s="1025"/>
      <c r="BO21215" s="43"/>
    </row>
    <row r="21216" spans="65:67" ht="18.75" customHeight="1">
      <c r="BM21216" s="1025"/>
      <c r="BO21216" s="43"/>
    </row>
    <row r="21217" spans="65:67" ht="18.75" customHeight="1">
      <c r="BM21217" s="1025"/>
      <c r="BO21217" s="43"/>
    </row>
    <row r="21218" spans="65:67" ht="18.75" customHeight="1">
      <c r="BM21218" s="1025"/>
      <c r="BO21218" s="43"/>
    </row>
    <row r="21219" spans="65:67" ht="18.75" customHeight="1">
      <c r="BM21219" s="1025"/>
      <c r="BO21219" s="43"/>
    </row>
    <row r="21220" spans="65:67" ht="18.75" customHeight="1">
      <c r="BM21220" s="1025"/>
      <c r="BO21220" s="43"/>
    </row>
    <row r="21221" spans="65:67" ht="18.75" customHeight="1">
      <c r="BM21221" s="1025"/>
      <c r="BO21221" s="43"/>
    </row>
    <row r="21222" spans="65:67" ht="18.75" customHeight="1">
      <c r="BM21222" s="1025"/>
      <c r="BO21222" s="43"/>
    </row>
    <row r="21223" spans="65:67" ht="18.75" customHeight="1">
      <c r="BM21223" s="1025"/>
      <c r="BO21223" s="43"/>
    </row>
    <row r="21224" spans="65:67" ht="18.75" customHeight="1">
      <c r="BM21224" s="1025"/>
      <c r="BO21224" s="43"/>
    </row>
    <row r="21225" spans="65:67" ht="18.75" customHeight="1">
      <c r="BM21225" s="1025"/>
      <c r="BO21225" s="43"/>
    </row>
    <row r="21226" spans="65:67" ht="18.75" customHeight="1">
      <c r="BM21226" s="1025"/>
      <c r="BO21226" s="43"/>
    </row>
    <row r="21227" spans="65:67" ht="18.75" customHeight="1">
      <c r="BM21227" s="1025"/>
      <c r="BO21227" s="43"/>
    </row>
    <row r="21228" spans="65:67" ht="18.75" customHeight="1">
      <c r="BM21228" s="1025"/>
      <c r="BO21228" s="43"/>
    </row>
    <row r="21229" spans="65:67" ht="18.75" customHeight="1">
      <c r="BM21229" s="1025"/>
      <c r="BO21229" s="43"/>
    </row>
    <row r="21230" spans="65:67" ht="18.75" customHeight="1">
      <c r="BM21230" s="1025"/>
      <c r="BO21230" s="43"/>
    </row>
    <row r="21231" spans="65:67" ht="18.75" customHeight="1">
      <c r="BM21231" s="1025"/>
      <c r="BO21231" s="43"/>
    </row>
    <row r="21232" spans="65:67" ht="18.75" customHeight="1">
      <c r="BM21232" s="1025"/>
      <c r="BO21232" s="43"/>
    </row>
    <row r="21233" spans="65:67" ht="18.75" customHeight="1">
      <c r="BM21233" s="1025"/>
      <c r="BO21233" s="43"/>
    </row>
    <row r="21234" spans="65:67" ht="18.75" customHeight="1">
      <c r="BM21234" s="1025"/>
      <c r="BO21234" s="43"/>
    </row>
    <row r="21235" spans="65:67" ht="18.75" customHeight="1">
      <c r="BM21235" s="1025"/>
      <c r="BO21235" s="43"/>
    </row>
    <row r="21236" spans="65:67" ht="18.75" customHeight="1">
      <c r="BM21236" s="1025"/>
      <c r="BO21236" s="43"/>
    </row>
    <row r="21237" spans="65:67" ht="18.75" customHeight="1">
      <c r="BM21237" s="1025"/>
      <c r="BO21237" s="43"/>
    </row>
    <row r="21238" spans="65:67" ht="18.75" customHeight="1">
      <c r="BM21238" s="1025"/>
      <c r="BO21238" s="43"/>
    </row>
    <row r="21239" spans="65:67" ht="18.75" customHeight="1">
      <c r="BM21239" s="1025"/>
      <c r="BO21239" s="43"/>
    </row>
    <row r="21240" spans="65:67" ht="18.75" customHeight="1">
      <c r="BM21240" s="1025"/>
      <c r="BO21240" s="43"/>
    </row>
    <row r="21241" spans="65:67" ht="18.75" customHeight="1">
      <c r="BM21241" s="1025"/>
      <c r="BO21241" s="43"/>
    </row>
    <row r="21242" spans="65:67" ht="18.75" customHeight="1">
      <c r="BM21242" s="1025"/>
      <c r="BO21242" s="43"/>
    </row>
    <row r="21243" spans="65:67" ht="18.75" customHeight="1">
      <c r="BM21243" s="1025"/>
      <c r="BO21243" s="43"/>
    </row>
    <row r="21244" spans="65:67" ht="18.75" customHeight="1">
      <c r="BM21244" s="1025"/>
      <c r="BO21244" s="43"/>
    </row>
    <row r="21245" spans="65:67" ht="18.75" customHeight="1">
      <c r="BM21245" s="1025"/>
      <c r="BO21245" s="43"/>
    </row>
    <row r="21246" spans="65:67" ht="18.75" customHeight="1">
      <c r="BM21246" s="1025"/>
      <c r="BO21246" s="43"/>
    </row>
    <row r="21247" spans="65:67" ht="18.75" customHeight="1">
      <c r="BM21247" s="1025"/>
      <c r="BO21247" s="43"/>
    </row>
    <row r="21248" spans="65:67" ht="18.75" customHeight="1">
      <c r="BM21248" s="1025"/>
      <c r="BO21248" s="43"/>
    </row>
    <row r="21249" spans="65:67" ht="18.75" customHeight="1">
      <c r="BM21249" s="1025"/>
      <c r="BO21249" s="43"/>
    </row>
    <row r="21250" spans="65:67" ht="18.75" customHeight="1">
      <c r="BM21250" s="1025"/>
      <c r="BO21250" s="43"/>
    </row>
    <row r="21251" spans="65:67" ht="18.75" customHeight="1">
      <c r="BM21251" s="1025"/>
      <c r="BO21251" s="43"/>
    </row>
    <row r="21252" spans="65:67" ht="18.75" customHeight="1">
      <c r="BM21252" s="1025"/>
      <c r="BO21252" s="43"/>
    </row>
    <row r="21253" spans="65:67" ht="18.75" customHeight="1">
      <c r="BM21253" s="1025"/>
      <c r="BO21253" s="43"/>
    </row>
    <row r="21254" spans="65:67" ht="18.75" customHeight="1">
      <c r="BM21254" s="1025"/>
      <c r="BO21254" s="43"/>
    </row>
    <row r="21255" spans="65:67" ht="18.75" customHeight="1">
      <c r="BM21255" s="1025"/>
      <c r="BO21255" s="43"/>
    </row>
    <row r="21256" spans="65:67" ht="18.75" customHeight="1">
      <c r="BM21256" s="1025"/>
      <c r="BO21256" s="43"/>
    </row>
    <row r="21257" spans="65:67" ht="18.75" customHeight="1">
      <c r="BM21257" s="1025"/>
      <c r="BO21257" s="43"/>
    </row>
    <row r="21258" spans="65:67" ht="18.75" customHeight="1">
      <c r="BM21258" s="1025"/>
      <c r="BO21258" s="43"/>
    </row>
    <row r="21259" spans="65:67" ht="18.75" customHeight="1">
      <c r="BM21259" s="1025"/>
      <c r="BO21259" s="43"/>
    </row>
    <row r="21260" spans="65:67" ht="18.75" customHeight="1">
      <c r="BM21260" s="1025"/>
      <c r="BO21260" s="43"/>
    </row>
    <row r="21261" spans="65:67" ht="18.75" customHeight="1">
      <c r="BM21261" s="1025"/>
      <c r="BO21261" s="43"/>
    </row>
    <row r="21262" spans="65:67" ht="18.75" customHeight="1">
      <c r="BM21262" s="1025"/>
      <c r="BO21262" s="43"/>
    </row>
    <row r="21263" spans="65:67" ht="18.75" customHeight="1">
      <c r="BM21263" s="1025"/>
      <c r="BO21263" s="43"/>
    </row>
    <row r="21264" spans="65:67" ht="18.75" customHeight="1">
      <c r="BM21264" s="1025"/>
      <c r="BO21264" s="43"/>
    </row>
    <row r="21265" spans="65:67" ht="18.75" customHeight="1">
      <c r="BM21265" s="1025"/>
      <c r="BO21265" s="43"/>
    </row>
    <row r="21266" spans="65:67" ht="18.75" customHeight="1">
      <c r="BM21266" s="1025"/>
      <c r="BO21266" s="43"/>
    </row>
    <row r="21267" spans="65:67" ht="18.75" customHeight="1">
      <c r="BM21267" s="1025"/>
      <c r="BO21267" s="43"/>
    </row>
    <row r="21268" spans="65:67" ht="18.75" customHeight="1">
      <c r="BM21268" s="1025"/>
      <c r="BO21268" s="43"/>
    </row>
    <row r="21269" spans="65:67" ht="18.75" customHeight="1">
      <c r="BM21269" s="1025"/>
      <c r="BO21269" s="43"/>
    </row>
    <row r="21270" spans="65:67" ht="18.75" customHeight="1">
      <c r="BM21270" s="1025"/>
      <c r="BO21270" s="43"/>
    </row>
    <row r="21271" spans="65:67" ht="18.75" customHeight="1">
      <c r="BM21271" s="1025"/>
      <c r="BO21271" s="43"/>
    </row>
    <row r="21272" spans="65:67" ht="18.75" customHeight="1">
      <c r="BM21272" s="1025"/>
      <c r="BO21272" s="43"/>
    </row>
    <row r="21273" spans="65:67" ht="18.75" customHeight="1">
      <c r="BM21273" s="1025"/>
      <c r="BO21273" s="43"/>
    </row>
    <row r="21274" spans="65:67" ht="18.75" customHeight="1">
      <c r="BM21274" s="1025"/>
      <c r="BO21274" s="43"/>
    </row>
    <row r="21275" spans="65:67" ht="18.75" customHeight="1">
      <c r="BM21275" s="1025"/>
      <c r="BO21275" s="43"/>
    </row>
    <row r="21276" spans="65:67" ht="18.75" customHeight="1">
      <c r="BM21276" s="1025"/>
      <c r="BO21276" s="43"/>
    </row>
    <row r="21277" spans="65:67" ht="18.75" customHeight="1">
      <c r="BM21277" s="1025"/>
      <c r="BO21277" s="43"/>
    </row>
    <row r="21278" spans="65:67" ht="18.75" customHeight="1">
      <c r="BM21278" s="1025"/>
      <c r="BO21278" s="43"/>
    </row>
    <row r="21279" spans="65:67" ht="18.75" customHeight="1">
      <c r="BM21279" s="1025"/>
      <c r="BO21279" s="43"/>
    </row>
    <row r="21280" spans="65:67" ht="18.75" customHeight="1">
      <c r="BM21280" s="1025"/>
      <c r="BO21280" s="43"/>
    </row>
    <row r="21281" spans="65:67" ht="18.75" customHeight="1">
      <c r="BM21281" s="1025"/>
      <c r="BO21281" s="43"/>
    </row>
    <row r="21282" spans="65:67" ht="18.75" customHeight="1">
      <c r="BM21282" s="1025"/>
      <c r="BO21282" s="43"/>
    </row>
    <row r="21283" spans="65:67" ht="18.75" customHeight="1">
      <c r="BM21283" s="1025"/>
      <c r="BO21283" s="43"/>
    </row>
    <row r="21284" spans="65:67" ht="18.75" customHeight="1">
      <c r="BM21284" s="1025"/>
      <c r="BO21284" s="43"/>
    </row>
    <row r="21285" spans="65:67" ht="18.75" customHeight="1">
      <c r="BM21285" s="1025"/>
      <c r="BO21285" s="43"/>
    </row>
    <row r="21286" spans="65:67" ht="18.75" customHeight="1">
      <c r="BM21286" s="1025"/>
      <c r="BO21286" s="43"/>
    </row>
    <row r="21287" spans="65:67" ht="18.75" customHeight="1">
      <c r="BM21287" s="1025"/>
      <c r="BO21287" s="43"/>
    </row>
    <row r="21288" spans="65:67" ht="18.75" customHeight="1">
      <c r="BM21288" s="1025"/>
      <c r="BO21288" s="43"/>
    </row>
    <row r="21289" spans="65:67" ht="18.75" customHeight="1">
      <c r="BM21289" s="1025"/>
      <c r="BO21289" s="43"/>
    </row>
    <row r="21290" spans="65:67" ht="18.75" customHeight="1">
      <c r="BM21290" s="1025"/>
      <c r="BO21290" s="43"/>
    </row>
    <row r="21291" spans="65:67" ht="18.75" customHeight="1">
      <c r="BM21291" s="1025"/>
      <c r="BO21291" s="43"/>
    </row>
    <row r="21292" spans="65:67" ht="18.75" customHeight="1">
      <c r="BM21292" s="1025"/>
      <c r="BO21292" s="43"/>
    </row>
    <row r="21293" spans="65:67" ht="18.75" customHeight="1">
      <c r="BM21293" s="1025"/>
      <c r="BO21293" s="43"/>
    </row>
    <row r="21294" spans="65:67" ht="18.75" customHeight="1">
      <c r="BM21294" s="1025"/>
      <c r="BO21294" s="43"/>
    </row>
    <row r="21295" spans="65:67" ht="18.75" customHeight="1">
      <c r="BM21295" s="1025"/>
      <c r="BO21295" s="43"/>
    </row>
    <row r="21296" spans="65:67" ht="18.75" customHeight="1">
      <c r="BM21296" s="1025"/>
      <c r="BO21296" s="43"/>
    </row>
    <row r="21297" spans="65:67" ht="18.75" customHeight="1">
      <c r="BM21297" s="1025"/>
      <c r="BO21297" s="43"/>
    </row>
    <row r="21298" spans="65:67" ht="18.75" customHeight="1">
      <c r="BM21298" s="1025"/>
      <c r="BO21298" s="43"/>
    </row>
    <row r="21299" spans="65:67" ht="18.75" customHeight="1">
      <c r="BM21299" s="1025"/>
      <c r="BO21299" s="43"/>
    </row>
    <row r="21300" spans="65:67" ht="18.75" customHeight="1">
      <c r="BM21300" s="1025"/>
      <c r="BO21300" s="43"/>
    </row>
    <row r="21301" spans="65:67" ht="18.75" customHeight="1">
      <c r="BM21301" s="1025"/>
      <c r="BO21301" s="43"/>
    </row>
    <row r="21302" spans="65:67" ht="18.75" customHeight="1">
      <c r="BM21302" s="1025"/>
      <c r="BO21302" s="43"/>
    </row>
    <row r="21303" spans="65:67" ht="18.75" customHeight="1">
      <c r="BM21303" s="1025"/>
      <c r="BO21303" s="43"/>
    </row>
    <row r="21304" spans="65:67" ht="18.75" customHeight="1">
      <c r="BM21304" s="1025"/>
      <c r="BO21304" s="43"/>
    </row>
    <row r="21305" spans="65:67" ht="18.75" customHeight="1">
      <c r="BM21305" s="1025"/>
      <c r="BO21305" s="43"/>
    </row>
    <row r="21306" spans="65:67" ht="18.75" customHeight="1">
      <c r="BM21306" s="1025"/>
      <c r="BO21306" s="43"/>
    </row>
    <row r="21307" spans="65:67" ht="18.75" customHeight="1">
      <c r="BM21307" s="1025"/>
      <c r="BO21307" s="43"/>
    </row>
    <row r="21308" spans="65:67" ht="18.75" customHeight="1">
      <c r="BM21308" s="1025"/>
      <c r="BO21308" s="43"/>
    </row>
    <row r="21309" spans="65:67" ht="18.75" customHeight="1">
      <c r="BM21309" s="1025"/>
      <c r="BO21309" s="43"/>
    </row>
    <row r="21310" spans="65:67" ht="18.75" customHeight="1">
      <c r="BM21310" s="1025"/>
      <c r="BO21310" s="43"/>
    </row>
    <row r="21311" spans="65:67" ht="18.75" customHeight="1">
      <c r="BM21311" s="1025"/>
      <c r="BO21311" s="43"/>
    </row>
    <row r="21312" spans="65:67" ht="18.75" customHeight="1">
      <c r="BM21312" s="1025"/>
      <c r="BO21312" s="43"/>
    </row>
    <row r="21313" spans="65:67" ht="18.75" customHeight="1">
      <c r="BM21313" s="1025"/>
      <c r="BO21313" s="43"/>
    </row>
    <row r="21314" spans="65:67" ht="18.75" customHeight="1">
      <c r="BM21314" s="1025"/>
      <c r="BO21314" s="43"/>
    </row>
    <row r="21315" spans="65:67" ht="18.75" customHeight="1">
      <c r="BM21315" s="1025"/>
      <c r="BO21315" s="43"/>
    </row>
    <row r="21316" spans="65:67" ht="18.75" customHeight="1">
      <c r="BM21316" s="1025"/>
      <c r="BO21316" s="43"/>
    </row>
    <row r="21317" spans="65:67" ht="18.75" customHeight="1">
      <c r="BM21317" s="1025"/>
      <c r="BO21317" s="43"/>
    </row>
    <row r="21318" spans="65:67" ht="18.75" customHeight="1">
      <c r="BM21318" s="1025"/>
      <c r="BO21318" s="43"/>
    </row>
    <row r="21319" spans="65:67" ht="18.75" customHeight="1">
      <c r="BM21319" s="1025"/>
      <c r="BO21319" s="43"/>
    </row>
    <row r="21320" spans="65:67" ht="18.75" customHeight="1">
      <c r="BM21320" s="1025"/>
      <c r="BO21320" s="43"/>
    </row>
    <row r="21321" spans="65:67" ht="18.75" customHeight="1">
      <c r="BM21321" s="1025"/>
      <c r="BO21321" s="43"/>
    </row>
    <row r="21322" spans="65:67" ht="18.75" customHeight="1">
      <c r="BM21322" s="1025"/>
      <c r="BO21322" s="43"/>
    </row>
    <row r="21323" spans="65:67" ht="18.75" customHeight="1">
      <c r="BM21323" s="1025"/>
      <c r="BO21323" s="43"/>
    </row>
    <row r="21324" spans="65:67" ht="18.75" customHeight="1">
      <c r="BM21324" s="1025"/>
      <c r="BO21324" s="43"/>
    </row>
    <row r="21325" spans="65:67" ht="18.75" customHeight="1">
      <c r="BM21325" s="1025"/>
      <c r="BO21325" s="43"/>
    </row>
    <row r="21326" spans="65:67" ht="18.75" customHeight="1">
      <c r="BM21326" s="1025"/>
      <c r="BO21326" s="43"/>
    </row>
    <row r="21327" spans="65:67" ht="18.75" customHeight="1">
      <c r="BM21327" s="1025"/>
      <c r="BO21327" s="43"/>
    </row>
    <row r="21328" spans="65:67" ht="18.75" customHeight="1">
      <c r="BM21328" s="1025"/>
      <c r="BO21328" s="43"/>
    </row>
    <row r="21329" spans="65:67" ht="18.75" customHeight="1">
      <c r="BM21329" s="1025"/>
      <c r="BO21329" s="43"/>
    </row>
    <row r="21330" spans="65:67" ht="18.75" customHeight="1">
      <c r="BM21330" s="1025"/>
      <c r="BO21330" s="43"/>
    </row>
    <row r="21331" spans="65:67" ht="18.75" customHeight="1">
      <c r="BM21331" s="1025"/>
      <c r="BO21331" s="43"/>
    </row>
    <row r="21332" spans="65:67" ht="18.75" customHeight="1">
      <c r="BM21332" s="1025"/>
      <c r="BO21332" s="43"/>
    </row>
    <row r="21333" spans="65:67" ht="18.75" customHeight="1">
      <c r="BM21333" s="1025"/>
      <c r="BO21333" s="43"/>
    </row>
    <row r="21334" spans="65:67" ht="18.75" customHeight="1">
      <c r="BM21334" s="1025"/>
      <c r="BO21334" s="43"/>
    </row>
    <row r="21335" spans="65:67" ht="18.75" customHeight="1">
      <c r="BM21335" s="1025"/>
      <c r="BO21335" s="43"/>
    </row>
    <row r="21336" spans="65:67" ht="18.75" customHeight="1">
      <c r="BM21336" s="1025"/>
      <c r="BO21336" s="43"/>
    </row>
    <row r="21337" spans="65:67" ht="18.75" customHeight="1">
      <c r="BM21337" s="1025"/>
      <c r="BO21337" s="43"/>
    </row>
    <row r="21338" spans="65:67" ht="18.75" customHeight="1">
      <c r="BM21338" s="1025"/>
      <c r="BO21338" s="43"/>
    </row>
    <row r="21339" spans="65:67" ht="18.75" customHeight="1">
      <c r="BM21339" s="1025"/>
      <c r="BO21339" s="43"/>
    </row>
    <row r="21340" spans="65:67" ht="18.75" customHeight="1">
      <c r="BM21340" s="1025"/>
      <c r="BO21340" s="43"/>
    </row>
    <row r="21341" spans="65:67" ht="18.75" customHeight="1">
      <c r="BM21341" s="1025"/>
      <c r="BO21341" s="43"/>
    </row>
    <row r="21342" spans="65:67" ht="18.75" customHeight="1">
      <c r="BM21342" s="1025"/>
      <c r="BO21342" s="43"/>
    </row>
    <row r="21343" spans="65:67" ht="18.75" customHeight="1">
      <c r="BM21343" s="1025"/>
      <c r="BO21343" s="43"/>
    </row>
    <row r="21344" spans="65:67" ht="18.75" customHeight="1">
      <c r="BM21344" s="1025"/>
      <c r="BO21344" s="43"/>
    </row>
    <row r="21345" spans="65:67" ht="18.75" customHeight="1">
      <c r="BM21345" s="1025"/>
      <c r="BO21345" s="43"/>
    </row>
    <row r="21346" spans="65:67" ht="18.75" customHeight="1">
      <c r="BM21346" s="1025"/>
      <c r="BO21346" s="43"/>
    </row>
    <row r="21347" spans="65:67" ht="18.75" customHeight="1">
      <c r="BM21347" s="1025"/>
      <c r="BO21347" s="43"/>
    </row>
    <row r="21348" spans="65:67" ht="18.75" customHeight="1">
      <c r="BM21348" s="1025"/>
      <c r="BO21348" s="43"/>
    </row>
    <row r="21349" spans="65:67" ht="18.75" customHeight="1">
      <c r="BM21349" s="1025"/>
      <c r="BO21349" s="43"/>
    </row>
    <row r="21350" spans="65:67" ht="18.75" customHeight="1">
      <c r="BM21350" s="1025"/>
      <c r="BO21350" s="43"/>
    </row>
    <row r="21351" spans="65:67" ht="18.75" customHeight="1">
      <c r="BM21351" s="1025"/>
      <c r="BO21351" s="43"/>
    </row>
    <row r="21352" spans="65:67" ht="18.75" customHeight="1">
      <c r="BM21352" s="1025"/>
      <c r="BO21352" s="43"/>
    </row>
    <row r="21353" spans="65:67" ht="18.75" customHeight="1">
      <c r="BM21353" s="1025"/>
      <c r="BO21353" s="43"/>
    </row>
    <row r="21354" spans="65:67" ht="18.75" customHeight="1">
      <c r="BM21354" s="1025"/>
      <c r="BO21354" s="43"/>
    </row>
    <row r="21355" spans="65:67" ht="18.75" customHeight="1">
      <c r="BM21355" s="1025"/>
      <c r="BO21355" s="43"/>
    </row>
    <row r="21356" spans="65:67" ht="18.75" customHeight="1">
      <c r="BM21356" s="1025"/>
      <c r="BO21356" s="43"/>
    </row>
    <row r="21357" spans="65:67" ht="18.75" customHeight="1">
      <c r="BM21357" s="1025"/>
      <c r="BO21357" s="43"/>
    </row>
    <row r="21358" spans="65:67" ht="18.75" customHeight="1">
      <c r="BM21358" s="1025"/>
      <c r="BO21358" s="43"/>
    </row>
    <row r="21359" spans="65:67" ht="18.75" customHeight="1">
      <c r="BM21359" s="1025"/>
      <c r="BO21359" s="43"/>
    </row>
    <row r="21360" spans="65:67" ht="18.75" customHeight="1">
      <c r="BM21360" s="1025"/>
      <c r="BO21360" s="43"/>
    </row>
    <row r="21361" spans="65:67" ht="18.75" customHeight="1">
      <c r="BM21361" s="1025"/>
      <c r="BO21361" s="43"/>
    </row>
    <row r="21362" spans="65:67" ht="18.75" customHeight="1">
      <c r="BM21362" s="1025"/>
      <c r="BO21362" s="43"/>
    </row>
    <row r="21363" spans="65:67" ht="18.75" customHeight="1">
      <c r="BM21363" s="1025"/>
      <c r="BO21363" s="43"/>
    </row>
    <row r="21364" spans="65:67" ht="18.75" customHeight="1">
      <c r="BM21364" s="1025"/>
      <c r="BO21364" s="43"/>
    </row>
    <row r="21365" spans="65:67" ht="18.75" customHeight="1">
      <c r="BM21365" s="1025"/>
      <c r="BO21365" s="43"/>
    </row>
    <row r="21366" spans="65:67" ht="18.75" customHeight="1">
      <c r="BM21366" s="1025"/>
      <c r="BO21366" s="43"/>
    </row>
    <row r="21367" spans="65:67" ht="18.75" customHeight="1">
      <c r="BM21367" s="1025"/>
      <c r="BO21367" s="43"/>
    </row>
    <row r="21368" spans="65:67" ht="18.75" customHeight="1">
      <c r="BM21368" s="1025"/>
      <c r="BO21368" s="43"/>
    </row>
    <row r="21369" spans="65:67" ht="18.75" customHeight="1">
      <c r="BM21369" s="1025"/>
      <c r="BO21369" s="43"/>
    </row>
    <row r="21370" spans="65:67" ht="18.75" customHeight="1">
      <c r="BM21370" s="1025"/>
      <c r="BO21370" s="43"/>
    </row>
    <row r="21371" spans="65:67" ht="18.75" customHeight="1">
      <c r="BM21371" s="1025"/>
      <c r="BO21371" s="43"/>
    </row>
    <row r="21372" spans="65:67" ht="18.75" customHeight="1">
      <c r="BM21372" s="1025"/>
      <c r="BO21372" s="43"/>
    </row>
    <row r="21373" spans="65:67" ht="18.75" customHeight="1">
      <c r="BM21373" s="1025"/>
      <c r="BO21373" s="43"/>
    </row>
    <row r="21374" spans="65:67" ht="18.75" customHeight="1">
      <c r="BM21374" s="1025"/>
      <c r="BO21374" s="43"/>
    </row>
    <row r="21375" spans="65:67" ht="18.75" customHeight="1">
      <c r="BM21375" s="1025"/>
      <c r="BO21375" s="43"/>
    </row>
    <row r="21376" spans="65:67" ht="18.75" customHeight="1">
      <c r="BM21376" s="1025"/>
      <c r="BO21376" s="43"/>
    </row>
    <row r="21377" spans="65:67" ht="18.75" customHeight="1">
      <c r="BM21377" s="1025"/>
      <c r="BO21377" s="43"/>
    </row>
    <row r="21378" spans="65:67" ht="18.75" customHeight="1">
      <c r="BM21378" s="1025"/>
      <c r="BO21378" s="43"/>
    </row>
    <row r="21379" spans="65:67" ht="18.75" customHeight="1">
      <c r="BM21379" s="1025"/>
      <c r="BO21379" s="43"/>
    </row>
    <row r="21380" spans="65:67" ht="18.75" customHeight="1">
      <c r="BM21380" s="1025"/>
      <c r="BO21380" s="43"/>
    </row>
    <row r="21381" spans="65:67" ht="18.75" customHeight="1">
      <c r="BM21381" s="1025"/>
      <c r="BO21381" s="43"/>
    </row>
    <row r="21382" spans="65:67" ht="18.75" customHeight="1">
      <c r="BM21382" s="1025"/>
      <c r="BO21382" s="43"/>
    </row>
    <row r="21383" spans="65:67" ht="18.75" customHeight="1">
      <c r="BM21383" s="1025"/>
      <c r="BO21383" s="43"/>
    </row>
    <row r="21384" spans="65:67" ht="18.75" customHeight="1">
      <c r="BM21384" s="1025"/>
      <c r="BO21384" s="43"/>
    </row>
    <row r="21385" spans="65:67" ht="18.75" customHeight="1">
      <c r="BM21385" s="1025"/>
      <c r="BO21385" s="43"/>
    </row>
    <row r="21386" spans="65:67" ht="18.75" customHeight="1">
      <c r="BM21386" s="1025"/>
      <c r="BO21386" s="43"/>
    </row>
    <row r="21387" spans="65:67" ht="18.75" customHeight="1">
      <c r="BM21387" s="1025"/>
      <c r="BO21387" s="43"/>
    </row>
    <row r="21388" spans="65:67" ht="18.75" customHeight="1">
      <c r="BM21388" s="1025"/>
      <c r="BO21388" s="43"/>
    </row>
    <row r="21389" spans="65:67" ht="18.75" customHeight="1">
      <c r="BM21389" s="1025"/>
      <c r="BO21389" s="43"/>
    </row>
    <row r="21390" spans="65:67" ht="18.75" customHeight="1">
      <c r="BM21390" s="1025"/>
      <c r="BO21390" s="43"/>
    </row>
    <row r="21391" spans="65:67" ht="18.75" customHeight="1">
      <c r="BM21391" s="1025"/>
      <c r="BO21391" s="43"/>
    </row>
    <row r="21392" spans="65:67" ht="18.75" customHeight="1">
      <c r="BM21392" s="1025"/>
      <c r="BO21392" s="43"/>
    </row>
    <row r="21393" spans="65:67" ht="18.75" customHeight="1">
      <c r="BM21393" s="1025"/>
      <c r="BO21393" s="43"/>
    </row>
    <row r="21394" spans="65:67" ht="18.75" customHeight="1">
      <c r="BM21394" s="1025"/>
      <c r="BO21394" s="43"/>
    </row>
    <row r="21395" spans="65:67" ht="18.75" customHeight="1">
      <c r="BM21395" s="1025"/>
      <c r="BO21395" s="43"/>
    </row>
    <row r="21396" spans="65:67" ht="18.75" customHeight="1">
      <c r="BM21396" s="1025"/>
      <c r="BO21396" s="43"/>
    </row>
    <row r="21397" spans="65:67" ht="18.75" customHeight="1">
      <c r="BM21397" s="1025"/>
      <c r="BO21397" s="43"/>
    </row>
    <row r="21398" spans="65:67" ht="18.75" customHeight="1">
      <c r="BM21398" s="1025"/>
      <c r="BO21398" s="43"/>
    </row>
    <row r="21399" spans="65:67" ht="18.75" customHeight="1">
      <c r="BM21399" s="1025"/>
      <c r="BO21399" s="43"/>
    </row>
    <row r="21400" spans="65:67" ht="18.75" customHeight="1">
      <c r="BM21400" s="1025"/>
      <c r="BO21400" s="43"/>
    </row>
    <row r="21401" spans="65:67" ht="18.75" customHeight="1">
      <c r="BM21401" s="1025"/>
      <c r="BO21401" s="43"/>
    </row>
    <row r="21402" spans="65:67" ht="18.75" customHeight="1">
      <c r="BM21402" s="1025"/>
      <c r="BO21402" s="43"/>
    </row>
    <row r="21403" spans="65:67" ht="18.75" customHeight="1">
      <c r="BM21403" s="1025"/>
      <c r="BO21403" s="43"/>
    </row>
    <row r="21404" spans="65:67" ht="18.75" customHeight="1">
      <c r="BM21404" s="1025"/>
      <c r="BO21404" s="43"/>
    </row>
    <row r="21405" spans="65:67" ht="18.75" customHeight="1">
      <c r="BM21405" s="1025"/>
      <c r="BO21405" s="43"/>
    </row>
    <row r="21406" spans="65:67" ht="18.75" customHeight="1">
      <c r="BM21406" s="1025"/>
      <c r="BO21406" s="43"/>
    </row>
    <row r="21407" spans="65:67" ht="18.75" customHeight="1">
      <c r="BM21407" s="1025"/>
      <c r="BO21407" s="43"/>
    </row>
    <row r="21408" spans="65:67" ht="18.75" customHeight="1">
      <c r="BM21408" s="1025"/>
      <c r="BO21408" s="43"/>
    </row>
    <row r="21409" spans="65:67" ht="18.75" customHeight="1">
      <c r="BM21409" s="1025"/>
      <c r="BO21409" s="43"/>
    </row>
    <row r="21410" spans="65:67" ht="18.75" customHeight="1">
      <c r="BM21410" s="1025"/>
      <c r="BO21410" s="43"/>
    </row>
    <row r="21411" spans="65:67" ht="18.75" customHeight="1">
      <c r="BM21411" s="1025"/>
      <c r="BO21411" s="43"/>
    </row>
    <row r="21412" spans="65:67" ht="18.75" customHeight="1">
      <c r="BM21412" s="1025"/>
      <c r="BO21412" s="43"/>
    </row>
    <row r="21413" spans="65:67" ht="18.75" customHeight="1">
      <c r="BM21413" s="1025"/>
      <c r="BO21413" s="43"/>
    </row>
    <row r="21414" spans="65:67" ht="18.75" customHeight="1">
      <c r="BM21414" s="1025"/>
      <c r="BO21414" s="43"/>
    </row>
    <row r="21415" spans="65:67" ht="18.75" customHeight="1">
      <c r="BM21415" s="1025"/>
      <c r="BO21415" s="43"/>
    </row>
    <row r="21416" spans="65:67" ht="18.75" customHeight="1">
      <c r="BM21416" s="1025"/>
      <c r="BO21416" s="43"/>
    </row>
    <row r="21417" spans="65:67" ht="18.75" customHeight="1">
      <c r="BM21417" s="1025"/>
      <c r="BO21417" s="43"/>
    </row>
    <row r="21418" spans="65:67" ht="18.75" customHeight="1">
      <c r="BM21418" s="1025"/>
      <c r="BO21418" s="43"/>
    </row>
    <row r="21419" spans="65:67" ht="18.75" customHeight="1">
      <c r="BM21419" s="1025"/>
      <c r="BO21419" s="43"/>
    </row>
    <row r="21420" spans="65:67" ht="18.75" customHeight="1">
      <c r="BM21420" s="1025"/>
      <c r="BO21420" s="43"/>
    </row>
    <row r="21421" spans="65:67" ht="18.75" customHeight="1">
      <c r="BM21421" s="1025"/>
      <c r="BO21421" s="43"/>
    </row>
    <row r="21422" spans="65:67" ht="18.75" customHeight="1">
      <c r="BM21422" s="1025"/>
      <c r="BO21422" s="43"/>
    </row>
    <row r="21423" spans="65:67" ht="18.75" customHeight="1">
      <c r="BM21423" s="1025"/>
      <c r="BO21423" s="43"/>
    </row>
    <row r="21424" spans="65:67" ht="18.75" customHeight="1">
      <c r="BM21424" s="1025"/>
      <c r="BO21424" s="43"/>
    </row>
    <row r="21425" spans="65:67" ht="18.75" customHeight="1">
      <c r="BM21425" s="1025"/>
      <c r="BO21425" s="43"/>
    </row>
    <row r="21426" spans="65:67" ht="18.75" customHeight="1">
      <c r="BM21426" s="1025"/>
      <c r="BO21426" s="43"/>
    </row>
    <row r="21427" spans="65:67" ht="18.75" customHeight="1">
      <c r="BM21427" s="1025"/>
      <c r="BO21427" s="43"/>
    </row>
    <row r="21428" spans="65:67" ht="18.75" customHeight="1">
      <c r="BM21428" s="1025"/>
      <c r="BO21428" s="43"/>
    </row>
    <row r="21429" spans="65:67" ht="18.75" customHeight="1">
      <c r="BM21429" s="1025"/>
      <c r="BO21429" s="43"/>
    </row>
    <row r="21430" spans="65:67" ht="18.75" customHeight="1">
      <c r="BM21430" s="1025"/>
      <c r="BO21430" s="43"/>
    </row>
    <row r="21431" spans="65:67" ht="18.75" customHeight="1">
      <c r="BM21431" s="1025"/>
      <c r="BO21431" s="43"/>
    </row>
    <row r="21432" spans="65:67" ht="18.75" customHeight="1">
      <c r="BM21432" s="1025"/>
      <c r="BO21432" s="43"/>
    </row>
    <row r="21433" spans="65:67" ht="18.75" customHeight="1">
      <c r="BM21433" s="1025"/>
      <c r="BO21433" s="43"/>
    </row>
    <row r="21434" spans="65:67" ht="18.75" customHeight="1">
      <c r="BM21434" s="1025"/>
      <c r="BO21434" s="43"/>
    </row>
    <row r="21435" spans="65:67" ht="18.75" customHeight="1">
      <c r="BM21435" s="1025"/>
      <c r="BO21435" s="43"/>
    </row>
    <row r="21436" spans="65:67" ht="18.75" customHeight="1">
      <c r="BM21436" s="1025"/>
      <c r="BO21436" s="43"/>
    </row>
    <row r="21437" spans="65:67" ht="18.75" customHeight="1">
      <c r="BM21437" s="1025"/>
      <c r="BO21437" s="43"/>
    </row>
    <row r="21438" spans="65:67" ht="18.75" customHeight="1">
      <c r="BM21438" s="1025"/>
      <c r="BO21438" s="43"/>
    </row>
    <row r="21439" spans="65:67" ht="18.75" customHeight="1">
      <c r="BM21439" s="1025"/>
      <c r="BO21439" s="43"/>
    </row>
    <row r="21440" spans="65:67" ht="18.75" customHeight="1">
      <c r="BM21440" s="1025"/>
      <c r="BO21440" s="43"/>
    </row>
    <row r="21441" spans="65:67" ht="18.75" customHeight="1">
      <c r="BM21441" s="1025"/>
      <c r="BO21441" s="43"/>
    </row>
    <row r="21442" spans="65:67" ht="18.75" customHeight="1">
      <c r="BM21442" s="1025"/>
      <c r="BO21442" s="43"/>
    </row>
    <row r="21443" spans="65:67" ht="18.75" customHeight="1">
      <c r="BM21443" s="1025"/>
      <c r="BO21443" s="43"/>
    </row>
    <row r="21444" spans="65:67" ht="18.75" customHeight="1">
      <c r="BM21444" s="1025"/>
      <c r="BO21444" s="43"/>
    </row>
    <row r="21445" spans="65:67" ht="18.75" customHeight="1">
      <c r="BM21445" s="1025"/>
      <c r="BO21445" s="43"/>
    </row>
    <row r="21446" spans="65:67" ht="18.75" customHeight="1">
      <c r="BM21446" s="1025"/>
      <c r="BO21446" s="43"/>
    </row>
    <row r="21447" spans="65:67" ht="18.75" customHeight="1">
      <c r="BM21447" s="1025"/>
      <c r="BO21447" s="43"/>
    </row>
    <row r="21448" spans="65:67" ht="18.75" customHeight="1">
      <c r="BM21448" s="1025"/>
      <c r="BO21448" s="43"/>
    </row>
    <row r="21449" spans="65:67" ht="18.75" customHeight="1">
      <c r="BM21449" s="1025"/>
      <c r="BO21449" s="43"/>
    </row>
    <row r="21450" spans="65:67" ht="18.75" customHeight="1">
      <c r="BM21450" s="1025"/>
      <c r="BO21450" s="43"/>
    </row>
    <row r="21451" spans="65:67" ht="18.75" customHeight="1">
      <c r="BM21451" s="1025"/>
      <c r="BO21451" s="43"/>
    </row>
    <row r="21452" spans="65:67" ht="18.75" customHeight="1">
      <c r="BM21452" s="1025"/>
      <c r="BO21452" s="43"/>
    </row>
    <row r="21453" spans="65:67" ht="18.75" customHeight="1">
      <c r="BM21453" s="1025"/>
      <c r="BO21453" s="43"/>
    </row>
    <row r="21454" spans="65:67" ht="18.75" customHeight="1">
      <c r="BM21454" s="1025"/>
      <c r="BO21454" s="43"/>
    </row>
    <row r="21455" spans="65:67" ht="18.75" customHeight="1">
      <c r="BM21455" s="1025"/>
      <c r="BO21455" s="43"/>
    </row>
    <row r="21456" spans="65:67" ht="18.75" customHeight="1">
      <c r="BM21456" s="1025"/>
      <c r="BO21456" s="43"/>
    </row>
    <row r="21457" spans="65:67" ht="18.75" customHeight="1">
      <c r="BM21457" s="1025"/>
      <c r="BO21457" s="43"/>
    </row>
    <row r="21458" spans="65:67" ht="18.75" customHeight="1">
      <c r="BM21458" s="1025"/>
      <c r="BO21458" s="43"/>
    </row>
    <row r="21459" spans="65:67" ht="18.75" customHeight="1">
      <c r="BM21459" s="1025"/>
      <c r="BO21459" s="43"/>
    </row>
    <row r="21460" spans="65:67" ht="18.75" customHeight="1">
      <c r="BM21460" s="1025"/>
      <c r="BO21460" s="43"/>
    </row>
    <row r="21461" spans="65:67" ht="18.75" customHeight="1">
      <c r="BM21461" s="1025"/>
      <c r="BO21461" s="43"/>
    </row>
    <row r="21462" spans="65:67" ht="18.75" customHeight="1">
      <c r="BM21462" s="1025"/>
      <c r="BO21462" s="43"/>
    </row>
    <row r="21463" spans="65:67" ht="18.75" customHeight="1">
      <c r="BM21463" s="1025"/>
      <c r="BO21463" s="43"/>
    </row>
    <row r="21464" spans="65:67" ht="18.75" customHeight="1">
      <c r="BM21464" s="1025"/>
      <c r="BO21464" s="43"/>
    </row>
    <row r="21465" spans="65:67" ht="18.75" customHeight="1">
      <c r="BM21465" s="1025"/>
      <c r="BO21465" s="43"/>
    </row>
    <row r="21466" spans="65:67" ht="18.75" customHeight="1">
      <c r="BM21466" s="1025"/>
      <c r="BO21466" s="43"/>
    </row>
    <row r="21467" spans="65:67" ht="18.75" customHeight="1">
      <c r="BM21467" s="1025"/>
      <c r="BO21467" s="43"/>
    </row>
    <row r="21468" spans="65:67" ht="18.75" customHeight="1">
      <c r="BM21468" s="1025"/>
      <c r="BO21468" s="43"/>
    </row>
    <row r="21469" spans="65:67" ht="18.75" customHeight="1">
      <c r="BM21469" s="1025"/>
      <c r="BO21469" s="43"/>
    </row>
    <row r="21470" spans="65:67" ht="18.75" customHeight="1">
      <c r="BM21470" s="1025"/>
      <c r="BO21470" s="43"/>
    </row>
    <row r="21471" spans="65:67" ht="18.75" customHeight="1">
      <c r="BM21471" s="1025"/>
      <c r="BO21471" s="43"/>
    </row>
    <row r="21472" spans="65:67" ht="18.75" customHeight="1">
      <c r="BM21472" s="1025"/>
      <c r="BO21472" s="43"/>
    </row>
    <row r="21473" spans="65:67" ht="18.75" customHeight="1">
      <c r="BM21473" s="1025"/>
      <c r="BO21473" s="43"/>
    </row>
    <row r="21474" spans="65:67" ht="18.75" customHeight="1">
      <c r="BM21474" s="1025"/>
      <c r="BO21474" s="43"/>
    </row>
    <row r="21475" spans="65:67" ht="18.75" customHeight="1">
      <c r="BM21475" s="1025"/>
      <c r="BO21475" s="43"/>
    </row>
    <row r="21476" spans="65:67" ht="18.75" customHeight="1">
      <c r="BM21476" s="1025"/>
      <c r="BO21476" s="43"/>
    </row>
    <row r="21477" spans="65:67" ht="18.75" customHeight="1">
      <c r="BM21477" s="1025"/>
      <c r="BO21477" s="43"/>
    </row>
    <row r="21478" spans="65:67" ht="18.75" customHeight="1">
      <c r="BM21478" s="1025"/>
      <c r="BO21478" s="43"/>
    </row>
    <row r="21479" spans="65:67" ht="18.75" customHeight="1">
      <c r="BM21479" s="1025"/>
      <c r="BO21479" s="43"/>
    </row>
    <row r="21480" spans="65:67" ht="18.75" customHeight="1">
      <c r="BM21480" s="1025"/>
      <c r="BO21480" s="43"/>
    </row>
    <row r="21481" spans="65:67" ht="18.75" customHeight="1">
      <c r="BM21481" s="1025"/>
      <c r="BO21481" s="43"/>
    </row>
    <row r="21482" spans="65:67" ht="18.75" customHeight="1">
      <c r="BM21482" s="1025"/>
      <c r="BO21482" s="43"/>
    </row>
    <row r="21483" spans="65:67" ht="18.75" customHeight="1">
      <c r="BM21483" s="1025"/>
      <c r="BO21483" s="43"/>
    </row>
    <row r="21484" spans="65:67" ht="18.75" customHeight="1">
      <c r="BM21484" s="1025"/>
      <c r="BO21484" s="43"/>
    </row>
    <row r="21485" spans="65:67" ht="18.75" customHeight="1">
      <c r="BM21485" s="1025"/>
      <c r="BO21485" s="43"/>
    </row>
    <row r="21486" spans="65:67" ht="18.75" customHeight="1">
      <c r="BM21486" s="1025"/>
      <c r="BO21486" s="43"/>
    </row>
    <row r="21487" spans="65:67" ht="18.75" customHeight="1">
      <c r="BM21487" s="1025"/>
      <c r="BO21487" s="43"/>
    </row>
    <row r="21488" spans="65:67" ht="18.75" customHeight="1">
      <c r="BM21488" s="1025"/>
      <c r="BO21488" s="43"/>
    </row>
    <row r="21489" spans="65:67" ht="18.75" customHeight="1">
      <c r="BM21489" s="1025"/>
      <c r="BO21489" s="43"/>
    </row>
    <row r="21490" spans="65:67" ht="18.75" customHeight="1">
      <c r="BM21490" s="1025"/>
      <c r="BO21490" s="43"/>
    </row>
    <row r="21491" spans="65:67" ht="18.75" customHeight="1">
      <c r="BM21491" s="1025"/>
      <c r="BO21491" s="43"/>
    </row>
    <row r="21492" spans="65:67" ht="18.75" customHeight="1">
      <c r="BM21492" s="1025"/>
      <c r="BO21492" s="43"/>
    </row>
    <row r="21493" spans="65:67" ht="18.75" customHeight="1">
      <c r="BM21493" s="1025"/>
      <c r="BO21493" s="43"/>
    </row>
    <row r="21494" spans="65:67" ht="18.75" customHeight="1">
      <c r="BM21494" s="1025"/>
      <c r="BO21494" s="43"/>
    </row>
    <row r="21495" spans="65:67" ht="18.75" customHeight="1">
      <c r="BM21495" s="1025"/>
      <c r="BO21495" s="43"/>
    </row>
    <row r="21496" spans="65:67" ht="18.75" customHeight="1">
      <c r="BM21496" s="1025"/>
      <c r="BO21496" s="43"/>
    </row>
    <row r="21497" spans="65:67" ht="18.75" customHeight="1">
      <c r="BM21497" s="1025"/>
      <c r="BO21497" s="43"/>
    </row>
    <row r="21498" spans="65:67" ht="18.75" customHeight="1">
      <c r="BM21498" s="1025"/>
      <c r="BO21498" s="43"/>
    </row>
    <row r="21499" spans="65:67" ht="18.75" customHeight="1">
      <c r="BM21499" s="1025"/>
      <c r="BO21499" s="43"/>
    </row>
    <row r="21500" spans="65:67" ht="18.75" customHeight="1">
      <c r="BM21500" s="1025"/>
      <c r="BO21500" s="43"/>
    </row>
    <row r="21501" spans="65:67" ht="18.75" customHeight="1">
      <c r="BM21501" s="1025"/>
      <c r="BO21501" s="43"/>
    </row>
    <row r="21502" spans="65:67" ht="18.75" customHeight="1">
      <c r="BM21502" s="1025"/>
      <c r="BO21502" s="43"/>
    </row>
    <row r="21503" spans="65:67" ht="18.75" customHeight="1">
      <c r="BM21503" s="1025"/>
      <c r="BO21503" s="43"/>
    </row>
    <row r="21504" spans="65:67" ht="18.75" customHeight="1">
      <c r="BM21504" s="1025"/>
      <c r="BO21504" s="43"/>
    </row>
    <row r="21505" spans="65:67" ht="18.75" customHeight="1">
      <c r="BM21505" s="1025"/>
      <c r="BO21505" s="43"/>
    </row>
    <row r="21506" spans="65:67" ht="18.75" customHeight="1">
      <c r="BM21506" s="1025"/>
      <c r="BO21506" s="43"/>
    </row>
    <row r="21507" spans="65:67" ht="18.75" customHeight="1">
      <c r="BM21507" s="1025"/>
      <c r="BO21507" s="43"/>
    </row>
    <row r="21508" spans="65:67" ht="18.75" customHeight="1">
      <c r="BM21508" s="1025"/>
      <c r="BO21508" s="43"/>
    </row>
    <row r="21509" spans="65:67" ht="18.75" customHeight="1">
      <c r="BM21509" s="1025"/>
      <c r="BO21509" s="43"/>
    </row>
    <row r="21510" spans="65:67" ht="18.75" customHeight="1">
      <c r="BM21510" s="1025"/>
      <c r="BO21510" s="43"/>
    </row>
    <row r="21511" spans="65:67" ht="18.75" customHeight="1">
      <c r="BM21511" s="1025"/>
      <c r="BO21511" s="43"/>
    </row>
    <row r="21512" spans="65:67" ht="18.75" customHeight="1">
      <c r="BM21512" s="1025"/>
      <c r="BO21512" s="43"/>
    </row>
    <row r="21513" spans="65:67" ht="18.75" customHeight="1">
      <c r="BM21513" s="1025"/>
      <c r="BO21513" s="43"/>
    </row>
    <row r="21514" spans="65:67" ht="18.75" customHeight="1">
      <c r="BM21514" s="1025"/>
      <c r="BO21514" s="43"/>
    </row>
    <row r="21515" spans="65:67" ht="18.75" customHeight="1">
      <c r="BM21515" s="1025"/>
      <c r="BO21515" s="43"/>
    </row>
    <row r="21516" spans="65:67" ht="18.75" customHeight="1">
      <c r="BM21516" s="1025"/>
      <c r="BO21516" s="43"/>
    </row>
    <row r="21517" spans="65:67" ht="18.75" customHeight="1">
      <c r="BM21517" s="1025"/>
      <c r="BO21517" s="43"/>
    </row>
    <row r="21518" spans="65:67" ht="18.75" customHeight="1">
      <c r="BM21518" s="1025"/>
      <c r="BO21518" s="43"/>
    </row>
    <row r="21519" spans="65:67" ht="18.75" customHeight="1">
      <c r="BM21519" s="1025"/>
      <c r="BO21519" s="43"/>
    </row>
    <row r="21520" spans="65:67" ht="18.75" customHeight="1">
      <c r="BM21520" s="1025"/>
      <c r="BO21520" s="43"/>
    </row>
    <row r="21521" spans="65:67" ht="18.75" customHeight="1">
      <c r="BM21521" s="1025"/>
      <c r="BO21521" s="43"/>
    </row>
    <row r="21522" spans="65:67" ht="18.75" customHeight="1">
      <c r="BM21522" s="1025"/>
      <c r="BO21522" s="43"/>
    </row>
    <row r="21523" spans="65:67" ht="18.75" customHeight="1">
      <c r="BM21523" s="1025"/>
      <c r="BO21523" s="43"/>
    </row>
    <row r="21524" spans="65:67" ht="18.75" customHeight="1">
      <c r="BM21524" s="1025"/>
      <c r="BO21524" s="43"/>
    </row>
    <row r="21525" spans="65:67" ht="18.75" customHeight="1">
      <c r="BM21525" s="1025"/>
      <c r="BO21525" s="43"/>
    </row>
    <row r="21526" spans="65:67" ht="18.75" customHeight="1">
      <c r="BM21526" s="1025"/>
      <c r="BO21526" s="43"/>
    </row>
    <row r="21527" spans="65:67" ht="18.75" customHeight="1">
      <c r="BM21527" s="1025"/>
      <c r="BO21527" s="43"/>
    </row>
    <row r="21528" spans="65:67" ht="18.75" customHeight="1">
      <c r="BM21528" s="1025"/>
      <c r="BO21528" s="43"/>
    </row>
    <row r="21529" spans="65:67" ht="18.75" customHeight="1">
      <c r="BM21529" s="1025"/>
      <c r="BO21529" s="43"/>
    </row>
    <row r="21530" spans="65:67" ht="18.75" customHeight="1">
      <c r="BM21530" s="1025"/>
      <c r="BO21530" s="43"/>
    </row>
    <row r="21531" spans="65:67" ht="18.75" customHeight="1">
      <c r="BM21531" s="1025"/>
      <c r="BO21531" s="43"/>
    </row>
    <row r="21532" spans="65:67" ht="18.75" customHeight="1">
      <c r="BM21532" s="1025"/>
      <c r="BO21532" s="43"/>
    </row>
    <row r="21533" spans="65:67" ht="18.75" customHeight="1">
      <c r="BM21533" s="1025"/>
      <c r="BO21533" s="43"/>
    </row>
    <row r="21534" spans="65:67" ht="18.75" customHeight="1">
      <c r="BM21534" s="1025"/>
      <c r="BO21534" s="43"/>
    </row>
    <row r="21535" spans="65:67" ht="18.75" customHeight="1">
      <c r="BM21535" s="1025"/>
      <c r="BO21535" s="43"/>
    </row>
    <row r="21536" spans="65:67" ht="18.75" customHeight="1">
      <c r="BM21536" s="1025"/>
      <c r="BO21536" s="43"/>
    </row>
    <row r="21537" spans="65:67" ht="18.75" customHeight="1">
      <c r="BM21537" s="1025"/>
      <c r="BO21537" s="43"/>
    </row>
    <row r="21538" spans="65:67" ht="18.75" customHeight="1">
      <c r="BM21538" s="1025"/>
      <c r="BO21538" s="43"/>
    </row>
    <row r="21539" spans="65:67" ht="18.75" customHeight="1">
      <c r="BM21539" s="1025"/>
      <c r="BO21539" s="43"/>
    </row>
    <row r="21540" spans="65:67" ht="18.75" customHeight="1">
      <c r="BM21540" s="1025"/>
      <c r="BO21540" s="43"/>
    </row>
    <row r="21541" spans="65:67" ht="18.75" customHeight="1">
      <c r="BM21541" s="1025"/>
      <c r="BO21541" s="43"/>
    </row>
    <row r="21542" spans="65:67" ht="18.75" customHeight="1">
      <c r="BM21542" s="1025"/>
      <c r="BO21542" s="43"/>
    </row>
    <row r="21543" spans="65:67" ht="18.75" customHeight="1">
      <c r="BM21543" s="1025"/>
      <c r="BO21543" s="43"/>
    </row>
    <row r="21544" spans="65:67" ht="18.75" customHeight="1">
      <c r="BM21544" s="1025"/>
      <c r="BO21544" s="43"/>
    </row>
    <row r="21545" spans="65:67" ht="18.75" customHeight="1">
      <c r="BM21545" s="1025"/>
      <c r="BO21545" s="43"/>
    </row>
    <row r="21546" spans="65:67" ht="18.75" customHeight="1">
      <c r="BM21546" s="1025"/>
      <c r="BO21546" s="43"/>
    </row>
    <row r="21547" spans="65:67" ht="18.75" customHeight="1">
      <c r="BM21547" s="1025"/>
      <c r="BO21547" s="43"/>
    </row>
    <row r="21548" spans="65:67" ht="18.75" customHeight="1">
      <c r="BM21548" s="1025"/>
      <c r="BO21548" s="43"/>
    </row>
    <row r="21549" spans="65:67" ht="18.75" customHeight="1">
      <c r="BM21549" s="1025"/>
      <c r="BO21549" s="43"/>
    </row>
    <row r="21550" spans="65:67" ht="18.75" customHeight="1">
      <c r="BM21550" s="1025"/>
      <c r="BO21550" s="43"/>
    </row>
    <row r="21551" spans="65:67" ht="18.75" customHeight="1">
      <c r="BM21551" s="1025"/>
      <c r="BO21551" s="43"/>
    </row>
    <row r="21552" spans="65:67" ht="18.75" customHeight="1">
      <c r="BM21552" s="1025"/>
      <c r="BO21552" s="43"/>
    </row>
    <row r="21553" spans="65:67" ht="18.75" customHeight="1">
      <c r="BM21553" s="1025"/>
      <c r="BO21553" s="43"/>
    </row>
    <row r="21554" spans="65:67" ht="18.75" customHeight="1">
      <c r="BM21554" s="1025"/>
      <c r="BO21554" s="43"/>
    </row>
    <row r="21555" spans="65:67" ht="18.75" customHeight="1">
      <c r="BM21555" s="1025"/>
      <c r="BO21555" s="43"/>
    </row>
    <row r="21556" spans="65:67" ht="18.75" customHeight="1">
      <c r="BM21556" s="1025"/>
      <c r="BO21556" s="43"/>
    </row>
    <row r="21557" spans="65:67" ht="18.75" customHeight="1">
      <c r="BM21557" s="1025"/>
      <c r="BO21557" s="43"/>
    </row>
    <row r="21558" spans="65:67" ht="18.75" customHeight="1">
      <c r="BM21558" s="1025"/>
      <c r="BO21558" s="43"/>
    </row>
    <row r="21559" spans="65:67" ht="18.75" customHeight="1">
      <c r="BM21559" s="1025"/>
      <c r="BO21559" s="43"/>
    </row>
    <row r="21560" spans="65:67" ht="18.75" customHeight="1">
      <c r="BM21560" s="1025"/>
      <c r="BO21560" s="43"/>
    </row>
    <row r="21561" spans="65:67" ht="18.75" customHeight="1">
      <c r="BM21561" s="1025"/>
      <c r="BO21561" s="43"/>
    </row>
    <row r="21562" spans="65:67" ht="18.75" customHeight="1">
      <c r="BM21562" s="1025"/>
      <c r="BO21562" s="43"/>
    </row>
    <row r="21563" spans="65:67" ht="18.75" customHeight="1">
      <c r="BM21563" s="1025"/>
      <c r="BO21563" s="43"/>
    </row>
    <row r="21564" spans="65:67" ht="18.75" customHeight="1">
      <c r="BM21564" s="1025"/>
      <c r="BO21564" s="43"/>
    </row>
    <row r="21565" spans="65:67" ht="18.75" customHeight="1">
      <c r="BM21565" s="1025"/>
      <c r="BO21565" s="43"/>
    </row>
    <row r="21566" spans="65:67" ht="18.75" customHeight="1">
      <c r="BM21566" s="1025"/>
      <c r="BO21566" s="43"/>
    </row>
    <row r="21567" spans="65:67" ht="18.75" customHeight="1">
      <c r="BM21567" s="1025"/>
      <c r="BO21567" s="43"/>
    </row>
    <row r="21568" spans="65:67" ht="18.75" customHeight="1">
      <c r="BM21568" s="1025"/>
      <c r="BO21568" s="43"/>
    </row>
    <row r="21569" spans="65:67" ht="18.75" customHeight="1">
      <c r="BM21569" s="1025"/>
      <c r="BO21569" s="43"/>
    </row>
    <row r="21570" spans="65:67" ht="18.75" customHeight="1">
      <c r="BM21570" s="1025"/>
      <c r="BO21570" s="43"/>
    </row>
    <row r="21571" spans="65:67" ht="18.75" customHeight="1">
      <c r="BM21571" s="1025"/>
      <c r="BO21571" s="43"/>
    </row>
    <row r="21572" spans="65:67" ht="18.75" customHeight="1">
      <c r="BM21572" s="1025"/>
      <c r="BO21572" s="43"/>
    </row>
    <row r="21573" spans="65:67" ht="18.75" customHeight="1">
      <c r="BM21573" s="1025"/>
      <c r="BO21573" s="43"/>
    </row>
    <row r="21574" spans="65:67" ht="18.75" customHeight="1">
      <c r="BM21574" s="1025"/>
      <c r="BO21574" s="43"/>
    </row>
    <row r="21575" spans="65:67" ht="18.75" customHeight="1">
      <c r="BM21575" s="1025"/>
      <c r="BO21575" s="43"/>
    </row>
    <row r="21576" spans="65:67" ht="18.75" customHeight="1">
      <c r="BM21576" s="1025"/>
      <c r="BO21576" s="43"/>
    </row>
    <row r="21577" spans="65:67" ht="18.75" customHeight="1">
      <c r="BM21577" s="1025"/>
      <c r="BO21577" s="43"/>
    </row>
    <row r="21578" spans="65:67" ht="18.75" customHeight="1">
      <c r="BM21578" s="1025"/>
      <c r="BO21578" s="43"/>
    </row>
    <row r="21579" spans="65:67" ht="18.75" customHeight="1">
      <c r="BM21579" s="1025"/>
      <c r="BO21579" s="43"/>
    </row>
    <row r="21580" spans="65:67" ht="18.75" customHeight="1">
      <c r="BM21580" s="1025"/>
      <c r="BO21580" s="43"/>
    </row>
    <row r="21581" spans="65:67" ht="18.75" customHeight="1">
      <c r="BM21581" s="1025"/>
      <c r="BO21581" s="43"/>
    </row>
    <row r="21582" spans="65:67" ht="18.75" customHeight="1">
      <c r="BM21582" s="1025"/>
      <c r="BO21582" s="43"/>
    </row>
    <row r="21583" spans="65:67" ht="18.75" customHeight="1">
      <c r="BM21583" s="1025"/>
      <c r="BO21583" s="43"/>
    </row>
    <row r="21584" spans="65:67" ht="18.75" customHeight="1">
      <c r="BM21584" s="1025"/>
      <c r="BO21584" s="43"/>
    </row>
    <row r="21585" spans="65:67" ht="18.75" customHeight="1">
      <c r="BM21585" s="1025"/>
      <c r="BO21585" s="43"/>
    </row>
    <row r="21586" spans="65:67" ht="18.75" customHeight="1">
      <c r="BM21586" s="1025"/>
      <c r="BO21586" s="43"/>
    </row>
    <row r="21587" spans="65:67" ht="18.75" customHeight="1">
      <c r="BM21587" s="1025"/>
      <c r="BO21587" s="43"/>
    </row>
    <row r="21588" spans="65:67" ht="18.75" customHeight="1">
      <c r="BM21588" s="1025"/>
      <c r="BO21588" s="43"/>
    </row>
    <row r="21589" spans="65:67" ht="18.75" customHeight="1">
      <c r="BM21589" s="1025"/>
      <c r="BO21589" s="43"/>
    </row>
    <row r="21590" spans="65:67" ht="18.75" customHeight="1">
      <c r="BM21590" s="1025"/>
      <c r="BO21590" s="43"/>
    </row>
    <row r="21591" spans="65:67" ht="18.75" customHeight="1">
      <c r="BM21591" s="1025"/>
      <c r="BO21591" s="43"/>
    </row>
    <row r="21592" spans="65:67" ht="18.75" customHeight="1">
      <c r="BM21592" s="1025"/>
      <c r="BO21592" s="43"/>
    </row>
    <row r="21593" spans="65:67" ht="18.75" customHeight="1">
      <c r="BM21593" s="1025"/>
      <c r="BO21593" s="43"/>
    </row>
    <row r="21594" spans="65:67" ht="18.75" customHeight="1">
      <c r="BM21594" s="1025"/>
      <c r="BO21594" s="43"/>
    </row>
    <row r="21595" spans="65:67" ht="18.75" customHeight="1">
      <c r="BM21595" s="1025"/>
      <c r="BO21595" s="43"/>
    </row>
    <row r="21596" spans="65:67" ht="18.75" customHeight="1">
      <c r="BM21596" s="1025"/>
      <c r="BO21596" s="43"/>
    </row>
    <row r="21597" spans="65:67" ht="18.75" customHeight="1">
      <c r="BM21597" s="1025"/>
      <c r="BO21597" s="43"/>
    </row>
    <row r="21598" spans="65:67" ht="18.75" customHeight="1">
      <c r="BM21598" s="1025"/>
      <c r="BO21598" s="43"/>
    </row>
    <row r="21599" spans="65:67" ht="18.75" customHeight="1">
      <c r="BM21599" s="1025"/>
      <c r="BO21599" s="43"/>
    </row>
    <row r="21600" spans="65:67" ht="18.75" customHeight="1">
      <c r="BM21600" s="1025"/>
      <c r="BO21600" s="43"/>
    </row>
    <row r="21601" spans="65:67" ht="18.75" customHeight="1">
      <c r="BM21601" s="1025"/>
      <c r="BO21601" s="43"/>
    </row>
    <row r="21602" spans="65:67" ht="18.75" customHeight="1">
      <c r="BM21602" s="1025"/>
      <c r="BO21602" s="43"/>
    </row>
    <row r="21603" spans="65:67" ht="18.75" customHeight="1">
      <c r="BM21603" s="1025"/>
      <c r="BO21603" s="43"/>
    </row>
    <row r="21604" spans="65:67" ht="18.75" customHeight="1">
      <c r="BM21604" s="1025"/>
      <c r="BO21604" s="43"/>
    </row>
    <row r="21605" spans="65:67" ht="18.75" customHeight="1">
      <c r="BM21605" s="1025"/>
      <c r="BO21605" s="43"/>
    </row>
    <row r="21606" spans="65:67" ht="18.75" customHeight="1">
      <c r="BM21606" s="1025"/>
      <c r="BO21606" s="43"/>
    </row>
    <row r="21607" spans="65:67" ht="18.75" customHeight="1">
      <c r="BM21607" s="1025"/>
      <c r="BO21607" s="43"/>
    </row>
    <row r="21608" spans="65:67" ht="18.75" customHeight="1">
      <c r="BM21608" s="1025"/>
      <c r="BO21608" s="43"/>
    </row>
    <row r="21609" spans="65:67" ht="18.75" customHeight="1">
      <c r="BM21609" s="1025"/>
      <c r="BO21609" s="43"/>
    </row>
    <row r="21610" spans="65:67" ht="18.75" customHeight="1">
      <c r="BM21610" s="1025"/>
      <c r="BO21610" s="43"/>
    </row>
    <row r="21611" spans="65:67" ht="18.75" customHeight="1">
      <c r="BM21611" s="1025"/>
      <c r="BO21611" s="43"/>
    </row>
    <row r="21612" spans="65:67" ht="18.75" customHeight="1">
      <c r="BM21612" s="1025"/>
      <c r="BO21612" s="43"/>
    </row>
    <row r="21613" spans="65:67" ht="18.75" customHeight="1">
      <c r="BM21613" s="1025"/>
      <c r="BO21613" s="43"/>
    </row>
    <row r="21614" spans="65:67" ht="18.75" customHeight="1">
      <c r="BM21614" s="1025"/>
      <c r="BO21614" s="43"/>
    </row>
    <row r="21615" spans="65:67" ht="18.75" customHeight="1">
      <c r="BM21615" s="1025"/>
      <c r="BO21615" s="43"/>
    </row>
    <row r="21616" spans="65:67" ht="18.75" customHeight="1">
      <c r="BM21616" s="1025"/>
      <c r="BO21616" s="43"/>
    </row>
    <row r="21617" spans="65:67" ht="18.75" customHeight="1">
      <c r="BM21617" s="1025"/>
      <c r="BO21617" s="43"/>
    </row>
    <row r="21618" spans="65:67" ht="18.75" customHeight="1">
      <c r="BM21618" s="1025"/>
      <c r="BO21618" s="43"/>
    </row>
    <row r="21619" spans="65:67" ht="18.75" customHeight="1">
      <c r="BM21619" s="1025"/>
      <c r="BO21619" s="43"/>
    </row>
    <row r="21620" spans="65:67" ht="18.75" customHeight="1">
      <c r="BM21620" s="1025"/>
      <c r="BO21620" s="43"/>
    </row>
    <row r="21621" spans="65:67" ht="18.75" customHeight="1">
      <c r="BM21621" s="1025"/>
      <c r="BO21621" s="43"/>
    </row>
    <row r="21622" spans="65:67" ht="18.75" customHeight="1">
      <c r="BM21622" s="1025"/>
      <c r="BO21622" s="43"/>
    </row>
    <row r="21623" spans="65:67" ht="18.75" customHeight="1">
      <c r="BM21623" s="1025"/>
      <c r="BO21623" s="43"/>
    </row>
    <row r="21624" spans="65:67" ht="18.75" customHeight="1">
      <c r="BM21624" s="1025"/>
      <c r="BO21624" s="43"/>
    </row>
    <row r="21625" spans="65:67" ht="18.75" customHeight="1">
      <c r="BM21625" s="1025"/>
      <c r="BO21625" s="43"/>
    </row>
    <row r="21626" spans="65:67" ht="18.75" customHeight="1">
      <c r="BM21626" s="1025"/>
      <c r="BO21626" s="43"/>
    </row>
    <row r="21627" spans="65:67" ht="18.75" customHeight="1">
      <c r="BM21627" s="1025"/>
      <c r="BO21627" s="43"/>
    </row>
    <row r="21628" spans="65:67" ht="18.75" customHeight="1">
      <c r="BM21628" s="1025"/>
      <c r="BO21628" s="43"/>
    </row>
    <row r="21629" spans="65:67" ht="18.75" customHeight="1">
      <c r="BM21629" s="1025"/>
      <c r="BO21629" s="43"/>
    </row>
    <row r="21630" spans="65:67" ht="18.75" customHeight="1">
      <c r="BM21630" s="1025"/>
      <c r="BO21630" s="43"/>
    </row>
    <row r="21631" spans="65:67" ht="18.75" customHeight="1">
      <c r="BM21631" s="1025"/>
      <c r="BO21631" s="43"/>
    </row>
    <row r="21632" spans="65:67" ht="18.75" customHeight="1">
      <c r="BM21632" s="1025"/>
      <c r="BO21632" s="43"/>
    </row>
    <row r="21633" spans="65:67" ht="18.75" customHeight="1">
      <c r="BM21633" s="1025"/>
      <c r="BO21633" s="43"/>
    </row>
    <row r="21634" spans="65:67" ht="18.75" customHeight="1">
      <c r="BM21634" s="1025"/>
      <c r="BO21634" s="43"/>
    </row>
    <row r="21635" spans="65:67" ht="18.75" customHeight="1">
      <c r="BM21635" s="1025"/>
      <c r="BO21635" s="43"/>
    </row>
    <row r="21636" spans="65:67" ht="18.75" customHeight="1">
      <c r="BM21636" s="1025"/>
      <c r="BO21636" s="43"/>
    </row>
    <row r="21637" spans="65:67" ht="18.75" customHeight="1">
      <c r="BM21637" s="1025"/>
      <c r="BO21637" s="43"/>
    </row>
    <row r="21638" spans="65:67" ht="18.75" customHeight="1">
      <c r="BM21638" s="1025"/>
      <c r="BO21638" s="43"/>
    </row>
    <row r="21639" spans="65:67" ht="18.75" customHeight="1">
      <c r="BM21639" s="1025"/>
      <c r="BO21639" s="43"/>
    </row>
    <row r="21640" spans="65:67" ht="18.75" customHeight="1">
      <c r="BM21640" s="1025"/>
      <c r="BO21640" s="43"/>
    </row>
    <row r="21641" spans="65:67" ht="18.75" customHeight="1">
      <c r="BM21641" s="1025"/>
      <c r="BO21641" s="43"/>
    </row>
    <row r="21642" spans="65:67" ht="18.75" customHeight="1">
      <c r="BM21642" s="1025"/>
      <c r="BO21642" s="43"/>
    </row>
    <row r="21643" spans="65:67" ht="18.75" customHeight="1">
      <c r="BM21643" s="1025"/>
      <c r="BO21643" s="43"/>
    </row>
    <row r="21644" spans="65:67" ht="18.75" customHeight="1">
      <c r="BM21644" s="1025"/>
      <c r="BO21644" s="43"/>
    </row>
    <row r="21645" spans="65:67" ht="18.75" customHeight="1">
      <c r="BM21645" s="1025"/>
      <c r="BO21645" s="43"/>
    </row>
    <row r="21646" spans="65:67" ht="18.75" customHeight="1">
      <c r="BM21646" s="1025"/>
      <c r="BO21646" s="43"/>
    </row>
    <row r="21647" spans="65:67" ht="18.75" customHeight="1">
      <c r="BM21647" s="1025"/>
      <c r="BO21647" s="43"/>
    </row>
    <row r="21648" spans="65:67" ht="18.75" customHeight="1">
      <c r="BM21648" s="1025"/>
      <c r="BO21648" s="43"/>
    </row>
    <row r="21649" spans="65:67" ht="18.75" customHeight="1">
      <c r="BM21649" s="1025"/>
      <c r="BO21649" s="43"/>
    </row>
    <row r="21650" spans="65:67" ht="18.75" customHeight="1">
      <c r="BM21650" s="1025"/>
      <c r="BO21650" s="43"/>
    </row>
    <row r="21651" spans="65:67" ht="18.75" customHeight="1">
      <c r="BM21651" s="1025"/>
      <c r="BO21651" s="43"/>
    </row>
    <row r="21652" spans="65:67" ht="18.75" customHeight="1">
      <c r="BM21652" s="1025"/>
      <c r="BO21652" s="43"/>
    </row>
    <row r="21653" spans="65:67" ht="18.75" customHeight="1">
      <c r="BM21653" s="1025"/>
      <c r="BO21653" s="43"/>
    </row>
    <row r="21654" spans="65:67" ht="18.75" customHeight="1">
      <c r="BM21654" s="1025"/>
      <c r="BO21654" s="43"/>
    </row>
    <row r="21655" spans="65:67" ht="18.75" customHeight="1">
      <c r="BM21655" s="1025"/>
      <c r="BO21655" s="43"/>
    </row>
    <row r="21656" spans="65:67" ht="18.75" customHeight="1">
      <c r="BM21656" s="1025"/>
      <c r="BO21656" s="43"/>
    </row>
    <row r="21657" spans="65:67" ht="18.75" customHeight="1">
      <c r="BM21657" s="1025"/>
      <c r="BO21657" s="43"/>
    </row>
    <row r="21658" spans="65:67" ht="18.75" customHeight="1">
      <c r="BM21658" s="1025"/>
      <c r="BO21658" s="43"/>
    </row>
    <row r="21659" spans="65:67" ht="18.75" customHeight="1">
      <c r="BM21659" s="1025"/>
      <c r="BO21659" s="43"/>
    </row>
    <row r="21660" spans="65:67" ht="18.75" customHeight="1">
      <c r="BM21660" s="1025"/>
      <c r="BO21660" s="43"/>
    </row>
    <row r="21661" spans="65:67" ht="18.75" customHeight="1">
      <c r="BM21661" s="1025"/>
      <c r="BO21661" s="43"/>
    </row>
    <row r="21662" spans="65:67" ht="18.75" customHeight="1">
      <c r="BM21662" s="1025"/>
      <c r="BO21662" s="43"/>
    </row>
    <row r="21663" spans="65:67" ht="18.75" customHeight="1">
      <c r="BM21663" s="1025"/>
      <c r="BO21663" s="43"/>
    </row>
    <row r="21664" spans="65:67" ht="18.75" customHeight="1">
      <c r="BM21664" s="1025"/>
      <c r="BO21664" s="43"/>
    </row>
    <row r="21665" spans="65:67" ht="18.75" customHeight="1">
      <c r="BM21665" s="1025"/>
      <c r="BO21665" s="43"/>
    </row>
    <row r="21666" spans="65:67" ht="18.75" customHeight="1">
      <c r="BM21666" s="1025"/>
      <c r="BO21666" s="43"/>
    </row>
    <row r="21667" spans="65:67" ht="18.75" customHeight="1">
      <c r="BM21667" s="1025"/>
      <c r="BO21667" s="43"/>
    </row>
    <row r="21668" spans="65:67" ht="18.75" customHeight="1">
      <c r="BM21668" s="1025"/>
      <c r="BO21668" s="43"/>
    </row>
    <row r="21669" spans="65:67" ht="18.75" customHeight="1">
      <c r="BM21669" s="1025"/>
      <c r="BO21669" s="43"/>
    </row>
    <row r="21670" spans="65:67" ht="18.75" customHeight="1">
      <c r="BM21670" s="1025"/>
      <c r="BO21670" s="43"/>
    </row>
    <row r="21671" spans="65:67" ht="18.75" customHeight="1">
      <c r="BM21671" s="1025"/>
      <c r="BO21671" s="43"/>
    </row>
    <row r="21672" spans="65:67" ht="18.75" customHeight="1">
      <c r="BM21672" s="1025"/>
      <c r="BO21672" s="43"/>
    </row>
    <row r="21673" spans="65:67" ht="18.75" customHeight="1">
      <c r="BM21673" s="1025"/>
      <c r="BO21673" s="43"/>
    </row>
    <row r="21674" spans="65:67" ht="18.75" customHeight="1">
      <c r="BM21674" s="1025"/>
      <c r="BO21674" s="43"/>
    </row>
    <row r="21675" spans="65:67" ht="18.75" customHeight="1">
      <c r="BM21675" s="1025"/>
      <c r="BO21675" s="43"/>
    </row>
    <row r="21676" spans="65:67" ht="18.75" customHeight="1">
      <c r="BM21676" s="1025"/>
      <c r="BO21676" s="43"/>
    </row>
    <row r="21677" spans="65:67" ht="18.75" customHeight="1">
      <c r="BM21677" s="1025"/>
      <c r="BO21677" s="43"/>
    </row>
    <row r="21678" spans="65:67" ht="18.75" customHeight="1">
      <c r="BM21678" s="1025"/>
      <c r="BO21678" s="43"/>
    </row>
    <row r="21679" spans="65:67" ht="18.75" customHeight="1">
      <c r="BM21679" s="1025"/>
      <c r="BO21679" s="43"/>
    </row>
    <row r="21680" spans="65:67" ht="18.75" customHeight="1">
      <c r="BM21680" s="1025"/>
      <c r="BO21680" s="43"/>
    </row>
    <row r="21681" spans="65:67" ht="18.75" customHeight="1">
      <c r="BM21681" s="1025"/>
      <c r="BO21681" s="43"/>
    </row>
    <row r="21682" spans="65:67" ht="18.75" customHeight="1">
      <c r="BM21682" s="1025"/>
      <c r="BO21682" s="43"/>
    </row>
    <row r="21683" spans="65:67" ht="18.75" customHeight="1">
      <c r="BM21683" s="1025"/>
      <c r="BO21683" s="43"/>
    </row>
    <row r="21684" spans="65:67" ht="18.75" customHeight="1">
      <c r="BM21684" s="1025"/>
      <c r="BO21684" s="43"/>
    </row>
    <row r="21685" spans="65:67" ht="18.75" customHeight="1">
      <c r="BM21685" s="1025"/>
      <c r="BO21685" s="43"/>
    </row>
    <row r="21686" spans="65:67" ht="18.75" customHeight="1">
      <c r="BM21686" s="1025"/>
      <c r="BO21686" s="43"/>
    </row>
    <row r="21687" spans="65:67" ht="18.75" customHeight="1">
      <c r="BM21687" s="1025"/>
      <c r="BO21687" s="43"/>
    </row>
    <row r="21688" spans="65:67" ht="18.75" customHeight="1">
      <c r="BM21688" s="1025"/>
      <c r="BO21688" s="43"/>
    </row>
    <row r="21689" spans="65:67" ht="18.75" customHeight="1">
      <c r="BM21689" s="1025"/>
      <c r="BO21689" s="43"/>
    </row>
    <row r="21690" spans="65:67" ht="18.75" customHeight="1">
      <c r="BM21690" s="1025"/>
      <c r="BO21690" s="43"/>
    </row>
    <row r="21691" spans="65:67" ht="18.75" customHeight="1">
      <c r="BM21691" s="1025"/>
      <c r="BO21691" s="43"/>
    </row>
    <row r="21692" spans="65:67" ht="18.75" customHeight="1">
      <c r="BM21692" s="1025"/>
      <c r="BO21692" s="43"/>
    </row>
    <row r="21693" spans="65:67" ht="18.75" customHeight="1">
      <c r="BM21693" s="1025"/>
      <c r="BO21693" s="43"/>
    </row>
    <row r="21694" spans="65:67" ht="18.75" customHeight="1">
      <c r="BM21694" s="1025"/>
      <c r="BO21694" s="43"/>
    </row>
    <row r="21695" spans="65:67" ht="18.75" customHeight="1">
      <c r="BM21695" s="1025"/>
      <c r="BO21695" s="43"/>
    </row>
    <row r="21696" spans="65:67" ht="18.75" customHeight="1">
      <c r="BM21696" s="1025"/>
      <c r="BO21696" s="43"/>
    </row>
    <row r="21697" spans="65:67" ht="18.75" customHeight="1">
      <c r="BM21697" s="1025"/>
      <c r="BO21697" s="43"/>
    </row>
    <row r="21698" spans="65:67" ht="18.75" customHeight="1">
      <c r="BM21698" s="1025"/>
      <c r="BO21698" s="43"/>
    </row>
    <row r="21699" spans="65:67" ht="18.75" customHeight="1">
      <c r="BM21699" s="1025"/>
      <c r="BO21699" s="43"/>
    </row>
    <row r="21700" spans="65:67" ht="18.75" customHeight="1">
      <c r="BM21700" s="1025"/>
      <c r="BO21700" s="43"/>
    </row>
    <row r="21701" spans="65:67" ht="18.75" customHeight="1">
      <c r="BM21701" s="1025"/>
      <c r="BO21701" s="43"/>
    </row>
    <row r="21702" spans="65:67" ht="18.75" customHeight="1">
      <c r="BM21702" s="1025"/>
      <c r="BO21702" s="43"/>
    </row>
    <row r="21703" spans="65:67" ht="18.75" customHeight="1">
      <c r="BM21703" s="1025"/>
      <c r="BO21703" s="43"/>
    </row>
    <row r="21704" spans="65:67" ht="18.75" customHeight="1">
      <c r="BM21704" s="1025"/>
      <c r="BO21704" s="43"/>
    </row>
    <row r="21705" spans="65:67" ht="18.75" customHeight="1">
      <c r="BM21705" s="1025"/>
      <c r="BO21705" s="43"/>
    </row>
    <row r="21706" spans="65:67" ht="18.75" customHeight="1">
      <c r="BM21706" s="1025"/>
      <c r="BO21706" s="43"/>
    </row>
    <row r="21707" spans="65:67" ht="18.75" customHeight="1">
      <c r="BM21707" s="1025"/>
      <c r="BO21707" s="43"/>
    </row>
    <row r="21708" spans="65:67" ht="18.75" customHeight="1">
      <c r="BM21708" s="1025"/>
      <c r="BO21708" s="43"/>
    </row>
    <row r="21709" spans="65:67" ht="18.75" customHeight="1">
      <c r="BM21709" s="1025"/>
      <c r="BO21709" s="43"/>
    </row>
    <row r="21710" spans="65:67" ht="18.75" customHeight="1">
      <c r="BM21710" s="1025"/>
      <c r="BO21710" s="43"/>
    </row>
    <row r="21711" spans="65:67" ht="18.75" customHeight="1">
      <c r="BM21711" s="1025"/>
      <c r="BO21711" s="43"/>
    </row>
    <row r="21712" spans="65:67" ht="18.75" customHeight="1">
      <c r="BM21712" s="1025"/>
      <c r="BO21712" s="43"/>
    </row>
    <row r="21713" spans="65:67" ht="18.75" customHeight="1">
      <c r="BM21713" s="1025"/>
      <c r="BO21713" s="43"/>
    </row>
    <row r="21714" spans="65:67" ht="18.75" customHeight="1">
      <c r="BM21714" s="1025"/>
      <c r="BO21714" s="43"/>
    </row>
    <row r="21715" spans="65:67" ht="18.75" customHeight="1">
      <c r="BM21715" s="1025"/>
      <c r="BO21715" s="43"/>
    </row>
    <row r="21716" spans="65:67" ht="18.75" customHeight="1">
      <c r="BM21716" s="1025"/>
      <c r="BO21716" s="43"/>
    </row>
    <row r="21717" spans="65:67" ht="18.75" customHeight="1">
      <c r="BM21717" s="1025"/>
      <c r="BO21717" s="43"/>
    </row>
    <row r="21718" spans="65:67" ht="18.75" customHeight="1">
      <c r="BM21718" s="1025"/>
      <c r="BO21718" s="43"/>
    </row>
    <row r="21719" spans="65:67" ht="18.75" customHeight="1">
      <c r="BM21719" s="1025"/>
      <c r="BO21719" s="43"/>
    </row>
    <row r="21720" spans="65:67" ht="18.75" customHeight="1">
      <c r="BM21720" s="1025"/>
      <c r="BO21720" s="43"/>
    </row>
    <row r="21721" spans="65:67" ht="18.75" customHeight="1">
      <c r="BM21721" s="1025"/>
      <c r="BO21721" s="43"/>
    </row>
    <row r="21722" spans="65:67" ht="18.75" customHeight="1">
      <c r="BM21722" s="1025"/>
      <c r="BO21722" s="43"/>
    </row>
    <row r="21723" spans="65:67" ht="18.75" customHeight="1">
      <c r="BM21723" s="1025"/>
      <c r="BO21723" s="43"/>
    </row>
    <row r="21724" spans="65:67" ht="18.75" customHeight="1">
      <c r="BM21724" s="1025"/>
      <c r="BO21724" s="43"/>
    </row>
    <row r="21725" spans="65:67" ht="18.75" customHeight="1">
      <c r="BM21725" s="1025"/>
      <c r="BO21725" s="43"/>
    </row>
    <row r="21726" spans="65:67" ht="18.75" customHeight="1">
      <c r="BM21726" s="1025"/>
      <c r="BO21726" s="43"/>
    </row>
    <row r="21727" spans="65:67" ht="18.75" customHeight="1">
      <c r="BM21727" s="1025"/>
      <c r="BO21727" s="43"/>
    </row>
    <row r="21728" spans="65:67" ht="18.75" customHeight="1">
      <c r="BM21728" s="1025"/>
      <c r="BO21728" s="43"/>
    </row>
    <row r="21729" spans="65:67" ht="18.75" customHeight="1">
      <c r="BM21729" s="1025"/>
      <c r="BO21729" s="43"/>
    </row>
    <row r="21730" spans="65:67" ht="18.75" customHeight="1">
      <c r="BM21730" s="1025"/>
      <c r="BO21730" s="43"/>
    </row>
    <row r="21731" spans="65:67" ht="18.75" customHeight="1">
      <c r="BM21731" s="1025"/>
      <c r="BO21731" s="43"/>
    </row>
    <row r="21732" spans="65:67" ht="18.75" customHeight="1">
      <c r="BM21732" s="1025"/>
      <c r="BO21732" s="43"/>
    </row>
    <row r="21733" spans="65:67" ht="18.75" customHeight="1">
      <c r="BM21733" s="1025"/>
      <c r="BO21733" s="43"/>
    </row>
    <row r="21734" spans="65:67" ht="18.75" customHeight="1">
      <c r="BM21734" s="1025"/>
      <c r="BO21734" s="43"/>
    </row>
    <row r="21735" spans="65:67" ht="18.75" customHeight="1">
      <c r="BM21735" s="1025"/>
      <c r="BO21735" s="43"/>
    </row>
    <row r="21736" spans="65:67" ht="18.75" customHeight="1">
      <c r="BM21736" s="1025"/>
      <c r="BO21736" s="43"/>
    </row>
    <row r="21737" spans="65:67" ht="18.75" customHeight="1">
      <c r="BM21737" s="1025"/>
      <c r="BO21737" s="43"/>
    </row>
    <row r="21738" spans="65:67" ht="18.75" customHeight="1">
      <c r="BM21738" s="1025"/>
      <c r="BO21738" s="43"/>
    </row>
    <row r="21739" spans="65:67" ht="18.75" customHeight="1">
      <c r="BM21739" s="1025"/>
      <c r="BO21739" s="43"/>
    </row>
    <row r="21740" spans="65:67" ht="18.75" customHeight="1">
      <c r="BM21740" s="1025"/>
      <c r="BO21740" s="43"/>
    </row>
    <row r="21741" spans="65:67" ht="18.75" customHeight="1">
      <c r="BM21741" s="1025"/>
      <c r="BO21741" s="43"/>
    </row>
    <row r="21742" spans="65:67" ht="18.75" customHeight="1">
      <c r="BM21742" s="1025"/>
      <c r="BO21742" s="43"/>
    </row>
    <row r="21743" spans="65:67" ht="18.75" customHeight="1">
      <c r="BM21743" s="1025"/>
      <c r="BO21743" s="43"/>
    </row>
    <row r="21744" spans="65:67" ht="18.75" customHeight="1">
      <c r="BM21744" s="1025"/>
      <c r="BO21744" s="43"/>
    </row>
    <row r="21745" spans="65:67" ht="18.75" customHeight="1">
      <c r="BM21745" s="1025"/>
      <c r="BO21745" s="43"/>
    </row>
    <row r="21746" spans="65:67" ht="18.75" customHeight="1">
      <c r="BM21746" s="1025"/>
      <c r="BO21746" s="43"/>
    </row>
    <row r="21747" spans="65:67" ht="18.75" customHeight="1">
      <c r="BM21747" s="1025"/>
      <c r="BO21747" s="43"/>
    </row>
    <row r="21748" spans="65:67" ht="18.75" customHeight="1">
      <c r="BM21748" s="1025"/>
      <c r="BO21748" s="43"/>
    </row>
    <row r="21749" spans="65:67" ht="18.75" customHeight="1">
      <c r="BM21749" s="1025"/>
      <c r="BO21749" s="43"/>
    </row>
    <row r="21750" spans="65:67" ht="18.75" customHeight="1">
      <c r="BM21750" s="1025"/>
      <c r="BO21750" s="43"/>
    </row>
    <row r="21751" spans="65:67" ht="18.75" customHeight="1">
      <c r="BM21751" s="1025"/>
      <c r="BO21751" s="43"/>
    </row>
    <row r="21752" spans="65:67" ht="18.75" customHeight="1">
      <c r="BM21752" s="1025"/>
      <c r="BO21752" s="43"/>
    </row>
    <row r="21753" spans="65:67" ht="18.75" customHeight="1">
      <c r="BM21753" s="1025"/>
      <c r="BO21753" s="43"/>
    </row>
    <row r="21754" spans="65:67" ht="18.75" customHeight="1">
      <c r="BM21754" s="1025"/>
      <c r="BO21754" s="43"/>
    </row>
    <row r="21755" spans="65:67" ht="18.75" customHeight="1">
      <c r="BM21755" s="1025"/>
      <c r="BO21755" s="43"/>
    </row>
    <row r="21756" spans="65:67" ht="18.75" customHeight="1">
      <c r="BM21756" s="1025"/>
      <c r="BO21756" s="43"/>
    </row>
    <row r="21757" spans="65:67" ht="18.75" customHeight="1">
      <c r="BM21757" s="1025"/>
      <c r="BO21757" s="43"/>
    </row>
    <row r="21758" spans="65:67" ht="18.75" customHeight="1">
      <c r="BM21758" s="1025"/>
      <c r="BO21758" s="43"/>
    </row>
    <row r="21759" spans="65:67" ht="18.75" customHeight="1">
      <c r="BM21759" s="1025"/>
      <c r="BO21759" s="43"/>
    </row>
    <row r="21760" spans="65:67" ht="18.75" customHeight="1">
      <c r="BM21760" s="1025"/>
      <c r="BO21760" s="43"/>
    </row>
    <row r="21761" spans="65:67" ht="18.75" customHeight="1">
      <c r="BM21761" s="1025"/>
      <c r="BO21761" s="43"/>
    </row>
    <row r="21762" spans="65:67" ht="18.75" customHeight="1">
      <c r="BM21762" s="1025"/>
      <c r="BO21762" s="43"/>
    </row>
    <row r="21763" spans="65:67" ht="18.75" customHeight="1">
      <c r="BM21763" s="1025"/>
      <c r="BO21763" s="43"/>
    </row>
    <row r="21764" spans="65:67" ht="18.75" customHeight="1">
      <c r="BM21764" s="1025"/>
      <c r="BO21764" s="43"/>
    </row>
    <row r="21765" spans="65:67" ht="18.75" customHeight="1">
      <c r="BM21765" s="1025"/>
      <c r="BO21765" s="43"/>
    </row>
    <row r="21766" spans="65:67" ht="18.75" customHeight="1">
      <c r="BM21766" s="1025"/>
      <c r="BO21766" s="43"/>
    </row>
    <row r="21767" spans="65:67" ht="18.75" customHeight="1">
      <c r="BM21767" s="1025"/>
      <c r="BO21767" s="43"/>
    </row>
    <row r="21768" spans="65:67" ht="18.75" customHeight="1">
      <c r="BM21768" s="1025"/>
      <c r="BO21768" s="43"/>
    </row>
    <row r="21769" spans="65:67" ht="18.75" customHeight="1">
      <c r="BM21769" s="1025"/>
      <c r="BO21769" s="43"/>
    </row>
    <row r="21770" spans="65:67" ht="18.75" customHeight="1">
      <c r="BM21770" s="1025"/>
      <c r="BO21770" s="43"/>
    </row>
    <row r="21771" spans="65:67" ht="18.75" customHeight="1">
      <c r="BM21771" s="1025"/>
      <c r="BO21771" s="43"/>
    </row>
    <row r="21772" spans="65:67" ht="18.75" customHeight="1">
      <c r="BM21772" s="1025"/>
      <c r="BO21772" s="43"/>
    </row>
    <row r="21773" spans="65:67" ht="18.75" customHeight="1">
      <c r="BM21773" s="1025"/>
      <c r="BO21773" s="43"/>
    </row>
    <row r="21774" spans="65:67" ht="18.75" customHeight="1">
      <c r="BM21774" s="1025"/>
      <c r="BO21774" s="43"/>
    </row>
    <row r="21775" spans="65:67" ht="18.75" customHeight="1">
      <c r="BM21775" s="1025"/>
      <c r="BO21775" s="43"/>
    </row>
    <row r="21776" spans="65:67" ht="18.75" customHeight="1">
      <c r="BM21776" s="1025"/>
      <c r="BO21776" s="43"/>
    </row>
    <row r="21777" spans="65:67" ht="18.75" customHeight="1">
      <c r="BM21777" s="1025"/>
      <c r="BO21777" s="43"/>
    </row>
    <row r="21778" spans="65:67" ht="18.75" customHeight="1">
      <c r="BM21778" s="1025"/>
      <c r="BO21778" s="43"/>
    </row>
    <row r="21779" spans="65:67" ht="18.75" customHeight="1">
      <c r="BM21779" s="1025"/>
      <c r="BO21779" s="43"/>
    </row>
    <row r="21780" spans="65:67" ht="18.75" customHeight="1">
      <c r="BM21780" s="1025"/>
      <c r="BO21780" s="43"/>
    </row>
    <row r="21781" spans="65:67" ht="18.75" customHeight="1">
      <c r="BM21781" s="1025"/>
      <c r="BO21781" s="43"/>
    </row>
    <row r="21782" spans="65:67" ht="18.75" customHeight="1">
      <c r="BM21782" s="1025"/>
      <c r="BO21782" s="43"/>
    </row>
    <row r="21783" spans="65:67" ht="18.75" customHeight="1">
      <c r="BM21783" s="1025"/>
      <c r="BO21783" s="43"/>
    </row>
    <row r="21784" spans="65:67" ht="18.75" customHeight="1">
      <c r="BM21784" s="1025"/>
      <c r="BO21784" s="43"/>
    </row>
    <row r="21785" spans="65:67" ht="18.75" customHeight="1">
      <c r="BM21785" s="1025"/>
      <c r="BO21785" s="43"/>
    </row>
    <row r="21786" spans="65:67" ht="18.75" customHeight="1">
      <c r="BM21786" s="1025"/>
      <c r="BO21786" s="43"/>
    </row>
    <row r="21787" spans="65:67" ht="18.75" customHeight="1">
      <c r="BM21787" s="1025"/>
      <c r="BO21787" s="43"/>
    </row>
    <row r="21788" spans="65:67" ht="18.75" customHeight="1">
      <c r="BM21788" s="1025"/>
      <c r="BO21788" s="43"/>
    </row>
    <row r="21789" spans="65:67" ht="18.75" customHeight="1">
      <c r="BM21789" s="1025"/>
      <c r="BO21789" s="43"/>
    </row>
    <row r="21790" spans="65:67" ht="18.75" customHeight="1">
      <c r="BM21790" s="1025"/>
      <c r="BO21790" s="43"/>
    </row>
    <row r="21791" spans="65:67" ht="18.75" customHeight="1">
      <c r="BM21791" s="1025"/>
      <c r="BO21791" s="43"/>
    </row>
    <row r="21792" spans="65:67" ht="18.75" customHeight="1">
      <c r="BM21792" s="1025"/>
      <c r="BO21792" s="43"/>
    </row>
    <row r="21793" spans="65:67" ht="18.75" customHeight="1">
      <c r="BM21793" s="1025"/>
      <c r="BO21793" s="43"/>
    </row>
    <row r="21794" spans="65:67" ht="18.75" customHeight="1">
      <c r="BM21794" s="1025"/>
      <c r="BO21794" s="43"/>
    </row>
    <row r="21795" spans="65:67" ht="18.75" customHeight="1">
      <c r="BM21795" s="1025"/>
      <c r="BO21795" s="43"/>
    </row>
    <row r="21796" spans="65:67" ht="18.75" customHeight="1">
      <c r="BM21796" s="1025"/>
      <c r="BO21796" s="43"/>
    </row>
    <row r="21797" spans="65:67" ht="18.75" customHeight="1">
      <c r="BM21797" s="1025"/>
      <c r="BO21797" s="43"/>
    </row>
    <row r="21798" spans="65:67" ht="18.75" customHeight="1">
      <c r="BM21798" s="1025"/>
      <c r="BO21798" s="43"/>
    </row>
    <row r="21799" spans="65:67" ht="18.75" customHeight="1">
      <c r="BM21799" s="1025"/>
      <c r="BO21799" s="43"/>
    </row>
    <row r="21800" spans="65:67" ht="18.75" customHeight="1">
      <c r="BM21800" s="1025"/>
      <c r="BO21800" s="43"/>
    </row>
    <row r="21801" spans="65:67" ht="18.75" customHeight="1">
      <c r="BM21801" s="1025"/>
      <c r="BO21801" s="43"/>
    </row>
    <row r="21802" spans="65:67" ht="18.75" customHeight="1">
      <c r="BM21802" s="1025"/>
      <c r="BO21802" s="43"/>
    </row>
    <row r="21803" spans="65:67" ht="18.75" customHeight="1">
      <c r="BM21803" s="1025"/>
      <c r="BO21803" s="43"/>
    </row>
    <row r="21804" spans="65:67" ht="18.75" customHeight="1">
      <c r="BM21804" s="1025"/>
      <c r="BO21804" s="43"/>
    </row>
    <row r="21805" spans="65:67" ht="18.75" customHeight="1">
      <c r="BM21805" s="1025"/>
      <c r="BO21805" s="43"/>
    </row>
    <row r="21806" spans="65:67" ht="18.75" customHeight="1">
      <c r="BM21806" s="1025"/>
      <c r="BO21806" s="43"/>
    </row>
    <row r="21807" spans="65:67" ht="18.75" customHeight="1">
      <c r="BM21807" s="1025"/>
      <c r="BO21807" s="43"/>
    </row>
    <row r="21808" spans="65:67" ht="18.75" customHeight="1">
      <c r="BM21808" s="1025"/>
      <c r="BO21808" s="43"/>
    </row>
    <row r="21809" spans="65:67" ht="18.75" customHeight="1">
      <c r="BM21809" s="1025"/>
      <c r="BO21809" s="43"/>
    </row>
    <row r="21810" spans="65:67" ht="18.75" customHeight="1">
      <c r="BM21810" s="1025"/>
      <c r="BO21810" s="43"/>
    </row>
    <row r="21811" spans="65:67" ht="18.75" customHeight="1">
      <c r="BM21811" s="1025"/>
      <c r="BO21811" s="43"/>
    </row>
    <row r="21812" spans="65:67" ht="18.75" customHeight="1">
      <c r="BM21812" s="1025"/>
      <c r="BO21812" s="43"/>
    </row>
    <row r="21813" spans="65:67" ht="18.75" customHeight="1">
      <c r="BM21813" s="1025"/>
      <c r="BO21813" s="43"/>
    </row>
    <row r="21814" spans="65:67" ht="18.75" customHeight="1">
      <c r="BM21814" s="1025"/>
      <c r="BO21814" s="43"/>
    </row>
    <row r="21815" spans="65:67" ht="18.75" customHeight="1">
      <c r="BM21815" s="1025"/>
      <c r="BO21815" s="43"/>
    </row>
    <row r="21816" spans="65:67" ht="18.75" customHeight="1">
      <c r="BM21816" s="1025"/>
      <c r="BO21816" s="43"/>
    </row>
    <row r="21817" spans="65:67" ht="18.75" customHeight="1">
      <c r="BM21817" s="1025"/>
      <c r="BO21817" s="43"/>
    </row>
    <row r="21818" spans="65:67" ht="18.75" customHeight="1">
      <c r="BM21818" s="1025"/>
      <c r="BO21818" s="43"/>
    </row>
    <row r="21819" spans="65:67" ht="18.75" customHeight="1">
      <c r="BM21819" s="1025"/>
      <c r="BO21819" s="43"/>
    </row>
    <row r="21820" spans="65:67" ht="18.75" customHeight="1">
      <c r="BM21820" s="1025"/>
      <c r="BO21820" s="43"/>
    </row>
    <row r="21821" spans="65:67" ht="18.75" customHeight="1">
      <c r="BM21821" s="1025"/>
      <c r="BO21821" s="43"/>
    </row>
    <row r="21822" spans="65:67" ht="18.75" customHeight="1">
      <c r="BM21822" s="1025"/>
      <c r="BO21822" s="43"/>
    </row>
    <row r="21823" spans="65:67" ht="18.75" customHeight="1">
      <c r="BM21823" s="1025"/>
      <c r="BO21823" s="43"/>
    </row>
    <row r="21824" spans="65:67" ht="18.75" customHeight="1">
      <c r="BM21824" s="1025"/>
      <c r="BO21824" s="43"/>
    </row>
    <row r="21825" spans="65:67" ht="18.75" customHeight="1">
      <c r="BM21825" s="1025"/>
      <c r="BO21825" s="43"/>
    </row>
    <row r="21826" spans="65:67" ht="18.75" customHeight="1">
      <c r="BM21826" s="1025"/>
      <c r="BO21826" s="43"/>
    </row>
    <row r="21827" spans="65:67" ht="18.75" customHeight="1">
      <c r="BM21827" s="1025"/>
      <c r="BO21827" s="43"/>
    </row>
    <row r="21828" spans="65:67" ht="18.75" customHeight="1">
      <c r="BM21828" s="1025"/>
      <c r="BO21828" s="43"/>
    </row>
    <row r="21829" spans="65:67" ht="18.75" customHeight="1">
      <c r="BM21829" s="1025"/>
      <c r="BO21829" s="43"/>
    </row>
    <row r="21830" spans="65:67" ht="18.75" customHeight="1">
      <c r="BM21830" s="1025"/>
      <c r="BO21830" s="43"/>
    </row>
    <row r="21831" spans="65:67" ht="18.75" customHeight="1">
      <c r="BM21831" s="1025"/>
      <c r="BO21831" s="43"/>
    </row>
    <row r="21832" spans="65:67" ht="18.75" customHeight="1">
      <c r="BM21832" s="1025"/>
      <c r="BO21832" s="43"/>
    </row>
    <row r="21833" spans="65:67" ht="18.75" customHeight="1">
      <c r="BM21833" s="1025"/>
      <c r="BO21833" s="43"/>
    </row>
    <row r="21834" spans="65:67" ht="18.75" customHeight="1">
      <c r="BM21834" s="1025"/>
      <c r="BO21834" s="43"/>
    </row>
    <row r="21835" spans="65:67" ht="18.75" customHeight="1">
      <c r="BM21835" s="1025"/>
      <c r="BO21835" s="43"/>
    </row>
    <row r="21836" spans="65:67" ht="18.75" customHeight="1">
      <c r="BM21836" s="1025"/>
      <c r="BO21836" s="43"/>
    </row>
    <row r="21837" spans="65:67" ht="18.75" customHeight="1">
      <c r="BM21837" s="1025"/>
      <c r="BO21837" s="43"/>
    </row>
    <row r="21838" spans="65:67" ht="18.75" customHeight="1">
      <c r="BM21838" s="1025"/>
      <c r="BO21838" s="43"/>
    </row>
    <row r="21839" spans="65:67" ht="18.75" customHeight="1">
      <c r="BM21839" s="1025"/>
      <c r="BO21839" s="43"/>
    </row>
    <row r="21840" spans="65:67" ht="18.75" customHeight="1">
      <c r="BM21840" s="1025"/>
      <c r="BO21840" s="43"/>
    </row>
    <row r="21841" spans="65:67" ht="18.75" customHeight="1">
      <c r="BM21841" s="1025"/>
      <c r="BO21841" s="43"/>
    </row>
    <row r="21842" spans="65:67" ht="18.75" customHeight="1">
      <c r="BM21842" s="1025"/>
      <c r="BO21842" s="43"/>
    </row>
    <row r="21843" spans="65:67" ht="18.75" customHeight="1">
      <c r="BM21843" s="1025"/>
      <c r="BO21843" s="43"/>
    </row>
    <row r="21844" spans="65:67" ht="18.75" customHeight="1">
      <c r="BM21844" s="1025"/>
      <c r="BO21844" s="43"/>
    </row>
    <row r="21845" spans="65:67" ht="18.75" customHeight="1">
      <c r="BM21845" s="1025"/>
      <c r="BO21845" s="43"/>
    </row>
    <row r="21846" spans="65:67" ht="18.75" customHeight="1">
      <c r="BM21846" s="1025"/>
      <c r="BO21846" s="43"/>
    </row>
    <row r="21847" spans="65:67" ht="18.75" customHeight="1">
      <c r="BM21847" s="1025"/>
      <c r="BO21847" s="43"/>
    </row>
    <row r="21848" spans="65:67" ht="18.75" customHeight="1">
      <c r="BM21848" s="1025"/>
      <c r="BO21848" s="43"/>
    </row>
    <row r="21849" spans="65:67" ht="18.75" customHeight="1">
      <c r="BM21849" s="1025"/>
      <c r="BO21849" s="43"/>
    </row>
    <row r="21850" spans="65:67" ht="18.75" customHeight="1">
      <c r="BM21850" s="1025"/>
      <c r="BO21850" s="43"/>
    </row>
    <row r="21851" spans="65:67" ht="18.75" customHeight="1">
      <c r="BM21851" s="1025"/>
      <c r="BO21851" s="43"/>
    </row>
    <row r="21852" spans="65:67" ht="18.75" customHeight="1">
      <c r="BM21852" s="1025"/>
      <c r="BO21852" s="43"/>
    </row>
    <row r="21853" spans="65:67" ht="18.75" customHeight="1">
      <c r="BM21853" s="1025"/>
      <c r="BO21853" s="43"/>
    </row>
    <row r="21854" spans="65:67" ht="18.75" customHeight="1">
      <c r="BM21854" s="1025"/>
      <c r="BO21854" s="43"/>
    </row>
    <row r="21855" spans="65:67" ht="18.75" customHeight="1">
      <c r="BM21855" s="1025"/>
      <c r="BO21855" s="43"/>
    </row>
    <row r="21856" spans="65:67" ht="18.75" customHeight="1">
      <c r="BM21856" s="1025"/>
      <c r="BO21856" s="43"/>
    </row>
    <row r="21857" spans="65:67" ht="18.75" customHeight="1">
      <c r="BM21857" s="1025"/>
      <c r="BO21857" s="43"/>
    </row>
    <row r="21858" spans="65:67" ht="18.75" customHeight="1">
      <c r="BM21858" s="1025"/>
      <c r="BO21858" s="43"/>
    </row>
    <row r="21859" spans="65:67" ht="18.75" customHeight="1">
      <c r="BM21859" s="1025"/>
      <c r="BO21859" s="43"/>
    </row>
    <row r="21860" spans="65:67" ht="18.75" customHeight="1">
      <c r="BM21860" s="1025"/>
      <c r="BO21860" s="43"/>
    </row>
    <row r="21861" spans="65:67" ht="18.75" customHeight="1">
      <c r="BM21861" s="1025"/>
      <c r="BO21861" s="43"/>
    </row>
    <row r="21862" spans="65:67" ht="18.75" customHeight="1">
      <c r="BM21862" s="1025"/>
      <c r="BO21862" s="43"/>
    </row>
    <row r="21863" spans="65:67" ht="18.75" customHeight="1">
      <c r="BM21863" s="1025"/>
      <c r="BO21863" s="43"/>
    </row>
    <row r="21864" spans="65:67" ht="18.75" customHeight="1">
      <c r="BM21864" s="1025"/>
      <c r="BO21864" s="43"/>
    </row>
    <row r="21865" spans="65:67" ht="18.75" customHeight="1">
      <c r="BM21865" s="1025"/>
      <c r="BO21865" s="43"/>
    </row>
    <row r="21866" spans="65:67" ht="18.75" customHeight="1">
      <c r="BM21866" s="1025"/>
      <c r="BO21866" s="43"/>
    </row>
    <row r="21867" spans="65:67" ht="18.75" customHeight="1">
      <c r="BM21867" s="1025"/>
      <c r="BO21867" s="43"/>
    </row>
    <row r="21868" spans="65:67" ht="18.75" customHeight="1">
      <c r="BM21868" s="1025"/>
      <c r="BO21868" s="43"/>
    </row>
    <row r="21869" spans="65:67" ht="18.75" customHeight="1">
      <c r="BM21869" s="1025"/>
      <c r="BO21869" s="43"/>
    </row>
    <row r="21870" spans="65:67" ht="18.75" customHeight="1">
      <c r="BM21870" s="1025"/>
      <c r="BO21870" s="43"/>
    </row>
    <row r="21871" spans="65:67" ht="18.75" customHeight="1">
      <c r="BM21871" s="1025"/>
      <c r="BO21871" s="43"/>
    </row>
    <row r="21872" spans="65:67" ht="18.75" customHeight="1">
      <c r="BM21872" s="1025"/>
      <c r="BO21872" s="43"/>
    </row>
    <row r="21873" spans="65:67" ht="18.75" customHeight="1">
      <c r="BM21873" s="1025"/>
      <c r="BO21873" s="43"/>
    </row>
    <row r="21874" spans="65:67" ht="18.75" customHeight="1">
      <c r="BM21874" s="1025"/>
      <c r="BO21874" s="43"/>
    </row>
    <row r="21875" spans="65:67" ht="18.75" customHeight="1">
      <c r="BM21875" s="1025"/>
      <c r="BO21875" s="43"/>
    </row>
    <row r="21876" spans="65:67" ht="18.75" customHeight="1">
      <c r="BM21876" s="1025"/>
      <c r="BO21876" s="43"/>
    </row>
    <row r="21877" spans="65:67" ht="18.75" customHeight="1">
      <c r="BM21877" s="1025"/>
      <c r="BO21877" s="43"/>
    </row>
    <row r="21878" spans="65:67" ht="18.75" customHeight="1">
      <c r="BM21878" s="1025"/>
      <c r="BO21878" s="43"/>
    </row>
    <row r="21879" spans="65:67" ht="18.75" customHeight="1">
      <c r="BM21879" s="1025"/>
      <c r="BO21879" s="43"/>
    </row>
    <row r="21880" spans="65:67" ht="18.75" customHeight="1">
      <c r="BM21880" s="1025"/>
      <c r="BO21880" s="43"/>
    </row>
    <row r="21881" spans="65:67" ht="18.75" customHeight="1">
      <c r="BM21881" s="1025"/>
      <c r="BO21881" s="43"/>
    </row>
    <row r="21882" spans="65:67" ht="18.75" customHeight="1">
      <c r="BM21882" s="1025"/>
      <c r="BO21882" s="43"/>
    </row>
    <row r="21883" spans="65:67" ht="18.75" customHeight="1">
      <c r="BM21883" s="1025"/>
      <c r="BO21883" s="43"/>
    </row>
    <row r="21884" spans="65:67" ht="18.75" customHeight="1">
      <c r="BM21884" s="1025"/>
      <c r="BO21884" s="43"/>
    </row>
    <row r="21885" spans="65:67" ht="18.75" customHeight="1">
      <c r="BM21885" s="1025"/>
      <c r="BO21885" s="43"/>
    </row>
    <row r="21886" spans="65:67" ht="18.75" customHeight="1">
      <c r="BM21886" s="1025"/>
      <c r="BO21886" s="43"/>
    </row>
    <row r="21887" spans="65:67" ht="18.75" customHeight="1">
      <c r="BM21887" s="1025"/>
      <c r="BO21887" s="43"/>
    </row>
    <row r="21888" spans="65:67" ht="18.75" customHeight="1">
      <c r="BM21888" s="1025"/>
      <c r="BO21888" s="43"/>
    </row>
    <row r="21889" spans="65:67" ht="18.75" customHeight="1">
      <c r="BM21889" s="1025"/>
      <c r="BO21889" s="43"/>
    </row>
    <row r="21890" spans="65:67" ht="18.75" customHeight="1">
      <c r="BM21890" s="1025"/>
      <c r="BO21890" s="43"/>
    </row>
    <row r="21891" spans="65:67" ht="18.75" customHeight="1">
      <c r="BM21891" s="1025"/>
      <c r="BO21891" s="43"/>
    </row>
    <row r="21892" spans="65:67" ht="18.75" customHeight="1">
      <c r="BM21892" s="1025"/>
      <c r="BO21892" s="43"/>
    </row>
    <row r="21893" spans="65:67" ht="18.75" customHeight="1">
      <c r="BM21893" s="1025"/>
      <c r="BO21893" s="43"/>
    </row>
    <row r="21894" spans="65:67" ht="18.75" customHeight="1">
      <c r="BM21894" s="1025"/>
      <c r="BO21894" s="43"/>
    </row>
    <row r="21895" spans="65:67" ht="18.75" customHeight="1">
      <c r="BM21895" s="1025"/>
      <c r="BO21895" s="43"/>
    </row>
    <row r="21896" spans="65:67" ht="18.75" customHeight="1">
      <c r="BM21896" s="1025"/>
      <c r="BO21896" s="43"/>
    </row>
    <row r="21897" spans="65:67" ht="18.75" customHeight="1">
      <c r="BM21897" s="1025"/>
      <c r="BO21897" s="43"/>
    </row>
    <row r="21898" spans="65:67" ht="18.75" customHeight="1">
      <c r="BM21898" s="1025"/>
      <c r="BO21898" s="43"/>
    </row>
    <row r="21899" spans="65:67" ht="18.75" customHeight="1">
      <c r="BM21899" s="1025"/>
      <c r="BO21899" s="43"/>
    </row>
    <row r="21900" spans="65:67" ht="18.75" customHeight="1">
      <c r="BM21900" s="1025"/>
      <c r="BO21900" s="43"/>
    </row>
    <row r="21901" spans="65:67" ht="18.75" customHeight="1">
      <c r="BM21901" s="1025"/>
      <c r="BO21901" s="43"/>
    </row>
    <row r="21902" spans="65:67" ht="18.75" customHeight="1">
      <c r="BM21902" s="1025"/>
      <c r="BO21902" s="43"/>
    </row>
    <row r="21903" spans="65:67" ht="18.75" customHeight="1">
      <c r="BM21903" s="1025"/>
      <c r="BO21903" s="43"/>
    </row>
    <row r="21904" spans="65:67" ht="18.75" customHeight="1">
      <c r="BM21904" s="1025"/>
      <c r="BO21904" s="43"/>
    </row>
    <row r="21905" spans="65:67" ht="18.75" customHeight="1">
      <c r="BM21905" s="1025"/>
      <c r="BO21905" s="43"/>
    </row>
    <row r="21906" spans="65:67" ht="18.75" customHeight="1">
      <c r="BM21906" s="1025"/>
      <c r="BO21906" s="43"/>
    </row>
    <row r="21907" spans="65:67" ht="18.75" customHeight="1">
      <c r="BM21907" s="1025"/>
      <c r="BO21907" s="43"/>
    </row>
    <row r="21908" spans="65:67" ht="18.75" customHeight="1">
      <c r="BM21908" s="1025"/>
      <c r="BO21908" s="43"/>
    </row>
    <row r="21909" spans="65:67" ht="18.75" customHeight="1">
      <c r="BM21909" s="1025"/>
      <c r="BO21909" s="43"/>
    </row>
    <row r="21910" spans="65:67" ht="18.75" customHeight="1">
      <c r="BM21910" s="1025"/>
      <c r="BO21910" s="43"/>
    </row>
    <row r="21911" spans="65:67" ht="18.75" customHeight="1">
      <c r="BM21911" s="1025"/>
      <c r="BO21911" s="43"/>
    </row>
    <row r="21912" spans="65:67" ht="18.75" customHeight="1">
      <c r="BM21912" s="1025"/>
      <c r="BO21912" s="43"/>
    </row>
    <row r="21913" spans="65:67" ht="18.75" customHeight="1">
      <c r="BM21913" s="1025"/>
      <c r="BO21913" s="43"/>
    </row>
    <row r="21914" spans="65:67" ht="18.75" customHeight="1">
      <c r="BM21914" s="1025"/>
      <c r="BO21914" s="43"/>
    </row>
    <row r="21915" spans="65:67" ht="18.75" customHeight="1">
      <c r="BM21915" s="1025"/>
      <c r="BO21915" s="43"/>
    </row>
    <row r="21916" spans="65:67" ht="18.75" customHeight="1">
      <c r="BM21916" s="1025"/>
      <c r="BO21916" s="43"/>
    </row>
    <row r="21917" spans="65:67" ht="18.75" customHeight="1">
      <c r="BM21917" s="1025"/>
      <c r="BO21917" s="43"/>
    </row>
    <row r="21918" spans="65:67" ht="18.75" customHeight="1">
      <c r="BM21918" s="1025"/>
      <c r="BO21918" s="43"/>
    </row>
    <row r="21919" spans="65:67" ht="18.75" customHeight="1">
      <c r="BM21919" s="1025"/>
      <c r="BO21919" s="43"/>
    </row>
    <row r="21920" spans="65:67" ht="18.75" customHeight="1">
      <c r="BM21920" s="1025"/>
      <c r="BO21920" s="43"/>
    </row>
    <row r="21921" spans="65:67" ht="18.75" customHeight="1">
      <c r="BM21921" s="1025"/>
      <c r="BO21921" s="43"/>
    </row>
    <row r="21922" spans="65:67" ht="18.75" customHeight="1">
      <c r="BM21922" s="1025"/>
      <c r="BO21922" s="43"/>
    </row>
    <row r="21923" spans="65:67" ht="18.75" customHeight="1">
      <c r="BM21923" s="1025"/>
      <c r="BO21923" s="43"/>
    </row>
    <row r="21924" spans="65:67" ht="18.75" customHeight="1">
      <c r="BM21924" s="1025"/>
      <c r="BO21924" s="43"/>
    </row>
    <row r="21925" spans="65:67" ht="18.75" customHeight="1">
      <c r="BM21925" s="1025"/>
      <c r="BO21925" s="43"/>
    </row>
    <row r="21926" spans="65:67" ht="18.75" customHeight="1">
      <c r="BM21926" s="1025"/>
      <c r="BO21926" s="43"/>
    </row>
    <row r="21927" spans="65:67" ht="18.75" customHeight="1">
      <c r="BM21927" s="1025"/>
      <c r="BO21927" s="43"/>
    </row>
    <row r="21928" spans="65:67" ht="18.75" customHeight="1">
      <c r="BM21928" s="1025"/>
      <c r="BO21928" s="43"/>
    </row>
    <row r="21929" spans="65:67" ht="18.75" customHeight="1">
      <c r="BM21929" s="1025"/>
      <c r="BO21929" s="43"/>
    </row>
    <row r="21930" spans="65:67" ht="18.75" customHeight="1">
      <c r="BM21930" s="1025"/>
      <c r="BO21930" s="43"/>
    </row>
    <row r="21931" spans="65:67" ht="18.75" customHeight="1">
      <c r="BM21931" s="1025"/>
      <c r="BO21931" s="43"/>
    </row>
    <row r="21932" spans="65:67" ht="18.75" customHeight="1">
      <c r="BM21932" s="1025"/>
      <c r="BO21932" s="43"/>
    </row>
    <row r="21933" spans="65:67" ht="18.75" customHeight="1">
      <c r="BM21933" s="1025"/>
      <c r="BO21933" s="43"/>
    </row>
    <row r="21934" spans="65:67" ht="18.75" customHeight="1">
      <c r="BM21934" s="1025"/>
      <c r="BO21934" s="43"/>
    </row>
    <row r="21935" spans="65:67" ht="18.75" customHeight="1">
      <c r="BM21935" s="1025"/>
      <c r="BO21935" s="43"/>
    </row>
    <row r="21936" spans="65:67" ht="18.75" customHeight="1">
      <c r="BM21936" s="1025"/>
      <c r="BO21936" s="43"/>
    </row>
    <row r="21937" spans="65:67" ht="18.75" customHeight="1">
      <c r="BM21937" s="1025"/>
      <c r="BO21937" s="43"/>
    </row>
    <row r="21938" spans="65:67" ht="18.75" customHeight="1">
      <c r="BM21938" s="1025"/>
      <c r="BO21938" s="43"/>
    </row>
    <row r="21939" spans="65:67" ht="18.75" customHeight="1">
      <c r="BM21939" s="1025"/>
      <c r="BO21939" s="43"/>
    </row>
    <row r="21940" spans="65:67" ht="18.75" customHeight="1">
      <c r="BM21940" s="1025"/>
      <c r="BO21940" s="43"/>
    </row>
    <row r="21941" spans="65:67" ht="18.75" customHeight="1">
      <c r="BM21941" s="1025"/>
      <c r="BO21941" s="43"/>
    </row>
    <row r="21942" spans="65:67" ht="18.75" customHeight="1">
      <c r="BM21942" s="1025"/>
      <c r="BO21942" s="43"/>
    </row>
    <row r="21943" spans="65:67" ht="18.75" customHeight="1">
      <c r="BM21943" s="1025"/>
      <c r="BO21943" s="43"/>
    </row>
    <row r="21944" spans="65:67" ht="18.75" customHeight="1">
      <c r="BM21944" s="1025"/>
      <c r="BO21944" s="43"/>
    </row>
    <row r="21945" spans="65:67" ht="18.75" customHeight="1">
      <c r="BM21945" s="1025"/>
      <c r="BO21945" s="43"/>
    </row>
    <row r="21946" spans="65:67" ht="18.75" customHeight="1">
      <c r="BM21946" s="1025"/>
      <c r="BO21946" s="43"/>
    </row>
    <row r="21947" spans="65:67" ht="18.75" customHeight="1">
      <c r="BM21947" s="1025"/>
      <c r="BO21947" s="43"/>
    </row>
    <row r="21948" spans="65:67" ht="18.75" customHeight="1">
      <c r="BM21948" s="1025"/>
      <c r="BO21948" s="43"/>
    </row>
    <row r="21949" spans="65:67" ht="18.75" customHeight="1">
      <c r="BM21949" s="1025"/>
      <c r="BO21949" s="43"/>
    </row>
    <row r="21950" spans="65:67" ht="18.75" customHeight="1">
      <c r="BM21950" s="1025"/>
      <c r="BO21950" s="43"/>
    </row>
    <row r="21951" spans="65:67" ht="18.75" customHeight="1">
      <c r="BM21951" s="1025"/>
      <c r="BO21951" s="43"/>
    </row>
    <row r="21952" spans="65:67" ht="18.75" customHeight="1">
      <c r="BM21952" s="1025"/>
      <c r="BO21952" s="43"/>
    </row>
    <row r="21953" spans="65:67" ht="18.75" customHeight="1">
      <c r="BM21953" s="1025"/>
      <c r="BO21953" s="43"/>
    </row>
    <row r="21954" spans="65:67" ht="18.75" customHeight="1">
      <c r="BM21954" s="1025"/>
      <c r="BO21954" s="43"/>
    </row>
    <row r="21955" spans="65:67" ht="18.75" customHeight="1">
      <c r="BM21955" s="1025"/>
      <c r="BO21955" s="43"/>
    </row>
    <row r="21956" spans="65:67" ht="18.75" customHeight="1">
      <c r="BM21956" s="1025"/>
      <c r="BO21956" s="43"/>
    </row>
    <row r="21957" spans="65:67" ht="18.75" customHeight="1">
      <c r="BM21957" s="1025"/>
      <c r="BO21957" s="43"/>
    </row>
    <row r="21958" spans="65:67" ht="18.75" customHeight="1">
      <c r="BM21958" s="1025"/>
      <c r="BO21958" s="43"/>
    </row>
    <row r="21959" spans="65:67" ht="18.75" customHeight="1">
      <c r="BM21959" s="1025"/>
      <c r="BO21959" s="43"/>
    </row>
    <row r="21960" spans="65:67" ht="18.75" customHeight="1">
      <c r="BM21960" s="1025"/>
      <c r="BO21960" s="43"/>
    </row>
    <row r="21961" spans="65:67" ht="18.75" customHeight="1">
      <c r="BM21961" s="1025"/>
      <c r="BO21961" s="43"/>
    </row>
    <row r="21962" spans="65:67" ht="18.75" customHeight="1">
      <c r="BM21962" s="1025"/>
      <c r="BO21962" s="43"/>
    </row>
    <row r="21963" spans="65:67" ht="18.75" customHeight="1">
      <c r="BM21963" s="1025"/>
      <c r="BO21963" s="43"/>
    </row>
    <row r="21964" spans="65:67" ht="18.75" customHeight="1">
      <c r="BM21964" s="1025"/>
      <c r="BO21964" s="43"/>
    </row>
    <row r="21965" spans="65:67" ht="18.75" customHeight="1">
      <c r="BM21965" s="1025"/>
      <c r="BO21965" s="43"/>
    </row>
    <row r="21966" spans="65:67" ht="18.75" customHeight="1">
      <c r="BM21966" s="1025"/>
      <c r="BO21966" s="43"/>
    </row>
    <row r="21967" spans="65:67" ht="18.75" customHeight="1">
      <c r="BM21967" s="1025"/>
      <c r="BO21967" s="43"/>
    </row>
    <row r="21968" spans="65:67" ht="18.75" customHeight="1">
      <c r="BM21968" s="1025"/>
      <c r="BO21968" s="43"/>
    </row>
    <row r="21969" spans="65:67" ht="18.75" customHeight="1">
      <c r="BM21969" s="1025"/>
      <c r="BO21969" s="43"/>
    </row>
    <row r="21970" spans="65:67" ht="18.75" customHeight="1">
      <c r="BM21970" s="1025"/>
      <c r="BO21970" s="43"/>
    </row>
    <row r="21971" spans="65:67" ht="18.75" customHeight="1">
      <c r="BM21971" s="1025"/>
      <c r="BO21971" s="43"/>
    </row>
    <row r="21972" spans="65:67" ht="18.75" customHeight="1">
      <c r="BM21972" s="1025"/>
      <c r="BO21972" s="43"/>
    </row>
    <row r="21973" spans="65:67" ht="18.75" customHeight="1">
      <c r="BM21973" s="1025"/>
      <c r="BO21973" s="43"/>
    </row>
    <row r="21974" spans="65:67" ht="18.75" customHeight="1">
      <c r="BM21974" s="1025"/>
      <c r="BO21974" s="43"/>
    </row>
    <row r="21975" spans="65:67" ht="18.75" customHeight="1">
      <c r="BM21975" s="1025"/>
      <c r="BO21975" s="43"/>
    </row>
    <row r="21976" spans="65:67" ht="18.75" customHeight="1">
      <c r="BM21976" s="1025"/>
      <c r="BO21976" s="43"/>
    </row>
    <row r="21977" spans="65:67" ht="18.75" customHeight="1">
      <c r="BM21977" s="1025"/>
      <c r="BO21977" s="43"/>
    </row>
    <row r="21978" spans="65:67" ht="18.75" customHeight="1">
      <c r="BM21978" s="1025"/>
      <c r="BO21978" s="43"/>
    </row>
    <row r="21979" spans="65:67" ht="18.75" customHeight="1">
      <c r="BM21979" s="1025"/>
      <c r="BO21979" s="43"/>
    </row>
    <row r="21980" spans="65:67" ht="18.75" customHeight="1">
      <c r="BM21980" s="1025"/>
      <c r="BO21980" s="43"/>
    </row>
    <row r="21981" spans="65:67" ht="18.75" customHeight="1">
      <c r="BM21981" s="1025"/>
      <c r="BO21981" s="43"/>
    </row>
    <row r="21982" spans="65:67" ht="18.75" customHeight="1">
      <c r="BM21982" s="1025"/>
      <c r="BO21982" s="43"/>
    </row>
    <row r="21983" spans="65:67" ht="18.75" customHeight="1">
      <c r="BM21983" s="1025"/>
      <c r="BO21983" s="43"/>
    </row>
    <row r="21984" spans="65:67" ht="18.75" customHeight="1">
      <c r="BM21984" s="1025"/>
      <c r="BO21984" s="43"/>
    </row>
    <row r="21985" spans="65:67" ht="18.75" customHeight="1">
      <c r="BM21985" s="1025"/>
      <c r="BO21985" s="43"/>
    </row>
    <row r="21986" spans="65:67" ht="18.75" customHeight="1">
      <c r="BM21986" s="1025"/>
      <c r="BO21986" s="43"/>
    </row>
    <row r="21987" spans="65:67" ht="18.75" customHeight="1">
      <c r="BM21987" s="1025"/>
      <c r="BO21987" s="43"/>
    </row>
    <row r="21988" spans="65:67" ht="18.75" customHeight="1">
      <c r="BM21988" s="1025"/>
      <c r="BO21988" s="43"/>
    </row>
    <row r="21989" spans="65:67" ht="18.75" customHeight="1">
      <c r="BM21989" s="1025"/>
      <c r="BO21989" s="43"/>
    </row>
    <row r="21990" spans="65:67" ht="18.75" customHeight="1">
      <c r="BM21990" s="1025"/>
      <c r="BO21990" s="43"/>
    </row>
    <row r="21991" spans="65:67" ht="18.75" customHeight="1">
      <c r="BM21991" s="1025"/>
      <c r="BO21991" s="43"/>
    </row>
    <row r="21992" spans="65:67" ht="18.75" customHeight="1">
      <c r="BM21992" s="1025"/>
      <c r="BO21992" s="43"/>
    </row>
    <row r="21993" spans="65:67" ht="18.75" customHeight="1">
      <c r="BM21993" s="1025"/>
      <c r="BO21993" s="43"/>
    </row>
    <row r="21994" spans="65:67" ht="18.75" customHeight="1">
      <c r="BM21994" s="1025"/>
      <c r="BO21994" s="43"/>
    </row>
    <row r="21995" spans="65:67" ht="18.75" customHeight="1">
      <c r="BM21995" s="1025"/>
      <c r="BO21995" s="43"/>
    </row>
    <row r="21996" spans="65:67" ht="18.75" customHeight="1">
      <c r="BM21996" s="1025"/>
      <c r="BO21996" s="43"/>
    </row>
    <row r="21997" spans="65:67" ht="18.75" customHeight="1">
      <c r="BM21997" s="1025"/>
      <c r="BO21997" s="43"/>
    </row>
    <row r="21998" spans="65:67" ht="18.75" customHeight="1">
      <c r="BM21998" s="1025"/>
      <c r="BO21998" s="43"/>
    </row>
    <row r="21999" spans="65:67" ht="18.75" customHeight="1">
      <c r="BM21999" s="1025"/>
      <c r="BO21999" s="43"/>
    </row>
    <row r="22000" spans="65:67" ht="18.75" customHeight="1">
      <c r="BM22000" s="1025"/>
      <c r="BO22000" s="43"/>
    </row>
    <row r="22001" spans="65:67" ht="18.75" customHeight="1">
      <c r="BM22001" s="1025"/>
      <c r="BO22001" s="43"/>
    </row>
    <row r="22002" spans="65:67" ht="18.75" customHeight="1">
      <c r="BM22002" s="1025"/>
      <c r="BO22002" s="43"/>
    </row>
    <row r="22003" spans="65:67" ht="18.75" customHeight="1">
      <c r="BM22003" s="1025"/>
      <c r="BO22003" s="43"/>
    </row>
    <row r="22004" spans="65:67" ht="18.75" customHeight="1">
      <c r="BM22004" s="1025"/>
      <c r="BO22004" s="43"/>
    </row>
    <row r="22005" spans="65:67" ht="18.75" customHeight="1">
      <c r="BM22005" s="1025"/>
      <c r="BO22005" s="43"/>
    </row>
    <row r="22006" spans="65:67" ht="18.75" customHeight="1">
      <c r="BM22006" s="1025"/>
      <c r="BO22006" s="43"/>
    </row>
    <row r="22007" spans="65:67" ht="18.75" customHeight="1">
      <c r="BM22007" s="1025"/>
      <c r="BO22007" s="43"/>
    </row>
    <row r="22008" spans="65:67" ht="18.75" customHeight="1">
      <c r="BM22008" s="1025"/>
      <c r="BO22008" s="43"/>
    </row>
    <row r="22009" spans="65:67" ht="18.75" customHeight="1">
      <c r="BM22009" s="1025"/>
      <c r="BO22009" s="43"/>
    </row>
    <row r="22010" spans="65:67" ht="18.75" customHeight="1">
      <c r="BM22010" s="1025"/>
      <c r="BO22010" s="43"/>
    </row>
    <row r="22011" spans="65:67" ht="18.75" customHeight="1">
      <c r="BM22011" s="1025"/>
      <c r="BO22011" s="43"/>
    </row>
    <row r="22012" spans="65:67" ht="18.75" customHeight="1">
      <c r="BM22012" s="1025"/>
      <c r="BO22012" s="43"/>
    </row>
    <row r="22013" spans="65:67" ht="18.75" customHeight="1">
      <c r="BM22013" s="1025"/>
      <c r="BO22013" s="43"/>
    </row>
    <row r="22014" spans="65:67" ht="18.75" customHeight="1">
      <c r="BM22014" s="1025"/>
      <c r="BO22014" s="43"/>
    </row>
    <row r="22015" spans="65:67" ht="18.75" customHeight="1">
      <c r="BM22015" s="1025"/>
      <c r="BO22015" s="43"/>
    </row>
    <row r="22016" spans="65:67" ht="18.75" customHeight="1">
      <c r="BM22016" s="1025"/>
      <c r="BO22016" s="43"/>
    </row>
    <row r="22017" spans="65:67" ht="18.75" customHeight="1">
      <c r="BM22017" s="1025"/>
      <c r="BO22017" s="43"/>
    </row>
    <row r="22018" spans="65:67" ht="18.75" customHeight="1">
      <c r="BM22018" s="1025"/>
      <c r="BO22018" s="43"/>
    </row>
    <row r="22019" spans="65:67" ht="18.75" customHeight="1">
      <c r="BM22019" s="1025"/>
      <c r="BO22019" s="43"/>
    </row>
    <row r="22020" spans="65:67" ht="18.75" customHeight="1">
      <c r="BM22020" s="1025"/>
      <c r="BO22020" s="43"/>
    </row>
    <row r="22021" spans="65:67" ht="18.75" customHeight="1">
      <c r="BM22021" s="1025"/>
      <c r="BO22021" s="43"/>
    </row>
    <row r="22022" spans="65:67" ht="18.75" customHeight="1">
      <c r="BM22022" s="1025"/>
      <c r="BO22022" s="43"/>
    </row>
    <row r="22023" spans="65:67" ht="18.75" customHeight="1">
      <c r="BM22023" s="1025"/>
      <c r="BO22023" s="43"/>
    </row>
    <row r="22024" spans="65:67" ht="18.75" customHeight="1">
      <c r="BM22024" s="1025"/>
      <c r="BO22024" s="43"/>
    </row>
    <row r="22025" spans="65:67" ht="18.75" customHeight="1">
      <c r="BM22025" s="1025"/>
      <c r="BO22025" s="43"/>
    </row>
    <row r="22026" spans="65:67" ht="18.75" customHeight="1">
      <c r="BM22026" s="1025"/>
      <c r="BO22026" s="43"/>
    </row>
    <row r="22027" spans="65:67" ht="18.75" customHeight="1">
      <c r="BM22027" s="1025"/>
      <c r="BO22027" s="43"/>
    </row>
    <row r="22028" spans="65:67" ht="18.75" customHeight="1">
      <c r="BM22028" s="1025"/>
      <c r="BO22028" s="43"/>
    </row>
    <row r="22029" spans="65:67" ht="18.75" customHeight="1">
      <c r="BM22029" s="1025"/>
      <c r="BO22029" s="43"/>
    </row>
    <row r="22030" spans="65:67" ht="18.75" customHeight="1">
      <c r="BM22030" s="1025"/>
      <c r="BO22030" s="43"/>
    </row>
    <row r="22031" spans="65:67" ht="18.75" customHeight="1">
      <c r="BM22031" s="1025"/>
      <c r="BO22031" s="43"/>
    </row>
    <row r="22032" spans="65:67" ht="18.75" customHeight="1">
      <c r="BM22032" s="1025"/>
      <c r="BO22032" s="43"/>
    </row>
    <row r="22033" spans="65:67" ht="18.75" customHeight="1">
      <c r="BM22033" s="1025"/>
      <c r="BO22033" s="43"/>
    </row>
    <row r="22034" spans="65:67" ht="18.75" customHeight="1">
      <c r="BM22034" s="1025"/>
      <c r="BO22034" s="43"/>
    </row>
    <row r="22035" spans="65:67" ht="18.75" customHeight="1">
      <c r="BM22035" s="1025"/>
      <c r="BO22035" s="43"/>
    </row>
    <row r="22036" spans="65:67" ht="18.75" customHeight="1">
      <c r="BM22036" s="1025"/>
      <c r="BO22036" s="43"/>
    </row>
    <row r="22037" spans="65:67" ht="18.75" customHeight="1">
      <c r="BM22037" s="1025"/>
      <c r="BO22037" s="43"/>
    </row>
    <row r="22038" spans="65:67" ht="18.75" customHeight="1">
      <c r="BM22038" s="1025"/>
      <c r="BO22038" s="43"/>
    </row>
    <row r="22039" spans="65:67" ht="18.75" customHeight="1">
      <c r="BM22039" s="1025"/>
      <c r="BO22039" s="43"/>
    </row>
    <row r="22040" spans="65:67" ht="18.75" customHeight="1">
      <c r="BM22040" s="1025"/>
      <c r="BO22040" s="43"/>
    </row>
    <row r="22041" spans="65:67" ht="18.75" customHeight="1">
      <c r="BM22041" s="1025"/>
      <c r="BO22041" s="43"/>
    </row>
    <row r="22042" spans="65:67" ht="18.75" customHeight="1">
      <c r="BM22042" s="1025"/>
      <c r="BO22042" s="43"/>
    </row>
    <row r="22043" spans="65:67" ht="18.75" customHeight="1">
      <c r="BM22043" s="1025"/>
      <c r="BO22043" s="43"/>
    </row>
    <row r="22044" spans="65:67" ht="18.75" customHeight="1">
      <c r="BM22044" s="1025"/>
      <c r="BO22044" s="43"/>
    </row>
    <row r="22045" spans="65:67" ht="18.75" customHeight="1">
      <c r="BM22045" s="1025"/>
      <c r="BO22045" s="43"/>
    </row>
    <row r="22046" spans="65:67" ht="18.75" customHeight="1">
      <c r="BM22046" s="1025"/>
      <c r="BO22046" s="43"/>
    </row>
    <row r="22047" spans="65:67" ht="18.75" customHeight="1">
      <c r="BM22047" s="1025"/>
      <c r="BO22047" s="43"/>
    </row>
    <row r="22048" spans="65:67" ht="18.75" customHeight="1">
      <c r="BM22048" s="1025"/>
      <c r="BO22048" s="43"/>
    </row>
    <row r="22049" spans="65:67" ht="18.75" customHeight="1">
      <c r="BM22049" s="1025"/>
      <c r="BO22049" s="43"/>
    </row>
    <row r="22050" spans="65:67" ht="18.75" customHeight="1">
      <c r="BM22050" s="1025"/>
      <c r="BO22050" s="43"/>
    </row>
    <row r="22051" spans="65:67" ht="18.75" customHeight="1">
      <c r="BM22051" s="1025"/>
      <c r="BO22051" s="43"/>
    </row>
    <row r="22052" spans="65:67" ht="18.75" customHeight="1">
      <c r="BM22052" s="1025"/>
      <c r="BO22052" s="43"/>
    </row>
    <row r="22053" spans="65:67" ht="18.75" customHeight="1">
      <c r="BM22053" s="1025"/>
      <c r="BO22053" s="43"/>
    </row>
    <row r="22054" spans="65:67" ht="18.75" customHeight="1">
      <c r="BM22054" s="1025"/>
      <c r="BO22054" s="43"/>
    </row>
    <row r="22055" spans="65:67" ht="18.75" customHeight="1">
      <c r="BM22055" s="1025"/>
      <c r="BO22055" s="43"/>
    </row>
    <row r="22056" spans="65:67" ht="18.75" customHeight="1">
      <c r="BM22056" s="1025"/>
      <c r="BO22056" s="43"/>
    </row>
    <row r="22057" spans="65:67" ht="18.75" customHeight="1">
      <c r="BM22057" s="1025"/>
      <c r="BO22057" s="43"/>
    </row>
    <row r="22058" spans="65:67" ht="18.75" customHeight="1">
      <c r="BM22058" s="1025"/>
      <c r="BO22058" s="43"/>
    </row>
    <row r="22059" spans="65:67" ht="18.75" customHeight="1">
      <c r="BM22059" s="1025"/>
      <c r="BO22059" s="43"/>
    </row>
    <row r="22060" spans="65:67" ht="18.75" customHeight="1">
      <c r="BM22060" s="1025"/>
      <c r="BO22060" s="43"/>
    </row>
    <row r="22061" spans="65:67" ht="18.75" customHeight="1">
      <c r="BM22061" s="1025"/>
      <c r="BO22061" s="43"/>
    </row>
    <row r="22062" spans="65:67" ht="18.75" customHeight="1">
      <c r="BM22062" s="1025"/>
      <c r="BO22062" s="43"/>
    </row>
    <row r="22063" spans="65:67" ht="18.75" customHeight="1">
      <c r="BM22063" s="1025"/>
      <c r="BO22063" s="43"/>
    </row>
    <row r="22064" spans="65:67" ht="18.75" customHeight="1">
      <c r="BM22064" s="1025"/>
      <c r="BO22064" s="43"/>
    </row>
    <row r="22065" spans="65:67" ht="18.75" customHeight="1">
      <c r="BM22065" s="1025"/>
      <c r="BO22065" s="43"/>
    </row>
    <row r="22066" spans="65:67" ht="18.75" customHeight="1">
      <c r="BM22066" s="1025"/>
      <c r="BO22066" s="43"/>
    </row>
    <row r="22067" spans="65:67" ht="18.75" customHeight="1">
      <c r="BM22067" s="1025"/>
      <c r="BO22067" s="43"/>
    </row>
    <row r="22068" spans="65:67" ht="18.75" customHeight="1">
      <c r="BM22068" s="1025"/>
      <c r="BO22068" s="43"/>
    </row>
    <row r="22069" spans="65:67" ht="18.75" customHeight="1">
      <c r="BM22069" s="1025"/>
      <c r="BO22069" s="43"/>
    </row>
    <row r="22070" spans="65:67" ht="18.75" customHeight="1">
      <c r="BM22070" s="1025"/>
      <c r="BO22070" s="43"/>
    </row>
    <row r="22071" spans="65:67" ht="18.75" customHeight="1">
      <c r="BM22071" s="1025"/>
      <c r="BO22071" s="43"/>
    </row>
    <row r="22072" spans="65:67" ht="18.75" customHeight="1">
      <c r="BM22072" s="1025"/>
      <c r="BO22072" s="43"/>
    </row>
    <row r="22073" spans="65:67" ht="18.75" customHeight="1">
      <c r="BM22073" s="1025"/>
      <c r="BO22073" s="43"/>
    </row>
    <row r="22074" spans="65:67" ht="18.75" customHeight="1">
      <c r="BM22074" s="1025"/>
      <c r="BO22074" s="43"/>
    </row>
    <row r="22075" spans="65:67" ht="18.75" customHeight="1">
      <c r="BM22075" s="1025"/>
      <c r="BO22075" s="43"/>
    </row>
    <row r="22076" spans="65:67" ht="18.75" customHeight="1">
      <c r="BM22076" s="1025"/>
      <c r="BO22076" s="43"/>
    </row>
    <row r="22077" spans="65:67" ht="18.75" customHeight="1">
      <c r="BM22077" s="1025"/>
      <c r="BO22077" s="43"/>
    </row>
    <row r="22078" spans="65:67" ht="18.75" customHeight="1">
      <c r="BM22078" s="1025"/>
      <c r="BO22078" s="43"/>
    </row>
    <row r="22079" spans="65:67" ht="18.75" customHeight="1">
      <c r="BM22079" s="1025"/>
      <c r="BO22079" s="43"/>
    </row>
    <row r="22080" spans="65:67" ht="18.75" customHeight="1">
      <c r="BM22080" s="1025"/>
      <c r="BO22080" s="43"/>
    </row>
    <row r="22081" spans="65:67" ht="18.75" customHeight="1">
      <c r="BM22081" s="1025"/>
      <c r="BO22081" s="43"/>
    </row>
    <row r="22082" spans="65:67" ht="18.75" customHeight="1">
      <c r="BM22082" s="1025"/>
      <c r="BO22082" s="43"/>
    </row>
    <row r="22083" spans="65:67" ht="18.75" customHeight="1">
      <c r="BM22083" s="1025"/>
      <c r="BO22083" s="43"/>
    </row>
    <row r="22084" spans="65:67" ht="18.75" customHeight="1">
      <c r="BM22084" s="1025"/>
      <c r="BO22084" s="43"/>
    </row>
    <row r="22085" spans="65:67" ht="18.75" customHeight="1">
      <c r="BM22085" s="1025"/>
      <c r="BO22085" s="43"/>
    </row>
    <row r="22086" spans="65:67" ht="18.75" customHeight="1">
      <c r="BM22086" s="1025"/>
      <c r="BO22086" s="43"/>
    </row>
    <row r="22087" spans="65:67" ht="18.75" customHeight="1">
      <c r="BM22087" s="1025"/>
      <c r="BO22087" s="43"/>
    </row>
    <row r="22088" spans="65:67" ht="18.75" customHeight="1">
      <c r="BM22088" s="1025"/>
      <c r="BO22088" s="43"/>
    </row>
    <row r="22089" spans="65:67" ht="18.75" customHeight="1">
      <c r="BM22089" s="1025"/>
      <c r="BO22089" s="43"/>
    </row>
    <row r="22090" spans="65:67" ht="18.75" customHeight="1">
      <c r="BM22090" s="1025"/>
      <c r="BO22090" s="43"/>
    </row>
    <row r="22091" spans="65:67" ht="18.75" customHeight="1">
      <c r="BM22091" s="1025"/>
      <c r="BO22091" s="43"/>
    </row>
    <row r="22092" spans="65:67" ht="18.75" customHeight="1">
      <c r="BM22092" s="1025"/>
      <c r="BO22092" s="43"/>
    </row>
    <row r="22093" spans="65:67" ht="18.75" customHeight="1">
      <c r="BM22093" s="1025"/>
      <c r="BO22093" s="43"/>
    </row>
    <row r="22094" spans="65:67" ht="18.75" customHeight="1">
      <c r="BM22094" s="1025"/>
      <c r="BO22094" s="43"/>
    </row>
    <row r="22095" spans="65:67" ht="18.75" customHeight="1">
      <c r="BM22095" s="1025"/>
      <c r="BO22095" s="43"/>
    </row>
    <row r="22096" spans="65:67" ht="18.75" customHeight="1">
      <c r="BM22096" s="1025"/>
      <c r="BO22096" s="43"/>
    </row>
    <row r="22097" spans="65:67" ht="18.75" customHeight="1">
      <c r="BM22097" s="1025"/>
      <c r="BO22097" s="43"/>
    </row>
    <row r="22098" spans="65:67" ht="18.75" customHeight="1">
      <c r="BM22098" s="1025"/>
      <c r="BO22098" s="43"/>
    </row>
    <row r="22099" spans="65:67" ht="18.75" customHeight="1">
      <c r="BM22099" s="1025"/>
      <c r="BO22099" s="43"/>
    </row>
    <row r="22100" spans="65:67" ht="18.75" customHeight="1">
      <c r="BM22100" s="1025"/>
      <c r="BO22100" s="43"/>
    </row>
    <row r="22101" spans="65:67" ht="18.75" customHeight="1">
      <c r="BM22101" s="1025"/>
      <c r="BO22101" s="43"/>
    </row>
    <row r="22102" spans="65:67" ht="18.75" customHeight="1">
      <c r="BM22102" s="1025"/>
      <c r="BO22102" s="43"/>
    </row>
    <row r="22103" spans="65:67" ht="18.75" customHeight="1">
      <c r="BM22103" s="1025"/>
      <c r="BO22103" s="43"/>
    </row>
    <row r="22104" spans="65:67" ht="18.75" customHeight="1">
      <c r="BM22104" s="1025"/>
      <c r="BO22104" s="43"/>
    </row>
    <row r="22105" spans="65:67" ht="18.75" customHeight="1">
      <c r="BM22105" s="1025"/>
      <c r="BO22105" s="43"/>
    </row>
    <row r="22106" spans="65:67" ht="18.75" customHeight="1">
      <c r="BM22106" s="1025"/>
      <c r="BO22106" s="43"/>
    </row>
    <row r="22107" spans="65:67" ht="18.75" customHeight="1">
      <c r="BM22107" s="1025"/>
      <c r="BO22107" s="43"/>
    </row>
    <row r="22108" spans="65:67" ht="18.75" customHeight="1">
      <c r="BM22108" s="1025"/>
      <c r="BO22108" s="43"/>
    </row>
    <row r="22109" spans="65:67" ht="18.75" customHeight="1">
      <c r="BM22109" s="1025"/>
      <c r="BO22109" s="43"/>
    </row>
    <row r="22110" spans="65:67" ht="18.75" customHeight="1">
      <c r="BM22110" s="1025"/>
      <c r="BO22110" s="43"/>
    </row>
    <row r="22111" spans="65:67" ht="18.75" customHeight="1">
      <c r="BM22111" s="1025"/>
      <c r="BO22111" s="43"/>
    </row>
    <row r="22112" spans="65:67" ht="18.75" customHeight="1">
      <c r="BM22112" s="1025"/>
      <c r="BO22112" s="43"/>
    </row>
    <row r="22113" spans="65:67" ht="18.75" customHeight="1">
      <c r="BM22113" s="1025"/>
      <c r="BO22113" s="43"/>
    </row>
    <row r="22114" spans="65:67" ht="18.75" customHeight="1">
      <c r="BM22114" s="1025"/>
      <c r="BO22114" s="43"/>
    </row>
    <row r="22115" spans="65:67" ht="18.75" customHeight="1">
      <c r="BM22115" s="1025"/>
      <c r="BO22115" s="43"/>
    </row>
    <row r="22116" spans="65:67" ht="18.75" customHeight="1">
      <c r="BM22116" s="1025"/>
      <c r="BO22116" s="43"/>
    </row>
    <row r="22117" spans="65:67" ht="18.75" customHeight="1">
      <c r="BM22117" s="1025"/>
      <c r="BO22117" s="43"/>
    </row>
    <row r="22118" spans="65:67" ht="18.75" customHeight="1">
      <c r="BM22118" s="1025"/>
      <c r="BO22118" s="43"/>
    </row>
    <row r="22119" spans="65:67" ht="18.75" customHeight="1">
      <c r="BM22119" s="1025"/>
      <c r="BO22119" s="43"/>
    </row>
    <row r="22120" spans="65:67" ht="18.75" customHeight="1">
      <c r="BM22120" s="1025"/>
      <c r="BO22120" s="43"/>
    </row>
    <row r="22121" spans="65:67" ht="18.75" customHeight="1">
      <c r="BM22121" s="1025"/>
      <c r="BO22121" s="43"/>
    </row>
    <row r="22122" spans="65:67" ht="18.75" customHeight="1">
      <c r="BM22122" s="1025"/>
      <c r="BO22122" s="43"/>
    </row>
    <row r="22123" spans="65:67" ht="18.75" customHeight="1">
      <c r="BM22123" s="1025"/>
      <c r="BO22123" s="43"/>
    </row>
    <row r="22124" spans="65:67" ht="18.75" customHeight="1">
      <c r="BM22124" s="1025"/>
      <c r="BO22124" s="43"/>
    </row>
    <row r="22125" spans="65:67" ht="18.75" customHeight="1">
      <c r="BM22125" s="1025"/>
      <c r="BO22125" s="43"/>
    </row>
    <row r="22126" spans="65:67" ht="18.75" customHeight="1">
      <c r="BM22126" s="1025"/>
      <c r="BO22126" s="43"/>
    </row>
    <row r="22127" spans="65:67" ht="18.75" customHeight="1">
      <c r="BM22127" s="1025"/>
      <c r="BO22127" s="43"/>
    </row>
    <row r="22128" spans="65:67" ht="18.75" customHeight="1">
      <c r="BM22128" s="1025"/>
      <c r="BO22128" s="43"/>
    </row>
    <row r="22129" spans="65:67" ht="18.75" customHeight="1">
      <c r="BM22129" s="1025"/>
      <c r="BO22129" s="43"/>
    </row>
    <row r="22130" spans="65:67" ht="18.75" customHeight="1">
      <c r="BM22130" s="1025"/>
      <c r="BO22130" s="43"/>
    </row>
    <row r="22131" spans="65:67" ht="18.75" customHeight="1">
      <c r="BM22131" s="1025"/>
      <c r="BO22131" s="43"/>
    </row>
    <row r="22132" spans="65:67" ht="18.75" customHeight="1">
      <c r="BM22132" s="1025"/>
      <c r="BO22132" s="43"/>
    </row>
    <row r="22133" spans="65:67" ht="18.75" customHeight="1">
      <c r="BM22133" s="1025"/>
      <c r="BO22133" s="43"/>
    </row>
    <row r="22134" spans="65:67" ht="18.75" customHeight="1">
      <c r="BM22134" s="1025"/>
      <c r="BO22134" s="43"/>
    </row>
    <row r="22135" spans="65:67" ht="18.75" customHeight="1">
      <c r="BM22135" s="1025"/>
      <c r="BO22135" s="43"/>
    </row>
    <row r="22136" spans="65:67" ht="18.75" customHeight="1">
      <c r="BM22136" s="1025"/>
      <c r="BO22136" s="43"/>
    </row>
    <row r="22137" spans="65:67" ht="18.75" customHeight="1">
      <c r="BM22137" s="1025"/>
      <c r="BO22137" s="43"/>
    </row>
    <row r="22138" spans="65:67" ht="18.75" customHeight="1">
      <c r="BM22138" s="1025"/>
      <c r="BO22138" s="43"/>
    </row>
    <row r="22139" spans="65:67" ht="18.75" customHeight="1">
      <c r="BM22139" s="1025"/>
      <c r="BO22139" s="43"/>
    </row>
    <row r="22140" spans="65:67" ht="18.75" customHeight="1">
      <c r="BM22140" s="1025"/>
      <c r="BO22140" s="43"/>
    </row>
    <row r="22141" spans="65:67" ht="18.75" customHeight="1">
      <c r="BM22141" s="1025"/>
      <c r="BO22141" s="43"/>
    </row>
    <row r="22142" spans="65:67" ht="18.75" customHeight="1">
      <c r="BM22142" s="1025"/>
      <c r="BO22142" s="43"/>
    </row>
    <row r="22143" spans="65:67" ht="18.75" customHeight="1">
      <c r="BM22143" s="1025"/>
      <c r="BO22143" s="43"/>
    </row>
    <row r="22144" spans="65:67" ht="18.75" customHeight="1">
      <c r="BM22144" s="1025"/>
      <c r="BO22144" s="43"/>
    </row>
    <row r="22145" spans="65:67" ht="18.75" customHeight="1">
      <c r="BM22145" s="1025"/>
      <c r="BO22145" s="43"/>
    </row>
    <row r="22146" spans="65:67" ht="18.75" customHeight="1">
      <c r="BM22146" s="1025"/>
      <c r="BO22146" s="43"/>
    </row>
    <row r="22147" spans="65:67" ht="18.75" customHeight="1">
      <c r="BM22147" s="1025"/>
      <c r="BO22147" s="43"/>
    </row>
    <row r="22148" spans="65:67" ht="18.75" customHeight="1">
      <c r="BM22148" s="1025"/>
      <c r="BO22148" s="43"/>
    </row>
    <row r="22149" spans="65:67" ht="18.75" customHeight="1">
      <c r="BM22149" s="1025"/>
      <c r="BO22149" s="43"/>
    </row>
    <row r="22150" spans="65:67" ht="18.75" customHeight="1">
      <c r="BM22150" s="1025"/>
      <c r="BO22150" s="43"/>
    </row>
    <row r="22151" spans="65:67" ht="18.75" customHeight="1">
      <c r="BM22151" s="1025"/>
      <c r="BO22151" s="43"/>
    </row>
    <row r="22152" spans="65:67" ht="18.75" customHeight="1">
      <c r="BM22152" s="1025"/>
      <c r="BO22152" s="43"/>
    </row>
    <row r="22153" spans="65:67" ht="18.75" customHeight="1">
      <c r="BM22153" s="1025"/>
      <c r="BO22153" s="43"/>
    </row>
    <row r="22154" spans="65:67" ht="18.75" customHeight="1">
      <c r="BM22154" s="1025"/>
      <c r="BO22154" s="43"/>
    </row>
    <row r="22155" spans="65:67" ht="18.75" customHeight="1">
      <c r="BM22155" s="1025"/>
      <c r="BO22155" s="43"/>
    </row>
    <row r="22156" spans="65:67" ht="18.75" customHeight="1">
      <c r="BM22156" s="1025"/>
      <c r="BO22156" s="43"/>
    </row>
    <row r="22157" spans="65:67" ht="18.75" customHeight="1">
      <c r="BM22157" s="1025"/>
      <c r="BO22157" s="43"/>
    </row>
    <row r="22158" spans="65:67" ht="18.75" customHeight="1">
      <c r="BM22158" s="1025"/>
      <c r="BO22158" s="43"/>
    </row>
    <row r="22159" spans="65:67" ht="18.75" customHeight="1">
      <c r="BM22159" s="1025"/>
      <c r="BO22159" s="43"/>
    </row>
    <row r="22160" spans="65:67" ht="18.75" customHeight="1">
      <c r="BM22160" s="1025"/>
      <c r="BO22160" s="43"/>
    </row>
    <row r="22161" spans="65:67" ht="18.75" customHeight="1">
      <c r="BM22161" s="1025"/>
      <c r="BO22161" s="43"/>
    </row>
    <row r="22162" spans="65:67" ht="18.75" customHeight="1">
      <c r="BM22162" s="1025"/>
      <c r="BO22162" s="43"/>
    </row>
    <row r="22163" spans="65:67" ht="18.75" customHeight="1">
      <c r="BM22163" s="1025"/>
      <c r="BO22163" s="43"/>
    </row>
    <row r="22164" spans="65:67" ht="18.75" customHeight="1">
      <c r="BM22164" s="1025"/>
      <c r="BO22164" s="43"/>
    </row>
    <row r="22165" spans="65:67" ht="18.75" customHeight="1">
      <c r="BM22165" s="1025"/>
      <c r="BO22165" s="43"/>
    </row>
    <row r="22166" spans="65:67" ht="18.75" customHeight="1">
      <c r="BM22166" s="1025"/>
      <c r="BO22166" s="43"/>
    </row>
    <row r="22167" spans="65:67" ht="18.75" customHeight="1">
      <c r="BM22167" s="1025"/>
      <c r="BO22167" s="43"/>
    </row>
    <row r="22168" spans="65:67" ht="18.75" customHeight="1">
      <c r="BM22168" s="1025"/>
      <c r="BO22168" s="43"/>
    </row>
    <row r="22169" spans="65:67" ht="18.75" customHeight="1">
      <c r="BM22169" s="1025"/>
      <c r="BO22169" s="43"/>
    </row>
    <row r="22170" spans="65:67" ht="18.75" customHeight="1">
      <c r="BM22170" s="1025"/>
      <c r="BO22170" s="43"/>
    </row>
    <row r="22171" spans="65:67" ht="18.75" customHeight="1">
      <c r="BM22171" s="1025"/>
      <c r="BO22171" s="43"/>
    </row>
    <row r="22172" spans="65:67" ht="18.75" customHeight="1">
      <c r="BM22172" s="1025"/>
      <c r="BO22172" s="43"/>
    </row>
    <row r="22173" spans="65:67" ht="18.75" customHeight="1">
      <c r="BM22173" s="1025"/>
      <c r="BO22173" s="43"/>
    </row>
    <row r="22174" spans="65:67" ht="18.75" customHeight="1">
      <c r="BM22174" s="1025"/>
      <c r="BO22174" s="43"/>
    </row>
    <row r="22175" spans="65:67" ht="18.75" customHeight="1">
      <c r="BM22175" s="1025"/>
      <c r="BO22175" s="43"/>
    </row>
    <row r="22176" spans="65:67" ht="18.75" customHeight="1">
      <c r="BM22176" s="1025"/>
      <c r="BO22176" s="43"/>
    </row>
    <row r="22177" spans="65:67" ht="18.75" customHeight="1">
      <c r="BM22177" s="1025"/>
      <c r="BO22177" s="43"/>
    </row>
    <row r="22178" spans="65:67" ht="18.75" customHeight="1">
      <c r="BM22178" s="1025"/>
      <c r="BO22178" s="43"/>
    </row>
    <row r="22179" spans="65:67" ht="18.75" customHeight="1">
      <c r="BM22179" s="1025"/>
      <c r="BO22179" s="43"/>
    </row>
    <row r="22180" spans="65:67" ht="18.75" customHeight="1">
      <c r="BM22180" s="1025"/>
      <c r="BO22180" s="43"/>
    </row>
    <row r="22181" spans="65:67" ht="18.75" customHeight="1">
      <c r="BM22181" s="1025"/>
      <c r="BO22181" s="43"/>
    </row>
    <row r="22182" spans="65:67" ht="18.75" customHeight="1">
      <c r="BM22182" s="1025"/>
      <c r="BO22182" s="43"/>
    </row>
    <row r="22183" spans="65:67" ht="18.75" customHeight="1">
      <c r="BM22183" s="1025"/>
      <c r="BO22183" s="43"/>
    </row>
    <row r="22184" spans="65:67" ht="18.75" customHeight="1">
      <c r="BM22184" s="1025"/>
      <c r="BO22184" s="43"/>
    </row>
    <row r="22185" spans="65:67" ht="18.75" customHeight="1">
      <c r="BM22185" s="1025"/>
      <c r="BO22185" s="43"/>
    </row>
    <row r="22186" spans="65:67" ht="18.75" customHeight="1">
      <c r="BM22186" s="1025"/>
      <c r="BO22186" s="43"/>
    </row>
    <row r="22187" spans="65:67" ht="18.75" customHeight="1">
      <c r="BM22187" s="1025"/>
      <c r="BO22187" s="43"/>
    </row>
    <row r="22188" spans="65:67" ht="18.75" customHeight="1">
      <c r="BM22188" s="1025"/>
      <c r="BO22188" s="43"/>
    </row>
    <row r="22189" spans="65:67" ht="18.75" customHeight="1">
      <c r="BM22189" s="1025"/>
      <c r="BO22189" s="43"/>
    </row>
    <row r="22190" spans="65:67" ht="18.75" customHeight="1">
      <c r="BM22190" s="1025"/>
      <c r="BO22190" s="43"/>
    </row>
    <row r="22191" spans="65:67" ht="18.75" customHeight="1">
      <c r="BM22191" s="1025"/>
      <c r="BO22191" s="43"/>
    </row>
    <row r="22192" spans="65:67" ht="18.75" customHeight="1">
      <c r="BM22192" s="1025"/>
      <c r="BO22192" s="43"/>
    </row>
    <row r="22193" spans="65:67" ht="18.75" customHeight="1">
      <c r="BM22193" s="1025"/>
      <c r="BO22193" s="43"/>
    </row>
    <row r="22194" spans="65:67" ht="18.75" customHeight="1">
      <c r="BM22194" s="1025"/>
      <c r="BO22194" s="43"/>
    </row>
    <row r="22195" spans="65:67" ht="18.75" customHeight="1">
      <c r="BM22195" s="1025"/>
      <c r="BO22195" s="43"/>
    </row>
    <row r="22196" spans="65:67" ht="18.75" customHeight="1">
      <c r="BM22196" s="1025"/>
      <c r="BO22196" s="43"/>
    </row>
    <row r="22197" spans="65:67" ht="18.75" customHeight="1">
      <c r="BM22197" s="1025"/>
      <c r="BO22197" s="43"/>
    </row>
    <row r="22198" spans="65:67" ht="18.75" customHeight="1">
      <c r="BM22198" s="1025"/>
      <c r="BO22198" s="43"/>
    </row>
    <row r="22199" spans="65:67" ht="18.75" customHeight="1">
      <c r="BM22199" s="1025"/>
      <c r="BO22199" s="43"/>
    </row>
    <row r="22200" spans="65:67" ht="18.75" customHeight="1">
      <c r="BM22200" s="1025"/>
      <c r="BO22200" s="43"/>
    </row>
    <row r="22201" spans="65:67" ht="18.75" customHeight="1">
      <c r="BM22201" s="1025"/>
      <c r="BO22201" s="43"/>
    </row>
    <row r="22202" spans="65:67" ht="18.75" customHeight="1">
      <c r="BM22202" s="1025"/>
      <c r="BO22202" s="43"/>
    </row>
    <row r="22203" spans="65:67" ht="18.75" customHeight="1">
      <c r="BM22203" s="1025"/>
      <c r="BO22203" s="43"/>
    </row>
    <row r="22204" spans="65:67" ht="18.75" customHeight="1">
      <c r="BM22204" s="1025"/>
      <c r="BO22204" s="43"/>
    </row>
    <row r="22205" spans="65:67" ht="18.75" customHeight="1">
      <c r="BM22205" s="1025"/>
      <c r="BO22205" s="43"/>
    </row>
    <row r="22206" spans="65:67" ht="18.75" customHeight="1">
      <c r="BM22206" s="1025"/>
      <c r="BO22206" s="43"/>
    </row>
    <row r="22207" spans="65:67" ht="18.75" customHeight="1">
      <c r="BM22207" s="1025"/>
      <c r="BO22207" s="43"/>
    </row>
    <row r="22208" spans="65:67" ht="18.75" customHeight="1">
      <c r="BM22208" s="1025"/>
      <c r="BO22208" s="43"/>
    </row>
    <row r="22209" spans="65:67" ht="18.75" customHeight="1">
      <c r="BM22209" s="1025"/>
      <c r="BO22209" s="43"/>
    </row>
    <row r="22210" spans="65:67" ht="18.75" customHeight="1">
      <c r="BM22210" s="1025"/>
      <c r="BO22210" s="43"/>
    </row>
    <row r="22211" spans="65:67" ht="18.75" customHeight="1">
      <c r="BM22211" s="1025"/>
      <c r="BO22211" s="43"/>
    </row>
    <row r="22212" spans="65:67" ht="18.75" customHeight="1">
      <c r="BM22212" s="1025"/>
      <c r="BO22212" s="43"/>
    </row>
    <row r="22213" spans="65:67" ht="18.75" customHeight="1">
      <c r="BM22213" s="1025"/>
      <c r="BO22213" s="43"/>
    </row>
    <row r="22214" spans="65:67" ht="18.75" customHeight="1">
      <c r="BM22214" s="1025"/>
      <c r="BO22214" s="43"/>
    </row>
    <row r="22215" spans="65:67" ht="18.75" customHeight="1">
      <c r="BM22215" s="1025"/>
      <c r="BO22215" s="43"/>
    </row>
    <row r="22216" spans="65:67" ht="18.75" customHeight="1">
      <c r="BM22216" s="1025"/>
      <c r="BO22216" s="43"/>
    </row>
    <row r="22217" spans="65:67" ht="18.75" customHeight="1">
      <c r="BM22217" s="1025"/>
      <c r="BO22217" s="43"/>
    </row>
    <row r="22218" spans="65:67" ht="18.75" customHeight="1">
      <c r="BM22218" s="1025"/>
      <c r="BO22218" s="43"/>
    </row>
    <row r="22219" spans="65:67" ht="18.75" customHeight="1">
      <c r="BM22219" s="1025"/>
      <c r="BO22219" s="43"/>
    </row>
    <row r="22220" spans="65:67" ht="18.75" customHeight="1">
      <c r="BM22220" s="1025"/>
      <c r="BO22220" s="43"/>
    </row>
    <row r="22221" spans="65:67" ht="18.75" customHeight="1">
      <c r="BM22221" s="1025"/>
      <c r="BO22221" s="43"/>
    </row>
    <row r="22222" spans="65:67" ht="18.75" customHeight="1">
      <c r="BM22222" s="1025"/>
      <c r="BO22222" s="43"/>
    </row>
    <row r="22223" spans="65:67" ht="18.75" customHeight="1">
      <c r="BM22223" s="1025"/>
      <c r="BO22223" s="43"/>
    </row>
    <row r="22224" spans="65:67" ht="18.75" customHeight="1">
      <c r="BM22224" s="1025"/>
      <c r="BO22224" s="43"/>
    </row>
    <row r="22225" spans="65:67" ht="18.75" customHeight="1">
      <c r="BM22225" s="1025"/>
      <c r="BO22225" s="43"/>
    </row>
    <row r="22226" spans="65:67" ht="18.75" customHeight="1">
      <c r="BM22226" s="1025"/>
      <c r="BO22226" s="43"/>
    </row>
    <row r="22227" spans="65:67" ht="18.75" customHeight="1">
      <c r="BM22227" s="1025"/>
      <c r="BO22227" s="43"/>
    </row>
    <row r="22228" spans="65:67" ht="18.75" customHeight="1">
      <c r="BM22228" s="1025"/>
      <c r="BO22228" s="43"/>
    </row>
    <row r="22229" spans="65:67" ht="18.75" customHeight="1">
      <c r="BM22229" s="1025"/>
      <c r="BO22229" s="43"/>
    </row>
    <row r="22230" spans="65:67" ht="18.75" customHeight="1">
      <c r="BM22230" s="1025"/>
      <c r="BO22230" s="43"/>
    </row>
    <row r="22231" spans="65:67" ht="18.75" customHeight="1">
      <c r="BM22231" s="1025"/>
      <c r="BO22231" s="43"/>
    </row>
    <row r="22232" spans="65:67" ht="18.75" customHeight="1">
      <c r="BM22232" s="1025"/>
      <c r="BO22232" s="43"/>
    </row>
    <row r="22233" spans="65:67" ht="18.75" customHeight="1">
      <c r="BM22233" s="1025"/>
      <c r="BO22233" s="43"/>
    </row>
    <row r="22234" spans="65:67" ht="18.75" customHeight="1">
      <c r="BM22234" s="1025"/>
      <c r="BO22234" s="43"/>
    </row>
    <row r="22235" spans="65:67" ht="18.75" customHeight="1">
      <c r="BM22235" s="1025"/>
      <c r="BO22235" s="43"/>
    </row>
    <row r="22236" spans="65:67" ht="18.75" customHeight="1">
      <c r="BM22236" s="1025"/>
      <c r="BO22236" s="43"/>
    </row>
    <row r="22237" spans="65:67" ht="18.75" customHeight="1">
      <c r="BM22237" s="1025"/>
      <c r="BO22237" s="43"/>
    </row>
    <row r="22238" spans="65:67" ht="18.75" customHeight="1">
      <c r="BM22238" s="1025"/>
      <c r="BO22238" s="43"/>
    </row>
    <row r="22239" spans="65:67" ht="18.75" customHeight="1">
      <c r="BM22239" s="1025"/>
      <c r="BO22239" s="43"/>
    </row>
    <row r="22240" spans="65:67" ht="18.75" customHeight="1">
      <c r="BM22240" s="1025"/>
      <c r="BO22240" s="43"/>
    </row>
    <row r="22241" spans="65:67" ht="18.75" customHeight="1">
      <c r="BM22241" s="1025"/>
      <c r="BO22241" s="43"/>
    </row>
    <row r="22242" spans="65:67" ht="18.75" customHeight="1">
      <c r="BM22242" s="1025"/>
      <c r="BO22242" s="43"/>
    </row>
    <row r="22243" spans="65:67" ht="18.75" customHeight="1">
      <c r="BM22243" s="1025"/>
      <c r="BO22243" s="43"/>
    </row>
    <row r="22244" spans="65:67" ht="18.75" customHeight="1">
      <c r="BM22244" s="1025"/>
      <c r="BO22244" s="43"/>
    </row>
    <row r="22245" spans="65:67" ht="18.75" customHeight="1">
      <c r="BM22245" s="1025"/>
      <c r="BO22245" s="43"/>
    </row>
    <row r="22246" spans="65:67" ht="18.75" customHeight="1">
      <c r="BM22246" s="1025"/>
      <c r="BO22246" s="43"/>
    </row>
    <row r="22247" spans="65:67" ht="18.75" customHeight="1">
      <c r="BM22247" s="1025"/>
      <c r="BO22247" s="43"/>
    </row>
    <row r="22248" spans="65:67" ht="18.75" customHeight="1">
      <c r="BM22248" s="1025"/>
      <c r="BO22248" s="43"/>
    </row>
    <row r="22249" spans="65:67" ht="18.75" customHeight="1">
      <c r="BM22249" s="1025"/>
      <c r="BO22249" s="43"/>
    </row>
    <row r="22250" spans="65:67" ht="18.75" customHeight="1">
      <c r="BM22250" s="1025"/>
      <c r="BO22250" s="43"/>
    </row>
    <row r="22251" spans="65:67" ht="18.75" customHeight="1">
      <c r="BM22251" s="1025"/>
      <c r="BO22251" s="43"/>
    </row>
    <row r="22252" spans="65:67" ht="18.75" customHeight="1">
      <c r="BM22252" s="1025"/>
      <c r="BO22252" s="43"/>
    </row>
    <row r="22253" spans="65:67" ht="18.75" customHeight="1">
      <c r="BM22253" s="1025"/>
      <c r="BO22253" s="43"/>
    </row>
    <row r="22254" spans="65:67" ht="18.75" customHeight="1">
      <c r="BM22254" s="1025"/>
      <c r="BO22254" s="43"/>
    </row>
    <row r="22255" spans="65:67" ht="18.75" customHeight="1">
      <c r="BM22255" s="1025"/>
      <c r="BO22255" s="43"/>
    </row>
    <row r="22256" spans="65:67" ht="18.75" customHeight="1">
      <c r="BM22256" s="1025"/>
      <c r="BO22256" s="43"/>
    </row>
    <row r="22257" spans="65:67" ht="18.75" customHeight="1">
      <c r="BM22257" s="1025"/>
      <c r="BO22257" s="43"/>
    </row>
    <row r="22258" spans="65:67" ht="18.75" customHeight="1">
      <c r="BM22258" s="1025"/>
      <c r="BO22258" s="43"/>
    </row>
    <row r="22259" spans="65:67" ht="18.75" customHeight="1">
      <c r="BM22259" s="1025"/>
      <c r="BO22259" s="43"/>
    </row>
    <row r="22260" spans="65:67" ht="18.75" customHeight="1">
      <c r="BM22260" s="1025"/>
      <c r="BO22260" s="43"/>
    </row>
    <row r="22261" spans="65:67" ht="18.75" customHeight="1">
      <c r="BM22261" s="1025"/>
      <c r="BO22261" s="43"/>
    </row>
    <row r="22262" spans="65:67" ht="18.75" customHeight="1">
      <c r="BM22262" s="1025"/>
      <c r="BO22262" s="43"/>
    </row>
    <row r="22263" spans="65:67" ht="18.75" customHeight="1">
      <c r="BM22263" s="1025"/>
      <c r="BO22263" s="43"/>
    </row>
    <row r="22264" spans="65:67" ht="18.75" customHeight="1">
      <c r="BM22264" s="1025"/>
      <c r="BO22264" s="43"/>
    </row>
    <row r="22265" spans="65:67" ht="18.75" customHeight="1">
      <c r="BM22265" s="1025"/>
      <c r="BO22265" s="43"/>
    </row>
    <row r="22266" spans="65:67" ht="18.75" customHeight="1">
      <c r="BM22266" s="1025"/>
      <c r="BO22266" s="43"/>
    </row>
    <row r="22267" spans="65:67" ht="18.75" customHeight="1">
      <c r="BM22267" s="1025"/>
      <c r="BO22267" s="43"/>
    </row>
    <row r="22268" spans="65:67" ht="18.75" customHeight="1">
      <c r="BM22268" s="1025"/>
      <c r="BO22268" s="43"/>
    </row>
    <row r="22269" spans="65:67" ht="18.75" customHeight="1">
      <c r="BM22269" s="1025"/>
      <c r="BO22269" s="43"/>
    </row>
    <row r="22270" spans="65:67" ht="18.75" customHeight="1">
      <c r="BM22270" s="1025"/>
      <c r="BO22270" s="43"/>
    </row>
    <row r="22271" spans="65:67" ht="18.75" customHeight="1">
      <c r="BM22271" s="1025"/>
      <c r="BO22271" s="43"/>
    </row>
    <row r="22272" spans="65:67" ht="18.75" customHeight="1">
      <c r="BM22272" s="1025"/>
      <c r="BO22272" s="43"/>
    </row>
    <row r="22273" spans="65:67" ht="18.75" customHeight="1">
      <c r="BM22273" s="1025"/>
      <c r="BO22273" s="43"/>
    </row>
    <row r="22274" spans="65:67" ht="18.75" customHeight="1">
      <c r="BM22274" s="1025"/>
      <c r="BO22274" s="43"/>
    </row>
    <row r="22275" spans="65:67" ht="18.75" customHeight="1">
      <c r="BM22275" s="1025"/>
      <c r="BO22275" s="43"/>
    </row>
    <row r="22276" spans="65:67" ht="18.75" customHeight="1">
      <c r="BM22276" s="1025"/>
      <c r="BO22276" s="43"/>
    </row>
    <row r="22277" spans="65:67" ht="18.75" customHeight="1">
      <c r="BM22277" s="1025"/>
      <c r="BO22277" s="43"/>
    </row>
    <row r="22278" spans="65:67" ht="18.75" customHeight="1">
      <c r="BM22278" s="1025"/>
      <c r="BO22278" s="43"/>
    </row>
    <row r="22279" spans="65:67" ht="18.75" customHeight="1">
      <c r="BM22279" s="1025"/>
      <c r="BO22279" s="43"/>
    </row>
    <row r="22280" spans="65:67" ht="18.75" customHeight="1">
      <c r="BM22280" s="1025"/>
      <c r="BO22280" s="43"/>
    </row>
    <row r="22281" spans="65:67" ht="18.75" customHeight="1">
      <c r="BM22281" s="1025"/>
      <c r="BO22281" s="43"/>
    </row>
    <row r="22282" spans="65:67" ht="18.75" customHeight="1">
      <c r="BM22282" s="1025"/>
      <c r="BO22282" s="43"/>
    </row>
    <row r="22283" spans="65:67" ht="18.75" customHeight="1">
      <c r="BM22283" s="1025"/>
      <c r="BO22283" s="43"/>
    </row>
    <row r="22284" spans="65:67" ht="18.75" customHeight="1">
      <c r="BM22284" s="1025"/>
      <c r="BO22284" s="43"/>
    </row>
    <row r="22285" spans="65:67" ht="18.75" customHeight="1">
      <c r="BM22285" s="1025"/>
      <c r="BO22285" s="43"/>
    </row>
    <row r="22286" spans="65:67" ht="18.75" customHeight="1">
      <c r="BM22286" s="1025"/>
      <c r="BO22286" s="43"/>
    </row>
    <row r="22287" spans="65:67" ht="18.75" customHeight="1">
      <c r="BM22287" s="1025"/>
      <c r="BO22287" s="43"/>
    </row>
    <row r="22288" spans="65:67" ht="18.75" customHeight="1">
      <c r="BM22288" s="1025"/>
      <c r="BO22288" s="43"/>
    </row>
    <row r="22289" spans="65:67" ht="18.75" customHeight="1">
      <c r="BM22289" s="1025"/>
      <c r="BO22289" s="43"/>
    </row>
    <row r="22290" spans="65:67" ht="18.75" customHeight="1">
      <c r="BM22290" s="1025"/>
      <c r="BO22290" s="43"/>
    </row>
    <row r="22291" spans="65:67" ht="18.75" customHeight="1">
      <c r="BM22291" s="1025"/>
      <c r="BO22291" s="43"/>
    </row>
    <row r="22292" spans="65:67" ht="18.75" customHeight="1">
      <c r="BM22292" s="1025"/>
      <c r="BO22292" s="43"/>
    </row>
    <row r="22293" spans="65:67" ht="18.75" customHeight="1">
      <c r="BM22293" s="1025"/>
      <c r="BO22293" s="43"/>
    </row>
    <row r="22294" spans="65:67" ht="18.75" customHeight="1">
      <c r="BM22294" s="1025"/>
      <c r="BO22294" s="43"/>
    </row>
    <row r="22295" spans="65:67" ht="18.75" customHeight="1">
      <c r="BM22295" s="1025"/>
      <c r="BO22295" s="43"/>
    </row>
    <row r="22296" spans="65:67" ht="18.75" customHeight="1">
      <c r="BM22296" s="1025"/>
      <c r="BO22296" s="43"/>
    </row>
    <row r="22297" spans="65:67" ht="18.75" customHeight="1">
      <c r="BM22297" s="1025"/>
      <c r="BO22297" s="43"/>
    </row>
    <row r="22298" spans="65:67" ht="18.75" customHeight="1">
      <c r="BM22298" s="1025"/>
      <c r="BO22298" s="43"/>
    </row>
    <row r="22299" spans="65:67" ht="18.75" customHeight="1">
      <c r="BM22299" s="1025"/>
      <c r="BO22299" s="43"/>
    </row>
    <row r="22300" spans="65:67" ht="18.75" customHeight="1">
      <c r="BM22300" s="1025"/>
      <c r="BO22300" s="43"/>
    </row>
    <row r="22301" spans="65:67" ht="18.75" customHeight="1">
      <c r="BM22301" s="1025"/>
      <c r="BO22301" s="43"/>
    </row>
    <row r="22302" spans="65:67" ht="18.75" customHeight="1">
      <c r="BM22302" s="1025"/>
      <c r="BO22302" s="43"/>
    </row>
    <row r="22303" spans="65:67" ht="18.75" customHeight="1">
      <c r="BM22303" s="1025"/>
      <c r="BO22303" s="43"/>
    </row>
    <row r="22304" spans="65:67" ht="18.75" customHeight="1">
      <c r="BM22304" s="1025"/>
      <c r="BO22304" s="43"/>
    </row>
    <row r="22305" spans="65:67" ht="18.75" customHeight="1">
      <c r="BM22305" s="1025"/>
      <c r="BO22305" s="43"/>
    </row>
    <row r="22306" spans="65:67" ht="18.75" customHeight="1">
      <c r="BM22306" s="1025"/>
      <c r="BO22306" s="43"/>
    </row>
    <row r="22307" spans="65:67" ht="18.75" customHeight="1">
      <c r="BM22307" s="1025"/>
      <c r="BO22307" s="43"/>
    </row>
    <row r="22308" spans="65:67" ht="18.75" customHeight="1">
      <c r="BM22308" s="1025"/>
      <c r="BO22308" s="43"/>
    </row>
    <row r="22309" spans="65:67" ht="18.75" customHeight="1">
      <c r="BM22309" s="1025"/>
      <c r="BO22309" s="43"/>
    </row>
    <row r="22310" spans="65:67" ht="18.75" customHeight="1">
      <c r="BM22310" s="1025"/>
      <c r="BO22310" s="43"/>
    </row>
    <row r="22311" spans="65:67" ht="18.75" customHeight="1">
      <c r="BM22311" s="1025"/>
      <c r="BO22311" s="43"/>
    </row>
    <row r="22312" spans="65:67" ht="18.75" customHeight="1">
      <c r="BM22312" s="1025"/>
      <c r="BO22312" s="43"/>
    </row>
    <row r="22313" spans="65:67" ht="18.75" customHeight="1">
      <c r="BM22313" s="1025"/>
      <c r="BO22313" s="43"/>
    </row>
    <row r="22314" spans="65:67" ht="18.75" customHeight="1">
      <c r="BM22314" s="1025"/>
      <c r="BO22314" s="43"/>
    </row>
    <row r="22315" spans="65:67" ht="18.75" customHeight="1">
      <c r="BM22315" s="1025"/>
      <c r="BO22315" s="43"/>
    </row>
    <row r="22316" spans="65:67" ht="18.75" customHeight="1">
      <c r="BM22316" s="1025"/>
      <c r="BO22316" s="43"/>
    </row>
    <row r="22317" spans="65:67" ht="18.75" customHeight="1">
      <c r="BM22317" s="1025"/>
      <c r="BO22317" s="43"/>
    </row>
    <row r="22318" spans="65:67" ht="18.75" customHeight="1">
      <c r="BM22318" s="1025"/>
      <c r="BO22318" s="43"/>
    </row>
    <row r="22319" spans="65:67" ht="18.75" customHeight="1">
      <c r="BM22319" s="1025"/>
      <c r="BO22319" s="43"/>
    </row>
    <row r="22320" spans="65:67" ht="18.75" customHeight="1">
      <c r="BM22320" s="1025"/>
      <c r="BO22320" s="43"/>
    </row>
    <row r="22321" spans="65:67" ht="18.75" customHeight="1">
      <c r="BM22321" s="1025"/>
      <c r="BO22321" s="43"/>
    </row>
    <row r="22322" spans="65:67" ht="18.75" customHeight="1">
      <c r="BM22322" s="1025"/>
      <c r="BO22322" s="43"/>
    </row>
    <row r="22323" spans="65:67" ht="18.75" customHeight="1">
      <c r="BM22323" s="1025"/>
      <c r="BO22323" s="43"/>
    </row>
    <row r="22324" spans="65:67" ht="18.75" customHeight="1">
      <c r="BM22324" s="1025"/>
      <c r="BO22324" s="43"/>
    </row>
    <row r="22325" spans="65:67" ht="18.75" customHeight="1">
      <c r="BM22325" s="1025"/>
      <c r="BO22325" s="43"/>
    </row>
    <row r="22326" spans="65:67" ht="18.75" customHeight="1">
      <c r="BM22326" s="1025"/>
      <c r="BO22326" s="43"/>
    </row>
    <row r="22327" spans="65:67" ht="18.75" customHeight="1">
      <c r="BM22327" s="1025"/>
      <c r="BO22327" s="43"/>
    </row>
    <row r="22328" spans="65:67" ht="18.75" customHeight="1">
      <c r="BM22328" s="1025"/>
      <c r="BO22328" s="43"/>
    </row>
    <row r="22329" spans="65:67" ht="18.75" customHeight="1">
      <c r="BM22329" s="1025"/>
      <c r="BO22329" s="43"/>
    </row>
    <row r="22330" spans="65:67" ht="18.75" customHeight="1">
      <c r="BM22330" s="1025"/>
      <c r="BO22330" s="43"/>
    </row>
    <row r="22331" spans="65:67" ht="18.75" customHeight="1">
      <c r="BM22331" s="1025"/>
      <c r="BO22331" s="43"/>
    </row>
    <row r="22332" spans="65:67" ht="18.75" customHeight="1">
      <c r="BM22332" s="1025"/>
      <c r="BO22332" s="43"/>
    </row>
    <row r="22333" spans="65:67" ht="18.75" customHeight="1">
      <c r="BM22333" s="1025"/>
      <c r="BO22333" s="43"/>
    </row>
    <row r="22334" spans="65:67" ht="18.75" customHeight="1">
      <c r="BM22334" s="1025"/>
      <c r="BO22334" s="43"/>
    </row>
    <row r="22335" spans="65:67" ht="18.75" customHeight="1">
      <c r="BM22335" s="1025"/>
      <c r="BO22335" s="43"/>
    </row>
    <row r="22336" spans="65:67" ht="18.75" customHeight="1">
      <c r="BM22336" s="1025"/>
      <c r="BO22336" s="43"/>
    </row>
    <row r="22337" spans="65:67" ht="18.75" customHeight="1">
      <c r="BM22337" s="1025"/>
      <c r="BO22337" s="43"/>
    </row>
    <row r="22338" spans="65:67" ht="18.75" customHeight="1">
      <c r="BM22338" s="1025"/>
      <c r="BO22338" s="43"/>
    </row>
    <row r="22339" spans="65:67" ht="18.75" customHeight="1">
      <c r="BM22339" s="1025"/>
      <c r="BO22339" s="43"/>
    </row>
    <row r="22340" spans="65:67" ht="18.75" customHeight="1">
      <c r="BM22340" s="1025"/>
      <c r="BO22340" s="43"/>
    </row>
    <row r="22341" spans="65:67" ht="18.75" customHeight="1">
      <c r="BM22341" s="1025"/>
      <c r="BO22341" s="43"/>
    </row>
    <row r="22342" spans="65:67" ht="18.75" customHeight="1">
      <c r="BM22342" s="1025"/>
      <c r="BO22342" s="43"/>
    </row>
    <row r="22343" spans="65:67" ht="18.75" customHeight="1">
      <c r="BM22343" s="1025"/>
      <c r="BO22343" s="43"/>
    </row>
    <row r="22344" spans="65:67" ht="18.75" customHeight="1">
      <c r="BM22344" s="1025"/>
      <c r="BO22344" s="43"/>
    </row>
    <row r="22345" spans="65:67" ht="18.75" customHeight="1">
      <c r="BM22345" s="1025"/>
      <c r="BO22345" s="43"/>
    </row>
    <row r="22346" spans="65:67" ht="18.75" customHeight="1">
      <c r="BM22346" s="1025"/>
      <c r="BO22346" s="43"/>
    </row>
    <row r="22347" spans="65:67" ht="18.75" customHeight="1">
      <c r="BM22347" s="1025"/>
      <c r="BO22347" s="43"/>
    </row>
    <row r="22348" spans="65:67" ht="18.75" customHeight="1">
      <c r="BM22348" s="1025"/>
      <c r="BO22348" s="43"/>
    </row>
    <row r="22349" spans="65:67" ht="18.75" customHeight="1">
      <c r="BM22349" s="1025"/>
      <c r="BO22349" s="43"/>
    </row>
    <row r="22350" spans="65:67" ht="18.75" customHeight="1">
      <c r="BM22350" s="1025"/>
      <c r="BO22350" s="43"/>
    </row>
    <row r="22351" spans="65:67" ht="18.75" customHeight="1">
      <c r="BM22351" s="1025"/>
      <c r="BO22351" s="43"/>
    </row>
    <row r="22352" spans="65:67" ht="18.75" customHeight="1">
      <c r="BM22352" s="1025"/>
      <c r="BO22352" s="43"/>
    </row>
    <row r="22353" spans="65:67" ht="18.75" customHeight="1">
      <c r="BM22353" s="1025"/>
      <c r="BO22353" s="43"/>
    </row>
    <row r="22354" spans="65:67" ht="18.75" customHeight="1">
      <c r="BM22354" s="1025"/>
      <c r="BO22354" s="43"/>
    </row>
    <row r="22355" spans="65:67" ht="18.75" customHeight="1">
      <c r="BM22355" s="1025"/>
      <c r="BO22355" s="43"/>
    </row>
    <row r="22356" spans="65:67" ht="18.75" customHeight="1">
      <c r="BM22356" s="1025"/>
      <c r="BO22356" s="43"/>
    </row>
    <row r="22357" spans="65:67" ht="18.75" customHeight="1">
      <c r="BM22357" s="1025"/>
      <c r="BO22357" s="43"/>
    </row>
    <row r="22358" spans="65:67" ht="18.75" customHeight="1">
      <c r="BM22358" s="1025"/>
      <c r="BO22358" s="43"/>
    </row>
    <row r="22359" spans="65:67" ht="18.75" customHeight="1">
      <c r="BM22359" s="1025"/>
      <c r="BO22359" s="43"/>
    </row>
    <row r="22360" spans="65:67" ht="18.75" customHeight="1">
      <c r="BM22360" s="1025"/>
      <c r="BO22360" s="43"/>
    </row>
    <row r="22361" spans="65:67" ht="18.75" customHeight="1">
      <c r="BM22361" s="1025"/>
      <c r="BO22361" s="43"/>
    </row>
    <row r="22362" spans="65:67" ht="18.75" customHeight="1">
      <c r="BM22362" s="1025"/>
      <c r="BO22362" s="43"/>
    </row>
    <row r="22363" spans="65:67" ht="18.75" customHeight="1">
      <c r="BM22363" s="1025"/>
      <c r="BO22363" s="43"/>
    </row>
    <row r="22364" spans="65:67" ht="18.75" customHeight="1">
      <c r="BM22364" s="1025"/>
      <c r="BO22364" s="43"/>
    </row>
    <row r="22365" spans="65:67" ht="18.75" customHeight="1">
      <c r="BM22365" s="1025"/>
      <c r="BO22365" s="43"/>
    </row>
    <row r="22366" spans="65:67" ht="18.75" customHeight="1">
      <c r="BM22366" s="1025"/>
      <c r="BO22366" s="43"/>
    </row>
    <row r="22367" spans="65:67" ht="18.75" customHeight="1">
      <c r="BM22367" s="1025"/>
      <c r="BO22367" s="43"/>
    </row>
    <row r="22368" spans="65:67" ht="18.75" customHeight="1">
      <c r="BM22368" s="1025"/>
      <c r="BO22368" s="43"/>
    </row>
    <row r="22369" spans="65:67" ht="18.75" customHeight="1">
      <c r="BM22369" s="1025"/>
      <c r="BO22369" s="43"/>
    </row>
    <row r="22370" spans="65:67" ht="18.75" customHeight="1">
      <c r="BM22370" s="1025"/>
      <c r="BO22370" s="43"/>
    </row>
    <row r="22371" spans="65:67" ht="18.75" customHeight="1">
      <c r="BM22371" s="1025"/>
      <c r="BO22371" s="43"/>
    </row>
    <row r="22372" spans="65:67" ht="18.75" customHeight="1">
      <c r="BM22372" s="1025"/>
      <c r="BO22372" s="43"/>
    </row>
    <row r="22373" spans="65:67" ht="18.75" customHeight="1">
      <c r="BM22373" s="1025"/>
      <c r="BO22373" s="43"/>
    </row>
    <row r="22374" spans="65:67" ht="18.75" customHeight="1">
      <c r="BM22374" s="1025"/>
      <c r="BO22374" s="43"/>
    </row>
    <row r="22375" spans="65:67" ht="18.75" customHeight="1">
      <c r="BM22375" s="1025"/>
      <c r="BO22375" s="43"/>
    </row>
    <row r="22376" spans="65:67" ht="18.75" customHeight="1">
      <c r="BM22376" s="1025"/>
      <c r="BO22376" s="43"/>
    </row>
    <row r="22377" spans="65:67" ht="18.75" customHeight="1">
      <c r="BM22377" s="1025"/>
      <c r="BO22377" s="43"/>
    </row>
    <row r="22378" spans="65:67" ht="18.75" customHeight="1">
      <c r="BM22378" s="1025"/>
      <c r="BO22378" s="43"/>
    </row>
    <row r="22379" spans="65:67" ht="18.75" customHeight="1">
      <c r="BM22379" s="1025"/>
      <c r="BO22379" s="43"/>
    </row>
    <row r="22380" spans="65:67" ht="18.75" customHeight="1">
      <c r="BM22380" s="1025"/>
      <c r="BO22380" s="43"/>
    </row>
    <row r="22381" spans="65:67" ht="18.75" customHeight="1">
      <c r="BM22381" s="1025"/>
      <c r="BO22381" s="43"/>
    </row>
    <row r="22382" spans="65:67" ht="18.75" customHeight="1">
      <c r="BM22382" s="1025"/>
      <c r="BO22382" s="43"/>
    </row>
    <row r="22383" spans="65:67" ht="18.75" customHeight="1">
      <c r="BM22383" s="1025"/>
      <c r="BO22383" s="43"/>
    </row>
    <row r="22384" spans="65:67" ht="18.75" customHeight="1">
      <c r="BM22384" s="1025"/>
      <c r="BO22384" s="43"/>
    </row>
    <row r="22385" spans="65:67" ht="18.75" customHeight="1">
      <c r="BM22385" s="1025"/>
      <c r="BO22385" s="43"/>
    </row>
    <row r="22386" spans="65:67" ht="18.75" customHeight="1">
      <c r="BM22386" s="1025"/>
      <c r="BO22386" s="43"/>
    </row>
    <row r="22387" spans="65:67" ht="18.75" customHeight="1">
      <c r="BM22387" s="1025"/>
      <c r="BO22387" s="43"/>
    </row>
    <row r="22388" spans="65:67" ht="18.75" customHeight="1">
      <c r="BM22388" s="1025"/>
      <c r="BO22388" s="43"/>
    </row>
    <row r="22389" spans="65:67" ht="18.75" customHeight="1">
      <c r="BM22389" s="1025"/>
      <c r="BO22389" s="43"/>
    </row>
    <row r="22390" spans="65:67" ht="18.75" customHeight="1">
      <c r="BM22390" s="1025"/>
      <c r="BO22390" s="43"/>
    </row>
    <row r="22391" spans="65:67" ht="18.75" customHeight="1">
      <c r="BM22391" s="1025"/>
      <c r="BO22391" s="43"/>
    </row>
    <row r="22392" spans="65:67" ht="18.75" customHeight="1">
      <c r="BM22392" s="1025"/>
      <c r="BO22392" s="43"/>
    </row>
    <row r="22393" spans="65:67" ht="18.75" customHeight="1">
      <c r="BM22393" s="1025"/>
      <c r="BO22393" s="43"/>
    </row>
    <row r="22394" spans="65:67" ht="18.75" customHeight="1">
      <c r="BM22394" s="1025"/>
      <c r="BO22394" s="43"/>
    </row>
    <row r="22395" spans="65:67" ht="18.75" customHeight="1">
      <c r="BM22395" s="1025"/>
      <c r="BO22395" s="43"/>
    </row>
    <row r="22396" spans="65:67" ht="18.75" customHeight="1">
      <c r="BM22396" s="1025"/>
      <c r="BO22396" s="43"/>
    </row>
    <row r="22397" spans="65:67" ht="18.75" customHeight="1">
      <c r="BM22397" s="1025"/>
      <c r="BO22397" s="43"/>
    </row>
    <row r="22398" spans="65:67" ht="18.75" customHeight="1">
      <c r="BM22398" s="1025"/>
      <c r="BO22398" s="43"/>
    </row>
    <row r="22399" spans="65:67" ht="18.75" customHeight="1">
      <c r="BM22399" s="1025"/>
      <c r="BO22399" s="43"/>
    </row>
    <row r="22400" spans="65:67" ht="18.75" customHeight="1">
      <c r="BM22400" s="1025"/>
      <c r="BO22400" s="43"/>
    </row>
    <row r="22401" spans="65:67" ht="18.75" customHeight="1">
      <c r="BM22401" s="1025"/>
      <c r="BO22401" s="43"/>
    </row>
    <row r="22402" spans="65:67" ht="18.75" customHeight="1">
      <c r="BM22402" s="1025"/>
      <c r="BO22402" s="43"/>
    </row>
    <row r="22403" spans="65:67" ht="18.75" customHeight="1">
      <c r="BM22403" s="1025"/>
      <c r="BO22403" s="43"/>
    </row>
    <row r="22404" spans="65:67" ht="18.75" customHeight="1">
      <c r="BM22404" s="1025"/>
      <c r="BO22404" s="43"/>
    </row>
    <row r="22405" spans="65:67" ht="18.75" customHeight="1">
      <c r="BM22405" s="1025"/>
      <c r="BO22405" s="43"/>
    </row>
    <row r="22406" spans="65:67" ht="18.75" customHeight="1">
      <c r="BM22406" s="1025"/>
      <c r="BO22406" s="43"/>
    </row>
    <row r="22407" spans="65:67" ht="18.75" customHeight="1">
      <c r="BM22407" s="1025"/>
      <c r="BO22407" s="43"/>
    </row>
    <row r="22408" spans="65:67" ht="18.75" customHeight="1">
      <c r="BM22408" s="1025"/>
      <c r="BO22408" s="43"/>
    </row>
    <row r="22409" spans="65:67" ht="18.75" customHeight="1">
      <c r="BM22409" s="1025"/>
      <c r="BO22409" s="43"/>
    </row>
    <row r="22410" spans="65:67" ht="18.75" customHeight="1">
      <c r="BM22410" s="1025"/>
      <c r="BO22410" s="43"/>
    </row>
    <row r="22411" spans="65:67" ht="18.75" customHeight="1">
      <c r="BM22411" s="1025"/>
      <c r="BO22411" s="43"/>
    </row>
    <row r="22412" spans="65:67" ht="18.75" customHeight="1">
      <c r="BM22412" s="1025"/>
      <c r="BO22412" s="43"/>
    </row>
    <row r="22413" spans="65:67" ht="18.75" customHeight="1">
      <c r="BM22413" s="1025"/>
      <c r="BO22413" s="43"/>
    </row>
    <row r="22414" spans="65:67" ht="18.75" customHeight="1">
      <c r="BM22414" s="1025"/>
      <c r="BO22414" s="43"/>
    </row>
    <row r="22415" spans="65:67" ht="18.75" customHeight="1">
      <c r="BM22415" s="1025"/>
      <c r="BO22415" s="43"/>
    </row>
    <row r="22416" spans="65:67" ht="18.75" customHeight="1">
      <c r="BM22416" s="1025"/>
      <c r="BO22416" s="43"/>
    </row>
    <row r="22417" spans="65:67" ht="18.75" customHeight="1">
      <c r="BM22417" s="1025"/>
      <c r="BO22417" s="43"/>
    </row>
    <row r="22418" spans="65:67" ht="18.75" customHeight="1">
      <c r="BM22418" s="1025"/>
      <c r="BO22418" s="43"/>
    </row>
    <row r="22419" spans="65:67" ht="18.75" customHeight="1">
      <c r="BM22419" s="1025"/>
      <c r="BO22419" s="43"/>
    </row>
    <row r="22420" spans="65:67" ht="18.75" customHeight="1">
      <c r="BM22420" s="1025"/>
      <c r="BO22420" s="43"/>
    </row>
    <row r="22421" spans="65:67" ht="18.75" customHeight="1">
      <c r="BM22421" s="1025"/>
      <c r="BO22421" s="43"/>
    </row>
    <row r="22422" spans="65:67" ht="18.75" customHeight="1">
      <c r="BM22422" s="1025"/>
      <c r="BO22422" s="43"/>
    </row>
    <row r="22423" spans="65:67" ht="18.75" customHeight="1">
      <c r="BM22423" s="1025"/>
      <c r="BO22423" s="43"/>
    </row>
    <row r="22424" spans="65:67" ht="18.75" customHeight="1">
      <c r="BM22424" s="1025"/>
      <c r="BO22424" s="43"/>
    </row>
    <row r="22425" spans="65:67" ht="18.75" customHeight="1">
      <c r="BM22425" s="1025"/>
      <c r="BO22425" s="43"/>
    </row>
    <row r="22426" spans="65:67" ht="18.75" customHeight="1">
      <c r="BM22426" s="1025"/>
      <c r="BO22426" s="43"/>
    </row>
    <row r="22427" spans="65:67" ht="18.75" customHeight="1">
      <c r="BM22427" s="1025"/>
      <c r="BO22427" s="43"/>
    </row>
    <row r="22428" spans="65:67" ht="18.75" customHeight="1">
      <c r="BM22428" s="1025"/>
      <c r="BO22428" s="43"/>
    </row>
    <row r="22429" spans="65:67" ht="18.75" customHeight="1">
      <c r="BM22429" s="1025"/>
      <c r="BO22429" s="43"/>
    </row>
    <row r="22430" spans="65:67" ht="18.75" customHeight="1">
      <c r="BM22430" s="1025"/>
      <c r="BO22430" s="43"/>
    </row>
    <row r="22431" spans="65:67" ht="18.75" customHeight="1">
      <c r="BM22431" s="1025"/>
      <c r="BO22431" s="43"/>
    </row>
    <row r="22432" spans="65:67" ht="18.75" customHeight="1">
      <c r="BM22432" s="1025"/>
      <c r="BO22432" s="43"/>
    </row>
    <row r="22433" spans="65:67" ht="18.75" customHeight="1">
      <c r="BM22433" s="1025"/>
      <c r="BO22433" s="43"/>
    </row>
    <row r="22434" spans="65:67" ht="18.75" customHeight="1">
      <c r="BM22434" s="1025"/>
      <c r="BO22434" s="43"/>
    </row>
    <row r="22435" spans="65:67" ht="18.75" customHeight="1">
      <c r="BM22435" s="1025"/>
      <c r="BO22435" s="43"/>
    </row>
    <row r="22436" spans="65:67" ht="18.75" customHeight="1">
      <c r="BM22436" s="1025"/>
      <c r="BO22436" s="43"/>
    </row>
    <row r="22437" spans="65:67" ht="18.75" customHeight="1">
      <c r="BM22437" s="1025"/>
      <c r="BO22437" s="43"/>
    </row>
    <row r="22438" spans="65:67" ht="18.75" customHeight="1">
      <c r="BM22438" s="1025"/>
      <c r="BO22438" s="43"/>
    </row>
    <row r="22439" spans="65:67" ht="18.75" customHeight="1">
      <c r="BM22439" s="1025"/>
      <c r="BO22439" s="43"/>
    </row>
    <row r="22440" spans="65:67" ht="18.75" customHeight="1">
      <c r="BM22440" s="1025"/>
      <c r="BO22440" s="43"/>
    </row>
    <row r="22441" spans="65:67" ht="18.75" customHeight="1">
      <c r="BM22441" s="1025"/>
      <c r="BO22441" s="43"/>
    </row>
    <row r="22442" spans="65:67" ht="18.75" customHeight="1">
      <c r="BM22442" s="1025"/>
      <c r="BO22442" s="43"/>
    </row>
    <row r="22443" spans="65:67" ht="18.75" customHeight="1">
      <c r="BM22443" s="1025"/>
      <c r="BO22443" s="43"/>
    </row>
    <row r="22444" spans="65:67" ht="18.75" customHeight="1">
      <c r="BM22444" s="1025"/>
      <c r="BO22444" s="43"/>
    </row>
    <row r="22445" spans="65:67" ht="18.75" customHeight="1">
      <c r="BM22445" s="1025"/>
      <c r="BO22445" s="43"/>
    </row>
    <row r="22446" spans="65:67" ht="18.75" customHeight="1">
      <c r="BM22446" s="1025"/>
      <c r="BO22446" s="43"/>
    </row>
    <row r="22447" spans="65:67" ht="18.75" customHeight="1">
      <c r="BM22447" s="1025"/>
      <c r="BO22447" s="43"/>
    </row>
    <row r="22448" spans="65:67" ht="18.75" customHeight="1">
      <c r="BM22448" s="1025"/>
      <c r="BO22448" s="43"/>
    </row>
    <row r="22449" spans="65:67" ht="18.75" customHeight="1">
      <c r="BM22449" s="1025"/>
      <c r="BO22449" s="43"/>
    </row>
    <row r="22450" spans="65:67" ht="18.75" customHeight="1">
      <c r="BM22450" s="1025"/>
      <c r="BO22450" s="43"/>
    </row>
    <row r="22451" spans="65:67" ht="18.75" customHeight="1">
      <c r="BM22451" s="1025"/>
      <c r="BO22451" s="43"/>
    </row>
    <row r="22452" spans="65:67" ht="18.75" customHeight="1">
      <c r="BM22452" s="1025"/>
      <c r="BO22452" s="43"/>
    </row>
    <row r="22453" spans="65:67" ht="18.75" customHeight="1">
      <c r="BM22453" s="1025"/>
      <c r="BO22453" s="43"/>
    </row>
    <row r="22454" spans="65:67" ht="18.75" customHeight="1">
      <c r="BM22454" s="1025"/>
      <c r="BO22454" s="43"/>
    </row>
    <row r="22455" spans="65:67" ht="18.75" customHeight="1">
      <c r="BM22455" s="1025"/>
      <c r="BO22455" s="43"/>
    </row>
    <row r="22456" spans="65:67" ht="18.75" customHeight="1">
      <c r="BM22456" s="1025"/>
      <c r="BO22456" s="43"/>
    </row>
    <row r="22457" spans="65:67" ht="18.75" customHeight="1">
      <c r="BM22457" s="1025"/>
      <c r="BO22457" s="43"/>
    </row>
    <row r="22458" spans="65:67" ht="18.75" customHeight="1">
      <c r="BM22458" s="1025"/>
      <c r="BO22458" s="43"/>
    </row>
    <row r="22459" spans="65:67" ht="18.75" customHeight="1">
      <c r="BM22459" s="1025"/>
      <c r="BO22459" s="43"/>
    </row>
    <row r="22460" spans="65:67" ht="18.75" customHeight="1">
      <c r="BM22460" s="1025"/>
      <c r="BO22460" s="43"/>
    </row>
    <row r="22461" spans="65:67" ht="18.75" customHeight="1">
      <c r="BM22461" s="1025"/>
      <c r="BO22461" s="43"/>
    </row>
    <row r="22462" spans="65:67" ht="18.75" customHeight="1">
      <c r="BM22462" s="1025"/>
      <c r="BO22462" s="43"/>
    </row>
    <row r="22463" spans="65:67" ht="18.75" customHeight="1">
      <c r="BM22463" s="1025"/>
      <c r="BO22463" s="43"/>
    </row>
    <row r="22464" spans="65:67" ht="18.75" customHeight="1">
      <c r="BM22464" s="1025"/>
      <c r="BO22464" s="43"/>
    </row>
    <row r="22465" spans="65:67" ht="18.75" customHeight="1">
      <c r="BM22465" s="1025"/>
      <c r="BO22465" s="43"/>
    </row>
    <row r="22466" spans="65:67" ht="18.75" customHeight="1">
      <c r="BM22466" s="1025"/>
      <c r="BO22466" s="43"/>
    </row>
    <row r="22467" spans="65:67" ht="18.75" customHeight="1">
      <c r="BM22467" s="1025"/>
      <c r="BO22467" s="43"/>
    </row>
    <row r="22468" spans="65:67" ht="18.75" customHeight="1">
      <c r="BM22468" s="1025"/>
      <c r="BO22468" s="43"/>
    </row>
    <row r="22469" spans="65:67" ht="18.75" customHeight="1">
      <c r="BM22469" s="1025"/>
      <c r="BO22469" s="43"/>
    </row>
    <row r="22470" spans="65:67" ht="18.75" customHeight="1">
      <c r="BM22470" s="1025"/>
      <c r="BO22470" s="43"/>
    </row>
    <row r="22471" spans="65:67" ht="18.75" customHeight="1">
      <c r="BM22471" s="1025"/>
      <c r="BO22471" s="43"/>
    </row>
    <row r="22472" spans="65:67" ht="18.75" customHeight="1">
      <c r="BM22472" s="1025"/>
      <c r="BO22472" s="43"/>
    </row>
    <row r="22473" spans="65:67" ht="18.75" customHeight="1">
      <c r="BM22473" s="1025"/>
      <c r="BO22473" s="43"/>
    </row>
    <row r="22474" spans="65:67" ht="18.75" customHeight="1">
      <c r="BM22474" s="1025"/>
      <c r="BO22474" s="43"/>
    </row>
    <row r="22475" spans="65:67" ht="18.75" customHeight="1">
      <c r="BM22475" s="1025"/>
      <c r="BO22475" s="43"/>
    </row>
    <row r="22476" spans="65:67" ht="18.75" customHeight="1">
      <c r="BM22476" s="1025"/>
      <c r="BO22476" s="43"/>
    </row>
    <row r="22477" spans="65:67" ht="18.75" customHeight="1">
      <c r="BM22477" s="1025"/>
      <c r="BO22477" s="43"/>
    </row>
    <row r="22478" spans="65:67" ht="18.75" customHeight="1">
      <c r="BM22478" s="1025"/>
      <c r="BO22478" s="43"/>
    </row>
    <row r="22479" spans="65:67" ht="18.75" customHeight="1">
      <c r="BM22479" s="1025"/>
      <c r="BO22479" s="43"/>
    </row>
    <row r="22480" spans="65:67" ht="18.75" customHeight="1">
      <c r="BM22480" s="1025"/>
      <c r="BO22480" s="43"/>
    </row>
    <row r="22481" spans="65:67" ht="18.75" customHeight="1">
      <c r="BM22481" s="1025"/>
      <c r="BO22481" s="43"/>
    </row>
    <row r="22482" spans="65:67" ht="18.75" customHeight="1">
      <c r="BM22482" s="1025"/>
      <c r="BO22482" s="43"/>
    </row>
    <row r="22483" spans="65:67" ht="18.75" customHeight="1">
      <c r="BM22483" s="1025"/>
      <c r="BO22483" s="43"/>
    </row>
    <row r="22484" spans="65:67" ht="18.75" customHeight="1">
      <c r="BM22484" s="1025"/>
      <c r="BO22484" s="43"/>
    </row>
    <row r="22485" spans="65:67" ht="18.75" customHeight="1">
      <c r="BM22485" s="1025"/>
      <c r="BO22485" s="43"/>
    </row>
    <row r="22486" spans="65:67" ht="18.75" customHeight="1">
      <c r="BM22486" s="1025"/>
      <c r="BO22486" s="43"/>
    </row>
    <row r="22487" spans="65:67" ht="18.75" customHeight="1">
      <c r="BM22487" s="1025"/>
      <c r="BO22487" s="43"/>
    </row>
    <row r="22488" spans="65:67" ht="18.75" customHeight="1">
      <c r="BM22488" s="1025"/>
      <c r="BO22488" s="43"/>
    </row>
    <row r="22489" spans="65:67" ht="18.75" customHeight="1">
      <c r="BM22489" s="1025"/>
      <c r="BO22489" s="43"/>
    </row>
    <row r="22490" spans="65:67" ht="18.75" customHeight="1">
      <c r="BM22490" s="1025"/>
      <c r="BO22490" s="43"/>
    </row>
    <row r="22491" spans="65:67" ht="18.75" customHeight="1">
      <c r="BM22491" s="1025"/>
      <c r="BO22491" s="43"/>
    </row>
    <row r="22492" spans="65:67" ht="18.75" customHeight="1">
      <c r="BM22492" s="1025"/>
      <c r="BO22492" s="43"/>
    </row>
    <row r="22493" spans="65:67" ht="18.75" customHeight="1">
      <c r="BM22493" s="1025"/>
      <c r="BO22493" s="43"/>
    </row>
    <row r="22494" spans="65:67" ht="18.75" customHeight="1">
      <c r="BM22494" s="1025"/>
      <c r="BO22494" s="43"/>
    </row>
    <row r="22495" spans="65:67" ht="18.75" customHeight="1">
      <c r="BM22495" s="1025"/>
      <c r="BO22495" s="43"/>
    </row>
    <row r="22496" spans="65:67" ht="18.75" customHeight="1">
      <c r="BM22496" s="1025"/>
      <c r="BO22496" s="43"/>
    </row>
    <row r="22497" spans="65:67" ht="18.75" customHeight="1">
      <c r="BM22497" s="1025"/>
      <c r="BO22497" s="43"/>
    </row>
    <row r="22498" spans="65:67" ht="18.75" customHeight="1">
      <c r="BM22498" s="1025"/>
      <c r="BO22498" s="43"/>
    </row>
    <row r="22499" spans="65:67" ht="18.75" customHeight="1">
      <c r="BM22499" s="1025"/>
      <c r="BO22499" s="43"/>
    </row>
    <row r="22500" spans="65:67" ht="18.75" customHeight="1">
      <c r="BM22500" s="1025"/>
      <c r="BO22500" s="43"/>
    </row>
    <row r="22501" spans="65:67" ht="18.75" customHeight="1">
      <c r="BM22501" s="1025"/>
      <c r="BO22501" s="43"/>
    </row>
    <row r="22502" spans="65:67" ht="18.75" customHeight="1">
      <c r="BM22502" s="1025"/>
      <c r="BO22502" s="43"/>
    </row>
    <row r="22503" spans="65:67" ht="18.75" customHeight="1">
      <c r="BM22503" s="1025"/>
      <c r="BO22503" s="43"/>
    </row>
    <row r="22504" spans="65:67" ht="18.75" customHeight="1">
      <c r="BM22504" s="1025"/>
      <c r="BO22504" s="43"/>
    </row>
    <row r="22505" spans="65:67" ht="18.75" customHeight="1">
      <c r="BM22505" s="1025"/>
      <c r="BO22505" s="43"/>
    </row>
    <row r="22506" spans="65:67" ht="18.75" customHeight="1">
      <c r="BM22506" s="1025"/>
      <c r="BO22506" s="43"/>
    </row>
    <row r="22507" spans="65:67" ht="18.75" customHeight="1">
      <c r="BM22507" s="1025"/>
      <c r="BO22507" s="43"/>
    </row>
    <row r="22508" spans="65:67" ht="18.75" customHeight="1">
      <c r="BM22508" s="1025"/>
      <c r="BO22508" s="43"/>
    </row>
    <row r="22509" spans="65:67" ht="18.75" customHeight="1">
      <c r="BM22509" s="1025"/>
      <c r="BO22509" s="43"/>
    </row>
    <row r="22510" spans="65:67" ht="18.75" customHeight="1">
      <c r="BM22510" s="1025"/>
      <c r="BO22510" s="43"/>
    </row>
    <row r="22511" spans="65:67" ht="18.75" customHeight="1">
      <c r="BM22511" s="1025"/>
      <c r="BO22511" s="43"/>
    </row>
    <row r="22512" spans="65:67" ht="18.75" customHeight="1">
      <c r="BM22512" s="1025"/>
      <c r="BO22512" s="43"/>
    </row>
    <row r="22513" spans="65:67" ht="18.75" customHeight="1">
      <c r="BM22513" s="1025"/>
      <c r="BO22513" s="43"/>
    </row>
    <row r="22514" spans="65:67" ht="18.75" customHeight="1">
      <c r="BM22514" s="1025"/>
      <c r="BO22514" s="43"/>
    </row>
    <row r="22515" spans="65:67" ht="18.75" customHeight="1">
      <c r="BM22515" s="1025"/>
      <c r="BO22515" s="43"/>
    </row>
    <row r="22516" spans="65:67" ht="18.75" customHeight="1">
      <c r="BM22516" s="1025"/>
      <c r="BO22516" s="43"/>
    </row>
    <row r="22517" spans="65:67" ht="18.75" customHeight="1">
      <c r="BM22517" s="1025"/>
      <c r="BO22517" s="43"/>
    </row>
    <row r="22518" spans="65:67" ht="18.75" customHeight="1">
      <c r="BM22518" s="1025"/>
      <c r="BO22518" s="43"/>
    </row>
    <row r="22519" spans="65:67" ht="18.75" customHeight="1">
      <c r="BM22519" s="1025"/>
      <c r="BO22519" s="43"/>
    </row>
    <row r="22520" spans="65:67" ht="18.75" customHeight="1">
      <c r="BM22520" s="1025"/>
      <c r="BO22520" s="43"/>
    </row>
    <row r="22521" spans="65:67" ht="18.75" customHeight="1">
      <c r="BM22521" s="1025"/>
      <c r="BO22521" s="43"/>
    </row>
    <row r="22522" spans="65:67" ht="18.75" customHeight="1">
      <c r="BM22522" s="1025"/>
      <c r="BO22522" s="43"/>
    </row>
    <row r="22523" spans="65:67" ht="18.75" customHeight="1">
      <c r="BM22523" s="1025"/>
      <c r="BO22523" s="43"/>
    </row>
    <row r="22524" spans="65:67" ht="18.75" customHeight="1">
      <c r="BM22524" s="1025"/>
      <c r="BO22524" s="43"/>
    </row>
    <row r="22525" spans="65:67" ht="18.75" customHeight="1">
      <c r="BM22525" s="1025"/>
      <c r="BO22525" s="43"/>
    </row>
    <row r="22526" spans="65:67" ht="18.75" customHeight="1">
      <c r="BM22526" s="1025"/>
      <c r="BO22526" s="43"/>
    </row>
    <row r="22527" spans="65:67" ht="18.75" customHeight="1">
      <c r="BM22527" s="1025"/>
      <c r="BO22527" s="43"/>
    </row>
    <row r="22528" spans="65:67" ht="18.75" customHeight="1">
      <c r="BM22528" s="1025"/>
      <c r="BO22528" s="43"/>
    </row>
    <row r="22529" spans="65:67" ht="18.75" customHeight="1">
      <c r="BM22529" s="1025"/>
      <c r="BO22529" s="43"/>
    </row>
    <row r="22530" spans="65:67" ht="18.75" customHeight="1">
      <c r="BM22530" s="1025"/>
      <c r="BO22530" s="43"/>
    </row>
    <row r="22531" spans="65:67" ht="18.75" customHeight="1">
      <c r="BM22531" s="1025"/>
      <c r="BO22531" s="43"/>
    </row>
    <row r="22532" spans="65:67" ht="18.75" customHeight="1">
      <c r="BM22532" s="1025"/>
      <c r="BO22532" s="43"/>
    </row>
    <row r="22533" spans="65:67" ht="18.75" customHeight="1">
      <c r="BM22533" s="1025"/>
      <c r="BO22533" s="43"/>
    </row>
    <row r="22534" spans="65:67" ht="18.75" customHeight="1">
      <c r="BM22534" s="1025"/>
      <c r="BO22534" s="43"/>
    </row>
    <row r="22535" spans="65:67" ht="18.75" customHeight="1">
      <c r="BM22535" s="1025"/>
      <c r="BO22535" s="43"/>
    </row>
    <row r="22536" spans="65:67" ht="18.75" customHeight="1">
      <c r="BM22536" s="1025"/>
      <c r="BO22536" s="43"/>
    </row>
    <row r="22537" spans="65:67" ht="18.75" customHeight="1">
      <c r="BM22537" s="1025"/>
      <c r="BO22537" s="43"/>
    </row>
    <row r="22538" spans="65:67" ht="18.75" customHeight="1">
      <c r="BM22538" s="1025"/>
      <c r="BO22538" s="43"/>
    </row>
    <row r="22539" spans="65:67" ht="18.75" customHeight="1">
      <c r="BM22539" s="1025"/>
      <c r="BO22539" s="43"/>
    </row>
    <row r="22540" spans="65:67" ht="18.75" customHeight="1">
      <c r="BM22540" s="1025"/>
      <c r="BO22540" s="43"/>
    </row>
    <row r="22541" spans="65:67" ht="18.75" customHeight="1">
      <c r="BM22541" s="1025"/>
      <c r="BO22541" s="43"/>
    </row>
    <row r="22542" spans="65:67" ht="18.75" customHeight="1">
      <c r="BM22542" s="1025"/>
      <c r="BO22542" s="43"/>
    </row>
    <row r="22543" spans="65:67" ht="18.75" customHeight="1">
      <c r="BM22543" s="1025"/>
      <c r="BO22543" s="43"/>
    </row>
    <row r="22544" spans="65:67" ht="18.75" customHeight="1">
      <c r="BM22544" s="1025"/>
      <c r="BO22544" s="43"/>
    </row>
    <row r="22545" spans="65:67" ht="18.75" customHeight="1">
      <c r="BM22545" s="1025"/>
      <c r="BO22545" s="43"/>
    </row>
    <row r="22546" spans="65:67" ht="18.75" customHeight="1">
      <c r="BM22546" s="1025"/>
      <c r="BO22546" s="43"/>
    </row>
    <row r="22547" spans="65:67" ht="18.75" customHeight="1">
      <c r="BM22547" s="1025"/>
      <c r="BO22547" s="43"/>
    </row>
    <row r="22548" spans="65:67" ht="18.75" customHeight="1">
      <c r="BM22548" s="1025"/>
      <c r="BO22548" s="43"/>
    </row>
    <row r="22549" spans="65:67" ht="18.75" customHeight="1">
      <c r="BM22549" s="1025"/>
      <c r="BO22549" s="43"/>
    </row>
    <row r="22550" spans="65:67" ht="18.75" customHeight="1">
      <c r="BM22550" s="1025"/>
      <c r="BO22550" s="43"/>
    </row>
    <row r="22551" spans="65:67" ht="18.75" customHeight="1">
      <c r="BM22551" s="1025"/>
      <c r="BO22551" s="43"/>
    </row>
    <row r="22552" spans="65:67" ht="18.75" customHeight="1">
      <c r="BM22552" s="1025"/>
      <c r="BO22552" s="43"/>
    </row>
    <row r="22553" spans="65:67" ht="18.75" customHeight="1">
      <c r="BM22553" s="1025"/>
      <c r="BO22553" s="43"/>
    </row>
    <row r="22554" spans="65:67" ht="18.75" customHeight="1">
      <c r="BM22554" s="1025"/>
      <c r="BO22554" s="43"/>
    </row>
    <row r="22555" spans="65:67" ht="18.75" customHeight="1">
      <c r="BM22555" s="1025"/>
      <c r="BO22555" s="43"/>
    </row>
    <row r="22556" spans="65:67" ht="18.75" customHeight="1">
      <c r="BM22556" s="1025"/>
      <c r="BO22556" s="43"/>
    </row>
    <row r="22557" spans="65:67" ht="18.75" customHeight="1">
      <c r="BM22557" s="1025"/>
      <c r="BO22557" s="43"/>
    </row>
    <row r="22558" spans="65:67" ht="18.75" customHeight="1">
      <c r="BM22558" s="1025"/>
      <c r="BO22558" s="43"/>
    </row>
    <row r="22559" spans="65:67" ht="18.75" customHeight="1">
      <c r="BM22559" s="1025"/>
      <c r="BO22559" s="43"/>
    </row>
    <row r="22560" spans="65:67" ht="18.75" customHeight="1">
      <c r="BM22560" s="1025"/>
      <c r="BO22560" s="43"/>
    </row>
    <row r="22561" spans="65:67" ht="18.75" customHeight="1">
      <c r="BM22561" s="1025"/>
      <c r="BO22561" s="43"/>
    </row>
    <row r="22562" spans="65:67" ht="18.75" customHeight="1">
      <c r="BM22562" s="1025"/>
      <c r="BO22562" s="43"/>
    </row>
    <row r="22563" spans="65:67" ht="18.75" customHeight="1">
      <c r="BM22563" s="1025"/>
      <c r="BO22563" s="43"/>
    </row>
    <row r="22564" spans="65:67" ht="18.75" customHeight="1">
      <c r="BM22564" s="1025"/>
      <c r="BO22564" s="43"/>
    </row>
    <row r="22565" spans="65:67" ht="18.75" customHeight="1">
      <c r="BM22565" s="1025"/>
      <c r="BO22565" s="43"/>
    </row>
    <row r="22566" spans="65:67" ht="18.75" customHeight="1">
      <c r="BM22566" s="1025"/>
      <c r="BO22566" s="43"/>
    </row>
    <row r="22567" spans="65:67" ht="18.75" customHeight="1">
      <c r="BM22567" s="1025"/>
      <c r="BO22567" s="43"/>
    </row>
    <row r="22568" spans="65:67" ht="18.75" customHeight="1">
      <c r="BM22568" s="1025"/>
      <c r="BO22568" s="43"/>
    </row>
    <row r="22569" spans="65:67" ht="18.75" customHeight="1">
      <c r="BM22569" s="1025"/>
      <c r="BO22569" s="43"/>
    </row>
    <row r="22570" spans="65:67" ht="18.75" customHeight="1">
      <c r="BM22570" s="1025"/>
      <c r="BO22570" s="43"/>
    </row>
    <row r="22571" spans="65:67" ht="18.75" customHeight="1">
      <c r="BM22571" s="1025"/>
      <c r="BO22571" s="43"/>
    </row>
    <row r="22572" spans="65:67" ht="18.75" customHeight="1">
      <c r="BM22572" s="1025"/>
      <c r="BO22572" s="43"/>
    </row>
    <row r="22573" spans="65:67" ht="18.75" customHeight="1">
      <c r="BM22573" s="1025"/>
      <c r="BO22573" s="43"/>
    </row>
    <row r="22574" spans="65:67" ht="18.75" customHeight="1">
      <c r="BM22574" s="1025"/>
      <c r="BO22574" s="43"/>
    </row>
    <row r="22575" spans="65:67" ht="18.75" customHeight="1">
      <c r="BM22575" s="1025"/>
      <c r="BO22575" s="43"/>
    </row>
    <row r="22576" spans="65:67" ht="18.75" customHeight="1">
      <c r="BM22576" s="1025"/>
      <c r="BO22576" s="43"/>
    </row>
    <row r="22577" spans="65:67" ht="18.75" customHeight="1">
      <c r="BM22577" s="1025"/>
      <c r="BO22577" s="43"/>
    </row>
    <row r="22578" spans="65:67" ht="18.75" customHeight="1">
      <c r="BM22578" s="1025"/>
      <c r="BO22578" s="43"/>
    </row>
    <row r="22579" spans="65:67" ht="18.75" customHeight="1">
      <c r="BM22579" s="1025"/>
      <c r="BO22579" s="43"/>
    </row>
    <row r="22580" spans="65:67" ht="18.75" customHeight="1">
      <c r="BM22580" s="1025"/>
      <c r="BO22580" s="43"/>
    </row>
    <row r="22581" spans="65:67" ht="18.75" customHeight="1">
      <c r="BM22581" s="1025"/>
      <c r="BO22581" s="43"/>
    </row>
    <row r="22582" spans="65:67" ht="18.75" customHeight="1">
      <c r="BM22582" s="1025"/>
      <c r="BO22582" s="43"/>
    </row>
    <row r="22583" spans="65:67" ht="18.75" customHeight="1">
      <c r="BM22583" s="1025"/>
      <c r="BO22583" s="43"/>
    </row>
    <row r="22584" spans="65:67" ht="18.75" customHeight="1">
      <c r="BM22584" s="1025"/>
      <c r="BO22584" s="43"/>
    </row>
    <row r="22585" spans="65:67" ht="18.75" customHeight="1">
      <c r="BM22585" s="1025"/>
      <c r="BO22585" s="43"/>
    </row>
    <row r="22586" spans="65:67" ht="18.75" customHeight="1">
      <c r="BM22586" s="1025"/>
      <c r="BO22586" s="43"/>
    </row>
    <row r="22587" spans="65:67" ht="18.75" customHeight="1">
      <c r="BM22587" s="1025"/>
      <c r="BO22587" s="43"/>
    </row>
    <row r="22588" spans="65:67" ht="18.75" customHeight="1">
      <c r="BM22588" s="1025"/>
      <c r="BO22588" s="43"/>
    </row>
    <row r="22589" spans="65:67" ht="18.75" customHeight="1">
      <c r="BM22589" s="1025"/>
      <c r="BO22589" s="43"/>
    </row>
    <row r="22590" spans="65:67" ht="18.75" customHeight="1">
      <c r="BM22590" s="1025"/>
      <c r="BO22590" s="43"/>
    </row>
    <row r="22591" spans="65:67" ht="18.75" customHeight="1">
      <c r="BM22591" s="1025"/>
      <c r="BO22591" s="43"/>
    </row>
    <row r="22592" spans="65:67" ht="18.75" customHeight="1">
      <c r="BM22592" s="1025"/>
      <c r="BO22592" s="43"/>
    </row>
    <row r="22593" spans="65:67" ht="18.75" customHeight="1">
      <c r="BM22593" s="1025"/>
      <c r="BO22593" s="43"/>
    </row>
    <row r="22594" spans="65:67" ht="18.75" customHeight="1">
      <c r="BM22594" s="1025"/>
      <c r="BO22594" s="43"/>
    </row>
    <row r="22595" spans="65:67" ht="18.75" customHeight="1">
      <c r="BM22595" s="1025"/>
      <c r="BO22595" s="43"/>
    </row>
    <row r="22596" spans="65:67" ht="18.75" customHeight="1">
      <c r="BM22596" s="1025"/>
      <c r="BO22596" s="43"/>
    </row>
    <row r="22597" spans="65:67" ht="18.75" customHeight="1">
      <c r="BM22597" s="1025"/>
      <c r="BO22597" s="43"/>
    </row>
    <row r="22598" spans="65:67" ht="18.75" customHeight="1">
      <c r="BM22598" s="1025"/>
      <c r="BO22598" s="43"/>
    </row>
    <row r="22599" spans="65:67" ht="18.75" customHeight="1">
      <c r="BM22599" s="1025"/>
      <c r="BO22599" s="43"/>
    </row>
    <row r="22600" spans="65:67" ht="18.75" customHeight="1">
      <c r="BM22600" s="1025"/>
      <c r="BO22600" s="43"/>
    </row>
    <row r="22601" spans="65:67" ht="18.75" customHeight="1">
      <c r="BM22601" s="1025"/>
      <c r="BO22601" s="43"/>
    </row>
    <row r="22602" spans="65:67" ht="18.75" customHeight="1">
      <c r="BM22602" s="1025"/>
      <c r="BO22602" s="43"/>
    </row>
    <row r="22603" spans="65:67" ht="18.75" customHeight="1">
      <c r="BM22603" s="1025"/>
      <c r="BO22603" s="43"/>
    </row>
    <row r="22604" spans="65:67" ht="18.75" customHeight="1">
      <c r="BM22604" s="1025"/>
      <c r="BO22604" s="43"/>
    </row>
    <row r="22605" spans="65:67" ht="18.75" customHeight="1">
      <c r="BM22605" s="1025"/>
      <c r="BO22605" s="43"/>
    </row>
    <row r="22606" spans="65:67" ht="18.75" customHeight="1">
      <c r="BM22606" s="1025"/>
      <c r="BO22606" s="43"/>
    </row>
    <row r="22607" spans="65:67" ht="18.75" customHeight="1">
      <c r="BM22607" s="1025"/>
      <c r="BO22607" s="43"/>
    </row>
    <row r="22608" spans="65:67" ht="18.75" customHeight="1">
      <c r="BM22608" s="1025"/>
      <c r="BO22608" s="43"/>
    </row>
    <row r="22609" spans="65:67" ht="18.75" customHeight="1">
      <c r="BM22609" s="1025"/>
      <c r="BO22609" s="43"/>
    </row>
    <row r="22610" spans="65:67" ht="18.75" customHeight="1">
      <c r="BM22610" s="1025"/>
      <c r="BO22610" s="43"/>
    </row>
    <row r="22611" spans="65:67" ht="18.75" customHeight="1">
      <c r="BM22611" s="1025"/>
      <c r="BO22611" s="43"/>
    </row>
    <row r="22612" spans="65:67" ht="18.75" customHeight="1">
      <c r="BM22612" s="1025"/>
      <c r="BO22612" s="43"/>
    </row>
    <row r="22613" spans="65:67" ht="18.75" customHeight="1">
      <c r="BM22613" s="1025"/>
      <c r="BO22613" s="43"/>
    </row>
    <row r="22614" spans="65:67" ht="18.75" customHeight="1">
      <c r="BM22614" s="1025"/>
      <c r="BO22614" s="43"/>
    </row>
    <row r="22615" spans="65:67" ht="18.75" customHeight="1">
      <c r="BM22615" s="1025"/>
      <c r="BO22615" s="43"/>
    </row>
    <row r="22616" spans="65:67" ht="18.75" customHeight="1">
      <c r="BM22616" s="1025"/>
      <c r="BO22616" s="43"/>
    </row>
    <row r="22617" spans="65:67" ht="18.75" customHeight="1">
      <c r="BM22617" s="1025"/>
      <c r="BO22617" s="43"/>
    </row>
    <row r="22618" spans="65:67" ht="18.75" customHeight="1">
      <c r="BM22618" s="1025"/>
      <c r="BO22618" s="43"/>
    </row>
    <row r="22619" spans="65:67" ht="18.75" customHeight="1">
      <c r="BM22619" s="1025"/>
      <c r="BO22619" s="43"/>
    </row>
    <row r="22620" spans="65:67" ht="18.75" customHeight="1">
      <c r="BM22620" s="1025"/>
      <c r="BO22620" s="43"/>
    </row>
    <row r="22621" spans="65:67" ht="18.75" customHeight="1">
      <c r="BM22621" s="1025"/>
      <c r="BO22621" s="43"/>
    </row>
    <row r="22622" spans="65:67" ht="18.75" customHeight="1">
      <c r="BM22622" s="1025"/>
      <c r="BO22622" s="43"/>
    </row>
    <row r="22623" spans="65:67" ht="18.75" customHeight="1">
      <c r="BM22623" s="1025"/>
      <c r="BO22623" s="43"/>
    </row>
    <row r="22624" spans="65:67" ht="18.75" customHeight="1">
      <c r="BM22624" s="1025"/>
      <c r="BO22624" s="43"/>
    </row>
    <row r="22625" spans="65:67" ht="18.75" customHeight="1">
      <c r="BM22625" s="1025"/>
      <c r="BO22625" s="43"/>
    </row>
    <row r="22626" spans="65:67" ht="18.75" customHeight="1">
      <c r="BM22626" s="1025"/>
      <c r="BO22626" s="43"/>
    </row>
    <row r="22627" spans="65:67" ht="18.75" customHeight="1">
      <c r="BM22627" s="1025"/>
      <c r="BO22627" s="43"/>
    </row>
    <row r="22628" spans="65:67" ht="18.75" customHeight="1">
      <c r="BM22628" s="1025"/>
      <c r="BO22628" s="43"/>
    </row>
    <row r="22629" spans="65:67" ht="18.75" customHeight="1">
      <c r="BM22629" s="1025"/>
      <c r="BO22629" s="43"/>
    </row>
    <row r="22630" spans="65:67" ht="18.75" customHeight="1">
      <c r="BM22630" s="1025"/>
      <c r="BO22630" s="43"/>
    </row>
    <row r="22631" spans="65:67" ht="18.75" customHeight="1">
      <c r="BM22631" s="1025"/>
      <c r="BO22631" s="43"/>
    </row>
    <row r="22632" spans="65:67" ht="18.75" customHeight="1">
      <c r="BM22632" s="1025"/>
      <c r="BO22632" s="43"/>
    </row>
    <row r="22633" spans="65:67" ht="18.75" customHeight="1">
      <c r="BM22633" s="1025"/>
      <c r="BO22633" s="43"/>
    </row>
    <row r="22634" spans="65:67" ht="18.75" customHeight="1">
      <c r="BM22634" s="1025"/>
      <c r="BO22634" s="43"/>
    </row>
    <row r="22635" spans="65:67" ht="18.75" customHeight="1">
      <c r="BM22635" s="1025"/>
      <c r="BO22635" s="43"/>
    </row>
    <row r="22636" spans="65:67" ht="18.75" customHeight="1">
      <c r="BM22636" s="1025"/>
      <c r="BO22636" s="43"/>
    </row>
    <row r="22637" spans="65:67" ht="18.75" customHeight="1">
      <c r="BM22637" s="1025"/>
      <c r="BO22637" s="43"/>
    </row>
    <row r="22638" spans="65:67" ht="18.75" customHeight="1">
      <c r="BM22638" s="1025"/>
      <c r="BO22638" s="43"/>
    </row>
    <row r="22639" spans="65:67" ht="18.75" customHeight="1">
      <c r="BM22639" s="1025"/>
      <c r="BO22639" s="43"/>
    </row>
    <row r="22640" spans="65:67" ht="18.75" customHeight="1">
      <c r="BM22640" s="1025"/>
      <c r="BO22640" s="43"/>
    </row>
    <row r="22641" spans="65:67" ht="18.75" customHeight="1">
      <c r="BM22641" s="1025"/>
      <c r="BO22641" s="43"/>
    </row>
    <row r="22642" spans="65:67" ht="18.75" customHeight="1">
      <c r="BM22642" s="1025"/>
      <c r="BO22642" s="43"/>
    </row>
    <row r="22643" spans="65:67" ht="18.75" customHeight="1">
      <c r="BM22643" s="1025"/>
      <c r="BO22643" s="43"/>
    </row>
    <row r="22644" spans="65:67" ht="18.75" customHeight="1">
      <c r="BM22644" s="1025"/>
      <c r="BO22644" s="43"/>
    </row>
    <row r="22645" spans="65:67" ht="18.75" customHeight="1">
      <c r="BM22645" s="1025"/>
      <c r="BO22645" s="43"/>
    </row>
    <row r="22646" spans="65:67" ht="18.75" customHeight="1">
      <c r="BM22646" s="1025"/>
      <c r="BO22646" s="43"/>
    </row>
    <row r="22647" spans="65:67" ht="18.75" customHeight="1">
      <c r="BM22647" s="1025"/>
      <c r="BO22647" s="43"/>
    </row>
    <row r="22648" spans="65:67" ht="18.75" customHeight="1">
      <c r="BM22648" s="1025"/>
      <c r="BO22648" s="43"/>
    </row>
    <row r="22649" spans="65:67" ht="18.75" customHeight="1">
      <c r="BM22649" s="1025"/>
      <c r="BO22649" s="43"/>
    </row>
    <row r="22650" spans="65:67" ht="18.75" customHeight="1">
      <c r="BM22650" s="1025"/>
      <c r="BO22650" s="43"/>
    </row>
    <row r="22651" spans="65:67" ht="18.75" customHeight="1">
      <c r="BM22651" s="1025"/>
      <c r="BO22651" s="43"/>
    </row>
    <row r="22652" spans="65:67" ht="18.75" customHeight="1">
      <c r="BM22652" s="1025"/>
      <c r="BO22652" s="43"/>
    </row>
    <row r="22653" spans="65:67" ht="18.75" customHeight="1">
      <c r="BM22653" s="1025"/>
      <c r="BO22653" s="43"/>
    </row>
    <row r="22654" spans="65:67" ht="18.75" customHeight="1">
      <c r="BM22654" s="1025"/>
      <c r="BO22654" s="43"/>
    </row>
    <row r="22655" spans="65:67" ht="18.75" customHeight="1">
      <c r="BM22655" s="1025"/>
      <c r="BO22655" s="43"/>
    </row>
    <row r="22656" spans="65:67" ht="18.75" customHeight="1">
      <c r="BM22656" s="1025"/>
      <c r="BO22656" s="43"/>
    </row>
    <row r="22657" spans="65:67" ht="18.75" customHeight="1">
      <c r="BM22657" s="1025"/>
      <c r="BO22657" s="43"/>
    </row>
    <row r="22658" spans="65:67" ht="18.75" customHeight="1">
      <c r="BM22658" s="1025"/>
      <c r="BO22658" s="43"/>
    </row>
    <row r="22659" spans="65:67" ht="18.75" customHeight="1">
      <c r="BM22659" s="1025"/>
      <c r="BO22659" s="43"/>
    </row>
    <row r="22660" spans="65:67" ht="18.75" customHeight="1">
      <c r="BM22660" s="1025"/>
      <c r="BO22660" s="43"/>
    </row>
    <row r="22661" spans="65:67" ht="18.75" customHeight="1">
      <c r="BM22661" s="1025"/>
      <c r="BO22661" s="43"/>
    </row>
    <row r="22662" spans="65:67" ht="18.75" customHeight="1">
      <c r="BM22662" s="1025"/>
      <c r="BO22662" s="43"/>
    </row>
    <row r="22663" spans="65:67" ht="18.75" customHeight="1">
      <c r="BM22663" s="1025"/>
      <c r="BO22663" s="43"/>
    </row>
    <row r="22664" spans="65:67" ht="18.75" customHeight="1">
      <c r="BM22664" s="1025"/>
      <c r="BO22664" s="43"/>
    </row>
    <row r="22665" spans="65:67" ht="18.75" customHeight="1">
      <c r="BM22665" s="1025"/>
      <c r="BO22665" s="43"/>
    </row>
    <row r="22666" spans="65:67" ht="18.75" customHeight="1">
      <c r="BM22666" s="1025"/>
      <c r="BO22666" s="43"/>
    </row>
    <row r="22667" spans="65:67" ht="18.75" customHeight="1">
      <c r="BM22667" s="1025"/>
      <c r="BO22667" s="43"/>
    </row>
    <row r="22668" spans="65:67" ht="18.75" customHeight="1">
      <c r="BM22668" s="1025"/>
      <c r="BO22668" s="43"/>
    </row>
    <row r="22669" spans="65:67" ht="18.75" customHeight="1">
      <c r="BM22669" s="1025"/>
      <c r="BO22669" s="43"/>
    </row>
    <row r="22670" spans="65:67" ht="18.75" customHeight="1">
      <c r="BM22670" s="1025"/>
      <c r="BO22670" s="43"/>
    </row>
    <row r="22671" spans="65:67" ht="18.75" customHeight="1">
      <c r="BM22671" s="1025"/>
      <c r="BO22671" s="43"/>
    </row>
    <row r="22672" spans="65:67" ht="18.75" customHeight="1">
      <c r="BM22672" s="1025"/>
      <c r="BO22672" s="43"/>
    </row>
    <row r="22673" spans="65:67" ht="18.75" customHeight="1">
      <c r="BM22673" s="1025"/>
      <c r="BO22673" s="43"/>
    </row>
    <row r="22674" spans="65:67" ht="18.75" customHeight="1">
      <c r="BM22674" s="1025"/>
      <c r="BO22674" s="43"/>
    </row>
    <row r="22675" spans="65:67" ht="18.75" customHeight="1">
      <c r="BM22675" s="1025"/>
      <c r="BO22675" s="43"/>
    </row>
    <row r="22676" spans="65:67" ht="18.75" customHeight="1">
      <c r="BM22676" s="1025"/>
      <c r="BO22676" s="43"/>
    </row>
    <row r="22677" spans="65:67" ht="18.75" customHeight="1">
      <c r="BM22677" s="1025"/>
      <c r="BO22677" s="43"/>
    </row>
    <row r="22678" spans="65:67" ht="18.75" customHeight="1">
      <c r="BM22678" s="1025"/>
      <c r="BO22678" s="43"/>
    </row>
    <row r="22679" spans="65:67" ht="18.75" customHeight="1">
      <c r="BM22679" s="1025"/>
      <c r="BO22679" s="43"/>
    </row>
    <row r="22680" spans="65:67" ht="18.75" customHeight="1">
      <c r="BM22680" s="1025"/>
      <c r="BO22680" s="43"/>
    </row>
    <row r="22681" spans="65:67" ht="18.75" customHeight="1">
      <c r="BM22681" s="1025"/>
      <c r="BO22681" s="43"/>
    </row>
    <row r="22682" spans="65:67" ht="18.75" customHeight="1">
      <c r="BM22682" s="1025"/>
      <c r="BO22682" s="43"/>
    </row>
    <row r="22683" spans="65:67" ht="18.75" customHeight="1">
      <c r="BM22683" s="1025"/>
      <c r="BO22683" s="43"/>
    </row>
    <row r="22684" spans="65:67" ht="18.75" customHeight="1">
      <c r="BM22684" s="1025"/>
      <c r="BO22684" s="43"/>
    </row>
    <row r="22685" spans="65:67" ht="18.75" customHeight="1">
      <c r="BM22685" s="1025"/>
      <c r="BO22685" s="43"/>
    </row>
    <row r="22686" spans="65:67" ht="18.75" customHeight="1">
      <c r="BM22686" s="1025"/>
      <c r="BO22686" s="43"/>
    </row>
    <row r="22687" spans="65:67" ht="18.75" customHeight="1">
      <c r="BM22687" s="1025"/>
      <c r="BO22687" s="43"/>
    </row>
    <row r="22688" spans="65:67" ht="18.75" customHeight="1">
      <c r="BM22688" s="1025"/>
      <c r="BO22688" s="43"/>
    </row>
    <row r="22689" spans="65:67" ht="18.75" customHeight="1">
      <c r="BM22689" s="1025"/>
      <c r="BO22689" s="43"/>
    </row>
    <row r="22690" spans="65:67" ht="18.75" customHeight="1">
      <c r="BM22690" s="1025"/>
      <c r="BO22690" s="43"/>
    </row>
    <row r="22691" spans="65:67" ht="18.75" customHeight="1">
      <c r="BM22691" s="1025"/>
      <c r="BO22691" s="43"/>
    </row>
    <row r="22692" spans="65:67" ht="18.75" customHeight="1">
      <c r="BM22692" s="1025"/>
      <c r="BO22692" s="43"/>
    </row>
    <row r="22693" spans="65:67" ht="18.75" customHeight="1">
      <c r="BM22693" s="1025"/>
      <c r="BO22693" s="43"/>
    </row>
    <row r="22694" spans="65:67" ht="18.75" customHeight="1">
      <c r="BM22694" s="1025"/>
      <c r="BO22694" s="43"/>
    </row>
    <row r="22695" spans="65:67" ht="18.75" customHeight="1">
      <c r="BM22695" s="1025"/>
      <c r="BO22695" s="43"/>
    </row>
    <row r="22696" spans="65:67" ht="18.75" customHeight="1">
      <c r="BM22696" s="1025"/>
      <c r="BO22696" s="43"/>
    </row>
    <row r="22697" spans="65:67" ht="18.75" customHeight="1">
      <c r="BM22697" s="1025"/>
      <c r="BO22697" s="43"/>
    </row>
    <row r="22698" spans="65:67" ht="18.75" customHeight="1">
      <c r="BM22698" s="1025"/>
      <c r="BO22698" s="43"/>
    </row>
    <row r="22699" spans="65:67" ht="18.75" customHeight="1">
      <c r="BM22699" s="1025"/>
      <c r="BO22699" s="43"/>
    </row>
    <row r="22700" spans="65:67" ht="18.75" customHeight="1">
      <c r="BM22700" s="1025"/>
      <c r="BO22700" s="43"/>
    </row>
    <row r="22701" spans="65:67" ht="18.75" customHeight="1">
      <c r="BM22701" s="1025"/>
      <c r="BO22701" s="43"/>
    </row>
    <row r="22702" spans="65:67" ht="18.75" customHeight="1">
      <c r="BM22702" s="1025"/>
      <c r="BO22702" s="43"/>
    </row>
    <row r="22703" spans="65:67" ht="18.75" customHeight="1">
      <c r="BM22703" s="1025"/>
      <c r="BO22703" s="43"/>
    </row>
    <row r="22704" spans="65:67" ht="18.75" customHeight="1">
      <c r="BM22704" s="1025"/>
      <c r="BO22704" s="43"/>
    </row>
    <row r="22705" spans="65:67" ht="18.75" customHeight="1">
      <c r="BM22705" s="1025"/>
      <c r="BO22705" s="43"/>
    </row>
    <row r="22706" spans="65:67" ht="18.75" customHeight="1">
      <c r="BM22706" s="1025"/>
      <c r="BO22706" s="43"/>
    </row>
    <row r="22707" spans="65:67" ht="18.75" customHeight="1">
      <c r="BM22707" s="1025"/>
      <c r="BO22707" s="43"/>
    </row>
    <row r="22708" spans="65:67" ht="18.75" customHeight="1">
      <c r="BM22708" s="1025"/>
      <c r="BO22708" s="43"/>
    </row>
    <row r="22709" spans="65:67" ht="18.75" customHeight="1">
      <c r="BM22709" s="1025"/>
      <c r="BO22709" s="43"/>
    </row>
    <row r="22710" spans="65:67" ht="18.75" customHeight="1">
      <c r="BM22710" s="1025"/>
      <c r="BO22710" s="43"/>
    </row>
    <row r="22711" spans="65:67" ht="18.75" customHeight="1">
      <c r="BM22711" s="1025"/>
      <c r="BO22711" s="43"/>
    </row>
    <row r="22712" spans="65:67" ht="18.75" customHeight="1">
      <c r="BM22712" s="1025"/>
      <c r="BO22712" s="43"/>
    </row>
    <row r="22713" spans="65:67" ht="18.75" customHeight="1">
      <c r="BM22713" s="1025"/>
      <c r="BO22713" s="43"/>
    </row>
    <row r="22714" spans="65:67" ht="18.75" customHeight="1">
      <c r="BM22714" s="1025"/>
      <c r="BO22714" s="43"/>
    </row>
    <row r="22715" spans="65:67" ht="18.75" customHeight="1">
      <c r="BM22715" s="1025"/>
      <c r="BO22715" s="43"/>
    </row>
    <row r="22716" spans="65:67" ht="18.75" customHeight="1">
      <c r="BM22716" s="1025"/>
      <c r="BO22716" s="43"/>
    </row>
    <row r="22717" spans="65:67" ht="18.75" customHeight="1">
      <c r="BM22717" s="1025"/>
      <c r="BO22717" s="43"/>
    </row>
    <row r="22718" spans="65:67" ht="18.75" customHeight="1">
      <c r="BM22718" s="1025"/>
      <c r="BO22718" s="43"/>
    </row>
    <row r="22719" spans="65:67" ht="18.75" customHeight="1">
      <c r="BM22719" s="1025"/>
      <c r="BO22719" s="43"/>
    </row>
    <row r="22720" spans="65:67" ht="18.75" customHeight="1">
      <c r="BM22720" s="1025"/>
      <c r="BO22720" s="43"/>
    </row>
    <row r="22721" spans="65:67" ht="18.75" customHeight="1">
      <c r="BM22721" s="1025"/>
      <c r="BO22721" s="43"/>
    </row>
    <row r="22722" spans="65:67" ht="18.75" customHeight="1">
      <c r="BM22722" s="1025"/>
      <c r="BO22722" s="43"/>
    </row>
    <row r="22723" spans="65:67" ht="18.75" customHeight="1">
      <c r="BM22723" s="1025"/>
      <c r="BO22723" s="43"/>
    </row>
    <row r="22724" spans="65:67" ht="18.75" customHeight="1">
      <c r="BM22724" s="1025"/>
      <c r="BO22724" s="43"/>
    </row>
    <row r="22725" spans="65:67" ht="18.75" customHeight="1">
      <c r="BM22725" s="1025"/>
      <c r="BO22725" s="43"/>
    </row>
    <row r="22726" spans="65:67" ht="18.75" customHeight="1">
      <c r="BM22726" s="1025"/>
      <c r="BO22726" s="43"/>
    </row>
    <row r="22727" spans="65:67" ht="18.75" customHeight="1">
      <c r="BM22727" s="1025"/>
      <c r="BO22727" s="43"/>
    </row>
    <row r="22728" spans="65:67" ht="18.75" customHeight="1">
      <c r="BM22728" s="1025"/>
      <c r="BO22728" s="43"/>
    </row>
    <row r="22729" spans="65:67" ht="18.75" customHeight="1">
      <c r="BM22729" s="1025"/>
      <c r="BO22729" s="43"/>
    </row>
    <row r="22730" spans="65:67" ht="18.75" customHeight="1">
      <c r="BM22730" s="1025"/>
      <c r="BO22730" s="43"/>
    </row>
    <row r="22731" spans="65:67" ht="18.75" customHeight="1">
      <c r="BM22731" s="1025"/>
      <c r="BO22731" s="43"/>
    </row>
    <row r="22732" spans="65:67" ht="18.75" customHeight="1">
      <c r="BM22732" s="1025"/>
      <c r="BO22732" s="43"/>
    </row>
    <row r="22733" spans="65:67" ht="18.75" customHeight="1">
      <c r="BM22733" s="1025"/>
      <c r="BO22733" s="43"/>
    </row>
    <row r="22734" spans="65:67" ht="18.75" customHeight="1">
      <c r="BM22734" s="1025"/>
      <c r="BO22734" s="43"/>
    </row>
    <row r="22735" spans="65:67" ht="18.75" customHeight="1">
      <c r="BM22735" s="1025"/>
      <c r="BO22735" s="43"/>
    </row>
    <row r="22736" spans="65:67" ht="18.75" customHeight="1">
      <c r="BM22736" s="1025"/>
      <c r="BO22736" s="43"/>
    </row>
    <row r="22737" spans="65:67" ht="18.75" customHeight="1">
      <c r="BM22737" s="1025"/>
      <c r="BO22737" s="43"/>
    </row>
    <row r="22738" spans="65:67" ht="18.75" customHeight="1">
      <c r="BM22738" s="1025"/>
      <c r="BO22738" s="43"/>
    </row>
    <row r="22739" spans="65:67" ht="18.75" customHeight="1">
      <c r="BM22739" s="1025"/>
      <c r="BO22739" s="43"/>
    </row>
    <row r="22740" spans="65:67" ht="18.75" customHeight="1">
      <c r="BM22740" s="1025"/>
      <c r="BO22740" s="43"/>
    </row>
    <row r="22741" spans="65:67" ht="18.75" customHeight="1">
      <c r="BM22741" s="1025"/>
      <c r="BO22741" s="43"/>
    </row>
    <row r="22742" spans="65:67" ht="18.75" customHeight="1">
      <c r="BM22742" s="1025"/>
      <c r="BO22742" s="43"/>
    </row>
    <row r="22743" spans="65:67" ht="18.75" customHeight="1">
      <c r="BM22743" s="1025"/>
      <c r="BO22743" s="43"/>
    </row>
    <row r="22744" spans="65:67" ht="18.75" customHeight="1">
      <c r="BM22744" s="1025"/>
      <c r="BO22744" s="43"/>
    </row>
    <row r="22745" spans="65:67" ht="18.75" customHeight="1">
      <c r="BM22745" s="1025"/>
      <c r="BO22745" s="43"/>
    </row>
    <row r="22746" spans="65:67" ht="18.75" customHeight="1">
      <c r="BM22746" s="1025"/>
      <c r="BO22746" s="43"/>
    </row>
    <row r="22747" spans="65:67" ht="18.75" customHeight="1">
      <c r="BM22747" s="1025"/>
      <c r="BO22747" s="43"/>
    </row>
    <row r="22748" spans="65:67" ht="18.75" customHeight="1">
      <c r="BM22748" s="1025"/>
      <c r="BO22748" s="43"/>
    </row>
    <row r="22749" spans="65:67" ht="18.75" customHeight="1">
      <c r="BM22749" s="1025"/>
      <c r="BO22749" s="43"/>
    </row>
    <row r="22750" spans="65:67" ht="18.75" customHeight="1">
      <c r="BM22750" s="1025"/>
      <c r="BO22750" s="43"/>
    </row>
    <row r="22751" spans="65:67" ht="18.75" customHeight="1">
      <c r="BM22751" s="1025"/>
      <c r="BO22751" s="43"/>
    </row>
    <row r="22752" spans="65:67" ht="18.75" customHeight="1">
      <c r="BM22752" s="1025"/>
      <c r="BO22752" s="43"/>
    </row>
    <row r="22753" spans="65:67" ht="18.75" customHeight="1">
      <c r="BM22753" s="1025"/>
      <c r="BO22753" s="43"/>
    </row>
    <row r="22754" spans="65:67" ht="18.75" customHeight="1">
      <c r="BM22754" s="1025"/>
      <c r="BO22754" s="43"/>
    </row>
    <row r="22755" spans="65:67" ht="18.75" customHeight="1">
      <c r="BM22755" s="1025"/>
      <c r="BO22755" s="43"/>
    </row>
    <row r="22756" spans="65:67" ht="18.75" customHeight="1">
      <c r="BM22756" s="1025"/>
      <c r="BO22756" s="43"/>
    </row>
    <row r="22757" spans="65:67" ht="18.75" customHeight="1">
      <c r="BM22757" s="1025"/>
      <c r="BO22757" s="43"/>
    </row>
    <row r="22758" spans="65:67" ht="18.75" customHeight="1">
      <c r="BM22758" s="1025"/>
      <c r="BO22758" s="43"/>
    </row>
    <row r="22759" spans="65:67" ht="18.75" customHeight="1">
      <c r="BM22759" s="1025"/>
      <c r="BO22759" s="43"/>
    </row>
    <row r="22760" spans="65:67" ht="18.75" customHeight="1">
      <c r="BM22760" s="1025"/>
      <c r="BO22760" s="43"/>
    </row>
    <row r="22761" spans="65:67" ht="18.75" customHeight="1">
      <c r="BM22761" s="1025"/>
      <c r="BO22761" s="43"/>
    </row>
    <row r="22762" spans="65:67" ht="18.75" customHeight="1">
      <c r="BM22762" s="1025"/>
      <c r="BO22762" s="43"/>
    </row>
    <row r="22763" spans="65:67" ht="18.75" customHeight="1">
      <c r="BM22763" s="1025"/>
      <c r="BO22763" s="43"/>
    </row>
    <row r="22764" spans="65:67" ht="18.75" customHeight="1">
      <c r="BM22764" s="1025"/>
      <c r="BO22764" s="43"/>
    </row>
    <row r="22765" spans="65:67" ht="18.75" customHeight="1">
      <c r="BM22765" s="1025"/>
      <c r="BO22765" s="43"/>
    </row>
    <row r="22766" spans="65:67" ht="18.75" customHeight="1">
      <c r="BM22766" s="1025"/>
      <c r="BO22766" s="43"/>
    </row>
    <row r="22767" spans="65:67" ht="18.75" customHeight="1">
      <c r="BM22767" s="1025"/>
      <c r="BO22767" s="43"/>
    </row>
    <row r="22768" spans="65:67" ht="18.75" customHeight="1">
      <c r="BM22768" s="1025"/>
      <c r="BO22768" s="43"/>
    </row>
    <row r="22769" spans="65:67" ht="18.75" customHeight="1">
      <c r="BM22769" s="1025"/>
      <c r="BO22769" s="43"/>
    </row>
    <row r="22770" spans="65:67" ht="18.75" customHeight="1">
      <c r="BM22770" s="1025"/>
      <c r="BO22770" s="43"/>
    </row>
    <row r="22771" spans="65:67" ht="18.75" customHeight="1">
      <c r="BM22771" s="1025"/>
      <c r="BO22771" s="43"/>
    </row>
    <row r="22772" spans="65:67" ht="18.75" customHeight="1">
      <c r="BM22772" s="1025"/>
      <c r="BO22772" s="43"/>
    </row>
    <row r="22773" spans="65:67" ht="18.75" customHeight="1">
      <c r="BM22773" s="1025"/>
      <c r="BO22773" s="43"/>
    </row>
    <row r="22774" spans="65:67" ht="18.75" customHeight="1">
      <c r="BM22774" s="1025"/>
      <c r="BO22774" s="43"/>
    </row>
    <row r="22775" spans="65:67" ht="18.75" customHeight="1">
      <c r="BM22775" s="1025"/>
      <c r="BO22775" s="43"/>
    </row>
    <row r="22776" spans="65:67" ht="18.75" customHeight="1">
      <c r="BM22776" s="1025"/>
      <c r="BO22776" s="43"/>
    </row>
    <row r="22777" spans="65:67" ht="18.75" customHeight="1">
      <c r="BM22777" s="1025"/>
      <c r="BO22777" s="43"/>
    </row>
    <row r="22778" spans="65:67" ht="18.75" customHeight="1">
      <c r="BM22778" s="1025"/>
      <c r="BO22778" s="43"/>
    </row>
    <row r="22779" spans="65:67" ht="18.75" customHeight="1">
      <c r="BM22779" s="1025"/>
      <c r="BO22779" s="43"/>
    </row>
    <row r="22780" spans="65:67" ht="18.75" customHeight="1">
      <c r="BM22780" s="1025"/>
      <c r="BO22780" s="43"/>
    </row>
    <row r="22781" spans="65:67" ht="18.75" customHeight="1">
      <c r="BM22781" s="1025"/>
      <c r="BO22781" s="43"/>
    </row>
    <row r="22782" spans="65:67" ht="18.75" customHeight="1">
      <c r="BM22782" s="1025"/>
      <c r="BO22782" s="43"/>
    </row>
    <row r="22783" spans="65:67" ht="18.75" customHeight="1">
      <c r="BM22783" s="1025"/>
      <c r="BO22783" s="43"/>
    </row>
    <row r="22784" spans="65:67" ht="18.75" customHeight="1">
      <c r="BM22784" s="1025"/>
      <c r="BO22784" s="43"/>
    </row>
    <row r="22785" spans="65:67" ht="18.75" customHeight="1">
      <c r="BM22785" s="1025"/>
      <c r="BO22785" s="43"/>
    </row>
    <row r="22786" spans="65:67" ht="18.75" customHeight="1">
      <c r="BM22786" s="1025"/>
      <c r="BO22786" s="43"/>
    </row>
    <row r="22787" spans="65:67" ht="18.75" customHeight="1">
      <c r="BM22787" s="1025"/>
      <c r="BO22787" s="43"/>
    </row>
    <row r="22788" spans="65:67" ht="18.75" customHeight="1">
      <c r="BM22788" s="1025"/>
      <c r="BO22788" s="43"/>
    </row>
    <row r="22789" spans="65:67" ht="18.75" customHeight="1">
      <c r="BM22789" s="1025"/>
      <c r="BO22789" s="43"/>
    </row>
    <row r="22790" spans="65:67" ht="18.75" customHeight="1">
      <c r="BM22790" s="1025"/>
      <c r="BO22790" s="43"/>
    </row>
    <row r="22791" spans="65:67" ht="18.75" customHeight="1">
      <c r="BM22791" s="1025"/>
      <c r="BO22791" s="43"/>
    </row>
    <row r="22792" spans="65:67" ht="18.75" customHeight="1">
      <c r="BM22792" s="1025"/>
      <c r="BO22792" s="43"/>
    </row>
    <row r="22793" spans="65:67" ht="18.75" customHeight="1">
      <c r="BM22793" s="1025"/>
      <c r="BO22793" s="43"/>
    </row>
    <row r="22794" spans="65:67" ht="18.75" customHeight="1">
      <c r="BM22794" s="1025"/>
      <c r="BO22794" s="43"/>
    </row>
    <row r="22795" spans="65:67" ht="18.75" customHeight="1">
      <c r="BM22795" s="1025"/>
      <c r="BO22795" s="43"/>
    </row>
    <row r="22796" spans="65:67" ht="18.75" customHeight="1">
      <c r="BM22796" s="1025"/>
      <c r="BO22796" s="43"/>
    </row>
    <row r="22797" spans="65:67" ht="18.75" customHeight="1">
      <c r="BM22797" s="1025"/>
      <c r="BO22797" s="43"/>
    </row>
    <row r="22798" spans="65:67" ht="18.75" customHeight="1">
      <c r="BM22798" s="1025"/>
      <c r="BO22798" s="43"/>
    </row>
    <row r="22799" spans="65:67" ht="18.75" customHeight="1">
      <c r="BM22799" s="1025"/>
      <c r="BO22799" s="43"/>
    </row>
    <row r="22800" spans="65:67" ht="18.75" customHeight="1">
      <c r="BM22800" s="1025"/>
      <c r="BO22800" s="43"/>
    </row>
    <row r="22801" spans="65:67" ht="18.75" customHeight="1">
      <c r="BM22801" s="1025"/>
      <c r="BO22801" s="43"/>
    </row>
    <row r="22802" spans="65:67" ht="18.75" customHeight="1">
      <c r="BM22802" s="1025"/>
      <c r="BO22802" s="43"/>
    </row>
    <row r="22803" spans="65:67" ht="18.75" customHeight="1">
      <c r="BM22803" s="1025"/>
      <c r="BO22803" s="43"/>
    </row>
    <row r="22804" spans="65:67" ht="18.75" customHeight="1">
      <c r="BM22804" s="1025"/>
      <c r="BO22804" s="43"/>
    </row>
    <row r="22805" spans="65:67" ht="18.75" customHeight="1">
      <c r="BM22805" s="1025"/>
      <c r="BO22805" s="43"/>
    </row>
    <row r="22806" spans="65:67" ht="18.75" customHeight="1">
      <c r="BM22806" s="1025"/>
      <c r="BO22806" s="43"/>
    </row>
    <row r="22807" spans="65:67" ht="18.75" customHeight="1">
      <c r="BM22807" s="1025"/>
      <c r="BO22807" s="43"/>
    </row>
    <row r="22808" spans="65:67" ht="18.75" customHeight="1">
      <c r="BM22808" s="1025"/>
      <c r="BO22808" s="43"/>
    </row>
    <row r="22809" spans="65:67" ht="18.75" customHeight="1">
      <c r="BM22809" s="1025"/>
      <c r="BO22809" s="43"/>
    </row>
    <row r="22810" spans="65:67" ht="18.75" customHeight="1">
      <c r="BM22810" s="1025"/>
      <c r="BO22810" s="43"/>
    </row>
    <row r="22811" spans="65:67" ht="18.75" customHeight="1">
      <c r="BM22811" s="1025"/>
      <c r="BO22811" s="43"/>
    </row>
    <row r="22812" spans="65:67" ht="18.75" customHeight="1">
      <c r="BM22812" s="1025"/>
      <c r="BO22812" s="43"/>
    </row>
    <row r="22813" spans="65:67" ht="18.75" customHeight="1">
      <c r="BM22813" s="1025"/>
      <c r="BO22813" s="43"/>
    </row>
    <row r="22814" spans="65:67" ht="18.75" customHeight="1">
      <c r="BM22814" s="1025"/>
      <c r="BO22814" s="43"/>
    </row>
    <row r="22815" spans="65:67" ht="18.75" customHeight="1">
      <c r="BM22815" s="1025"/>
      <c r="BO22815" s="43"/>
    </row>
    <row r="22816" spans="65:67" ht="18.75" customHeight="1">
      <c r="BM22816" s="1025"/>
      <c r="BO22816" s="43"/>
    </row>
    <row r="22817" spans="65:67" ht="18.75" customHeight="1">
      <c r="BM22817" s="1025"/>
      <c r="BO22817" s="43"/>
    </row>
    <row r="22818" spans="65:67" ht="18.75" customHeight="1">
      <c r="BM22818" s="1025"/>
      <c r="BO22818" s="43"/>
    </row>
    <row r="22819" spans="65:67" ht="18.75" customHeight="1">
      <c r="BM22819" s="1025"/>
      <c r="BO22819" s="43"/>
    </row>
    <row r="22820" spans="65:67" ht="18.75" customHeight="1">
      <c r="BM22820" s="1025"/>
      <c r="BO22820" s="43"/>
    </row>
    <row r="22821" spans="65:67" ht="18.75" customHeight="1">
      <c r="BM22821" s="1025"/>
      <c r="BO22821" s="43"/>
    </row>
    <row r="22822" spans="65:67" ht="18.75" customHeight="1">
      <c r="BM22822" s="1025"/>
      <c r="BO22822" s="43"/>
    </row>
    <row r="22823" spans="65:67" ht="18.75" customHeight="1">
      <c r="BM22823" s="1025"/>
      <c r="BO22823" s="43"/>
    </row>
    <row r="22824" spans="65:67" ht="18.75" customHeight="1">
      <c r="BM22824" s="1025"/>
      <c r="BO22824" s="43"/>
    </row>
    <row r="22825" spans="65:67" ht="18.75" customHeight="1">
      <c r="BM22825" s="1025"/>
      <c r="BO22825" s="43"/>
    </row>
    <row r="22826" spans="65:67" ht="18.75" customHeight="1">
      <c r="BM22826" s="1025"/>
      <c r="BO22826" s="43"/>
    </row>
    <row r="22827" spans="65:67" ht="18.75" customHeight="1">
      <c r="BM22827" s="1025"/>
      <c r="BO22827" s="43"/>
    </row>
    <row r="22828" spans="65:67" ht="18.75" customHeight="1">
      <c r="BM22828" s="1025"/>
      <c r="BO22828" s="43"/>
    </row>
    <row r="22829" spans="65:67" ht="18.75" customHeight="1">
      <c r="BM22829" s="1025"/>
      <c r="BO22829" s="43"/>
    </row>
    <row r="22830" spans="65:67" ht="18.75" customHeight="1">
      <c r="BM22830" s="1025"/>
      <c r="BO22830" s="43"/>
    </row>
    <row r="22831" spans="65:67" ht="18.75" customHeight="1">
      <c r="BM22831" s="1025"/>
      <c r="BO22831" s="43"/>
    </row>
    <row r="22832" spans="65:67" ht="18.75" customHeight="1">
      <c r="BM22832" s="1025"/>
      <c r="BO22832" s="43"/>
    </row>
    <row r="22833" spans="65:67" ht="18.75" customHeight="1">
      <c r="BM22833" s="1025"/>
      <c r="BO22833" s="43"/>
    </row>
    <row r="22834" spans="65:67" ht="18.75" customHeight="1">
      <c r="BM22834" s="1025"/>
      <c r="BO22834" s="43"/>
    </row>
    <row r="22835" spans="65:67" ht="18.75" customHeight="1">
      <c r="BM22835" s="1025"/>
      <c r="BO22835" s="43"/>
    </row>
    <row r="22836" spans="65:67" ht="18.75" customHeight="1">
      <c r="BM22836" s="1025"/>
      <c r="BO22836" s="43"/>
    </row>
    <row r="22837" spans="65:67" ht="18.75" customHeight="1">
      <c r="BM22837" s="1025"/>
      <c r="BO22837" s="43"/>
    </row>
    <row r="22838" spans="65:67" ht="18.75" customHeight="1">
      <c r="BM22838" s="1025"/>
      <c r="BO22838" s="43"/>
    </row>
    <row r="22839" spans="65:67" ht="18.75" customHeight="1">
      <c r="BM22839" s="1025"/>
      <c r="BO22839" s="43"/>
    </row>
    <row r="22840" spans="65:67" ht="18.75" customHeight="1">
      <c r="BM22840" s="1025"/>
      <c r="BO22840" s="43"/>
    </row>
    <row r="22841" spans="65:67" ht="18.75" customHeight="1">
      <c r="BM22841" s="1025"/>
      <c r="BO22841" s="43"/>
    </row>
    <row r="22842" spans="65:67" ht="18.75" customHeight="1">
      <c r="BM22842" s="1025"/>
      <c r="BO22842" s="43"/>
    </row>
    <row r="22843" spans="65:67" ht="18.75" customHeight="1">
      <c r="BM22843" s="1025"/>
      <c r="BO22843" s="43"/>
    </row>
    <row r="22844" spans="65:67" ht="18.75" customHeight="1">
      <c r="BM22844" s="1025"/>
      <c r="BO22844" s="43"/>
    </row>
    <row r="22845" spans="65:67" ht="18.75" customHeight="1">
      <c r="BM22845" s="1025"/>
      <c r="BO22845" s="43"/>
    </row>
    <row r="22846" spans="65:67" ht="18.75" customHeight="1">
      <c r="BM22846" s="1025"/>
      <c r="BO22846" s="43"/>
    </row>
    <row r="22847" spans="65:67" ht="18.75" customHeight="1">
      <c r="BM22847" s="1025"/>
      <c r="BO22847" s="43"/>
    </row>
    <row r="22848" spans="65:67" ht="18.75" customHeight="1">
      <c r="BM22848" s="1025"/>
      <c r="BO22848" s="43"/>
    </row>
    <row r="22849" spans="65:67" ht="18.75" customHeight="1">
      <c r="BM22849" s="1025"/>
      <c r="BO22849" s="43"/>
    </row>
    <row r="22850" spans="65:67" ht="18.75" customHeight="1">
      <c r="BM22850" s="1025"/>
      <c r="BO22850" s="43"/>
    </row>
    <row r="22851" spans="65:67" ht="18.75" customHeight="1">
      <c r="BM22851" s="1025"/>
      <c r="BO22851" s="43"/>
    </row>
    <row r="22852" spans="65:67" ht="18.75" customHeight="1">
      <c r="BM22852" s="1025"/>
      <c r="BO22852" s="43"/>
    </row>
    <row r="22853" spans="65:67" ht="18.75" customHeight="1">
      <c r="BM22853" s="1025"/>
      <c r="BO22853" s="43"/>
    </row>
    <row r="22854" spans="65:67" ht="18.75" customHeight="1">
      <c r="BM22854" s="1025"/>
      <c r="BO22854" s="43"/>
    </row>
    <row r="22855" spans="65:67" ht="18.75" customHeight="1">
      <c r="BM22855" s="1025"/>
      <c r="BO22855" s="43"/>
    </row>
    <row r="22856" spans="65:67" ht="18.75" customHeight="1">
      <c r="BM22856" s="1025"/>
      <c r="BO22856" s="43"/>
    </row>
    <row r="22857" spans="65:67" ht="18.75" customHeight="1">
      <c r="BM22857" s="1025"/>
      <c r="BO22857" s="43"/>
    </row>
    <row r="22858" spans="65:67" ht="18.75" customHeight="1">
      <c r="BM22858" s="1025"/>
      <c r="BO22858" s="43"/>
    </row>
    <row r="22859" spans="65:67" ht="18.75" customHeight="1">
      <c r="BM22859" s="1025"/>
      <c r="BO22859" s="43"/>
    </row>
    <row r="22860" spans="65:67" ht="18.75" customHeight="1">
      <c r="BM22860" s="1025"/>
      <c r="BO22860" s="43"/>
    </row>
    <row r="22861" spans="65:67" ht="18.75" customHeight="1">
      <c r="BM22861" s="1025"/>
      <c r="BO22861" s="43"/>
    </row>
    <row r="22862" spans="65:67" ht="18.75" customHeight="1">
      <c r="BM22862" s="1025"/>
      <c r="BO22862" s="43"/>
    </row>
    <row r="22863" spans="65:67" ht="18.75" customHeight="1">
      <c r="BM22863" s="1025"/>
      <c r="BO22863" s="43"/>
    </row>
    <row r="22864" spans="65:67" ht="18.75" customHeight="1">
      <c r="BM22864" s="1025"/>
      <c r="BO22864" s="43"/>
    </row>
    <row r="22865" spans="65:67" ht="18.75" customHeight="1">
      <c r="BM22865" s="1025"/>
      <c r="BO22865" s="43"/>
    </row>
    <row r="22866" spans="65:67" ht="18.75" customHeight="1">
      <c r="BM22866" s="1025"/>
      <c r="BO22866" s="43"/>
    </row>
    <row r="22867" spans="65:67" ht="18.75" customHeight="1">
      <c r="BM22867" s="1025"/>
      <c r="BO22867" s="43"/>
    </row>
    <row r="22868" spans="65:67" ht="18.75" customHeight="1">
      <c r="BM22868" s="1025"/>
      <c r="BO22868" s="43"/>
    </row>
    <row r="22869" spans="65:67" ht="18.75" customHeight="1">
      <c r="BM22869" s="1025"/>
      <c r="BO22869" s="43"/>
    </row>
    <row r="22870" spans="65:67" ht="18.75" customHeight="1">
      <c r="BM22870" s="1025"/>
      <c r="BO22870" s="43"/>
    </row>
    <row r="22871" spans="65:67" ht="18.75" customHeight="1">
      <c r="BM22871" s="1025"/>
      <c r="BO22871" s="43"/>
    </row>
    <row r="22872" spans="65:67" ht="18.75" customHeight="1">
      <c r="BM22872" s="1025"/>
      <c r="BO22872" s="43"/>
    </row>
    <row r="22873" spans="65:67" ht="18.75" customHeight="1">
      <c r="BM22873" s="1025"/>
      <c r="BO22873" s="43"/>
    </row>
    <row r="22874" spans="65:67" ht="18.75" customHeight="1">
      <c r="BM22874" s="1025"/>
      <c r="BO22874" s="43"/>
    </row>
    <row r="22875" spans="65:67" ht="18.75" customHeight="1">
      <c r="BM22875" s="1025"/>
      <c r="BO22875" s="43"/>
    </row>
    <row r="22876" spans="65:67" ht="18.75" customHeight="1">
      <c r="BM22876" s="1025"/>
      <c r="BO22876" s="43"/>
    </row>
    <row r="22877" spans="65:67" ht="18.75" customHeight="1">
      <c r="BM22877" s="1025"/>
      <c r="BO22877" s="43"/>
    </row>
    <row r="22878" spans="65:67" ht="18.75" customHeight="1">
      <c r="BM22878" s="1025"/>
      <c r="BO22878" s="43"/>
    </row>
    <row r="22879" spans="65:67" ht="18.75" customHeight="1">
      <c r="BM22879" s="1025"/>
      <c r="BO22879" s="43"/>
    </row>
    <row r="22880" spans="65:67" ht="18.75" customHeight="1">
      <c r="BM22880" s="1025"/>
      <c r="BO22880" s="43"/>
    </row>
    <row r="22881" spans="65:67" ht="18.75" customHeight="1">
      <c r="BM22881" s="1025"/>
      <c r="BO22881" s="43"/>
    </row>
    <row r="22882" spans="65:67" ht="18.75" customHeight="1">
      <c r="BM22882" s="1025"/>
      <c r="BO22882" s="43"/>
    </row>
    <row r="22883" spans="65:67" ht="18.75" customHeight="1">
      <c r="BM22883" s="1025"/>
      <c r="BO22883" s="43"/>
    </row>
    <row r="22884" spans="65:67" ht="18.75" customHeight="1">
      <c r="BM22884" s="1025"/>
      <c r="BO22884" s="43"/>
    </row>
    <row r="22885" spans="65:67" ht="18.75" customHeight="1">
      <c r="BM22885" s="1025"/>
      <c r="BO22885" s="43"/>
    </row>
    <row r="22886" spans="65:67" ht="18.75" customHeight="1">
      <c r="BM22886" s="1025"/>
      <c r="BO22886" s="43"/>
    </row>
    <row r="22887" spans="65:67" ht="18.75" customHeight="1">
      <c r="BM22887" s="1025"/>
      <c r="BO22887" s="43"/>
    </row>
    <row r="22888" spans="65:67" ht="18.75" customHeight="1">
      <c r="BM22888" s="1025"/>
      <c r="BO22888" s="43"/>
    </row>
    <row r="22889" spans="65:67" ht="18.75" customHeight="1">
      <c r="BM22889" s="1025"/>
      <c r="BO22889" s="43"/>
    </row>
    <row r="22890" spans="65:67" ht="18.75" customHeight="1">
      <c r="BM22890" s="1025"/>
      <c r="BO22890" s="43"/>
    </row>
    <row r="22891" spans="65:67" ht="18.75" customHeight="1">
      <c r="BM22891" s="1025"/>
      <c r="BO22891" s="43"/>
    </row>
    <row r="22892" spans="65:67" ht="18.75" customHeight="1">
      <c r="BM22892" s="1025"/>
      <c r="BO22892" s="43"/>
    </row>
    <row r="22893" spans="65:67" ht="18.75" customHeight="1">
      <c r="BM22893" s="1025"/>
      <c r="BO22893" s="43"/>
    </row>
    <row r="22894" spans="65:67" ht="18.75" customHeight="1">
      <c r="BM22894" s="1025"/>
      <c r="BO22894" s="43"/>
    </row>
    <row r="22895" spans="65:67" ht="18.75" customHeight="1">
      <c r="BM22895" s="1025"/>
      <c r="BO22895" s="43"/>
    </row>
    <row r="22896" spans="65:67" ht="18.75" customHeight="1">
      <c r="BM22896" s="1025"/>
      <c r="BO22896" s="43"/>
    </row>
    <row r="22897" spans="65:67" ht="18.75" customHeight="1">
      <c r="BM22897" s="1025"/>
      <c r="BO22897" s="43"/>
    </row>
    <row r="22898" spans="65:67" ht="18.75" customHeight="1">
      <c r="BM22898" s="1025"/>
      <c r="BO22898" s="43"/>
    </row>
    <row r="22899" spans="65:67" ht="18.75" customHeight="1">
      <c r="BM22899" s="1025"/>
      <c r="BO22899" s="43"/>
    </row>
    <row r="22900" spans="65:67" ht="18.75" customHeight="1">
      <c r="BM22900" s="1025"/>
      <c r="BO22900" s="43"/>
    </row>
    <row r="22901" spans="65:67" ht="18.75" customHeight="1">
      <c r="BM22901" s="1025"/>
      <c r="BO22901" s="43"/>
    </row>
    <row r="22902" spans="65:67" ht="18.75" customHeight="1">
      <c r="BM22902" s="1025"/>
      <c r="BO22902" s="43"/>
    </row>
    <row r="22903" spans="65:67" ht="18.75" customHeight="1">
      <c r="BM22903" s="1025"/>
      <c r="BO22903" s="43"/>
    </row>
    <row r="22904" spans="65:67" ht="18.75" customHeight="1">
      <c r="BM22904" s="1025"/>
      <c r="BO22904" s="43"/>
    </row>
    <row r="22905" spans="65:67" ht="18.75" customHeight="1">
      <c r="BM22905" s="1025"/>
      <c r="BO22905" s="43"/>
    </row>
    <row r="22906" spans="65:67" ht="18.75" customHeight="1">
      <c r="BM22906" s="1025"/>
      <c r="BO22906" s="43"/>
    </row>
    <row r="22907" spans="65:67" ht="18.75" customHeight="1">
      <c r="BM22907" s="1025"/>
      <c r="BO22907" s="43"/>
    </row>
    <row r="22908" spans="65:67" ht="18.75" customHeight="1">
      <c r="BM22908" s="1025"/>
      <c r="BO22908" s="43"/>
    </row>
    <row r="22909" spans="65:67" ht="18.75" customHeight="1">
      <c r="BM22909" s="1025"/>
      <c r="BO22909" s="43"/>
    </row>
    <row r="22910" spans="65:67" ht="18.75" customHeight="1">
      <c r="BM22910" s="1025"/>
      <c r="BO22910" s="43"/>
    </row>
    <row r="22911" spans="65:67" ht="18.75" customHeight="1">
      <c r="BM22911" s="1025"/>
      <c r="BO22911" s="43"/>
    </row>
    <row r="22912" spans="65:67" ht="18.75" customHeight="1">
      <c r="BM22912" s="1025"/>
      <c r="BO22912" s="43"/>
    </row>
    <row r="22913" spans="65:67" ht="18.75" customHeight="1">
      <c r="BM22913" s="1025"/>
      <c r="BO22913" s="43"/>
    </row>
    <row r="22914" spans="65:67" ht="18.75" customHeight="1">
      <c r="BM22914" s="1025"/>
      <c r="BO22914" s="43"/>
    </row>
    <row r="22915" spans="65:67" ht="18.75" customHeight="1">
      <c r="BM22915" s="1025"/>
      <c r="BO22915" s="43"/>
    </row>
    <row r="22916" spans="65:67" ht="18.75" customHeight="1">
      <c r="BM22916" s="1025"/>
      <c r="BO22916" s="43"/>
    </row>
    <row r="22917" spans="65:67" ht="18.75" customHeight="1">
      <c r="BM22917" s="1025"/>
      <c r="BO22917" s="43"/>
    </row>
    <row r="22918" spans="65:67" ht="18.75" customHeight="1">
      <c r="BM22918" s="1025"/>
      <c r="BO22918" s="43"/>
    </row>
    <row r="22919" spans="65:67" ht="18.75" customHeight="1">
      <c r="BM22919" s="1025"/>
      <c r="BO22919" s="43"/>
    </row>
    <row r="22920" spans="65:67" ht="18.75" customHeight="1">
      <c r="BM22920" s="1025"/>
      <c r="BO22920" s="43"/>
    </row>
    <row r="22921" spans="65:67" ht="18.75" customHeight="1">
      <c r="BM22921" s="1025"/>
      <c r="BO22921" s="43"/>
    </row>
    <row r="22922" spans="65:67" ht="18.75" customHeight="1">
      <c r="BM22922" s="1025"/>
      <c r="BO22922" s="43"/>
    </row>
    <row r="22923" spans="65:67" ht="18.75" customHeight="1">
      <c r="BM22923" s="1025"/>
      <c r="BO22923" s="43"/>
    </row>
    <row r="22924" spans="65:67" ht="18.75" customHeight="1">
      <c r="BM22924" s="1025"/>
      <c r="BO22924" s="43"/>
    </row>
    <row r="22925" spans="65:67" ht="18.75" customHeight="1">
      <c r="BM22925" s="1025"/>
      <c r="BO22925" s="43"/>
    </row>
    <row r="22926" spans="65:67" ht="18.75" customHeight="1">
      <c r="BM22926" s="1025"/>
      <c r="BO22926" s="43"/>
    </row>
    <row r="22927" spans="65:67" ht="18.75" customHeight="1">
      <c r="BM22927" s="1025"/>
      <c r="BO22927" s="43"/>
    </row>
    <row r="22928" spans="65:67" ht="18.75" customHeight="1">
      <c r="BM22928" s="1025"/>
      <c r="BO22928" s="43"/>
    </row>
    <row r="22929" spans="65:67" ht="18.75" customHeight="1">
      <c r="BM22929" s="1025"/>
      <c r="BO22929" s="43"/>
    </row>
    <row r="22930" spans="65:67" ht="18.75" customHeight="1">
      <c r="BM22930" s="1025"/>
      <c r="BO22930" s="43"/>
    </row>
    <row r="22931" spans="65:67" ht="18.75" customHeight="1">
      <c r="BM22931" s="1025"/>
      <c r="BO22931" s="43"/>
    </row>
    <row r="22932" spans="65:67" ht="18.75" customHeight="1">
      <c r="BM22932" s="1025"/>
      <c r="BO22932" s="43"/>
    </row>
    <row r="22933" spans="65:67" ht="18.75" customHeight="1">
      <c r="BM22933" s="1025"/>
      <c r="BO22933" s="43"/>
    </row>
    <row r="22934" spans="65:67" ht="18.75" customHeight="1">
      <c r="BM22934" s="1025"/>
      <c r="BO22934" s="43"/>
    </row>
    <row r="22935" spans="65:67" ht="18.75" customHeight="1">
      <c r="BM22935" s="1025"/>
      <c r="BO22935" s="43"/>
    </row>
    <row r="22936" spans="65:67" ht="18.75" customHeight="1">
      <c r="BM22936" s="1025"/>
      <c r="BO22936" s="43"/>
    </row>
    <row r="22937" spans="65:67" ht="18.75" customHeight="1">
      <c r="BM22937" s="1025"/>
      <c r="BO22937" s="43"/>
    </row>
    <row r="22938" spans="65:67" ht="18.75" customHeight="1">
      <c r="BM22938" s="1025"/>
      <c r="BO22938" s="43"/>
    </row>
    <row r="22939" spans="65:67" ht="18.75" customHeight="1">
      <c r="BM22939" s="1025"/>
      <c r="BO22939" s="43"/>
    </row>
    <row r="22940" spans="65:67" ht="18.75" customHeight="1">
      <c r="BM22940" s="1025"/>
      <c r="BO22940" s="43"/>
    </row>
    <row r="22941" spans="65:67" ht="18.75" customHeight="1">
      <c r="BM22941" s="1025"/>
      <c r="BO22941" s="43"/>
    </row>
    <row r="22942" spans="65:67" ht="18.75" customHeight="1">
      <c r="BM22942" s="1025"/>
      <c r="BO22942" s="43"/>
    </row>
    <row r="22943" spans="65:67" ht="18.75" customHeight="1">
      <c r="BM22943" s="1025"/>
      <c r="BO22943" s="43"/>
    </row>
    <row r="22944" spans="65:67" ht="18.75" customHeight="1">
      <c r="BM22944" s="1025"/>
      <c r="BO22944" s="43"/>
    </row>
    <row r="22945" spans="65:67" ht="18.75" customHeight="1">
      <c r="BM22945" s="1025"/>
      <c r="BO22945" s="43"/>
    </row>
    <row r="22946" spans="65:67" ht="18.75" customHeight="1">
      <c r="BM22946" s="1025"/>
      <c r="BO22946" s="43"/>
    </row>
    <row r="22947" spans="65:67" ht="18.75" customHeight="1">
      <c r="BM22947" s="1025"/>
      <c r="BO22947" s="43"/>
    </row>
    <row r="22948" spans="65:67" ht="18.75" customHeight="1">
      <c r="BM22948" s="1025"/>
      <c r="BO22948" s="43"/>
    </row>
    <row r="22949" spans="65:67" ht="18.75" customHeight="1">
      <c r="BM22949" s="1025"/>
      <c r="BO22949" s="43"/>
    </row>
    <row r="22950" spans="65:67" ht="18.75" customHeight="1">
      <c r="BM22950" s="1025"/>
      <c r="BO22950" s="43"/>
    </row>
    <row r="22951" spans="65:67" ht="18.75" customHeight="1">
      <c r="BM22951" s="1025"/>
      <c r="BO22951" s="43"/>
    </row>
    <row r="22952" spans="65:67" ht="18.75" customHeight="1">
      <c r="BM22952" s="1025"/>
      <c r="BO22952" s="43"/>
    </row>
    <row r="22953" spans="65:67" ht="18.75" customHeight="1">
      <c r="BM22953" s="1025"/>
      <c r="BO22953" s="43"/>
    </row>
    <row r="22954" spans="65:67" ht="18.75" customHeight="1">
      <c r="BM22954" s="1025"/>
      <c r="BO22954" s="43"/>
    </row>
    <row r="22955" spans="65:67" ht="18.75" customHeight="1">
      <c r="BM22955" s="1025"/>
      <c r="BO22955" s="43"/>
    </row>
    <row r="22956" spans="65:67" ht="18.75" customHeight="1">
      <c r="BM22956" s="1025"/>
      <c r="BO22956" s="43"/>
    </row>
    <row r="22957" spans="65:67" ht="18.75" customHeight="1">
      <c r="BM22957" s="1025"/>
      <c r="BO22957" s="43"/>
    </row>
    <row r="22958" spans="65:67" ht="18.75" customHeight="1">
      <c r="BM22958" s="1025"/>
      <c r="BO22958" s="43"/>
    </row>
    <row r="22959" spans="65:67" ht="18.75" customHeight="1">
      <c r="BM22959" s="1025"/>
      <c r="BO22959" s="43"/>
    </row>
    <row r="22960" spans="65:67" ht="18.75" customHeight="1">
      <c r="BM22960" s="1025"/>
      <c r="BO22960" s="43"/>
    </row>
    <row r="22961" spans="65:67" ht="18.75" customHeight="1">
      <c r="BM22961" s="1025"/>
      <c r="BO22961" s="43"/>
    </row>
    <row r="22962" spans="65:67" ht="18.75" customHeight="1">
      <c r="BM22962" s="1025"/>
      <c r="BO22962" s="43"/>
    </row>
    <row r="22963" spans="65:67" ht="18.75" customHeight="1">
      <c r="BM22963" s="1025"/>
      <c r="BO22963" s="43"/>
    </row>
    <row r="22964" spans="65:67" ht="18.75" customHeight="1">
      <c r="BM22964" s="1025"/>
      <c r="BO22964" s="43"/>
    </row>
    <row r="22965" spans="65:67" ht="18.75" customHeight="1">
      <c r="BM22965" s="1025"/>
      <c r="BO22965" s="43"/>
    </row>
    <row r="22966" spans="65:67" ht="18.75" customHeight="1">
      <c r="BM22966" s="1025"/>
      <c r="BO22966" s="43"/>
    </row>
    <row r="22967" spans="65:67" ht="18.75" customHeight="1">
      <c r="BM22967" s="1025"/>
      <c r="BO22967" s="43"/>
    </row>
    <row r="22968" spans="65:67" ht="18.75" customHeight="1">
      <c r="BM22968" s="1025"/>
      <c r="BO22968" s="43"/>
    </row>
    <row r="22969" spans="65:67" ht="18.75" customHeight="1">
      <c r="BM22969" s="1025"/>
      <c r="BO22969" s="43"/>
    </row>
    <row r="22970" spans="65:67" ht="18.75" customHeight="1">
      <c r="BM22970" s="1025"/>
      <c r="BO22970" s="43"/>
    </row>
    <row r="22971" spans="65:67" ht="18.75" customHeight="1">
      <c r="BM22971" s="1025"/>
      <c r="BO22971" s="43"/>
    </row>
    <row r="22972" spans="65:67" ht="18.75" customHeight="1">
      <c r="BM22972" s="1025"/>
      <c r="BO22972" s="43"/>
    </row>
    <row r="22973" spans="65:67" ht="18.75" customHeight="1">
      <c r="BM22973" s="1025"/>
      <c r="BO22973" s="43"/>
    </row>
    <row r="22974" spans="65:67" ht="18.75" customHeight="1">
      <c r="BM22974" s="1025"/>
      <c r="BO22974" s="43"/>
    </row>
    <row r="22975" spans="65:67" ht="18.75" customHeight="1">
      <c r="BM22975" s="1025"/>
      <c r="BO22975" s="43"/>
    </row>
    <row r="22976" spans="65:67" ht="18.75" customHeight="1">
      <c r="BM22976" s="1025"/>
      <c r="BO22976" s="43"/>
    </row>
    <row r="22977" spans="65:67" ht="18.75" customHeight="1">
      <c r="BM22977" s="1025"/>
      <c r="BO22977" s="43"/>
    </row>
    <row r="22978" spans="65:67" ht="18.75" customHeight="1">
      <c r="BM22978" s="1025"/>
      <c r="BO22978" s="43"/>
    </row>
    <row r="22979" spans="65:67" ht="18.75" customHeight="1">
      <c r="BM22979" s="1025"/>
      <c r="BO22979" s="43"/>
    </row>
    <row r="22980" spans="65:67" ht="18.75" customHeight="1">
      <c r="BM22980" s="1025"/>
      <c r="BO22980" s="43"/>
    </row>
    <row r="22981" spans="65:67" ht="18.75" customHeight="1">
      <c r="BM22981" s="1025"/>
      <c r="BO22981" s="43"/>
    </row>
    <row r="22982" spans="65:67" ht="18.75" customHeight="1">
      <c r="BM22982" s="1025"/>
      <c r="BO22982" s="43"/>
    </row>
    <row r="22983" spans="65:67" ht="18.75" customHeight="1">
      <c r="BM22983" s="1025"/>
      <c r="BO22983" s="43"/>
    </row>
    <row r="22984" spans="65:67" ht="18.75" customHeight="1">
      <c r="BM22984" s="1025"/>
      <c r="BO22984" s="43"/>
    </row>
    <row r="22985" spans="65:67" ht="18.75" customHeight="1">
      <c r="BM22985" s="1025"/>
      <c r="BO22985" s="43"/>
    </row>
    <row r="22986" spans="65:67" ht="18.75" customHeight="1">
      <c r="BM22986" s="1025"/>
      <c r="BO22986" s="43"/>
    </row>
    <row r="22987" spans="65:67" ht="18.75" customHeight="1">
      <c r="BM22987" s="1025"/>
      <c r="BO22987" s="43"/>
    </row>
    <row r="22988" spans="65:67" ht="18.75" customHeight="1">
      <c r="BM22988" s="1025"/>
      <c r="BO22988" s="43"/>
    </row>
    <row r="22989" spans="65:67" ht="18.75" customHeight="1">
      <c r="BM22989" s="1025"/>
      <c r="BO22989" s="43"/>
    </row>
    <row r="22990" spans="65:67" ht="18.75" customHeight="1">
      <c r="BM22990" s="1025"/>
      <c r="BO22990" s="43"/>
    </row>
    <row r="22991" spans="65:67" ht="18.75" customHeight="1">
      <c r="BM22991" s="1025"/>
      <c r="BO22991" s="43"/>
    </row>
    <row r="22992" spans="65:67" ht="18.75" customHeight="1">
      <c r="BM22992" s="1025"/>
      <c r="BO22992" s="43"/>
    </row>
    <row r="22993" spans="65:67" ht="18.75" customHeight="1">
      <c r="BM22993" s="1025"/>
      <c r="BO22993" s="43"/>
    </row>
    <row r="22994" spans="65:67" ht="18.75" customHeight="1">
      <c r="BM22994" s="1025"/>
      <c r="BO22994" s="43"/>
    </row>
    <row r="22995" spans="65:67" ht="18.75" customHeight="1">
      <c r="BM22995" s="1025"/>
      <c r="BO22995" s="43"/>
    </row>
    <row r="22996" spans="65:67" ht="18.75" customHeight="1">
      <c r="BM22996" s="1025"/>
      <c r="BO22996" s="43"/>
    </row>
    <row r="22997" spans="65:67" ht="18.75" customHeight="1">
      <c r="BM22997" s="1025"/>
      <c r="BO22997" s="43"/>
    </row>
    <row r="22998" spans="65:67" ht="18.75" customHeight="1">
      <c r="BM22998" s="1025"/>
      <c r="BO22998" s="43"/>
    </row>
    <row r="22999" spans="65:67" ht="18.75" customHeight="1">
      <c r="BM22999" s="1025"/>
      <c r="BO22999" s="43"/>
    </row>
    <row r="23000" spans="65:67" ht="18.75" customHeight="1">
      <c r="BM23000" s="1025"/>
      <c r="BO23000" s="43"/>
    </row>
    <row r="23001" spans="65:67" ht="18.75" customHeight="1">
      <c r="BM23001" s="1025"/>
      <c r="BO23001" s="43"/>
    </row>
    <row r="23002" spans="65:67" ht="18.75" customHeight="1">
      <c r="BM23002" s="1025"/>
      <c r="BO23002" s="43"/>
    </row>
    <row r="23003" spans="65:67" ht="18.75" customHeight="1">
      <c r="BM23003" s="1025"/>
      <c r="BO23003" s="43"/>
    </row>
    <row r="23004" spans="65:67" ht="18.75" customHeight="1">
      <c r="BM23004" s="1025"/>
      <c r="BO23004" s="43"/>
    </row>
    <row r="23005" spans="65:67" ht="18.75" customHeight="1">
      <c r="BM23005" s="1025"/>
      <c r="BO23005" s="43"/>
    </row>
    <row r="23006" spans="65:67" ht="18.75" customHeight="1">
      <c r="BM23006" s="1025"/>
      <c r="BO23006" s="43"/>
    </row>
    <row r="23007" spans="65:67" ht="18.75" customHeight="1">
      <c r="BM23007" s="1025"/>
      <c r="BO23007" s="43"/>
    </row>
    <row r="23008" spans="65:67" ht="18.75" customHeight="1">
      <c r="BM23008" s="1025"/>
      <c r="BO23008" s="43"/>
    </row>
    <row r="23009" spans="65:67" ht="18.75" customHeight="1">
      <c r="BM23009" s="1025"/>
      <c r="BO23009" s="43"/>
    </row>
    <row r="23010" spans="65:67" ht="18.75" customHeight="1">
      <c r="BM23010" s="1025"/>
      <c r="BO23010" s="43"/>
    </row>
    <row r="23011" spans="65:67" ht="18.75" customHeight="1">
      <c r="BM23011" s="1025"/>
      <c r="BO23011" s="43"/>
    </row>
    <row r="23012" spans="65:67" ht="18.75" customHeight="1">
      <c r="BM23012" s="1025"/>
      <c r="BO23012" s="43"/>
    </row>
    <row r="23013" spans="65:67" ht="18.75" customHeight="1">
      <c r="BM23013" s="1025"/>
      <c r="BO23013" s="43"/>
    </row>
    <row r="23014" spans="65:67" ht="18.75" customHeight="1">
      <c r="BM23014" s="1025"/>
      <c r="BO23014" s="43"/>
    </row>
    <row r="23015" spans="65:67" ht="18.75" customHeight="1">
      <c r="BM23015" s="1025"/>
      <c r="BO23015" s="43"/>
    </row>
    <row r="23016" spans="65:67" ht="18.75" customHeight="1">
      <c r="BM23016" s="1025"/>
      <c r="BO23016" s="43"/>
    </row>
    <row r="23017" spans="65:67" ht="18.75" customHeight="1">
      <c r="BM23017" s="1025"/>
      <c r="BO23017" s="43"/>
    </row>
    <row r="23018" spans="65:67" ht="18.75" customHeight="1">
      <c r="BM23018" s="1025"/>
      <c r="BO23018" s="43"/>
    </row>
    <row r="23019" spans="65:67" ht="18.75" customHeight="1">
      <c r="BM23019" s="1025"/>
      <c r="BO23019" s="43"/>
    </row>
    <row r="23020" spans="65:67" ht="18.75" customHeight="1">
      <c r="BM23020" s="1025"/>
      <c r="BO23020" s="43"/>
    </row>
    <row r="23021" spans="65:67" ht="18.75" customHeight="1">
      <c r="BM23021" s="1025"/>
      <c r="BO23021" s="43"/>
    </row>
    <row r="23022" spans="65:67" ht="18.75" customHeight="1">
      <c r="BM23022" s="1025"/>
      <c r="BO23022" s="43"/>
    </row>
    <row r="23023" spans="65:67" ht="18.75" customHeight="1">
      <c r="BM23023" s="1025"/>
      <c r="BO23023" s="43"/>
    </row>
    <row r="23024" spans="65:67" ht="18.75" customHeight="1">
      <c r="BM23024" s="1025"/>
      <c r="BO23024" s="43"/>
    </row>
    <row r="23025" spans="65:67" ht="18.75" customHeight="1">
      <c r="BM23025" s="1025"/>
      <c r="BO23025" s="43"/>
    </row>
    <row r="23026" spans="65:67" ht="18.75" customHeight="1">
      <c r="BM23026" s="1025"/>
      <c r="BO23026" s="43"/>
    </row>
    <row r="23027" spans="65:67" ht="18.75" customHeight="1">
      <c r="BM23027" s="1025"/>
      <c r="BO23027" s="43"/>
    </row>
    <row r="23028" spans="65:67" ht="18.75" customHeight="1">
      <c r="BM23028" s="1025"/>
      <c r="BO23028" s="43"/>
    </row>
    <row r="23029" spans="65:67" ht="18.75" customHeight="1">
      <c r="BM23029" s="1025"/>
      <c r="BO23029" s="43"/>
    </row>
    <row r="23030" spans="65:67" ht="18.75" customHeight="1">
      <c r="BM23030" s="1025"/>
      <c r="BO23030" s="43"/>
    </row>
    <row r="23031" spans="65:67" ht="18.75" customHeight="1">
      <c r="BM23031" s="1025"/>
      <c r="BO23031" s="43"/>
    </row>
    <row r="23032" spans="65:67" ht="18.75" customHeight="1">
      <c r="BM23032" s="1025"/>
      <c r="BO23032" s="43"/>
    </row>
    <row r="23033" spans="65:67" ht="18.75" customHeight="1">
      <c r="BM23033" s="1025"/>
      <c r="BO23033" s="43"/>
    </row>
    <row r="23034" spans="65:67" ht="18.75" customHeight="1">
      <c r="BM23034" s="1025"/>
      <c r="BO23034" s="43"/>
    </row>
    <row r="23035" spans="65:67" ht="18.75" customHeight="1">
      <c r="BM23035" s="1025"/>
      <c r="BO23035" s="43"/>
    </row>
    <row r="23036" spans="65:67" ht="18.75" customHeight="1">
      <c r="BM23036" s="1025"/>
      <c r="BO23036" s="43"/>
    </row>
    <row r="23037" spans="65:67" ht="18.75" customHeight="1">
      <c r="BM23037" s="1025"/>
      <c r="BO23037" s="43"/>
    </row>
    <row r="23038" spans="65:67" ht="18.75" customHeight="1">
      <c r="BM23038" s="1025"/>
      <c r="BO23038" s="43"/>
    </row>
    <row r="23039" spans="65:67" ht="18.75" customHeight="1">
      <c r="BM23039" s="1025"/>
      <c r="BO23039" s="43"/>
    </row>
    <row r="23040" spans="65:67" ht="18.75" customHeight="1">
      <c r="BM23040" s="1025"/>
      <c r="BO23040" s="43"/>
    </row>
    <row r="23041" spans="65:67" ht="18.75" customHeight="1">
      <c r="BM23041" s="1025"/>
      <c r="BO23041" s="43"/>
    </row>
    <row r="23042" spans="65:67" ht="18.75" customHeight="1">
      <c r="BM23042" s="1025"/>
      <c r="BO23042" s="43"/>
    </row>
    <row r="23043" spans="65:67" ht="18.75" customHeight="1">
      <c r="BM23043" s="1025"/>
      <c r="BO23043" s="43"/>
    </row>
    <row r="23044" spans="65:67" ht="18.75" customHeight="1">
      <c r="BM23044" s="1025"/>
      <c r="BO23044" s="43"/>
    </row>
    <row r="23045" spans="65:67" ht="18.75" customHeight="1">
      <c r="BM23045" s="1025"/>
      <c r="BO23045" s="43"/>
    </row>
    <row r="23046" spans="65:67" ht="18.75" customHeight="1">
      <c r="BM23046" s="1025"/>
      <c r="BO23046" s="43"/>
    </row>
    <row r="23047" spans="65:67" ht="18.75" customHeight="1">
      <c r="BM23047" s="1025"/>
      <c r="BO23047" s="43"/>
    </row>
    <row r="23048" spans="65:67" ht="18.75" customHeight="1">
      <c r="BM23048" s="1025"/>
      <c r="BO23048" s="43"/>
    </row>
    <row r="23049" spans="65:67" ht="18.75" customHeight="1">
      <c r="BM23049" s="1025"/>
      <c r="BO23049" s="43"/>
    </row>
    <row r="23050" spans="65:67" ht="18.75" customHeight="1">
      <c r="BM23050" s="1025"/>
      <c r="BO23050" s="43"/>
    </row>
    <row r="23051" spans="65:67" ht="18.75" customHeight="1">
      <c r="BM23051" s="1025"/>
      <c r="BO23051" s="43"/>
    </row>
    <row r="23052" spans="65:67" ht="18.75" customHeight="1">
      <c r="BM23052" s="1025"/>
      <c r="BO23052" s="43"/>
    </row>
    <row r="23053" spans="65:67" ht="18.75" customHeight="1">
      <c r="BM23053" s="1025"/>
      <c r="BO23053" s="43"/>
    </row>
    <row r="23054" spans="65:67" ht="18.75" customHeight="1">
      <c r="BM23054" s="1025"/>
      <c r="BO23054" s="43"/>
    </row>
    <row r="23055" spans="65:67" ht="18.75" customHeight="1">
      <c r="BM23055" s="1025"/>
      <c r="BO23055" s="43"/>
    </row>
    <row r="23056" spans="65:67" ht="18.75" customHeight="1">
      <c r="BM23056" s="1025"/>
      <c r="BO23056" s="43"/>
    </row>
    <row r="23057" spans="65:67" ht="18.75" customHeight="1">
      <c r="BM23057" s="1025"/>
      <c r="BO23057" s="43"/>
    </row>
    <row r="23058" spans="65:67" ht="18.75" customHeight="1">
      <c r="BM23058" s="1025"/>
      <c r="BO23058" s="43"/>
    </row>
    <row r="23059" spans="65:67" ht="18.75" customHeight="1">
      <c r="BM23059" s="1025"/>
      <c r="BO23059" s="43"/>
    </row>
    <row r="23060" spans="65:67" ht="18.75" customHeight="1">
      <c r="BM23060" s="1025"/>
      <c r="BO23060" s="43"/>
    </row>
    <row r="23061" spans="65:67" ht="18.75" customHeight="1">
      <c r="BM23061" s="1025"/>
      <c r="BO23061" s="43"/>
    </row>
    <row r="23062" spans="65:67" ht="18.75" customHeight="1">
      <c r="BM23062" s="1025"/>
      <c r="BO23062" s="43"/>
    </row>
    <row r="23063" spans="65:67" ht="18.75" customHeight="1">
      <c r="BM23063" s="1025"/>
      <c r="BO23063" s="43"/>
    </row>
    <row r="23064" spans="65:67" ht="18.75" customHeight="1">
      <c r="BM23064" s="1025"/>
      <c r="BO23064" s="43"/>
    </row>
    <row r="23065" spans="65:67" ht="18.75" customHeight="1">
      <c r="BM23065" s="1025"/>
      <c r="BO23065" s="43"/>
    </row>
    <row r="23066" spans="65:67" ht="18.75" customHeight="1">
      <c r="BM23066" s="1025"/>
      <c r="BO23066" s="43"/>
    </row>
    <row r="23067" spans="65:67" ht="18.75" customHeight="1">
      <c r="BM23067" s="1025"/>
      <c r="BO23067" s="43"/>
    </row>
    <row r="23068" spans="65:67" ht="18.75" customHeight="1">
      <c r="BM23068" s="1025"/>
      <c r="BO23068" s="43"/>
    </row>
    <row r="23069" spans="65:67" ht="18.75" customHeight="1">
      <c r="BM23069" s="1025"/>
      <c r="BO23069" s="43"/>
    </row>
    <row r="23070" spans="65:67" ht="18.75" customHeight="1">
      <c r="BM23070" s="1025"/>
      <c r="BO23070" s="43"/>
    </row>
    <row r="23071" spans="65:67" ht="18.75" customHeight="1">
      <c r="BM23071" s="1025"/>
      <c r="BO23071" s="43"/>
    </row>
    <row r="23072" spans="65:67" ht="18.75" customHeight="1">
      <c r="BM23072" s="1025"/>
      <c r="BO23072" s="43"/>
    </row>
    <row r="23073" spans="65:67" ht="18.75" customHeight="1">
      <c r="BM23073" s="1025"/>
      <c r="BO23073" s="43"/>
    </row>
    <row r="23074" spans="65:67" ht="18.75" customHeight="1">
      <c r="BM23074" s="1025"/>
      <c r="BO23074" s="43"/>
    </row>
    <row r="23075" spans="65:67" ht="18.75" customHeight="1">
      <c r="BM23075" s="1025"/>
      <c r="BO23075" s="43"/>
    </row>
    <row r="23076" spans="65:67" ht="18.75" customHeight="1">
      <c r="BM23076" s="1025"/>
      <c r="BO23076" s="43"/>
    </row>
    <row r="23077" spans="65:67" ht="18.75" customHeight="1">
      <c r="BM23077" s="1025"/>
      <c r="BO23077" s="43"/>
    </row>
    <row r="23078" spans="65:67" ht="18.75" customHeight="1">
      <c r="BM23078" s="1025"/>
      <c r="BO23078" s="43"/>
    </row>
    <row r="23079" spans="65:67" ht="18.75" customHeight="1">
      <c r="BM23079" s="1025"/>
      <c r="BO23079" s="43"/>
    </row>
    <row r="23080" spans="65:67" ht="18.75" customHeight="1">
      <c r="BM23080" s="1025"/>
      <c r="BO23080" s="43"/>
    </row>
    <row r="23081" spans="65:67" ht="18.75" customHeight="1">
      <c r="BM23081" s="1025"/>
      <c r="BO23081" s="43"/>
    </row>
    <row r="23082" spans="65:67" ht="18.75" customHeight="1">
      <c r="BM23082" s="1025"/>
      <c r="BO23082" s="43"/>
    </row>
    <row r="23083" spans="65:67" ht="18.75" customHeight="1">
      <c r="BM23083" s="1025"/>
      <c r="BO23083" s="43"/>
    </row>
    <row r="23084" spans="65:67" ht="18.75" customHeight="1">
      <c r="BM23084" s="1025"/>
      <c r="BO23084" s="43"/>
    </row>
    <row r="23085" spans="65:67" ht="18.75" customHeight="1">
      <c r="BM23085" s="1025"/>
      <c r="BO23085" s="43"/>
    </row>
    <row r="23086" spans="65:67" ht="18.75" customHeight="1">
      <c r="BM23086" s="1025"/>
      <c r="BO23086" s="43"/>
    </row>
    <row r="23087" spans="65:67" ht="18.75" customHeight="1">
      <c r="BM23087" s="1025"/>
      <c r="BO23087" s="43"/>
    </row>
    <row r="23088" spans="65:67" ht="18.75" customHeight="1">
      <c r="BM23088" s="1025"/>
      <c r="BO23088" s="43"/>
    </row>
    <row r="23089" spans="65:67" ht="18.75" customHeight="1">
      <c r="BM23089" s="1025"/>
      <c r="BO23089" s="43"/>
    </row>
    <row r="23090" spans="65:67" ht="18.75" customHeight="1">
      <c r="BM23090" s="1025"/>
      <c r="BO23090" s="43"/>
    </row>
    <row r="23091" spans="65:67" ht="18.75" customHeight="1">
      <c r="BM23091" s="1025"/>
      <c r="BO23091" s="43"/>
    </row>
    <row r="23092" spans="65:67" ht="18.75" customHeight="1">
      <c r="BM23092" s="1025"/>
      <c r="BO23092" s="43"/>
    </row>
    <row r="23093" spans="65:67" ht="18.75" customHeight="1">
      <c r="BM23093" s="1025"/>
      <c r="BO23093" s="43"/>
    </row>
    <row r="23094" spans="65:67" ht="18.75" customHeight="1">
      <c r="BM23094" s="1025"/>
      <c r="BO23094" s="43"/>
    </row>
    <row r="23095" spans="65:67" ht="18.75" customHeight="1">
      <c r="BM23095" s="1025"/>
      <c r="BO23095" s="43"/>
    </row>
    <row r="23096" spans="65:67" ht="18.75" customHeight="1">
      <c r="BM23096" s="1025"/>
      <c r="BO23096" s="43"/>
    </row>
    <row r="23097" spans="65:67" ht="18.75" customHeight="1">
      <c r="BM23097" s="1025"/>
      <c r="BO23097" s="43"/>
    </row>
    <row r="23098" spans="65:67" ht="18.75" customHeight="1">
      <c r="BM23098" s="1025"/>
      <c r="BO23098" s="43"/>
    </row>
    <row r="23099" spans="65:67" ht="18.75" customHeight="1">
      <c r="BM23099" s="1025"/>
      <c r="BO23099" s="43"/>
    </row>
    <row r="23100" spans="65:67" ht="18.75" customHeight="1">
      <c r="BM23100" s="1025"/>
      <c r="BO23100" s="43"/>
    </row>
    <row r="23101" spans="65:67" ht="18.75" customHeight="1">
      <c r="BM23101" s="1025"/>
      <c r="BO23101" s="43"/>
    </row>
    <row r="23102" spans="65:67" ht="18.75" customHeight="1">
      <c r="BM23102" s="1025"/>
      <c r="BO23102" s="43"/>
    </row>
    <row r="23103" spans="65:67" ht="18.75" customHeight="1">
      <c r="BM23103" s="1025"/>
      <c r="BO23103" s="43"/>
    </row>
    <row r="23104" spans="65:67" ht="18.75" customHeight="1">
      <c r="BM23104" s="1025"/>
      <c r="BO23104" s="43"/>
    </row>
    <row r="23105" spans="65:67" ht="18.75" customHeight="1">
      <c r="BM23105" s="1025"/>
      <c r="BO23105" s="43"/>
    </row>
    <row r="23106" spans="65:67" ht="18.75" customHeight="1">
      <c r="BM23106" s="1025"/>
      <c r="BO23106" s="43"/>
    </row>
    <row r="23107" spans="65:67" ht="18.75" customHeight="1">
      <c r="BM23107" s="1025"/>
      <c r="BO23107" s="43"/>
    </row>
    <row r="23108" spans="65:67" ht="18.75" customHeight="1">
      <c r="BM23108" s="1025"/>
      <c r="BO23108" s="43"/>
    </row>
    <row r="23109" spans="65:67" ht="18.75" customHeight="1">
      <c r="BM23109" s="1025"/>
      <c r="BO23109" s="43"/>
    </row>
    <row r="23110" spans="65:67" ht="18.75" customHeight="1">
      <c r="BM23110" s="1025"/>
      <c r="BO23110" s="43"/>
    </row>
    <row r="23111" spans="65:67" ht="18.75" customHeight="1">
      <c r="BM23111" s="1025"/>
      <c r="BO23111" s="43"/>
    </row>
    <row r="23112" spans="65:67" ht="18.75" customHeight="1">
      <c r="BM23112" s="1025"/>
      <c r="BO23112" s="43"/>
    </row>
    <row r="23113" spans="65:67" ht="18.75" customHeight="1">
      <c r="BM23113" s="1025"/>
      <c r="BO23113" s="43"/>
    </row>
    <row r="23114" spans="65:67" ht="18.75" customHeight="1">
      <c r="BM23114" s="1025"/>
      <c r="BO23114" s="43"/>
    </row>
    <row r="23115" spans="65:67" ht="18.75" customHeight="1">
      <c r="BM23115" s="1025"/>
      <c r="BO23115" s="43"/>
    </row>
    <row r="23116" spans="65:67" ht="18.75" customHeight="1">
      <c r="BM23116" s="1025"/>
      <c r="BO23116" s="43"/>
    </row>
    <row r="23117" spans="65:67" ht="18.75" customHeight="1">
      <c r="BM23117" s="1025"/>
      <c r="BO23117" s="43"/>
    </row>
    <row r="23118" spans="65:67" ht="18.75" customHeight="1">
      <c r="BM23118" s="1025"/>
      <c r="BO23118" s="43"/>
    </row>
    <row r="23119" spans="65:67" ht="18.75" customHeight="1">
      <c r="BM23119" s="1025"/>
      <c r="BO23119" s="43"/>
    </row>
    <row r="23120" spans="65:67" ht="18.75" customHeight="1">
      <c r="BM23120" s="1025"/>
      <c r="BO23120" s="43"/>
    </row>
    <row r="23121" spans="65:67" ht="18.75" customHeight="1">
      <c r="BM23121" s="1025"/>
      <c r="BO23121" s="43"/>
    </row>
    <row r="23122" spans="65:67" ht="18.75" customHeight="1">
      <c r="BM23122" s="1025"/>
      <c r="BO23122" s="43"/>
    </row>
    <row r="23123" spans="65:67" ht="18.75" customHeight="1">
      <c r="BM23123" s="1025"/>
      <c r="BO23123" s="43"/>
    </row>
    <row r="23124" spans="65:67" ht="18.75" customHeight="1">
      <c r="BM23124" s="1025"/>
      <c r="BO23124" s="43"/>
    </row>
    <row r="23125" spans="65:67" ht="18.75" customHeight="1">
      <c r="BM23125" s="1025"/>
      <c r="BO23125" s="43"/>
    </row>
    <row r="23126" spans="65:67" ht="18.75" customHeight="1">
      <c r="BM23126" s="1025"/>
      <c r="BO23126" s="43"/>
    </row>
    <row r="23127" spans="65:67" ht="18.75" customHeight="1">
      <c r="BM23127" s="1025"/>
      <c r="BO23127" s="43"/>
    </row>
    <row r="23128" spans="65:67" ht="18.75" customHeight="1">
      <c r="BM23128" s="1025"/>
      <c r="BO23128" s="43"/>
    </row>
    <row r="23129" spans="65:67" ht="18.75" customHeight="1">
      <c r="BM23129" s="1025"/>
      <c r="BO23129" s="43"/>
    </row>
    <row r="23130" spans="65:67" ht="18.75" customHeight="1">
      <c r="BM23130" s="1025"/>
      <c r="BO23130" s="43"/>
    </row>
    <row r="23131" spans="65:67" ht="18.75" customHeight="1">
      <c r="BM23131" s="1025"/>
      <c r="BO23131" s="43"/>
    </row>
    <row r="23132" spans="65:67" ht="18.75" customHeight="1">
      <c r="BM23132" s="1025"/>
      <c r="BO23132" s="43"/>
    </row>
    <row r="23133" spans="65:67" ht="18.75" customHeight="1">
      <c r="BM23133" s="1025"/>
      <c r="BO23133" s="43"/>
    </row>
    <row r="23134" spans="65:67" ht="18.75" customHeight="1">
      <c r="BM23134" s="1025"/>
      <c r="BO23134" s="43"/>
    </row>
    <row r="23135" spans="65:67" ht="18.75" customHeight="1">
      <c r="BM23135" s="1025"/>
      <c r="BO23135" s="43"/>
    </row>
    <row r="23136" spans="65:67" ht="18.75" customHeight="1">
      <c r="BM23136" s="1025"/>
      <c r="BO23136" s="43"/>
    </row>
    <row r="23137" spans="65:67" ht="18.75" customHeight="1">
      <c r="BM23137" s="1025"/>
      <c r="BO23137" s="43"/>
    </row>
    <row r="23138" spans="65:67" ht="18.75" customHeight="1">
      <c r="BM23138" s="1025"/>
      <c r="BO23138" s="43"/>
    </row>
    <row r="23139" spans="65:67" ht="18.75" customHeight="1">
      <c r="BM23139" s="1025"/>
      <c r="BO23139" s="43"/>
    </row>
    <row r="23140" spans="65:67" ht="18.75" customHeight="1">
      <c r="BM23140" s="1025"/>
      <c r="BO23140" s="43"/>
    </row>
    <row r="23141" spans="65:67" ht="18.75" customHeight="1">
      <c r="BM23141" s="1025"/>
      <c r="BO23141" s="43"/>
    </row>
    <row r="23142" spans="65:67" ht="18.75" customHeight="1">
      <c r="BM23142" s="1025"/>
      <c r="BO23142" s="43"/>
    </row>
    <row r="23143" spans="65:67" ht="18.75" customHeight="1">
      <c r="BM23143" s="1025"/>
      <c r="BO23143" s="43"/>
    </row>
    <row r="23144" spans="65:67" ht="18.75" customHeight="1">
      <c r="BM23144" s="1025"/>
      <c r="BO23144" s="43"/>
    </row>
    <row r="23145" spans="65:67" ht="18.75" customHeight="1">
      <c r="BM23145" s="1025"/>
      <c r="BO23145" s="43"/>
    </row>
    <row r="23146" spans="65:67" ht="18.75" customHeight="1">
      <c r="BM23146" s="1025"/>
      <c r="BO23146" s="43"/>
    </row>
    <row r="23147" spans="65:67" ht="18.75" customHeight="1">
      <c r="BM23147" s="1025"/>
      <c r="BO23147" s="43"/>
    </row>
    <row r="23148" spans="65:67" ht="18.75" customHeight="1">
      <c r="BM23148" s="1025"/>
      <c r="BO23148" s="43"/>
    </row>
    <row r="23149" spans="65:67" ht="18.75" customHeight="1">
      <c r="BM23149" s="1025"/>
      <c r="BO23149" s="43"/>
    </row>
    <row r="23150" spans="65:67" ht="18.75" customHeight="1">
      <c r="BM23150" s="1025"/>
      <c r="BO23150" s="43"/>
    </row>
    <row r="23151" spans="65:67" ht="18.75" customHeight="1">
      <c r="BM23151" s="1025"/>
      <c r="BO23151" s="43"/>
    </row>
    <row r="23152" spans="65:67" ht="18.75" customHeight="1">
      <c r="BM23152" s="1025"/>
      <c r="BO23152" s="43"/>
    </row>
    <row r="23153" spans="65:67" ht="18.75" customHeight="1">
      <c r="BM23153" s="1025"/>
      <c r="BO23153" s="43"/>
    </row>
    <row r="23154" spans="65:67" ht="18.75" customHeight="1">
      <c r="BM23154" s="1025"/>
      <c r="BO23154" s="43"/>
    </row>
    <row r="23155" spans="65:67" ht="18.75" customHeight="1">
      <c r="BM23155" s="1025"/>
      <c r="BO23155" s="43"/>
    </row>
    <row r="23156" spans="65:67" ht="18.75" customHeight="1">
      <c r="BM23156" s="1025"/>
      <c r="BO23156" s="43"/>
    </row>
    <row r="23157" spans="65:67" ht="18.75" customHeight="1">
      <c r="BM23157" s="1025"/>
      <c r="BO23157" s="43"/>
    </row>
    <row r="23158" spans="65:67" ht="18.75" customHeight="1">
      <c r="BM23158" s="1025"/>
      <c r="BO23158" s="43"/>
    </row>
    <row r="23159" spans="65:67" ht="18.75" customHeight="1">
      <c r="BM23159" s="1025"/>
      <c r="BO23159" s="43"/>
    </row>
    <row r="23160" spans="65:67" ht="18.75" customHeight="1">
      <c r="BM23160" s="1025"/>
      <c r="BO23160" s="43"/>
    </row>
    <row r="23161" spans="65:67" ht="18.75" customHeight="1">
      <c r="BM23161" s="1025"/>
      <c r="BO23161" s="43"/>
    </row>
    <row r="23162" spans="65:67" ht="18.75" customHeight="1">
      <c r="BM23162" s="1025"/>
      <c r="BO23162" s="43"/>
    </row>
    <row r="23163" spans="65:67" ht="18.75" customHeight="1">
      <c r="BM23163" s="1025"/>
      <c r="BO23163" s="43"/>
    </row>
    <row r="23164" spans="65:67" ht="18.75" customHeight="1">
      <c r="BM23164" s="1025"/>
      <c r="BO23164" s="43"/>
    </row>
    <row r="23165" spans="65:67" ht="18.75" customHeight="1">
      <c r="BM23165" s="1025"/>
      <c r="BO23165" s="43"/>
    </row>
    <row r="23166" spans="65:67" ht="18.75" customHeight="1">
      <c r="BM23166" s="1025"/>
      <c r="BO23166" s="43"/>
    </row>
    <row r="23167" spans="65:67" ht="18.75" customHeight="1">
      <c r="BM23167" s="1025"/>
      <c r="BO23167" s="43"/>
    </row>
    <row r="23168" spans="65:67" ht="18.75" customHeight="1">
      <c r="BM23168" s="1025"/>
      <c r="BO23168" s="43"/>
    </row>
    <row r="23169" spans="65:67" ht="18.75" customHeight="1">
      <c r="BM23169" s="1025"/>
      <c r="BO23169" s="43"/>
    </row>
    <row r="23170" spans="65:67" ht="18.75" customHeight="1">
      <c r="BM23170" s="1025"/>
      <c r="BO23170" s="43"/>
    </row>
    <row r="23171" spans="65:67" ht="18.75" customHeight="1">
      <c r="BM23171" s="1025"/>
      <c r="BO23171" s="43"/>
    </row>
    <row r="23172" spans="65:67" ht="18.75" customHeight="1">
      <c r="BM23172" s="1025"/>
      <c r="BO23172" s="43"/>
    </row>
    <row r="23173" spans="65:67" ht="18.75" customHeight="1">
      <c r="BM23173" s="1025"/>
      <c r="BO23173" s="43"/>
    </row>
    <row r="23174" spans="65:67" ht="18.75" customHeight="1">
      <c r="BM23174" s="1025"/>
      <c r="BO23174" s="43"/>
    </row>
    <row r="23175" spans="65:67" ht="18.75" customHeight="1">
      <c r="BM23175" s="1025"/>
      <c r="BO23175" s="43"/>
    </row>
    <row r="23176" spans="65:67" ht="18.75" customHeight="1">
      <c r="BM23176" s="1025"/>
      <c r="BO23176" s="43"/>
    </row>
    <row r="23177" spans="65:67" ht="18.75" customHeight="1">
      <c r="BM23177" s="1025"/>
      <c r="BO23177" s="43"/>
    </row>
    <row r="23178" spans="65:67" ht="18.75" customHeight="1">
      <c r="BM23178" s="1025"/>
      <c r="BO23178" s="43"/>
    </row>
    <row r="23179" spans="65:67" ht="18.75" customHeight="1">
      <c r="BM23179" s="1025"/>
      <c r="BO23179" s="43"/>
    </row>
    <row r="23180" spans="65:67" ht="18.75" customHeight="1">
      <c r="BM23180" s="1025"/>
      <c r="BO23180" s="43"/>
    </row>
    <row r="23181" spans="65:67" ht="18.75" customHeight="1">
      <c r="BM23181" s="1025"/>
      <c r="BO23181" s="43"/>
    </row>
    <row r="23182" spans="65:67" ht="18.75" customHeight="1">
      <c r="BM23182" s="1025"/>
      <c r="BO23182" s="43"/>
    </row>
    <row r="23183" spans="65:67" ht="18.75" customHeight="1">
      <c r="BM23183" s="1025"/>
      <c r="BO23183" s="43"/>
    </row>
    <row r="23184" spans="65:67" ht="18.75" customHeight="1">
      <c r="BM23184" s="1025"/>
      <c r="BO23184" s="43"/>
    </row>
    <row r="23185" spans="65:67" ht="18.75" customHeight="1">
      <c r="BM23185" s="1025"/>
      <c r="BO23185" s="43"/>
    </row>
    <row r="23186" spans="65:67" ht="18.75" customHeight="1">
      <c r="BM23186" s="1025"/>
      <c r="BO23186" s="43"/>
    </row>
    <row r="23187" spans="65:67" ht="18.75" customHeight="1">
      <c r="BM23187" s="1025"/>
      <c r="BO23187" s="43"/>
    </row>
    <row r="23188" spans="65:67" ht="18.75" customHeight="1">
      <c r="BM23188" s="1025"/>
      <c r="BO23188" s="43"/>
    </row>
    <row r="23189" spans="65:67" ht="18.75" customHeight="1">
      <c r="BM23189" s="1025"/>
      <c r="BO23189" s="43"/>
    </row>
    <row r="23190" spans="65:67" ht="18.75" customHeight="1">
      <c r="BM23190" s="1025"/>
      <c r="BO23190" s="43"/>
    </row>
    <row r="23191" spans="65:67" ht="18.75" customHeight="1">
      <c r="BM23191" s="1025"/>
      <c r="BO23191" s="43"/>
    </row>
    <row r="23192" spans="65:67" ht="18.75" customHeight="1">
      <c r="BM23192" s="1025"/>
      <c r="BO23192" s="43"/>
    </row>
    <row r="23193" spans="65:67" ht="18.75" customHeight="1">
      <c r="BM23193" s="1025"/>
      <c r="BO23193" s="43"/>
    </row>
    <row r="23194" spans="65:67" ht="18.75" customHeight="1">
      <c r="BM23194" s="1025"/>
      <c r="BO23194" s="43"/>
    </row>
    <row r="23195" spans="65:67" ht="18.75" customHeight="1">
      <c r="BM23195" s="1025"/>
      <c r="BO23195" s="43"/>
    </row>
    <row r="23196" spans="65:67" ht="18.75" customHeight="1">
      <c r="BM23196" s="1025"/>
      <c r="BO23196" s="43"/>
    </row>
    <row r="23197" spans="65:67" ht="18.75" customHeight="1">
      <c r="BM23197" s="1025"/>
      <c r="BO23197" s="43"/>
    </row>
    <row r="23198" spans="65:67" ht="18.75" customHeight="1">
      <c r="BM23198" s="1025"/>
      <c r="BO23198" s="43"/>
    </row>
    <row r="23199" spans="65:67" ht="18.75" customHeight="1">
      <c r="BM23199" s="1025"/>
      <c r="BO23199" s="43"/>
    </row>
    <row r="23200" spans="65:67" ht="18.75" customHeight="1">
      <c r="BM23200" s="1025"/>
      <c r="BO23200" s="43"/>
    </row>
    <row r="23201" spans="65:67" ht="18.75" customHeight="1">
      <c r="BM23201" s="1025"/>
      <c r="BO23201" s="43"/>
    </row>
    <row r="23202" spans="65:67" ht="18.75" customHeight="1">
      <c r="BM23202" s="1025"/>
      <c r="BO23202" s="43"/>
    </row>
    <row r="23203" spans="65:67" ht="18.75" customHeight="1">
      <c r="BM23203" s="1025"/>
      <c r="BO23203" s="43"/>
    </row>
    <row r="23204" spans="65:67" ht="18.75" customHeight="1">
      <c r="BM23204" s="1025"/>
      <c r="BO23204" s="43"/>
    </row>
    <row r="23205" spans="65:67" ht="18.75" customHeight="1">
      <c r="BM23205" s="1025"/>
      <c r="BO23205" s="43"/>
    </row>
    <row r="23206" spans="65:67" ht="18.75" customHeight="1">
      <c r="BM23206" s="1025"/>
      <c r="BO23206" s="43"/>
    </row>
    <row r="23207" spans="65:67" ht="18.75" customHeight="1">
      <c r="BM23207" s="1025"/>
      <c r="BO23207" s="43"/>
    </row>
    <row r="23208" spans="65:67" ht="18.75" customHeight="1">
      <c r="BM23208" s="1025"/>
      <c r="BO23208" s="43"/>
    </row>
    <row r="23209" spans="65:67" ht="18.75" customHeight="1">
      <c r="BM23209" s="1025"/>
      <c r="BO23209" s="43"/>
    </row>
    <row r="23210" spans="65:67" ht="18.75" customHeight="1">
      <c r="BM23210" s="1025"/>
      <c r="BO23210" s="43"/>
    </row>
    <row r="23211" spans="65:67" ht="18.75" customHeight="1">
      <c r="BM23211" s="1025"/>
      <c r="BO23211" s="43"/>
    </row>
    <row r="23212" spans="65:67" ht="18.75" customHeight="1">
      <c r="BM23212" s="1025"/>
      <c r="BO23212" s="43"/>
    </row>
    <row r="23213" spans="65:67" ht="18.75" customHeight="1">
      <c r="BM23213" s="1025"/>
      <c r="BO23213" s="43"/>
    </row>
    <row r="23214" spans="65:67" ht="18.75" customHeight="1">
      <c r="BM23214" s="1025"/>
      <c r="BO23214" s="43"/>
    </row>
    <row r="23215" spans="65:67" ht="18.75" customHeight="1">
      <c r="BM23215" s="1025"/>
      <c r="BO23215" s="43"/>
    </row>
    <row r="23216" spans="65:67" ht="18.75" customHeight="1">
      <c r="BM23216" s="1025"/>
      <c r="BO23216" s="43"/>
    </row>
    <row r="23217" spans="65:67" ht="18.75" customHeight="1">
      <c r="BM23217" s="1025"/>
      <c r="BO23217" s="43"/>
    </row>
    <row r="23218" spans="65:67" ht="18.75" customHeight="1">
      <c r="BM23218" s="1025"/>
      <c r="BO23218" s="43"/>
    </row>
    <row r="23219" spans="65:67" ht="18.75" customHeight="1">
      <c r="BM23219" s="1025"/>
      <c r="BO23219" s="43"/>
    </row>
    <row r="23220" spans="65:67" ht="18.75" customHeight="1">
      <c r="BM23220" s="1025"/>
      <c r="BO23220" s="43"/>
    </row>
    <row r="23221" spans="65:67" ht="18.75" customHeight="1">
      <c r="BM23221" s="1025"/>
      <c r="BO23221" s="43"/>
    </row>
    <row r="23222" spans="65:67" ht="18.75" customHeight="1">
      <c r="BM23222" s="1025"/>
      <c r="BO23222" s="43"/>
    </row>
    <row r="23223" spans="65:67" ht="18.75" customHeight="1">
      <c r="BM23223" s="1025"/>
      <c r="BO23223" s="43"/>
    </row>
    <row r="23224" spans="65:67" ht="18.75" customHeight="1">
      <c r="BM23224" s="1025"/>
      <c r="BO23224" s="43"/>
    </row>
    <row r="23225" spans="65:67" ht="18.75" customHeight="1">
      <c r="BM23225" s="1025"/>
      <c r="BO23225" s="43"/>
    </row>
    <row r="23226" spans="65:67" ht="18.75" customHeight="1">
      <c r="BM23226" s="1025"/>
      <c r="BO23226" s="43"/>
    </row>
    <row r="23227" spans="65:67" ht="18.75" customHeight="1">
      <c r="BM23227" s="1025"/>
      <c r="BO23227" s="43"/>
    </row>
    <row r="23228" spans="65:67" ht="18.75" customHeight="1">
      <c r="BM23228" s="1025"/>
      <c r="BO23228" s="43"/>
    </row>
    <row r="23229" spans="65:67" ht="18.75" customHeight="1">
      <c r="BM23229" s="1025"/>
      <c r="BO23229" s="43"/>
    </row>
    <row r="23230" spans="65:67" ht="18.75" customHeight="1">
      <c r="BM23230" s="1025"/>
      <c r="BO23230" s="43"/>
    </row>
    <row r="23231" spans="65:67" ht="18.75" customHeight="1">
      <c r="BM23231" s="1025"/>
      <c r="BO23231" s="43"/>
    </row>
    <row r="23232" spans="65:67" ht="18.75" customHeight="1">
      <c r="BM23232" s="1025"/>
      <c r="BO23232" s="43"/>
    </row>
    <row r="23233" spans="65:67" ht="18.75" customHeight="1">
      <c r="BM23233" s="1025"/>
      <c r="BO23233" s="43"/>
    </row>
    <row r="23234" spans="65:67" ht="18.75" customHeight="1">
      <c r="BM23234" s="1025"/>
      <c r="BO23234" s="43"/>
    </row>
    <row r="23235" spans="65:67" ht="18.75" customHeight="1">
      <c r="BM23235" s="1025"/>
      <c r="BO23235" s="43"/>
    </row>
    <row r="23236" spans="65:67" ht="18.75" customHeight="1">
      <c r="BM23236" s="1025"/>
      <c r="BO23236" s="43"/>
    </row>
    <row r="23237" spans="65:67" ht="18.75" customHeight="1">
      <c r="BM23237" s="1025"/>
      <c r="BO23237" s="43"/>
    </row>
    <row r="23238" spans="65:67" ht="18.75" customHeight="1">
      <c r="BM23238" s="1025"/>
      <c r="BO23238" s="43"/>
    </row>
    <row r="23239" spans="65:67" ht="18.75" customHeight="1">
      <c r="BM23239" s="1025"/>
      <c r="BO23239" s="43"/>
    </row>
    <row r="23240" spans="65:67" ht="18.75" customHeight="1">
      <c r="BM23240" s="1025"/>
      <c r="BO23240" s="43"/>
    </row>
    <row r="23241" spans="65:67" ht="18.75" customHeight="1">
      <c r="BM23241" s="1025"/>
      <c r="BO23241" s="43"/>
    </row>
    <row r="23242" spans="65:67" ht="18.75" customHeight="1">
      <c r="BM23242" s="1025"/>
      <c r="BO23242" s="43"/>
    </row>
    <row r="23243" spans="65:67" ht="18.75" customHeight="1">
      <c r="BM23243" s="1025"/>
      <c r="BO23243" s="43"/>
    </row>
    <row r="23244" spans="65:67" ht="18.75" customHeight="1">
      <c r="BM23244" s="1025"/>
      <c r="BO23244" s="43"/>
    </row>
    <row r="23245" spans="65:67" ht="18.75" customHeight="1">
      <c r="BM23245" s="1025"/>
      <c r="BO23245" s="43"/>
    </row>
    <row r="23246" spans="65:67" ht="18.75" customHeight="1">
      <c r="BM23246" s="1025"/>
      <c r="BO23246" s="43"/>
    </row>
    <row r="23247" spans="65:67" ht="18.75" customHeight="1">
      <c r="BM23247" s="1025"/>
      <c r="BO23247" s="43"/>
    </row>
    <row r="23248" spans="65:67" ht="18.75" customHeight="1">
      <c r="BM23248" s="1025"/>
      <c r="BO23248" s="43"/>
    </row>
    <row r="23249" spans="65:67" ht="18.75" customHeight="1">
      <c r="BM23249" s="1025"/>
      <c r="BO23249" s="43"/>
    </row>
    <row r="23250" spans="65:67" ht="18.75" customHeight="1">
      <c r="BM23250" s="1025"/>
      <c r="BO23250" s="43"/>
    </row>
    <row r="23251" spans="65:67" ht="18.75" customHeight="1">
      <c r="BM23251" s="1025"/>
      <c r="BO23251" s="43"/>
    </row>
    <row r="23252" spans="65:67" ht="18.75" customHeight="1">
      <c r="BM23252" s="1025"/>
      <c r="BO23252" s="43"/>
    </row>
    <row r="23253" spans="65:67" ht="18.75" customHeight="1">
      <c r="BM23253" s="1025"/>
      <c r="BO23253" s="43"/>
    </row>
    <row r="23254" spans="65:67" ht="18.75" customHeight="1">
      <c r="BM23254" s="1025"/>
      <c r="BO23254" s="43"/>
    </row>
    <row r="23255" spans="65:67" ht="18.75" customHeight="1">
      <c r="BM23255" s="1025"/>
      <c r="BO23255" s="43"/>
    </row>
    <row r="23256" spans="65:67" ht="18.75" customHeight="1">
      <c r="BM23256" s="1025"/>
      <c r="BO23256" s="43"/>
    </row>
    <row r="23257" spans="65:67" ht="18.75" customHeight="1">
      <c r="BM23257" s="1025"/>
      <c r="BO23257" s="43"/>
    </row>
    <row r="23258" spans="65:67" ht="18.75" customHeight="1">
      <c r="BM23258" s="1025"/>
      <c r="BO23258" s="43"/>
    </row>
    <row r="23259" spans="65:67" ht="18.75" customHeight="1">
      <c r="BM23259" s="1025"/>
      <c r="BO23259" s="43"/>
    </row>
    <row r="23260" spans="65:67" ht="18.75" customHeight="1">
      <c r="BM23260" s="1025"/>
      <c r="BO23260" s="43"/>
    </row>
    <row r="23261" spans="65:67" ht="18.75" customHeight="1">
      <c r="BM23261" s="1025"/>
      <c r="BO23261" s="43"/>
    </row>
    <row r="23262" spans="65:67" ht="18.75" customHeight="1">
      <c r="BM23262" s="1025"/>
      <c r="BO23262" s="43"/>
    </row>
    <row r="23263" spans="65:67" ht="18.75" customHeight="1">
      <c r="BM23263" s="1025"/>
      <c r="BO23263" s="43"/>
    </row>
    <row r="23264" spans="65:67" ht="18.75" customHeight="1">
      <c r="BM23264" s="1025"/>
      <c r="BO23264" s="43"/>
    </row>
    <row r="23265" spans="65:67" ht="18.75" customHeight="1">
      <c r="BM23265" s="1025"/>
      <c r="BO23265" s="43"/>
    </row>
    <row r="23266" spans="65:67" ht="18.75" customHeight="1">
      <c r="BM23266" s="1025"/>
      <c r="BO23266" s="43"/>
    </row>
    <row r="23267" spans="65:67" ht="18.75" customHeight="1">
      <c r="BM23267" s="1025"/>
      <c r="BO23267" s="43"/>
    </row>
    <row r="23268" spans="65:67" ht="18.75" customHeight="1">
      <c r="BM23268" s="1025"/>
      <c r="BO23268" s="43"/>
    </row>
    <row r="23269" spans="65:67" ht="18.75" customHeight="1">
      <c r="BM23269" s="1025"/>
      <c r="BO23269" s="43"/>
    </row>
    <row r="23270" spans="65:67" ht="18.75" customHeight="1">
      <c r="BM23270" s="1025"/>
      <c r="BO23270" s="43"/>
    </row>
    <row r="23271" spans="65:67" ht="18.75" customHeight="1">
      <c r="BM23271" s="1025"/>
      <c r="BO23271" s="43"/>
    </row>
    <row r="23272" spans="65:67" ht="18.75" customHeight="1">
      <c r="BM23272" s="1025"/>
      <c r="BO23272" s="43"/>
    </row>
    <row r="23273" spans="65:67" ht="18.75" customHeight="1">
      <c r="BM23273" s="1025"/>
      <c r="BO23273" s="43"/>
    </row>
    <row r="23274" spans="65:67" ht="18.75" customHeight="1">
      <c r="BM23274" s="1025"/>
      <c r="BO23274" s="43"/>
    </row>
    <row r="23275" spans="65:67" ht="18.75" customHeight="1">
      <c r="BM23275" s="1025"/>
      <c r="BO23275" s="43"/>
    </row>
    <row r="23276" spans="65:67" ht="18.75" customHeight="1">
      <c r="BM23276" s="1025"/>
      <c r="BO23276" s="43"/>
    </row>
    <row r="23277" spans="65:67" ht="18.75" customHeight="1">
      <c r="BM23277" s="1025"/>
      <c r="BO23277" s="43"/>
    </row>
    <row r="23278" spans="65:67" ht="18.75" customHeight="1">
      <c r="BM23278" s="1025"/>
      <c r="BO23278" s="43"/>
    </row>
    <row r="23279" spans="65:67" ht="18.75" customHeight="1">
      <c r="BM23279" s="1025"/>
      <c r="BO23279" s="43"/>
    </row>
    <row r="23280" spans="65:67" ht="18.75" customHeight="1">
      <c r="BM23280" s="1025"/>
      <c r="BO23280" s="43"/>
    </row>
    <row r="23281" spans="65:67" ht="18.75" customHeight="1">
      <c r="BM23281" s="1025"/>
      <c r="BO23281" s="43"/>
    </row>
    <row r="23282" spans="65:67" ht="18.75" customHeight="1">
      <c r="BM23282" s="1025"/>
      <c r="BO23282" s="43"/>
    </row>
    <row r="23283" spans="65:67" ht="18.75" customHeight="1">
      <c r="BM23283" s="1025"/>
      <c r="BO23283" s="43"/>
    </row>
    <row r="23284" spans="65:67" ht="18.75" customHeight="1">
      <c r="BM23284" s="1025"/>
      <c r="BO23284" s="43"/>
    </row>
    <row r="23285" spans="65:67" ht="18.75" customHeight="1">
      <c r="BM23285" s="1025"/>
      <c r="BO23285" s="43"/>
    </row>
    <row r="23286" spans="65:67" ht="18.75" customHeight="1">
      <c r="BM23286" s="1025"/>
      <c r="BO23286" s="43"/>
    </row>
    <row r="23287" spans="65:67" ht="18.75" customHeight="1">
      <c r="BM23287" s="1025"/>
      <c r="BO23287" s="43"/>
    </row>
    <row r="23288" spans="65:67" ht="18.75" customHeight="1">
      <c r="BM23288" s="1025"/>
      <c r="BO23288" s="43"/>
    </row>
    <row r="23289" spans="65:67" ht="18.75" customHeight="1">
      <c r="BM23289" s="1025"/>
      <c r="BO23289" s="43"/>
    </row>
    <row r="23290" spans="65:67" ht="18.75" customHeight="1">
      <c r="BM23290" s="1025"/>
      <c r="BO23290" s="43"/>
    </row>
    <row r="23291" spans="65:67" ht="18.75" customHeight="1">
      <c r="BM23291" s="1025"/>
      <c r="BO23291" s="43"/>
    </row>
    <row r="23292" spans="65:67" ht="18.75" customHeight="1">
      <c r="BM23292" s="1025"/>
      <c r="BO23292" s="43"/>
    </row>
    <row r="23293" spans="65:67" ht="18.75" customHeight="1">
      <c r="BM23293" s="1025"/>
      <c r="BO23293" s="43"/>
    </row>
    <row r="23294" spans="65:67" ht="18.75" customHeight="1">
      <c r="BM23294" s="1025"/>
      <c r="BO23294" s="43"/>
    </row>
    <row r="23295" spans="65:67" ht="18.75" customHeight="1">
      <c r="BM23295" s="1025"/>
      <c r="BO23295" s="43"/>
    </row>
    <row r="23296" spans="65:67" ht="18.75" customHeight="1">
      <c r="BM23296" s="1025"/>
      <c r="BO23296" s="43"/>
    </row>
    <row r="23297" spans="65:67" ht="18.75" customHeight="1">
      <c r="BM23297" s="1025"/>
      <c r="BO23297" s="43"/>
    </row>
    <row r="23298" spans="65:67" ht="18.75" customHeight="1">
      <c r="BM23298" s="1025"/>
      <c r="BO23298" s="43"/>
    </row>
    <row r="23299" spans="65:67" ht="18.75" customHeight="1">
      <c r="BM23299" s="1025"/>
      <c r="BO23299" s="43"/>
    </row>
    <row r="23300" spans="65:67" ht="18.75" customHeight="1">
      <c r="BM23300" s="1025"/>
      <c r="BO23300" s="43"/>
    </row>
    <row r="23301" spans="65:67" ht="18.75" customHeight="1">
      <c r="BM23301" s="1025"/>
      <c r="BO23301" s="43"/>
    </row>
    <row r="23302" spans="65:67" ht="18.75" customHeight="1">
      <c r="BM23302" s="1025"/>
      <c r="BO23302" s="43"/>
    </row>
    <row r="23303" spans="65:67" ht="18.75" customHeight="1">
      <c r="BM23303" s="1025"/>
      <c r="BO23303" s="43"/>
    </row>
    <row r="23304" spans="65:67" ht="18.75" customHeight="1">
      <c r="BM23304" s="1025"/>
      <c r="BO23304" s="43"/>
    </row>
    <row r="23305" spans="65:67" ht="18.75" customHeight="1">
      <c r="BM23305" s="1025"/>
      <c r="BO23305" s="43"/>
    </row>
    <row r="23306" spans="65:67" ht="18.75" customHeight="1">
      <c r="BM23306" s="1025"/>
      <c r="BO23306" s="43"/>
    </row>
    <row r="23307" spans="65:67" ht="18.75" customHeight="1">
      <c r="BM23307" s="1025"/>
      <c r="BO23307" s="43"/>
    </row>
    <row r="23308" spans="65:67" ht="18.75" customHeight="1">
      <c r="BM23308" s="1025"/>
      <c r="BO23308" s="43"/>
    </row>
    <row r="23309" spans="65:67" ht="18.75" customHeight="1">
      <c r="BM23309" s="1025"/>
      <c r="BO23309" s="43"/>
    </row>
    <row r="23310" spans="65:67" ht="18.75" customHeight="1">
      <c r="BM23310" s="1025"/>
      <c r="BO23310" s="43"/>
    </row>
    <row r="23311" spans="65:67" ht="18.75" customHeight="1">
      <c r="BM23311" s="1025"/>
      <c r="BO23311" s="43"/>
    </row>
    <row r="23312" spans="65:67" ht="18.75" customHeight="1">
      <c r="BM23312" s="1025"/>
      <c r="BO23312" s="43"/>
    </row>
    <row r="23313" spans="65:67" ht="18.75" customHeight="1">
      <c r="BM23313" s="1025"/>
      <c r="BO23313" s="43"/>
    </row>
    <row r="23314" spans="65:67" ht="18.75" customHeight="1">
      <c r="BM23314" s="1025"/>
      <c r="BO23314" s="43"/>
    </row>
    <row r="23315" spans="65:67" ht="18.75" customHeight="1">
      <c r="BM23315" s="1025"/>
      <c r="BO23315" s="43"/>
    </row>
    <row r="23316" spans="65:67" ht="18.75" customHeight="1">
      <c r="BM23316" s="1025"/>
      <c r="BO23316" s="43"/>
    </row>
    <row r="23317" spans="65:67" ht="18.75" customHeight="1">
      <c r="BM23317" s="1025"/>
      <c r="BO23317" s="43"/>
    </row>
    <row r="23318" spans="65:67" ht="18.75" customHeight="1">
      <c r="BM23318" s="1025"/>
      <c r="BO23318" s="43"/>
    </row>
    <row r="23319" spans="65:67" ht="18.75" customHeight="1">
      <c r="BM23319" s="1025"/>
      <c r="BO23319" s="43"/>
    </row>
    <row r="23320" spans="65:67" ht="18.75" customHeight="1">
      <c r="BM23320" s="1025"/>
      <c r="BO23320" s="43"/>
    </row>
    <row r="23321" spans="65:67" ht="18.75" customHeight="1">
      <c r="BM23321" s="1025"/>
      <c r="BO23321" s="43"/>
    </row>
    <row r="23322" spans="65:67" ht="18.75" customHeight="1">
      <c r="BM23322" s="1025"/>
      <c r="BO23322" s="43"/>
    </row>
    <row r="23323" spans="65:67" ht="18.75" customHeight="1">
      <c r="BM23323" s="1025"/>
      <c r="BO23323" s="43"/>
    </row>
    <row r="23324" spans="65:67" ht="18.75" customHeight="1">
      <c r="BM23324" s="1025"/>
      <c r="BO23324" s="43"/>
    </row>
    <row r="23325" spans="65:67" ht="18.75" customHeight="1">
      <c r="BM23325" s="1025"/>
      <c r="BO23325" s="43"/>
    </row>
    <row r="23326" spans="65:67" ht="18.75" customHeight="1">
      <c r="BM23326" s="1025"/>
      <c r="BO23326" s="43"/>
    </row>
    <row r="23327" spans="65:67" ht="18.75" customHeight="1">
      <c r="BM23327" s="1025"/>
      <c r="BO23327" s="43"/>
    </row>
    <row r="23328" spans="65:67" ht="18.75" customHeight="1">
      <c r="BM23328" s="1025"/>
      <c r="BO23328" s="43"/>
    </row>
    <row r="23329" spans="65:67" ht="18.75" customHeight="1">
      <c r="BM23329" s="1025"/>
      <c r="BO23329" s="43"/>
    </row>
    <row r="23330" spans="65:67" ht="18.75" customHeight="1">
      <c r="BM23330" s="1025"/>
      <c r="BO23330" s="43"/>
    </row>
    <row r="23331" spans="65:67" ht="18.75" customHeight="1">
      <c r="BM23331" s="1025"/>
      <c r="BO23331" s="43"/>
    </row>
    <row r="23332" spans="65:67" ht="18.75" customHeight="1">
      <c r="BM23332" s="1025"/>
      <c r="BO23332" s="43"/>
    </row>
    <row r="23333" spans="65:67" ht="18.75" customHeight="1">
      <c r="BM23333" s="1025"/>
      <c r="BO23333" s="43"/>
    </row>
    <row r="23334" spans="65:67" ht="18.75" customHeight="1">
      <c r="BM23334" s="1025"/>
      <c r="BO23334" s="43"/>
    </row>
    <row r="23335" spans="65:67" ht="18.75" customHeight="1">
      <c r="BM23335" s="1025"/>
      <c r="BO23335" s="43"/>
    </row>
    <row r="23336" spans="65:67" ht="18.75" customHeight="1">
      <c r="BM23336" s="1025"/>
      <c r="BO23336" s="43"/>
    </row>
    <row r="23337" spans="65:67" ht="18.75" customHeight="1">
      <c r="BM23337" s="1025"/>
      <c r="BO23337" s="43"/>
    </row>
    <row r="23338" spans="65:67" ht="18.75" customHeight="1">
      <c r="BM23338" s="1025"/>
      <c r="BO23338" s="43"/>
    </row>
    <row r="23339" spans="65:67" ht="18.75" customHeight="1">
      <c r="BM23339" s="1025"/>
      <c r="BO23339" s="43"/>
    </row>
    <row r="23340" spans="65:67" ht="18.75" customHeight="1">
      <c r="BM23340" s="1025"/>
      <c r="BO23340" s="43"/>
    </row>
    <row r="23341" spans="65:67" ht="18.75" customHeight="1">
      <c r="BM23341" s="1025"/>
      <c r="BO23341" s="43"/>
    </row>
    <row r="23342" spans="65:67" ht="18.75" customHeight="1">
      <c r="BM23342" s="1025"/>
      <c r="BO23342" s="43"/>
    </row>
    <row r="23343" spans="65:67" ht="18.75" customHeight="1">
      <c r="BM23343" s="1025"/>
      <c r="BO23343" s="43"/>
    </row>
    <row r="23344" spans="65:67" ht="18.75" customHeight="1">
      <c r="BM23344" s="1025"/>
      <c r="BO23344" s="43"/>
    </row>
    <row r="23345" spans="65:67" ht="18.75" customHeight="1">
      <c r="BM23345" s="1025"/>
      <c r="BO23345" s="43"/>
    </row>
    <row r="23346" spans="65:67" ht="18.75" customHeight="1">
      <c r="BM23346" s="1025"/>
      <c r="BO23346" s="43"/>
    </row>
    <row r="23347" spans="65:67" ht="18.75" customHeight="1">
      <c r="BM23347" s="1025"/>
      <c r="BO23347" s="43"/>
    </row>
    <row r="23348" spans="65:67" ht="18.75" customHeight="1">
      <c r="BM23348" s="1025"/>
      <c r="BO23348" s="43"/>
    </row>
    <row r="23349" spans="65:67" ht="18.75" customHeight="1">
      <c r="BM23349" s="1025"/>
      <c r="BO23349" s="43"/>
    </row>
    <row r="23350" spans="65:67" ht="18.75" customHeight="1">
      <c r="BM23350" s="1025"/>
      <c r="BO23350" s="43"/>
    </row>
    <row r="23351" spans="65:67" ht="18.75" customHeight="1">
      <c r="BM23351" s="1025"/>
      <c r="BO23351" s="43"/>
    </row>
    <row r="23352" spans="65:67" ht="18.75" customHeight="1">
      <c r="BM23352" s="1025"/>
      <c r="BO23352" s="43"/>
    </row>
    <row r="23353" spans="65:67" ht="18.75" customHeight="1">
      <c r="BM23353" s="1025"/>
      <c r="BO23353" s="43"/>
    </row>
    <row r="23354" spans="65:67" ht="18.75" customHeight="1">
      <c r="BM23354" s="1025"/>
      <c r="BO23354" s="43"/>
    </row>
    <row r="23355" spans="65:67" ht="18.75" customHeight="1">
      <c r="BM23355" s="1025"/>
      <c r="BO23355" s="43"/>
    </row>
    <row r="23356" spans="65:67" ht="18.75" customHeight="1">
      <c r="BM23356" s="1025"/>
      <c r="BO23356" s="43"/>
    </row>
    <row r="23357" spans="65:67" ht="18.75" customHeight="1">
      <c r="BM23357" s="1025"/>
      <c r="BO23357" s="43"/>
    </row>
    <row r="23358" spans="65:67" ht="18.75" customHeight="1">
      <c r="BM23358" s="1025"/>
      <c r="BO23358" s="43"/>
    </row>
    <row r="23359" spans="65:67" ht="18.75" customHeight="1">
      <c r="BM23359" s="1025"/>
      <c r="BO23359" s="43"/>
    </row>
    <row r="23360" spans="65:67" ht="18.75" customHeight="1">
      <c r="BM23360" s="1025"/>
      <c r="BO23360" s="43"/>
    </row>
    <row r="23361" spans="65:67" ht="18.75" customHeight="1">
      <c r="BM23361" s="1025"/>
      <c r="BO23361" s="43"/>
    </row>
    <row r="23362" spans="65:67" ht="18.75" customHeight="1">
      <c r="BM23362" s="1025"/>
      <c r="BO23362" s="43"/>
    </row>
    <row r="23363" spans="65:67" ht="18.75" customHeight="1">
      <c r="BM23363" s="1025"/>
      <c r="BO23363" s="43"/>
    </row>
    <row r="23364" spans="65:67" ht="18.75" customHeight="1">
      <c r="BM23364" s="1025"/>
      <c r="BO23364" s="43"/>
    </row>
    <row r="23365" spans="65:67" ht="18.75" customHeight="1">
      <c r="BM23365" s="1025"/>
      <c r="BO23365" s="43"/>
    </row>
    <row r="23366" spans="65:67" ht="18.75" customHeight="1">
      <c r="BM23366" s="1025"/>
      <c r="BO23366" s="43"/>
    </row>
    <row r="23367" spans="65:67" ht="18.75" customHeight="1">
      <c r="BM23367" s="1025"/>
      <c r="BO23367" s="43"/>
    </row>
    <row r="23368" spans="65:67" ht="18.75" customHeight="1">
      <c r="BM23368" s="1025"/>
      <c r="BO23368" s="43"/>
    </row>
    <row r="23369" spans="65:67" ht="18.75" customHeight="1">
      <c r="BM23369" s="1025"/>
      <c r="BO23369" s="43"/>
    </row>
    <row r="23370" spans="65:67" ht="18.75" customHeight="1">
      <c r="BM23370" s="1025"/>
      <c r="BO23370" s="43"/>
    </row>
    <row r="23371" spans="65:67" ht="18.75" customHeight="1">
      <c r="BM23371" s="1025"/>
      <c r="BO23371" s="43"/>
    </row>
    <row r="23372" spans="65:67" ht="18.75" customHeight="1">
      <c r="BM23372" s="1025"/>
      <c r="BO23372" s="43"/>
    </row>
    <row r="23373" spans="65:67" ht="18.75" customHeight="1">
      <c r="BM23373" s="1025"/>
      <c r="BO23373" s="43"/>
    </row>
    <row r="23374" spans="65:67" ht="18.75" customHeight="1">
      <c r="BM23374" s="1025"/>
      <c r="BO23374" s="43"/>
    </row>
    <row r="23375" spans="65:67" ht="18.75" customHeight="1">
      <c r="BM23375" s="1025"/>
      <c r="BO23375" s="43"/>
    </row>
    <row r="23376" spans="65:67" ht="18.75" customHeight="1">
      <c r="BM23376" s="1025"/>
      <c r="BO23376" s="43"/>
    </row>
    <row r="23377" spans="65:67" ht="18.75" customHeight="1">
      <c r="BM23377" s="1025"/>
      <c r="BO23377" s="43"/>
    </row>
    <row r="23378" spans="65:67" ht="18.75" customHeight="1">
      <c r="BM23378" s="1025"/>
      <c r="BO23378" s="43"/>
    </row>
    <row r="23379" spans="65:67" ht="18.75" customHeight="1">
      <c r="BM23379" s="1025"/>
      <c r="BO23379" s="43"/>
    </row>
    <row r="23380" spans="65:67" ht="18.75" customHeight="1">
      <c r="BM23380" s="1025"/>
      <c r="BO23380" s="43"/>
    </row>
    <row r="23381" spans="65:67" ht="18.75" customHeight="1">
      <c r="BM23381" s="1025"/>
      <c r="BO23381" s="43"/>
    </row>
    <row r="23382" spans="65:67" ht="18.75" customHeight="1">
      <c r="BM23382" s="1025"/>
      <c r="BO23382" s="43"/>
    </row>
    <row r="23383" spans="65:67" ht="18.75" customHeight="1">
      <c r="BM23383" s="1025"/>
      <c r="BO23383" s="43"/>
    </row>
    <row r="23384" spans="65:67" ht="18.75" customHeight="1">
      <c r="BM23384" s="1025"/>
      <c r="BO23384" s="43"/>
    </row>
    <row r="23385" spans="65:67" ht="18.75" customHeight="1">
      <c r="BM23385" s="1025"/>
      <c r="BO23385" s="43"/>
    </row>
    <row r="23386" spans="65:67" ht="18.75" customHeight="1">
      <c r="BM23386" s="1025"/>
      <c r="BO23386" s="43"/>
    </row>
    <row r="23387" spans="65:67" ht="18.75" customHeight="1">
      <c r="BM23387" s="1025"/>
      <c r="BO23387" s="43"/>
    </row>
    <row r="23388" spans="65:67" ht="18.75" customHeight="1">
      <c r="BM23388" s="1025"/>
      <c r="BO23388" s="43"/>
    </row>
    <row r="23389" spans="65:67" ht="18.75" customHeight="1">
      <c r="BM23389" s="1025"/>
      <c r="BO23389" s="43"/>
    </row>
    <row r="23390" spans="65:67" ht="18.75" customHeight="1">
      <c r="BM23390" s="1025"/>
      <c r="BO23390" s="43"/>
    </row>
    <row r="23391" spans="65:67" ht="18.75" customHeight="1">
      <c r="BM23391" s="1025"/>
      <c r="BO23391" s="43"/>
    </row>
    <row r="23392" spans="65:67" ht="18.75" customHeight="1">
      <c r="BM23392" s="1025"/>
      <c r="BO23392" s="43"/>
    </row>
    <row r="23393" spans="65:67" ht="18.75" customHeight="1">
      <c r="BM23393" s="1025"/>
      <c r="BO23393" s="43"/>
    </row>
    <row r="23394" spans="65:67" ht="18.75" customHeight="1">
      <c r="BM23394" s="1025"/>
      <c r="BO23394" s="43"/>
    </row>
    <row r="23395" spans="65:67" ht="18.75" customHeight="1">
      <c r="BM23395" s="1025"/>
      <c r="BO23395" s="43"/>
    </row>
    <row r="23396" spans="65:67" ht="18.75" customHeight="1">
      <c r="BM23396" s="1025"/>
      <c r="BO23396" s="43"/>
    </row>
    <row r="23397" spans="65:67" ht="18.75" customHeight="1">
      <c r="BM23397" s="1025"/>
      <c r="BO23397" s="43"/>
    </row>
    <row r="23398" spans="65:67" ht="18.75" customHeight="1">
      <c r="BM23398" s="1025"/>
      <c r="BO23398" s="43"/>
    </row>
    <row r="23399" spans="65:67" ht="18.75" customHeight="1">
      <c r="BM23399" s="1025"/>
      <c r="BO23399" s="43"/>
    </row>
    <row r="23400" spans="65:67" ht="18.75" customHeight="1">
      <c r="BM23400" s="1025"/>
      <c r="BO23400" s="43"/>
    </row>
    <row r="23401" spans="65:67" ht="18.75" customHeight="1">
      <c r="BM23401" s="1025"/>
      <c r="BO23401" s="43"/>
    </row>
    <row r="23402" spans="65:67" ht="18.75" customHeight="1">
      <c r="BM23402" s="1025"/>
      <c r="BO23402" s="43"/>
    </row>
    <row r="23403" spans="65:67" ht="18.75" customHeight="1">
      <c r="BM23403" s="1025"/>
      <c r="BO23403" s="43"/>
    </row>
    <row r="23404" spans="65:67" ht="18.75" customHeight="1">
      <c r="BM23404" s="1025"/>
      <c r="BO23404" s="43"/>
    </row>
    <row r="23405" spans="65:67" ht="18.75" customHeight="1">
      <c r="BM23405" s="1025"/>
      <c r="BO23405" s="43"/>
    </row>
    <row r="23406" spans="65:67" ht="18.75" customHeight="1">
      <c r="BM23406" s="1025"/>
      <c r="BO23406" s="43"/>
    </row>
    <row r="23407" spans="65:67" ht="18.75" customHeight="1">
      <c r="BM23407" s="1025"/>
      <c r="BO23407" s="43"/>
    </row>
    <row r="23408" spans="65:67" ht="18.75" customHeight="1">
      <c r="BM23408" s="1025"/>
      <c r="BO23408" s="43"/>
    </row>
    <row r="23409" spans="65:67" ht="18.75" customHeight="1">
      <c r="BM23409" s="1025"/>
      <c r="BO23409" s="43"/>
    </row>
    <row r="23410" spans="65:67" ht="18.75" customHeight="1">
      <c r="BM23410" s="1025"/>
      <c r="BO23410" s="43"/>
    </row>
    <row r="23411" spans="65:67" ht="18.75" customHeight="1">
      <c r="BM23411" s="1025"/>
      <c r="BO23411" s="43"/>
    </row>
    <row r="23412" spans="65:67" ht="18.75" customHeight="1">
      <c r="BM23412" s="1025"/>
      <c r="BO23412" s="43"/>
    </row>
    <row r="23413" spans="65:67" ht="18.75" customHeight="1">
      <c r="BM23413" s="1025"/>
      <c r="BO23413" s="43"/>
    </row>
    <row r="23414" spans="65:67" ht="18.75" customHeight="1">
      <c r="BM23414" s="1025"/>
      <c r="BO23414" s="43"/>
    </row>
    <row r="23415" spans="65:67" ht="18.75" customHeight="1">
      <c r="BM23415" s="1025"/>
      <c r="BO23415" s="43"/>
    </row>
    <row r="23416" spans="65:67" ht="18.75" customHeight="1">
      <c r="BM23416" s="1025"/>
      <c r="BO23416" s="43"/>
    </row>
    <row r="23417" spans="65:67" ht="18.75" customHeight="1">
      <c r="BM23417" s="1025"/>
      <c r="BO23417" s="43"/>
    </row>
    <row r="23418" spans="65:67" ht="18.75" customHeight="1">
      <c r="BM23418" s="1025"/>
      <c r="BO23418" s="43"/>
    </row>
    <row r="23419" spans="65:67" ht="18.75" customHeight="1">
      <c r="BM23419" s="1025"/>
      <c r="BO23419" s="43"/>
    </row>
    <row r="23420" spans="65:67" ht="18.75" customHeight="1">
      <c r="BM23420" s="1025"/>
      <c r="BO23420" s="43"/>
    </row>
    <row r="23421" spans="65:67" ht="18.75" customHeight="1">
      <c r="BM23421" s="1025"/>
      <c r="BO23421" s="43"/>
    </row>
    <row r="23422" spans="65:67" ht="18.75" customHeight="1">
      <c r="BM23422" s="1025"/>
      <c r="BO23422" s="43"/>
    </row>
    <row r="23423" spans="65:67" ht="18.75" customHeight="1">
      <c r="BM23423" s="1025"/>
      <c r="BO23423" s="43"/>
    </row>
    <row r="23424" spans="65:67" ht="18.75" customHeight="1">
      <c r="BM23424" s="1025"/>
      <c r="BO23424" s="43"/>
    </row>
    <row r="23425" spans="65:67" ht="18.75" customHeight="1">
      <c r="BM23425" s="1025"/>
      <c r="BO23425" s="43"/>
    </row>
    <row r="23426" spans="65:67" ht="18.75" customHeight="1">
      <c r="BM23426" s="1025"/>
      <c r="BO23426" s="43"/>
    </row>
    <row r="23427" spans="65:67" ht="18.75" customHeight="1">
      <c r="BM23427" s="1025"/>
      <c r="BO23427" s="43"/>
    </row>
    <row r="23428" spans="65:67" ht="18.75" customHeight="1">
      <c r="BM23428" s="1025"/>
      <c r="BO23428" s="43"/>
    </row>
    <row r="23429" spans="65:67" ht="18.75" customHeight="1">
      <c r="BM23429" s="1025"/>
      <c r="BO23429" s="43"/>
    </row>
    <row r="23430" spans="65:67" ht="18.75" customHeight="1">
      <c r="BM23430" s="1025"/>
      <c r="BO23430" s="43"/>
    </row>
    <row r="23431" spans="65:67" ht="18.75" customHeight="1">
      <c r="BM23431" s="1025"/>
      <c r="BO23431" s="43"/>
    </row>
    <row r="23432" spans="65:67" ht="18.75" customHeight="1">
      <c r="BM23432" s="1025"/>
      <c r="BO23432" s="43"/>
    </row>
    <row r="23433" spans="65:67" ht="18.75" customHeight="1">
      <c r="BM23433" s="1025"/>
      <c r="BO23433" s="43"/>
    </row>
    <row r="23434" spans="65:67" ht="18.75" customHeight="1">
      <c r="BM23434" s="1025"/>
      <c r="BO23434" s="43"/>
    </row>
    <row r="23435" spans="65:67" ht="18.75" customHeight="1">
      <c r="BM23435" s="1025"/>
      <c r="BO23435" s="43"/>
    </row>
    <row r="23436" spans="65:67" ht="18.75" customHeight="1">
      <c r="BM23436" s="1025"/>
      <c r="BO23436" s="43"/>
    </row>
    <row r="23437" spans="65:67" ht="18.75" customHeight="1">
      <c r="BM23437" s="1025"/>
      <c r="BO23437" s="43"/>
    </row>
    <row r="23438" spans="65:67" ht="18.75" customHeight="1">
      <c r="BM23438" s="1025"/>
      <c r="BO23438" s="43"/>
    </row>
    <row r="23439" spans="65:67" ht="18.75" customHeight="1">
      <c r="BM23439" s="1025"/>
      <c r="BO23439" s="43"/>
    </row>
    <row r="23440" spans="65:67" ht="18.75" customHeight="1">
      <c r="BM23440" s="1025"/>
      <c r="BO23440" s="43"/>
    </row>
    <row r="23441" spans="65:67" ht="18.75" customHeight="1">
      <c r="BM23441" s="1025"/>
      <c r="BO23441" s="43"/>
    </row>
    <row r="23442" spans="65:67" ht="18.75" customHeight="1">
      <c r="BM23442" s="1025"/>
      <c r="BO23442" s="43"/>
    </row>
    <row r="23443" spans="65:67" ht="18.75" customHeight="1">
      <c r="BM23443" s="1025"/>
      <c r="BO23443" s="43"/>
    </row>
    <row r="23444" spans="65:67" ht="18.75" customHeight="1">
      <c r="BM23444" s="1025"/>
      <c r="BO23444" s="43"/>
    </row>
    <row r="23445" spans="65:67" ht="18.75" customHeight="1">
      <c r="BM23445" s="1025"/>
      <c r="BO23445" s="43"/>
    </row>
    <row r="23446" spans="65:67" ht="18.75" customHeight="1">
      <c r="BM23446" s="1025"/>
      <c r="BO23446" s="43"/>
    </row>
    <row r="23447" spans="65:67" ht="18.75" customHeight="1">
      <c r="BM23447" s="1025"/>
      <c r="BO23447" s="43"/>
    </row>
    <row r="23448" spans="65:67" ht="18.75" customHeight="1">
      <c r="BM23448" s="1025"/>
      <c r="BO23448" s="43"/>
    </row>
    <row r="23449" spans="65:67" ht="18.75" customHeight="1">
      <c r="BM23449" s="1025"/>
      <c r="BO23449" s="43"/>
    </row>
    <row r="23450" spans="65:67" ht="18.75" customHeight="1">
      <c r="BM23450" s="1025"/>
      <c r="BO23450" s="43"/>
    </row>
    <row r="23451" spans="65:67" ht="18.75" customHeight="1">
      <c r="BM23451" s="1025"/>
      <c r="BO23451" s="43"/>
    </row>
    <row r="23452" spans="65:67" ht="18.75" customHeight="1">
      <c r="BM23452" s="1025"/>
      <c r="BO23452" s="43"/>
    </row>
    <row r="23453" spans="65:67" ht="18.75" customHeight="1">
      <c r="BM23453" s="1025"/>
      <c r="BO23453" s="43"/>
    </row>
    <row r="23454" spans="65:67" ht="18.75" customHeight="1">
      <c r="BM23454" s="1025"/>
      <c r="BO23454" s="43"/>
    </row>
    <row r="23455" spans="65:67" ht="18.75" customHeight="1">
      <c r="BM23455" s="1025"/>
      <c r="BO23455" s="43"/>
    </row>
    <row r="23456" spans="65:67" ht="18.75" customHeight="1">
      <c r="BM23456" s="1025"/>
      <c r="BO23456" s="43"/>
    </row>
    <row r="23457" spans="65:67" ht="18.75" customHeight="1">
      <c r="BM23457" s="1025"/>
      <c r="BO23457" s="43"/>
    </row>
    <row r="23458" spans="65:67" ht="18.75" customHeight="1">
      <c r="BM23458" s="1025"/>
      <c r="BO23458" s="43"/>
    </row>
    <row r="23459" spans="65:67" ht="18.75" customHeight="1">
      <c r="BM23459" s="1025"/>
      <c r="BO23459" s="43"/>
    </row>
    <row r="23460" spans="65:67" ht="18.75" customHeight="1">
      <c r="BM23460" s="1025"/>
      <c r="BO23460" s="43"/>
    </row>
    <row r="23461" spans="65:67" ht="18.75" customHeight="1">
      <c r="BM23461" s="1025"/>
      <c r="BO23461" s="43"/>
    </row>
    <row r="23462" spans="65:67" ht="18.75" customHeight="1">
      <c r="BM23462" s="1025"/>
      <c r="BO23462" s="43"/>
    </row>
    <row r="23463" spans="65:67" ht="18.75" customHeight="1">
      <c r="BM23463" s="1025"/>
      <c r="BO23463" s="43"/>
    </row>
    <row r="23464" spans="65:67" ht="18.75" customHeight="1">
      <c r="BM23464" s="1025"/>
      <c r="BO23464" s="43"/>
    </row>
    <row r="23465" spans="65:67" ht="18.75" customHeight="1">
      <c r="BM23465" s="1025"/>
      <c r="BO23465" s="43"/>
    </row>
    <row r="23466" spans="65:67" ht="18.75" customHeight="1">
      <c r="BM23466" s="1025"/>
      <c r="BO23466" s="43"/>
    </row>
    <row r="23467" spans="65:67" ht="18.75" customHeight="1">
      <c r="BM23467" s="1025"/>
      <c r="BO23467" s="43"/>
    </row>
    <row r="23468" spans="65:67" ht="18.75" customHeight="1">
      <c r="BM23468" s="1025"/>
      <c r="BO23468" s="43"/>
    </row>
    <row r="23469" spans="65:67" ht="18.75" customHeight="1">
      <c r="BM23469" s="1025"/>
      <c r="BO23469" s="43"/>
    </row>
    <row r="23470" spans="65:67" ht="18.75" customHeight="1">
      <c r="BM23470" s="1025"/>
      <c r="BO23470" s="43"/>
    </row>
    <row r="23471" spans="65:67" ht="18.75" customHeight="1">
      <c r="BM23471" s="1025"/>
      <c r="BO23471" s="43"/>
    </row>
    <row r="23472" spans="65:67" ht="18.75" customHeight="1">
      <c r="BM23472" s="1025"/>
      <c r="BO23472" s="43"/>
    </row>
    <row r="23473" spans="65:67" ht="18.75" customHeight="1">
      <c r="BM23473" s="1025"/>
      <c r="BO23473" s="43"/>
    </row>
    <row r="23474" spans="65:67" ht="18.75" customHeight="1">
      <c r="BM23474" s="1025"/>
      <c r="BO23474" s="43"/>
    </row>
    <row r="23475" spans="65:67" ht="18.75" customHeight="1">
      <c r="BM23475" s="1025"/>
      <c r="BO23475" s="43"/>
    </row>
    <row r="23476" spans="65:67" ht="18.75" customHeight="1">
      <c r="BM23476" s="1025"/>
      <c r="BO23476" s="43"/>
    </row>
    <row r="23477" spans="65:67" ht="18.75" customHeight="1">
      <c r="BM23477" s="1025"/>
      <c r="BO23477" s="43"/>
    </row>
    <row r="23478" spans="65:67" ht="18.75" customHeight="1">
      <c r="BM23478" s="1025"/>
      <c r="BO23478" s="43"/>
    </row>
    <row r="23479" spans="65:67" ht="18.75" customHeight="1">
      <c r="BM23479" s="1025"/>
      <c r="BO23479" s="43"/>
    </row>
    <row r="23480" spans="65:67" ht="18.75" customHeight="1">
      <c r="BM23480" s="1025"/>
      <c r="BO23480" s="43"/>
    </row>
    <row r="23481" spans="65:67" ht="18.75" customHeight="1">
      <c r="BM23481" s="1025"/>
      <c r="BO23481" s="43"/>
    </row>
    <row r="23482" spans="65:67" ht="18.75" customHeight="1">
      <c r="BM23482" s="1025"/>
      <c r="BO23482" s="43"/>
    </row>
    <row r="23483" spans="65:67" ht="18.75" customHeight="1">
      <c r="BM23483" s="1025"/>
      <c r="BO23483" s="43"/>
    </row>
    <row r="23484" spans="65:67" ht="18.75" customHeight="1">
      <c r="BM23484" s="1025"/>
      <c r="BO23484" s="43"/>
    </row>
    <row r="23485" spans="65:67" ht="18.75" customHeight="1">
      <c r="BM23485" s="1025"/>
      <c r="BO23485" s="43"/>
    </row>
    <row r="23486" spans="65:67" ht="18.75" customHeight="1">
      <c r="BM23486" s="1025"/>
      <c r="BO23486" s="43"/>
    </row>
    <row r="23487" spans="65:67" ht="18.75" customHeight="1">
      <c r="BM23487" s="1025"/>
      <c r="BO23487" s="43"/>
    </row>
    <row r="23488" spans="65:67" ht="18.75" customHeight="1">
      <c r="BM23488" s="1025"/>
      <c r="BO23488" s="43"/>
    </row>
    <row r="23489" spans="65:67" ht="18.75" customHeight="1">
      <c r="BM23489" s="1025"/>
      <c r="BO23489" s="43"/>
    </row>
    <row r="23490" spans="65:67" ht="18.75" customHeight="1">
      <c r="BM23490" s="1025"/>
      <c r="BO23490" s="43"/>
    </row>
    <row r="23491" spans="65:67" ht="18.75" customHeight="1">
      <c r="BM23491" s="1025"/>
      <c r="BO23491" s="43"/>
    </row>
    <row r="23492" spans="65:67" ht="18.75" customHeight="1">
      <c r="BM23492" s="1025"/>
      <c r="BO23492" s="43"/>
    </row>
    <row r="23493" spans="65:67" ht="18.75" customHeight="1">
      <c r="BM23493" s="1025"/>
      <c r="BO23493" s="43"/>
    </row>
    <row r="23494" spans="65:67" ht="18.75" customHeight="1">
      <c r="BM23494" s="1025"/>
      <c r="BO23494" s="43"/>
    </row>
    <row r="23495" spans="65:67" ht="18.75" customHeight="1">
      <c r="BM23495" s="1025"/>
      <c r="BO23495" s="43"/>
    </row>
    <row r="23496" spans="65:67" ht="18.75" customHeight="1">
      <c r="BM23496" s="1025"/>
      <c r="BO23496" s="43"/>
    </row>
    <row r="23497" spans="65:67" ht="18.75" customHeight="1">
      <c r="BM23497" s="1025"/>
      <c r="BO23497" s="43"/>
    </row>
    <row r="23498" spans="65:67" ht="18.75" customHeight="1">
      <c r="BM23498" s="1025"/>
      <c r="BO23498" s="43"/>
    </row>
    <row r="23499" spans="65:67" ht="18.75" customHeight="1">
      <c r="BM23499" s="1025"/>
      <c r="BO23499" s="43"/>
    </row>
    <row r="23500" spans="65:67" ht="18.75" customHeight="1">
      <c r="BM23500" s="1025"/>
      <c r="BO23500" s="43"/>
    </row>
    <row r="23501" spans="65:67" ht="18.75" customHeight="1">
      <c r="BM23501" s="1025"/>
      <c r="BO23501" s="43"/>
    </row>
    <row r="23502" spans="65:67" ht="18.75" customHeight="1">
      <c r="BM23502" s="1025"/>
      <c r="BO23502" s="43"/>
    </row>
    <row r="23503" spans="65:67" ht="18.75" customHeight="1">
      <c r="BM23503" s="1025"/>
      <c r="BO23503" s="43"/>
    </row>
    <row r="23504" spans="65:67" ht="18.75" customHeight="1">
      <c r="BM23504" s="1025"/>
      <c r="BO23504" s="43"/>
    </row>
    <row r="23505" spans="65:67" ht="18.75" customHeight="1">
      <c r="BM23505" s="1025"/>
      <c r="BO23505" s="43"/>
    </row>
    <row r="23506" spans="65:67" ht="18.75" customHeight="1">
      <c r="BM23506" s="1025"/>
      <c r="BO23506" s="43"/>
    </row>
    <row r="23507" spans="65:67" ht="18.75" customHeight="1">
      <c r="BM23507" s="1025"/>
      <c r="BO23507" s="43"/>
    </row>
    <row r="23508" spans="65:67" ht="18.75" customHeight="1">
      <c r="BM23508" s="1025"/>
      <c r="BO23508" s="43"/>
    </row>
    <row r="23509" spans="65:67" ht="18.75" customHeight="1">
      <c r="BM23509" s="1025"/>
      <c r="BO23509" s="43"/>
    </row>
    <row r="23510" spans="65:67" ht="18.75" customHeight="1">
      <c r="BM23510" s="1025"/>
      <c r="BO23510" s="43"/>
    </row>
    <row r="23511" spans="65:67" ht="18.75" customHeight="1">
      <c r="BM23511" s="1025"/>
      <c r="BO23511" s="43"/>
    </row>
    <row r="23512" spans="65:67" ht="18.75" customHeight="1">
      <c r="BM23512" s="1025"/>
      <c r="BO23512" s="43"/>
    </row>
    <row r="23513" spans="65:67" ht="18.75" customHeight="1">
      <c r="BM23513" s="1025"/>
      <c r="BO23513" s="43"/>
    </row>
    <row r="23514" spans="65:67" ht="18.75" customHeight="1">
      <c r="BM23514" s="1025"/>
      <c r="BO23514" s="43"/>
    </row>
    <row r="23515" spans="65:67" ht="18.75" customHeight="1">
      <c r="BM23515" s="1025"/>
      <c r="BO23515" s="43"/>
    </row>
    <row r="23516" spans="65:67" ht="18.75" customHeight="1">
      <c r="BM23516" s="1025"/>
      <c r="BO23516" s="43"/>
    </row>
    <row r="23517" spans="65:67" ht="18.75" customHeight="1">
      <c r="BM23517" s="1025"/>
      <c r="BO23517" s="43"/>
    </row>
    <row r="23518" spans="65:67" ht="18.75" customHeight="1">
      <c r="BM23518" s="1025"/>
      <c r="BO23518" s="43"/>
    </row>
    <row r="23519" spans="65:67" ht="18.75" customHeight="1">
      <c r="BM23519" s="1025"/>
      <c r="BO23519" s="43"/>
    </row>
    <row r="23520" spans="65:67" ht="18.75" customHeight="1">
      <c r="BM23520" s="1025"/>
      <c r="BO23520" s="43"/>
    </row>
    <row r="23521" spans="65:67" ht="18.75" customHeight="1">
      <c r="BM23521" s="1025"/>
      <c r="BO23521" s="43"/>
    </row>
    <row r="23522" spans="65:67" ht="18.75" customHeight="1">
      <c r="BM23522" s="1025"/>
      <c r="BO23522" s="43"/>
    </row>
    <row r="23523" spans="65:67" ht="18.75" customHeight="1">
      <c r="BM23523" s="1025"/>
      <c r="BO23523" s="43"/>
    </row>
    <row r="23524" spans="65:67" ht="18.75" customHeight="1">
      <c r="BM23524" s="1025"/>
      <c r="BO23524" s="43"/>
    </row>
    <row r="23525" spans="65:67" ht="18.75" customHeight="1">
      <c r="BM23525" s="1025"/>
      <c r="BO23525" s="43"/>
    </row>
    <row r="23526" spans="65:67" ht="18.75" customHeight="1">
      <c r="BM23526" s="1025"/>
      <c r="BO23526" s="43"/>
    </row>
    <row r="23527" spans="65:67" ht="18.75" customHeight="1">
      <c r="BM23527" s="1025"/>
      <c r="BO23527" s="43"/>
    </row>
    <row r="23528" spans="65:67" ht="18.75" customHeight="1">
      <c r="BM23528" s="1025"/>
      <c r="BO23528" s="43"/>
    </row>
    <row r="23529" spans="65:67" ht="18.75" customHeight="1">
      <c r="BM23529" s="1025"/>
      <c r="BO23529" s="43"/>
    </row>
    <row r="23530" spans="65:67" ht="18.75" customHeight="1">
      <c r="BM23530" s="1025"/>
      <c r="BO23530" s="43"/>
    </row>
    <row r="23531" spans="65:67" ht="18.75" customHeight="1">
      <c r="BM23531" s="1025"/>
      <c r="BO23531" s="43"/>
    </row>
    <row r="23532" spans="65:67" ht="18.75" customHeight="1">
      <c r="BM23532" s="1025"/>
      <c r="BO23532" s="43"/>
    </row>
    <row r="23533" spans="65:67" ht="18.75" customHeight="1">
      <c r="BM23533" s="1025"/>
      <c r="BO23533" s="43"/>
    </row>
    <row r="23534" spans="65:67" ht="18.75" customHeight="1">
      <c r="BM23534" s="1025"/>
      <c r="BO23534" s="43"/>
    </row>
    <row r="23535" spans="65:67" ht="18.75" customHeight="1">
      <c r="BM23535" s="1025"/>
      <c r="BO23535" s="43"/>
    </row>
    <row r="23536" spans="65:67" ht="18.75" customHeight="1">
      <c r="BM23536" s="1025"/>
      <c r="BO23536" s="43"/>
    </row>
    <row r="23537" spans="65:67" ht="18.75" customHeight="1">
      <c r="BM23537" s="1025"/>
      <c r="BO23537" s="43"/>
    </row>
    <row r="23538" spans="65:67" ht="18.75" customHeight="1">
      <c r="BM23538" s="1025"/>
      <c r="BO23538" s="43"/>
    </row>
    <row r="23539" spans="65:67" ht="18.75" customHeight="1">
      <c r="BM23539" s="1025"/>
      <c r="BO23539" s="43"/>
    </row>
    <row r="23540" spans="65:67" ht="18.75" customHeight="1">
      <c r="BM23540" s="1025"/>
      <c r="BO23540" s="43"/>
    </row>
    <row r="23541" spans="65:67" ht="18.75" customHeight="1">
      <c r="BM23541" s="1025"/>
      <c r="BO23541" s="43"/>
    </row>
    <row r="23542" spans="65:67" ht="18.75" customHeight="1">
      <c r="BM23542" s="1025"/>
      <c r="BO23542" s="43"/>
    </row>
    <row r="23543" spans="65:67" ht="18.75" customHeight="1">
      <c r="BM23543" s="1025"/>
      <c r="BO23543" s="43"/>
    </row>
    <row r="23544" spans="65:67" ht="18.75" customHeight="1">
      <c r="BM23544" s="1025"/>
      <c r="BO23544" s="43"/>
    </row>
    <row r="23545" spans="65:67" ht="18.75" customHeight="1">
      <c r="BM23545" s="1025"/>
      <c r="BO23545" s="43"/>
    </row>
    <row r="23546" spans="65:67" ht="18.75" customHeight="1">
      <c r="BM23546" s="1025"/>
      <c r="BO23546" s="43"/>
    </row>
    <row r="23547" spans="65:67" ht="18.75" customHeight="1">
      <c r="BM23547" s="1025"/>
      <c r="BO23547" s="43"/>
    </row>
    <row r="23548" spans="65:67" ht="18.75" customHeight="1">
      <c r="BM23548" s="1025"/>
      <c r="BO23548" s="43"/>
    </row>
    <row r="23549" spans="65:67" ht="18.75" customHeight="1">
      <c r="BM23549" s="1025"/>
      <c r="BO23549" s="43"/>
    </row>
    <row r="23550" spans="65:67" ht="18.75" customHeight="1">
      <c r="BM23550" s="1025"/>
      <c r="BO23550" s="43"/>
    </row>
    <row r="23551" spans="65:67" ht="18.75" customHeight="1">
      <c r="BM23551" s="1025"/>
      <c r="BO23551" s="43"/>
    </row>
    <row r="23552" spans="65:67" ht="18.75" customHeight="1">
      <c r="BM23552" s="1025"/>
      <c r="BO23552" s="43"/>
    </row>
    <row r="23553" spans="65:67" ht="18.75" customHeight="1">
      <c r="BM23553" s="1025"/>
      <c r="BO23553" s="43"/>
    </row>
    <row r="23554" spans="65:67" ht="18.75" customHeight="1">
      <c r="BM23554" s="1025"/>
      <c r="BO23554" s="43"/>
    </row>
    <row r="23555" spans="65:67" ht="18.75" customHeight="1">
      <c r="BM23555" s="1025"/>
      <c r="BO23555" s="43"/>
    </row>
    <row r="23556" spans="65:67" ht="18.75" customHeight="1">
      <c r="BM23556" s="1025"/>
      <c r="BO23556" s="43"/>
    </row>
    <row r="23557" spans="65:67" ht="18.75" customHeight="1">
      <c r="BM23557" s="1025"/>
      <c r="BO23557" s="43"/>
    </row>
    <row r="23558" spans="65:67" ht="18.75" customHeight="1">
      <c r="BM23558" s="1025"/>
      <c r="BO23558" s="43"/>
    </row>
    <row r="23559" spans="65:67" ht="18.75" customHeight="1">
      <c r="BM23559" s="1025"/>
      <c r="BO23559" s="43"/>
    </row>
    <row r="23560" spans="65:67" ht="18.75" customHeight="1">
      <c r="BM23560" s="1025"/>
      <c r="BO23560" s="43"/>
    </row>
    <row r="23561" spans="65:67" ht="18.75" customHeight="1">
      <c r="BM23561" s="1025"/>
      <c r="BO23561" s="43"/>
    </row>
    <row r="23562" spans="65:67" ht="18.75" customHeight="1">
      <c r="BM23562" s="1025"/>
      <c r="BO23562" s="43"/>
    </row>
    <row r="23563" spans="65:67" ht="18.75" customHeight="1">
      <c r="BM23563" s="1025"/>
      <c r="BO23563" s="43"/>
    </row>
    <row r="23564" spans="65:67" ht="18.75" customHeight="1">
      <c r="BM23564" s="1025"/>
      <c r="BO23564" s="43"/>
    </row>
    <row r="23565" spans="65:67" ht="18.75" customHeight="1">
      <c r="BM23565" s="1025"/>
      <c r="BO23565" s="43"/>
    </row>
    <row r="23566" spans="65:67" ht="18.75" customHeight="1">
      <c r="BM23566" s="1025"/>
      <c r="BO23566" s="43"/>
    </row>
    <row r="23567" spans="65:67" ht="18.75" customHeight="1">
      <c r="BM23567" s="1025"/>
      <c r="BO23567" s="43"/>
    </row>
    <row r="23568" spans="65:67" ht="18.75" customHeight="1">
      <c r="BM23568" s="1025"/>
      <c r="BO23568" s="43"/>
    </row>
    <row r="23569" spans="65:67" ht="18.75" customHeight="1">
      <c r="BM23569" s="1025"/>
      <c r="BO23569" s="43"/>
    </row>
    <row r="23570" spans="65:67" ht="18.75" customHeight="1">
      <c r="BM23570" s="1025"/>
      <c r="BO23570" s="43"/>
    </row>
    <row r="23571" spans="65:67" ht="18.75" customHeight="1">
      <c r="BM23571" s="1025"/>
      <c r="BO23571" s="43"/>
    </row>
    <row r="23572" spans="65:67" ht="18.75" customHeight="1">
      <c r="BM23572" s="1025"/>
      <c r="BO23572" s="43"/>
    </row>
    <row r="23573" spans="65:67" ht="18.75" customHeight="1">
      <c r="BM23573" s="1025"/>
      <c r="BO23573" s="43"/>
    </row>
    <row r="23574" spans="65:67" ht="18.75" customHeight="1">
      <c r="BM23574" s="1025"/>
      <c r="BO23574" s="43"/>
    </row>
    <row r="23575" spans="65:67" ht="18.75" customHeight="1">
      <c r="BM23575" s="1025"/>
      <c r="BO23575" s="43"/>
    </row>
    <row r="23576" spans="65:67" ht="18.75" customHeight="1">
      <c r="BM23576" s="1025"/>
      <c r="BO23576" s="43"/>
    </row>
    <row r="23577" spans="65:67" ht="18.75" customHeight="1">
      <c r="BM23577" s="1025"/>
      <c r="BO23577" s="43"/>
    </row>
    <row r="23578" spans="65:67" ht="18.75" customHeight="1">
      <c r="BM23578" s="1025"/>
      <c r="BO23578" s="43"/>
    </row>
    <row r="23579" spans="65:67" ht="18.75" customHeight="1">
      <c r="BM23579" s="1025"/>
      <c r="BO23579" s="43"/>
    </row>
    <row r="23580" spans="65:67" ht="18.75" customHeight="1">
      <c r="BM23580" s="1025"/>
      <c r="BO23580" s="43"/>
    </row>
    <row r="23581" spans="65:67" ht="18.75" customHeight="1">
      <c r="BM23581" s="1025"/>
      <c r="BO23581" s="43"/>
    </row>
    <row r="23582" spans="65:67" ht="18.75" customHeight="1">
      <c r="BM23582" s="1025"/>
      <c r="BO23582" s="43"/>
    </row>
    <row r="23583" spans="65:67" ht="18.75" customHeight="1">
      <c r="BM23583" s="1025"/>
      <c r="BO23583" s="43"/>
    </row>
    <row r="23584" spans="65:67" ht="18.75" customHeight="1">
      <c r="BM23584" s="1025"/>
      <c r="BO23584" s="43"/>
    </row>
    <row r="23585" spans="65:67" ht="18.75" customHeight="1">
      <c r="BM23585" s="1025"/>
      <c r="BO23585" s="43"/>
    </row>
    <row r="23586" spans="65:67" ht="18.75" customHeight="1">
      <c r="BM23586" s="1025"/>
      <c r="BO23586" s="43"/>
    </row>
    <row r="23587" spans="65:67" ht="18.75" customHeight="1">
      <c r="BM23587" s="1025"/>
      <c r="BO23587" s="43"/>
    </row>
    <row r="23588" spans="65:67" ht="18.75" customHeight="1">
      <c r="BM23588" s="1025"/>
      <c r="BO23588" s="43"/>
    </row>
    <row r="23589" spans="65:67" ht="18.75" customHeight="1">
      <c r="BM23589" s="1025"/>
      <c r="BO23589" s="43"/>
    </row>
    <row r="23590" spans="65:67" ht="18.75" customHeight="1">
      <c r="BM23590" s="1025"/>
      <c r="BO23590" s="43"/>
    </row>
    <row r="23591" spans="65:67" ht="18.75" customHeight="1">
      <c r="BM23591" s="1025"/>
      <c r="BO23591" s="43"/>
    </row>
    <row r="23592" spans="65:67" ht="18.75" customHeight="1">
      <c r="BM23592" s="1025"/>
      <c r="BO23592" s="43"/>
    </row>
    <row r="23593" spans="65:67" ht="18.75" customHeight="1">
      <c r="BM23593" s="1025"/>
      <c r="BO23593" s="43"/>
    </row>
    <row r="23594" spans="65:67" ht="18.75" customHeight="1">
      <c r="BM23594" s="1025"/>
      <c r="BO23594" s="43"/>
    </row>
    <row r="23595" spans="65:67" ht="18.75" customHeight="1">
      <c r="BM23595" s="1025"/>
      <c r="BO23595" s="43"/>
    </row>
    <row r="23596" spans="65:67" ht="18.75" customHeight="1">
      <c r="BM23596" s="1025"/>
      <c r="BO23596" s="43"/>
    </row>
    <row r="23597" spans="65:67" ht="18.75" customHeight="1">
      <c r="BM23597" s="1025"/>
      <c r="BO23597" s="43"/>
    </row>
    <row r="23598" spans="65:67" ht="18.75" customHeight="1">
      <c r="BM23598" s="1025"/>
      <c r="BO23598" s="43"/>
    </row>
    <row r="23599" spans="65:67" ht="18.75" customHeight="1">
      <c r="BM23599" s="1025"/>
      <c r="BO23599" s="43"/>
    </row>
    <row r="23600" spans="65:67" ht="18.75" customHeight="1">
      <c r="BM23600" s="1025"/>
      <c r="BO23600" s="43"/>
    </row>
    <row r="23601" spans="65:67" ht="18.75" customHeight="1">
      <c r="BM23601" s="1025"/>
      <c r="BO23601" s="43"/>
    </row>
    <row r="23602" spans="65:67" ht="18.75" customHeight="1">
      <c r="BM23602" s="1025"/>
      <c r="BO23602" s="43"/>
    </row>
    <row r="23603" spans="65:67" ht="18.75" customHeight="1">
      <c r="BM23603" s="1025"/>
      <c r="BO23603" s="43"/>
    </row>
    <row r="23604" spans="65:67" ht="18.75" customHeight="1">
      <c r="BM23604" s="1025"/>
      <c r="BO23604" s="43"/>
    </row>
    <row r="23605" spans="65:67" ht="18.75" customHeight="1">
      <c r="BM23605" s="1025"/>
      <c r="BO23605" s="43"/>
    </row>
    <row r="23606" spans="65:67" ht="18.75" customHeight="1">
      <c r="BM23606" s="1025"/>
      <c r="BO23606" s="43"/>
    </row>
    <row r="23607" spans="65:67" ht="18.75" customHeight="1">
      <c r="BM23607" s="1025"/>
      <c r="BO23607" s="43"/>
    </row>
    <row r="23608" spans="65:67" ht="18.75" customHeight="1">
      <c r="BM23608" s="1025"/>
      <c r="BO23608" s="43"/>
    </row>
    <row r="23609" spans="65:67" ht="18.75" customHeight="1">
      <c r="BM23609" s="1025"/>
      <c r="BO23609" s="43"/>
    </row>
    <row r="23610" spans="65:67" ht="18.75" customHeight="1">
      <c r="BM23610" s="1025"/>
      <c r="BO23610" s="43"/>
    </row>
    <row r="23611" spans="65:67" ht="18.75" customHeight="1">
      <c r="BM23611" s="1025"/>
      <c r="BO23611" s="43"/>
    </row>
    <row r="23612" spans="65:67" ht="18.75" customHeight="1">
      <c r="BM23612" s="1025"/>
      <c r="BO23612" s="43"/>
    </row>
    <row r="23613" spans="65:67" ht="18.75" customHeight="1">
      <c r="BM23613" s="1025"/>
      <c r="BO23613" s="43"/>
    </row>
    <row r="23614" spans="65:67" ht="18.75" customHeight="1">
      <c r="BM23614" s="1025"/>
      <c r="BO23614" s="43"/>
    </row>
    <row r="23615" spans="65:67" ht="18.75" customHeight="1">
      <c r="BM23615" s="1025"/>
      <c r="BO23615" s="43"/>
    </row>
    <row r="23616" spans="65:67" ht="18.75" customHeight="1">
      <c r="BM23616" s="1025"/>
      <c r="BO23616" s="43"/>
    </row>
    <row r="23617" spans="65:67" ht="18.75" customHeight="1">
      <c r="BM23617" s="1025"/>
      <c r="BO23617" s="43"/>
    </row>
    <row r="23618" spans="65:67" ht="18.75" customHeight="1">
      <c r="BM23618" s="1025"/>
      <c r="BO23618" s="43"/>
    </row>
    <row r="23619" spans="65:67" ht="18.75" customHeight="1">
      <c r="BM23619" s="1025"/>
      <c r="BO23619" s="43"/>
    </row>
    <row r="23620" spans="65:67" ht="18.75" customHeight="1">
      <c r="BM23620" s="1025"/>
      <c r="BO23620" s="43"/>
    </row>
    <row r="23621" spans="65:67" ht="18.75" customHeight="1">
      <c r="BM23621" s="1025"/>
      <c r="BO23621" s="43"/>
    </row>
    <row r="23622" spans="65:67" ht="18.75" customHeight="1">
      <c r="BM23622" s="1025"/>
      <c r="BO23622" s="43"/>
    </row>
    <row r="23623" spans="65:67" ht="18.75" customHeight="1">
      <c r="BM23623" s="1025"/>
      <c r="BO23623" s="43"/>
    </row>
    <row r="23624" spans="65:67" ht="18.75" customHeight="1">
      <c r="BM23624" s="1025"/>
      <c r="BO23624" s="43"/>
    </row>
    <row r="23625" spans="65:67" ht="18.75" customHeight="1">
      <c r="BM23625" s="1025"/>
      <c r="BO23625" s="43"/>
    </row>
    <row r="23626" spans="65:67" ht="18.75" customHeight="1">
      <c r="BM23626" s="1025"/>
      <c r="BO23626" s="43"/>
    </row>
    <row r="23627" spans="65:67" ht="18.75" customHeight="1">
      <c r="BM23627" s="1025"/>
      <c r="BO23627" s="43"/>
    </row>
    <row r="23628" spans="65:67" ht="18.75" customHeight="1">
      <c r="BM23628" s="1025"/>
      <c r="BO23628" s="43"/>
    </row>
    <row r="23629" spans="65:67" ht="18.75" customHeight="1">
      <c r="BM23629" s="1025"/>
      <c r="BO23629" s="43"/>
    </row>
    <row r="23630" spans="65:67" ht="18.75" customHeight="1">
      <c r="BM23630" s="1025"/>
      <c r="BO23630" s="43"/>
    </row>
    <row r="23631" spans="65:67" ht="18.75" customHeight="1">
      <c r="BM23631" s="1025"/>
      <c r="BO23631" s="43"/>
    </row>
    <row r="23632" spans="65:67" ht="18.75" customHeight="1">
      <c r="BM23632" s="1025"/>
      <c r="BO23632" s="43"/>
    </row>
    <row r="23633" spans="65:67" ht="18.75" customHeight="1">
      <c r="BM23633" s="1025"/>
      <c r="BO23633" s="43"/>
    </row>
    <row r="23634" spans="65:67" ht="18.75" customHeight="1">
      <c r="BM23634" s="1025"/>
      <c r="BO23634" s="43"/>
    </row>
    <row r="23635" spans="65:67" ht="18.75" customHeight="1">
      <c r="BM23635" s="1025"/>
      <c r="BO23635" s="43"/>
    </row>
    <row r="23636" spans="65:67" ht="18.75" customHeight="1">
      <c r="BM23636" s="1025"/>
      <c r="BO23636" s="43"/>
    </row>
    <row r="23637" spans="65:67" ht="18.75" customHeight="1">
      <c r="BM23637" s="1025"/>
      <c r="BO23637" s="43"/>
    </row>
    <row r="23638" spans="65:67" ht="18.75" customHeight="1">
      <c r="BM23638" s="1025"/>
      <c r="BO23638" s="43"/>
    </row>
    <row r="23639" spans="65:67" ht="18.75" customHeight="1">
      <c r="BM23639" s="1025"/>
      <c r="BO23639" s="43"/>
    </row>
    <row r="23640" spans="65:67" ht="18.75" customHeight="1">
      <c r="BM23640" s="1025"/>
      <c r="BO23640" s="43"/>
    </row>
    <row r="23641" spans="65:67" ht="18.75" customHeight="1">
      <c r="BM23641" s="1025"/>
      <c r="BO23641" s="43"/>
    </row>
    <row r="23642" spans="65:67" ht="18.75" customHeight="1">
      <c r="BM23642" s="1025"/>
      <c r="BO23642" s="43"/>
    </row>
    <row r="23643" spans="65:67" ht="18.75" customHeight="1">
      <c r="BM23643" s="1025"/>
      <c r="BO23643" s="43"/>
    </row>
    <row r="23644" spans="65:67" ht="18.75" customHeight="1">
      <c r="BM23644" s="1025"/>
      <c r="BO23644" s="43"/>
    </row>
    <row r="23645" spans="65:67" ht="18.75" customHeight="1">
      <c r="BM23645" s="1025"/>
      <c r="BO23645" s="43"/>
    </row>
    <row r="23646" spans="65:67" ht="18.75" customHeight="1">
      <c r="BM23646" s="1025"/>
      <c r="BO23646" s="43"/>
    </row>
    <row r="23647" spans="65:67" ht="18.75" customHeight="1">
      <c r="BM23647" s="1025"/>
      <c r="BO23647" s="43"/>
    </row>
    <row r="23648" spans="65:67" ht="18.75" customHeight="1">
      <c r="BM23648" s="1025"/>
      <c r="BO23648" s="43"/>
    </row>
    <row r="23649" spans="65:67" ht="18.75" customHeight="1">
      <c r="BM23649" s="1025"/>
      <c r="BO23649" s="43"/>
    </row>
    <row r="23650" spans="65:67" ht="18.75" customHeight="1">
      <c r="BM23650" s="1025"/>
      <c r="BO23650" s="43"/>
    </row>
    <row r="23651" spans="65:67" ht="18.75" customHeight="1">
      <c r="BM23651" s="1025"/>
      <c r="BO23651" s="43"/>
    </row>
    <row r="23652" spans="65:67" ht="18.75" customHeight="1">
      <c r="BM23652" s="1025"/>
      <c r="BO23652" s="43"/>
    </row>
    <row r="23653" spans="65:67" ht="18.75" customHeight="1">
      <c r="BM23653" s="1025"/>
      <c r="BO23653" s="43"/>
    </row>
    <row r="23654" spans="65:67" ht="18.75" customHeight="1">
      <c r="BM23654" s="1025"/>
      <c r="BO23654" s="43"/>
    </row>
    <row r="23655" spans="65:67" ht="18.75" customHeight="1">
      <c r="BM23655" s="1025"/>
      <c r="BO23655" s="43"/>
    </row>
    <row r="23656" spans="65:67" ht="18.75" customHeight="1">
      <c r="BM23656" s="1025"/>
      <c r="BO23656" s="43"/>
    </row>
    <row r="23657" spans="65:67" ht="18.75" customHeight="1">
      <c r="BM23657" s="1025"/>
      <c r="BO23657" s="43"/>
    </row>
    <row r="23658" spans="65:67" ht="18.75" customHeight="1">
      <c r="BM23658" s="1025"/>
      <c r="BO23658" s="43"/>
    </row>
    <row r="23659" spans="65:67" ht="18.75" customHeight="1">
      <c r="BM23659" s="1025"/>
      <c r="BO23659" s="43"/>
    </row>
    <row r="23660" spans="65:67" ht="18.75" customHeight="1">
      <c r="BM23660" s="1025"/>
      <c r="BO23660" s="43"/>
    </row>
    <row r="23661" spans="65:67" ht="18.75" customHeight="1">
      <c r="BM23661" s="1025"/>
      <c r="BO23661" s="43"/>
    </row>
    <row r="23662" spans="65:67" ht="18.75" customHeight="1">
      <c r="BM23662" s="1025"/>
      <c r="BO23662" s="43"/>
    </row>
    <row r="23663" spans="65:67" ht="18.75" customHeight="1">
      <c r="BM23663" s="1025"/>
      <c r="BO23663" s="43"/>
    </row>
    <row r="23664" spans="65:67" ht="18.75" customHeight="1">
      <c r="BM23664" s="1025"/>
      <c r="BO23664" s="43"/>
    </row>
    <row r="23665" spans="65:67" ht="18.75" customHeight="1">
      <c r="BM23665" s="1025"/>
      <c r="BO23665" s="43"/>
    </row>
    <row r="23666" spans="65:67" ht="18.75" customHeight="1">
      <c r="BM23666" s="1025"/>
      <c r="BO23666" s="43"/>
    </row>
    <row r="23667" spans="65:67" ht="18.75" customHeight="1">
      <c r="BM23667" s="1025"/>
      <c r="BO23667" s="43"/>
    </row>
    <row r="23668" spans="65:67" ht="18.75" customHeight="1">
      <c r="BM23668" s="1025"/>
      <c r="BO23668" s="43"/>
    </row>
    <row r="23669" spans="65:67" ht="18.75" customHeight="1">
      <c r="BM23669" s="1025"/>
      <c r="BO23669" s="43"/>
    </row>
    <row r="23670" spans="65:67" ht="18.75" customHeight="1">
      <c r="BM23670" s="1025"/>
      <c r="BO23670" s="43"/>
    </row>
    <row r="23671" spans="65:67" ht="18.75" customHeight="1">
      <c r="BM23671" s="1025"/>
      <c r="BO23671" s="43"/>
    </row>
    <row r="23672" spans="65:67" ht="18.75" customHeight="1">
      <c r="BM23672" s="1025"/>
      <c r="BO23672" s="43"/>
    </row>
    <row r="23673" spans="65:67" ht="18.75" customHeight="1">
      <c r="BM23673" s="1025"/>
      <c r="BO23673" s="43"/>
    </row>
    <row r="23674" spans="65:67" ht="18.75" customHeight="1">
      <c r="BM23674" s="1025"/>
      <c r="BO23674" s="43"/>
    </row>
    <row r="23675" spans="65:67" ht="18.75" customHeight="1">
      <c r="BM23675" s="1025"/>
      <c r="BO23675" s="43"/>
    </row>
    <row r="23676" spans="65:67" ht="18.75" customHeight="1">
      <c r="BM23676" s="1025"/>
      <c r="BO23676" s="43"/>
    </row>
    <row r="23677" spans="65:67" ht="18.75" customHeight="1">
      <c r="BM23677" s="1025"/>
      <c r="BO23677" s="43"/>
    </row>
    <row r="23678" spans="65:67" ht="18.75" customHeight="1">
      <c r="BM23678" s="1025"/>
      <c r="BO23678" s="43"/>
    </row>
    <row r="23679" spans="65:67" ht="18.75" customHeight="1">
      <c r="BM23679" s="1025"/>
      <c r="BO23679" s="43"/>
    </row>
    <row r="23680" spans="65:67" ht="18.75" customHeight="1">
      <c r="BM23680" s="1025"/>
      <c r="BO23680" s="43"/>
    </row>
    <row r="23681" spans="65:67" ht="18.75" customHeight="1">
      <c r="BM23681" s="1025"/>
      <c r="BO23681" s="43"/>
    </row>
    <row r="23682" spans="65:67" ht="18.75" customHeight="1">
      <c r="BM23682" s="1025"/>
      <c r="BO23682" s="43"/>
    </row>
    <row r="23683" spans="65:67" ht="18.75" customHeight="1">
      <c r="BM23683" s="1025"/>
      <c r="BO23683" s="43"/>
    </row>
    <row r="23684" spans="65:67" ht="18.75" customHeight="1">
      <c r="BM23684" s="1025"/>
      <c r="BO23684" s="43"/>
    </row>
    <row r="23685" spans="65:67" ht="18.75" customHeight="1">
      <c r="BM23685" s="1025"/>
      <c r="BO23685" s="43"/>
    </row>
    <row r="23686" spans="65:67" ht="18.75" customHeight="1">
      <c r="BM23686" s="1025"/>
      <c r="BO23686" s="43"/>
    </row>
    <row r="23687" spans="65:67" ht="18.75" customHeight="1">
      <c r="BM23687" s="1025"/>
      <c r="BO23687" s="43"/>
    </row>
    <row r="23688" spans="65:67" ht="18.75" customHeight="1">
      <c r="BM23688" s="1025"/>
      <c r="BO23688" s="43"/>
    </row>
    <row r="23689" spans="65:67" ht="18.75" customHeight="1">
      <c r="BM23689" s="1025"/>
      <c r="BO23689" s="43"/>
    </row>
    <row r="23690" spans="65:67" ht="18.75" customHeight="1">
      <c r="BM23690" s="1025"/>
      <c r="BO23690" s="43"/>
    </row>
    <row r="23691" spans="65:67" ht="18.75" customHeight="1">
      <c r="BM23691" s="1025"/>
      <c r="BO23691" s="43"/>
    </row>
    <row r="23692" spans="65:67" ht="18.75" customHeight="1">
      <c r="BM23692" s="1025"/>
      <c r="BO23692" s="43"/>
    </row>
    <row r="23693" spans="65:67" ht="18.75" customHeight="1">
      <c r="BM23693" s="1025"/>
      <c r="BO23693" s="43"/>
    </row>
    <row r="23694" spans="65:67" ht="18.75" customHeight="1">
      <c r="BM23694" s="1025"/>
      <c r="BO23694" s="43"/>
    </row>
    <row r="23695" spans="65:67" ht="18.75" customHeight="1">
      <c r="BM23695" s="1025"/>
      <c r="BO23695" s="43"/>
    </row>
    <row r="23696" spans="65:67" ht="18.75" customHeight="1">
      <c r="BM23696" s="1025"/>
      <c r="BO23696" s="43"/>
    </row>
    <row r="23697" spans="65:67" ht="18.75" customHeight="1">
      <c r="BM23697" s="1025"/>
      <c r="BO23697" s="43"/>
    </row>
    <row r="23698" spans="65:67" ht="18.75" customHeight="1">
      <c r="BM23698" s="1025"/>
      <c r="BO23698" s="43"/>
    </row>
    <row r="23699" spans="65:67" ht="18.75" customHeight="1">
      <c r="BM23699" s="1025"/>
      <c r="BO23699" s="43"/>
    </row>
    <row r="23700" spans="65:67" ht="18.75" customHeight="1">
      <c r="BM23700" s="1025"/>
      <c r="BO23700" s="43"/>
    </row>
    <row r="23701" spans="65:67" ht="18.75" customHeight="1">
      <c r="BM23701" s="1025"/>
      <c r="BO23701" s="43"/>
    </row>
    <row r="23702" spans="65:67" ht="18.75" customHeight="1">
      <c r="BM23702" s="1025"/>
      <c r="BO23702" s="43"/>
    </row>
    <row r="23703" spans="65:67" ht="18.75" customHeight="1">
      <c r="BM23703" s="1025"/>
      <c r="BO23703" s="43"/>
    </row>
    <row r="23704" spans="65:67" ht="18.75" customHeight="1">
      <c r="BM23704" s="1025"/>
      <c r="BO23704" s="43"/>
    </row>
    <row r="23705" spans="65:67" ht="18.75" customHeight="1">
      <c r="BM23705" s="1025"/>
      <c r="BO23705" s="43"/>
    </row>
    <row r="23706" spans="65:67" ht="18.75" customHeight="1">
      <c r="BM23706" s="1025"/>
      <c r="BO23706" s="43"/>
    </row>
    <row r="23707" spans="65:67" ht="18.75" customHeight="1">
      <c r="BM23707" s="1025"/>
      <c r="BO23707" s="43"/>
    </row>
    <row r="23708" spans="65:67" ht="18.75" customHeight="1">
      <c r="BM23708" s="1025"/>
      <c r="BO23708" s="43"/>
    </row>
    <row r="23709" spans="65:67" ht="18.75" customHeight="1">
      <c r="BM23709" s="1025"/>
      <c r="BO23709" s="43"/>
    </row>
    <row r="23710" spans="65:67" ht="18.75" customHeight="1">
      <c r="BM23710" s="1025"/>
      <c r="BO23710" s="43"/>
    </row>
    <row r="23711" spans="65:67" ht="18.75" customHeight="1">
      <c r="BM23711" s="1025"/>
      <c r="BO23711" s="43"/>
    </row>
    <row r="23712" spans="65:67" ht="18.75" customHeight="1">
      <c r="BM23712" s="1025"/>
      <c r="BO23712" s="43"/>
    </row>
    <row r="23713" spans="65:67" ht="18.75" customHeight="1">
      <c r="BM23713" s="1025"/>
      <c r="BO23713" s="43"/>
    </row>
    <row r="23714" spans="65:67" ht="18.75" customHeight="1">
      <c r="BM23714" s="1025"/>
      <c r="BO23714" s="43"/>
    </row>
    <row r="23715" spans="65:67" ht="18.75" customHeight="1">
      <c r="BM23715" s="1025"/>
      <c r="BO23715" s="43"/>
    </row>
    <row r="23716" spans="65:67" ht="18.75" customHeight="1">
      <c r="BM23716" s="1025"/>
      <c r="BO23716" s="43"/>
    </row>
    <row r="23717" spans="65:67" ht="18.75" customHeight="1">
      <c r="BM23717" s="1025"/>
      <c r="BO23717" s="43"/>
    </row>
    <row r="23718" spans="65:67" ht="18.75" customHeight="1">
      <c r="BM23718" s="1025"/>
      <c r="BO23718" s="43"/>
    </row>
    <row r="23719" spans="65:67" ht="18.75" customHeight="1">
      <c r="BM23719" s="1025"/>
      <c r="BO23719" s="43"/>
    </row>
    <row r="23720" spans="65:67" ht="18.75" customHeight="1">
      <c r="BM23720" s="1025"/>
      <c r="BO23720" s="43"/>
    </row>
    <row r="23721" spans="65:67" ht="18.75" customHeight="1">
      <c r="BM23721" s="1025"/>
      <c r="BO23721" s="43"/>
    </row>
    <row r="23722" spans="65:67" ht="18.75" customHeight="1">
      <c r="BM23722" s="1025"/>
      <c r="BO23722" s="43"/>
    </row>
    <row r="23723" spans="65:67" ht="18.75" customHeight="1">
      <c r="BM23723" s="1025"/>
      <c r="BO23723" s="43"/>
    </row>
    <row r="23724" spans="65:67" ht="18.75" customHeight="1">
      <c r="BM23724" s="1025"/>
      <c r="BO23724" s="43"/>
    </row>
    <row r="23725" spans="65:67" ht="18.75" customHeight="1">
      <c r="BM23725" s="1025"/>
      <c r="BO23725" s="43"/>
    </row>
    <row r="23726" spans="65:67" ht="18.75" customHeight="1">
      <c r="BM23726" s="1025"/>
      <c r="BO23726" s="43"/>
    </row>
    <row r="23727" spans="65:67" ht="18.75" customHeight="1">
      <c r="BM23727" s="1025"/>
      <c r="BO23727" s="43"/>
    </row>
    <row r="23728" spans="65:67" ht="18.75" customHeight="1">
      <c r="BM23728" s="1025"/>
      <c r="BO23728" s="43"/>
    </row>
    <row r="23729" spans="65:67" ht="18.75" customHeight="1">
      <c r="BM23729" s="1025"/>
      <c r="BO23729" s="43"/>
    </row>
    <row r="23730" spans="65:67" ht="18.75" customHeight="1">
      <c r="BM23730" s="1025"/>
      <c r="BO23730" s="43"/>
    </row>
    <row r="23731" spans="65:67" ht="18.75" customHeight="1">
      <c r="BM23731" s="1025"/>
      <c r="BO23731" s="43"/>
    </row>
    <row r="23732" spans="65:67" ht="18.75" customHeight="1">
      <c r="BM23732" s="1025"/>
      <c r="BO23732" s="43"/>
    </row>
    <row r="23733" spans="65:67" ht="18.75" customHeight="1">
      <c r="BM23733" s="1025"/>
      <c r="BO23733" s="43"/>
    </row>
    <row r="23734" spans="65:67" ht="18.75" customHeight="1">
      <c r="BM23734" s="1025"/>
      <c r="BO23734" s="43"/>
    </row>
    <row r="23735" spans="65:67" ht="18.75" customHeight="1">
      <c r="BM23735" s="1025"/>
      <c r="BO23735" s="43"/>
    </row>
    <row r="23736" spans="65:67" ht="18.75" customHeight="1">
      <c r="BM23736" s="1025"/>
      <c r="BO23736" s="43"/>
    </row>
    <row r="23737" spans="65:67" ht="18.75" customHeight="1">
      <c r="BM23737" s="1025"/>
      <c r="BO23737" s="43"/>
    </row>
    <row r="23738" spans="65:67" ht="18.75" customHeight="1">
      <c r="BM23738" s="1025"/>
      <c r="BO23738" s="43"/>
    </row>
    <row r="23739" spans="65:67" ht="18.75" customHeight="1">
      <c r="BM23739" s="1025"/>
      <c r="BO23739" s="43"/>
    </row>
    <row r="23740" spans="65:67" ht="18.75" customHeight="1">
      <c r="BM23740" s="1025"/>
      <c r="BO23740" s="43"/>
    </row>
    <row r="23741" spans="65:67" ht="18.75" customHeight="1">
      <c r="BM23741" s="1025"/>
      <c r="BO23741" s="43"/>
    </row>
    <row r="23742" spans="65:67" ht="18.75" customHeight="1">
      <c r="BM23742" s="1025"/>
      <c r="BO23742" s="43"/>
    </row>
    <row r="23743" spans="65:67" ht="18.75" customHeight="1">
      <c r="BM23743" s="1025"/>
      <c r="BO23743" s="43"/>
    </row>
    <row r="23744" spans="65:67" ht="18.75" customHeight="1">
      <c r="BM23744" s="1025"/>
      <c r="BO23744" s="43"/>
    </row>
    <row r="23745" spans="65:67" ht="18.75" customHeight="1">
      <c r="BM23745" s="1025"/>
      <c r="BO23745" s="43"/>
    </row>
    <row r="23746" spans="65:67" ht="18.75" customHeight="1">
      <c r="BM23746" s="1025"/>
      <c r="BO23746" s="43"/>
    </row>
    <row r="23747" spans="65:67" ht="18.75" customHeight="1">
      <c r="BM23747" s="1025"/>
      <c r="BO23747" s="43"/>
    </row>
    <row r="23748" spans="65:67" ht="18.75" customHeight="1">
      <c r="BM23748" s="1025"/>
      <c r="BO23748" s="43"/>
    </row>
    <row r="23749" spans="65:67" ht="18.75" customHeight="1">
      <c r="BM23749" s="1025"/>
      <c r="BO23749" s="43"/>
    </row>
    <row r="23750" spans="65:67" ht="18.75" customHeight="1">
      <c r="BM23750" s="1025"/>
      <c r="BO23750" s="43"/>
    </row>
    <row r="23751" spans="65:67" ht="18.75" customHeight="1">
      <c r="BM23751" s="1025"/>
      <c r="BO23751" s="43"/>
    </row>
    <row r="23752" spans="65:67" ht="18.75" customHeight="1">
      <c r="BM23752" s="1025"/>
      <c r="BO23752" s="43"/>
    </row>
    <row r="23753" spans="65:67" ht="18.75" customHeight="1">
      <c r="BM23753" s="1025"/>
      <c r="BO23753" s="43"/>
    </row>
    <row r="23754" spans="65:67" ht="18.75" customHeight="1">
      <c r="BM23754" s="1025"/>
      <c r="BO23754" s="43"/>
    </row>
    <row r="23755" spans="65:67" ht="18.75" customHeight="1">
      <c r="BM23755" s="1025"/>
      <c r="BO23755" s="43"/>
    </row>
    <row r="23756" spans="65:67" ht="18.75" customHeight="1">
      <c r="BM23756" s="1025"/>
      <c r="BO23756" s="43"/>
    </row>
    <row r="23757" spans="65:67" ht="18.75" customHeight="1">
      <c r="BM23757" s="1025"/>
      <c r="BO23757" s="43"/>
    </row>
    <row r="23758" spans="65:67" ht="18.75" customHeight="1">
      <c r="BM23758" s="1025"/>
      <c r="BO23758" s="43"/>
    </row>
    <row r="23759" spans="65:67" ht="18.75" customHeight="1">
      <c r="BM23759" s="1025"/>
      <c r="BO23759" s="43"/>
    </row>
    <row r="23760" spans="65:67" ht="18.75" customHeight="1">
      <c r="BM23760" s="1025"/>
      <c r="BO23760" s="43"/>
    </row>
    <row r="23761" spans="65:67" ht="18.75" customHeight="1">
      <c r="BM23761" s="1025"/>
      <c r="BO23761" s="43"/>
    </row>
    <row r="23762" spans="65:67" ht="18.75" customHeight="1">
      <c r="BM23762" s="1025"/>
      <c r="BO23762" s="43"/>
    </row>
    <row r="23763" spans="65:67" ht="18.75" customHeight="1">
      <c r="BM23763" s="1025"/>
      <c r="BO23763" s="43"/>
    </row>
    <row r="23764" spans="65:67" ht="18.75" customHeight="1">
      <c r="BM23764" s="1025"/>
      <c r="BO23764" s="43"/>
    </row>
    <row r="23765" spans="65:67" ht="18.75" customHeight="1">
      <c r="BM23765" s="1025"/>
      <c r="BO23765" s="43"/>
    </row>
    <row r="23766" spans="65:67" ht="18.75" customHeight="1">
      <c r="BM23766" s="1025"/>
      <c r="BO23766" s="43"/>
    </row>
    <row r="23767" spans="65:67" ht="18.75" customHeight="1">
      <c r="BM23767" s="1025"/>
      <c r="BO23767" s="43"/>
    </row>
    <row r="23768" spans="65:67" ht="18.75" customHeight="1">
      <c r="BM23768" s="1025"/>
      <c r="BO23768" s="43"/>
    </row>
    <row r="23769" spans="65:67" ht="18.75" customHeight="1">
      <c r="BM23769" s="1025"/>
      <c r="BO23769" s="43"/>
    </row>
    <row r="23770" spans="65:67" ht="18.75" customHeight="1">
      <c r="BM23770" s="1025"/>
      <c r="BO23770" s="43"/>
    </row>
    <row r="23771" spans="65:67" ht="18.75" customHeight="1">
      <c r="BM23771" s="1025"/>
      <c r="BO23771" s="43"/>
    </row>
    <row r="23772" spans="65:67" ht="18.75" customHeight="1">
      <c r="BM23772" s="1025"/>
      <c r="BO23772" s="43"/>
    </row>
    <row r="23773" spans="65:67" ht="18.75" customHeight="1">
      <c r="BM23773" s="1025"/>
      <c r="BO23773" s="43"/>
    </row>
    <row r="23774" spans="65:67" ht="18.75" customHeight="1">
      <c r="BM23774" s="1025"/>
      <c r="BO23774" s="43"/>
    </row>
    <row r="23775" spans="65:67" ht="18.75" customHeight="1">
      <c r="BM23775" s="1025"/>
      <c r="BO23775" s="43"/>
    </row>
    <row r="23776" spans="65:67" ht="18.75" customHeight="1">
      <c r="BM23776" s="1025"/>
      <c r="BO23776" s="43"/>
    </row>
    <row r="23777" spans="65:67" ht="18.75" customHeight="1">
      <c r="BM23777" s="1025"/>
      <c r="BO23777" s="43"/>
    </row>
    <row r="23778" spans="65:67" ht="18.75" customHeight="1">
      <c r="BM23778" s="1025"/>
      <c r="BO23778" s="43"/>
    </row>
    <row r="23779" spans="65:67" ht="18.75" customHeight="1">
      <c r="BM23779" s="1025"/>
      <c r="BO23779" s="43"/>
    </row>
    <row r="23780" spans="65:67" ht="18.75" customHeight="1">
      <c r="BM23780" s="1025"/>
      <c r="BO23780" s="43"/>
    </row>
    <row r="23781" spans="65:67" ht="18.75" customHeight="1">
      <c r="BM23781" s="1025"/>
      <c r="BO23781" s="43"/>
    </row>
    <row r="23782" spans="65:67" ht="18.75" customHeight="1">
      <c r="BM23782" s="1025"/>
      <c r="BO23782" s="43"/>
    </row>
    <row r="23783" spans="65:67" ht="18.75" customHeight="1">
      <c r="BM23783" s="1025"/>
      <c r="BO23783" s="43"/>
    </row>
    <row r="23784" spans="65:67" ht="18.75" customHeight="1">
      <c r="BM23784" s="1025"/>
      <c r="BO23784" s="43"/>
    </row>
    <row r="23785" spans="65:67" ht="18.75" customHeight="1">
      <c r="BM23785" s="1025"/>
      <c r="BO23785" s="43"/>
    </row>
    <row r="23786" spans="65:67" ht="18.75" customHeight="1">
      <c r="BM23786" s="1025"/>
      <c r="BO23786" s="43"/>
    </row>
    <row r="23787" spans="65:67" ht="18.75" customHeight="1">
      <c r="BM23787" s="1025"/>
      <c r="BO23787" s="43"/>
    </row>
    <row r="23788" spans="65:67" ht="18.75" customHeight="1">
      <c r="BM23788" s="1025"/>
      <c r="BO23788" s="43"/>
    </row>
    <row r="23789" spans="65:67" ht="18.75" customHeight="1">
      <c r="BM23789" s="1025"/>
      <c r="BO23789" s="43"/>
    </row>
    <row r="23790" spans="65:67" ht="18.75" customHeight="1">
      <c r="BM23790" s="1025"/>
      <c r="BO23790" s="43"/>
    </row>
    <row r="23791" spans="65:67" ht="18.75" customHeight="1">
      <c r="BM23791" s="1025"/>
      <c r="BO23791" s="43"/>
    </row>
    <row r="23792" spans="65:67" ht="18.75" customHeight="1">
      <c r="BM23792" s="1025"/>
      <c r="BO23792" s="43"/>
    </row>
    <row r="23793" spans="65:67" ht="18.75" customHeight="1">
      <c r="BM23793" s="1025"/>
      <c r="BO23793" s="43"/>
    </row>
    <row r="23794" spans="65:67" ht="18.75" customHeight="1">
      <c r="BM23794" s="1025"/>
      <c r="BO23794" s="43"/>
    </row>
    <row r="23795" spans="65:67" ht="18.75" customHeight="1">
      <c r="BM23795" s="1025"/>
      <c r="BO23795" s="43"/>
    </row>
    <row r="23796" spans="65:67" ht="18.75" customHeight="1">
      <c r="BM23796" s="1025"/>
      <c r="BO23796" s="43"/>
    </row>
    <row r="23797" spans="65:67" ht="18.75" customHeight="1">
      <c r="BM23797" s="1025"/>
      <c r="BO23797" s="43"/>
    </row>
    <row r="23798" spans="65:67" ht="18.75" customHeight="1">
      <c r="BM23798" s="1025"/>
      <c r="BO23798" s="43"/>
    </row>
    <row r="23799" spans="65:67" ht="18.75" customHeight="1">
      <c r="BM23799" s="1025"/>
      <c r="BO23799" s="43"/>
    </row>
    <row r="23800" spans="65:67" ht="18.75" customHeight="1">
      <c r="BM23800" s="1025"/>
      <c r="BO23800" s="43"/>
    </row>
    <row r="23801" spans="65:67" ht="18.75" customHeight="1">
      <c r="BM23801" s="1025"/>
      <c r="BO23801" s="43"/>
    </row>
    <row r="23802" spans="65:67" ht="18.75" customHeight="1">
      <c r="BM23802" s="1025"/>
      <c r="BO23802" s="43"/>
    </row>
    <row r="23803" spans="65:67" ht="18.75" customHeight="1">
      <c r="BM23803" s="1025"/>
      <c r="BO23803" s="43"/>
    </row>
    <row r="23804" spans="65:67" ht="18.75" customHeight="1">
      <c r="BM23804" s="1025"/>
      <c r="BO23804" s="43"/>
    </row>
    <row r="23805" spans="65:67" ht="18.75" customHeight="1">
      <c r="BM23805" s="1025"/>
      <c r="BO23805" s="43"/>
    </row>
    <row r="23806" spans="65:67" ht="18.75" customHeight="1">
      <c r="BM23806" s="1025"/>
      <c r="BO23806" s="43"/>
    </row>
    <row r="23807" spans="65:67" ht="18.75" customHeight="1">
      <c r="BM23807" s="1025"/>
      <c r="BO23807" s="43"/>
    </row>
    <row r="23808" spans="65:67" ht="18.75" customHeight="1">
      <c r="BM23808" s="1025"/>
      <c r="BO23808" s="43"/>
    </row>
    <row r="23809" spans="65:67" ht="18.75" customHeight="1">
      <c r="BM23809" s="1025"/>
      <c r="BO23809" s="43"/>
    </row>
    <row r="23810" spans="65:67" ht="18.75" customHeight="1">
      <c r="BM23810" s="1025"/>
      <c r="BO23810" s="43"/>
    </row>
    <row r="23811" spans="65:67" ht="18.75" customHeight="1">
      <c r="BM23811" s="1025"/>
      <c r="BO23811" s="43"/>
    </row>
    <row r="23812" spans="65:67" ht="18.75" customHeight="1">
      <c r="BM23812" s="1025"/>
      <c r="BO23812" s="43"/>
    </row>
    <row r="23813" spans="65:67" ht="18.75" customHeight="1">
      <c r="BM23813" s="1025"/>
      <c r="BO23813" s="43"/>
    </row>
    <row r="23814" spans="65:67" ht="18.75" customHeight="1">
      <c r="BM23814" s="1025"/>
      <c r="BO23814" s="43"/>
    </row>
    <row r="23815" spans="65:67" ht="18.75" customHeight="1">
      <c r="BM23815" s="1025"/>
      <c r="BO23815" s="43"/>
    </row>
    <row r="23816" spans="65:67" ht="18.75" customHeight="1">
      <c r="BM23816" s="1025"/>
      <c r="BO23816" s="43"/>
    </row>
    <row r="23817" spans="65:67" ht="18.75" customHeight="1">
      <c r="BM23817" s="1025"/>
      <c r="BO23817" s="43"/>
    </row>
    <row r="23818" spans="65:67" ht="18.75" customHeight="1">
      <c r="BM23818" s="1025"/>
      <c r="BO23818" s="43"/>
    </row>
    <row r="23819" spans="65:67" ht="18.75" customHeight="1">
      <c r="BM23819" s="1025"/>
      <c r="BO23819" s="43"/>
    </row>
    <row r="23820" spans="65:67" ht="18.75" customHeight="1">
      <c r="BM23820" s="1025"/>
      <c r="BO23820" s="43"/>
    </row>
    <row r="23821" spans="65:67" ht="18.75" customHeight="1">
      <c r="BM23821" s="1025"/>
      <c r="BO23821" s="43"/>
    </row>
    <row r="23822" spans="65:67" ht="18.75" customHeight="1">
      <c r="BM23822" s="1025"/>
      <c r="BO23822" s="43"/>
    </row>
    <row r="23823" spans="65:67" ht="18.75" customHeight="1">
      <c r="BM23823" s="1025"/>
      <c r="BO23823" s="43"/>
    </row>
    <row r="23824" spans="65:67" ht="18.75" customHeight="1">
      <c r="BM23824" s="1025"/>
      <c r="BO23824" s="43"/>
    </row>
    <row r="23825" spans="65:67" ht="18.75" customHeight="1">
      <c r="BM23825" s="1025"/>
      <c r="BO23825" s="43"/>
    </row>
    <row r="23826" spans="65:67" ht="18.75" customHeight="1">
      <c r="BM23826" s="1025"/>
      <c r="BO23826" s="43"/>
    </row>
    <row r="23827" spans="65:67" ht="18.75" customHeight="1">
      <c r="BM23827" s="1025"/>
      <c r="BO23827" s="43"/>
    </row>
    <row r="23828" spans="65:67" ht="18.75" customHeight="1">
      <c r="BM23828" s="1025"/>
      <c r="BO23828" s="43"/>
    </row>
    <row r="23829" spans="65:67" ht="18.75" customHeight="1">
      <c r="BM23829" s="1025"/>
      <c r="BO23829" s="43"/>
    </row>
    <row r="23830" spans="65:67" ht="18.75" customHeight="1">
      <c r="BM23830" s="1025"/>
      <c r="BO23830" s="43"/>
    </row>
    <row r="23831" spans="65:67" ht="18.75" customHeight="1">
      <c r="BM23831" s="1025"/>
      <c r="BO23831" s="43"/>
    </row>
    <row r="23832" spans="65:67" ht="18.75" customHeight="1">
      <c r="BM23832" s="1025"/>
      <c r="BO23832" s="43"/>
    </row>
    <row r="23833" spans="65:67" ht="18.75" customHeight="1">
      <c r="BM23833" s="1025"/>
      <c r="BO23833" s="43"/>
    </row>
    <row r="23834" spans="65:67" ht="18.75" customHeight="1">
      <c r="BM23834" s="1025"/>
      <c r="BO23834" s="43"/>
    </row>
    <row r="23835" spans="65:67" ht="18.75" customHeight="1">
      <c r="BM23835" s="1025"/>
      <c r="BO23835" s="43"/>
    </row>
    <row r="23836" spans="65:67" ht="18.75" customHeight="1">
      <c r="BM23836" s="1025"/>
      <c r="BO23836" s="43"/>
    </row>
    <row r="23837" spans="65:67" ht="18.75" customHeight="1">
      <c r="BM23837" s="1025"/>
      <c r="BO23837" s="43"/>
    </row>
    <row r="23838" spans="65:67" ht="18.75" customHeight="1">
      <c r="BM23838" s="1025"/>
      <c r="BO23838" s="43"/>
    </row>
    <row r="23839" spans="65:67" ht="18.75" customHeight="1">
      <c r="BM23839" s="1025"/>
      <c r="BO23839" s="43"/>
    </row>
    <row r="23840" spans="65:67" ht="18.75" customHeight="1">
      <c r="BM23840" s="1025"/>
      <c r="BO23840" s="43"/>
    </row>
    <row r="23841" spans="65:67" ht="18.75" customHeight="1">
      <c r="BM23841" s="1025"/>
      <c r="BO23841" s="43"/>
    </row>
    <row r="23842" spans="65:67" ht="18.75" customHeight="1">
      <c r="BM23842" s="1025"/>
      <c r="BO23842" s="43"/>
    </row>
    <row r="23843" spans="65:67" ht="18.75" customHeight="1">
      <c r="BM23843" s="1025"/>
      <c r="BO23843" s="43"/>
    </row>
    <row r="23844" spans="65:67" ht="18.75" customHeight="1">
      <c r="BM23844" s="1025"/>
      <c r="BO23844" s="43"/>
    </row>
    <row r="23845" spans="65:67" ht="18.75" customHeight="1">
      <c r="BM23845" s="1025"/>
      <c r="BO23845" s="43"/>
    </row>
    <row r="23846" spans="65:67" ht="18.75" customHeight="1">
      <c r="BM23846" s="1025"/>
      <c r="BO23846" s="43"/>
    </row>
    <row r="23847" spans="65:67" ht="18.75" customHeight="1">
      <c r="BM23847" s="1025"/>
      <c r="BO23847" s="43"/>
    </row>
    <row r="23848" spans="65:67" ht="18.75" customHeight="1">
      <c r="BM23848" s="1025"/>
      <c r="BO23848" s="43"/>
    </row>
    <row r="23849" spans="65:67" ht="18.75" customHeight="1">
      <c r="BM23849" s="1025"/>
      <c r="BO23849" s="43"/>
    </row>
    <row r="23850" spans="65:67" ht="18.75" customHeight="1">
      <c r="BM23850" s="1025"/>
      <c r="BO23850" s="43"/>
    </row>
    <row r="23851" spans="65:67" ht="18.75" customHeight="1">
      <c r="BM23851" s="1025"/>
      <c r="BO23851" s="43"/>
    </row>
    <row r="23852" spans="65:67" ht="18.75" customHeight="1">
      <c r="BM23852" s="1025"/>
      <c r="BO23852" s="43"/>
    </row>
    <row r="23853" spans="65:67" ht="18.75" customHeight="1">
      <c r="BM23853" s="1025"/>
      <c r="BO23853" s="43"/>
    </row>
    <row r="23854" spans="65:67" ht="18.75" customHeight="1">
      <c r="BM23854" s="1025"/>
      <c r="BO23854" s="43"/>
    </row>
    <row r="23855" spans="65:67" ht="18.75" customHeight="1">
      <c r="BM23855" s="1025"/>
      <c r="BO23855" s="43"/>
    </row>
    <row r="23856" spans="65:67" ht="18.75" customHeight="1">
      <c r="BM23856" s="1025"/>
      <c r="BO23856" s="43"/>
    </row>
    <row r="23857" spans="65:67" ht="18.75" customHeight="1">
      <c r="BM23857" s="1025"/>
      <c r="BO23857" s="43"/>
    </row>
    <row r="23858" spans="65:67" ht="18.75" customHeight="1">
      <c r="BM23858" s="1025"/>
      <c r="BO23858" s="43"/>
    </row>
    <row r="23859" spans="65:67" ht="18.75" customHeight="1">
      <c r="BM23859" s="1025"/>
      <c r="BO23859" s="43"/>
    </row>
    <row r="23860" spans="65:67" ht="18.75" customHeight="1">
      <c r="BM23860" s="1025"/>
      <c r="BO23860" s="43"/>
    </row>
    <row r="23861" spans="65:67" ht="18.75" customHeight="1">
      <c r="BM23861" s="1025"/>
      <c r="BO23861" s="43"/>
    </row>
    <row r="23862" spans="65:67" ht="18.75" customHeight="1">
      <c r="BM23862" s="1025"/>
      <c r="BO23862" s="43"/>
    </row>
    <row r="23863" spans="65:67" ht="18.75" customHeight="1">
      <c r="BM23863" s="1025"/>
      <c r="BO23863" s="43"/>
    </row>
    <row r="23864" spans="65:67" ht="18.75" customHeight="1">
      <c r="BM23864" s="1025"/>
      <c r="BO23864" s="43"/>
    </row>
    <row r="23865" spans="65:67" ht="18.75" customHeight="1">
      <c r="BM23865" s="1025"/>
      <c r="BO23865" s="43"/>
    </row>
    <row r="23866" spans="65:67" ht="18.75" customHeight="1">
      <c r="BM23866" s="1025"/>
      <c r="BO23866" s="43"/>
    </row>
    <row r="23867" spans="65:67" ht="18.75" customHeight="1">
      <c r="BM23867" s="1025"/>
      <c r="BO23867" s="43"/>
    </row>
    <row r="23868" spans="65:67" ht="18.75" customHeight="1">
      <c r="BM23868" s="1025"/>
      <c r="BO23868" s="43"/>
    </row>
    <row r="23869" spans="65:67" ht="18.75" customHeight="1">
      <c r="BM23869" s="1025"/>
      <c r="BO23869" s="43"/>
    </row>
    <row r="23870" spans="65:67" ht="18.75" customHeight="1">
      <c r="BM23870" s="1025"/>
      <c r="BO23870" s="43"/>
    </row>
    <row r="23871" spans="65:67" ht="18.75" customHeight="1">
      <c r="BM23871" s="1025"/>
      <c r="BO23871" s="43"/>
    </row>
    <row r="23872" spans="65:67" ht="18.75" customHeight="1">
      <c r="BM23872" s="1025"/>
      <c r="BO23872" s="43"/>
    </row>
    <row r="23873" spans="65:67" ht="18.75" customHeight="1">
      <c r="BM23873" s="1025"/>
      <c r="BO23873" s="43"/>
    </row>
    <row r="23874" spans="65:67" ht="18.75" customHeight="1">
      <c r="BM23874" s="1025"/>
      <c r="BO23874" s="43"/>
    </row>
    <row r="23875" spans="65:67" ht="18.75" customHeight="1">
      <c r="BM23875" s="1025"/>
      <c r="BO23875" s="43"/>
    </row>
    <row r="23876" spans="65:67" ht="18.75" customHeight="1">
      <c r="BM23876" s="1025"/>
      <c r="BO23876" s="43"/>
    </row>
    <row r="23877" spans="65:67" ht="18.75" customHeight="1">
      <c r="BM23877" s="1025"/>
      <c r="BO23877" s="43"/>
    </row>
    <row r="23878" spans="65:67" ht="18.75" customHeight="1">
      <c r="BM23878" s="1025"/>
      <c r="BO23878" s="43"/>
    </row>
    <row r="23879" spans="65:67" ht="18.75" customHeight="1">
      <c r="BM23879" s="1025"/>
      <c r="BO23879" s="43"/>
    </row>
    <row r="23880" spans="65:67" ht="18.75" customHeight="1">
      <c r="BM23880" s="1025"/>
      <c r="BO23880" s="43"/>
    </row>
    <row r="23881" spans="65:67" ht="18.75" customHeight="1">
      <c r="BM23881" s="1025"/>
      <c r="BO23881" s="43"/>
    </row>
    <row r="23882" spans="65:67" ht="18.75" customHeight="1">
      <c r="BM23882" s="1025"/>
      <c r="BO23882" s="43"/>
    </row>
    <row r="23883" spans="65:67" ht="18.75" customHeight="1">
      <c r="BM23883" s="1025"/>
      <c r="BO23883" s="43"/>
    </row>
    <row r="23884" spans="65:67" ht="18.75" customHeight="1">
      <c r="BM23884" s="1025"/>
      <c r="BO23884" s="43"/>
    </row>
    <row r="23885" spans="65:67" ht="18.75" customHeight="1">
      <c r="BM23885" s="1025"/>
      <c r="BO23885" s="43"/>
    </row>
    <row r="23886" spans="65:67" ht="18.75" customHeight="1">
      <c r="BM23886" s="1025"/>
      <c r="BO23886" s="43"/>
    </row>
    <row r="23887" spans="65:67" ht="18.75" customHeight="1">
      <c r="BM23887" s="1025"/>
      <c r="BO23887" s="43"/>
    </row>
    <row r="23888" spans="65:67" ht="18.75" customHeight="1">
      <c r="BM23888" s="1025"/>
      <c r="BO23888" s="43"/>
    </row>
    <row r="23889" spans="65:67" ht="18.75" customHeight="1">
      <c r="BM23889" s="1025"/>
      <c r="BO23889" s="43"/>
    </row>
    <row r="23890" spans="65:67" ht="18.75" customHeight="1">
      <c r="BM23890" s="1025"/>
      <c r="BO23890" s="43"/>
    </row>
    <row r="23891" spans="65:67" ht="18.75" customHeight="1">
      <c r="BM23891" s="1025"/>
      <c r="BO23891" s="43"/>
    </row>
    <row r="23892" spans="65:67" ht="18.75" customHeight="1">
      <c r="BM23892" s="1025"/>
      <c r="BO23892" s="43"/>
    </row>
    <row r="23893" spans="65:67" ht="18.75" customHeight="1">
      <c r="BM23893" s="1025"/>
      <c r="BO23893" s="43"/>
    </row>
    <row r="23894" spans="65:67" ht="18.75" customHeight="1">
      <c r="BM23894" s="1025"/>
      <c r="BO23894" s="43"/>
    </row>
    <row r="23895" spans="65:67" ht="18.75" customHeight="1">
      <c r="BM23895" s="1025"/>
      <c r="BO23895" s="43"/>
    </row>
    <row r="23896" spans="65:67" ht="18.75" customHeight="1">
      <c r="BM23896" s="1025"/>
      <c r="BO23896" s="43"/>
    </row>
    <row r="23897" spans="65:67" ht="18.75" customHeight="1">
      <c r="BM23897" s="1025"/>
      <c r="BO23897" s="43"/>
    </row>
    <row r="23898" spans="65:67" ht="18.75" customHeight="1">
      <c r="BM23898" s="1025"/>
      <c r="BO23898" s="43"/>
    </row>
    <row r="23899" spans="65:67" ht="18.75" customHeight="1">
      <c r="BM23899" s="1025"/>
      <c r="BO23899" s="43"/>
    </row>
    <row r="23900" spans="65:67" ht="18.75" customHeight="1">
      <c r="BM23900" s="1025"/>
      <c r="BO23900" s="43"/>
    </row>
    <row r="23901" spans="65:67" ht="18.75" customHeight="1">
      <c r="BM23901" s="1025"/>
      <c r="BO23901" s="43"/>
    </row>
    <row r="23902" spans="65:67" ht="18.75" customHeight="1">
      <c r="BM23902" s="1025"/>
      <c r="BO23902" s="43"/>
    </row>
    <row r="23903" spans="65:67" ht="18.75" customHeight="1">
      <c r="BM23903" s="1025"/>
      <c r="BO23903" s="43"/>
    </row>
    <row r="23904" spans="65:67" ht="18.75" customHeight="1">
      <c r="BM23904" s="1025"/>
      <c r="BO23904" s="43"/>
    </row>
    <row r="23905" spans="65:67" ht="18.75" customHeight="1">
      <c r="BM23905" s="1025"/>
      <c r="BO23905" s="43"/>
    </row>
    <row r="23906" spans="65:67" ht="18.75" customHeight="1">
      <c r="BM23906" s="1025"/>
      <c r="BO23906" s="43"/>
    </row>
    <row r="23907" spans="65:67" ht="18.75" customHeight="1">
      <c r="BM23907" s="1025"/>
      <c r="BO23907" s="43"/>
    </row>
    <row r="23908" spans="65:67" ht="18.75" customHeight="1">
      <c r="BM23908" s="1025"/>
      <c r="BO23908" s="43"/>
    </row>
    <row r="23909" spans="65:67" ht="18.75" customHeight="1">
      <c r="BM23909" s="1025"/>
      <c r="BO23909" s="43"/>
    </row>
    <row r="23910" spans="65:67" ht="18.75" customHeight="1">
      <c r="BM23910" s="1025"/>
      <c r="BO23910" s="43"/>
    </row>
    <row r="23911" spans="65:67" ht="18.75" customHeight="1">
      <c r="BM23911" s="1025"/>
      <c r="BO23911" s="43"/>
    </row>
    <row r="23912" spans="65:67" ht="18.75" customHeight="1">
      <c r="BM23912" s="1025"/>
      <c r="BO23912" s="43"/>
    </row>
    <row r="23913" spans="65:67" ht="18.75" customHeight="1">
      <c r="BM23913" s="1025"/>
      <c r="BO23913" s="43"/>
    </row>
    <row r="23914" spans="65:67" ht="18.75" customHeight="1">
      <c r="BM23914" s="1025"/>
      <c r="BO23914" s="43"/>
    </row>
    <row r="23915" spans="65:67" ht="18.75" customHeight="1">
      <c r="BM23915" s="1025"/>
      <c r="BO23915" s="43"/>
    </row>
    <row r="23916" spans="65:67" ht="18.75" customHeight="1">
      <c r="BM23916" s="1025"/>
      <c r="BO23916" s="43"/>
    </row>
    <row r="23917" spans="65:67" ht="18.75" customHeight="1">
      <c r="BM23917" s="1025"/>
      <c r="BO23917" s="43"/>
    </row>
    <row r="23918" spans="65:67" ht="18.75" customHeight="1">
      <c r="BM23918" s="1025"/>
      <c r="BO23918" s="43"/>
    </row>
    <row r="23919" spans="65:67" ht="18.75" customHeight="1">
      <c r="BM23919" s="1025"/>
      <c r="BO23919" s="43"/>
    </row>
    <row r="23920" spans="65:67" ht="18.75" customHeight="1">
      <c r="BM23920" s="1025"/>
      <c r="BO23920" s="43"/>
    </row>
    <row r="23921" spans="65:67" ht="18.75" customHeight="1">
      <c r="BM23921" s="1025"/>
      <c r="BO23921" s="43"/>
    </row>
    <row r="23922" spans="65:67" ht="18.75" customHeight="1">
      <c r="BM23922" s="1025"/>
      <c r="BO23922" s="43"/>
    </row>
    <row r="23923" spans="65:67" ht="18.75" customHeight="1">
      <c r="BM23923" s="1025"/>
      <c r="BO23923" s="43"/>
    </row>
    <row r="23924" spans="65:67" ht="18.75" customHeight="1">
      <c r="BM23924" s="1025"/>
      <c r="BO23924" s="43"/>
    </row>
    <row r="23925" spans="65:67" ht="18.75" customHeight="1">
      <c r="BM23925" s="1025"/>
      <c r="BO23925" s="43"/>
    </row>
    <row r="23926" spans="65:67" ht="18.75" customHeight="1">
      <c r="BM23926" s="1025"/>
      <c r="BO23926" s="43"/>
    </row>
    <row r="23927" spans="65:67" ht="18.75" customHeight="1">
      <c r="BM23927" s="1025"/>
      <c r="BO23927" s="43"/>
    </row>
    <row r="23928" spans="65:67" ht="18.75" customHeight="1">
      <c r="BM23928" s="1025"/>
      <c r="BO23928" s="43"/>
    </row>
    <row r="23929" spans="65:67" ht="18.75" customHeight="1">
      <c r="BM23929" s="1025"/>
      <c r="BO23929" s="43"/>
    </row>
    <row r="23930" spans="65:67" ht="18.75" customHeight="1">
      <c r="BM23930" s="1025"/>
      <c r="BO23930" s="43"/>
    </row>
    <row r="23931" spans="65:67" ht="18.75" customHeight="1">
      <c r="BM23931" s="1025"/>
      <c r="BO23931" s="43"/>
    </row>
    <row r="23932" spans="65:67" ht="18.75" customHeight="1">
      <c r="BM23932" s="1025"/>
      <c r="BO23932" s="43"/>
    </row>
    <row r="23933" spans="65:67" ht="18.75" customHeight="1">
      <c r="BM23933" s="1025"/>
      <c r="BO23933" s="43"/>
    </row>
    <row r="23934" spans="65:67" ht="18.75" customHeight="1">
      <c r="BM23934" s="1025"/>
      <c r="BO23934" s="43"/>
    </row>
    <row r="23935" spans="65:67" ht="18.75" customHeight="1">
      <c r="BM23935" s="1025"/>
      <c r="BO23935" s="43"/>
    </row>
    <row r="23936" spans="65:67" ht="18.75" customHeight="1">
      <c r="BM23936" s="1025"/>
      <c r="BO23936" s="43"/>
    </row>
    <row r="23937" spans="65:67" ht="18.75" customHeight="1">
      <c r="BM23937" s="1025"/>
      <c r="BO23937" s="43"/>
    </row>
    <row r="23938" spans="65:67" ht="18.75" customHeight="1">
      <c r="BM23938" s="1025"/>
      <c r="BO23938" s="43"/>
    </row>
    <row r="23939" spans="65:67" ht="18.75" customHeight="1">
      <c r="BM23939" s="1025"/>
      <c r="BO23939" s="43"/>
    </row>
    <row r="23940" spans="65:67" ht="18.75" customHeight="1">
      <c r="BM23940" s="1025"/>
      <c r="BO23940" s="43"/>
    </row>
    <row r="23941" spans="65:67" ht="18.75" customHeight="1">
      <c r="BM23941" s="1025"/>
      <c r="BO23941" s="43"/>
    </row>
    <row r="23942" spans="65:67" ht="18.75" customHeight="1">
      <c r="BM23942" s="1025"/>
      <c r="BO23942" s="43"/>
    </row>
    <row r="23943" spans="65:67" ht="18.75" customHeight="1">
      <c r="BM23943" s="1025"/>
      <c r="BO23943" s="43"/>
    </row>
    <row r="23944" spans="65:67" ht="18.75" customHeight="1">
      <c r="BM23944" s="1025"/>
      <c r="BO23944" s="43"/>
    </row>
    <row r="23945" spans="65:67" ht="18.75" customHeight="1">
      <c r="BM23945" s="1025"/>
      <c r="BO23945" s="43"/>
    </row>
    <row r="23946" spans="65:67" ht="18.75" customHeight="1">
      <c r="BM23946" s="1025"/>
      <c r="BO23946" s="43"/>
    </row>
    <row r="23947" spans="65:67" ht="18.75" customHeight="1">
      <c r="BM23947" s="1025"/>
      <c r="BO23947" s="43"/>
    </row>
    <row r="23948" spans="65:67" ht="18.75" customHeight="1">
      <c r="BM23948" s="1025"/>
      <c r="BO23948" s="43"/>
    </row>
    <row r="23949" spans="65:67" ht="18.75" customHeight="1">
      <c r="BM23949" s="1025"/>
      <c r="BO23949" s="43"/>
    </row>
    <row r="23950" spans="65:67" ht="18.75" customHeight="1">
      <c r="BM23950" s="1025"/>
      <c r="BO23950" s="43"/>
    </row>
    <row r="23951" spans="65:67" ht="18.75" customHeight="1">
      <c r="BM23951" s="1025"/>
      <c r="BO23951" s="43"/>
    </row>
    <row r="23952" spans="65:67" ht="18.75" customHeight="1">
      <c r="BM23952" s="1025"/>
      <c r="BO23952" s="43"/>
    </row>
    <row r="23953" spans="65:67" ht="18.75" customHeight="1">
      <c r="BM23953" s="1025"/>
      <c r="BO23953" s="43"/>
    </row>
    <row r="23954" spans="65:67" ht="18.75" customHeight="1">
      <c r="BM23954" s="1025"/>
      <c r="BO23954" s="43"/>
    </row>
    <row r="23955" spans="65:67" ht="18.75" customHeight="1">
      <c r="BM23955" s="1025"/>
      <c r="BO23955" s="43"/>
    </row>
    <row r="23956" spans="65:67" ht="18.75" customHeight="1">
      <c r="BM23956" s="1025"/>
      <c r="BO23956" s="43"/>
    </row>
    <row r="23957" spans="65:67" ht="18.75" customHeight="1">
      <c r="BM23957" s="1025"/>
      <c r="BO23957" s="43"/>
    </row>
    <row r="23958" spans="65:67" ht="18.75" customHeight="1">
      <c r="BM23958" s="1025"/>
      <c r="BO23958" s="43"/>
    </row>
    <row r="23959" spans="65:67" ht="18.75" customHeight="1">
      <c r="BM23959" s="1025"/>
      <c r="BO23959" s="43"/>
    </row>
    <row r="23960" spans="65:67" ht="18.75" customHeight="1">
      <c r="BM23960" s="1025"/>
      <c r="BO23960" s="43"/>
    </row>
    <row r="23961" spans="65:67" ht="18.75" customHeight="1">
      <c r="BM23961" s="1025"/>
      <c r="BO23961" s="43"/>
    </row>
    <row r="23962" spans="65:67" ht="18.75" customHeight="1">
      <c r="BM23962" s="1025"/>
      <c r="BO23962" s="43"/>
    </row>
    <row r="23963" spans="65:67" ht="18.75" customHeight="1">
      <c r="BM23963" s="1025"/>
      <c r="BO23963" s="43"/>
    </row>
    <row r="23964" spans="65:67" ht="18.75" customHeight="1">
      <c r="BM23964" s="1025"/>
      <c r="BO23964" s="43"/>
    </row>
    <row r="23965" spans="65:67" ht="18.75" customHeight="1">
      <c r="BM23965" s="1025"/>
      <c r="BO23965" s="43"/>
    </row>
    <row r="23966" spans="65:67" ht="18.75" customHeight="1">
      <c r="BM23966" s="1025"/>
      <c r="BO23966" s="43"/>
    </row>
    <row r="23967" spans="65:67" ht="18.75" customHeight="1">
      <c r="BM23967" s="1025"/>
      <c r="BO23967" s="43"/>
    </row>
    <row r="23968" spans="65:67" ht="18.75" customHeight="1">
      <c r="BM23968" s="1025"/>
      <c r="BO23968" s="43"/>
    </row>
    <row r="23969" spans="65:67" ht="18.75" customHeight="1">
      <c r="BM23969" s="1025"/>
      <c r="BO23969" s="43"/>
    </row>
    <row r="23970" spans="65:67" ht="18.75" customHeight="1">
      <c r="BM23970" s="1025"/>
      <c r="BO23970" s="43"/>
    </row>
    <row r="23971" spans="65:67" ht="18.75" customHeight="1">
      <c r="BM23971" s="1025"/>
      <c r="BO23971" s="43"/>
    </row>
    <row r="23972" spans="65:67" ht="18.75" customHeight="1">
      <c r="BM23972" s="1025"/>
      <c r="BO23972" s="43"/>
    </row>
    <row r="23973" spans="65:67" ht="18.75" customHeight="1">
      <c r="BM23973" s="1025"/>
      <c r="BO23973" s="43"/>
    </row>
    <row r="23974" spans="65:67" ht="18.75" customHeight="1">
      <c r="BM23974" s="1025"/>
      <c r="BO23974" s="43"/>
    </row>
    <row r="23975" spans="65:67" ht="18.75" customHeight="1">
      <c r="BM23975" s="1025"/>
      <c r="BO23975" s="43"/>
    </row>
    <row r="23976" spans="65:67" ht="18.75" customHeight="1">
      <c r="BM23976" s="1025"/>
      <c r="BO23976" s="43"/>
    </row>
    <row r="23977" spans="65:67" ht="18.75" customHeight="1">
      <c r="BM23977" s="1025"/>
      <c r="BO23977" s="43"/>
    </row>
    <row r="23978" spans="65:67" ht="18.75" customHeight="1">
      <c r="BM23978" s="1025"/>
      <c r="BO23978" s="43"/>
    </row>
    <row r="23979" spans="65:67" ht="18.75" customHeight="1">
      <c r="BM23979" s="1025"/>
      <c r="BO23979" s="43"/>
    </row>
    <row r="23980" spans="65:67" ht="18.75" customHeight="1">
      <c r="BM23980" s="1025"/>
      <c r="BO23980" s="43"/>
    </row>
    <row r="23981" spans="65:67" ht="18.75" customHeight="1">
      <c r="BM23981" s="1025"/>
      <c r="BO23981" s="43"/>
    </row>
    <row r="23982" spans="65:67" ht="18.75" customHeight="1">
      <c r="BM23982" s="1025"/>
      <c r="BO23982" s="43"/>
    </row>
    <row r="23983" spans="65:67" ht="18.75" customHeight="1">
      <c r="BM23983" s="1025"/>
      <c r="BO23983" s="43"/>
    </row>
    <row r="23984" spans="65:67" ht="18.75" customHeight="1">
      <c r="BM23984" s="1025"/>
      <c r="BO23984" s="43"/>
    </row>
    <row r="23985" spans="65:67" ht="18.75" customHeight="1">
      <c r="BM23985" s="1025"/>
      <c r="BO23985" s="43"/>
    </row>
    <row r="23986" spans="65:67" ht="18.75" customHeight="1">
      <c r="BM23986" s="1025"/>
      <c r="BO23986" s="43"/>
    </row>
    <row r="23987" spans="65:67" ht="18.75" customHeight="1">
      <c r="BM23987" s="1025"/>
      <c r="BO23987" s="43"/>
    </row>
    <row r="23988" spans="65:67" ht="18.75" customHeight="1">
      <c r="BM23988" s="1025"/>
      <c r="BO23988" s="43"/>
    </row>
    <row r="23989" spans="65:67" ht="18.75" customHeight="1">
      <c r="BM23989" s="1025"/>
      <c r="BO23989" s="43"/>
    </row>
    <row r="23990" spans="65:67" ht="18.75" customHeight="1">
      <c r="BM23990" s="1025"/>
      <c r="BO23990" s="43"/>
    </row>
    <row r="23991" spans="65:67" ht="18.75" customHeight="1">
      <c r="BM23991" s="1025"/>
      <c r="BO23991" s="43"/>
    </row>
    <row r="23992" spans="65:67" ht="18.75" customHeight="1">
      <c r="BM23992" s="1025"/>
      <c r="BO23992" s="43"/>
    </row>
    <row r="23993" spans="65:67" ht="18.75" customHeight="1">
      <c r="BM23993" s="1025"/>
      <c r="BO23993" s="43"/>
    </row>
    <row r="23994" spans="65:67" ht="18.75" customHeight="1">
      <c r="BM23994" s="1025"/>
      <c r="BO23994" s="43"/>
    </row>
    <row r="23995" spans="65:67" ht="18.75" customHeight="1">
      <c r="BM23995" s="1025"/>
      <c r="BO23995" s="43"/>
    </row>
    <row r="23996" spans="65:67" ht="18.75" customHeight="1">
      <c r="BM23996" s="1025"/>
      <c r="BO23996" s="43"/>
    </row>
    <row r="23997" spans="65:67" ht="18.75" customHeight="1">
      <c r="BM23997" s="1025"/>
      <c r="BO23997" s="43"/>
    </row>
    <row r="23998" spans="65:67" ht="18.75" customHeight="1">
      <c r="BM23998" s="1025"/>
      <c r="BO23998" s="43"/>
    </row>
    <row r="23999" spans="65:67" ht="18.75" customHeight="1">
      <c r="BM23999" s="1025"/>
      <c r="BO23999" s="43"/>
    </row>
    <row r="24000" spans="65:67" ht="18.75" customHeight="1">
      <c r="BM24000" s="1025"/>
      <c r="BO24000" s="43"/>
    </row>
    <row r="24001" spans="65:67" ht="18.75" customHeight="1">
      <c r="BM24001" s="1025"/>
      <c r="BO24001" s="43"/>
    </row>
    <row r="24002" spans="65:67" ht="18.75" customHeight="1">
      <c r="BM24002" s="1025"/>
      <c r="BO24002" s="43"/>
    </row>
    <row r="24003" spans="65:67" ht="18.75" customHeight="1">
      <c r="BM24003" s="1025"/>
      <c r="BO24003" s="43"/>
    </row>
    <row r="24004" spans="65:67" ht="18.75" customHeight="1">
      <c r="BM24004" s="1025"/>
      <c r="BO24004" s="43"/>
    </row>
    <row r="24005" spans="65:67" ht="18.75" customHeight="1">
      <c r="BM24005" s="1025"/>
      <c r="BO24005" s="43"/>
    </row>
    <row r="24006" spans="65:67" ht="18.75" customHeight="1">
      <c r="BM24006" s="1025"/>
      <c r="BO24006" s="43"/>
    </row>
    <row r="24007" spans="65:67" ht="18.75" customHeight="1">
      <c r="BM24007" s="1025"/>
      <c r="BO24007" s="43"/>
    </row>
    <row r="24008" spans="65:67" ht="18.75" customHeight="1">
      <c r="BM24008" s="1025"/>
      <c r="BO24008" s="43"/>
    </row>
    <row r="24009" spans="65:67" ht="18.75" customHeight="1">
      <c r="BM24009" s="1025"/>
      <c r="BO24009" s="43"/>
    </row>
    <row r="24010" spans="65:67" ht="18.75" customHeight="1">
      <c r="BM24010" s="1025"/>
      <c r="BO24010" s="43"/>
    </row>
    <row r="24011" spans="65:67" ht="18.75" customHeight="1">
      <c r="BM24011" s="1025"/>
      <c r="BO24011" s="43"/>
    </row>
    <row r="24012" spans="65:67" ht="18.75" customHeight="1">
      <c r="BM24012" s="1025"/>
      <c r="BO24012" s="43"/>
    </row>
    <row r="24013" spans="65:67" ht="18.75" customHeight="1">
      <c r="BM24013" s="1025"/>
      <c r="BO24013" s="43"/>
    </row>
    <row r="24014" spans="65:67" ht="18.75" customHeight="1">
      <c r="BM24014" s="1025"/>
      <c r="BO24014" s="43"/>
    </row>
    <row r="24015" spans="65:67" ht="18.75" customHeight="1">
      <c r="BM24015" s="1025"/>
      <c r="BO24015" s="43"/>
    </row>
    <row r="24016" spans="65:67" ht="18.75" customHeight="1">
      <c r="BM24016" s="1025"/>
      <c r="BO24016" s="43"/>
    </row>
    <row r="24017" spans="65:67" ht="18.75" customHeight="1">
      <c r="BM24017" s="1025"/>
      <c r="BO24017" s="43"/>
    </row>
    <row r="24018" spans="65:67" ht="18.75" customHeight="1">
      <c r="BM24018" s="1025"/>
      <c r="BO24018" s="43"/>
    </row>
    <row r="24019" spans="65:67" ht="18.75" customHeight="1">
      <c r="BM24019" s="1025"/>
      <c r="BO24019" s="43"/>
    </row>
    <row r="24020" spans="65:67" ht="18.75" customHeight="1">
      <c r="BM24020" s="1025"/>
      <c r="BO24020" s="43"/>
    </row>
    <row r="24021" spans="65:67" ht="18.75" customHeight="1">
      <c r="BM24021" s="1025"/>
      <c r="BO24021" s="43"/>
    </row>
    <row r="24022" spans="65:67" ht="18.75" customHeight="1">
      <c r="BM24022" s="1025"/>
      <c r="BO24022" s="43"/>
    </row>
    <row r="24023" spans="65:67" ht="18.75" customHeight="1">
      <c r="BM24023" s="1025"/>
      <c r="BO24023" s="43"/>
    </row>
    <row r="24024" spans="65:67" ht="18.75" customHeight="1">
      <c r="BM24024" s="1025"/>
      <c r="BO24024" s="43"/>
    </row>
    <row r="24025" spans="65:67" ht="18.75" customHeight="1">
      <c r="BM24025" s="1025"/>
      <c r="BO24025" s="43"/>
    </row>
    <row r="24026" spans="65:67" ht="18.75" customHeight="1">
      <c r="BM24026" s="1025"/>
      <c r="BO24026" s="43"/>
    </row>
    <row r="24027" spans="65:67" ht="18.75" customHeight="1">
      <c r="BM24027" s="1025"/>
      <c r="BO24027" s="43"/>
    </row>
    <row r="24028" spans="65:67" ht="18.75" customHeight="1">
      <c r="BM24028" s="1025"/>
      <c r="BO24028" s="43"/>
    </row>
    <row r="24029" spans="65:67" ht="18.75" customHeight="1">
      <c r="BM24029" s="1025"/>
      <c r="BO24029" s="43"/>
    </row>
    <row r="24030" spans="65:67" ht="18.75" customHeight="1">
      <c r="BM24030" s="1025"/>
      <c r="BO24030" s="43"/>
    </row>
    <row r="24031" spans="65:67" ht="18.75" customHeight="1">
      <c r="BM24031" s="1025"/>
      <c r="BO24031" s="43"/>
    </row>
    <row r="24032" spans="65:67" ht="18.75" customHeight="1">
      <c r="BM24032" s="1025"/>
      <c r="BO24032" s="43"/>
    </row>
    <row r="24033" spans="65:67" ht="18.75" customHeight="1">
      <c r="BM24033" s="1025"/>
      <c r="BO24033" s="43"/>
    </row>
    <row r="24034" spans="65:67" ht="18.75" customHeight="1">
      <c r="BM24034" s="1025"/>
      <c r="BO24034" s="43"/>
    </row>
    <row r="24035" spans="65:67" ht="18.75" customHeight="1">
      <c r="BM24035" s="1025"/>
      <c r="BO24035" s="43"/>
    </row>
    <row r="24036" spans="65:67" ht="18.75" customHeight="1">
      <c r="BM24036" s="1025"/>
      <c r="BO24036" s="43"/>
    </row>
    <row r="24037" spans="65:67" ht="18.75" customHeight="1">
      <c r="BM24037" s="1025"/>
      <c r="BO24037" s="43"/>
    </row>
    <row r="24038" spans="65:67" ht="18.75" customHeight="1">
      <c r="BM24038" s="1025"/>
      <c r="BO24038" s="43"/>
    </row>
    <row r="24039" spans="65:67" ht="18.75" customHeight="1">
      <c r="BM24039" s="1025"/>
      <c r="BO24039" s="43"/>
    </row>
    <row r="24040" spans="65:67" ht="18.75" customHeight="1">
      <c r="BM24040" s="1025"/>
      <c r="BO24040" s="43"/>
    </row>
    <row r="24041" spans="65:67" ht="18.75" customHeight="1">
      <c r="BM24041" s="1025"/>
      <c r="BO24041" s="43"/>
    </row>
    <row r="24042" spans="65:67" ht="18.75" customHeight="1">
      <c r="BM24042" s="1025"/>
      <c r="BO24042" s="43"/>
    </row>
    <row r="24043" spans="65:67" ht="18.75" customHeight="1">
      <c r="BM24043" s="1025"/>
      <c r="BO24043" s="43"/>
    </row>
    <row r="24044" spans="65:67" ht="18.75" customHeight="1">
      <c r="BM24044" s="1025"/>
      <c r="BO24044" s="43"/>
    </row>
    <row r="24045" spans="65:67" ht="18.75" customHeight="1">
      <c r="BM24045" s="1025"/>
      <c r="BO24045" s="43"/>
    </row>
    <row r="24046" spans="65:67" ht="18.75" customHeight="1">
      <c r="BM24046" s="1025"/>
      <c r="BO24046" s="43"/>
    </row>
    <row r="24047" spans="65:67" ht="18.75" customHeight="1">
      <c r="BM24047" s="1025"/>
      <c r="BO24047" s="43"/>
    </row>
    <row r="24048" spans="65:67" ht="18.75" customHeight="1">
      <c r="BM24048" s="1025"/>
      <c r="BO24048" s="43"/>
    </row>
    <row r="24049" spans="65:67" ht="18.75" customHeight="1">
      <c r="BM24049" s="1025"/>
      <c r="BO24049" s="43"/>
    </row>
    <row r="24050" spans="65:67" ht="18.75" customHeight="1">
      <c r="BM24050" s="1025"/>
      <c r="BO24050" s="43"/>
    </row>
    <row r="24051" spans="65:67" ht="18.75" customHeight="1">
      <c r="BM24051" s="1025"/>
      <c r="BO24051" s="43"/>
    </row>
    <row r="24052" spans="65:67" ht="18.75" customHeight="1">
      <c r="BM24052" s="1025"/>
      <c r="BO24052" s="43"/>
    </row>
    <row r="24053" spans="65:67" ht="18.75" customHeight="1">
      <c r="BM24053" s="1025"/>
      <c r="BO24053" s="43"/>
    </row>
    <row r="24054" spans="65:67" ht="18.75" customHeight="1">
      <c r="BM24054" s="1025"/>
      <c r="BO24054" s="43"/>
    </row>
    <row r="24055" spans="65:67" ht="18.75" customHeight="1">
      <c r="BM24055" s="1025"/>
      <c r="BO24055" s="43"/>
    </row>
    <row r="24056" spans="65:67" ht="18.75" customHeight="1">
      <c r="BM24056" s="1025"/>
      <c r="BO24056" s="43"/>
    </row>
    <row r="24057" spans="65:67" ht="18.75" customHeight="1">
      <c r="BM24057" s="1025"/>
      <c r="BO24057" s="43"/>
    </row>
    <row r="24058" spans="65:67" ht="18.75" customHeight="1">
      <c r="BM24058" s="1025"/>
      <c r="BO24058" s="43"/>
    </row>
    <row r="24059" spans="65:67" ht="18.75" customHeight="1">
      <c r="BM24059" s="1025"/>
      <c r="BO24059" s="43"/>
    </row>
    <row r="24060" spans="65:67" ht="18.75" customHeight="1">
      <c r="BM24060" s="1025"/>
      <c r="BO24060" s="43"/>
    </row>
    <row r="24061" spans="65:67" ht="18.75" customHeight="1">
      <c r="BM24061" s="1025"/>
      <c r="BO24061" s="43"/>
    </row>
    <row r="24062" spans="65:67" ht="18.75" customHeight="1">
      <c r="BM24062" s="1025"/>
      <c r="BO24062" s="43"/>
    </row>
    <row r="24063" spans="65:67" ht="18.75" customHeight="1">
      <c r="BM24063" s="1025"/>
      <c r="BO24063" s="43"/>
    </row>
    <row r="24064" spans="65:67" ht="18.75" customHeight="1">
      <c r="BM24064" s="1025"/>
      <c r="BO24064" s="43"/>
    </row>
    <row r="24065" spans="65:67" ht="18.75" customHeight="1">
      <c r="BM24065" s="1025"/>
      <c r="BO24065" s="43"/>
    </row>
    <row r="24066" spans="65:67" ht="18.75" customHeight="1">
      <c r="BM24066" s="1025"/>
      <c r="BO24066" s="43"/>
    </row>
    <row r="24067" spans="65:67" ht="18.75" customHeight="1">
      <c r="BM24067" s="1025"/>
      <c r="BO24067" s="43"/>
    </row>
    <row r="24068" spans="65:67" ht="18.75" customHeight="1">
      <c r="BM24068" s="1025"/>
      <c r="BO24068" s="43"/>
    </row>
    <row r="24069" spans="65:67" ht="18.75" customHeight="1">
      <c r="BM24069" s="1025"/>
      <c r="BO24069" s="43"/>
    </row>
    <row r="24070" spans="65:67" ht="18.75" customHeight="1">
      <c r="BM24070" s="1025"/>
      <c r="BO24070" s="43"/>
    </row>
    <row r="24071" spans="65:67" ht="18.75" customHeight="1">
      <c r="BM24071" s="1025"/>
      <c r="BO24071" s="43"/>
    </row>
    <row r="24072" spans="65:67" ht="18.75" customHeight="1">
      <c r="BM24072" s="1025"/>
      <c r="BO24072" s="43"/>
    </row>
    <row r="24073" spans="65:67" ht="18.75" customHeight="1">
      <c r="BM24073" s="1025"/>
      <c r="BO24073" s="43"/>
    </row>
    <row r="24074" spans="65:67" ht="18.75" customHeight="1">
      <c r="BM24074" s="1025"/>
      <c r="BO24074" s="43"/>
    </row>
    <row r="24075" spans="65:67" ht="18.75" customHeight="1">
      <c r="BM24075" s="1025"/>
      <c r="BO24075" s="43"/>
    </row>
    <row r="24076" spans="65:67" ht="18.75" customHeight="1">
      <c r="BM24076" s="1025"/>
      <c r="BO24076" s="43"/>
    </row>
    <row r="24077" spans="65:67" ht="18.75" customHeight="1">
      <c r="BM24077" s="1025"/>
      <c r="BO24077" s="43"/>
    </row>
    <row r="24078" spans="65:67" ht="18.75" customHeight="1">
      <c r="BM24078" s="1025"/>
      <c r="BO24078" s="43"/>
    </row>
    <row r="24079" spans="65:67" ht="18.75" customHeight="1">
      <c r="BM24079" s="1025"/>
      <c r="BO24079" s="43"/>
    </row>
    <row r="24080" spans="65:67" ht="18.75" customHeight="1">
      <c r="BM24080" s="1025"/>
      <c r="BO24080" s="43"/>
    </row>
    <row r="24081" spans="65:67" ht="18.75" customHeight="1">
      <c r="BM24081" s="1025"/>
      <c r="BO24081" s="43"/>
    </row>
    <row r="24082" spans="65:67" ht="18.75" customHeight="1">
      <c r="BM24082" s="1025"/>
      <c r="BO24082" s="43"/>
    </row>
    <row r="24083" spans="65:67" ht="18.75" customHeight="1">
      <c r="BM24083" s="1025"/>
      <c r="BO24083" s="43"/>
    </row>
    <row r="24084" spans="65:67" ht="18.75" customHeight="1">
      <c r="BM24084" s="1025"/>
      <c r="BO24084" s="43"/>
    </row>
    <row r="24085" spans="65:67" ht="18.75" customHeight="1">
      <c r="BM24085" s="1025"/>
      <c r="BO24085" s="43"/>
    </row>
    <row r="24086" spans="65:67" ht="18.75" customHeight="1">
      <c r="BM24086" s="1025"/>
      <c r="BO24086" s="43"/>
    </row>
    <row r="24087" spans="65:67" ht="18.75" customHeight="1">
      <c r="BM24087" s="1025"/>
      <c r="BO24087" s="43"/>
    </row>
    <row r="24088" spans="65:67" ht="18.75" customHeight="1">
      <c r="BM24088" s="1025"/>
      <c r="BO24088" s="43"/>
    </row>
    <row r="24089" spans="65:67" ht="18.75" customHeight="1">
      <c r="BM24089" s="1025"/>
      <c r="BO24089" s="43"/>
    </row>
    <row r="24090" spans="65:67" ht="18.75" customHeight="1">
      <c r="BM24090" s="1025"/>
      <c r="BO24090" s="43"/>
    </row>
    <row r="24091" spans="65:67" ht="18.75" customHeight="1">
      <c r="BM24091" s="1025"/>
      <c r="BO24091" s="43"/>
    </row>
    <row r="24092" spans="65:67" ht="18.75" customHeight="1">
      <c r="BM24092" s="1025"/>
      <c r="BO24092" s="43"/>
    </row>
    <row r="24093" spans="65:67" ht="18.75" customHeight="1">
      <c r="BM24093" s="1025"/>
      <c r="BO24093" s="43"/>
    </row>
    <row r="24094" spans="65:67" ht="18.75" customHeight="1">
      <c r="BM24094" s="1025"/>
      <c r="BO24094" s="43"/>
    </row>
    <row r="24095" spans="65:67" ht="18.75" customHeight="1">
      <c r="BM24095" s="1025"/>
      <c r="BO24095" s="43"/>
    </row>
    <row r="24096" spans="65:67" ht="18.75" customHeight="1">
      <c r="BM24096" s="1025"/>
      <c r="BO24096" s="43"/>
    </row>
    <row r="24097" spans="65:67" ht="18.75" customHeight="1">
      <c r="BM24097" s="1025"/>
      <c r="BO24097" s="43"/>
    </row>
    <row r="24098" spans="65:67" ht="18.75" customHeight="1">
      <c r="BM24098" s="1025"/>
      <c r="BO24098" s="43"/>
    </row>
    <row r="24099" spans="65:67" ht="18.75" customHeight="1">
      <c r="BM24099" s="1025"/>
      <c r="BO24099" s="43"/>
    </row>
    <row r="24100" spans="65:67" ht="18.75" customHeight="1">
      <c r="BM24100" s="1025"/>
      <c r="BO24100" s="43"/>
    </row>
    <row r="24101" spans="65:67" ht="18.75" customHeight="1">
      <c r="BM24101" s="1025"/>
      <c r="BO24101" s="43"/>
    </row>
    <row r="24102" spans="65:67" ht="18.75" customHeight="1">
      <c r="BM24102" s="1025"/>
      <c r="BO24102" s="43"/>
    </row>
    <row r="24103" spans="65:67" ht="18.75" customHeight="1">
      <c r="BM24103" s="1025"/>
      <c r="BO24103" s="43"/>
    </row>
    <row r="24104" spans="65:67" ht="18.75" customHeight="1">
      <c r="BM24104" s="1025"/>
      <c r="BO24104" s="43"/>
    </row>
    <row r="24105" spans="65:67" ht="18.75" customHeight="1">
      <c r="BM24105" s="1025"/>
      <c r="BO24105" s="43"/>
    </row>
    <row r="24106" spans="65:67" ht="18.75" customHeight="1">
      <c r="BM24106" s="1025"/>
      <c r="BO24106" s="43"/>
    </row>
    <row r="24107" spans="65:67" ht="18.75" customHeight="1">
      <c r="BM24107" s="1025"/>
      <c r="BO24107" s="43"/>
    </row>
    <row r="24108" spans="65:67" ht="18.75" customHeight="1">
      <c r="BM24108" s="1025"/>
      <c r="BO24108" s="43"/>
    </row>
    <row r="24109" spans="65:67" ht="18.75" customHeight="1">
      <c r="BM24109" s="1025"/>
      <c r="BO24109" s="43"/>
    </row>
    <row r="24110" spans="65:67" ht="18.75" customHeight="1">
      <c r="BM24110" s="1025"/>
      <c r="BO24110" s="43"/>
    </row>
    <row r="24111" spans="65:67" ht="18.75" customHeight="1">
      <c r="BM24111" s="1025"/>
      <c r="BO24111" s="43"/>
    </row>
    <row r="24112" spans="65:67" ht="18.75" customHeight="1">
      <c r="BM24112" s="1025"/>
      <c r="BO24112" s="43"/>
    </row>
    <row r="24113" spans="65:67" ht="18.75" customHeight="1">
      <c r="BM24113" s="1025"/>
      <c r="BO24113" s="43"/>
    </row>
    <row r="24114" spans="65:67" ht="18.75" customHeight="1">
      <c r="BM24114" s="1025"/>
      <c r="BO24114" s="43"/>
    </row>
    <row r="24115" spans="65:67" ht="18.75" customHeight="1">
      <c r="BM24115" s="1025"/>
      <c r="BO24115" s="43"/>
    </row>
    <row r="24116" spans="65:67" ht="18.75" customHeight="1">
      <c r="BM24116" s="1025"/>
      <c r="BO24116" s="43"/>
    </row>
    <row r="24117" spans="65:67" ht="18.75" customHeight="1">
      <c r="BM24117" s="1025"/>
      <c r="BO24117" s="43"/>
    </row>
    <row r="24118" spans="65:67" ht="18.75" customHeight="1">
      <c r="BM24118" s="1025"/>
      <c r="BO24118" s="43"/>
    </row>
    <row r="24119" spans="65:67" ht="18.75" customHeight="1">
      <c r="BM24119" s="1025"/>
      <c r="BO24119" s="43"/>
    </row>
    <row r="24120" spans="65:67" ht="18.75" customHeight="1">
      <c r="BM24120" s="1025"/>
      <c r="BO24120" s="43"/>
    </row>
    <row r="24121" spans="65:67" ht="18.75" customHeight="1">
      <c r="BM24121" s="1025"/>
      <c r="BO24121" s="43"/>
    </row>
    <row r="24122" spans="65:67" ht="18.75" customHeight="1">
      <c r="BM24122" s="1025"/>
      <c r="BO24122" s="43"/>
    </row>
    <row r="24123" spans="65:67" ht="18.75" customHeight="1">
      <c r="BM24123" s="1025"/>
      <c r="BO24123" s="43"/>
    </row>
    <row r="24124" spans="65:67" ht="18.75" customHeight="1">
      <c r="BM24124" s="1025"/>
      <c r="BO24124" s="43"/>
    </row>
    <row r="24125" spans="65:67" ht="18.75" customHeight="1">
      <c r="BM24125" s="1025"/>
      <c r="BO24125" s="43"/>
    </row>
    <row r="24126" spans="65:67" ht="18.75" customHeight="1">
      <c r="BM24126" s="1025"/>
      <c r="BO24126" s="43"/>
    </row>
    <row r="24127" spans="65:67" ht="18.75" customHeight="1">
      <c r="BM24127" s="1025"/>
      <c r="BO24127" s="43"/>
    </row>
    <row r="24128" spans="65:67" ht="18.75" customHeight="1">
      <c r="BM24128" s="1025"/>
      <c r="BO24128" s="43"/>
    </row>
    <row r="24129" spans="65:67" ht="18.75" customHeight="1">
      <c r="BM24129" s="1025"/>
      <c r="BO24129" s="43"/>
    </row>
    <row r="24130" spans="65:67" ht="18.75" customHeight="1">
      <c r="BM24130" s="1025"/>
      <c r="BO24130" s="43"/>
    </row>
    <row r="24131" spans="65:67" ht="18.75" customHeight="1">
      <c r="BM24131" s="1025"/>
      <c r="BO24131" s="43"/>
    </row>
    <row r="24132" spans="65:67" ht="18.75" customHeight="1">
      <c r="BM24132" s="1025"/>
      <c r="BO24132" s="43"/>
    </row>
    <row r="24133" spans="65:67" ht="18.75" customHeight="1">
      <c r="BM24133" s="1025"/>
      <c r="BO24133" s="43"/>
    </row>
    <row r="24134" spans="65:67" ht="18.75" customHeight="1">
      <c r="BM24134" s="1025"/>
      <c r="BO24134" s="43"/>
    </row>
    <row r="24135" spans="65:67" ht="18.75" customHeight="1">
      <c r="BM24135" s="1025"/>
      <c r="BO24135" s="43"/>
    </row>
    <row r="24136" spans="65:67" ht="18.75" customHeight="1">
      <c r="BM24136" s="1025"/>
      <c r="BO24136" s="43"/>
    </row>
    <row r="24137" spans="65:67" ht="18.75" customHeight="1">
      <c r="BM24137" s="1025"/>
      <c r="BO24137" s="43"/>
    </row>
    <row r="24138" spans="65:67" ht="18.75" customHeight="1">
      <c r="BM24138" s="1025"/>
      <c r="BO24138" s="43"/>
    </row>
    <row r="24139" spans="65:67" ht="18.75" customHeight="1">
      <c r="BM24139" s="1025"/>
      <c r="BO24139" s="43"/>
    </row>
    <row r="24140" spans="65:67" ht="18.75" customHeight="1">
      <c r="BM24140" s="1025"/>
      <c r="BO24140" s="43"/>
    </row>
    <row r="24141" spans="65:67" ht="18.75" customHeight="1">
      <c r="BM24141" s="1025"/>
      <c r="BO24141" s="43"/>
    </row>
    <row r="24142" spans="65:67" ht="18.75" customHeight="1">
      <c r="BM24142" s="1025"/>
      <c r="BO24142" s="43"/>
    </row>
    <row r="24143" spans="65:67" ht="18.75" customHeight="1">
      <c r="BM24143" s="1025"/>
      <c r="BO24143" s="43"/>
    </row>
    <row r="24144" spans="65:67" ht="18.75" customHeight="1">
      <c r="BM24144" s="1025"/>
      <c r="BO24144" s="43"/>
    </row>
    <row r="24145" spans="65:67" ht="18.75" customHeight="1">
      <c r="BM24145" s="1025"/>
      <c r="BO24145" s="43"/>
    </row>
    <row r="24146" spans="65:67" ht="18.75" customHeight="1">
      <c r="BM24146" s="1025"/>
      <c r="BO24146" s="43"/>
    </row>
    <row r="24147" spans="65:67" ht="18.75" customHeight="1">
      <c r="BM24147" s="1025"/>
      <c r="BO24147" s="43"/>
    </row>
    <row r="24148" spans="65:67" ht="18.75" customHeight="1">
      <c r="BM24148" s="1025"/>
      <c r="BO24148" s="43"/>
    </row>
    <row r="24149" spans="65:67" ht="18.75" customHeight="1">
      <c r="BM24149" s="1025"/>
      <c r="BO24149" s="43"/>
    </row>
    <row r="24150" spans="65:67" ht="18.75" customHeight="1">
      <c r="BM24150" s="1025"/>
      <c r="BO24150" s="43"/>
    </row>
    <row r="24151" spans="65:67" ht="18.75" customHeight="1">
      <c r="BM24151" s="1025"/>
      <c r="BO24151" s="43"/>
    </row>
    <row r="24152" spans="65:67" ht="18.75" customHeight="1">
      <c r="BM24152" s="1025"/>
      <c r="BO24152" s="43"/>
    </row>
    <row r="24153" spans="65:67" ht="18.75" customHeight="1">
      <c r="BM24153" s="1025"/>
      <c r="BO24153" s="43"/>
    </row>
    <row r="24154" spans="65:67" ht="18.75" customHeight="1">
      <c r="BM24154" s="1025"/>
      <c r="BO24154" s="43"/>
    </row>
    <row r="24155" spans="65:67" ht="18.75" customHeight="1">
      <c r="BM24155" s="1025"/>
      <c r="BO24155" s="43"/>
    </row>
    <row r="24156" spans="65:67" ht="18.75" customHeight="1">
      <c r="BM24156" s="1025"/>
      <c r="BO24156" s="43"/>
    </row>
    <row r="24157" spans="65:67" ht="18.75" customHeight="1">
      <c r="BM24157" s="1025"/>
      <c r="BO24157" s="43"/>
    </row>
    <row r="24158" spans="65:67" ht="18.75" customHeight="1">
      <c r="BM24158" s="1025"/>
      <c r="BO24158" s="43"/>
    </row>
    <row r="24159" spans="65:67" ht="18.75" customHeight="1">
      <c r="BM24159" s="1025"/>
      <c r="BO24159" s="43"/>
    </row>
    <row r="24160" spans="65:67" ht="18.75" customHeight="1">
      <c r="BM24160" s="1025"/>
      <c r="BO24160" s="43"/>
    </row>
    <row r="24161" spans="65:67" ht="18.75" customHeight="1">
      <c r="BM24161" s="1025"/>
      <c r="BO24161" s="43"/>
    </row>
    <row r="24162" spans="65:67" ht="18.75" customHeight="1">
      <c r="BM24162" s="1025"/>
      <c r="BO24162" s="43"/>
    </row>
    <row r="24163" spans="65:67" ht="18.75" customHeight="1">
      <c r="BM24163" s="1025"/>
      <c r="BO24163" s="43"/>
    </row>
    <row r="24164" spans="65:67" ht="18.75" customHeight="1">
      <c r="BM24164" s="1025"/>
      <c r="BO24164" s="43"/>
    </row>
    <row r="24165" spans="65:67" ht="18.75" customHeight="1">
      <c r="BM24165" s="1025"/>
      <c r="BO24165" s="43"/>
    </row>
    <row r="24166" spans="65:67" ht="18.75" customHeight="1">
      <c r="BM24166" s="1025"/>
      <c r="BO24166" s="43"/>
    </row>
    <row r="24167" spans="65:67" ht="18.75" customHeight="1">
      <c r="BM24167" s="1025"/>
      <c r="BO24167" s="43"/>
    </row>
    <row r="24168" spans="65:67" ht="18.75" customHeight="1">
      <c r="BM24168" s="1025"/>
      <c r="BO24168" s="43"/>
    </row>
    <row r="24169" spans="65:67" ht="18.75" customHeight="1">
      <c r="BM24169" s="1025"/>
      <c r="BO24169" s="43"/>
    </row>
    <row r="24170" spans="65:67" ht="18.75" customHeight="1">
      <c r="BM24170" s="1025"/>
      <c r="BO24170" s="43"/>
    </row>
    <row r="24171" spans="65:67" ht="18.75" customHeight="1">
      <c r="BM24171" s="1025"/>
      <c r="BO24171" s="43"/>
    </row>
    <row r="24172" spans="65:67" ht="18.75" customHeight="1">
      <c r="BM24172" s="1025"/>
      <c r="BO24172" s="43"/>
    </row>
    <row r="24173" spans="65:67" ht="18.75" customHeight="1">
      <c r="BM24173" s="1025"/>
      <c r="BO24173" s="43"/>
    </row>
    <row r="24174" spans="65:67" ht="18.75" customHeight="1">
      <c r="BM24174" s="1025"/>
      <c r="BO24174" s="43"/>
    </row>
    <row r="24175" spans="65:67" ht="18.75" customHeight="1">
      <c r="BM24175" s="1025"/>
      <c r="BO24175" s="43"/>
    </row>
    <row r="24176" spans="65:67" ht="18.75" customHeight="1">
      <c r="BM24176" s="1025"/>
      <c r="BO24176" s="43"/>
    </row>
    <row r="24177" spans="65:67" ht="18.75" customHeight="1">
      <c r="BM24177" s="1025"/>
      <c r="BO24177" s="43"/>
    </row>
    <row r="24178" spans="65:67" ht="18.75" customHeight="1">
      <c r="BM24178" s="1025"/>
      <c r="BO24178" s="43"/>
    </row>
    <row r="24179" spans="65:67" ht="18.75" customHeight="1">
      <c r="BM24179" s="1025"/>
      <c r="BO24179" s="43"/>
    </row>
    <row r="24180" spans="65:67" ht="18.75" customHeight="1">
      <c r="BM24180" s="1025"/>
      <c r="BO24180" s="43"/>
    </row>
    <row r="24181" spans="65:67" ht="18.75" customHeight="1">
      <c r="BM24181" s="1025"/>
      <c r="BO24181" s="43"/>
    </row>
    <row r="24182" spans="65:67" ht="18.75" customHeight="1">
      <c r="BM24182" s="1025"/>
      <c r="BO24182" s="43"/>
    </row>
    <row r="24183" spans="65:67" ht="18.75" customHeight="1">
      <c r="BM24183" s="1025"/>
      <c r="BO24183" s="43"/>
    </row>
    <row r="24184" spans="65:67" ht="18.75" customHeight="1">
      <c r="BM24184" s="1025"/>
      <c r="BO24184" s="43"/>
    </row>
    <row r="24185" spans="65:67" ht="18.75" customHeight="1">
      <c r="BM24185" s="1025"/>
      <c r="BO24185" s="43"/>
    </row>
    <row r="24186" spans="65:67" ht="18.75" customHeight="1">
      <c r="BM24186" s="1025"/>
      <c r="BO24186" s="43"/>
    </row>
    <row r="24187" spans="65:67" ht="18.75" customHeight="1">
      <c r="BM24187" s="1025"/>
      <c r="BO24187" s="43"/>
    </row>
    <row r="24188" spans="65:67" ht="18.75" customHeight="1">
      <c r="BM24188" s="1025"/>
      <c r="BO24188" s="43"/>
    </row>
    <row r="24189" spans="65:67" ht="18.75" customHeight="1">
      <c r="BM24189" s="1025"/>
      <c r="BO24189" s="43"/>
    </row>
    <row r="24190" spans="65:67" ht="18.75" customHeight="1">
      <c r="BM24190" s="1025"/>
      <c r="BO24190" s="43"/>
    </row>
    <row r="24191" spans="65:67" ht="18.75" customHeight="1">
      <c r="BM24191" s="1025"/>
      <c r="BO24191" s="43"/>
    </row>
    <row r="24192" spans="65:67" ht="18.75" customHeight="1">
      <c r="BM24192" s="1025"/>
      <c r="BO24192" s="43"/>
    </row>
    <row r="24193" spans="65:67" ht="18.75" customHeight="1">
      <c r="BM24193" s="1025"/>
      <c r="BO24193" s="43"/>
    </row>
    <row r="24194" spans="65:67" ht="18.75" customHeight="1">
      <c r="BM24194" s="1025"/>
      <c r="BO24194" s="43"/>
    </row>
    <row r="24195" spans="65:67" ht="18.75" customHeight="1">
      <c r="BM24195" s="1025"/>
      <c r="BO24195" s="43"/>
    </row>
    <row r="24196" spans="65:67" ht="18.75" customHeight="1">
      <c r="BM24196" s="1025"/>
      <c r="BO24196" s="43"/>
    </row>
    <row r="24197" spans="65:67" ht="18.75" customHeight="1">
      <c r="BM24197" s="1025"/>
      <c r="BO24197" s="43"/>
    </row>
    <row r="24198" spans="65:67" ht="18.75" customHeight="1">
      <c r="BM24198" s="1025"/>
      <c r="BO24198" s="43"/>
    </row>
    <row r="24199" spans="65:67" ht="18.75" customHeight="1">
      <c r="BM24199" s="1025"/>
      <c r="BO24199" s="43"/>
    </row>
    <row r="24200" spans="65:67" ht="18.75" customHeight="1">
      <c r="BM24200" s="1025"/>
      <c r="BO24200" s="43"/>
    </row>
    <row r="24201" spans="65:67" ht="18.75" customHeight="1">
      <c r="BM24201" s="1025"/>
      <c r="BO24201" s="43"/>
    </row>
    <row r="24202" spans="65:67" ht="18.75" customHeight="1">
      <c r="BM24202" s="1025"/>
      <c r="BO24202" s="43"/>
    </row>
    <row r="24203" spans="65:67" ht="18.75" customHeight="1">
      <c r="BM24203" s="1025"/>
      <c r="BO24203" s="43"/>
    </row>
    <row r="24204" spans="65:67" ht="18.75" customHeight="1">
      <c r="BM24204" s="1025"/>
      <c r="BO24204" s="43"/>
    </row>
    <row r="24205" spans="65:67" ht="18.75" customHeight="1">
      <c r="BM24205" s="1025"/>
      <c r="BO24205" s="43"/>
    </row>
    <row r="24206" spans="65:67" ht="18.75" customHeight="1">
      <c r="BM24206" s="1025"/>
      <c r="BO24206" s="43"/>
    </row>
    <row r="24207" spans="65:67" ht="18.75" customHeight="1">
      <c r="BM24207" s="1025"/>
      <c r="BO24207" s="43"/>
    </row>
    <row r="24208" spans="65:67" ht="18.75" customHeight="1">
      <c r="BM24208" s="1025"/>
      <c r="BO24208" s="43"/>
    </row>
    <row r="24209" spans="65:67" ht="18.75" customHeight="1">
      <c r="BM24209" s="1025"/>
      <c r="BO24209" s="43"/>
    </row>
    <row r="24210" spans="65:67" ht="18.75" customHeight="1">
      <c r="BM24210" s="1025"/>
      <c r="BO24210" s="43"/>
    </row>
    <row r="24211" spans="65:67" ht="18.75" customHeight="1">
      <c r="BM24211" s="1025"/>
      <c r="BO24211" s="43"/>
    </row>
    <row r="24212" spans="65:67" ht="18.75" customHeight="1">
      <c r="BM24212" s="1025"/>
      <c r="BO24212" s="43"/>
    </row>
    <row r="24213" spans="65:67" ht="18.75" customHeight="1">
      <c r="BM24213" s="1025"/>
      <c r="BO24213" s="43"/>
    </row>
    <row r="24214" spans="65:67" ht="18.75" customHeight="1">
      <c r="BM24214" s="1025"/>
      <c r="BO24214" s="43"/>
    </row>
    <row r="24215" spans="65:67" ht="18.75" customHeight="1">
      <c r="BM24215" s="1025"/>
      <c r="BO24215" s="43"/>
    </row>
    <row r="24216" spans="65:67" ht="18.75" customHeight="1">
      <c r="BM24216" s="1025"/>
      <c r="BO24216" s="43"/>
    </row>
    <row r="24217" spans="65:67" ht="18.75" customHeight="1">
      <c r="BM24217" s="1025"/>
      <c r="BO24217" s="43"/>
    </row>
    <row r="24218" spans="65:67" ht="18.75" customHeight="1">
      <c r="BM24218" s="1025"/>
      <c r="BO24218" s="43"/>
    </row>
    <row r="24219" spans="65:67" ht="18.75" customHeight="1">
      <c r="BM24219" s="1025"/>
      <c r="BO24219" s="43"/>
    </row>
    <row r="24220" spans="65:67" ht="18.75" customHeight="1">
      <c r="BM24220" s="1025"/>
      <c r="BO24220" s="43"/>
    </row>
    <row r="24221" spans="65:67" ht="18.75" customHeight="1">
      <c r="BM24221" s="1025"/>
      <c r="BO24221" s="43"/>
    </row>
    <row r="24222" spans="65:67" ht="18.75" customHeight="1">
      <c r="BM24222" s="1025"/>
      <c r="BO24222" s="43"/>
    </row>
    <row r="24223" spans="65:67" ht="18.75" customHeight="1">
      <c r="BM24223" s="1025"/>
      <c r="BO24223" s="43"/>
    </row>
    <row r="24224" spans="65:67" ht="18.75" customHeight="1">
      <c r="BM24224" s="1025"/>
      <c r="BO24224" s="43"/>
    </row>
    <row r="24225" spans="65:67" ht="18.75" customHeight="1">
      <c r="BM24225" s="1025"/>
      <c r="BO24225" s="43"/>
    </row>
    <row r="24226" spans="65:67" ht="18.75" customHeight="1">
      <c r="BM24226" s="1025"/>
      <c r="BO24226" s="43"/>
    </row>
    <row r="24227" spans="65:67" ht="18.75" customHeight="1">
      <c r="BM24227" s="1025"/>
      <c r="BO24227" s="43"/>
    </row>
    <row r="24228" spans="65:67" ht="18.75" customHeight="1">
      <c r="BM24228" s="1025"/>
      <c r="BO24228" s="43"/>
    </row>
    <row r="24229" spans="65:67" ht="18.75" customHeight="1">
      <c r="BM24229" s="1025"/>
      <c r="BO24229" s="43"/>
    </row>
    <row r="24230" spans="65:67" ht="18.75" customHeight="1">
      <c r="BM24230" s="1025"/>
      <c r="BO24230" s="43"/>
    </row>
    <row r="24231" spans="65:67" ht="18.75" customHeight="1">
      <c r="BM24231" s="1025"/>
      <c r="BO24231" s="43"/>
    </row>
    <row r="24232" spans="65:67" ht="18.75" customHeight="1">
      <c r="BM24232" s="1025"/>
      <c r="BO24232" s="43"/>
    </row>
    <row r="24233" spans="65:67" ht="18.75" customHeight="1">
      <c r="BM24233" s="1025"/>
      <c r="BO24233" s="43"/>
    </row>
    <row r="24234" spans="65:67" ht="18.75" customHeight="1">
      <c r="BM24234" s="1025"/>
      <c r="BO24234" s="43"/>
    </row>
    <row r="24235" spans="65:67" ht="18.75" customHeight="1">
      <c r="BM24235" s="1025"/>
      <c r="BO24235" s="43"/>
    </row>
    <row r="24236" spans="65:67" ht="18.75" customHeight="1">
      <c r="BM24236" s="1025"/>
      <c r="BO24236" s="43"/>
    </row>
    <row r="24237" spans="65:67" ht="18.75" customHeight="1">
      <c r="BM24237" s="1025"/>
      <c r="BO24237" s="43"/>
    </row>
    <row r="24238" spans="65:67" ht="18.75" customHeight="1">
      <c r="BM24238" s="1025"/>
      <c r="BO24238" s="43"/>
    </row>
    <row r="24239" spans="65:67" ht="18.75" customHeight="1">
      <c r="BM24239" s="1025"/>
      <c r="BO24239" s="43"/>
    </row>
    <row r="24240" spans="65:67" ht="18.75" customHeight="1">
      <c r="BM24240" s="1025"/>
      <c r="BO24240" s="43"/>
    </row>
    <row r="24241" spans="65:67" ht="18.75" customHeight="1">
      <c r="BM24241" s="1025"/>
      <c r="BO24241" s="43"/>
    </row>
    <row r="24242" spans="65:67" ht="18.75" customHeight="1">
      <c r="BM24242" s="1025"/>
      <c r="BO24242" s="43"/>
    </row>
    <row r="24243" spans="65:67" ht="18.75" customHeight="1">
      <c r="BM24243" s="1025"/>
      <c r="BO24243" s="43"/>
    </row>
    <row r="24244" spans="65:67" ht="18.75" customHeight="1">
      <c r="BM24244" s="1025"/>
      <c r="BO24244" s="43"/>
    </row>
    <row r="24245" spans="65:67" ht="18.75" customHeight="1">
      <c r="BM24245" s="1025"/>
      <c r="BO24245" s="43"/>
    </row>
    <row r="24246" spans="65:67" ht="18.75" customHeight="1">
      <c r="BM24246" s="1025"/>
      <c r="BO24246" s="43"/>
    </row>
    <row r="24247" spans="65:67" ht="18.75" customHeight="1">
      <c r="BM24247" s="1025"/>
      <c r="BO24247" s="43"/>
    </row>
    <row r="24248" spans="65:67" ht="18.75" customHeight="1">
      <c r="BM24248" s="1025"/>
      <c r="BO24248" s="43"/>
    </row>
    <row r="24249" spans="65:67" ht="18.75" customHeight="1">
      <c r="BM24249" s="1025"/>
      <c r="BO24249" s="43"/>
    </row>
    <row r="24250" spans="65:67" ht="18.75" customHeight="1">
      <c r="BM24250" s="1025"/>
      <c r="BO24250" s="43"/>
    </row>
    <row r="24251" spans="65:67" ht="18.75" customHeight="1">
      <c r="BM24251" s="1025"/>
      <c r="BO24251" s="43"/>
    </row>
    <row r="24252" spans="65:67" ht="18.75" customHeight="1">
      <c r="BM24252" s="1025"/>
      <c r="BO24252" s="43"/>
    </row>
    <row r="24253" spans="65:67" ht="18.75" customHeight="1">
      <c r="BM24253" s="1025"/>
      <c r="BO24253" s="43"/>
    </row>
    <row r="24254" spans="65:67" ht="18.75" customHeight="1">
      <c r="BM24254" s="1025"/>
      <c r="BO24254" s="43"/>
    </row>
    <row r="24255" spans="65:67" ht="18.75" customHeight="1">
      <c r="BM24255" s="1025"/>
      <c r="BO24255" s="43"/>
    </row>
    <row r="24256" spans="65:67" ht="18.75" customHeight="1">
      <c r="BM24256" s="1025"/>
      <c r="BO24256" s="43"/>
    </row>
    <row r="24257" spans="65:67" ht="18.75" customHeight="1">
      <c r="BM24257" s="1025"/>
      <c r="BO24257" s="43"/>
    </row>
    <row r="24258" spans="65:67" ht="18.75" customHeight="1">
      <c r="BM24258" s="1025"/>
      <c r="BO24258" s="43"/>
    </row>
    <row r="24259" spans="65:67" ht="18.75" customHeight="1">
      <c r="BM24259" s="1025"/>
      <c r="BO24259" s="43"/>
    </row>
    <row r="24260" spans="65:67" ht="18.75" customHeight="1">
      <c r="BM24260" s="1025"/>
      <c r="BO24260" s="43"/>
    </row>
    <row r="24261" spans="65:67" ht="18.75" customHeight="1">
      <c r="BM24261" s="1025"/>
      <c r="BO24261" s="43"/>
    </row>
    <row r="24262" spans="65:67" ht="18.75" customHeight="1">
      <c r="BM24262" s="1025"/>
      <c r="BO24262" s="43"/>
    </row>
    <row r="24263" spans="65:67" ht="18.75" customHeight="1">
      <c r="BM24263" s="1025"/>
      <c r="BO24263" s="43"/>
    </row>
    <row r="24264" spans="65:67" ht="18.75" customHeight="1">
      <c r="BM24264" s="1025"/>
      <c r="BO24264" s="43"/>
    </row>
    <row r="24265" spans="65:67" ht="18.75" customHeight="1">
      <c r="BM24265" s="1025"/>
      <c r="BO24265" s="43"/>
    </row>
    <row r="24266" spans="65:67" ht="18.75" customHeight="1">
      <c r="BM24266" s="1025"/>
      <c r="BO24266" s="43"/>
    </row>
    <row r="24267" spans="65:67" ht="18.75" customHeight="1">
      <c r="BM24267" s="1025"/>
      <c r="BO24267" s="43"/>
    </row>
    <row r="24268" spans="65:67" ht="18.75" customHeight="1">
      <c r="BM24268" s="1025"/>
      <c r="BO24268" s="43"/>
    </row>
    <row r="24269" spans="65:67" ht="18.75" customHeight="1">
      <c r="BM24269" s="1025"/>
      <c r="BO24269" s="43"/>
    </row>
    <row r="24270" spans="65:67" ht="18.75" customHeight="1">
      <c r="BM24270" s="1025"/>
      <c r="BO24270" s="43"/>
    </row>
    <row r="24271" spans="65:67" ht="18.75" customHeight="1">
      <c r="BM24271" s="1025"/>
      <c r="BO24271" s="43"/>
    </row>
    <row r="24272" spans="65:67" ht="18.75" customHeight="1">
      <c r="BM24272" s="1025"/>
      <c r="BO24272" s="43"/>
    </row>
    <row r="24273" spans="65:67" ht="18.75" customHeight="1">
      <c r="BM24273" s="1025"/>
      <c r="BO24273" s="43"/>
    </row>
    <row r="24274" spans="65:67" ht="18.75" customHeight="1">
      <c r="BM24274" s="1025"/>
      <c r="BO24274" s="43"/>
    </row>
    <row r="24275" spans="65:67" ht="18.75" customHeight="1">
      <c r="BM24275" s="1025"/>
      <c r="BO24275" s="43"/>
    </row>
    <row r="24276" spans="65:67" ht="18.75" customHeight="1">
      <c r="BM24276" s="1025"/>
      <c r="BO24276" s="43"/>
    </row>
    <row r="24277" spans="65:67" ht="18.75" customHeight="1">
      <c r="BM24277" s="1025"/>
      <c r="BO24277" s="43"/>
    </row>
    <row r="24278" spans="65:67" ht="18.75" customHeight="1">
      <c r="BM24278" s="1025"/>
      <c r="BO24278" s="43"/>
    </row>
    <row r="24279" spans="65:67" ht="18.75" customHeight="1">
      <c r="BM24279" s="1025"/>
      <c r="BO24279" s="43"/>
    </row>
    <row r="24280" spans="65:67" ht="18.75" customHeight="1">
      <c r="BM24280" s="1025"/>
      <c r="BO24280" s="43"/>
    </row>
    <row r="24281" spans="65:67" ht="18.75" customHeight="1">
      <c r="BM24281" s="1025"/>
      <c r="BO24281" s="43"/>
    </row>
    <row r="24282" spans="65:67" ht="18.75" customHeight="1">
      <c r="BM24282" s="1025"/>
      <c r="BO24282" s="43"/>
    </row>
    <row r="24283" spans="65:67" ht="18.75" customHeight="1">
      <c r="BM24283" s="1025"/>
      <c r="BO24283" s="43"/>
    </row>
    <row r="24284" spans="65:67" ht="18.75" customHeight="1">
      <c r="BM24284" s="1025"/>
      <c r="BO24284" s="43"/>
    </row>
    <row r="24285" spans="65:67" ht="18.75" customHeight="1">
      <c r="BM24285" s="1025"/>
      <c r="BO24285" s="43"/>
    </row>
    <row r="24286" spans="65:67" ht="18.75" customHeight="1">
      <c r="BM24286" s="1025"/>
      <c r="BO24286" s="43"/>
    </row>
    <row r="24287" spans="65:67" ht="18.75" customHeight="1">
      <c r="BM24287" s="1025"/>
      <c r="BO24287" s="43"/>
    </row>
    <row r="24288" spans="65:67" ht="18.75" customHeight="1">
      <c r="BM24288" s="1025"/>
      <c r="BO24288" s="43"/>
    </row>
    <row r="24289" spans="65:67" ht="18.75" customHeight="1">
      <c r="BM24289" s="1025"/>
      <c r="BO24289" s="43"/>
    </row>
    <row r="24290" spans="65:67" ht="18.75" customHeight="1">
      <c r="BM24290" s="1025"/>
      <c r="BO24290" s="43"/>
    </row>
    <row r="24291" spans="65:67" ht="18.75" customHeight="1">
      <c r="BM24291" s="1025"/>
      <c r="BO24291" s="43"/>
    </row>
    <row r="24292" spans="65:67" ht="18.75" customHeight="1">
      <c r="BM24292" s="1025"/>
      <c r="BO24292" s="43"/>
    </row>
    <row r="24293" spans="65:67" ht="18.75" customHeight="1">
      <c r="BM24293" s="1025"/>
      <c r="BO24293" s="43"/>
    </row>
    <row r="24294" spans="65:67" ht="18.75" customHeight="1">
      <c r="BM24294" s="1025"/>
      <c r="BO24294" s="43"/>
    </row>
    <row r="24295" spans="65:67" ht="18.75" customHeight="1">
      <c r="BM24295" s="1025"/>
      <c r="BO24295" s="43"/>
    </row>
    <row r="24296" spans="65:67" ht="18.75" customHeight="1">
      <c r="BM24296" s="1025"/>
      <c r="BO24296" s="43"/>
    </row>
    <row r="24297" spans="65:67" ht="18.75" customHeight="1">
      <c r="BM24297" s="1025"/>
      <c r="BO24297" s="43"/>
    </row>
    <row r="24298" spans="65:67" ht="18.75" customHeight="1">
      <c r="BM24298" s="1025"/>
      <c r="BO24298" s="43"/>
    </row>
    <row r="24299" spans="65:67" ht="18.75" customHeight="1">
      <c r="BM24299" s="1025"/>
      <c r="BO24299" s="43"/>
    </row>
    <row r="24300" spans="65:67" ht="18.75" customHeight="1">
      <c r="BM24300" s="1025"/>
      <c r="BO24300" s="43"/>
    </row>
    <row r="24301" spans="65:67" ht="18.75" customHeight="1">
      <c r="BM24301" s="1025"/>
      <c r="BO24301" s="43"/>
    </row>
    <row r="24302" spans="65:67" ht="18.75" customHeight="1">
      <c r="BM24302" s="1025"/>
      <c r="BO24302" s="43"/>
    </row>
    <row r="24303" spans="65:67" ht="18.75" customHeight="1">
      <c r="BM24303" s="1025"/>
      <c r="BO24303" s="43"/>
    </row>
    <row r="24304" spans="65:67" ht="18.75" customHeight="1">
      <c r="BM24304" s="1025"/>
      <c r="BO24304" s="43"/>
    </row>
    <row r="24305" spans="65:67" ht="18.75" customHeight="1">
      <c r="BM24305" s="1025"/>
      <c r="BO24305" s="43"/>
    </row>
    <row r="24306" spans="65:67" ht="18.75" customHeight="1">
      <c r="BM24306" s="1025"/>
      <c r="BO24306" s="43"/>
    </row>
    <row r="24307" spans="65:67" ht="18.75" customHeight="1">
      <c r="BM24307" s="1025"/>
      <c r="BO24307" s="43"/>
    </row>
    <row r="24308" spans="65:67" ht="18.75" customHeight="1">
      <c r="BM24308" s="1025"/>
      <c r="BO24308" s="43"/>
    </row>
    <row r="24309" spans="65:67" ht="18.75" customHeight="1">
      <c r="BM24309" s="1025"/>
      <c r="BO24309" s="43"/>
    </row>
    <row r="24310" spans="65:67" ht="18.75" customHeight="1">
      <c r="BM24310" s="1025"/>
      <c r="BO24310" s="43"/>
    </row>
    <row r="24311" spans="65:67" ht="18.75" customHeight="1">
      <c r="BM24311" s="1025"/>
      <c r="BO24311" s="43"/>
    </row>
    <row r="24312" spans="65:67" ht="18.75" customHeight="1">
      <c r="BM24312" s="1025"/>
      <c r="BO24312" s="43"/>
    </row>
    <row r="24313" spans="65:67" ht="18.75" customHeight="1">
      <c r="BM24313" s="1025"/>
      <c r="BO24313" s="43"/>
    </row>
    <row r="24314" spans="65:67" ht="18.75" customHeight="1">
      <c r="BM24314" s="1025"/>
      <c r="BO24314" s="43"/>
    </row>
    <row r="24315" spans="65:67" ht="18.75" customHeight="1">
      <c r="BM24315" s="1025"/>
      <c r="BO24315" s="43"/>
    </row>
    <row r="24316" spans="65:67" ht="18.75" customHeight="1">
      <c r="BM24316" s="1025"/>
      <c r="BO24316" s="43"/>
    </row>
    <row r="24317" spans="65:67" ht="18.75" customHeight="1">
      <c r="BM24317" s="1025"/>
      <c r="BO24317" s="43"/>
    </row>
    <row r="24318" spans="65:67" ht="18.75" customHeight="1">
      <c r="BM24318" s="1025"/>
      <c r="BO24318" s="43"/>
    </row>
    <row r="24319" spans="65:67" ht="18.75" customHeight="1">
      <c r="BM24319" s="1025"/>
      <c r="BO24319" s="43"/>
    </row>
    <row r="24320" spans="65:67" ht="18.75" customHeight="1">
      <c r="BM24320" s="1025"/>
      <c r="BO24320" s="43"/>
    </row>
    <row r="24321" spans="65:67" ht="18.75" customHeight="1">
      <c r="BM24321" s="1025"/>
      <c r="BO24321" s="43"/>
    </row>
    <row r="24322" spans="65:67" ht="18.75" customHeight="1">
      <c r="BM24322" s="1025"/>
      <c r="BO24322" s="43"/>
    </row>
    <row r="24323" spans="65:67" ht="18.75" customHeight="1">
      <c r="BM24323" s="1025"/>
      <c r="BO24323" s="43"/>
    </row>
    <row r="24324" spans="65:67" ht="18.75" customHeight="1">
      <c r="BM24324" s="1025"/>
      <c r="BO24324" s="43"/>
    </row>
    <row r="24325" spans="65:67" ht="18.75" customHeight="1">
      <c r="BM24325" s="1025"/>
      <c r="BO24325" s="43"/>
    </row>
    <row r="24326" spans="65:67" ht="18.75" customHeight="1">
      <c r="BM24326" s="1025"/>
      <c r="BO24326" s="43"/>
    </row>
    <row r="24327" spans="65:67" ht="18.75" customHeight="1">
      <c r="BM24327" s="1025"/>
      <c r="BO24327" s="43"/>
    </row>
    <row r="24328" spans="65:67" ht="18.75" customHeight="1">
      <c r="BM24328" s="1025"/>
      <c r="BO24328" s="43"/>
    </row>
    <row r="24329" spans="65:67" ht="18.75" customHeight="1">
      <c r="BM24329" s="1025"/>
      <c r="BO24329" s="43"/>
    </row>
    <row r="24330" spans="65:67" ht="18.75" customHeight="1">
      <c r="BM24330" s="1025"/>
      <c r="BO24330" s="43"/>
    </row>
    <row r="24331" spans="65:67" ht="18.75" customHeight="1">
      <c r="BM24331" s="1025"/>
      <c r="BO24331" s="43"/>
    </row>
    <row r="24332" spans="65:67" ht="18.75" customHeight="1">
      <c r="BM24332" s="1025"/>
      <c r="BO24332" s="43"/>
    </row>
    <row r="24333" spans="65:67" ht="18.75" customHeight="1">
      <c r="BM24333" s="1025"/>
      <c r="BO24333" s="43"/>
    </row>
    <row r="24334" spans="65:67" ht="18.75" customHeight="1">
      <c r="BM24334" s="1025"/>
      <c r="BO24334" s="43"/>
    </row>
    <row r="24335" spans="65:67" ht="18.75" customHeight="1">
      <c r="BM24335" s="1025"/>
      <c r="BO24335" s="43"/>
    </row>
    <row r="24336" spans="65:67" ht="18.75" customHeight="1">
      <c r="BM24336" s="1025"/>
      <c r="BO24336" s="43"/>
    </row>
    <row r="24337" spans="65:67" ht="18.75" customHeight="1">
      <c r="BM24337" s="1025"/>
      <c r="BO24337" s="43"/>
    </row>
    <row r="24338" spans="65:67" ht="18.75" customHeight="1">
      <c r="BM24338" s="1025"/>
      <c r="BO24338" s="43"/>
    </row>
    <row r="24339" spans="65:67" ht="18.75" customHeight="1">
      <c r="BM24339" s="1025"/>
      <c r="BO24339" s="43"/>
    </row>
    <row r="24340" spans="65:67" ht="18.75" customHeight="1">
      <c r="BM24340" s="1025"/>
      <c r="BO24340" s="43"/>
    </row>
    <row r="24341" spans="65:67" ht="18.75" customHeight="1">
      <c r="BM24341" s="1025"/>
      <c r="BO24341" s="43"/>
    </row>
    <row r="24342" spans="65:67" ht="18.75" customHeight="1">
      <c r="BM24342" s="1025"/>
      <c r="BO24342" s="43"/>
    </row>
    <row r="24343" spans="65:67" ht="18.75" customHeight="1">
      <c r="BM24343" s="1025"/>
      <c r="BO24343" s="43"/>
    </row>
    <row r="24344" spans="65:67" ht="18.75" customHeight="1">
      <c r="BM24344" s="1025"/>
      <c r="BO24344" s="43"/>
    </row>
    <row r="24345" spans="65:67" ht="18.75" customHeight="1">
      <c r="BM24345" s="1025"/>
      <c r="BO24345" s="43"/>
    </row>
    <row r="24346" spans="65:67" ht="18.75" customHeight="1">
      <c r="BM24346" s="1025"/>
      <c r="BO24346" s="43"/>
    </row>
    <row r="24347" spans="65:67" ht="18.75" customHeight="1">
      <c r="BM24347" s="1025"/>
      <c r="BO24347" s="43"/>
    </row>
    <row r="24348" spans="65:67" ht="18.75" customHeight="1">
      <c r="BM24348" s="1025"/>
      <c r="BO24348" s="43"/>
    </row>
    <row r="24349" spans="65:67" ht="18.75" customHeight="1">
      <c r="BM24349" s="1025"/>
      <c r="BO24349" s="43"/>
    </row>
    <row r="24350" spans="65:67" ht="18.75" customHeight="1">
      <c r="BM24350" s="1025"/>
      <c r="BO24350" s="43"/>
    </row>
    <row r="24351" spans="65:67" ht="18.75" customHeight="1">
      <c r="BM24351" s="1025"/>
      <c r="BO24351" s="43"/>
    </row>
    <row r="24352" spans="65:67" ht="18.75" customHeight="1">
      <c r="BM24352" s="1025"/>
      <c r="BO24352" s="43"/>
    </row>
    <row r="24353" spans="65:67" ht="18.75" customHeight="1">
      <c r="BM24353" s="1025"/>
      <c r="BO24353" s="43"/>
    </row>
    <row r="24354" spans="65:67" ht="18.75" customHeight="1">
      <c r="BM24354" s="1025"/>
      <c r="BO24354" s="43"/>
    </row>
    <row r="24355" spans="65:67" ht="18.75" customHeight="1">
      <c r="BM24355" s="1025"/>
      <c r="BO24355" s="43"/>
    </row>
    <row r="24356" spans="65:67" ht="18.75" customHeight="1">
      <c r="BM24356" s="1025"/>
      <c r="BO24356" s="43"/>
    </row>
    <row r="24357" spans="65:67" ht="18.75" customHeight="1">
      <c r="BM24357" s="1025"/>
      <c r="BO24357" s="43"/>
    </row>
    <row r="24358" spans="65:67" ht="18.75" customHeight="1">
      <c r="BM24358" s="1025"/>
      <c r="BO24358" s="43"/>
    </row>
    <row r="24359" spans="65:67" ht="18.75" customHeight="1">
      <c r="BM24359" s="1025"/>
      <c r="BO24359" s="43"/>
    </row>
    <row r="24360" spans="65:67" ht="18.75" customHeight="1">
      <c r="BM24360" s="1025"/>
      <c r="BO24360" s="43"/>
    </row>
    <row r="24361" spans="65:67" ht="18.75" customHeight="1">
      <c r="BM24361" s="1025"/>
      <c r="BO24361" s="43"/>
    </row>
    <row r="24362" spans="65:67" ht="18.75" customHeight="1">
      <c r="BM24362" s="1025"/>
      <c r="BO24362" s="43"/>
    </row>
    <row r="24363" spans="65:67" ht="18.75" customHeight="1">
      <c r="BM24363" s="1025"/>
      <c r="BO24363" s="43"/>
    </row>
    <row r="24364" spans="65:67" ht="18.75" customHeight="1">
      <c r="BM24364" s="1025"/>
      <c r="BO24364" s="43"/>
    </row>
    <row r="24365" spans="65:67" ht="18.75" customHeight="1">
      <c r="BM24365" s="1025"/>
      <c r="BO24365" s="43"/>
    </row>
    <row r="24366" spans="65:67" ht="18.75" customHeight="1">
      <c r="BM24366" s="1025"/>
      <c r="BO24366" s="43"/>
    </row>
    <row r="24367" spans="65:67" ht="18.75" customHeight="1">
      <c r="BM24367" s="1025"/>
      <c r="BO24367" s="43"/>
    </row>
    <row r="24368" spans="65:67" ht="18.75" customHeight="1">
      <c r="BM24368" s="1025"/>
      <c r="BO24368" s="43"/>
    </row>
    <row r="24369" spans="65:67" ht="18.75" customHeight="1">
      <c r="BM24369" s="1025"/>
      <c r="BO24369" s="43"/>
    </row>
    <row r="24370" spans="65:67" ht="18.75" customHeight="1">
      <c r="BM24370" s="1025"/>
      <c r="BO24370" s="43"/>
    </row>
    <row r="24371" spans="65:67" ht="18.75" customHeight="1">
      <c r="BM24371" s="1025"/>
      <c r="BO24371" s="43"/>
    </row>
    <row r="24372" spans="65:67" ht="18.75" customHeight="1">
      <c r="BM24372" s="1025"/>
      <c r="BO24372" s="43"/>
    </row>
    <row r="24373" spans="65:67" ht="18.75" customHeight="1">
      <c r="BM24373" s="1025"/>
      <c r="BO24373" s="43"/>
    </row>
    <row r="24374" spans="65:67" ht="18.75" customHeight="1">
      <c r="BM24374" s="1025"/>
      <c r="BO24374" s="43"/>
    </row>
    <row r="24375" spans="65:67" ht="18.75" customHeight="1">
      <c r="BM24375" s="1025"/>
      <c r="BO24375" s="43"/>
    </row>
    <row r="24376" spans="65:67" ht="18.75" customHeight="1">
      <c r="BM24376" s="1025"/>
      <c r="BO24376" s="43"/>
    </row>
    <row r="24377" spans="65:67" ht="18.75" customHeight="1">
      <c r="BM24377" s="1025"/>
      <c r="BO24377" s="43"/>
    </row>
    <row r="24378" spans="65:67" ht="18.75" customHeight="1">
      <c r="BM24378" s="1025"/>
      <c r="BO24378" s="43"/>
    </row>
    <row r="24379" spans="65:67" ht="18.75" customHeight="1">
      <c r="BM24379" s="1025"/>
      <c r="BO24379" s="43"/>
    </row>
    <row r="24380" spans="65:67" ht="18.75" customHeight="1">
      <c r="BM24380" s="1025"/>
      <c r="BO24380" s="43"/>
    </row>
    <row r="24381" spans="65:67" ht="18.75" customHeight="1">
      <c r="BM24381" s="1025"/>
      <c r="BO24381" s="43"/>
    </row>
    <row r="24382" spans="65:67" ht="18.75" customHeight="1">
      <c r="BM24382" s="1025"/>
      <c r="BO24382" s="43"/>
    </row>
    <row r="24383" spans="65:67" ht="18.75" customHeight="1">
      <c r="BM24383" s="1025"/>
      <c r="BO24383" s="43"/>
    </row>
    <row r="24384" spans="65:67" ht="18.75" customHeight="1">
      <c r="BM24384" s="1025"/>
      <c r="BO24384" s="43"/>
    </row>
    <row r="24385" spans="65:67" ht="18.75" customHeight="1">
      <c r="BM24385" s="1025"/>
      <c r="BO24385" s="43"/>
    </row>
    <row r="24386" spans="65:67" ht="18.75" customHeight="1">
      <c r="BM24386" s="1025"/>
      <c r="BO24386" s="43"/>
    </row>
    <row r="24387" spans="65:67" ht="18.75" customHeight="1">
      <c r="BM24387" s="1025"/>
      <c r="BO24387" s="43"/>
    </row>
    <row r="24388" spans="65:67" ht="18.75" customHeight="1">
      <c r="BM24388" s="1025"/>
      <c r="BO24388" s="43"/>
    </row>
    <row r="24389" spans="65:67" ht="18.75" customHeight="1">
      <c r="BM24389" s="1025"/>
      <c r="BO24389" s="43"/>
    </row>
    <row r="24390" spans="65:67" ht="18.75" customHeight="1">
      <c r="BM24390" s="1025"/>
      <c r="BO24390" s="43"/>
    </row>
    <row r="24391" spans="65:67" ht="18.75" customHeight="1">
      <c r="BM24391" s="1025"/>
      <c r="BO24391" s="43"/>
    </row>
    <row r="24392" spans="65:67" ht="18.75" customHeight="1">
      <c r="BM24392" s="1025"/>
      <c r="BO24392" s="43"/>
    </row>
    <row r="24393" spans="65:67" ht="18.75" customHeight="1">
      <c r="BM24393" s="1025"/>
      <c r="BO24393" s="43"/>
    </row>
    <row r="24394" spans="65:67" ht="18.75" customHeight="1">
      <c r="BM24394" s="1025"/>
      <c r="BO24394" s="43"/>
    </row>
    <row r="24395" spans="65:67" ht="18.75" customHeight="1">
      <c r="BM24395" s="1025"/>
      <c r="BO24395" s="43"/>
    </row>
    <row r="24396" spans="65:67" ht="18.75" customHeight="1">
      <c r="BM24396" s="1025"/>
      <c r="BO24396" s="43"/>
    </row>
    <row r="24397" spans="65:67" ht="18.75" customHeight="1">
      <c r="BM24397" s="1025"/>
      <c r="BO24397" s="43"/>
    </row>
    <row r="24398" spans="65:67" ht="18.75" customHeight="1">
      <c r="BM24398" s="1025"/>
      <c r="BO24398" s="43"/>
    </row>
    <row r="24399" spans="65:67" ht="18.75" customHeight="1">
      <c r="BM24399" s="1025"/>
      <c r="BO24399" s="43"/>
    </row>
    <row r="24400" spans="65:67" ht="18.75" customHeight="1">
      <c r="BM24400" s="1025"/>
      <c r="BO24400" s="43"/>
    </row>
    <row r="24401" spans="65:67" ht="18.75" customHeight="1">
      <c r="BM24401" s="1025"/>
      <c r="BO24401" s="43"/>
    </row>
    <row r="24402" spans="65:67" ht="18.75" customHeight="1">
      <c r="BM24402" s="1025"/>
      <c r="BO24402" s="43"/>
    </row>
    <row r="24403" spans="65:67" ht="18.75" customHeight="1">
      <c r="BM24403" s="1025"/>
      <c r="BO24403" s="43"/>
    </row>
    <row r="24404" spans="65:67" ht="18.75" customHeight="1">
      <c r="BM24404" s="1025"/>
      <c r="BO24404" s="43"/>
    </row>
    <row r="24405" spans="65:67" ht="18.75" customHeight="1">
      <c r="BM24405" s="1025"/>
      <c r="BO24405" s="43"/>
    </row>
    <row r="24406" spans="65:67" ht="18.75" customHeight="1">
      <c r="BM24406" s="1025"/>
      <c r="BO24406" s="43"/>
    </row>
    <row r="24407" spans="65:67" ht="18.75" customHeight="1">
      <c r="BM24407" s="1025"/>
      <c r="BO24407" s="43"/>
    </row>
    <row r="24408" spans="65:67" ht="18.75" customHeight="1">
      <c r="BM24408" s="1025"/>
      <c r="BO24408" s="43"/>
    </row>
    <row r="24409" spans="65:67" ht="18.75" customHeight="1">
      <c r="BM24409" s="1025"/>
      <c r="BO24409" s="43"/>
    </row>
    <row r="24410" spans="65:67" ht="18.75" customHeight="1">
      <c r="BM24410" s="1025"/>
      <c r="BO24410" s="43"/>
    </row>
    <row r="24411" spans="65:67" ht="18.75" customHeight="1">
      <c r="BM24411" s="1025"/>
      <c r="BO24411" s="43"/>
    </row>
    <row r="24412" spans="65:67" ht="18.75" customHeight="1">
      <c r="BM24412" s="1025"/>
      <c r="BO24412" s="43"/>
    </row>
    <row r="24413" spans="65:67" ht="18.75" customHeight="1">
      <c r="BM24413" s="1025"/>
      <c r="BO24413" s="43"/>
    </row>
    <row r="24414" spans="65:67" ht="18.75" customHeight="1">
      <c r="BM24414" s="1025"/>
      <c r="BO24414" s="43"/>
    </row>
    <row r="24415" spans="65:67" ht="18.75" customHeight="1">
      <c r="BM24415" s="1025"/>
      <c r="BO24415" s="43"/>
    </row>
    <row r="24416" spans="65:67" ht="18.75" customHeight="1">
      <c r="BM24416" s="1025"/>
      <c r="BO24416" s="43"/>
    </row>
    <row r="24417" spans="65:67" ht="18.75" customHeight="1">
      <c r="BM24417" s="1025"/>
      <c r="BO24417" s="43"/>
    </row>
    <row r="24418" spans="65:67" ht="18.75" customHeight="1">
      <c r="BM24418" s="1025"/>
      <c r="BO24418" s="43"/>
    </row>
    <row r="24419" spans="65:67" ht="18.75" customHeight="1">
      <c r="BM24419" s="1025"/>
      <c r="BO24419" s="43"/>
    </row>
    <row r="24420" spans="65:67" ht="18.75" customHeight="1">
      <c r="BM24420" s="1025"/>
      <c r="BO24420" s="43"/>
    </row>
    <row r="24421" spans="65:67" ht="18.75" customHeight="1">
      <c r="BM24421" s="1025"/>
      <c r="BO24421" s="43"/>
    </row>
    <row r="24422" spans="65:67" ht="18.75" customHeight="1">
      <c r="BM24422" s="1025"/>
      <c r="BO24422" s="43"/>
    </row>
    <row r="24423" spans="65:67" ht="18.75" customHeight="1">
      <c r="BM24423" s="1025"/>
      <c r="BO24423" s="43"/>
    </row>
    <row r="24424" spans="65:67" ht="18.75" customHeight="1">
      <c r="BM24424" s="1025"/>
      <c r="BO24424" s="43"/>
    </row>
    <row r="24425" spans="65:67" ht="18.75" customHeight="1">
      <c r="BM24425" s="1025"/>
      <c r="BO24425" s="43"/>
    </row>
    <row r="24426" spans="65:67" ht="18.75" customHeight="1">
      <c r="BM24426" s="1025"/>
      <c r="BO24426" s="43"/>
    </row>
    <row r="24427" spans="65:67" ht="18.75" customHeight="1">
      <c r="BM24427" s="1025"/>
      <c r="BO24427" s="43"/>
    </row>
    <row r="24428" spans="65:67" ht="18.75" customHeight="1">
      <c r="BM24428" s="1025"/>
      <c r="BO24428" s="43"/>
    </row>
    <row r="24429" spans="65:67" ht="18.75" customHeight="1">
      <c r="BM24429" s="1025"/>
      <c r="BO24429" s="43"/>
    </row>
    <row r="24430" spans="65:67" ht="18.75" customHeight="1">
      <c r="BM24430" s="1025"/>
      <c r="BO24430" s="43"/>
    </row>
    <row r="24431" spans="65:67" ht="18.75" customHeight="1">
      <c r="BM24431" s="1025"/>
      <c r="BO24431" s="43"/>
    </row>
    <row r="24432" spans="65:67" ht="18.75" customHeight="1">
      <c r="BM24432" s="1025"/>
      <c r="BO24432" s="43"/>
    </row>
    <row r="24433" spans="65:67" ht="18.75" customHeight="1">
      <c r="BM24433" s="1025"/>
      <c r="BO24433" s="43"/>
    </row>
    <row r="24434" spans="65:67" ht="18.75" customHeight="1">
      <c r="BM24434" s="1025"/>
      <c r="BO24434" s="43"/>
    </row>
    <row r="24435" spans="65:67" ht="18.75" customHeight="1">
      <c r="BM24435" s="1025"/>
      <c r="BO24435" s="43"/>
    </row>
    <row r="24436" spans="65:67" ht="18.75" customHeight="1">
      <c r="BM24436" s="1025"/>
      <c r="BO24436" s="43"/>
    </row>
    <row r="24437" spans="65:67" ht="18.75" customHeight="1">
      <c r="BM24437" s="1025"/>
      <c r="BO24437" s="43"/>
    </row>
    <row r="24438" spans="65:67" ht="18.75" customHeight="1">
      <c r="BM24438" s="1025"/>
      <c r="BO24438" s="43"/>
    </row>
    <row r="24439" spans="65:67" ht="18.75" customHeight="1">
      <c r="BM24439" s="1025"/>
      <c r="BO24439" s="43"/>
    </row>
    <row r="24440" spans="65:67" ht="18.75" customHeight="1">
      <c r="BM24440" s="1025"/>
      <c r="BO24440" s="43"/>
    </row>
    <row r="24441" spans="65:67" ht="18.75" customHeight="1">
      <c r="BM24441" s="1025"/>
      <c r="BO24441" s="43"/>
    </row>
    <row r="24442" spans="65:67" ht="18.75" customHeight="1">
      <c r="BM24442" s="1025"/>
      <c r="BO24442" s="43"/>
    </row>
    <row r="24443" spans="65:67" ht="18.75" customHeight="1">
      <c r="BM24443" s="1025"/>
      <c r="BO24443" s="43"/>
    </row>
    <row r="24444" spans="65:67" ht="18.75" customHeight="1">
      <c r="BM24444" s="1025"/>
      <c r="BO24444" s="43"/>
    </row>
    <row r="24445" spans="65:67" ht="18.75" customHeight="1">
      <c r="BM24445" s="1025"/>
      <c r="BO24445" s="43"/>
    </row>
    <row r="24446" spans="65:67" ht="18.75" customHeight="1">
      <c r="BM24446" s="1025"/>
      <c r="BO24446" s="43"/>
    </row>
    <row r="24447" spans="65:67" ht="18.75" customHeight="1">
      <c r="BM24447" s="1025"/>
      <c r="BO24447" s="43"/>
    </row>
    <row r="24448" spans="65:67" ht="18.75" customHeight="1">
      <c r="BM24448" s="1025"/>
      <c r="BO24448" s="43"/>
    </row>
    <row r="24449" spans="65:67" ht="18.75" customHeight="1">
      <c r="BM24449" s="1025"/>
      <c r="BO24449" s="43"/>
    </row>
    <row r="24450" spans="65:67" ht="18.75" customHeight="1">
      <c r="BM24450" s="1025"/>
      <c r="BO24450" s="43"/>
    </row>
    <row r="24451" spans="65:67" ht="18.75" customHeight="1">
      <c r="BM24451" s="1025"/>
      <c r="BO24451" s="43"/>
    </row>
    <row r="24452" spans="65:67" ht="18.75" customHeight="1">
      <c r="BM24452" s="1025"/>
      <c r="BO24452" s="43"/>
    </row>
    <row r="24453" spans="65:67" ht="18.75" customHeight="1">
      <c r="BM24453" s="1025"/>
      <c r="BO24453" s="43"/>
    </row>
    <row r="24454" spans="65:67" ht="18.75" customHeight="1">
      <c r="BM24454" s="1025"/>
      <c r="BO24454" s="43"/>
    </row>
    <row r="24455" spans="65:67" ht="18.75" customHeight="1">
      <c r="BM24455" s="1025"/>
      <c r="BO24455" s="43"/>
    </row>
    <row r="24456" spans="65:67" ht="18.75" customHeight="1">
      <c r="BM24456" s="1025"/>
      <c r="BO24456" s="43"/>
    </row>
    <row r="24457" spans="65:67" ht="18.75" customHeight="1">
      <c r="BM24457" s="1025"/>
      <c r="BO24457" s="43"/>
    </row>
    <row r="24458" spans="65:67" ht="18.75" customHeight="1">
      <c r="BM24458" s="1025"/>
      <c r="BO24458" s="43"/>
    </row>
    <row r="24459" spans="65:67" ht="18.75" customHeight="1">
      <c r="BM24459" s="1025"/>
      <c r="BO24459" s="43"/>
    </row>
    <row r="24460" spans="65:67" ht="18.75" customHeight="1">
      <c r="BM24460" s="1025"/>
      <c r="BO24460" s="43"/>
    </row>
    <row r="24461" spans="65:67" ht="18.75" customHeight="1">
      <c r="BM24461" s="1025"/>
      <c r="BO24461" s="43"/>
    </row>
    <row r="24462" spans="65:67" ht="18.75" customHeight="1">
      <c r="BM24462" s="1025"/>
      <c r="BO24462" s="43"/>
    </row>
    <row r="24463" spans="65:67" ht="18.75" customHeight="1">
      <c r="BM24463" s="1025"/>
      <c r="BO24463" s="43"/>
    </row>
    <row r="24464" spans="65:67" ht="18.75" customHeight="1">
      <c r="BM24464" s="1025"/>
      <c r="BO24464" s="43"/>
    </row>
    <row r="24465" spans="65:67" ht="18.75" customHeight="1">
      <c r="BM24465" s="1025"/>
      <c r="BO24465" s="43"/>
    </row>
    <row r="24466" spans="65:67" ht="18.75" customHeight="1">
      <c r="BM24466" s="1025"/>
      <c r="BO24466" s="43"/>
    </row>
    <row r="24467" spans="65:67" ht="18.75" customHeight="1">
      <c r="BM24467" s="1025"/>
      <c r="BO24467" s="43"/>
    </row>
    <row r="24468" spans="65:67" ht="18.75" customHeight="1">
      <c r="BM24468" s="1025"/>
      <c r="BO24468" s="43"/>
    </row>
    <row r="24469" spans="65:67" ht="18.75" customHeight="1">
      <c r="BM24469" s="1025"/>
      <c r="BO24469" s="43"/>
    </row>
    <row r="24470" spans="65:67" ht="18.75" customHeight="1">
      <c r="BM24470" s="1025"/>
      <c r="BO24470" s="43"/>
    </row>
    <row r="24471" spans="65:67" ht="18.75" customHeight="1">
      <c r="BM24471" s="1025"/>
      <c r="BO24471" s="43"/>
    </row>
    <row r="24472" spans="65:67" ht="18.75" customHeight="1">
      <c r="BM24472" s="1025"/>
      <c r="BO24472" s="43"/>
    </row>
    <row r="24473" spans="65:67" ht="18.75" customHeight="1">
      <c r="BM24473" s="1025"/>
      <c r="BO24473" s="43"/>
    </row>
    <row r="24474" spans="65:67" ht="18.75" customHeight="1">
      <c r="BM24474" s="1025"/>
      <c r="BO24474" s="43"/>
    </row>
    <row r="24475" spans="65:67" ht="18.75" customHeight="1">
      <c r="BM24475" s="1025"/>
      <c r="BO24475" s="43"/>
    </row>
    <row r="24476" spans="65:67" ht="18.75" customHeight="1">
      <c r="BM24476" s="1025"/>
      <c r="BO24476" s="43"/>
    </row>
    <row r="24477" spans="65:67" ht="18.75" customHeight="1">
      <c r="BM24477" s="1025"/>
      <c r="BO24477" s="43"/>
    </row>
    <row r="24478" spans="65:67" ht="18.75" customHeight="1">
      <c r="BM24478" s="1025"/>
      <c r="BO24478" s="43"/>
    </row>
    <row r="24479" spans="65:67" ht="18.75" customHeight="1">
      <c r="BM24479" s="1025"/>
      <c r="BO24479" s="43"/>
    </row>
    <row r="24480" spans="65:67" ht="18.75" customHeight="1">
      <c r="BM24480" s="1025"/>
      <c r="BO24480" s="43"/>
    </row>
    <row r="24481" spans="65:67" ht="18.75" customHeight="1">
      <c r="BM24481" s="1025"/>
      <c r="BO24481" s="43"/>
    </row>
    <row r="24482" spans="65:67" ht="18.75" customHeight="1">
      <c r="BM24482" s="1025"/>
      <c r="BO24482" s="43"/>
    </row>
    <row r="24483" spans="65:67" ht="18.75" customHeight="1">
      <c r="BM24483" s="1025"/>
      <c r="BO24483" s="43"/>
    </row>
    <row r="24484" spans="65:67" ht="18.75" customHeight="1">
      <c r="BM24484" s="1025"/>
      <c r="BO24484" s="43"/>
    </row>
    <row r="24485" spans="65:67" ht="18.75" customHeight="1">
      <c r="BM24485" s="1025"/>
      <c r="BO24485" s="43"/>
    </row>
    <row r="24486" spans="65:67" ht="18.75" customHeight="1">
      <c r="BM24486" s="1025"/>
      <c r="BO24486" s="43"/>
    </row>
    <row r="24487" spans="65:67" ht="18.75" customHeight="1">
      <c r="BM24487" s="1025"/>
      <c r="BO24487" s="43"/>
    </row>
    <row r="24488" spans="65:67" ht="18.75" customHeight="1">
      <c r="BM24488" s="1025"/>
      <c r="BO24488" s="43"/>
    </row>
    <row r="24489" spans="65:67" ht="18.75" customHeight="1">
      <c r="BM24489" s="1025"/>
      <c r="BO24489" s="43"/>
    </row>
    <row r="24490" spans="65:67" ht="18.75" customHeight="1">
      <c r="BM24490" s="1025"/>
      <c r="BO24490" s="43"/>
    </row>
    <row r="24491" spans="65:67" ht="18.75" customHeight="1">
      <c r="BM24491" s="1025"/>
      <c r="BO24491" s="43"/>
    </row>
    <row r="24492" spans="65:67" ht="18.75" customHeight="1">
      <c r="BM24492" s="1025"/>
      <c r="BO24492" s="43"/>
    </row>
    <row r="24493" spans="65:67" ht="18.75" customHeight="1">
      <c r="BM24493" s="1025"/>
      <c r="BO24493" s="43"/>
    </row>
    <row r="24494" spans="65:67" ht="18.75" customHeight="1">
      <c r="BM24494" s="1025"/>
      <c r="BO24494" s="43"/>
    </row>
    <row r="24495" spans="65:67" ht="18.75" customHeight="1">
      <c r="BM24495" s="1025"/>
      <c r="BO24495" s="43"/>
    </row>
    <row r="24496" spans="65:67" ht="18.75" customHeight="1">
      <c r="BM24496" s="1025"/>
      <c r="BO24496" s="43"/>
    </row>
    <row r="24497" spans="65:67" ht="18.75" customHeight="1">
      <c r="BM24497" s="1025"/>
      <c r="BO24497" s="43"/>
    </row>
    <row r="24498" spans="65:67" ht="18.75" customHeight="1">
      <c r="BM24498" s="1025"/>
      <c r="BO24498" s="43"/>
    </row>
    <row r="24499" spans="65:67" ht="18.75" customHeight="1">
      <c r="BM24499" s="1025"/>
      <c r="BO24499" s="43"/>
    </row>
    <row r="24500" spans="65:67" ht="18.75" customHeight="1">
      <c r="BM24500" s="1025"/>
      <c r="BO24500" s="43"/>
    </row>
    <row r="24501" spans="65:67" ht="18.75" customHeight="1">
      <c r="BM24501" s="1025"/>
      <c r="BO24501" s="43"/>
    </row>
    <row r="24502" spans="65:67" ht="18.75" customHeight="1">
      <c r="BM24502" s="1025"/>
      <c r="BO24502" s="43"/>
    </row>
    <row r="24503" spans="65:67" ht="18.75" customHeight="1">
      <c r="BM24503" s="1025"/>
      <c r="BO24503" s="43"/>
    </row>
    <row r="24504" spans="65:67" ht="18.75" customHeight="1">
      <c r="BM24504" s="1025"/>
      <c r="BO24504" s="43"/>
    </row>
    <row r="24505" spans="65:67" ht="18.75" customHeight="1">
      <c r="BM24505" s="1025"/>
      <c r="BO24505" s="43"/>
    </row>
    <row r="24506" spans="65:67" ht="18.75" customHeight="1">
      <c r="BM24506" s="1025"/>
      <c r="BO24506" s="43"/>
    </row>
    <row r="24507" spans="65:67" ht="18.75" customHeight="1">
      <c r="BM24507" s="1025"/>
      <c r="BO24507" s="43"/>
    </row>
    <row r="24508" spans="65:67" ht="18.75" customHeight="1">
      <c r="BM24508" s="1025"/>
      <c r="BO24508" s="43"/>
    </row>
    <row r="24509" spans="65:67" ht="18.75" customHeight="1">
      <c r="BM24509" s="1025"/>
      <c r="BO24509" s="43"/>
    </row>
    <row r="24510" spans="65:67" ht="18.75" customHeight="1">
      <c r="BM24510" s="1025"/>
      <c r="BO24510" s="43"/>
    </row>
    <row r="24511" spans="65:67" ht="18.75" customHeight="1">
      <c r="BM24511" s="1025"/>
      <c r="BO24511" s="43"/>
    </row>
    <row r="24512" spans="65:67" ht="18.75" customHeight="1">
      <c r="BM24512" s="1025"/>
      <c r="BO24512" s="43"/>
    </row>
    <row r="24513" spans="65:67" ht="18.75" customHeight="1">
      <c r="BM24513" s="1025"/>
      <c r="BO24513" s="43"/>
    </row>
    <row r="24514" spans="65:67" ht="18.75" customHeight="1">
      <c r="BM24514" s="1025"/>
      <c r="BO24514" s="43"/>
    </row>
    <row r="24515" spans="65:67" ht="18.75" customHeight="1">
      <c r="BM24515" s="1025"/>
      <c r="BO24515" s="43"/>
    </row>
    <row r="24516" spans="65:67" ht="18.75" customHeight="1">
      <c r="BM24516" s="1025"/>
      <c r="BO24516" s="43"/>
    </row>
    <row r="24517" spans="65:67" ht="18.75" customHeight="1">
      <c r="BM24517" s="1025"/>
      <c r="BO24517" s="43"/>
    </row>
    <row r="24518" spans="65:67" ht="18.75" customHeight="1">
      <c r="BM24518" s="1025"/>
      <c r="BO24518" s="43"/>
    </row>
    <row r="24519" spans="65:67" ht="18.75" customHeight="1">
      <c r="BM24519" s="1025"/>
      <c r="BO24519" s="43"/>
    </row>
    <row r="24520" spans="65:67" ht="18.75" customHeight="1">
      <c r="BM24520" s="1025"/>
      <c r="BO24520" s="43"/>
    </row>
    <row r="24521" spans="65:67" ht="18.75" customHeight="1">
      <c r="BM24521" s="1025"/>
      <c r="BO24521" s="43"/>
    </row>
    <row r="24522" spans="65:67" ht="18.75" customHeight="1">
      <c r="BM24522" s="1025"/>
      <c r="BO24522" s="43"/>
    </row>
    <row r="24523" spans="65:67" ht="18.75" customHeight="1">
      <c r="BM24523" s="1025"/>
      <c r="BO24523" s="43"/>
    </row>
    <row r="24524" spans="65:67" ht="18.75" customHeight="1">
      <c r="BM24524" s="1025"/>
      <c r="BO24524" s="43"/>
    </row>
    <row r="24525" spans="65:67" ht="18.75" customHeight="1">
      <c r="BM24525" s="1025"/>
      <c r="BO24525" s="43"/>
    </row>
    <row r="24526" spans="65:67" ht="18.75" customHeight="1">
      <c r="BM24526" s="1025"/>
      <c r="BO24526" s="43"/>
    </row>
    <row r="24527" spans="65:67" ht="18.75" customHeight="1">
      <c r="BM24527" s="1025"/>
      <c r="BO24527" s="43"/>
    </row>
    <row r="24528" spans="65:67" ht="18.75" customHeight="1">
      <c r="BM24528" s="1025"/>
      <c r="BO24528" s="43"/>
    </row>
    <row r="24529" spans="65:67" ht="18.75" customHeight="1">
      <c r="BM24529" s="1025"/>
      <c r="BO24529" s="43"/>
    </row>
    <row r="24530" spans="65:67" ht="18.75" customHeight="1">
      <c r="BM24530" s="1025"/>
      <c r="BO24530" s="43"/>
    </row>
    <row r="24531" spans="65:67" ht="18.75" customHeight="1">
      <c r="BM24531" s="1025"/>
      <c r="BO24531" s="43"/>
    </row>
    <row r="24532" spans="65:67" ht="18.75" customHeight="1">
      <c r="BM24532" s="1025"/>
      <c r="BO24532" s="43"/>
    </row>
    <row r="24533" spans="65:67" ht="18.75" customHeight="1">
      <c r="BM24533" s="1025"/>
      <c r="BO24533" s="43"/>
    </row>
    <row r="24534" spans="65:67" ht="18.75" customHeight="1">
      <c r="BM24534" s="1025"/>
      <c r="BO24534" s="43"/>
    </row>
    <row r="24535" spans="65:67" ht="18.75" customHeight="1">
      <c r="BM24535" s="1025"/>
      <c r="BO24535" s="43"/>
    </row>
    <row r="24536" spans="65:67" ht="18.75" customHeight="1">
      <c r="BM24536" s="1025"/>
      <c r="BO24536" s="43"/>
    </row>
    <row r="24537" spans="65:67" ht="18.75" customHeight="1">
      <c r="BM24537" s="1025"/>
      <c r="BO24537" s="43"/>
    </row>
    <row r="24538" spans="65:67" ht="18.75" customHeight="1">
      <c r="BM24538" s="1025"/>
      <c r="BO24538" s="43"/>
    </row>
    <row r="24539" spans="65:67" ht="18.75" customHeight="1">
      <c r="BM24539" s="1025"/>
      <c r="BO24539" s="43"/>
    </row>
    <row r="24540" spans="65:67" ht="18.75" customHeight="1">
      <c r="BM24540" s="1025"/>
      <c r="BO24540" s="43"/>
    </row>
    <row r="24541" spans="65:67" ht="18.75" customHeight="1">
      <c r="BM24541" s="1025"/>
      <c r="BO24541" s="43"/>
    </row>
    <row r="24542" spans="65:67" ht="18.75" customHeight="1">
      <c r="BM24542" s="1025"/>
      <c r="BO24542" s="43"/>
    </row>
    <row r="24543" spans="65:67" ht="18.75" customHeight="1">
      <c r="BM24543" s="1025"/>
      <c r="BO24543" s="43"/>
    </row>
    <row r="24544" spans="65:67" ht="18.75" customHeight="1">
      <c r="BM24544" s="1025"/>
      <c r="BO24544" s="43"/>
    </row>
    <row r="24545" spans="65:67" ht="18.75" customHeight="1">
      <c r="BM24545" s="1025"/>
      <c r="BO24545" s="43"/>
    </row>
    <row r="24546" spans="65:67" ht="18.75" customHeight="1">
      <c r="BM24546" s="1025"/>
      <c r="BO24546" s="43"/>
    </row>
    <row r="24547" spans="65:67" ht="18.75" customHeight="1">
      <c r="BM24547" s="1025"/>
      <c r="BO24547" s="43"/>
    </row>
    <row r="24548" spans="65:67" ht="18.75" customHeight="1">
      <c r="BM24548" s="1025"/>
      <c r="BO24548" s="43"/>
    </row>
    <row r="24549" spans="65:67" ht="18.75" customHeight="1">
      <c r="BM24549" s="1025"/>
      <c r="BO24549" s="43"/>
    </row>
    <row r="24550" spans="65:67" ht="18.75" customHeight="1">
      <c r="BM24550" s="1025"/>
      <c r="BO24550" s="43"/>
    </row>
    <row r="24551" spans="65:67" ht="18.75" customHeight="1">
      <c r="BM24551" s="1025"/>
      <c r="BO24551" s="43"/>
    </row>
    <row r="24552" spans="65:67" ht="18.75" customHeight="1">
      <c r="BM24552" s="1025"/>
      <c r="BO24552" s="43"/>
    </row>
    <row r="24553" spans="65:67" ht="18.75" customHeight="1">
      <c r="BM24553" s="1025"/>
      <c r="BO24553" s="43"/>
    </row>
    <row r="24554" spans="65:67" ht="18.75" customHeight="1">
      <c r="BM24554" s="1025"/>
      <c r="BO24554" s="43"/>
    </row>
    <row r="24555" spans="65:67" ht="18.75" customHeight="1">
      <c r="BM24555" s="1025"/>
      <c r="BO24555" s="43"/>
    </row>
    <row r="24556" spans="65:67" ht="18.75" customHeight="1">
      <c r="BM24556" s="1025"/>
      <c r="BO24556" s="43"/>
    </row>
    <row r="24557" spans="65:67" ht="18.75" customHeight="1">
      <c r="BM24557" s="1025"/>
      <c r="BO24557" s="43"/>
    </row>
    <row r="24558" spans="65:67" ht="18.75" customHeight="1">
      <c r="BM24558" s="1025"/>
      <c r="BO24558" s="43"/>
    </row>
    <row r="24559" spans="65:67" ht="18.75" customHeight="1">
      <c r="BM24559" s="1025"/>
      <c r="BO24559" s="43"/>
    </row>
    <row r="24560" spans="65:67" ht="18.75" customHeight="1">
      <c r="BM24560" s="1025"/>
      <c r="BO24560" s="43"/>
    </row>
    <row r="24561" spans="65:67" ht="18.75" customHeight="1">
      <c r="BM24561" s="1025"/>
      <c r="BO24561" s="43"/>
    </row>
    <row r="24562" spans="65:67" ht="18.75" customHeight="1">
      <c r="BM24562" s="1025"/>
      <c r="BO24562" s="43"/>
    </row>
    <row r="24563" spans="65:67" ht="18.75" customHeight="1">
      <c r="BM24563" s="1025"/>
      <c r="BO24563" s="43"/>
    </row>
    <row r="24564" spans="65:67" ht="18.75" customHeight="1">
      <c r="BM24564" s="1025"/>
      <c r="BO24564" s="43"/>
    </row>
    <row r="24565" spans="65:67" ht="18.75" customHeight="1">
      <c r="BM24565" s="1025"/>
      <c r="BO24565" s="43"/>
    </row>
    <row r="24566" spans="65:67" ht="18.75" customHeight="1">
      <c r="BM24566" s="1025"/>
      <c r="BO24566" s="43"/>
    </row>
    <row r="24567" spans="65:67" ht="18.75" customHeight="1">
      <c r="BM24567" s="1025"/>
      <c r="BO24567" s="43"/>
    </row>
    <row r="24568" spans="65:67" ht="18.75" customHeight="1">
      <c r="BM24568" s="1025"/>
      <c r="BO24568" s="43"/>
    </row>
    <row r="24569" spans="65:67" ht="18.75" customHeight="1">
      <c r="BM24569" s="1025"/>
      <c r="BO24569" s="43"/>
    </row>
    <row r="24570" spans="65:67" ht="18.75" customHeight="1">
      <c r="BM24570" s="1025"/>
      <c r="BO24570" s="43"/>
    </row>
    <row r="24571" spans="65:67" ht="18.75" customHeight="1">
      <c r="BM24571" s="1025"/>
      <c r="BO24571" s="43"/>
    </row>
    <row r="24572" spans="65:67" ht="18.75" customHeight="1">
      <c r="BM24572" s="1025"/>
      <c r="BO24572" s="43"/>
    </row>
    <row r="24573" spans="65:67" ht="18.75" customHeight="1">
      <c r="BM24573" s="1025"/>
      <c r="BO24573" s="43"/>
    </row>
    <row r="24574" spans="65:67" ht="18.75" customHeight="1">
      <c r="BM24574" s="1025"/>
      <c r="BO24574" s="43"/>
    </row>
    <row r="24575" spans="65:67" ht="18.75" customHeight="1">
      <c r="BM24575" s="1025"/>
      <c r="BO24575" s="43"/>
    </row>
    <row r="24576" spans="65:67" ht="18.75" customHeight="1">
      <c r="BM24576" s="1025"/>
      <c r="BO24576" s="43"/>
    </row>
    <row r="24577" spans="65:67" ht="18.75" customHeight="1">
      <c r="BM24577" s="1025"/>
      <c r="BO24577" s="43"/>
    </row>
    <row r="24578" spans="65:67" ht="18.75" customHeight="1">
      <c r="BM24578" s="1025"/>
      <c r="BO24578" s="43"/>
    </row>
    <row r="24579" spans="65:67" ht="18.75" customHeight="1">
      <c r="BM24579" s="1025"/>
      <c r="BO24579" s="43"/>
    </row>
    <row r="24580" spans="65:67" ht="18.75" customHeight="1">
      <c r="BM24580" s="1025"/>
      <c r="BO24580" s="43"/>
    </row>
    <row r="24581" spans="65:67" ht="18.75" customHeight="1">
      <c r="BM24581" s="1025"/>
      <c r="BO24581" s="43"/>
    </row>
    <row r="24582" spans="65:67" ht="18.75" customHeight="1">
      <c r="BM24582" s="1025"/>
      <c r="BO24582" s="43"/>
    </row>
    <row r="24583" spans="65:67" ht="18.75" customHeight="1">
      <c r="BM24583" s="1025"/>
      <c r="BO24583" s="43"/>
    </row>
    <row r="24584" spans="65:67" ht="18.75" customHeight="1">
      <c r="BM24584" s="1025"/>
      <c r="BO24584" s="43"/>
    </row>
    <row r="24585" spans="65:67" ht="18.75" customHeight="1">
      <c r="BM24585" s="1025"/>
      <c r="BO24585" s="43"/>
    </row>
    <row r="24586" spans="65:67" ht="18.75" customHeight="1">
      <c r="BM24586" s="1025"/>
      <c r="BO24586" s="43"/>
    </row>
    <row r="24587" spans="65:67" ht="18.75" customHeight="1">
      <c r="BM24587" s="1025"/>
      <c r="BO24587" s="43"/>
    </row>
    <row r="24588" spans="65:67" ht="18.75" customHeight="1">
      <c r="BM24588" s="1025"/>
      <c r="BO24588" s="43"/>
    </row>
    <row r="24589" spans="65:67" ht="18.75" customHeight="1">
      <c r="BM24589" s="1025"/>
      <c r="BO24589" s="43"/>
    </row>
    <row r="24590" spans="65:67" ht="18.75" customHeight="1">
      <c r="BM24590" s="1025"/>
      <c r="BO24590" s="43"/>
    </row>
    <row r="24591" spans="65:67" ht="18.75" customHeight="1">
      <c r="BM24591" s="1025"/>
      <c r="BO24591" s="43"/>
    </row>
    <row r="24592" spans="65:67" ht="18.75" customHeight="1">
      <c r="BM24592" s="1025"/>
      <c r="BO24592" s="43"/>
    </row>
    <row r="24593" spans="65:67" ht="18.75" customHeight="1">
      <c r="BM24593" s="1025"/>
      <c r="BO24593" s="43"/>
    </row>
    <row r="24594" spans="65:67" ht="18.75" customHeight="1">
      <c r="BM24594" s="1025"/>
      <c r="BO24594" s="43"/>
    </row>
    <row r="24595" spans="65:67" ht="18.75" customHeight="1">
      <c r="BM24595" s="1025"/>
      <c r="BO24595" s="43"/>
    </row>
    <row r="24596" spans="65:67" ht="18.75" customHeight="1">
      <c r="BM24596" s="1025"/>
      <c r="BO24596" s="43"/>
    </row>
    <row r="24597" spans="65:67" ht="18.75" customHeight="1">
      <c r="BM24597" s="1025"/>
      <c r="BO24597" s="43"/>
    </row>
    <row r="24598" spans="65:67" ht="18.75" customHeight="1">
      <c r="BM24598" s="1025"/>
      <c r="BO24598" s="43"/>
    </row>
    <row r="24599" spans="65:67" ht="18.75" customHeight="1">
      <c r="BM24599" s="1025"/>
      <c r="BO24599" s="43"/>
    </row>
    <row r="24600" spans="65:67" ht="18.75" customHeight="1">
      <c r="BM24600" s="1025"/>
      <c r="BO24600" s="43"/>
    </row>
    <row r="24601" spans="65:67" ht="18.75" customHeight="1">
      <c r="BM24601" s="1025"/>
      <c r="BO24601" s="43"/>
    </row>
    <row r="24602" spans="65:67" ht="18.75" customHeight="1">
      <c r="BM24602" s="1025"/>
      <c r="BO24602" s="43"/>
    </row>
    <row r="24603" spans="65:67" ht="18.75" customHeight="1">
      <c r="BM24603" s="1025"/>
      <c r="BO24603" s="43"/>
    </row>
    <row r="24604" spans="65:67" ht="18.75" customHeight="1">
      <c r="BM24604" s="1025"/>
      <c r="BO24604" s="43"/>
    </row>
    <row r="24605" spans="65:67" ht="18.75" customHeight="1">
      <c r="BM24605" s="1025"/>
      <c r="BO24605" s="43"/>
    </row>
    <row r="24606" spans="65:67" ht="18.75" customHeight="1">
      <c r="BM24606" s="1025"/>
      <c r="BO24606" s="43"/>
    </row>
    <row r="24607" spans="65:67" ht="18.75" customHeight="1">
      <c r="BM24607" s="1025"/>
      <c r="BO24607" s="43"/>
    </row>
    <row r="24608" spans="65:67" ht="18.75" customHeight="1">
      <c r="BM24608" s="1025"/>
      <c r="BO24608" s="43"/>
    </row>
    <row r="24609" spans="65:67" ht="18.75" customHeight="1">
      <c r="BM24609" s="1025"/>
      <c r="BO24609" s="43"/>
    </row>
    <row r="24610" spans="65:67" ht="18.75" customHeight="1">
      <c r="BM24610" s="1025"/>
      <c r="BO24610" s="43"/>
    </row>
    <row r="24611" spans="65:67" ht="18.75" customHeight="1">
      <c r="BM24611" s="1025"/>
      <c r="BO24611" s="43"/>
    </row>
    <row r="24612" spans="65:67" ht="18.75" customHeight="1">
      <c r="BM24612" s="1025"/>
      <c r="BO24612" s="43"/>
    </row>
    <row r="24613" spans="65:67" ht="18.75" customHeight="1">
      <c r="BM24613" s="1025"/>
      <c r="BO24613" s="43"/>
    </row>
    <row r="24614" spans="65:67" ht="18.75" customHeight="1">
      <c r="BM24614" s="1025"/>
      <c r="BO24614" s="43"/>
    </row>
    <row r="24615" spans="65:67" ht="18.75" customHeight="1">
      <c r="BM24615" s="1025"/>
      <c r="BO24615" s="43"/>
    </row>
    <row r="24616" spans="65:67" ht="18.75" customHeight="1">
      <c r="BM24616" s="1025"/>
      <c r="BO24616" s="43"/>
    </row>
    <row r="24617" spans="65:67" ht="18.75" customHeight="1">
      <c r="BM24617" s="1025"/>
      <c r="BO24617" s="43"/>
    </row>
    <row r="24618" spans="65:67" ht="18.75" customHeight="1">
      <c r="BM24618" s="1025"/>
      <c r="BO24618" s="43"/>
    </row>
    <row r="24619" spans="65:67" ht="18.75" customHeight="1">
      <c r="BM24619" s="1025"/>
      <c r="BO24619" s="43"/>
    </row>
    <row r="24620" spans="65:67" ht="18.75" customHeight="1">
      <c r="BM24620" s="1025"/>
      <c r="BO24620" s="43"/>
    </row>
    <row r="24621" spans="65:67" ht="18.75" customHeight="1">
      <c r="BM24621" s="1025"/>
      <c r="BO24621" s="43"/>
    </row>
    <row r="24622" spans="65:67" ht="18.75" customHeight="1">
      <c r="BM24622" s="1025"/>
      <c r="BO24622" s="43"/>
    </row>
    <row r="24623" spans="65:67" ht="18.75" customHeight="1">
      <c r="BM24623" s="1025"/>
      <c r="BO24623" s="43"/>
    </row>
    <row r="24624" spans="65:67" ht="18.75" customHeight="1">
      <c r="BM24624" s="1025"/>
      <c r="BO24624" s="43"/>
    </row>
    <row r="24625" spans="65:67" ht="18.75" customHeight="1">
      <c r="BM24625" s="1025"/>
      <c r="BO24625" s="43"/>
    </row>
    <row r="24626" spans="65:67" ht="18.75" customHeight="1">
      <c r="BM24626" s="1025"/>
      <c r="BO24626" s="43"/>
    </row>
    <row r="24627" spans="65:67" ht="18.75" customHeight="1">
      <c r="BM24627" s="1025"/>
      <c r="BO24627" s="43"/>
    </row>
    <row r="24628" spans="65:67" ht="18.75" customHeight="1">
      <c r="BM24628" s="1025"/>
      <c r="BO24628" s="43"/>
    </row>
    <row r="24629" spans="65:67" ht="18.75" customHeight="1">
      <c r="BM24629" s="1025"/>
      <c r="BO24629" s="43"/>
    </row>
    <row r="24630" spans="65:67" ht="18.75" customHeight="1">
      <c r="BM24630" s="1025"/>
      <c r="BO24630" s="43"/>
    </row>
    <row r="24631" spans="65:67" ht="18.75" customHeight="1">
      <c r="BM24631" s="1025"/>
      <c r="BO24631" s="43"/>
    </row>
    <row r="24632" spans="65:67" ht="18.75" customHeight="1">
      <c r="BM24632" s="1025"/>
      <c r="BO24632" s="43"/>
    </row>
    <row r="24633" spans="65:67" ht="18.75" customHeight="1">
      <c r="BM24633" s="1025"/>
      <c r="BO24633" s="43"/>
    </row>
    <row r="24634" spans="65:67" ht="18.75" customHeight="1">
      <c r="BM24634" s="1025"/>
      <c r="BO24634" s="43"/>
    </row>
    <row r="24635" spans="65:67" ht="18.75" customHeight="1">
      <c r="BM24635" s="1025"/>
      <c r="BO24635" s="43"/>
    </row>
    <row r="24636" spans="65:67" ht="18.75" customHeight="1">
      <c r="BM24636" s="1025"/>
      <c r="BO24636" s="43"/>
    </row>
    <row r="24637" spans="65:67" ht="18.75" customHeight="1">
      <c r="BM24637" s="1025"/>
      <c r="BO24637" s="43"/>
    </row>
    <row r="24638" spans="65:67" ht="18.75" customHeight="1">
      <c r="BM24638" s="1025"/>
      <c r="BO24638" s="43"/>
    </row>
    <row r="24639" spans="65:67" ht="18.75" customHeight="1">
      <c r="BM24639" s="1025"/>
      <c r="BO24639" s="43"/>
    </row>
    <row r="24640" spans="65:67" ht="18.75" customHeight="1">
      <c r="BM24640" s="1025"/>
      <c r="BO24640" s="43"/>
    </row>
    <row r="24641" spans="65:67" ht="18.75" customHeight="1">
      <c r="BM24641" s="1025"/>
      <c r="BO24641" s="43"/>
    </row>
    <row r="24642" spans="65:67" ht="18.75" customHeight="1">
      <c r="BM24642" s="1025"/>
      <c r="BO24642" s="43"/>
    </row>
    <row r="24643" spans="65:67" ht="18.75" customHeight="1">
      <c r="BM24643" s="1025"/>
      <c r="BO24643" s="43"/>
    </row>
    <row r="24644" spans="65:67" ht="18.75" customHeight="1">
      <c r="BM24644" s="1025"/>
      <c r="BO24644" s="43"/>
    </row>
    <row r="24645" spans="65:67" ht="18.75" customHeight="1">
      <c r="BM24645" s="1025"/>
      <c r="BO24645" s="43"/>
    </row>
    <row r="24646" spans="65:67" ht="18.75" customHeight="1">
      <c r="BM24646" s="1025"/>
      <c r="BO24646" s="43"/>
    </row>
    <row r="24647" spans="65:67" ht="18.75" customHeight="1">
      <c r="BM24647" s="1025"/>
      <c r="BO24647" s="43"/>
    </row>
    <row r="24648" spans="65:67" ht="18.75" customHeight="1">
      <c r="BM24648" s="1025"/>
      <c r="BO24648" s="43"/>
    </row>
    <row r="24649" spans="65:67" ht="18.75" customHeight="1">
      <c r="BM24649" s="1025"/>
      <c r="BO24649" s="43"/>
    </row>
    <row r="24650" spans="65:67" ht="18.75" customHeight="1">
      <c r="BM24650" s="1025"/>
      <c r="BO24650" s="43"/>
    </row>
    <row r="24651" spans="65:67" ht="18.75" customHeight="1">
      <c r="BM24651" s="1025"/>
      <c r="BO24651" s="43"/>
    </row>
    <row r="24652" spans="65:67" ht="18.75" customHeight="1">
      <c r="BM24652" s="1025"/>
      <c r="BO24652" s="43"/>
    </row>
    <row r="24653" spans="65:67" ht="18.75" customHeight="1">
      <c r="BM24653" s="1025"/>
      <c r="BO24653" s="43"/>
    </row>
    <row r="24654" spans="65:67" ht="18.75" customHeight="1">
      <c r="BM24654" s="1025"/>
      <c r="BO24654" s="43"/>
    </row>
    <row r="24655" spans="65:67" ht="18.75" customHeight="1">
      <c r="BM24655" s="1025"/>
      <c r="BO24655" s="43"/>
    </row>
    <row r="24656" spans="65:67" ht="18.75" customHeight="1">
      <c r="BM24656" s="1025"/>
      <c r="BO24656" s="43"/>
    </row>
    <row r="24657" spans="65:67" ht="18.75" customHeight="1">
      <c r="BM24657" s="1025"/>
      <c r="BO24657" s="43"/>
    </row>
    <row r="24658" spans="65:67" ht="18.75" customHeight="1">
      <c r="BM24658" s="1025"/>
      <c r="BO24658" s="43"/>
    </row>
    <row r="24659" spans="65:67" ht="18.75" customHeight="1">
      <c r="BM24659" s="1025"/>
      <c r="BO24659" s="43"/>
    </row>
    <row r="24660" spans="65:67" ht="18.75" customHeight="1">
      <c r="BM24660" s="1025"/>
      <c r="BO24660" s="43"/>
    </row>
    <row r="24661" spans="65:67" ht="18.75" customHeight="1">
      <c r="BM24661" s="1025"/>
      <c r="BO24661" s="43"/>
    </row>
    <row r="24662" spans="65:67" ht="18.75" customHeight="1">
      <c r="BM24662" s="1025"/>
      <c r="BO24662" s="43"/>
    </row>
    <row r="24663" spans="65:67" ht="18.75" customHeight="1">
      <c r="BM24663" s="1025"/>
      <c r="BO24663" s="43"/>
    </row>
    <row r="24664" spans="65:67" ht="18.75" customHeight="1">
      <c r="BM24664" s="1025"/>
      <c r="BO24664" s="43"/>
    </row>
    <row r="24665" spans="65:67" ht="18.75" customHeight="1">
      <c r="BM24665" s="1025"/>
      <c r="BO24665" s="43"/>
    </row>
    <row r="24666" spans="65:67" ht="18.75" customHeight="1">
      <c r="BM24666" s="1025"/>
      <c r="BO24666" s="43"/>
    </row>
    <row r="24667" spans="65:67" ht="18.75" customHeight="1">
      <c r="BM24667" s="1025"/>
      <c r="BO24667" s="43"/>
    </row>
    <row r="24668" spans="65:67" ht="18.75" customHeight="1">
      <c r="BM24668" s="1025"/>
      <c r="BO24668" s="43"/>
    </row>
    <row r="24669" spans="65:67" ht="18.75" customHeight="1">
      <c r="BM24669" s="1025"/>
      <c r="BO24669" s="43"/>
    </row>
    <row r="24670" spans="65:67" ht="18.75" customHeight="1">
      <c r="BM24670" s="1025"/>
      <c r="BO24670" s="43"/>
    </row>
    <row r="24671" spans="65:67" ht="18.75" customHeight="1">
      <c r="BM24671" s="1025"/>
      <c r="BO24671" s="43"/>
    </row>
    <row r="24672" spans="65:67" ht="18.75" customHeight="1">
      <c r="BM24672" s="1025"/>
      <c r="BO24672" s="43"/>
    </row>
    <row r="24673" spans="65:67" ht="18.75" customHeight="1">
      <c r="BM24673" s="1025"/>
      <c r="BO24673" s="43"/>
    </row>
    <row r="24674" spans="65:67" ht="18.75" customHeight="1">
      <c r="BM24674" s="1025"/>
      <c r="BO24674" s="43"/>
    </row>
    <row r="24675" spans="65:67" ht="18.75" customHeight="1">
      <c r="BM24675" s="1025"/>
      <c r="BO24675" s="43"/>
    </row>
    <row r="24676" spans="65:67" ht="18.75" customHeight="1">
      <c r="BM24676" s="1025"/>
      <c r="BO24676" s="43"/>
    </row>
    <row r="24677" spans="65:67" ht="18.75" customHeight="1">
      <c r="BM24677" s="1025"/>
      <c r="BO24677" s="43"/>
    </row>
    <row r="24678" spans="65:67" ht="18.75" customHeight="1">
      <c r="BM24678" s="1025"/>
      <c r="BO24678" s="43"/>
    </row>
    <row r="24679" spans="65:67" ht="18.75" customHeight="1">
      <c r="BM24679" s="1025"/>
      <c r="BO24679" s="43"/>
    </row>
    <row r="24680" spans="65:67" ht="18.75" customHeight="1">
      <c r="BM24680" s="1025"/>
      <c r="BO24680" s="43"/>
    </row>
    <row r="24681" spans="65:67" ht="18.75" customHeight="1">
      <c r="BM24681" s="1025"/>
      <c r="BO24681" s="43"/>
    </row>
    <row r="24682" spans="65:67" ht="18.75" customHeight="1">
      <c r="BM24682" s="1025"/>
      <c r="BO24682" s="43"/>
    </row>
    <row r="24683" spans="65:67" ht="18.75" customHeight="1">
      <c r="BM24683" s="1025"/>
      <c r="BO24683" s="43"/>
    </row>
    <row r="24684" spans="65:67" ht="18.75" customHeight="1">
      <c r="BM24684" s="1025"/>
      <c r="BO24684" s="43"/>
    </row>
    <row r="24685" spans="65:67" ht="18.75" customHeight="1">
      <c r="BM24685" s="1025"/>
      <c r="BO24685" s="43"/>
    </row>
    <row r="24686" spans="65:67" ht="18.75" customHeight="1">
      <c r="BM24686" s="1025"/>
      <c r="BO24686" s="43"/>
    </row>
    <row r="24687" spans="65:67" ht="18.75" customHeight="1">
      <c r="BM24687" s="1025"/>
      <c r="BO24687" s="43"/>
    </row>
    <row r="24688" spans="65:67" ht="18.75" customHeight="1">
      <c r="BM24688" s="1025"/>
      <c r="BO24688" s="43"/>
    </row>
    <row r="24689" spans="65:67" ht="18.75" customHeight="1">
      <c r="BM24689" s="1025"/>
      <c r="BO24689" s="43"/>
    </row>
    <row r="24690" spans="65:67" ht="18.75" customHeight="1">
      <c r="BM24690" s="1025"/>
      <c r="BO24690" s="43"/>
    </row>
    <row r="24691" spans="65:67" ht="18.75" customHeight="1">
      <c r="BM24691" s="1025"/>
      <c r="BO24691" s="43"/>
    </row>
    <row r="24692" spans="65:67" ht="18.75" customHeight="1">
      <c r="BM24692" s="1025"/>
      <c r="BO24692" s="43"/>
    </row>
    <row r="24693" spans="65:67" ht="18.75" customHeight="1">
      <c r="BM24693" s="1025"/>
      <c r="BO24693" s="43"/>
    </row>
    <row r="24694" spans="65:67" ht="18.75" customHeight="1">
      <c r="BM24694" s="1025"/>
      <c r="BO24694" s="43"/>
    </row>
    <row r="24695" spans="65:67" ht="18.75" customHeight="1">
      <c r="BM24695" s="1025"/>
      <c r="BO24695" s="43"/>
    </row>
    <row r="24696" spans="65:67" ht="18.75" customHeight="1">
      <c r="BM24696" s="1025"/>
      <c r="BO24696" s="43"/>
    </row>
    <row r="24697" spans="65:67" ht="18.75" customHeight="1">
      <c r="BM24697" s="1025"/>
      <c r="BO24697" s="43"/>
    </row>
    <row r="24698" spans="65:67" ht="18.75" customHeight="1">
      <c r="BM24698" s="1025"/>
      <c r="BO24698" s="43"/>
    </row>
    <row r="24699" spans="65:67" ht="18.75" customHeight="1">
      <c r="BM24699" s="1025"/>
      <c r="BO24699" s="43"/>
    </row>
    <row r="24700" spans="65:67" ht="18.75" customHeight="1">
      <c r="BM24700" s="1025"/>
      <c r="BO24700" s="43"/>
    </row>
    <row r="24701" spans="65:67" ht="18.75" customHeight="1">
      <c r="BM24701" s="1025"/>
      <c r="BO24701" s="43"/>
    </row>
    <row r="24702" spans="65:67" ht="18.75" customHeight="1">
      <c r="BM24702" s="1025"/>
      <c r="BO24702" s="43"/>
    </row>
    <row r="24703" spans="65:67" ht="18.75" customHeight="1">
      <c r="BM24703" s="1025"/>
      <c r="BO24703" s="43"/>
    </row>
    <row r="24704" spans="65:67" ht="18.75" customHeight="1">
      <c r="BM24704" s="1025"/>
      <c r="BO24704" s="43"/>
    </row>
    <row r="24705" spans="65:67" ht="18.75" customHeight="1">
      <c r="BM24705" s="1025"/>
      <c r="BO24705" s="43"/>
    </row>
    <row r="24706" spans="65:67" ht="18.75" customHeight="1">
      <c r="BM24706" s="1025"/>
      <c r="BO24706" s="43"/>
    </row>
    <row r="24707" spans="65:67" ht="18.75" customHeight="1">
      <c r="BM24707" s="1025"/>
      <c r="BO24707" s="43"/>
    </row>
    <row r="24708" spans="65:67" ht="18.75" customHeight="1">
      <c r="BM24708" s="1025"/>
      <c r="BO24708" s="43"/>
    </row>
    <row r="24709" spans="65:67" ht="18.75" customHeight="1">
      <c r="BM24709" s="1025"/>
      <c r="BO24709" s="43"/>
    </row>
    <row r="24710" spans="65:67" ht="18.75" customHeight="1">
      <c r="BM24710" s="1025"/>
      <c r="BO24710" s="43"/>
    </row>
    <row r="24711" spans="65:67" ht="18.75" customHeight="1">
      <c r="BM24711" s="1025"/>
      <c r="BO24711" s="43"/>
    </row>
    <row r="24712" spans="65:67" ht="18.75" customHeight="1">
      <c r="BM24712" s="1025"/>
      <c r="BO24712" s="43"/>
    </row>
    <row r="24713" spans="65:67" ht="18.75" customHeight="1">
      <c r="BM24713" s="1025"/>
      <c r="BO24713" s="43"/>
    </row>
    <row r="24714" spans="65:67" ht="18.75" customHeight="1">
      <c r="BM24714" s="1025"/>
      <c r="BO24714" s="43"/>
    </row>
    <row r="24715" spans="65:67" ht="18.75" customHeight="1">
      <c r="BM24715" s="1025"/>
      <c r="BO24715" s="43"/>
    </row>
    <row r="24716" spans="65:67" ht="18.75" customHeight="1">
      <c r="BM24716" s="1025"/>
      <c r="BO24716" s="43"/>
    </row>
    <row r="24717" spans="65:67" ht="18.75" customHeight="1">
      <c r="BM24717" s="1025"/>
      <c r="BO24717" s="43"/>
    </row>
    <row r="24718" spans="65:67" ht="18.75" customHeight="1">
      <c r="BM24718" s="1025"/>
      <c r="BO24718" s="43"/>
    </row>
    <row r="24719" spans="65:67" ht="18.75" customHeight="1">
      <c r="BM24719" s="1025"/>
      <c r="BO24719" s="43"/>
    </row>
    <row r="24720" spans="65:67" ht="18.75" customHeight="1">
      <c r="BM24720" s="1025"/>
      <c r="BO24720" s="43"/>
    </row>
    <row r="24721" spans="65:67" ht="18.75" customHeight="1">
      <c r="BM24721" s="1025"/>
      <c r="BO24721" s="43"/>
    </row>
    <row r="24722" spans="65:67" ht="18.75" customHeight="1">
      <c r="BM24722" s="1025"/>
      <c r="BO24722" s="43"/>
    </row>
    <row r="24723" spans="65:67" ht="18.75" customHeight="1">
      <c r="BM24723" s="1025"/>
      <c r="BO24723" s="43"/>
    </row>
    <row r="24724" spans="65:67" ht="18.75" customHeight="1">
      <c r="BM24724" s="1025"/>
      <c r="BO24724" s="43"/>
    </row>
    <row r="24725" spans="65:67" ht="18.75" customHeight="1">
      <c r="BM24725" s="1025"/>
      <c r="BO24725" s="43"/>
    </row>
    <row r="24726" spans="65:67" ht="18.75" customHeight="1">
      <c r="BM24726" s="1025"/>
      <c r="BO24726" s="43"/>
    </row>
    <row r="24727" spans="65:67" ht="18.75" customHeight="1">
      <c r="BM24727" s="1025"/>
      <c r="BO24727" s="43"/>
    </row>
    <row r="24728" spans="65:67" ht="18.75" customHeight="1">
      <c r="BM24728" s="1025"/>
      <c r="BO24728" s="43"/>
    </row>
    <row r="24729" spans="65:67" ht="18.75" customHeight="1">
      <c r="BM24729" s="1025"/>
      <c r="BO24729" s="43"/>
    </row>
    <row r="24730" spans="65:67" ht="18.75" customHeight="1">
      <c r="BM24730" s="1025"/>
      <c r="BO24730" s="43"/>
    </row>
    <row r="24731" spans="65:67" ht="18.75" customHeight="1">
      <c r="BM24731" s="1025"/>
      <c r="BO24731" s="43"/>
    </row>
    <row r="24732" spans="65:67" ht="18.75" customHeight="1">
      <c r="BM24732" s="1025"/>
      <c r="BO24732" s="43"/>
    </row>
    <row r="24733" spans="65:67" ht="18.75" customHeight="1">
      <c r="BM24733" s="1025"/>
      <c r="BO24733" s="43"/>
    </row>
    <row r="24734" spans="65:67" ht="18.75" customHeight="1">
      <c r="BM24734" s="1025"/>
      <c r="BO24734" s="43"/>
    </row>
    <row r="24735" spans="65:67" ht="18.75" customHeight="1">
      <c r="BM24735" s="1025"/>
      <c r="BO24735" s="43"/>
    </row>
    <row r="24736" spans="65:67" ht="18.75" customHeight="1">
      <c r="BM24736" s="1025"/>
      <c r="BO24736" s="43"/>
    </row>
    <row r="24737" spans="65:67" ht="18.75" customHeight="1">
      <c r="BM24737" s="1025"/>
      <c r="BO24737" s="43"/>
    </row>
    <row r="24738" spans="65:67" ht="18.75" customHeight="1">
      <c r="BM24738" s="1025"/>
      <c r="BO24738" s="43"/>
    </row>
    <row r="24739" spans="65:67" ht="18.75" customHeight="1">
      <c r="BM24739" s="1025"/>
      <c r="BO24739" s="43"/>
    </row>
    <row r="24740" spans="65:67" ht="18.75" customHeight="1">
      <c r="BM24740" s="1025"/>
      <c r="BO24740" s="43"/>
    </row>
    <row r="24741" spans="65:67" ht="18.75" customHeight="1">
      <c r="BM24741" s="1025"/>
      <c r="BO24741" s="43"/>
    </row>
    <row r="24742" spans="65:67" ht="18.75" customHeight="1">
      <c r="BM24742" s="1025"/>
      <c r="BO24742" s="43"/>
    </row>
    <row r="24743" spans="65:67" ht="18.75" customHeight="1">
      <c r="BM24743" s="1025"/>
      <c r="BO24743" s="43"/>
    </row>
    <row r="24744" spans="65:67" ht="18.75" customHeight="1">
      <c r="BM24744" s="1025"/>
      <c r="BO24744" s="43"/>
    </row>
    <row r="24745" spans="65:67" ht="18.75" customHeight="1">
      <c r="BM24745" s="1025"/>
      <c r="BO24745" s="43"/>
    </row>
    <row r="24746" spans="65:67" ht="18.75" customHeight="1">
      <c r="BM24746" s="1025"/>
      <c r="BO24746" s="43"/>
    </row>
    <row r="24747" spans="65:67" ht="18.75" customHeight="1">
      <c r="BM24747" s="1025"/>
      <c r="BO24747" s="43"/>
    </row>
    <row r="24748" spans="65:67" ht="18.75" customHeight="1">
      <c r="BM24748" s="1025"/>
      <c r="BO24748" s="43"/>
    </row>
    <row r="24749" spans="65:67" ht="18.75" customHeight="1">
      <c r="BM24749" s="1025"/>
      <c r="BO24749" s="43"/>
    </row>
    <row r="24750" spans="65:67" ht="18.75" customHeight="1">
      <c r="BM24750" s="1025"/>
      <c r="BO24750" s="43"/>
    </row>
    <row r="24751" spans="65:67" ht="18.75" customHeight="1">
      <c r="BM24751" s="1025"/>
      <c r="BO24751" s="43"/>
    </row>
    <row r="24752" spans="65:67" ht="18.75" customHeight="1">
      <c r="BM24752" s="1025"/>
      <c r="BO24752" s="43"/>
    </row>
    <row r="24753" spans="65:67" ht="18.75" customHeight="1">
      <c r="BM24753" s="1025"/>
      <c r="BO24753" s="43"/>
    </row>
    <row r="24754" spans="65:67" ht="18.75" customHeight="1">
      <c r="BM24754" s="1025"/>
      <c r="BO24754" s="43"/>
    </row>
    <row r="24755" spans="65:67" ht="18.75" customHeight="1">
      <c r="BM24755" s="1025"/>
      <c r="BO24755" s="43"/>
    </row>
    <row r="24756" spans="65:67" ht="18.75" customHeight="1">
      <c r="BM24756" s="1025"/>
      <c r="BO24756" s="43"/>
    </row>
    <row r="24757" spans="65:67" ht="18.75" customHeight="1">
      <c r="BM24757" s="1025"/>
      <c r="BO24757" s="43"/>
    </row>
    <row r="24758" spans="65:67" ht="18.75" customHeight="1">
      <c r="BM24758" s="1025"/>
      <c r="BO24758" s="43"/>
    </row>
    <row r="24759" spans="65:67" ht="18.75" customHeight="1">
      <c r="BM24759" s="1025"/>
      <c r="BO24759" s="43"/>
    </row>
    <row r="24760" spans="65:67" ht="18.75" customHeight="1">
      <c r="BM24760" s="1025"/>
      <c r="BO24760" s="43"/>
    </row>
    <row r="24761" spans="65:67" ht="18.75" customHeight="1">
      <c r="BM24761" s="1025"/>
      <c r="BO24761" s="43"/>
    </row>
    <row r="24762" spans="65:67" ht="18.75" customHeight="1">
      <c r="BM24762" s="1025"/>
      <c r="BO24762" s="43"/>
    </row>
    <row r="24763" spans="65:67" ht="18.75" customHeight="1">
      <c r="BM24763" s="1025"/>
      <c r="BO24763" s="43"/>
    </row>
    <row r="24764" spans="65:67" ht="18.75" customHeight="1">
      <c r="BM24764" s="1025"/>
      <c r="BO24764" s="43"/>
    </row>
    <row r="24765" spans="65:67" ht="18.75" customHeight="1">
      <c r="BM24765" s="1025"/>
      <c r="BO24765" s="43"/>
    </row>
    <row r="24766" spans="65:67" ht="18.75" customHeight="1">
      <c r="BM24766" s="1025"/>
      <c r="BO24766" s="43"/>
    </row>
    <row r="24767" spans="65:67" ht="18.75" customHeight="1">
      <c r="BM24767" s="1025"/>
      <c r="BO24767" s="43"/>
    </row>
    <row r="24768" spans="65:67" ht="18.75" customHeight="1">
      <c r="BM24768" s="1025"/>
      <c r="BO24768" s="43"/>
    </row>
    <row r="24769" spans="65:67" ht="18.75" customHeight="1">
      <c r="BM24769" s="1025"/>
      <c r="BO24769" s="43"/>
    </row>
    <row r="24770" spans="65:67" ht="18.75" customHeight="1">
      <c r="BM24770" s="1025"/>
      <c r="BO24770" s="43"/>
    </row>
    <row r="24771" spans="65:67" ht="18.75" customHeight="1">
      <c r="BM24771" s="1025"/>
      <c r="BO24771" s="43"/>
    </row>
    <row r="24772" spans="65:67" ht="18.75" customHeight="1">
      <c r="BM24772" s="1025"/>
      <c r="BO24772" s="43"/>
    </row>
    <row r="24773" spans="65:67" ht="18.75" customHeight="1">
      <c r="BM24773" s="1025"/>
      <c r="BO24773" s="43"/>
    </row>
    <row r="24774" spans="65:67" ht="18.75" customHeight="1">
      <c r="BM24774" s="1025"/>
      <c r="BO24774" s="43"/>
    </row>
    <row r="24775" spans="65:67" ht="18.75" customHeight="1">
      <c r="BM24775" s="1025"/>
      <c r="BO24775" s="43"/>
    </row>
    <row r="24776" spans="65:67" ht="18.75" customHeight="1">
      <c r="BM24776" s="1025"/>
      <c r="BO24776" s="43"/>
    </row>
    <row r="24777" spans="65:67" ht="18.75" customHeight="1">
      <c r="BM24777" s="1025"/>
      <c r="BO24777" s="43"/>
    </row>
    <row r="24778" spans="65:67" ht="18.75" customHeight="1">
      <c r="BM24778" s="1025"/>
      <c r="BO24778" s="43"/>
    </row>
    <row r="24779" spans="65:67" ht="18.75" customHeight="1">
      <c r="BM24779" s="1025"/>
      <c r="BO24779" s="43"/>
    </row>
    <row r="24780" spans="65:67" ht="18.75" customHeight="1">
      <c r="BM24780" s="1025"/>
      <c r="BO24780" s="43"/>
    </row>
    <row r="24781" spans="65:67" ht="18.75" customHeight="1">
      <c r="BM24781" s="1025"/>
      <c r="BO24781" s="43"/>
    </row>
    <row r="24782" spans="65:67" ht="18.75" customHeight="1">
      <c r="BM24782" s="1025"/>
      <c r="BO24782" s="43"/>
    </row>
    <row r="24783" spans="65:67" ht="18.75" customHeight="1">
      <c r="BM24783" s="1025"/>
      <c r="BO24783" s="43"/>
    </row>
    <row r="24784" spans="65:67" ht="18.75" customHeight="1">
      <c r="BM24784" s="1025"/>
      <c r="BO24784" s="43"/>
    </row>
    <row r="24785" spans="65:67" ht="18.75" customHeight="1">
      <c r="BM24785" s="1025"/>
      <c r="BO24785" s="43"/>
    </row>
    <row r="24786" spans="65:67" ht="18.75" customHeight="1">
      <c r="BM24786" s="1025"/>
      <c r="BO24786" s="43"/>
    </row>
    <row r="24787" spans="65:67" ht="18.75" customHeight="1">
      <c r="BM24787" s="1025"/>
      <c r="BO24787" s="43"/>
    </row>
    <row r="24788" spans="65:67" ht="18.75" customHeight="1">
      <c r="BM24788" s="1025"/>
      <c r="BO24788" s="43"/>
    </row>
    <row r="24789" spans="65:67" ht="18.75" customHeight="1">
      <c r="BM24789" s="1025"/>
      <c r="BO24789" s="43"/>
    </row>
    <row r="24790" spans="65:67" ht="18.75" customHeight="1">
      <c r="BM24790" s="1025"/>
      <c r="BO24790" s="43"/>
    </row>
    <row r="24791" spans="65:67" ht="18.75" customHeight="1">
      <c r="BM24791" s="1025"/>
      <c r="BO24791" s="43"/>
    </row>
    <row r="24792" spans="65:67" ht="18.75" customHeight="1">
      <c r="BM24792" s="1025"/>
      <c r="BO24792" s="43"/>
    </row>
    <row r="24793" spans="65:67" ht="18.75" customHeight="1">
      <c r="BM24793" s="1025"/>
      <c r="BO24793" s="43"/>
    </row>
    <row r="24794" spans="65:67" ht="18.75" customHeight="1">
      <c r="BM24794" s="1025"/>
      <c r="BO24794" s="43"/>
    </row>
    <row r="24795" spans="65:67" ht="18.75" customHeight="1">
      <c r="BM24795" s="1025"/>
      <c r="BO24795" s="43"/>
    </row>
    <row r="24796" spans="65:67" ht="18.75" customHeight="1">
      <c r="BM24796" s="1025"/>
      <c r="BO24796" s="43"/>
    </row>
    <row r="24797" spans="65:67" ht="18.75" customHeight="1">
      <c r="BM24797" s="1025"/>
      <c r="BO24797" s="43"/>
    </row>
    <row r="24798" spans="65:67" ht="18.75" customHeight="1">
      <c r="BM24798" s="1025"/>
      <c r="BO24798" s="43"/>
    </row>
    <row r="24799" spans="65:67" ht="18.75" customHeight="1">
      <c r="BM24799" s="1025"/>
      <c r="BO24799" s="43"/>
    </row>
    <row r="24800" spans="65:67" ht="18.75" customHeight="1">
      <c r="BM24800" s="1025"/>
      <c r="BO24800" s="43"/>
    </row>
    <row r="24801" spans="65:67" ht="18.75" customHeight="1">
      <c r="BM24801" s="1025"/>
      <c r="BO24801" s="43"/>
    </row>
    <row r="24802" spans="65:67" ht="18.75" customHeight="1">
      <c r="BM24802" s="1025"/>
      <c r="BO24802" s="43"/>
    </row>
    <row r="24803" spans="65:67" ht="18.75" customHeight="1">
      <c r="BM24803" s="1025"/>
      <c r="BO24803" s="43"/>
    </row>
    <row r="24804" spans="65:67" ht="18.75" customHeight="1">
      <c r="BM24804" s="1025"/>
      <c r="BO24804" s="43"/>
    </row>
    <row r="24805" spans="65:67" ht="18.75" customHeight="1">
      <c r="BM24805" s="1025"/>
      <c r="BO24805" s="43"/>
    </row>
    <row r="24806" spans="65:67" ht="18.75" customHeight="1">
      <c r="BM24806" s="1025"/>
      <c r="BO24806" s="43"/>
    </row>
    <row r="24807" spans="65:67" ht="18.75" customHeight="1">
      <c r="BM24807" s="1025"/>
      <c r="BO24807" s="43"/>
    </row>
    <row r="24808" spans="65:67" ht="18.75" customHeight="1">
      <c r="BM24808" s="1025"/>
      <c r="BO24808" s="43"/>
    </row>
    <row r="24809" spans="65:67" ht="18.75" customHeight="1">
      <c r="BM24809" s="1025"/>
      <c r="BO24809" s="43"/>
    </row>
    <row r="24810" spans="65:67" ht="18.75" customHeight="1">
      <c r="BM24810" s="1025"/>
      <c r="BO24810" s="43"/>
    </row>
    <row r="24811" spans="65:67" ht="18.75" customHeight="1">
      <c r="BM24811" s="1025"/>
      <c r="BO24811" s="43"/>
    </row>
    <row r="24812" spans="65:67" ht="18.75" customHeight="1">
      <c r="BM24812" s="1025"/>
      <c r="BO24812" s="43"/>
    </row>
    <row r="24813" spans="65:67" ht="18.75" customHeight="1">
      <c r="BM24813" s="1025"/>
      <c r="BO24813" s="43"/>
    </row>
    <row r="24814" spans="65:67" ht="18.75" customHeight="1">
      <c r="BM24814" s="1025"/>
      <c r="BO24814" s="43"/>
    </row>
    <row r="24815" spans="65:67" ht="18.75" customHeight="1">
      <c r="BM24815" s="1025"/>
      <c r="BO24815" s="43"/>
    </row>
    <row r="24816" spans="65:67" ht="18.75" customHeight="1">
      <c r="BM24816" s="1025"/>
      <c r="BO24816" s="43"/>
    </row>
    <row r="24817" spans="65:67" ht="18.75" customHeight="1">
      <c r="BM24817" s="1025"/>
      <c r="BO24817" s="43"/>
    </row>
    <row r="24818" spans="65:67" ht="18.75" customHeight="1">
      <c r="BM24818" s="1025"/>
      <c r="BO24818" s="43"/>
    </row>
    <row r="24819" spans="65:67" ht="18.75" customHeight="1">
      <c r="BM24819" s="1025"/>
      <c r="BO24819" s="43"/>
    </row>
    <row r="24820" spans="65:67" ht="18.75" customHeight="1">
      <c r="BM24820" s="1025"/>
      <c r="BO24820" s="43"/>
    </row>
    <row r="24821" spans="65:67" ht="18.75" customHeight="1">
      <c r="BM24821" s="1025"/>
      <c r="BO24821" s="43"/>
    </row>
    <row r="24822" spans="65:67" ht="18.75" customHeight="1">
      <c r="BM24822" s="1025"/>
      <c r="BO24822" s="43"/>
    </row>
    <row r="24823" spans="65:67" ht="18.75" customHeight="1">
      <c r="BM24823" s="1025"/>
      <c r="BO24823" s="43"/>
    </row>
    <row r="24824" spans="65:67" ht="18.75" customHeight="1">
      <c r="BM24824" s="1025"/>
      <c r="BO24824" s="43"/>
    </row>
    <row r="24825" spans="65:67" ht="18.75" customHeight="1">
      <c r="BM24825" s="1025"/>
      <c r="BO24825" s="43"/>
    </row>
    <row r="24826" spans="65:67" ht="18.75" customHeight="1">
      <c r="BM24826" s="1025"/>
      <c r="BO24826" s="43"/>
    </row>
    <row r="24827" spans="65:67" ht="18.75" customHeight="1">
      <c r="BM24827" s="1025"/>
      <c r="BO24827" s="43"/>
    </row>
    <row r="24828" spans="65:67" ht="18.75" customHeight="1">
      <c r="BM24828" s="1025"/>
      <c r="BO24828" s="43"/>
    </row>
    <row r="24829" spans="65:67" ht="18.75" customHeight="1">
      <c r="BM24829" s="1025"/>
      <c r="BO24829" s="43"/>
    </row>
    <row r="24830" spans="65:67" ht="18.75" customHeight="1">
      <c r="BM24830" s="1025"/>
      <c r="BO24830" s="43"/>
    </row>
    <row r="24831" spans="65:67" ht="18.75" customHeight="1">
      <c r="BM24831" s="1025"/>
      <c r="BO24831" s="43"/>
    </row>
    <row r="24832" spans="65:67" ht="18.75" customHeight="1">
      <c r="BM24832" s="1025"/>
      <c r="BO24832" s="43"/>
    </row>
    <row r="24833" spans="65:67" ht="18.75" customHeight="1">
      <c r="BM24833" s="1025"/>
      <c r="BO24833" s="43"/>
    </row>
    <row r="24834" spans="65:67" ht="18.75" customHeight="1">
      <c r="BM24834" s="1025"/>
      <c r="BO24834" s="43"/>
    </row>
    <row r="24835" spans="65:67" ht="18.75" customHeight="1">
      <c r="BM24835" s="1025"/>
      <c r="BO24835" s="43"/>
    </row>
    <row r="24836" spans="65:67" ht="18.75" customHeight="1">
      <c r="BM24836" s="1025"/>
      <c r="BO24836" s="43"/>
    </row>
    <row r="24837" spans="65:67" ht="18.75" customHeight="1">
      <c r="BM24837" s="1025"/>
      <c r="BO24837" s="43"/>
    </row>
    <row r="24838" spans="65:67" ht="18.75" customHeight="1">
      <c r="BM24838" s="1025"/>
      <c r="BO24838" s="43"/>
    </row>
    <row r="24839" spans="65:67" ht="18.75" customHeight="1">
      <c r="BM24839" s="1025"/>
      <c r="BO24839" s="43"/>
    </row>
    <row r="24840" spans="65:67" ht="18.75" customHeight="1">
      <c r="BM24840" s="1025"/>
      <c r="BO24840" s="43"/>
    </row>
    <row r="24841" spans="65:67" ht="18.75" customHeight="1">
      <c r="BM24841" s="1025"/>
      <c r="BO24841" s="43"/>
    </row>
    <row r="24842" spans="65:67" ht="18.75" customHeight="1">
      <c r="BM24842" s="1025"/>
      <c r="BO24842" s="43"/>
    </row>
    <row r="24843" spans="65:67" ht="18.75" customHeight="1">
      <c r="BM24843" s="1025"/>
      <c r="BO24843" s="43"/>
    </row>
    <row r="24844" spans="65:67" ht="18.75" customHeight="1">
      <c r="BM24844" s="1025"/>
      <c r="BO24844" s="43"/>
    </row>
    <row r="24845" spans="65:67" ht="18.75" customHeight="1">
      <c r="BM24845" s="1025"/>
      <c r="BO24845" s="43"/>
    </row>
    <row r="24846" spans="65:67" ht="18.75" customHeight="1">
      <c r="BM24846" s="1025"/>
      <c r="BO24846" s="43"/>
    </row>
    <row r="24847" spans="65:67" ht="18.75" customHeight="1">
      <c r="BM24847" s="1025"/>
      <c r="BO24847" s="43"/>
    </row>
    <row r="24848" spans="65:67" ht="18.75" customHeight="1">
      <c r="BM24848" s="1025"/>
      <c r="BO24848" s="43"/>
    </row>
    <row r="24849" spans="65:67" ht="18.75" customHeight="1">
      <c r="BM24849" s="1025"/>
      <c r="BO24849" s="43"/>
    </row>
    <row r="24850" spans="65:67" ht="18.75" customHeight="1">
      <c r="BM24850" s="1025"/>
      <c r="BO24850" s="43"/>
    </row>
    <row r="24851" spans="65:67" ht="18.75" customHeight="1">
      <c r="BM24851" s="1025"/>
      <c r="BO24851" s="43"/>
    </row>
    <row r="24852" spans="65:67" ht="18.75" customHeight="1">
      <c r="BM24852" s="1025"/>
      <c r="BO24852" s="43"/>
    </row>
    <row r="24853" spans="65:67" ht="18.75" customHeight="1">
      <c r="BM24853" s="1025"/>
      <c r="BO24853" s="43"/>
    </row>
    <row r="24854" spans="65:67" ht="18.75" customHeight="1">
      <c r="BM24854" s="1025"/>
      <c r="BO24854" s="43"/>
    </row>
    <row r="24855" spans="65:67" ht="18.75" customHeight="1">
      <c r="BM24855" s="1025"/>
      <c r="BO24855" s="43"/>
    </row>
    <row r="24856" spans="65:67" ht="18.75" customHeight="1">
      <c r="BM24856" s="1025"/>
      <c r="BO24856" s="43"/>
    </row>
    <row r="24857" spans="65:67" ht="18.75" customHeight="1">
      <c r="BM24857" s="1025"/>
      <c r="BO24857" s="43"/>
    </row>
    <row r="24858" spans="65:67" ht="18.75" customHeight="1">
      <c r="BM24858" s="1025"/>
      <c r="BO24858" s="43"/>
    </row>
    <row r="24859" spans="65:67" ht="18.75" customHeight="1">
      <c r="BM24859" s="1025"/>
      <c r="BO24859" s="43"/>
    </row>
    <row r="24860" spans="65:67" ht="18.75" customHeight="1">
      <c r="BM24860" s="1025"/>
      <c r="BO24860" s="43"/>
    </row>
    <row r="24861" spans="65:67" ht="18.75" customHeight="1">
      <c r="BM24861" s="1025"/>
      <c r="BO24861" s="43"/>
    </row>
    <row r="24862" spans="65:67" ht="18.75" customHeight="1">
      <c r="BM24862" s="1025"/>
      <c r="BO24862" s="43"/>
    </row>
    <row r="24863" spans="65:67" ht="18.75" customHeight="1">
      <c r="BM24863" s="1025"/>
      <c r="BO24863" s="43"/>
    </row>
    <row r="24864" spans="65:67" ht="18.75" customHeight="1">
      <c r="BM24864" s="1025"/>
      <c r="BO24864" s="43"/>
    </row>
    <row r="24865" spans="65:67" ht="18.75" customHeight="1">
      <c r="BM24865" s="1025"/>
      <c r="BO24865" s="43"/>
    </row>
    <row r="24866" spans="65:67" ht="18.75" customHeight="1">
      <c r="BM24866" s="1025"/>
      <c r="BO24866" s="43"/>
    </row>
    <row r="24867" spans="65:67" ht="18.75" customHeight="1">
      <c r="BM24867" s="1025"/>
      <c r="BO24867" s="43"/>
    </row>
    <row r="24868" spans="65:67" ht="18.75" customHeight="1">
      <c r="BM24868" s="1025"/>
      <c r="BO24868" s="43"/>
    </row>
    <row r="24869" spans="65:67" ht="18.75" customHeight="1">
      <c r="BM24869" s="1025"/>
      <c r="BO24869" s="43"/>
    </row>
    <row r="24870" spans="65:67" ht="18.75" customHeight="1">
      <c r="BM24870" s="1025"/>
      <c r="BO24870" s="43"/>
    </row>
    <row r="24871" spans="65:67" ht="18.75" customHeight="1">
      <c r="BM24871" s="1025"/>
      <c r="BO24871" s="43"/>
    </row>
    <row r="24872" spans="65:67" ht="18.75" customHeight="1">
      <c r="BM24872" s="1025"/>
      <c r="BO24872" s="43"/>
    </row>
    <row r="24873" spans="65:67" ht="18.75" customHeight="1">
      <c r="BM24873" s="1025"/>
      <c r="BO24873" s="43"/>
    </row>
    <row r="24874" spans="65:67" ht="18.75" customHeight="1">
      <c r="BM24874" s="1025"/>
      <c r="BO24874" s="43"/>
    </row>
    <row r="24875" spans="65:67" ht="18.75" customHeight="1">
      <c r="BM24875" s="1025"/>
      <c r="BO24875" s="43"/>
    </row>
    <row r="24876" spans="65:67" ht="18.75" customHeight="1">
      <c r="BM24876" s="1025"/>
      <c r="BO24876" s="43"/>
    </row>
    <row r="24877" spans="65:67" ht="18.75" customHeight="1">
      <c r="BM24877" s="1025"/>
      <c r="BO24877" s="43"/>
    </row>
    <row r="24878" spans="65:67" ht="18.75" customHeight="1">
      <c r="BM24878" s="1025"/>
      <c r="BO24878" s="43"/>
    </row>
    <row r="24879" spans="65:67" ht="18.75" customHeight="1">
      <c r="BM24879" s="1025"/>
      <c r="BO24879" s="43"/>
    </row>
    <row r="24880" spans="65:67" ht="18.75" customHeight="1">
      <c r="BM24880" s="1025"/>
      <c r="BO24880" s="43"/>
    </row>
    <row r="24881" spans="65:67" ht="18.75" customHeight="1">
      <c r="BM24881" s="1025"/>
      <c r="BO24881" s="43"/>
    </row>
    <row r="24882" spans="65:67" ht="18.75" customHeight="1">
      <c r="BM24882" s="1025"/>
      <c r="BO24882" s="43"/>
    </row>
    <row r="24883" spans="65:67" ht="18.75" customHeight="1">
      <c r="BM24883" s="1025"/>
      <c r="BO24883" s="43"/>
    </row>
    <row r="24884" spans="65:67" ht="18.75" customHeight="1">
      <c r="BM24884" s="1025"/>
      <c r="BO24884" s="43"/>
    </row>
    <row r="24885" spans="65:67" ht="18.75" customHeight="1">
      <c r="BM24885" s="1025"/>
      <c r="BO24885" s="43"/>
    </row>
    <row r="24886" spans="65:67" ht="18.75" customHeight="1">
      <c r="BM24886" s="1025"/>
      <c r="BO24886" s="43"/>
    </row>
    <row r="24887" spans="65:67" ht="18.75" customHeight="1">
      <c r="BM24887" s="1025"/>
      <c r="BO24887" s="43"/>
    </row>
    <row r="24888" spans="65:67" ht="18.75" customHeight="1">
      <c r="BM24888" s="1025"/>
      <c r="BO24888" s="43"/>
    </row>
    <row r="24889" spans="65:67" ht="18.75" customHeight="1">
      <c r="BM24889" s="1025"/>
      <c r="BO24889" s="43"/>
    </row>
    <row r="24890" spans="65:67" ht="18.75" customHeight="1">
      <c r="BM24890" s="1025"/>
      <c r="BO24890" s="43"/>
    </row>
    <row r="24891" spans="65:67" ht="18.75" customHeight="1">
      <c r="BM24891" s="1025"/>
      <c r="BO24891" s="43"/>
    </row>
    <row r="24892" spans="65:67" ht="18.75" customHeight="1">
      <c r="BM24892" s="1025"/>
      <c r="BO24892" s="43"/>
    </row>
    <row r="24893" spans="65:67" ht="18.75" customHeight="1">
      <c r="BM24893" s="1025"/>
      <c r="BO24893" s="43"/>
    </row>
    <row r="24894" spans="65:67" ht="18.75" customHeight="1">
      <c r="BM24894" s="1025"/>
      <c r="BO24894" s="43"/>
    </row>
    <row r="24895" spans="65:67" ht="18.75" customHeight="1">
      <c r="BM24895" s="1025"/>
      <c r="BO24895" s="43"/>
    </row>
    <row r="24896" spans="65:67" ht="18.75" customHeight="1">
      <c r="BM24896" s="1025"/>
      <c r="BO24896" s="43"/>
    </row>
    <row r="24897" spans="65:67" ht="18.75" customHeight="1">
      <c r="BM24897" s="1025"/>
      <c r="BO24897" s="43"/>
    </row>
    <row r="24898" spans="65:67" ht="18.75" customHeight="1">
      <c r="BM24898" s="1025"/>
      <c r="BO24898" s="43"/>
    </row>
    <row r="24899" spans="65:67" ht="18.75" customHeight="1">
      <c r="BM24899" s="1025"/>
      <c r="BO24899" s="43"/>
    </row>
    <row r="24900" spans="65:67" ht="18.75" customHeight="1">
      <c r="BM24900" s="1025"/>
      <c r="BO24900" s="43"/>
    </row>
    <row r="24901" spans="65:67" ht="18.75" customHeight="1">
      <c r="BM24901" s="1025"/>
      <c r="BO24901" s="43"/>
    </row>
    <row r="24902" spans="65:67" ht="18.75" customHeight="1">
      <c r="BM24902" s="1025"/>
      <c r="BO24902" s="43"/>
    </row>
    <row r="24903" spans="65:67" ht="18.75" customHeight="1">
      <c r="BM24903" s="1025"/>
      <c r="BO24903" s="43"/>
    </row>
    <row r="24904" spans="65:67" ht="18.75" customHeight="1">
      <c r="BM24904" s="1025"/>
      <c r="BO24904" s="43"/>
    </row>
    <row r="24905" spans="65:67" ht="18.75" customHeight="1">
      <c r="BM24905" s="1025"/>
      <c r="BO24905" s="43"/>
    </row>
    <row r="24906" spans="65:67" ht="18.75" customHeight="1">
      <c r="BM24906" s="1025"/>
      <c r="BO24906" s="43"/>
    </row>
    <row r="24907" spans="65:67" ht="18.75" customHeight="1">
      <c r="BM24907" s="1025"/>
      <c r="BO24907" s="43"/>
    </row>
    <row r="24908" spans="65:67" ht="18.75" customHeight="1">
      <c r="BM24908" s="1025"/>
      <c r="BO24908" s="43"/>
    </row>
    <row r="24909" spans="65:67" ht="18.75" customHeight="1">
      <c r="BM24909" s="1025"/>
      <c r="BO24909" s="43"/>
    </row>
    <row r="24910" spans="65:67" ht="18.75" customHeight="1">
      <c r="BM24910" s="1025"/>
      <c r="BO24910" s="43"/>
    </row>
    <row r="24911" spans="65:67" ht="18.75" customHeight="1">
      <c r="BM24911" s="1025"/>
      <c r="BO24911" s="43"/>
    </row>
    <row r="24912" spans="65:67" ht="18.75" customHeight="1">
      <c r="BM24912" s="1025"/>
      <c r="BO24912" s="43"/>
    </row>
    <row r="24913" spans="65:67" ht="18.75" customHeight="1">
      <c r="BM24913" s="1025"/>
      <c r="BO24913" s="43"/>
    </row>
    <row r="24914" spans="65:67" ht="18.75" customHeight="1">
      <c r="BM24914" s="1025"/>
      <c r="BO24914" s="43"/>
    </row>
    <row r="24915" spans="65:67" ht="18.75" customHeight="1">
      <c r="BM24915" s="1025"/>
      <c r="BO24915" s="43"/>
    </row>
    <row r="24916" spans="65:67" ht="18.75" customHeight="1">
      <c r="BM24916" s="1025"/>
      <c r="BO24916" s="43"/>
    </row>
    <row r="24917" spans="65:67" ht="18.75" customHeight="1">
      <c r="BM24917" s="1025"/>
      <c r="BO24917" s="43"/>
    </row>
    <row r="24918" spans="65:67" ht="18.75" customHeight="1">
      <c r="BM24918" s="1025"/>
      <c r="BO24918" s="43"/>
    </row>
    <row r="24919" spans="65:67" ht="18.75" customHeight="1">
      <c r="BM24919" s="1025"/>
      <c r="BO24919" s="43"/>
    </row>
    <row r="24920" spans="65:67" ht="18.75" customHeight="1">
      <c r="BM24920" s="1025"/>
      <c r="BO24920" s="43"/>
    </row>
    <row r="24921" spans="65:67" ht="18.75" customHeight="1">
      <c r="BM24921" s="1025"/>
      <c r="BO24921" s="43"/>
    </row>
    <row r="24922" spans="65:67" ht="18.75" customHeight="1">
      <c r="BM24922" s="1025"/>
      <c r="BO24922" s="43"/>
    </row>
    <row r="24923" spans="65:67" ht="18.75" customHeight="1">
      <c r="BM24923" s="1025"/>
      <c r="BO24923" s="43"/>
    </row>
    <row r="24924" spans="65:67" ht="18.75" customHeight="1">
      <c r="BM24924" s="1025"/>
      <c r="BO24924" s="43"/>
    </row>
    <row r="24925" spans="65:67" ht="18.75" customHeight="1">
      <c r="BM24925" s="1025"/>
      <c r="BO24925" s="43"/>
    </row>
    <row r="24926" spans="65:67" ht="18.75" customHeight="1">
      <c r="BM24926" s="1025"/>
      <c r="BO24926" s="43"/>
    </row>
    <row r="24927" spans="65:67" ht="18.75" customHeight="1">
      <c r="BM24927" s="1025"/>
      <c r="BO24927" s="43"/>
    </row>
    <row r="24928" spans="65:67" ht="18.75" customHeight="1">
      <c r="BM24928" s="1025"/>
      <c r="BO24928" s="43"/>
    </row>
    <row r="24929" spans="65:67" ht="18.75" customHeight="1">
      <c r="BM24929" s="1025"/>
      <c r="BO24929" s="43"/>
    </row>
    <row r="24930" spans="65:67" ht="18.75" customHeight="1">
      <c r="BM24930" s="1025"/>
      <c r="BO24930" s="43"/>
    </row>
    <row r="24931" spans="65:67" ht="18.75" customHeight="1">
      <c r="BM24931" s="1025"/>
      <c r="BO24931" s="43"/>
    </row>
    <row r="24932" spans="65:67" ht="18.75" customHeight="1">
      <c r="BM24932" s="1025"/>
      <c r="BO24932" s="43"/>
    </row>
    <row r="24933" spans="65:67" ht="18.75" customHeight="1">
      <c r="BM24933" s="1025"/>
      <c r="BO24933" s="43"/>
    </row>
    <row r="24934" spans="65:67" ht="18.75" customHeight="1">
      <c r="BM24934" s="1025"/>
      <c r="BO24934" s="43"/>
    </row>
    <row r="24935" spans="65:67" ht="18.75" customHeight="1">
      <c r="BM24935" s="1025"/>
      <c r="BO24935" s="43"/>
    </row>
    <row r="24936" spans="65:67" ht="18.75" customHeight="1">
      <c r="BM24936" s="1025"/>
      <c r="BO24936" s="43"/>
    </row>
    <row r="24937" spans="65:67" ht="18.75" customHeight="1">
      <c r="BM24937" s="1025"/>
      <c r="BO24937" s="43"/>
    </row>
    <row r="24938" spans="65:67" ht="18.75" customHeight="1">
      <c r="BM24938" s="1025"/>
      <c r="BO24938" s="43"/>
    </row>
    <row r="24939" spans="65:67" ht="18.75" customHeight="1">
      <c r="BM24939" s="1025"/>
      <c r="BO24939" s="43"/>
    </row>
    <row r="24940" spans="65:67" ht="18.75" customHeight="1">
      <c r="BM24940" s="1025"/>
      <c r="BO24940" s="43"/>
    </row>
    <row r="24941" spans="65:67" ht="18.75" customHeight="1">
      <c r="BM24941" s="1025"/>
      <c r="BO24941" s="43"/>
    </row>
    <row r="24942" spans="65:67" ht="18.75" customHeight="1">
      <c r="BM24942" s="1025"/>
      <c r="BO24942" s="43"/>
    </row>
    <row r="24943" spans="65:67" ht="18.75" customHeight="1">
      <c r="BM24943" s="1025"/>
      <c r="BO24943" s="43"/>
    </row>
    <row r="24944" spans="65:67" ht="18.75" customHeight="1">
      <c r="BM24944" s="1025"/>
      <c r="BO24944" s="43"/>
    </row>
    <row r="24945" spans="65:67" ht="18.75" customHeight="1">
      <c r="BM24945" s="1025"/>
      <c r="BO24945" s="43"/>
    </row>
    <row r="24946" spans="65:67" ht="18.75" customHeight="1">
      <c r="BM24946" s="1025"/>
      <c r="BO24946" s="43"/>
    </row>
    <row r="24947" spans="65:67" ht="18.75" customHeight="1">
      <c r="BM24947" s="1025"/>
      <c r="BO24947" s="43"/>
    </row>
    <row r="24948" spans="65:67" ht="18.75" customHeight="1">
      <c r="BM24948" s="1025"/>
      <c r="BO24948" s="43"/>
    </row>
    <row r="24949" spans="65:67" ht="18.75" customHeight="1">
      <c r="BM24949" s="1025"/>
      <c r="BO24949" s="43"/>
    </row>
    <row r="24950" spans="65:67" ht="18.75" customHeight="1">
      <c r="BM24950" s="1025"/>
      <c r="BO24950" s="43"/>
    </row>
    <row r="24951" spans="65:67" ht="18.75" customHeight="1">
      <c r="BM24951" s="1025"/>
      <c r="BO24951" s="43"/>
    </row>
    <row r="24952" spans="65:67" ht="18.75" customHeight="1">
      <c r="BM24952" s="1025"/>
      <c r="BO24952" s="43"/>
    </row>
    <row r="24953" spans="65:67" ht="18.75" customHeight="1">
      <c r="BM24953" s="1025"/>
      <c r="BO24953" s="43"/>
    </row>
    <row r="24954" spans="65:67" ht="18.75" customHeight="1">
      <c r="BM24954" s="1025"/>
      <c r="BO24954" s="43"/>
    </row>
    <row r="24955" spans="65:67" ht="18.75" customHeight="1">
      <c r="BM24955" s="1025"/>
      <c r="BO24955" s="43"/>
    </row>
    <row r="24956" spans="65:67" ht="18.75" customHeight="1">
      <c r="BM24956" s="1025"/>
      <c r="BO24956" s="43"/>
    </row>
    <row r="24957" spans="65:67" ht="18.75" customHeight="1">
      <c r="BM24957" s="1025"/>
      <c r="BO24957" s="43"/>
    </row>
    <row r="24958" spans="65:67" ht="18.75" customHeight="1">
      <c r="BM24958" s="1025"/>
      <c r="BO24958" s="43"/>
    </row>
    <row r="24959" spans="65:67" ht="18.75" customHeight="1">
      <c r="BM24959" s="1025"/>
      <c r="BO24959" s="43"/>
    </row>
    <row r="24960" spans="65:67" ht="18.75" customHeight="1">
      <c r="BM24960" s="1025"/>
      <c r="BO24960" s="43"/>
    </row>
    <row r="24961" spans="65:67" ht="18.75" customHeight="1">
      <c r="BM24961" s="1025"/>
      <c r="BO24961" s="43"/>
    </row>
    <row r="24962" spans="65:67" ht="18.75" customHeight="1">
      <c r="BM24962" s="1025"/>
      <c r="BO24962" s="43"/>
    </row>
    <row r="24963" spans="65:67" ht="18.75" customHeight="1">
      <c r="BM24963" s="1025"/>
      <c r="BO24963" s="43"/>
    </row>
    <row r="24964" spans="65:67" ht="18.75" customHeight="1">
      <c r="BM24964" s="1025"/>
      <c r="BO24964" s="43"/>
    </row>
    <row r="24965" spans="65:67" ht="18.75" customHeight="1">
      <c r="BM24965" s="1025"/>
      <c r="BO24965" s="43"/>
    </row>
    <row r="24966" spans="65:67" ht="18.75" customHeight="1">
      <c r="BM24966" s="1025"/>
      <c r="BO24966" s="43"/>
    </row>
    <row r="24967" spans="65:67" ht="18.75" customHeight="1">
      <c r="BM24967" s="1025"/>
      <c r="BO24967" s="43"/>
    </row>
    <row r="24968" spans="65:67" ht="18.75" customHeight="1">
      <c r="BM24968" s="1025"/>
      <c r="BO24968" s="43"/>
    </row>
    <row r="24969" spans="65:67" ht="18.75" customHeight="1">
      <c r="BM24969" s="1025"/>
      <c r="BO24969" s="43"/>
    </row>
    <row r="24970" spans="65:67" ht="18.75" customHeight="1">
      <c r="BM24970" s="1025"/>
      <c r="BO24970" s="43"/>
    </row>
    <row r="24971" spans="65:67" ht="18.75" customHeight="1">
      <c r="BM24971" s="1025"/>
      <c r="BO24971" s="43"/>
    </row>
    <row r="24972" spans="65:67" ht="18.75" customHeight="1">
      <c r="BM24972" s="1025"/>
      <c r="BO24972" s="43"/>
    </row>
    <row r="24973" spans="65:67" ht="18.75" customHeight="1">
      <c r="BM24973" s="1025"/>
      <c r="BO24973" s="43"/>
    </row>
    <row r="24974" spans="65:67" ht="18.75" customHeight="1">
      <c r="BM24974" s="1025"/>
      <c r="BO24974" s="43"/>
    </row>
    <row r="24975" spans="65:67" ht="18.75" customHeight="1">
      <c r="BM24975" s="1025"/>
      <c r="BO24975" s="43"/>
    </row>
    <row r="24976" spans="65:67" ht="18.75" customHeight="1">
      <c r="BM24976" s="1025"/>
      <c r="BO24976" s="43"/>
    </row>
    <row r="24977" spans="65:67" ht="18.75" customHeight="1">
      <c r="BM24977" s="1025"/>
      <c r="BO24977" s="43"/>
    </row>
    <row r="24978" spans="65:67" ht="18.75" customHeight="1">
      <c r="BM24978" s="1025"/>
      <c r="BO24978" s="43"/>
    </row>
    <row r="24979" spans="65:67" ht="18.75" customHeight="1">
      <c r="BM24979" s="1025"/>
      <c r="BO24979" s="43"/>
    </row>
    <row r="24980" spans="65:67" ht="18.75" customHeight="1">
      <c r="BM24980" s="1025"/>
      <c r="BO24980" s="43"/>
    </row>
    <row r="24981" spans="65:67" ht="18.75" customHeight="1">
      <c r="BM24981" s="1025"/>
      <c r="BO24981" s="43"/>
    </row>
    <row r="24982" spans="65:67" ht="18.75" customHeight="1">
      <c r="BM24982" s="1025"/>
      <c r="BO24982" s="43"/>
    </row>
    <row r="24983" spans="65:67" ht="18.75" customHeight="1">
      <c r="BM24983" s="1025"/>
      <c r="BO24983" s="43"/>
    </row>
    <row r="24984" spans="65:67" ht="18.75" customHeight="1">
      <c r="BM24984" s="1025"/>
      <c r="BO24984" s="43"/>
    </row>
    <row r="24985" spans="65:67" ht="18.75" customHeight="1">
      <c r="BM24985" s="1025"/>
      <c r="BO24985" s="43"/>
    </row>
    <row r="24986" spans="65:67" ht="18.75" customHeight="1">
      <c r="BM24986" s="1025"/>
      <c r="BO24986" s="43"/>
    </row>
    <row r="24987" spans="65:67" ht="18.75" customHeight="1">
      <c r="BM24987" s="1025"/>
      <c r="BO24987" s="43"/>
    </row>
    <row r="24988" spans="65:67" ht="18.75" customHeight="1">
      <c r="BM24988" s="1025"/>
      <c r="BO24988" s="43"/>
    </row>
    <row r="24989" spans="65:67" ht="18.75" customHeight="1">
      <c r="BM24989" s="1025"/>
      <c r="BO24989" s="43"/>
    </row>
    <row r="24990" spans="65:67" ht="18.75" customHeight="1">
      <c r="BM24990" s="1025"/>
      <c r="BO24990" s="43"/>
    </row>
    <row r="24991" spans="65:67" ht="18.75" customHeight="1">
      <c r="BM24991" s="1025"/>
      <c r="BO24991" s="43"/>
    </row>
    <row r="24992" spans="65:67" ht="18.75" customHeight="1">
      <c r="BM24992" s="1025"/>
      <c r="BO24992" s="43"/>
    </row>
    <row r="24993" spans="65:67" ht="18.75" customHeight="1">
      <c r="BM24993" s="1025"/>
      <c r="BO24993" s="43"/>
    </row>
    <row r="24994" spans="65:67" ht="18.75" customHeight="1">
      <c r="BM24994" s="1025"/>
      <c r="BO24994" s="43"/>
    </row>
    <row r="24995" spans="65:67" ht="18.75" customHeight="1">
      <c r="BM24995" s="1025"/>
      <c r="BO24995" s="43"/>
    </row>
    <row r="24996" spans="65:67" ht="18.75" customHeight="1">
      <c r="BM24996" s="1025"/>
      <c r="BO24996" s="43"/>
    </row>
    <row r="24997" spans="65:67" ht="18.75" customHeight="1">
      <c r="BM24997" s="1025"/>
      <c r="BO24997" s="43"/>
    </row>
    <row r="24998" spans="65:67" ht="18.75" customHeight="1">
      <c r="BM24998" s="1025"/>
      <c r="BO24998" s="43"/>
    </row>
    <row r="24999" spans="65:67" ht="18.75" customHeight="1">
      <c r="BM24999" s="1025"/>
      <c r="BO24999" s="43"/>
    </row>
    <row r="25000" spans="65:67" ht="18.75" customHeight="1">
      <c r="BM25000" s="1025"/>
      <c r="BO25000" s="43"/>
    </row>
    <row r="25001" spans="65:67" ht="18.75" customHeight="1">
      <c r="BM25001" s="1025"/>
      <c r="BO25001" s="43"/>
    </row>
    <row r="25002" spans="65:67" ht="18.75" customHeight="1">
      <c r="BM25002" s="1025"/>
      <c r="BO25002" s="43"/>
    </row>
    <row r="25003" spans="65:67" ht="18.75" customHeight="1">
      <c r="BM25003" s="1025"/>
      <c r="BO25003" s="43"/>
    </row>
    <row r="25004" spans="65:67" ht="18.75" customHeight="1">
      <c r="BM25004" s="1025"/>
      <c r="BO25004" s="43"/>
    </row>
    <row r="25005" spans="65:67" ht="18.75" customHeight="1">
      <c r="BM25005" s="1025"/>
      <c r="BO25005" s="43"/>
    </row>
    <row r="25006" spans="65:67" ht="18.75" customHeight="1">
      <c r="BM25006" s="1025"/>
      <c r="BO25006" s="43"/>
    </row>
    <row r="25007" spans="65:67" ht="18.75" customHeight="1">
      <c r="BM25007" s="1025"/>
      <c r="BO25007" s="43"/>
    </row>
    <row r="25008" spans="65:67" ht="18.75" customHeight="1">
      <c r="BM25008" s="1025"/>
      <c r="BO25008" s="43"/>
    </row>
    <row r="25009" spans="65:67" ht="18.75" customHeight="1">
      <c r="BM25009" s="1025"/>
      <c r="BO25009" s="43"/>
    </row>
    <row r="25010" spans="65:67" ht="18.75" customHeight="1">
      <c r="BM25010" s="1025"/>
      <c r="BO25010" s="43"/>
    </row>
    <row r="25011" spans="65:67" ht="18.75" customHeight="1">
      <c r="BM25011" s="1025"/>
      <c r="BO25011" s="43"/>
    </row>
    <row r="25012" spans="65:67" ht="18.75" customHeight="1">
      <c r="BM25012" s="1025"/>
      <c r="BO25012" s="43"/>
    </row>
    <row r="25013" spans="65:67" ht="18.75" customHeight="1">
      <c r="BM25013" s="1025"/>
      <c r="BO25013" s="43"/>
    </row>
    <row r="25014" spans="65:67" ht="18.75" customHeight="1">
      <c r="BM25014" s="1025"/>
      <c r="BO25014" s="43"/>
    </row>
    <row r="25015" spans="65:67" ht="18.75" customHeight="1">
      <c r="BM25015" s="1025"/>
      <c r="BO25015" s="43"/>
    </row>
    <row r="25016" spans="65:67" ht="18.75" customHeight="1">
      <c r="BM25016" s="1025"/>
      <c r="BO25016" s="43"/>
    </row>
    <row r="25017" spans="65:67" ht="18.75" customHeight="1">
      <c r="BM25017" s="1025"/>
      <c r="BO25017" s="43"/>
    </row>
    <row r="25018" spans="65:67" ht="18.75" customHeight="1">
      <c r="BM25018" s="1025"/>
      <c r="BO25018" s="43"/>
    </row>
    <row r="25019" spans="65:67" ht="18.75" customHeight="1">
      <c r="BM25019" s="1025"/>
      <c r="BO25019" s="43"/>
    </row>
    <row r="25020" spans="65:67" ht="18.75" customHeight="1">
      <c r="BM25020" s="1025"/>
      <c r="BO25020" s="43"/>
    </row>
    <row r="25021" spans="65:67" ht="18.75" customHeight="1">
      <c r="BM25021" s="1025"/>
      <c r="BO25021" s="43"/>
    </row>
    <row r="25022" spans="65:67" ht="18.75" customHeight="1">
      <c r="BM25022" s="1025"/>
      <c r="BO25022" s="43"/>
    </row>
    <row r="25023" spans="65:67" ht="18.75" customHeight="1">
      <c r="BM25023" s="1025"/>
      <c r="BO25023" s="43"/>
    </row>
    <row r="25024" spans="65:67" ht="18.75" customHeight="1">
      <c r="BM25024" s="1025"/>
      <c r="BO25024" s="43"/>
    </row>
    <row r="25025" spans="65:67" ht="18.75" customHeight="1">
      <c r="BM25025" s="1025"/>
      <c r="BO25025" s="43"/>
    </row>
    <row r="25026" spans="65:67" ht="18.75" customHeight="1">
      <c r="BM25026" s="1025"/>
      <c r="BO25026" s="43"/>
    </row>
    <row r="25027" spans="65:67" ht="18.75" customHeight="1">
      <c r="BM25027" s="1025"/>
      <c r="BO25027" s="43"/>
    </row>
    <row r="25028" spans="65:67" ht="18.75" customHeight="1">
      <c r="BM25028" s="1025"/>
      <c r="BO25028" s="43"/>
    </row>
    <row r="25029" spans="65:67" ht="18.75" customHeight="1">
      <c r="BM25029" s="1025"/>
      <c r="BO25029" s="43"/>
    </row>
    <row r="25030" spans="65:67" ht="18.75" customHeight="1">
      <c r="BM25030" s="1025"/>
      <c r="BO25030" s="43"/>
    </row>
    <row r="25031" spans="65:67" ht="18.75" customHeight="1">
      <c r="BM25031" s="1025"/>
      <c r="BO25031" s="43"/>
    </row>
    <row r="25032" spans="65:67" ht="18.75" customHeight="1">
      <c r="BM25032" s="1025"/>
      <c r="BO25032" s="43"/>
    </row>
    <row r="25033" spans="65:67" ht="18.75" customHeight="1">
      <c r="BM25033" s="1025"/>
      <c r="BO25033" s="43"/>
    </row>
    <row r="25034" spans="65:67" ht="18.75" customHeight="1">
      <c r="BM25034" s="1025"/>
      <c r="BO25034" s="43"/>
    </row>
    <row r="25035" spans="65:67" ht="18.75" customHeight="1">
      <c r="BM25035" s="1025"/>
      <c r="BO25035" s="43"/>
    </row>
    <row r="25036" spans="65:67" ht="18.75" customHeight="1">
      <c r="BM25036" s="1025"/>
      <c r="BO25036" s="43"/>
    </row>
    <row r="25037" spans="65:67" ht="18.75" customHeight="1">
      <c r="BM25037" s="1025"/>
      <c r="BO25037" s="43"/>
    </row>
    <row r="25038" spans="65:67" ht="18.75" customHeight="1">
      <c r="BM25038" s="1025"/>
      <c r="BO25038" s="43"/>
    </row>
    <row r="25039" spans="65:67" ht="18.75" customHeight="1">
      <c r="BM25039" s="1025"/>
      <c r="BO25039" s="43"/>
    </row>
    <row r="25040" spans="65:67" ht="18.75" customHeight="1">
      <c r="BM25040" s="1025"/>
      <c r="BO25040" s="43"/>
    </row>
    <row r="25041" spans="65:67" ht="18.75" customHeight="1">
      <c r="BM25041" s="1025"/>
      <c r="BO25041" s="43"/>
    </row>
    <row r="25042" spans="65:67" ht="18.75" customHeight="1">
      <c r="BM25042" s="1025"/>
      <c r="BO25042" s="43"/>
    </row>
    <row r="25043" spans="65:67" ht="18.75" customHeight="1">
      <c r="BM25043" s="1025"/>
      <c r="BO25043" s="43"/>
    </row>
    <row r="25044" spans="65:67" ht="18.75" customHeight="1">
      <c r="BM25044" s="1025"/>
      <c r="BO25044" s="43"/>
    </row>
    <row r="25045" spans="65:67" ht="18.75" customHeight="1">
      <c r="BM25045" s="1025"/>
      <c r="BO25045" s="43"/>
    </row>
    <row r="25046" spans="65:67" ht="18.75" customHeight="1">
      <c r="BM25046" s="1025"/>
      <c r="BO25046" s="43"/>
    </row>
    <row r="25047" spans="65:67" ht="18.75" customHeight="1">
      <c r="BM25047" s="1025"/>
      <c r="BO25047" s="43"/>
    </row>
    <row r="25048" spans="65:67" ht="18.75" customHeight="1">
      <c r="BM25048" s="1025"/>
      <c r="BO25048" s="43"/>
    </row>
    <row r="25049" spans="65:67" ht="18.75" customHeight="1">
      <c r="BM25049" s="1025"/>
      <c r="BO25049" s="43"/>
    </row>
    <row r="25050" spans="65:67" ht="18.75" customHeight="1">
      <c r="BM25050" s="1025"/>
      <c r="BO25050" s="43"/>
    </row>
    <row r="25051" spans="65:67" ht="18.75" customHeight="1">
      <c r="BM25051" s="1025"/>
      <c r="BO25051" s="43"/>
    </row>
    <row r="25052" spans="65:67" ht="18.75" customHeight="1">
      <c r="BM25052" s="1025"/>
      <c r="BO25052" s="43"/>
    </row>
    <row r="25053" spans="65:67" ht="18.75" customHeight="1">
      <c r="BM25053" s="1025"/>
      <c r="BO25053" s="43"/>
    </row>
    <row r="25054" spans="65:67" ht="18.75" customHeight="1">
      <c r="BM25054" s="1025"/>
      <c r="BO25054" s="43"/>
    </row>
    <row r="25055" spans="65:67" ht="18.75" customHeight="1">
      <c r="BM25055" s="1025"/>
      <c r="BO25055" s="43"/>
    </row>
    <row r="25056" spans="65:67" ht="18.75" customHeight="1">
      <c r="BM25056" s="1025"/>
      <c r="BO25056" s="43"/>
    </row>
    <row r="25057" spans="65:67" ht="18.75" customHeight="1">
      <c r="BM25057" s="1025"/>
      <c r="BO25057" s="43"/>
    </row>
    <row r="25058" spans="65:67" ht="18.75" customHeight="1">
      <c r="BM25058" s="1025"/>
      <c r="BO25058" s="43"/>
    </row>
    <row r="25059" spans="65:67" ht="18.75" customHeight="1">
      <c r="BM25059" s="1025"/>
      <c r="BO25059" s="43"/>
    </row>
    <row r="25060" spans="65:67" ht="18.75" customHeight="1">
      <c r="BM25060" s="1025"/>
      <c r="BO25060" s="43"/>
    </row>
    <row r="25061" spans="65:67" ht="18.75" customHeight="1">
      <c r="BM25061" s="1025"/>
      <c r="BO25061" s="43"/>
    </row>
    <row r="25062" spans="65:67" ht="18.75" customHeight="1">
      <c r="BM25062" s="1025"/>
      <c r="BO25062" s="43"/>
    </row>
    <row r="25063" spans="65:67" ht="18.75" customHeight="1">
      <c r="BM25063" s="1025"/>
      <c r="BO25063" s="43"/>
    </row>
    <row r="25064" spans="65:67" ht="18.75" customHeight="1">
      <c r="BM25064" s="1025"/>
      <c r="BO25064" s="43"/>
    </row>
    <row r="25065" spans="65:67" ht="18.75" customHeight="1">
      <c r="BM25065" s="1025"/>
      <c r="BO25065" s="43"/>
    </row>
    <row r="25066" spans="65:67" ht="18.75" customHeight="1">
      <c r="BM25066" s="1025"/>
      <c r="BO25066" s="43"/>
    </row>
    <row r="25067" spans="65:67" ht="18.75" customHeight="1">
      <c r="BM25067" s="1025"/>
      <c r="BO25067" s="43"/>
    </row>
    <row r="25068" spans="65:67" ht="18.75" customHeight="1">
      <c r="BM25068" s="1025"/>
      <c r="BO25068" s="43"/>
    </row>
    <row r="25069" spans="65:67" ht="18.75" customHeight="1">
      <c r="BM25069" s="1025"/>
      <c r="BO25069" s="43"/>
    </row>
    <row r="25070" spans="65:67" ht="18.75" customHeight="1">
      <c r="BM25070" s="1025"/>
      <c r="BO25070" s="43"/>
    </row>
    <row r="25071" spans="65:67" ht="18.75" customHeight="1">
      <c r="BM25071" s="1025"/>
      <c r="BO25071" s="43"/>
    </row>
    <row r="25072" spans="65:67" ht="18.75" customHeight="1">
      <c r="BM25072" s="1025"/>
      <c r="BO25072" s="43"/>
    </row>
    <row r="25073" spans="65:67" ht="18.75" customHeight="1">
      <c r="BM25073" s="1025"/>
      <c r="BO25073" s="43"/>
    </row>
    <row r="25074" spans="65:67" ht="18.75" customHeight="1">
      <c r="BM25074" s="1025"/>
      <c r="BO25074" s="43"/>
    </row>
    <row r="25075" spans="65:67" ht="18.75" customHeight="1">
      <c r="BM25075" s="1025"/>
      <c r="BO25075" s="43"/>
    </row>
    <row r="25076" spans="65:67" ht="18.75" customHeight="1">
      <c r="BM25076" s="1025"/>
      <c r="BO25076" s="43"/>
    </row>
    <row r="25077" spans="65:67" ht="18.75" customHeight="1">
      <c r="BM25077" s="1025"/>
      <c r="BO25077" s="43"/>
    </row>
    <row r="25078" spans="65:67" ht="18.75" customHeight="1">
      <c r="BM25078" s="1025"/>
      <c r="BO25078" s="43"/>
    </row>
    <row r="25079" spans="65:67" ht="18.75" customHeight="1">
      <c r="BM25079" s="1025"/>
      <c r="BO25079" s="43"/>
    </row>
    <row r="25080" spans="65:67" ht="18.75" customHeight="1">
      <c r="BM25080" s="1025"/>
      <c r="BO25080" s="43"/>
    </row>
    <row r="25081" spans="65:67" ht="18.75" customHeight="1">
      <c r="BM25081" s="1025"/>
      <c r="BO25081" s="43"/>
    </row>
    <row r="25082" spans="65:67" ht="18.75" customHeight="1">
      <c r="BM25082" s="1025"/>
      <c r="BO25082" s="43"/>
    </row>
    <row r="25083" spans="65:67" ht="18.75" customHeight="1">
      <c r="BM25083" s="1025"/>
      <c r="BO25083" s="43"/>
    </row>
    <row r="25084" spans="65:67" ht="18.75" customHeight="1">
      <c r="BM25084" s="1025"/>
      <c r="BO25084" s="43"/>
    </row>
    <row r="25085" spans="65:67" ht="18.75" customHeight="1">
      <c r="BM25085" s="1025"/>
      <c r="BO25085" s="43"/>
    </row>
    <row r="25086" spans="65:67" ht="18.75" customHeight="1">
      <c r="BM25086" s="1025"/>
      <c r="BO25086" s="43"/>
    </row>
    <row r="25087" spans="65:67" ht="18.75" customHeight="1">
      <c r="BM25087" s="1025"/>
      <c r="BO25087" s="43"/>
    </row>
    <row r="25088" spans="65:67" ht="18.75" customHeight="1">
      <c r="BM25088" s="1025"/>
      <c r="BO25088" s="43"/>
    </row>
    <row r="25089" spans="65:67" ht="18.75" customHeight="1">
      <c r="BM25089" s="1025"/>
      <c r="BO25089" s="43"/>
    </row>
    <row r="25090" spans="65:67" ht="18.75" customHeight="1">
      <c r="BM25090" s="1025"/>
      <c r="BO25090" s="43"/>
    </row>
    <row r="25091" spans="65:67" ht="18.75" customHeight="1">
      <c r="BM25091" s="1025"/>
      <c r="BO25091" s="43"/>
    </row>
    <row r="25092" spans="65:67" ht="18.75" customHeight="1">
      <c r="BM25092" s="1025"/>
      <c r="BO25092" s="43"/>
    </row>
    <row r="25093" spans="65:67" ht="18.75" customHeight="1">
      <c r="BM25093" s="1025"/>
      <c r="BO25093" s="43"/>
    </row>
    <row r="25094" spans="65:67" ht="18.75" customHeight="1">
      <c r="BM25094" s="1025"/>
      <c r="BO25094" s="43"/>
    </row>
    <row r="25095" spans="65:67" ht="18.75" customHeight="1">
      <c r="BM25095" s="1025"/>
      <c r="BO25095" s="43"/>
    </row>
    <row r="25096" spans="65:67" ht="18.75" customHeight="1">
      <c r="BM25096" s="1025"/>
      <c r="BO25096" s="43"/>
    </row>
    <row r="25097" spans="65:67" ht="18.75" customHeight="1">
      <c r="BM25097" s="1025"/>
      <c r="BO25097" s="43"/>
    </row>
    <row r="25098" spans="65:67" ht="18.75" customHeight="1">
      <c r="BM25098" s="1025"/>
      <c r="BO25098" s="43"/>
    </row>
    <row r="25099" spans="65:67" ht="18.75" customHeight="1">
      <c r="BM25099" s="1025"/>
      <c r="BO25099" s="43"/>
    </row>
    <row r="25100" spans="65:67" ht="18.75" customHeight="1">
      <c r="BM25100" s="1025"/>
      <c r="BO25100" s="43"/>
    </row>
    <row r="25101" spans="65:67" ht="18.75" customHeight="1">
      <c r="BM25101" s="1025"/>
      <c r="BO25101" s="43"/>
    </row>
    <row r="25102" spans="65:67" ht="18.75" customHeight="1">
      <c r="BM25102" s="1025"/>
      <c r="BO25102" s="43"/>
    </row>
    <row r="25103" spans="65:67" ht="18.75" customHeight="1">
      <c r="BM25103" s="1025"/>
      <c r="BO25103" s="43"/>
    </row>
    <row r="25104" spans="65:67" ht="18.75" customHeight="1">
      <c r="BM25104" s="1025"/>
      <c r="BO25104" s="43"/>
    </row>
    <row r="25105" spans="65:67" ht="18.75" customHeight="1">
      <c r="BM25105" s="1025"/>
      <c r="BO25105" s="43"/>
    </row>
    <row r="25106" spans="65:67" ht="18.75" customHeight="1">
      <c r="BM25106" s="1025"/>
      <c r="BO25106" s="43"/>
    </row>
    <row r="25107" spans="65:67" ht="18.75" customHeight="1">
      <c r="BM25107" s="1025"/>
      <c r="BO25107" s="43"/>
    </row>
    <row r="25108" spans="65:67" ht="18.75" customHeight="1">
      <c r="BM25108" s="1025"/>
      <c r="BO25108" s="43"/>
    </row>
    <row r="25109" spans="65:67" ht="18.75" customHeight="1">
      <c r="BM25109" s="1025"/>
      <c r="BO25109" s="43"/>
    </row>
    <row r="25110" spans="65:67" ht="18.75" customHeight="1">
      <c r="BM25110" s="1025"/>
      <c r="BO25110" s="43"/>
    </row>
    <row r="25111" spans="65:67" ht="18.75" customHeight="1">
      <c r="BM25111" s="1025"/>
      <c r="BO25111" s="43"/>
    </row>
    <row r="25112" spans="65:67" ht="18.75" customHeight="1">
      <c r="BM25112" s="1025"/>
      <c r="BO25112" s="43"/>
    </row>
    <row r="25113" spans="65:67" ht="18.75" customHeight="1">
      <c r="BM25113" s="1025"/>
      <c r="BO25113" s="43"/>
    </row>
    <row r="25114" spans="65:67" ht="18.75" customHeight="1">
      <c r="BM25114" s="1025"/>
      <c r="BO25114" s="43"/>
    </row>
    <row r="25115" spans="65:67" ht="18.75" customHeight="1">
      <c r="BM25115" s="1025"/>
      <c r="BO25115" s="43"/>
    </row>
    <row r="25116" spans="65:67" ht="18.75" customHeight="1">
      <c r="BM25116" s="1025"/>
      <c r="BO25116" s="43"/>
    </row>
    <row r="25117" spans="65:67" ht="18.75" customHeight="1">
      <c r="BM25117" s="1025"/>
      <c r="BO25117" s="43"/>
    </row>
    <row r="25118" spans="65:67" ht="18.75" customHeight="1">
      <c r="BM25118" s="1025"/>
      <c r="BO25118" s="43"/>
    </row>
    <row r="25119" spans="65:67" ht="18.75" customHeight="1">
      <c r="BM25119" s="1025"/>
      <c r="BO25119" s="43"/>
    </row>
    <row r="25120" spans="65:67" ht="18.75" customHeight="1">
      <c r="BM25120" s="1025"/>
      <c r="BO25120" s="43"/>
    </row>
    <row r="25121" spans="65:67" ht="18.75" customHeight="1">
      <c r="BM25121" s="1025"/>
      <c r="BO25121" s="43"/>
    </row>
    <row r="25122" spans="65:67" ht="18.75" customHeight="1">
      <c r="BM25122" s="1025"/>
      <c r="BO25122" s="43"/>
    </row>
    <row r="25123" spans="65:67" ht="18.75" customHeight="1">
      <c r="BM25123" s="1025"/>
      <c r="BO25123" s="43"/>
    </row>
    <row r="25124" spans="65:67" ht="18.75" customHeight="1">
      <c r="BM25124" s="1025"/>
      <c r="BO25124" s="43"/>
    </row>
    <row r="25125" spans="65:67" ht="18.75" customHeight="1">
      <c r="BM25125" s="1025"/>
      <c r="BO25125" s="43"/>
    </row>
    <row r="25126" spans="65:67" ht="18.75" customHeight="1">
      <c r="BM25126" s="1025"/>
      <c r="BO25126" s="43"/>
    </row>
    <row r="25127" spans="65:67" ht="18.75" customHeight="1">
      <c r="BM25127" s="1025"/>
      <c r="BO25127" s="43"/>
    </row>
    <row r="25128" spans="65:67" ht="18.75" customHeight="1">
      <c r="BM25128" s="1025"/>
      <c r="BO25128" s="43"/>
    </row>
    <row r="25129" spans="65:67" ht="18.75" customHeight="1">
      <c r="BM25129" s="1025"/>
      <c r="BO25129" s="43"/>
    </row>
    <row r="25130" spans="65:67" ht="18.75" customHeight="1">
      <c r="BM25130" s="1025"/>
      <c r="BO25130" s="43"/>
    </row>
    <row r="25131" spans="65:67" ht="18.75" customHeight="1">
      <c r="BM25131" s="1025"/>
      <c r="BO25131" s="43"/>
    </row>
    <row r="25132" spans="65:67" ht="18.75" customHeight="1">
      <c r="BM25132" s="1025"/>
      <c r="BO25132" s="43"/>
    </row>
    <row r="25133" spans="65:67" ht="18.75" customHeight="1">
      <c r="BM25133" s="1025"/>
      <c r="BO25133" s="43"/>
    </row>
    <row r="25134" spans="65:67" ht="18.75" customHeight="1">
      <c r="BM25134" s="1025"/>
      <c r="BO25134" s="43"/>
    </row>
    <row r="25135" spans="65:67" ht="18.75" customHeight="1">
      <c r="BM25135" s="1025"/>
      <c r="BO25135" s="43"/>
    </row>
    <row r="25136" spans="65:67" ht="18.75" customHeight="1">
      <c r="BM25136" s="1025"/>
      <c r="BO25136" s="43"/>
    </row>
    <row r="25137" spans="65:67" ht="18.75" customHeight="1">
      <c r="BM25137" s="1025"/>
      <c r="BO25137" s="43"/>
    </row>
    <row r="25138" spans="65:67" ht="18.75" customHeight="1">
      <c r="BM25138" s="1025"/>
      <c r="BO25138" s="43"/>
    </row>
    <row r="25139" spans="65:67" ht="18.75" customHeight="1">
      <c r="BM25139" s="1025"/>
      <c r="BO25139" s="43"/>
    </row>
    <row r="25140" spans="65:67" ht="18.75" customHeight="1">
      <c r="BM25140" s="1025"/>
      <c r="BO25140" s="43"/>
    </row>
    <row r="25141" spans="65:67" ht="18.75" customHeight="1">
      <c r="BM25141" s="1025"/>
      <c r="BO25141" s="43"/>
    </row>
    <row r="25142" spans="65:67" ht="18.75" customHeight="1">
      <c r="BM25142" s="1025"/>
      <c r="BO25142" s="43"/>
    </row>
    <row r="25143" spans="65:67" ht="18.75" customHeight="1">
      <c r="BM25143" s="1025"/>
      <c r="BO25143" s="43"/>
    </row>
    <row r="25144" spans="65:67" ht="18.75" customHeight="1">
      <c r="BM25144" s="1025"/>
      <c r="BO25144" s="43"/>
    </row>
    <row r="25145" spans="65:67" ht="18.75" customHeight="1">
      <c r="BM25145" s="1025"/>
      <c r="BO25145" s="43"/>
    </row>
    <row r="25146" spans="65:67" ht="18.75" customHeight="1">
      <c r="BM25146" s="1025"/>
      <c r="BO25146" s="43"/>
    </row>
    <row r="25147" spans="65:67" ht="18.75" customHeight="1">
      <c r="BM25147" s="1025"/>
      <c r="BO25147" s="43"/>
    </row>
    <row r="25148" spans="65:67" ht="18.75" customHeight="1">
      <c r="BM25148" s="1025"/>
      <c r="BO25148" s="43"/>
    </row>
    <row r="25149" spans="65:67" ht="18.75" customHeight="1">
      <c r="BM25149" s="1025"/>
      <c r="BO25149" s="43"/>
    </row>
    <row r="25150" spans="65:67" ht="18.75" customHeight="1">
      <c r="BM25150" s="1025"/>
      <c r="BO25150" s="43"/>
    </row>
    <row r="25151" spans="65:67" ht="18.75" customHeight="1">
      <c r="BM25151" s="1025"/>
      <c r="BO25151" s="43"/>
    </row>
    <row r="25152" spans="65:67" ht="18.75" customHeight="1">
      <c r="BM25152" s="1025"/>
      <c r="BO25152" s="43"/>
    </row>
    <row r="25153" spans="65:67" ht="18.75" customHeight="1">
      <c r="BM25153" s="1025"/>
      <c r="BO25153" s="43"/>
    </row>
    <row r="25154" spans="65:67" ht="18.75" customHeight="1">
      <c r="BM25154" s="1025"/>
      <c r="BO25154" s="43"/>
    </row>
    <row r="25155" spans="65:67" ht="18.75" customHeight="1">
      <c r="BM25155" s="1025"/>
      <c r="BO25155" s="43"/>
    </row>
    <row r="25156" spans="65:67" ht="18.75" customHeight="1">
      <c r="BM25156" s="1025"/>
      <c r="BO25156" s="43"/>
    </row>
    <row r="25157" spans="65:67" ht="18.75" customHeight="1">
      <c r="BM25157" s="1025"/>
      <c r="BO25157" s="43"/>
    </row>
    <row r="25158" spans="65:67" ht="18.75" customHeight="1">
      <c r="BM25158" s="1025"/>
      <c r="BO25158" s="43"/>
    </row>
    <row r="25159" spans="65:67" ht="18.75" customHeight="1">
      <c r="BM25159" s="1025"/>
      <c r="BO25159" s="43"/>
    </row>
    <row r="25160" spans="65:67" ht="18.75" customHeight="1">
      <c r="BM25160" s="1025"/>
      <c r="BO25160" s="43"/>
    </row>
    <row r="25161" spans="65:67" ht="18.75" customHeight="1">
      <c r="BM25161" s="1025"/>
      <c r="BO25161" s="43"/>
    </row>
    <row r="25162" spans="65:67" ht="18.75" customHeight="1">
      <c r="BM25162" s="1025"/>
      <c r="BO25162" s="43"/>
    </row>
    <row r="25163" spans="65:67" ht="18.75" customHeight="1">
      <c r="BM25163" s="1025"/>
      <c r="BO25163" s="43"/>
    </row>
    <row r="25164" spans="65:67" ht="18.75" customHeight="1">
      <c r="BM25164" s="1025"/>
      <c r="BO25164" s="43"/>
    </row>
    <row r="25165" spans="65:67" ht="18.75" customHeight="1">
      <c r="BM25165" s="1025"/>
      <c r="BO25165" s="43"/>
    </row>
    <row r="25166" spans="65:67" ht="18.75" customHeight="1">
      <c r="BM25166" s="1025"/>
      <c r="BO25166" s="43"/>
    </row>
    <row r="25167" spans="65:67" ht="18.75" customHeight="1">
      <c r="BM25167" s="1025"/>
      <c r="BO25167" s="43"/>
    </row>
    <row r="25168" spans="65:67" ht="18.75" customHeight="1">
      <c r="BM25168" s="1025"/>
      <c r="BO25168" s="43"/>
    </row>
    <row r="25169" spans="65:67" ht="18.75" customHeight="1">
      <c r="BM25169" s="1025"/>
      <c r="BO25169" s="43"/>
    </row>
    <row r="25170" spans="65:67" ht="18.75" customHeight="1">
      <c r="BM25170" s="1025"/>
      <c r="BO25170" s="43"/>
    </row>
    <row r="25171" spans="65:67" ht="18.75" customHeight="1">
      <c r="BM25171" s="1025"/>
      <c r="BO25171" s="43"/>
    </row>
    <row r="25172" spans="65:67" ht="18.75" customHeight="1">
      <c r="BM25172" s="1025"/>
      <c r="BO25172" s="43"/>
    </row>
    <row r="25173" spans="65:67" ht="18.75" customHeight="1">
      <c r="BM25173" s="1025"/>
      <c r="BO25173" s="43"/>
    </row>
    <row r="25174" spans="65:67" ht="18.75" customHeight="1">
      <c r="BM25174" s="1025"/>
      <c r="BO25174" s="43"/>
    </row>
    <row r="25175" spans="65:67" ht="18.75" customHeight="1">
      <c r="BM25175" s="1025"/>
      <c r="BO25175" s="43"/>
    </row>
    <row r="25176" spans="65:67" ht="18.75" customHeight="1">
      <c r="BM25176" s="1025"/>
      <c r="BO25176" s="43"/>
    </row>
    <row r="25177" spans="65:67" ht="18.75" customHeight="1">
      <c r="BM25177" s="1025"/>
      <c r="BO25177" s="43"/>
    </row>
    <row r="25178" spans="65:67" ht="18.75" customHeight="1">
      <c r="BM25178" s="1025"/>
      <c r="BO25178" s="43"/>
    </row>
    <row r="25179" spans="65:67" ht="18.75" customHeight="1">
      <c r="BM25179" s="1025"/>
      <c r="BO25179" s="43"/>
    </row>
    <row r="25180" spans="65:67" ht="18.75" customHeight="1">
      <c r="BM25180" s="1025"/>
      <c r="BO25180" s="43"/>
    </row>
    <row r="25181" spans="65:67" ht="18.75" customHeight="1">
      <c r="BM25181" s="1025"/>
      <c r="BO25181" s="43"/>
    </row>
    <row r="25182" spans="65:67" ht="18.75" customHeight="1">
      <c r="BM25182" s="1025"/>
      <c r="BO25182" s="43"/>
    </row>
    <row r="25183" spans="65:67" ht="18.75" customHeight="1">
      <c r="BM25183" s="1025"/>
      <c r="BO25183" s="43"/>
    </row>
    <row r="25184" spans="65:67" ht="18.75" customHeight="1">
      <c r="BM25184" s="1025"/>
      <c r="BO25184" s="43"/>
    </row>
    <row r="25185" spans="65:67" ht="18.75" customHeight="1">
      <c r="BM25185" s="1025"/>
      <c r="BO25185" s="43"/>
    </row>
    <row r="25186" spans="65:67" ht="18.75" customHeight="1">
      <c r="BM25186" s="1025"/>
      <c r="BO25186" s="43"/>
    </row>
    <row r="25187" spans="65:67" ht="18.75" customHeight="1">
      <c r="BM25187" s="1025"/>
      <c r="BO25187" s="43"/>
    </row>
    <row r="25188" spans="65:67" ht="18.75" customHeight="1">
      <c r="BM25188" s="1025"/>
      <c r="BO25188" s="43"/>
    </row>
    <row r="25189" spans="65:67" ht="18.75" customHeight="1">
      <c r="BM25189" s="1025"/>
      <c r="BO25189" s="43"/>
    </row>
    <row r="25190" spans="65:67" ht="18.75" customHeight="1">
      <c r="BM25190" s="1025"/>
      <c r="BO25190" s="43"/>
    </row>
    <row r="25191" spans="65:67" ht="18.75" customHeight="1">
      <c r="BM25191" s="1025"/>
      <c r="BO25191" s="43"/>
    </row>
    <row r="25192" spans="65:67" ht="18.75" customHeight="1">
      <c r="BM25192" s="1025"/>
      <c r="BO25192" s="43"/>
    </row>
    <row r="25193" spans="65:67" ht="18.75" customHeight="1">
      <c r="BM25193" s="1025"/>
      <c r="BO25193" s="43"/>
    </row>
    <row r="25194" spans="65:67" ht="18.75" customHeight="1">
      <c r="BM25194" s="1025"/>
      <c r="BO25194" s="43"/>
    </row>
    <row r="25195" spans="65:67" ht="18.75" customHeight="1">
      <c r="BM25195" s="1025"/>
      <c r="BO25195" s="43"/>
    </row>
    <row r="25196" spans="65:67" ht="18.75" customHeight="1">
      <c r="BM25196" s="1025"/>
      <c r="BO25196" s="43"/>
    </row>
    <row r="25197" spans="65:67" ht="18.75" customHeight="1">
      <c r="BM25197" s="1025"/>
      <c r="BO25197" s="43"/>
    </row>
    <row r="25198" spans="65:67" ht="18.75" customHeight="1">
      <c r="BM25198" s="1025"/>
      <c r="BO25198" s="43"/>
    </row>
    <row r="25199" spans="65:67" ht="18.75" customHeight="1">
      <c r="BM25199" s="1025"/>
      <c r="BO25199" s="43"/>
    </row>
    <row r="25200" spans="65:67" ht="18.75" customHeight="1">
      <c r="BM25200" s="1025"/>
      <c r="BO25200" s="43"/>
    </row>
    <row r="25201" spans="65:67" ht="18.75" customHeight="1">
      <c r="BM25201" s="1025"/>
      <c r="BO25201" s="43"/>
    </row>
    <row r="25202" spans="65:67" ht="18.75" customHeight="1">
      <c r="BM25202" s="1025"/>
      <c r="BO25202" s="43"/>
    </row>
    <row r="25203" spans="65:67" ht="18.75" customHeight="1">
      <c r="BM25203" s="1025"/>
      <c r="BO25203" s="43"/>
    </row>
    <row r="25204" spans="65:67" ht="18.75" customHeight="1">
      <c r="BM25204" s="1025"/>
      <c r="BO25204" s="43"/>
    </row>
    <row r="25205" spans="65:67" ht="18.75" customHeight="1">
      <c r="BM25205" s="1025"/>
      <c r="BO25205" s="43"/>
    </row>
    <row r="25206" spans="65:67" ht="18.75" customHeight="1">
      <c r="BM25206" s="1025"/>
      <c r="BO25206" s="43"/>
    </row>
    <row r="25207" spans="65:67" ht="18.75" customHeight="1">
      <c r="BM25207" s="1025"/>
      <c r="BO25207" s="43"/>
    </row>
    <row r="25208" spans="65:67" ht="18.75" customHeight="1">
      <c r="BM25208" s="1025"/>
      <c r="BO25208" s="43"/>
    </row>
    <row r="25209" spans="65:67" ht="18.75" customHeight="1">
      <c r="BM25209" s="1025"/>
      <c r="BO25209" s="43"/>
    </row>
    <row r="25210" spans="65:67" ht="18.75" customHeight="1">
      <c r="BM25210" s="1025"/>
      <c r="BO25210" s="43"/>
    </row>
    <row r="25211" spans="65:67" ht="18.75" customHeight="1">
      <c r="BM25211" s="1025"/>
      <c r="BO25211" s="43"/>
    </row>
    <row r="25212" spans="65:67" ht="18.75" customHeight="1">
      <c r="BM25212" s="1025"/>
      <c r="BO25212" s="43"/>
    </row>
    <row r="25213" spans="65:67" ht="18.75" customHeight="1">
      <c r="BM25213" s="1025"/>
      <c r="BO25213" s="43"/>
    </row>
    <row r="25214" spans="65:67" ht="18.75" customHeight="1">
      <c r="BM25214" s="1025"/>
      <c r="BO25214" s="43"/>
    </row>
    <row r="25215" spans="65:67" ht="18.75" customHeight="1">
      <c r="BM25215" s="1025"/>
      <c r="BO25215" s="43"/>
    </row>
    <row r="25216" spans="65:67" ht="18.75" customHeight="1">
      <c r="BM25216" s="1025"/>
      <c r="BO25216" s="43"/>
    </row>
    <row r="25217" spans="65:67" ht="18.75" customHeight="1">
      <c r="BM25217" s="1025"/>
      <c r="BO25217" s="43"/>
    </row>
    <row r="25218" spans="65:67" ht="18.75" customHeight="1">
      <c r="BM25218" s="1025"/>
      <c r="BO25218" s="43"/>
    </row>
    <row r="25219" spans="65:67" ht="18.75" customHeight="1">
      <c r="BM25219" s="1025"/>
      <c r="BO25219" s="43"/>
    </row>
    <row r="25220" spans="65:67" ht="18.75" customHeight="1">
      <c r="BM25220" s="1025"/>
      <c r="BO25220" s="43"/>
    </row>
    <row r="25221" spans="65:67" ht="18.75" customHeight="1">
      <c r="BM25221" s="1025"/>
      <c r="BO25221" s="43"/>
    </row>
    <row r="25222" spans="65:67" ht="18.75" customHeight="1">
      <c r="BM25222" s="1025"/>
      <c r="BO25222" s="43"/>
    </row>
    <row r="25223" spans="65:67" ht="18.75" customHeight="1">
      <c r="BM25223" s="1025"/>
      <c r="BO25223" s="43"/>
    </row>
    <row r="25224" spans="65:67" ht="18.75" customHeight="1">
      <c r="BM25224" s="1025"/>
      <c r="BO25224" s="43"/>
    </row>
    <row r="25225" spans="65:67" ht="18.75" customHeight="1">
      <c r="BM25225" s="1025"/>
      <c r="BO25225" s="43"/>
    </row>
    <row r="25226" spans="65:67" ht="18.75" customHeight="1">
      <c r="BM25226" s="1025"/>
      <c r="BO25226" s="43"/>
    </row>
    <row r="25227" spans="65:67" ht="18.75" customHeight="1">
      <c r="BM25227" s="1025"/>
      <c r="BO25227" s="43"/>
    </row>
    <row r="25228" spans="65:67" ht="18.75" customHeight="1">
      <c r="BM25228" s="1025"/>
      <c r="BO25228" s="43"/>
    </row>
    <row r="25229" spans="65:67" ht="18.75" customHeight="1">
      <c r="BM25229" s="1025"/>
      <c r="BO25229" s="43"/>
    </row>
    <row r="25230" spans="65:67" ht="18.75" customHeight="1">
      <c r="BM25230" s="1025"/>
      <c r="BO25230" s="43"/>
    </row>
    <row r="25231" spans="65:67" ht="18.75" customHeight="1">
      <c r="BM25231" s="1025"/>
      <c r="BO25231" s="43"/>
    </row>
    <row r="25232" spans="65:67" ht="18.75" customHeight="1">
      <c r="BM25232" s="1025"/>
      <c r="BO25232" s="43"/>
    </row>
    <row r="25233" spans="65:67" ht="18.75" customHeight="1">
      <c r="BM25233" s="1025"/>
      <c r="BO25233" s="43"/>
    </row>
    <row r="25234" spans="65:67" ht="18.75" customHeight="1">
      <c r="BM25234" s="1025"/>
      <c r="BO25234" s="43"/>
    </row>
    <row r="25235" spans="65:67" ht="18.75" customHeight="1">
      <c r="BM25235" s="1025"/>
      <c r="BO25235" s="43"/>
    </row>
    <row r="25236" spans="65:67" ht="18.75" customHeight="1">
      <c r="BM25236" s="1025"/>
      <c r="BO25236" s="43"/>
    </row>
    <row r="25237" spans="65:67" ht="18.75" customHeight="1">
      <c r="BM25237" s="1025"/>
      <c r="BO25237" s="43"/>
    </row>
    <row r="25238" spans="65:67" ht="18.75" customHeight="1">
      <c r="BM25238" s="1025"/>
      <c r="BO25238" s="43"/>
    </row>
    <row r="25239" spans="65:67" ht="18.75" customHeight="1">
      <c r="BM25239" s="1025"/>
      <c r="BO25239" s="43"/>
    </row>
    <row r="25240" spans="65:67" ht="18.75" customHeight="1">
      <c r="BM25240" s="1025"/>
      <c r="BO25240" s="43"/>
    </row>
    <row r="25241" spans="65:67" ht="18.75" customHeight="1">
      <c r="BM25241" s="1025"/>
      <c r="BO25241" s="43"/>
    </row>
    <row r="25242" spans="65:67" ht="18.75" customHeight="1">
      <c r="BM25242" s="1025"/>
      <c r="BO25242" s="43"/>
    </row>
    <row r="25243" spans="65:67" ht="18.75" customHeight="1">
      <c r="BM25243" s="1025"/>
      <c r="BO25243" s="43"/>
    </row>
    <row r="25244" spans="65:67" ht="18.75" customHeight="1">
      <c r="BM25244" s="1025"/>
      <c r="BO25244" s="43"/>
    </row>
    <row r="25245" spans="65:67" ht="18.75" customHeight="1">
      <c r="BM25245" s="1025"/>
      <c r="BO25245" s="43"/>
    </row>
    <row r="25246" spans="65:67" ht="18.75" customHeight="1">
      <c r="BM25246" s="1025"/>
      <c r="BO25246" s="43"/>
    </row>
    <row r="25247" spans="65:67" ht="18.75" customHeight="1">
      <c r="BM25247" s="1025"/>
      <c r="BO25247" s="43"/>
    </row>
    <row r="25248" spans="65:67" ht="18.75" customHeight="1">
      <c r="BM25248" s="1025"/>
      <c r="BO25248" s="43"/>
    </row>
    <row r="25249" spans="65:67" ht="18.75" customHeight="1">
      <c r="BM25249" s="1025"/>
      <c r="BO25249" s="43"/>
    </row>
    <row r="25250" spans="65:67" ht="18.75" customHeight="1">
      <c r="BM25250" s="1025"/>
      <c r="BO25250" s="43"/>
    </row>
    <row r="25251" spans="65:67" ht="18.75" customHeight="1">
      <c r="BM25251" s="1025"/>
      <c r="BO25251" s="43"/>
    </row>
    <row r="25252" spans="65:67" ht="18.75" customHeight="1">
      <c r="BM25252" s="1025"/>
      <c r="BO25252" s="43"/>
    </row>
    <row r="25253" spans="65:67" ht="18.75" customHeight="1">
      <c r="BM25253" s="1025"/>
      <c r="BO25253" s="43"/>
    </row>
    <row r="25254" spans="65:67" ht="18.75" customHeight="1">
      <c r="BM25254" s="1025"/>
      <c r="BO25254" s="43"/>
    </row>
    <row r="25255" spans="65:67" ht="18.75" customHeight="1">
      <c r="BM25255" s="1025"/>
      <c r="BO25255" s="43"/>
    </row>
    <row r="25256" spans="65:67" ht="18.75" customHeight="1">
      <c r="BM25256" s="1025"/>
      <c r="BO25256" s="43"/>
    </row>
    <row r="25257" spans="65:67" ht="18.75" customHeight="1">
      <c r="BM25257" s="1025"/>
      <c r="BO25257" s="43"/>
    </row>
    <row r="25258" spans="65:67" ht="18.75" customHeight="1">
      <c r="BM25258" s="1025"/>
      <c r="BO25258" s="43"/>
    </row>
    <row r="25259" spans="65:67" ht="18.75" customHeight="1">
      <c r="BM25259" s="1025"/>
      <c r="BO25259" s="43"/>
    </row>
    <row r="25260" spans="65:67" ht="18.75" customHeight="1">
      <c r="BM25260" s="1025"/>
      <c r="BO25260" s="43"/>
    </row>
    <row r="25261" spans="65:67" ht="18.75" customHeight="1">
      <c r="BM25261" s="1025"/>
      <c r="BO25261" s="43"/>
    </row>
    <row r="25262" spans="65:67" ht="18.75" customHeight="1">
      <c r="BM25262" s="1025"/>
      <c r="BO25262" s="43"/>
    </row>
    <row r="25263" spans="65:67" ht="18.75" customHeight="1">
      <c r="BM25263" s="1025"/>
      <c r="BO25263" s="43"/>
    </row>
    <row r="25264" spans="65:67" ht="18.75" customHeight="1">
      <c r="BM25264" s="1025"/>
      <c r="BO25264" s="43"/>
    </row>
    <row r="25265" spans="65:67" ht="18.75" customHeight="1">
      <c r="BM25265" s="1025"/>
      <c r="BO25265" s="43"/>
    </row>
    <row r="25266" spans="65:67" ht="18.75" customHeight="1">
      <c r="BM25266" s="1025"/>
      <c r="BO25266" s="43"/>
    </row>
    <row r="25267" spans="65:67" ht="18.75" customHeight="1">
      <c r="BM25267" s="1025"/>
      <c r="BO25267" s="43"/>
    </row>
    <row r="25268" spans="65:67" ht="18.75" customHeight="1">
      <c r="BM25268" s="1025"/>
      <c r="BO25268" s="43"/>
    </row>
    <row r="25269" spans="65:67" ht="18.75" customHeight="1">
      <c r="BM25269" s="1025"/>
      <c r="BO25269" s="43"/>
    </row>
    <row r="25270" spans="65:67" ht="18.75" customHeight="1">
      <c r="BM25270" s="1025"/>
      <c r="BO25270" s="43"/>
    </row>
    <row r="25271" spans="65:67" ht="18.75" customHeight="1">
      <c r="BM25271" s="1025"/>
      <c r="BO25271" s="43"/>
    </row>
    <row r="25272" spans="65:67" ht="18.75" customHeight="1">
      <c r="BM25272" s="1025"/>
      <c r="BO25272" s="43"/>
    </row>
    <row r="25273" spans="65:67" ht="18.75" customHeight="1">
      <c r="BM25273" s="1025"/>
      <c r="BO25273" s="43"/>
    </row>
    <row r="25274" spans="65:67" ht="18.75" customHeight="1">
      <c r="BM25274" s="1025"/>
      <c r="BO25274" s="43"/>
    </row>
    <row r="25275" spans="65:67" ht="18.75" customHeight="1">
      <c r="BM25275" s="1025"/>
      <c r="BO25275" s="43"/>
    </row>
    <row r="25276" spans="65:67" ht="18.75" customHeight="1">
      <c r="BM25276" s="1025"/>
      <c r="BO25276" s="43"/>
    </row>
    <row r="25277" spans="65:67" ht="18.75" customHeight="1">
      <c r="BM25277" s="1025"/>
      <c r="BO25277" s="43"/>
    </row>
    <row r="25278" spans="65:67" ht="18.75" customHeight="1">
      <c r="BM25278" s="1025"/>
      <c r="BO25278" s="43"/>
    </row>
    <row r="25279" spans="65:67" ht="18.75" customHeight="1">
      <c r="BM25279" s="1025"/>
      <c r="BO25279" s="43"/>
    </row>
    <row r="25280" spans="65:67" ht="18.75" customHeight="1">
      <c r="BM25280" s="1025"/>
      <c r="BO25280" s="43"/>
    </row>
    <row r="25281" spans="65:67" ht="18.75" customHeight="1">
      <c r="BM25281" s="1025"/>
      <c r="BO25281" s="43"/>
    </row>
    <row r="25282" spans="65:67" ht="18.75" customHeight="1">
      <c r="BM25282" s="1025"/>
      <c r="BO25282" s="43"/>
    </row>
    <row r="25283" spans="65:67" ht="18.75" customHeight="1">
      <c r="BM25283" s="1025"/>
      <c r="BO25283" s="43"/>
    </row>
    <row r="25284" spans="65:67" ht="18.75" customHeight="1">
      <c r="BM25284" s="1025"/>
      <c r="BO25284" s="43"/>
    </row>
    <row r="25285" spans="65:67" ht="18.75" customHeight="1">
      <c r="BM25285" s="1025"/>
      <c r="BO25285" s="43"/>
    </row>
    <row r="25286" spans="65:67" ht="18.75" customHeight="1">
      <c r="BM25286" s="1025"/>
      <c r="BO25286" s="43"/>
    </row>
    <row r="25287" spans="65:67" ht="18.75" customHeight="1">
      <c r="BM25287" s="1025"/>
      <c r="BO25287" s="43"/>
    </row>
    <row r="25288" spans="65:67" ht="18.75" customHeight="1">
      <c r="BM25288" s="1025"/>
      <c r="BO25288" s="43"/>
    </row>
    <row r="25289" spans="65:67" ht="18.75" customHeight="1">
      <c r="BM25289" s="1025"/>
      <c r="BO25289" s="43"/>
    </row>
    <row r="25290" spans="65:67" ht="18.75" customHeight="1">
      <c r="BM25290" s="1025"/>
      <c r="BO25290" s="43"/>
    </row>
    <row r="25291" spans="65:67" ht="18.75" customHeight="1">
      <c r="BM25291" s="1025"/>
      <c r="BO25291" s="43"/>
    </row>
    <row r="25292" spans="65:67" ht="18.75" customHeight="1">
      <c r="BM25292" s="1025"/>
      <c r="BO25292" s="43"/>
    </row>
    <row r="25293" spans="65:67" ht="18.75" customHeight="1">
      <c r="BM25293" s="1025"/>
      <c r="BO25293" s="43"/>
    </row>
    <row r="25294" spans="65:67" ht="18.75" customHeight="1">
      <c r="BM25294" s="1025"/>
      <c r="BO25294" s="43"/>
    </row>
    <row r="25295" spans="65:67" ht="18.75" customHeight="1">
      <c r="BM25295" s="1025"/>
      <c r="BO25295" s="43"/>
    </row>
    <row r="25296" spans="65:67" ht="18.75" customHeight="1">
      <c r="BM25296" s="1025"/>
      <c r="BO25296" s="43"/>
    </row>
    <row r="25297" spans="65:67" ht="18.75" customHeight="1">
      <c r="BM25297" s="1025"/>
      <c r="BO25297" s="43"/>
    </row>
    <row r="25298" spans="65:67" ht="18.75" customHeight="1">
      <c r="BM25298" s="1025"/>
      <c r="BO25298" s="43"/>
    </row>
    <row r="25299" spans="65:67" ht="18.75" customHeight="1">
      <c r="BM25299" s="1025"/>
      <c r="BO25299" s="43"/>
    </row>
    <row r="25300" spans="65:67" ht="18.75" customHeight="1">
      <c r="BM25300" s="1025"/>
      <c r="BO25300" s="43"/>
    </row>
    <row r="25301" spans="65:67" ht="18.75" customHeight="1">
      <c r="BM25301" s="1025"/>
      <c r="BO25301" s="43"/>
    </row>
    <row r="25302" spans="65:67" ht="18.75" customHeight="1">
      <c r="BM25302" s="1025"/>
      <c r="BO25302" s="43"/>
    </row>
    <row r="25303" spans="65:67" ht="18.75" customHeight="1">
      <c r="BM25303" s="1025"/>
      <c r="BO25303" s="43"/>
    </row>
    <row r="25304" spans="65:67" ht="18.75" customHeight="1">
      <c r="BM25304" s="1025"/>
      <c r="BO25304" s="43"/>
    </row>
    <row r="25305" spans="65:67" ht="18.75" customHeight="1">
      <c r="BM25305" s="1025"/>
      <c r="BO25305" s="43"/>
    </row>
    <row r="25306" spans="65:67" ht="18.75" customHeight="1">
      <c r="BM25306" s="1025"/>
      <c r="BO25306" s="43"/>
    </row>
    <row r="25307" spans="65:67" ht="18.75" customHeight="1">
      <c r="BM25307" s="1025"/>
      <c r="BO25307" s="43"/>
    </row>
    <row r="25308" spans="65:67" ht="18.75" customHeight="1">
      <c r="BM25308" s="1025"/>
      <c r="BO25308" s="43"/>
    </row>
    <row r="25309" spans="65:67" ht="18.75" customHeight="1">
      <c r="BM25309" s="1025"/>
      <c r="BO25309" s="43"/>
    </row>
    <row r="25310" spans="65:67" ht="18.75" customHeight="1">
      <c r="BM25310" s="1025"/>
      <c r="BO25310" s="43"/>
    </row>
    <row r="25311" spans="65:67" ht="18.75" customHeight="1">
      <c r="BM25311" s="1025"/>
      <c r="BO25311" s="43"/>
    </row>
    <row r="25312" spans="65:67" ht="18.75" customHeight="1">
      <c r="BM25312" s="1025"/>
      <c r="BO25312" s="43"/>
    </row>
    <row r="25313" spans="65:67" ht="18.75" customHeight="1">
      <c r="BM25313" s="1025"/>
      <c r="BO25313" s="43"/>
    </row>
    <row r="25314" spans="65:67" ht="18.75" customHeight="1">
      <c r="BM25314" s="1025"/>
      <c r="BO25314" s="43"/>
    </row>
    <row r="25315" spans="65:67" ht="18.75" customHeight="1">
      <c r="BM25315" s="1025"/>
      <c r="BO25315" s="43"/>
    </row>
    <row r="25316" spans="65:67" ht="18.75" customHeight="1">
      <c r="BM25316" s="1025"/>
      <c r="BO25316" s="43"/>
    </row>
    <row r="25317" spans="65:67" ht="18.75" customHeight="1">
      <c r="BM25317" s="1025"/>
      <c r="BO25317" s="43"/>
    </row>
    <row r="25318" spans="65:67" ht="18.75" customHeight="1">
      <c r="BM25318" s="1025"/>
      <c r="BO25318" s="43"/>
    </row>
    <row r="25319" spans="65:67" ht="18.75" customHeight="1">
      <c r="BM25319" s="1025"/>
      <c r="BO25319" s="43"/>
    </row>
    <row r="25320" spans="65:67" ht="18.75" customHeight="1">
      <c r="BM25320" s="1025"/>
      <c r="BO25320" s="43"/>
    </row>
    <row r="25321" spans="65:67" ht="18.75" customHeight="1">
      <c r="BM25321" s="1025"/>
      <c r="BO25321" s="43"/>
    </row>
    <row r="25322" spans="65:67" ht="18.75" customHeight="1">
      <c r="BM25322" s="1025"/>
      <c r="BO25322" s="43"/>
    </row>
    <row r="25323" spans="65:67" ht="18.75" customHeight="1">
      <c r="BM25323" s="1025"/>
      <c r="BO25323" s="43"/>
    </row>
    <row r="25324" spans="65:67" ht="18.75" customHeight="1">
      <c r="BM25324" s="1025"/>
      <c r="BO25324" s="43"/>
    </row>
    <row r="25325" spans="65:67" ht="18.75" customHeight="1">
      <c r="BM25325" s="1025"/>
      <c r="BO25325" s="43"/>
    </row>
    <row r="25326" spans="65:67" ht="18.75" customHeight="1">
      <c r="BM25326" s="1025"/>
      <c r="BO25326" s="43"/>
    </row>
    <row r="25327" spans="65:67" ht="18.75" customHeight="1">
      <c r="BM25327" s="1025"/>
      <c r="BO25327" s="43"/>
    </row>
    <row r="25328" spans="65:67" ht="18.75" customHeight="1">
      <c r="BM25328" s="1025"/>
      <c r="BO25328" s="43"/>
    </row>
    <row r="25329" spans="65:67" ht="18.75" customHeight="1">
      <c r="BM25329" s="1025"/>
      <c r="BO25329" s="43"/>
    </row>
    <row r="25330" spans="65:67" ht="18.75" customHeight="1">
      <c r="BM25330" s="1025"/>
      <c r="BO25330" s="43"/>
    </row>
    <row r="25331" spans="65:67" ht="18.75" customHeight="1">
      <c r="BM25331" s="1025"/>
      <c r="BO25331" s="43"/>
    </row>
    <row r="25332" spans="65:67" ht="18.75" customHeight="1">
      <c r="BM25332" s="1025"/>
      <c r="BO25332" s="43"/>
    </row>
    <row r="25333" spans="65:67" ht="18.75" customHeight="1">
      <c r="BM25333" s="1025"/>
      <c r="BO25333" s="43"/>
    </row>
    <row r="25334" spans="65:67" ht="18.75" customHeight="1">
      <c r="BM25334" s="1025"/>
      <c r="BO25334" s="43"/>
    </row>
    <row r="25335" spans="65:67" ht="18.75" customHeight="1">
      <c r="BM25335" s="1025"/>
      <c r="BO25335" s="43"/>
    </row>
    <row r="25336" spans="65:67" ht="18.75" customHeight="1">
      <c r="BM25336" s="1025"/>
      <c r="BO25336" s="43"/>
    </row>
    <row r="25337" spans="65:67" ht="18.75" customHeight="1">
      <c r="BM25337" s="1025"/>
      <c r="BO25337" s="43"/>
    </row>
    <row r="25338" spans="65:67" ht="18.75" customHeight="1">
      <c r="BM25338" s="1025"/>
      <c r="BO25338" s="43"/>
    </row>
    <row r="25339" spans="65:67" ht="18.75" customHeight="1">
      <c r="BM25339" s="1025"/>
      <c r="BO25339" s="43"/>
    </row>
    <row r="25340" spans="65:67" ht="18.75" customHeight="1">
      <c r="BM25340" s="1025"/>
      <c r="BO25340" s="43"/>
    </row>
    <row r="25341" spans="65:67" ht="18.75" customHeight="1">
      <c r="BM25341" s="1025"/>
      <c r="BO25341" s="43"/>
    </row>
    <row r="25342" spans="65:67" ht="18.75" customHeight="1">
      <c r="BM25342" s="1025"/>
      <c r="BO25342" s="43"/>
    </row>
    <row r="25343" spans="65:67" ht="18.75" customHeight="1">
      <c r="BM25343" s="1025"/>
      <c r="BO25343" s="43"/>
    </row>
    <row r="25344" spans="65:67" ht="18.75" customHeight="1">
      <c r="BM25344" s="1025"/>
      <c r="BO25344" s="43"/>
    </row>
    <row r="25345" spans="65:67" ht="18.75" customHeight="1">
      <c r="BM25345" s="1025"/>
      <c r="BO25345" s="43"/>
    </row>
    <row r="25346" spans="65:67" ht="18.75" customHeight="1">
      <c r="BM25346" s="1025"/>
      <c r="BO25346" s="43"/>
    </row>
    <row r="25347" spans="65:67" ht="18.75" customHeight="1">
      <c r="BM25347" s="1025"/>
      <c r="BO25347" s="43"/>
    </row>
    <row r="25348" spans="65:67" ht="18.75" customHeight="1">
      <c r="BM25348" s="1025"/>
      <c r="BO25348" s="43"/>
    </row>
    <row r="25349" spans="65:67" ht="18.75" customHeight="1">
      <c r="BM25349" s="1025"/>
      <c r="BO25349" s="43"/>
    </row>
    <row r="25350" spans="65:67" ht="18.75" customHeight="1">
      <c r="BM25350" s="1025"/>
      <c r="BO25350" s="43"/>
    </row>
    <row r="25351" spans="65:67" ht="18.75" customHeight="1">
      <c r="BM25351" s="1025"/>
      <c r="BO25351" s="43"/>
    </row>
    <row r="25352" spans="65:67" ht="18.75" customHeight="1">
      <c r="BM25352" s="1025"/>
      <c r="BO25352" s="43"/>
    </row>
    <row r="25353" spans="65:67" ht="18.75" customHeight="1">
      <c r="BM25353" s="1025"/>
      <c r="BO25353" s="43"/>
    </row>
    <row r="25354" spans="65:67" ht="18.75" customHeight="1">
      <c r="BM25354" s="1025"/>
      <c r="BO25354" s="43"/>
    </row>
    <row r="25355" spans="65:67" ht="18.75" customHeight="1">
      <c r="BM25355" s="1025"/>
      <c r="BO25355" s="43"/>
    </row>
    <row r="25356" spans="65:67" ht="18.75" customHeight="1">
      <c r="BM25356" s="1025"/>
      <c r="BO25356" s="43"/>
    </row>
    <row r="25357" spans="65:67" ht="18.75" customHeight="1">
      <c r="BM25357" s="1025"/>
      <c r="BO25357" s="43"/>
    </row>
    <row r="25358" spans="65:67" ht="18.75" customHeight="1">
      <c r="BM25358" s="1025"/>
      <c r="BO25358" s="43"/>
    </row>
    <row r="25359" spans="65:67" ht="18.75" customHeight="1">
      <c r="BM25359" s="1025"/>
      <c r="BO25359" s="43"/>
    </row>
    <row r="25360" spans="65:67" ht="18.75" customHeight="1">
      <c r="BM25360" s="1025"/>
      <c r="BO25360" s="43"/>
    </row>
    <row r="25361" spans="65:67" ht="18.75" customHeight="1">
      <c r="BM25361" s="1025"/>
      <c r="BO25361" s="43"/>
    </row>
    <row r="25362" spans="65:67" ht="18.75" customHeight="1">
      <c r="BM25362" s="1025"/>
      <c r="BO25362" s="43"/>
    </row>
    <row r="25363" spans="65:67" ht="18.75" customHeight="1">
      <c r="BM25363" s="1025"/>
      <c r="BO25363" s="43"/>
    </row>
    <row r="25364" spans="65:67" ht="18.75" customHeight="1">
      <c r="BM25364" s="1025"/>
      <c r="BO25364" s="43"/>
    </row>
    <row r="25365" spans="65:67" ht="18.75" customHeight="1">
      <c r="BM25365" s="1025"/>
      <c r="BO25365" s="43"/>
    </row>
    <row r="25366" spans="65:67" ht="18.75" customHeight="1">
      <c r="BM25366" s="1025"/>
      <c r="BO25366" s="43"/>
    </row>
    <row r="25367" spans="65:67" ht="18.75" customHeight="1">
      <c r="BM25367" s="1025"/>
      <c r="BO25367" s="43"/>
    </row>
    <row r="25368" spans="65:67" ht="18.75" customHeight="1">
      <c r="BM25368" s="1025"/>
      <c r="BO25368" s="43"/>
    </row>
    <row r="25369" spans="65:67" ht="18.75" customHeight="1">
      <c r="BM25369" s="1025"/>
      <c r="BO25369" s="43"/>
    </row>
    <row r="25370" spans="65:67" ht="18.75" customHeight="1">
      <c r="BM25370" s="1025"/>
      <c r="BO25370" s="43"/>
    </row>
    <row r="25371" spans="65:67" ht="18.75" customHeight="1">
      <c r="BM25371" s="1025"/>
      <c r="BO25371" s="43"/>
    </row>
    <row r="25372" spans="65:67" ht="18.75" customHeight="1">
      <c r="BM25372" s="1025"/>
      <c r="BO25372" s="43"/>
    </row>
    <row r="25373" spans="65:67" ht="18.75" customHeight="1">
      <c r="BM25373" s="1025"/>
      <c r="BO25373" s="43"/>
    </row>
    <row r="25374" spans="65:67" ht="18.75" customHeight="1">
      <c r="BM25374" s="1025"/>
      <c r="BO25374" s="43"/>
    </row>
    <row r="25375" spans="65:67" ht="18.75" customHeight="1">
      <c r="BM25375" s="1025"/>
      <c r="BO25375" s="43"/>
    </row>
    <row r="25376" spans="65:67" ht="18.75" customHeight="1">
      <c r="BM25376" s="1025"/>
      <c r="BO25376" s="43"/>
    </row>
    <row r="25377" spans="65:67" ht="18.75" customHeight="1">
      <c r="BM25377" s="1025"/>
      <c r="BO25377" s="43"/>
    </row>
    <row r="25378" spans="65:67" ht="18.75" customHeight="1">
      <c r="BM25378" s="1025"/>
      <c r="BO25378" s="43"/>
    </row>
    <row r="25379" spans="65:67" ht="18.75" customHeight="1">
      <c r="BM25379" s="1025"/>
      <c r="BO25379" s="43"/>
    </row>
    <row r="25380" spans="65:67" ht="18.75" customHeight="1">
      <c r="BM25380" s="1025"/>
      <c r="BO25380" s="43"/>
    </row>
    <row r="25381" spans="65:67" ht="18.75" customHeight="1">
      <c r="BM25381" s="1025"/>
      <c r="BO25381" s="43"/>
    </row>
    <row r="25382" spans="65:67" ht="18.75" customHeight="1">
      <c r="BM25382" s="1025"/>
      <c r="BO25382" s="43"/>
    </row>
    <row r="25383" spans="65:67" ht="18.75" customHeight="1">
      <c r="BM25383" s="1025"/>
      <c r="BO25383" s="43"/>
    </row>
    <row r="25384" spans="65:67" ht="18.75" customHeight="1">
      <c r="BM25384" s="1025"/>
      <c r="BO25384" s="43"/>
    </row>
    <row r="25385" spans="65:67" ht="18.75" customHeight="1">
      <c r="BM25385" s="1025"/>
      <c r="BO25385" s="43"/>
    </row>
    <row r="25386" spans="65:67" ht="18.75" customHeight="1">
      <c r="BM25386" s="1025"/>
      <c r="BO25386" s="43"/>
    </row>
    <row r="25387" spans="65:67" ht="18.75" customHeight="1">
      <c r="BM25387" s="1025"/>
      <c r="BO25387" s="43"/>
    </row>
    <row r="25388" spans="65:67" ht="18.75" customHeight="1">
      <c r="BM25388" s="1025"/>
      <c r="BO25388" s="43"/>
    </row>
    <row r="25389" spans="65:67" ht="18.75" customHeight="1">
      <c r="BM25389" s="1025"/>
      <c r="BO25389" s="43"/>
    </row>
    <row r="25390" spans="65:67" ht="18.75" customHeight="1">
      <c r="BM25390" s="1025"/>
      <c r="BO25390" s="43"/>
    </row>
    <row r="25391" spans="65:67" ht="18.75" customHeight="1">
      <c r="BM25391" s="1025"/>
      <c r="BO25391" s="43"/>
    </row>
    <row r="25392" spans="65:67" ht="18.75" customHeight="1">
      <c r="BM25392" s="1025"/>
      <c r="BO25392" s="43"/>
    </row>
    <row r="25393" spans="65:67" ht="18.75" customHeight="1">
      <c r="BM25393" s="1025"/>
      <c r="BO25393" s="43"/>
    </row>
    <row r="25394" spans="65:67" ht="18.75" customHeight="1">
      <c r="BM25394" s="1025"/>
      <c r="BO25394" s="43"/>
    </row>
    <row r="25395" spans="65:67" ht="18.75" customHeight="1">
      <c r="BM25395" s="1025"/>
      <c r="BO25395" s="43"/>
    </row>
    <row r="25396" spans="65:67" ht="18.75" customHeight="1">
      <c r="BM25396" s="1025"/>
      <c r="BO25396" s="43"/>
    </row>
    <row r="25397" spans="65:67" ht="18.75" customHeight="1">
      <c r="BM25397" s="1025"/>
      <c r="BO25397" s="43"/>
    </row>
    <row r="25398" spans="65:67" ht="18.75" customHeight="1">
      <c r="BM25398" s="1025"/>
      <c r="BO25398" s="43"/>
    </row>
    <row r="25399" spans="65:67" ht="18.75" customHeight="1">
      <c r="BM25399" s="1025"/>
      <c r="BO25399" s="43"/>
    </row>
    <row r="25400" spans="65:67" ht="18.75" customHeight="1">
      <c r="BM25400" s="1025"/>
      <c r="BO25400" s="43"/>
    </row>
    <row r="25401" spans="65:67" ht="18.75" customHeight="1">
      <c r="BM25401" s="1025"/>
      <c r="BO25401" s="43"/>
    </row>
    <row r="25402" spans="65:67" ht="18.75" customHeight="1">
      <c r="BM25402" s="1025"/>
      <c r="BO25402" s="43"/>
    </row>
    <row r="25403" spans="65:67" ht="18.75" customHeight="1">
      <c r="BM25403" s="1025"/>
      <c r="BO25403" s="43"/>
    </row>
    <row r="25404" spans="65:67" ht="18.75" customHeight="1">
      <c r="BM25404" s="1025"/>
      <c r="BO25404" s="43"/>
    </row>
    <row r="25405" spans="65:67" ht="18.75" customHeight="1">
      <c r="BM25405" s="1025"/>
      <c r="BO25405" s="43"/>
    </row>
    <row r="25406" spans="65:67" ht="18.75" customHeight="1">
      <c r="BM25406" s="1025"/>
      <c r="BO25406" s="43"/>
    </row>
    <row r="25407" spans="65:67" ht="18.75" customHeight="1">
      <c r="BM25407" s="1025"/>
      <c r="BO25407" s="43"/>
    </row>
    <row r="25408" spans="65:67" ht="18.75" customHeight="1">
      <c r="BM25408" s="1025"/>
      <c r="BO25408" s="43"/>
    </row>
    <row r="25409" spans="65:67" ht="18.75" customHeight="1">
      <c r="BM25409" s="1025"/>
      <c r="BO25409" s="43"/>
    </row>
    <row r="25410" spans="65:67" ht="18.75" customHeight="1">
      <c r="BM25410" s="1025"/>
      <c r="BO25410" s="43"/>
    </row>
    <row r="25411" spans="65:67" ht="18.75" customHeight="1">
      <c r="BM25411" s="1025"/>
      <c r="BO25411" s="43"/>
    </row>
    <row r="25412" spans="65:67" ht="18.75" customHeight="1">
      <c r="BM25412" s="1025"/>
      <c r="BO25412" s="43"/>
    </row>
    <row r="25413" spans="65:67" ht="18.75" customHeight="1">
      <c r="BM25413" s="1025"/>
      <c r="BO25413" s="43"/>
    </row>
    <row r="25414" spans="65:67" ht="18.75" customHeight="1">
      <c r="BM25414" s="1025"/>
      <c r="BO25414" s="43"/>
    </row>
    <row r="25415" spans="65:67" ht="18.75" customHeight="1">
      <c r="BM25415" s="1025"/>
      <c r="BO25415" s="43"/>
    </row>
    <row r="25416" spans="65:67" ht="18.75" customHeight="1">
      <c r="BM25416" s="1025"/>
      <c r="BO25416" s="43"/>
    </row>
    <row r="25417" spans="65:67" ht="18.75" customHeight="1">
      <c r="BM25417" s="1025"/>
      <c r="BO25417" s="43"/>
    </row>
    <row r="25418" spans="65:67" ht="18.75" customHeight="1">
      <c r="BM25418" s="1025"/>
      <c r="BO25418" s="43"/>
    </row>
    <row r="25419" spans="65:67" ht="18.75" customHeight="1">
      <c r="BM25419" s="1025"/>
      <c r="BO25419" s="43"/>
    </row>
    <row r="25420" spans="65:67" ht="18.75" customHeight="1">
      <c r="BM25420" s="1025"/>
      <c r="BO25420" s="43"/>
    </row>
    <row r="25421" spans="65:67" ht="18.75" customHeight="1">
      <c r="BM25421" s="1025"/>
      <c r="BO25421" s="43"/>
    </row>
    <row r="25422" spans="65:67" ht="18.75" customHeight="1">
      <c r="BM25422" s="1025"/>
      <c r="BO25422" s="43"/>
    </row>
    <row r="25423" spans="65:67" ht="18.75" customHeight="1">
      <c r="BM25423" s="1025"/>
      <c r="BO25423" s="43"/>
    </row>
    <row r="25424" spans="65:67" ht="18.75" customHeight="1">
      <c r="BM25424" s="1025"/>
      <c r="BO25424" s="43"/>
    </row>
    <row r="25425" spans="65:67" ht="18.75" customHeight="1">
      <c r="BM25425" s="1025"/>
      <c r="BO25425" s="43"/>
    </row>
    <row r="25426" spans="65:67" ht="18.75" customHeight="1">
      <c r="BM25426" s="1025"/>
      <c r="BO25426" s="43"/>
    </row>
    <row r="25427" spans="65:67" ht="18.75" customHeight="1">
      <c r="BM25427" s="1025"/>
      <c r="BO25427" s="43"/>
    </row>
    <row r="25428" spans="65:67" ht="18.75" customHeight="1">
      <c r="BM25428" s="1025"/>
      <c r="BO25428" s="43"/>
    </row>
    <row r="25429" spans="65:67" ht="18.75" customHeight="1">
      <c r="BM25429" s="1025"/>
      <c r="BO25429" s="43"/>
    </row>
    <row r="25430" spans="65:67" ht="18.75" customHeight="1">
      <c r="BM25430" s="1025"/>
      <c r="BO25430" s="43"/>
    </row>
    <row r="25431" spans="65:67" ht="18.75" customHeight="1">
      <c r="BM25431" s="1025"/>
      <c r="BO25431" s="43"/>
    </row>
    <row r="25432" spans="65:67" ht="18.75" customHeight="1">
      <c r="BM25432" s="1025"/>
      <c r="BO25432" s="43"/>
    </row>
    <row r="25433" spans="65:67" ht="18.75" customHeight="1">
      <c r="BM25433" s="1025"/>
      <c r="BO25433" s="43"/>
    </row>
    <row r="25434" spans="65:67" ht="18.75" customHeight="1">
      <c r="BM25434" s="1025"/>
      <c r="BO25434" s="43"/>
    </row>
    <row r="25435" spans="65:67" ht="18.75" customHeight="1">
      <c r="BM25435" s="1025"/>
      <c r="BO25435" s="43"/>
    </row>
    <row r="25436" spans="65:67" ht="18.75" customHeight="1">
      <c r="BM25436" s="1025"/>
      <c r="BO25436" s="43"/>
    </row>
    <row r="25437" spans="65:67" ht="18.75" customHeight="1">
      <c r="BM25437" s="1025"/>
      <c r="BO25437" s="43"/>
    </row>
    <row r="25438" spans="65:67" ht="18.75" customHeight="1">
      <c r="BM25438" s="1025"/>
      <c r="BO25438" s="43"/>
    </row>
    <row r="25439" spans="65:67" ht="18.75" customHeight="1">
      <c r="BM25439" s="1025"/>
      <c r="BO25439" s="43"/>
    </row>
    <row r="25440" spans="65:67" ht="18.75" customHeight="1">
      <c r="BM25440" s="1025"/>
      <c r="BO25440" s="43"/>
    </row>
    <row r="25441" spans="65:67" ht="18.75" customHeight="1">
      <c r="BM25441" s="1025"/>
      <c r="BO25441" s="43"/>
    </row>
    <row r="25442" spans="65:67" ht="18.75" customHeight="1">
      <c r="BM25442" s="1025"/>
      <c r="BO25442" s="43"/>
    </row>
    <row r="25443" spans="65:67" ht="18.75" customHeight="1">
      <c r="BM25443" s="1025"/>
      <c r="BO25443" s="43"/>
    </row>
    <row r="25444" spans="65:67" ht="18.75" customHeight="1">
      <c r="BM25444" s="1025"/>
      <c r="BO25444" s="43"/>
    </row>
    <row r="25445" spans="65:67" ht="18.75" customHeight="1">
      <c r="BM25445" s="1025"/>
      <c r="BO25445" s="43"/>
    </row>
    <row r="25446" spans="65:67" ht="18.75" customHeight="1">
      <c r="BM25446" s="1025"/>
      <c r="BO25446" s="43"/>
    </row>
    <row r="25447" spans="65:67" ht="18.75" customHeight="1">
      <c r="BM25447" s="1025"/>
      <c r="BO25447" s="43"/>
    </row>
    <row r="25448" spans="65:67" ht="18.75" customHeight="1">
      <c r="BM25448" s="1025"/>
      <c r="BO25448" s="43"/>
    </row>
    <row r="25449" spans="65:67" ht="18.75" customHeight="1">
      <c r="BM25449" s="1025"/>
      <c r="BO25449" s="43"/>
    </row>
    <row r="25450" spans="65:67" ht="18.75" customHeight="1">
      <c r="BM25450" s="1025"/>
      <c r="BO25450" s="43"/>
    </row>
    <row r="25451" spans="65:67" ht="18.75" customHeight="1">
      <c r="BM25451" s="1025"/>
      <c r="BO25451" s="43"/>
    </row>
    <row r="25452" spans="65:67" ht="18.75" customHeight="1">
      <c r="BM25452" s="1025"/>
      <c r="BO25452" s="43"/>
    </row>
    <row r="25453" spans="65:67" ht="18.75" customHeight="1">
      <c r="BM25453" s="1025"/>
      <c r="BO25453" s="43"/>
    </row>
    <row r="25454" spans="65:67" ht="18.75" customHeight="1">
      <c r="BM25454" s="1025"/>
      <c r="BO25454" s="43"/>
    </row>
    <row r="25455" spans="65:67" ht="18.75" customHeight="1">
      <c r="BM25455" s="1025"/>
      <c r="BO25455" s="43"/>
    </row>
    <row r="25456" spans="65:67" ht="18.75" customHeight="1">
      <c r="BM25456" s="1025"/>
      <c r="BO25456" s="43"/>
    </row>
    <row r="25457" spans="65:67" ht="18.75" customHeight="1">
      <c r="BM25457" s="1025"/>
      <c r="BO25457" s="43"/>
    </row>
    <row r="25458" spans="65:67" ht="18.75" customHeight="1">
      <c r="BM25458" s="1025"/>
      <c r="BO25458" s="43"/>
    </row>
    <row r="25459" spans="65:67" ht="18.75" customHeight="1">
      <c r="BM25459" s="1025"/>
      <c r="BO25459" s="43"/>
    </row>
    <row r="25460" spans="65:67" ht="18.75" customHeight="1">
      <c r="BM25460" s="1025"/>
      <c r="BO25460" s="43"/>
    </row>
    <row r="25461" spans="65:67" ht="18.75" customHeight="1">
      <c r="BM25461" s="1025"/>
      <c r="BO25461" s="43"/>
    </row>
    <row r="25462" spans="65:67" ht="18.75" customHeight="1">
      <c r="BM25462" s="1025"/>
      <c r="BO25462" s="43"/>
    </row>
    <row r="25463" spans="65:67" ht="18.75" customHeight="1">
      <c r="BM25463" s="1025"/>
      <c r="BO25463" s="43"/>
    </row>
    <row r="25464" spans="65:67" ht="18.75" customHeight="1">
      <c r="BM25464" s="1025"/>
      <c r="BO25464" s="43"/>
    </row>
    <row r="25465" spans="65:67" ht="18.75" customHeight="1">
      <c r="BM25465" s="1025"/>
      <c r="BO25465" s="43"/>
    </row>
    <row r="25466" spans="65:67" ht="18.75" customHeight="1">
      <c r="BM25466" s="1025"/>
      <c r="BO25466" s="43"/>
    </row>
    <row r="25467" spans="65:67" ht="18.75" customHeight="1">
      <c r="BM25467" s="1025"/>
      <c r="BO25467" s="43"/>
    </row>
    <row r="25468" spans="65:67" ht="18.75" customHeight="1">
      <c r="BM25468" s="1025"/>
      <c r="BO25468" s="43"/>
    </row>
    <row r="25469" spans="65:67" ht="18.75" customHeight="1">
      <c r="BM25469" s="1025"/>
      <c r="BO25469" s="43"/>
    </row>
    <row r="25470" spans="65:67" ht="18.75" customHeight="1">
      <c r="BM25470" s="1025"/>
      <c r="BO25470" s="43"/>
    </row>
    <row r="25471" spans="65:67" ht="18.75" customHeight="1">
      <c r="BM25471" s="1025"/>
      <c r="BO25471" s="43"/>
    </row>
    <row r="25472" spans="65:67" ht="18.75" customHeight="1">
      <c r="BM25472" s="1025"/>
      <c r="BO25472" s="43"/>
    </row>
    <row r="25473" spans="65:67" ht="18.75" customHeight="1">
      <c r="BM25473" s="1025"/>
      <c r="BO25473" s="43"/>
    </row>
    <row r="25474" spans="65:67" ht="18.75" customHeight="1">
      <c r="BM25474" s="1025"/>
      <c r="BO25474" s="43"/>
    </row>
    <row r="25475" spans="65:67" ht="18.75" customHeight="1">
      <c r="BM25475" s="1025"/>
      <c r="BO25475" s="43"/>
    </row>
    <row r="25476" spans="65:67" ht="18.75" customHeight="1">
      <c r="BM25476" s="1025"/>
      <c r="BO25476" s="43"/>
    </row>
    <row r="25477" spans="65:67" ht="18.75" customHeight="1">
      <c r="BM25477" s="1025"/>
      <c r="BO25477" s="43"/>
    </row>
    <row r="25478" spans="65:67" ht="18.75" customHeight="1">
      <c r="BM25478" s="1025"/>
      <c r="BO25478" s="43"/>
    </row>
    <row r="25479" spans="65:67" ht="18.75" customHeight="1">
      <c r="BM25479" s="1025"/>
      <c r="BO25479" s="43"/>
    </row>
    <row r="25480" spans="65:67" ht="18.75" customHeight="1">
      <c r="BM25480" s="1025"/>
      <c r="BO25480" s="43"/>
    </row>
    <row r="25481" spans="65:67" ht="18.75" customHeight="1">
      <c r="BM25481" s="1025"/>
      <c r="BO25481" s="43"/>
    </row>
    <row r="25482" spans="65:67" ht="18.75" customHeight="1">
      <c r="BM25482" s="1025"/>
      <c r="BO25482" s="43"/>
    </row>
    <row r="25483" spans="65:67" ht="18.75" customHeight="1">
      <c r="BM25483" s="1025"/>
      <c r="BO25483" s="43"/>
    </row>
    <row r="25484" spans="65:67" ht="18.75" customHeight="1">
      <c r="BM25484" s="1025"/>
      <c r="BO25484" s="43"/>
    </row>
    <row r="25485" spans="65:67" ht="18.75" customHeight="1">
      <c r="BM25485" s="1025"/>
      <c r="BO25485" s="43"/>
    </row>
    <row r="25486" spans="65:67" ht="18.75" customHeight="1">
      <c r="BM25486" s="1025"/>
      <c r="BO25486" s="43"/>
    </row>
    <row r="25487" spans="65:67" ht="18.75" customHeight="1">
      <c r="BM25487" s="1025"/>
      <c r="BO25487" s="43"/>
    </row>
    <row r="25488" spans="65:67" ht="18.75" customHeight="1">
      <c r="BM25488" s="1025"/>
      <c r="BO25488" s="43"/>
    </row>
    <row r="25489" spans="65:67" ht="18.75" customHeight="1">
      <c r="BM25489" s="1025"/>
      <c r="BO25489" s="43"/>
    </row>
    <row r="25490" spans="65:67" ht="18.75" customHeight="1">
      <c r="BM25490" s="1025"/>
      <c r="BO25490" s="43"/>
    </row>
    <row r="25491" spans="65:67" ht="18.75" customHeight="1">
      <c r="BM25491" s="1025"/>
      <c r="BO25491" s="43"/>
    </row>
    <row r="25492" spans="65:67" ht="18.75" customHeight="1">
      <c r="BM25492" s="1025"/>
      <c r="BO25492" s="43"/>
    </row>
    <row r="25493" spans="65:67" ht="18.75" customHeight="1">
      <c r="BM25493" s="1025"/>
      <c r="BO25493" s="43"/>
    </row>
    <row r="25494" spans="65:67" ht="18.75" customHeight="1">
      <c r="BM25494" s="1025"/>
      <c r="BO25494" s="43"/>
    </row>
    <row r="25495" spans="65:67" ht="18.75" customHeight="1">
      <c r="BM25495" s="1025"/>
      <c r="BO25495" s="43"/>
    </row>
    <row r="25496" spans="65:67" ht="18.75" customHeight="1">
      <c r="BM25496" s="1025"/>
      <c r="BO25496" s="43"/>
    </row>
    <row r="25497" spans="65:67" ht="18.75" customHeight="1">
      <c r="BM25497" s="1025"/>
      <c r="BO25497" s="43"/>
    </row>
    <row r="25498" spans="65:67" ht="18.75" customHeight="1">
      <c r="BM25498" s="1025"/>
      <c r="BO25498" s="43"/>
    </row>
    <row r="25499" spans="65:67" ht="18.75" customHeight="1">
      <c r="BM25499" s="1025"/>
      <c r="BO25499" s="43"/>
    </row>
    <row r="25500" spans="65:67" ht="18.75" customHeight="1">
      <c r="BM25500" s="1025"/>
      <c r="BO25500" s="43"/>
    </row>
    <row r="25501" spans="65:67" ht="18.75" customHeight="1">
      <c r="BM25501" s="1025"/>
      <c r="BO25501" s="43"/>
    </row>
    <row r="25502" spans="65:67" ht="18.75" customHeight="1">
      <c r="BM25502" s="1025"/>
      <c r="BO25502" s="43"/>
    </row>
    <row r="25503" spans="65:67" ht="18.75" customHeight="1">
      <c r="BM25503" s="1025"/>
      <c r="BO25503" s="43"/>
    </row>
    <row r="25504" spans="65:67" ht="18.75" customHeight="1">
      <c r="BM25504" s="1025"/>
      <c r="BO25504" s="43"/>
    </row>
    <row r="25505" spans="65:67" ht="18.75" customHeight="1">
      <c r="BM25505" s="1025"/>
      <c r="BO25505" s="43"/>
    </row>
    <row r="25506" spans="65:67" ht="18.75" customHeight="1">
      <c r="BM25506" s="1025"/>
      <c r="BO25506" s="43"/>
    </row>
    <row r="25507" spans="65:67" ht="18.75" customHeight="1">
      <c r="BM25507" s="1025"/>
      <c r="BO25507" s="43"/>
    </row>
    <row r="25508" spans="65:67" ht="18.75" customHeight="1">
      <c r="BM25508" s="1025"/>
      <c r="BO25508" s="43"/>
    </row>
    <row r="25509" spans="65:67" ht="18.75" customHeight="1">
      <c r="BM25509" s="1025"/>
      <c r="BO25509" s="43"/>
    </row>
    <row r="25510" spans="65:67" ht="18.75" customHeight="1">
      <c r="BM25510" s="1025"/>
      <c r="BO25510" s="43"/>
    </row>
    <row r="25511" spans="65:67" ht="18.75" customHeight="1">
      <c r="BM25511" s="1025"/>
      <c r="BO25511" s="43"/>
    </row>
    <row r="25512" spans="65:67" ht="18.75" customHeight="1">
      <c r="BM25512" s="1025"/>
      <c r="BO25512" s="43"/>
    </row>
    <row r="25513" spans="65:67" ht="18.75" customHeight="1">
      <c r="BM25513" s="1025"/>
      <c r="BO25513" s="43"/>
    </row>
    <row r="25514" spans="65:67" ht="18.75" customHeight="1">
      <c r="BM25514" s="1025"/>
      <c r="BO25514" s="43"/>
    </row>
    <row r="25515" spans="65:67" ht="18.75" customHeight="1">
      <c r="BM25515" s="1025"/>
      <c r="BO25515" s="43"/>
    </row>
    <row r="25516" spans="65:67" ht="18.75" customHeight="1">
      <c r="BM25516" s="1025"/>
      <c r="BO25516" s="43"/>
    </row>
    <row r="25517" spans="65:67" ht="18.75" customHeight="1">
      <c r="BM25517" s="1025"/>
      <c r="BO25517" s="43"/>
    </row>
    <row r="25518" spans="65:67" ht="18.75" customHeight="1">
      <c r="BM25518" s="1025"/>
      <c r="BO25518" s="43"/>
    </row>
    <row r="25519" spans="65:67" ht="18.75" customHeight="1">
      <c r="BM25519" s="1025"/>
      <c r="BO25519" s="43"/>
    </row>
    <row r="25520" spans="65:67" ht="18.75" customHeight="1">
      <c r="BM25520" s="1025"/>
      <c r="BO25520" s="43"/>
    </row>
    <row r="25521" spans="65:67" ht="18.75" customHeight="1">
      <c r="BM25521" s="1025"/>
      <c r="BO25521" s="43"/>
    </row>
    <row r="25522" spans="65:67" ht="18.75" customHeight="1">
      <c r="BM25522" s="1025"/>
      <c r="BO25522" s="43"/>
    </row>
    <row r="25523" spans="65:67" ht="18.75" customHeight="1">
      <c r="BM25523" s="1025"/>
      <c r="BO25523" s="43"/>
    </row>
    <row r="25524" spans="65:67" ht="18.75" customHeight="1">
      <c r="BM25524" s="1025"/>
      <c r="BO25524" s="43"/>
    </row>
    <row r="25525" spans="65:67" ht="18.75" customHeight="1">
      <c r="BM25525" s="1025"/>
      <c r="BO25525" s="43"/>
    </row>
    <row r="25526" spans="65:67" ht="18.75" customHeight="1">
      <c r="BM25526" s="1025"/>
      <c r="BO25526" s="43"/>
    </row>
    <row r="25527" spans="65:67" ht="18.75" customHeight="1">
      <c r="BM25527" s="1025"/>
      <c r="BO25527" s="43"/>
    </row>
    <row r="25528" spans="65:67" ht="18.75" customHeight="1">
      <c r="BM25528" s="1025"/>
      <c r="BO25528" s="43"/>
    </row>
    <row r="25529" spans="65:67" ht="18.75" customHeight="1">
      <c r="BM25529" s="1025"/>
      <c r="BO25529" s="43"/>
    </row>
    <row r="25530" spans="65:67" ht="18.75" customHeight="1">
      <c r="BM25530" s="1025"/>
      <c r="BO25530" s="43"/>
    </row>
    <row r="25531" spans="65:67" ht="18.75" customHeight="1">
      <c r="BM25531" s="1025"/>
      <c r="BO25531" s="43"/>
    </row>
    <row r="25532" spans="65:67" ht="18.75" customHeight="1">
      <c r="BM25532" s="1025"/>
      <c r="BO25532" s="43"/>
    </row>
    <row r="25533" spans="65:67" ht="18.75" customHeight="1">
      <c r="BM25533" s="1025"/>
      <c r="BO25533" s="43"/>
    </row>
    <row r="25534" spans="65:67" ht="18.75" customHeight="1">
      <c r="BM25534" s="1025"/>
      <c r="BO25534" s="43"/>
    </row>
    <row r="25535" spans="65:67" ht="18.75" customHeight="1">
      <c r="BM25535" s="1025"/>
      <c r="BO25535" s="43"/>
    </row>
    <row r="25536" spans="65:67" ht="18.75" customHeight="1">
      <c r="BM25536" s="1025"/>
      <c r="BO25536" s="43"/>
    </row>
    <row r="25537" spans="65:67" ht="18.75" customHeight="1">
      <c r="BM25537" s="1025"/>
      <c r="BO25537" s="43"/>
    </row>
    <row r="25538" spans="65:67" ht="18.75" customHeight="1">
      <c r="BM25538" s="1025"/>
      <c r="BO25538" s="43"/>
    </row>
    <row r="25539" spans="65:67" ht="18.75" customHeight="1">
      <c r="BM25539" s="1025"/>
      <c r="BO25539" s="43"/>
    </row>
    <row r="25540" spans="65:67" ht="18.75" customHeight="1">
      <c r="BM25540" s="1025"/>
      <c r="BO25540" s="43"/>
    </row>
    <row r="25541" spans="65:67" ht="18.75" customHeight="1">
      <c r="BM25541" s="1025"/>
      <c r="BO25541" s="43"/>
    </row>
    <row r="25542" spans="65:67" ht="18.75" customHeight="1">
      <c r="BM25542" s="1025"/>
      <c r="BO25542" s="43"/>
    </row>
    <row r="25543" spans="65:67" ht="18.75" customHeight="1">
      <c r="BM25543" s="1025"/>
      <c r="BO25543" s="43"/>
    </row>
    <row r="25544" spans="65:67" ht="18.75" customHeight="1">
      <c r="BM25544" s="1025"/>
      <c r="BO25544" s="43"/>
    </row>
    <row r="25545" spans="65:67" ht="18.75" customHeight="1">
      <c r="BM25545" s="1025"/>
      <c r="BO25545" s="43"/>
    </row>
    <row r="25546" spans="65:67" ht="18.75" customHeight="1">
      <c r="BM25546" s="1025"/>
      <c r="BO25546" s="43"/>
    </row>
    <row r="25547" spans="65:67" ht="18.75" customHeight="1">
      <c r="BM25547" s="1025"/>
      <c r="BO25547" s="43"/>
    </row>
    <row r="25548" spans="65:67" ht="18.75" customHeight="1">
      <c r="BM25548" s="1025"/>
      <c r="BO25548" s="43"/>
    </row>
    <row r="25549" spans="65:67" ht="18.75" customHeight="1">
      <c r="BM25549" s="1025"/>
      <c r="BO25549" s="43"/>
    </row>
    <row r="25550" spans="65:67" ht="18.75" customHeight="1">
      <c r="BM25550" s="1025"/>
      <c r="BO25550" s="43"/>
    </row>
    <row r="25551" spans="65:67" ht="18.75" customHeight="1">
      <c r="BM25551" s="1025"/>
      <c r="BO25551" s="43"/>
    </row>
    <row r="25552" spans="65:67" ht="18.75" customHeight="1">
      <c r="BM25552" s="1025"/>
      <c r="BO25552" s="43"/>
    </row>
    <row r="25553" spans="65:67" ht="18.75" customHeight="1">
      <c r="BM25553" s="1025"/>
      <c r="BO25553" s="43"/>
    </row>
    <row r="25554" spans="65:67" ht="18.75" customHeight="1">
      <c r="BM25554" s="1025"/>
      <c r="BO25554" s="43"/>
    </row>
    <row r="25555" spans="65:67" ht="18.75" customHeight="1">
      <c r="BM25555" s="1025"/>
      <c r="BO25555" s="43"/>
    </row>
    <row r="25556" spans="65:67" ht="18.75" customHeight="1">
      <c r="BM25556" s="1025"/>
      <c r="BO25556" s="43"/>
    </row>
    <row r="25557" spans="65:67" ht="18.75" customHeight="1">
      <c r="BM25557" s="1025"/>
      <c r="BO25557" s="43"/>
    </row>
    <row r="25558" spans="65:67" ht="18.75" customHeight="1">
      <c r="BM25558" s="1025"/>
      <c r="BO25558" s="43"/>
    </row>
    <row r="25559" spans="65:67" ht="18.75" customHeight="1">
      <c r="BM25559" s="1025"/>
      <c r="BO25559" s="43"/>
    </row>
    <row r="25560" spans="65:67" ht="18.75" customHeight="1">
      <c r="BM25560" s="1025"/>
      <c r="BO25560" s="43"/>
    </row>
    <row r="25561" spans="65:67" ht="18.75" customHeight="1">
      <c r="BM25561" s="1025"/>
      <c r="BO25561" s="43"/>
    </row>
    <row r="25562" spans="65:67" ht="18.75" customHeight="1">
      <c r="BM25562" s="1025"/>
      <c r="BO25562" s="43"/>
    </row>
    <row r="25563" spans="65:67" ht="18.75" customHeight="1">
      <c r="BM25563" s="1025"/>
      <c r="BO25563" s="43"/>
    </row>
    <row r="25564" spans="65:67" ht="18.75" customHeight="1">
      <c r="BM25564" s="1025"/>
      <c r="BO25564" s="43"/>
    </row>
    <row r="25565" spans="65:67" ht="18.75" customHeight="1">
      <c r="BM25565" s="1025"/>
      <c r="BO25565" s="43"/>
    </row>
    <row r="25566" spans="65:67" ht="18.75" customHeight="1">
      <c r="BM25566" s="1025"/>
      <c r="BO25566" s="43"/>
    </row>
    <row r="25567" spans="65:67" ht="18.75" customHeight="1">
      <c r="BM25567" s="1025"/>
      <c r="BO25567" s="43"/>
    </row>
    <row r="25568" spans="65:67" ht="18.75" customHeight="1">
      <c r="BM25568" s="1025"/>
      <c r="BO25568" s="43"/>
    </row>
    <row r="25569" spans="65:67" ht="18.75" customHeight="1">
      <c r="BM25569" s="1025"/>
      <c r="BO25569" s="43"/>
    </row>
    <row r="25570" spans="65:67" ht="18.75" customHeight="1">
      <c r="BM25570" s="1025"/>
      <c r="BO25570" s="43"/>
    </row>
    <row r="25571" spans="65:67" ht="18.75" customHeight="1">
      <c r="BM25571" s="1025"/>
      <c r="BO25571" s="43"/>
    </row>
    <row r="25572" spans="65:67" ht="18.75" customHeight="1">
      <c r="BM25572" s="1025"/>
      <c r="BO25572" s="43"/>
    </row>
    <row r="25573" spans="65:67" ht="18.75" customHeight="1">
      <c r="BM25573" s="1025"/>
      <c r="BO25573" s="43"/>
    </row>
    <row r="25574" spans="65:67" ht="18.75" customHeight="1">
      <c r="BM25574" s="1025"/>
      <c r="BO25574" s="43"/>
    </row>
    <row r="25575" spans="65:67" ht="18.75" customHeight="1">
      <c r="BM25575" s="1025"/>
      <c r="BO25575" s="43"/>
    </row>
    <row r="25576" spans="65:67" ht="18.75" customHeight="1">
      <c r="BM25576" s="1025"/>
      <c r="BO25576" s="43"/>
    </row>
    <row r="25577" spans="65:67" ht="18.75" customHeight="1">
      <c r="BM25577" s="1025"/>
      <c r="BO25577" s="43"/>
    </row>
    <row r="25578" spans="65:67" ht="18.75" customHeight="1">
      <c r="BM25578" s="1025"/>
      <c r="BO25578" s="43"/>
    </row>
    <row r="25579" spans="65:67" ht="18.75" customHeight="1">
      <c r="BM25579" s="1025"/>
      <c r="BO25579" s="43"/>
    </row>
    <row r="25580" spans="65:67" ht="18.75" customHeight="1">
      <c r="BM25580" s="1025"/>
      <c r="BO25580" s="43"/>
    </row>
    <row r="25581" spans="65:67" ht="18.75" customHeight="1">
      <c r="BM25581" s="1025"/>
      <c r="BO25581" s="43"/>
    </row>
    <row r="25582" spans="65:67" ht="18.75" customHeight="1">
      <c r="BM25582" s="1025"/>
      <c r="BO25582" s="43"/>
    </row>
    <row r="25583" spans="65:67" ht="18.75" customHeight="1">
      <c r="BM25583" s="1025"/>
      <c r="BO25583" s="43"/>
    </row>
    <row r="25584" spans="65:67" ht="18.75" customHeight="1">
      <c r="BM25584" s="1025"/>
      <c r="BO25584" s="43"/>
    </row>
    <row r="25585" spans="65:67" ht="18.75" customHeight="1">
      <c r="BM25585" s="1025"/>
      <c r="BO25585" s="43"/>
    </row>
    <row r="25586" spans="65:67" ht="18.75" customHeight="1">
      <c r="BM25586" s="1025"/>
      <c r="BO25586" s="43"/>
    </row>
    <row r="25587" spans="65:67" ht="18.75" customHeight="1">
      <c r="BM25587" s="1025"/>
      <c r="BO25587" s="43"/>
    </row>
    <row r="25588" spans="65:67" ht="18.75" customHeight="1">
      <c r="BM25588" s="1025"/>
      <c r="BO25588" s="43"/>
    </row>
    <row r="25589" spans="65:67" ht="18.75" customHeight="1">
      <c r="BM25589" s="1025"/>
      <c r="BO25589" s="43"/>
    </row>
    <row r="25590" spans="65:67" ht="18.75" customHeight="1">
      <c r="BM25590" s="1025"/>
      <c r="BO25590" s="43"/>
    </row>
    <row r="25591" spans="65:67" ht="18.75" customHeight="1">
      <c r="BM25591" s="1025"/>
      <c r="BO25591" s="43"/>
    </row>
    <row r="25592" spans="65:67" ht="18.75" customHeight="1">
      <c r="BM25592" s="1025"/>
      <c r="BO25592" s="43"/>
    </row>
    <row r="25593" spans="65:67" ht="18.75" customHeight="1">
      <c r="BM25593" s="1025"/>
      <c r="BO25593" s="43"/>
    </row>
    <row r="25594" spans="65:67" ht="18.75" customHeight="1">
      <c r="BM25594" s="1025"/>
      <c r="BO25594" s="43"/>
    </row>
    <row r="25595" spans="65:67" ht="18.75" customHeight="1">
      <c r="BM25595" s="1025"/>
      <c r="BO25595" s="43"/>
    </row>
    <row r="25596" spans="65:67" ht="18.75" customHeight="1">
      <c r="BM25596" s="1025"/>
      <c r="BO25596" s="43"/>
    </row>
    <row r="25597" spans="65:67" ht="18.75" customHeight="1">
      <c r="BM25597" s="1025"/>
      <c r="BO25597" s="43"/>
    </row>
    <row r="25598" spans="65:67" ht="18.75" customHeight="1">
      <c r="BM25598" s="1025"/>
      <c r="BO25598" s="43"/>
    </row>
    <row r="25599" spans="65:67" ht="18.75" customHeight="1">
      <c r="BM25599" s="1025"/>
      <c r="BO25599" s="43"/>
    </row>
    <row r="25600" spans="65:67" ht="18.75" customHeight="1">
      <c r="BM25600" s="1025"/>
      <c r="BO25600" s="43"/>
    </row>
    <row r="25601" spans="65:67" ht="18.75" customHeight="1">
      <c r="BM25601" s="1025"/>
      <c r="BO25601" s="43"/>
    </row>
    <row r="25602" spans="65:67" ht="18.75" customHeight="1">
      <c r="BM25602" s="1025"/>
      <c r="BO25602" s="43"/>
    </row>
    <row r="25603" spans="65:67" ht="18.75" customHeight="1">
      <c r="BM25603" s="1025"/>
      <c r="BO25603" s="43"/>
    </row>
    <row r="25604" spans="65:67" ht="18.75" customHeight="1">
      <c r="BM25604" s="1025"/>
      <c r="BO25604" s="43"/>
    </row>
    <row r="25605" spans="65:67" ht="18.75" customHeight="1">
      <c r="BM25605" s="1025"/>
      <c r="BO25605" s="43"/>
    </row>
    <row r="25606" spans="65:67" ht="18.75" customHeight="1">
      <c r="BM25606" s="1025"/>
      <c r="BO25606" s="43"/>
    </row>
    <row r="25607" spans="65:67" ht="18.75" customHeight="1">
      <c r="BM25607" s="1025"/>
      <c r="BO25607" s="43"/>
    </row>
    <row r="25608" spans="65:67" ht="18.75" customHeight="1">
      <c r="BM25608" s="1025"/>
      <c r="BO25608" s="43"/>
    </row>
    <row r="25609" spans="65:67" ht="18.75" customHeight="1">
      <c r="BM25609" s="1025"/>
      <c r="BO25609" s="43"/>
    </row>
    <row r="25610" spans="65:67" ht="18.75" customHeight="1">
      <c r="BM25610" s="1025"/>
      <c r="BO25610" s="43"/>
    </row>
    <row r="25611" spans="65:67" ht="18.75" customHeight="1">
      <c r="BM25611" s="1025"/>
      <c r="BO25611" s="43"/>
    </row>
    <row r="25612" spans="65:67" ht="18.75" customHeight="1">
      <c r="BM25612" s="1025"/>
      <c r="BO25612" s="43"/>
    </row>
    <row r="25613" spans="65:67" ht="18.75" customHeight="1">
      <c r="BM25613" s="1025"/>
      <c r="BO25613" s="43"/>
    </row>
    <row r="25614" spans="65:67" ht="18.75" customHeight="1">
      <c r="BM25614" s="1025"/>
      <c r="BO25614" s="43"/>
    </row>
    <row r="25615" spans="65:67" ht="18.75" customHeight="1">
      <c r="BM25615" s="1025"/>
      <c r="BO25615" s="43"/>
    </row>
    <row r="25616" spans="65:67" ht="18.75" customHeight="1">
      <c r="BM25616" s="1025"/>
      <c r="BO25616" s="43"/>
    </row>
    <row r="25617" spans="65:67" ht="18.75" customHeight="1">
      <c r="BM25617" s="1025"/>
      <c r="BO25617" s="43"/>
    </row>
    <row r="25618" spans="65:67" ht="18.75" customHeight="1">
      <c r="BM25618" s="1025"/>
      <c r="BO25618" s="43"/>
    </row>
    <row r="25619" spans="65:67" ht="18.75" customHeight="1">
      <c r="BM25619" s="1025"/>
      <c r="BO25619" s="43"/>
    </row>
    <row r="25620" spans="65:67" ht="18.75" customHeight="1">
      <c r="BM25620" s="1025"/>
      <c r="BO25620" s="43"/>
    </row>
    <row r="25621" spans="65:67" ht="18.75" customHeight="1">
      <c r="BM25621" s="1025"/>
      <c r="BO25621" s="43"/>
    </row>
    <row r="25622" spans="65:67" ht="18.75" customHeight="1">
      <c r="BM25622" s="1025"/>
      <c r="BO25622" s="43"/>
    </row>
    <row r="25623" spans="65:67" ht="18.75" customHeight="1">
      <c r="BM25623" s="1025"/>
      <c r="BO25623" s="43"/>
    </row>
    <row r="25624" spans="65:67" ht="18.75" customHeight="1">
      <c r="BM25624" s="1025"/>
      <c r="BO25624" s="43"/>
    </row>
    <row r="25625" spans="65:67" ht="18.75" customHeight="1">
      <c r="BM25625" s="1025"/>
      <c r="BO25625" s="43"/>
    </row>
    <row r="25626" spans="65:67" ht="18.75" customHeight="1">
      <c r="BM25626" s="1025"/>
      <c r="BO25626" s="43"/>
    </row>
    <row r="25627" spans="65:67" ht="18.75" customHeight="1">
      <c r="BM25627" s="1025"/>
      <c r="BO25627" s="43"/>
    </row>
    <row r="25628" spans="65:67" ht="18.75" customHeight="1">
      <c r="BM25628" s="1025"/>
      <c r="BO25628" s="43"/>
    </row>
    <row r="25629" spans="65:67" ht="18.75" customHeight="1">
      <c r="BM25629" s="1025"/>
      <c r="BO25629" s="43"/>
    </row>
    <row r="25630" spans="65:67" ht="18.75" customHeight="1">
      <c r="BM25630" s="1025"/>
      <c r="BO25630" s="43"/>
    </row>
    <row r="25631" spans="65:67" ht="18.75" customHeight="1">
      <c r="BM25631" s="1025"/>
      <c r="BO25631" s="43"/>
    </row>
    <row r="25632" spans="65:67" ht="18.75" customHeight="1">
      <c r="BM25632" s="1025"/>
      <c r="BO25632" s="43"/>
    </row>
    <row r="25633" spans="65:67" ht="18.75" customHeight="1">
      <c r="BM25633" s="1025"/>
      <c r="BO25633" s="43"/>
    </row>
    <row r="25634" spans="65:67" ht="18.75" customHeight="1">
      <c r="BM25634" s="1025"/>
      <c r="BO25634" s="43"/>
    </row>
    <row r="25635" spans="65:67" ht="18.75" customHeight="1">
      <c r="BM25635" s="1025"/>
      <c r="BO25635" s="43"/>
    </row>
    <row r="25636" spans="65:67" ht="18.75" customHeight="1">
      <c r="BM25636" s="1025"/>
      <c r="BO25636" s="43"/>
    </row>
    <row r="25637" spans="65:67" ht="18.75" customHeight="1">
      <c r="BM25637" s="1025"/>
      <c r="BO25637" s="43"/>
    </row>
    <row r="25638" spans="65:67" ht="18.75" customHeight="1">
      <c r="BM25638" s="1025"/>
      <c r="BO25638" s="43"/>
    </row>
    <row r="25639" spans="65:67" ht="18.75" customHeight="1">
      <c r="BM25639" s="1025"/>
      <c r="BO25639" s="43"/>
    </row>
    <row r="25640" spans="65:67" ht="18.75" customHeight="1">
      <c r="BM25640" s="1025"/>
      <c r="BO25640" s="43"/>
    </row>
    <row r="25641" spans="65:67" ht="18.75" customHeight="1">
      <c r="BM25641" s="1025"/>
      <c r="BO25641" s="43"/>
    </row>
    <row r="25642" spans="65:67" ht="18.75" customHeight="1">
      <c r="BM25642" s="1025"/>
      <c r="BO25642" s="43"/>
    </row>
    <row r="25643" spans="65:67" ht="18.75" customHeight="1">
      <c r="BM25643" s="1025"/>
      <c r="BO25643" s="43"/>
    </row>
    <row r="25644" spans="65:67" ht="18.75" customHeight="1">
      <c r="BM25644" s="1025"/>
      <c r="BO25644" s="43"/>
    </row>
    <row r="25645" spans="65:67" ht="18.75" customHeight="1">
      <c r="BM25645" s="1025"/>
      <c r="BO25645" s="43"/>
    </row>
    <row r="25646" spans="65:67" ht="18.75" customHeight="1">
      <c r="BM25646" s="1025"/>
      <c r="BO25646" s="43"/>
    </row>
    <row r="25647" spans="65:67" ht="18.75" customHeight="1">
      <c r="BM25647" s="1025"/>
      <c r="BO25647" s="43"/>
    </row>
    <row r="25648" spans="65:67" ht="18.75" customHeight="1">
      <c r="BM25648" s="1025"/>
      <c r="BO25648" s="43"/>
    </row>
    <row r="25649" spans="65:67" ht="18.75" customHeight="1">
      <c r="BM25649" s="1025"/>
      <c r="BO25649" s="43"/>
    </row>
    <row r="25650" spans="65:67" ht="18.75" customHeight="1">
      <c r="BM25650" s="1025"/>
      <c r="BO25650" s="43"/>
    </row>
    <row r="25651" spans="65:67" ht="18.75" customHeight="1">
      <c r="BM25651" s="1025"/>
      <c r="BO25651" s="43"/>
    </row>
    <row r="25652" spans="65:67" ht="18.75" customHeight="1">
      <c r="BM25652" s="1025"/>
      <c r="BO25652" s="43"/>
    </row>
    <row r="25653" spans="65:67" ht="18.75" customHeight="1">
      <c r="BM25653" s="1025"/>
      <c r="BO25653" s="43"/>
    </row>
    <row r="25654" spans="65:67" ht="18.75" customHeight="1">
      <c r="BM25654" s="1025"/>
      <c r="BO25654" s="43"/>
    </row>
    <row r="25655" spans="65:67" ht="18.75" customHeight="1">
      <c r="BM25655" s="1025"/>
      <c r="BO25655" s="43"/>
    </row>
    <row r="25656" spans="65:67" ht="18.75" customHeight="1">
      <c r="BM25656" s="1025"/>
      <c r="BO25656" s="43"/>
    </row>
    <row r="25657" spans="65:67" ht="18.75" customHeight="1">
      <c r="BM25657" s="1025"/>
      <c r="BO25657" s="43"/>
    </row>
    <row r="25658" spans="65:67" ht="18.75" customHeight="1">
      <c r="BM25658" s="1025"/>
      <c r="BO25658" s="43"/>
    </row>
    <row r="25659" spans="65:67" ht="18.75" customHeight="1">
      <c r="BM25659" s="1025"/>
      <c r="BO25659" s="43"/>
    </row>
    <row r="25660" spans="65:67" ht="18.75" customHeight="1">
      <c r="BM25660" s="1025"/>
      <c r="BO25660" s="43"/>
    </row>
    <row r="25661" spans="65:67" ht="18.75" customHeight="1">
      <c r="BM25661" s="1025"/>
      <c r="BO25661" s="43"/>
    </row>
    <row r="25662" spans="65:67" ht="18.75" customHeight="1">
      <c r="BM25662" s="1025"/>
      <c r="BO25662" s="43"/>
    </row>
    <row r="25663" spans="65:67" ht="18.75" customHeight="1">
      <c r="BM25663" s="1025"/>
      <c r="BO25663" s="43"/>
    </row>
    <row r="25664" spans="65:67" ht="18.75" customHeight="1">
      <c r="BM25664" s="1025"/>
      <c r="BO25664" s="43"/>
    </row>
    <row r="25665" spans="65:67" ht="18.75" customHeight="1">
      <c r="BM25665" s="1025"/>
      <c r="BO25665" s="43"/>
    </row>
    <row r="25666" spans="65:67" ht="18.75" customHeight="1">
      <c r="BM25666" s="1025"/>
      <c r="BO25666" s="43"/>
    </row>
    <row r="25667" spans="65:67" ht="18.75" customHeight="1">
      <c r="BM25667" s="1025"/>
      <c r="BO25667" s="43"/>
    </row>
    <row r="25668" spans="65:67" ht="18.75" customHeight="1">
      <c r="BM25668" s="1025"/>
      <c r="BO25668" s="43"/>
    </row>
    <row r="25669" spans="65:67" ht="18.75" customHeight="1">
      <c r="BM25669" s="1025"/>
      <c r="BO25669" s="43"/>
    </row>
    <row r="25670" spans="65:67" ht="18.75" customHeight="1">
      <c r="BM25670" s="1025"/>
      <c r="BO25670" s="43"/>
    </row>
    <row r="25671" spans="65:67" ht="18.75" customHeight="1">
      <c r="BM25671" s="1025"/>
      <c r="BO25671" s="43"/>
    </row>
    <row r="25672" spans="65:67" ht="18.75" customHeight="1">
      <c r="BM25672" s="1025"/>
      <c r="BO25672" s="43"/>
    </row>
    <row r="25673" spans="65:67" ht="18.75" customHeight="1">
      <c r="BM25673" s="1025"/>
      <c r="BO25673" s="43"/>
    </row>
    <row r="25674" spans="65:67" ht="18.75" customHeight="1">
      <c r="BM25674" s="1025"/>
      <c r="BO25674" s="43"/>
    </row>
    <row r="25675" spans="65:67" ht="18.75" customHeight="1">
      <c r="BM25675" s="1025"/>
      <c r="BO25675" s="43"/>
    </row>
    <row r="25676" spans="65:67" ht="18.75" customHeight="1">
      <c r="BM25676" s="1025"/>
      <c r="BO25676" s="43"/>
    </row>
    <row r="25677" spans="65:67" ht="18.75" customHeight="1">
      <c r="BM25677" s="1025"/>
      <c r="BO25677" s="43"/>
    </row>
    <row r="25678" spans="65:67" ht="18.75" customHeight="1">
      <c r="BM25678" s="1025"/>
      <c r="BO25678" s="43"/>
    </row>
    <row r="25679" spans="65:67" ht="18.75" customHeight="1">
      <c r="BM25679" s="1025"/>
      <c r="BO25679" s="43"/>
    </row>
    <row r="25680" spans="65:67" ht="18.75" customHeight="1">
      <c r="BM25680" s="1025"/>
      <c r="BO25680" s="43"/>
    </row>
    <row r="25681" spans="65:67" ht="18.75" customHeight="1">
      <c r="BM25681" s="1025"/>
      <c r="BO25681" s="43"/>
    </row>
    <row r="25682" spans="65:67" ht="18.75" customHeight="1">
      <c r="BM25682" s="1025"/>
      <c r="BO25682" s="43"/>
    </row>
    <row r="25683" spans="65:67" ht="18.75" customHeight="1">
      <c r="BM25683" s="1025"/>
      <c r="BO25683" s="43"/>
    </row>
    <row r="25684" spans="65:67" ht="18.75" customHeight="1">
      <c r="BM25684" s="1025"/>
      <c r="BO25684" s="43"/>
    </row>
    <row r="25685" spans="65:67" ht="18.75" customHeight="1">
      <c r="BM25685" s="1025"/>
      <c r="BO25685" s="43"/>
    </row>
    <row r="25686" spans="65:67" ht="18.75" customHeight="1">
      <c r="BM25686" s="1025"/>
      <c r="BO25686" s="43"/>
    </row>
    <row r="25687" spans="65:67" ht="18.75" customHeight="1">
      <c r="BM25687" s="1025"/>
      <c r="BO25687" s="43"/>
    </row>
    <row r="25688" spans="65:67" ht="18.75" customHeight="1">
      <c r="BM25688" s="1025"/>
      <c r="BO25688" s="43"/>
    </row>
    <row r="25689" spans="65:67" ht="18.75" customHeight="1">
      <c r="BM25689" s="1025"/>
      <c r="BO25689" s="43"/>
    </row>
    <row r="25690" spans="65:67" ht="18.75" customHeight="1">
      <c r="BM25690" s="1025"/>
      <c r="BO25690" s="43"/>
    </row>
    <row r="25691" spans="65:67" ht="18.75" customHeight="1">
      <c r="BM25691" s="1025"/>
      <c r="BO25691" s="43"/>
    </row>
    <row r="25692" spans="65:67" ht="18.75" customHeight="1">
      <c r="BM25692" s="1025"/>
      <c r="BO25692" s="43"/>
    </row>
    <row r="25693" spans="65:67" ht="18.75" customHeight="1">
      <c r="BM25693" s="1025"/>
      <c r="BO25693" s="43"/>
    </row>
    <row r="25694" spans="65:67" ht="18.75" customHeight="1">
      <c r="BM25694" s="1025"/>
      <c r="BO25694" s="43"/>
    </row>
    <row r="25695" spans="65:67" ht="18.75" customHeight="1">
      <c r="BM25695" s="1025"/>
      <c r="BO25695" s="43"/>
    </row>
    <row r="25696" spans="65:67" ht="18.75" customHeight="1">
      <c r="BM25696" s="1025"/>
      <c r="BO25696" s="43"/>
    </row>
    <row r="25697" spans="65:67" ht="18.75" customHeight="1">
      <c r="BM25697" s="1025"/>
      <c r="BO25697" s="43"/>
    </row>
    <row r="25698" spans="65:67" ht="18.75" customHeight="1">
      <c r="BM25698" s="1025"/>
      <c r="BO25698" s="43"/>
    </row>
    <row r="25699" spans="65:67" ht="18.75" customHeight="1">
      <c r="BM25699" s="1025"/>
      <c r="BO25699" s="43"/>
    </row>
    <row r="25700" spans="65:67" ht="18.75" customHeight="1">
      <c r="BM25700" s="1025"/>
      <c r="BO25700" s="43"/>
    </row>
    <row r="25701" spans="65:67" ht="18.75" customHeight="1">
      <c r="BM25701" s="1025"/>
      <c r="BO25701" s="43"/>
    </row>
    <row r="25702" spans="65:67" ht="18.75" customHeight="1">
      <c r="BM25702" s="1025"/>
      <c r="BO25702" s="43"/>
    </row>
    <row r="25703" spans="65:67" ht="18.75" customHeight="1">
      <c r="BM25703" s="1025"/>
      <c r="BO25703" s="43"/>
    </row>
    <row r="25704" spans="65:67" ht="18.75" customHeight="1">
      <c r="BM25704" s="1025"/>
      <c r="BO25704" s="43"/>
    </row>
    <row r="25705" spans="65:67" ht="18.75" customHeight="1">
      <c r="BM25705" s="1025"/>
      <c r="BO25705" s="43"/>
    </row>
    <row r="25706" spans="65:67" ht="18.75" customHeight="1">
      <c r="BM25706" s="1025"/>
      <c r="BO25706" s="43"/>
    </row>
    <row r="25707" spans="65:67" ht="18.75" customHeight="1">
      <c r="BM25707" s="1025"/>
      <c r="BO25707" s="43"/>
    </row>
    <row r="25708" spans="65:67" ht="18.75" customHeight="1">
      <c r="BM25708" s="1025"/>
      <c r="BO25708" s="43"/>
    </row>
    <row r="25709" spans="65:67" ht="18.75" customHeight="1">
      <c r="BM25709" s="1025"/>
      <c r="BO25709" s="43"/>
    </row>
    <row r="25710" spans="65:67" ht="18.75" customHeight="1">
      <c r="BM25710" s="1025"/>
      <c r="BO25710" s="43"/>
    </row>
    <row r="25711" spans="65:67" ht="18.75" customHeight="1">
      <c r="BM25711" s="1025"/>
      <c r="BO25711" s="43"/>
    </row>
    <row r="25712" spans="65:67" ht="18.75" customHeight="1">
      <c r="BM25712" s="1025"/>
      <c r="BO25712" s="43"/>
    </row>
    <row r="25713" spans="65:67" ht="18.75" customHeight="1">
      <c r="BM25713" s="1025"/>
      <c r="BO25713" s="43"/>
    </row>
    <row r="25714" spans="65:67" ht="18.75" customHeight="1">
      <c r="BM25714" s="1025"/>
      <c r="BO25714" s="43"/>
    </row>
    <row r="25715" spans="65:67" ht="18.75" customHeight="1">
      <c r="BM25715" s="1025"/>
      <c r="BO25715" s="43"/>
    </row>
    <row r="25716" spans="65:67" ht="18.75" customHeight="1">
      <c r="BM25716" s="1025"/>
      <c r="BO25716" s="43"/>
    </row>
    <row r="25717" spans="65:67" ht="18.75" customHeight="1">
      <c r="BM25717" s="1025"/>
      <c r="BO25717" s="43"/>
    </row>
    <row r="25718" spans="65:67" ht="18.75" customHeight="1">
      <c r="BM25718" s="1025"/>
      <c r="BO25718" s="43"/>
    </row>
    <row r="25719" spans="65:67" ht="18.75" customHeight="1">
      <c r="BM25719" s="1025"/>
      <c r="BO25719" s="43"/>
    </row>
    <row r="25720" spans="65:67" ht="18.75" customHeight="1">
      <c r="BM25720" s="1025"/>
      <c r="BO25720" s="43"/>
    </row>
    <row r="25721" spans="65:67" ht="18.75" customHeight="1">
      <c r="BM25721" s="1025"/>
      <c r="BO25721" s="43"/>
    </row>
    <row r="25722" spans="65:67" ht="18.75" customHeight="1">
      <c r="BM25722" s="1025"/>
      <c r="BO25722" s="43"/>
    </row>
    <row r="25723" spans="65:67" ht="18.75" customHeight="1">
      <c r="BM25723" s="1025"/>
      <c r="BO25723" s="43"/>
    </row>
    <row r="25724" spans="65:67" ht="18.75" customHeight="1">
      <c r="BM25724" s="1025"/>
      <c r="BO25724" s="43"/>
    </row>
    <row r="25725" spans="65:67" ht="18.75" customHeight="1">
      <c r="BM25725" s="1025"/>
      <c r="BO25725" s="43"/>
    </row>
    <row r="25726" spans="65:67" ht="18.75" customHeight="1">
      <c r="BM25726" s="1025"/>
      <c r="BO25726" s="43"/>
    </row>
    <row r="25727" spans="65:67" ht="18.75" customHeight="1">
      <c r="BM25727" s="1025"/>
      <c r="BO25727" s="43"/>
    </row>
    <row r="25728" spans="65:67" ht="18.75" customHeight="1">
      <c r="BM25728" s="1025"/>
      <c r="BO25728" s="43"/>
    </row>
    <row r="25729" spans="65:67" ht="18.75" customHeight="1">
      <c r="BM25729" s="1025"/>
      <c r="BO25729" s="43"/>
    </row>
    <row r="25730" spans="65:67" ht="18.75" customHeight="1">
      <c r="BM25730" s="1025"/>
      <c r="BO25730" s="43"/>
    </row>
    <row r="25731" spans="65:67" ht="18.75" customHeight="1">
      <c r="BM25731" s="1025"/>
      <c r="BO25731" s="43"/>
    </row>
    <row r="25732" spans="65:67" ht="18.75" customHeight="1">
      <c r="BM25732" s="1025"/>
      <c r="BO25732" s="43"/>
    </row>
    <row r="25733" spans="65:67" ht="18.75" customHeight="1">
      <c r="BM25733" s="1025"/>
      <c r="BO25733" s="43"/>
    </row>
    <row r="25734" spans="65:67" ht="18.75" customHeight="1">
      <c r="BM25734" s="1025"/>
      <c r="BO25734" s="43"/>
    </row>
    <row r="25735" spans="65:67" ht="18.75" customHeight="1">
      <c r="BM25735" s="1025"/>
      <c r="BO25735" s="43"/>
    </row>
    <row r="25736" spans="65:67" ht="18.75" customHeight="1">
      <c r="BM25736" s="1025"/>
      <c r="BO25736" s="43"/>
    </row>
    <row r="25737" spans="65:67" ht="18.75" customHeight="1">
      <c r="BM25737" s="1025"/>
      <c r="BO25737" s="43"/>
    </row>
    <row r="25738" spans="65:67" ht="18.75" customHeight="1">
      <c r="BM25738" s="1025"/>
      <c r="BO25738" s="43"/>
    </row>
    <row r="25739" spans="65:67" ht="18.75" customHeight="1">
      <c r="BM25739" s="1025"/>
      <c r="BO25739" s="43"/>
    </row>
    <row r="25740" spans="65:67" ht="18.75" customHeight="1">
      <c r="BM25740" s="1025"/>
      <c r="BO25740" s="43"/>
    </row>
    <row r="25741" spans="65:67" ht="18.75" customHeight="1">
      <c r="BM25741" s="1025"/>
      <c r="BO25741" s="43"/>
    </row>
    <row r="25742" spans="65:67" ht="18.75" customHeight="1">
      <c r="BM25742" s="1025"/>
      <c r="BO25742" s="43"/>
    </row>
    <row r="25743" spans="65:67" ht="18.75" customHeight="1">
      <c r="BM25743" s="1025"/>
      <c r="BO25743" s="43"/>
    </row>
    <row r="25744" spans="65:67" ht="18.75" customHeight="1">
      <c r="BM25744" s="1025"/>
      <c r="BO25744" s="43"/>
    </row>
    <row r="25745" spans="65:67" ht="18.75" customHeight="1">
      <c r="BM25745" s="1025"/>
      <c r="BO25745" s="43"/>
    </row>
    <row r="25746" spans="65:67" ht="18.75" customHeight="1">
      <c r="BM25746" s="1025"/>
      <c r="BO25746" s="43"/>
    </row>
    <row r="25747" spans="65:67" ht="18.75" customHeight="1">
      <c r="BM25747" s="1025"/>
      <c r="BO25747" s="43"/>
    </row>
    <row r="25748" spans="65:67" ht="18.75" customHeight="1">
      <c r="BM25748" s="1025"/>
      <c r="BO25748" s="43"/>
    </row>
    <row r="25749" spans="65:67" ht="18.75" customHeight="1">
      <c r="BM25749" s="1025"/>
      <c r="BO25749" s="43"/>
    </row>
    <row r="25750" spans="65:67" ht="18.75" customHeight="1">
      <c r="BM25750" s="1025"/>
      <c r="BO25750" s="43"/>
    </row>
    <row r="25751" spans="65:67" ht="18.75" customHeight="1">
      <c r="BM25751" s="1025"/>
      <c r="BO25751" s="43"/>
    </row>
    <row r="25752" spans="65:67" ht="18.75" customHeight="1">
      <c r="BM25752" s="1025"/>
      <c r="BO25752" s="43"/>
    </row>
    <row r="25753" spans="65:67" ht="18.75" customHeight="1">
      <c r="BM25753" s="1025"/>
      <c r="BO25753" s="43"/>
    </row>
    <row r="25754" spans="65:67" ht="18.75" customHeight="1">
      <c r="BM25754" s="1025"/>
      <c r="BO25754" s="43"/>
    </row>
    <row r="25755" spans="65:67" ht="18.75" customHeight="1">
      <c r="BM25755" s="1025"/>
      <c r="BO25755" s="43"/>
    </row>
    <row r="25756" spans="65:67" ht="18.75" customHeight="1">
      <c r="BM25756" s="1025"/>
      <c r="BO25756" s="43"/>
    </row>
    <row r="25757" spans="65:67" ht="18.75" customHeight="1">
      <c r="BM25757" s="1025"/>
      <c r="BO25757" s="43"/>
    </row>
    <row r="25758" spans="65:67" ht="18.75" customHeight="1">
      <c r="BM25758" s="1025"/>
      <c r="BO25758" s="43"/>
    </row>
    <row r="25759" spans="65:67" ht="18.75" customHeight="1">
      <c r="BM25759" s="1025"/>
      <c r="BO25759" s="43"/>
    </row>
    <row r="25760" spans="65:67" ht="18.75" customHeight="1">
      <c r="BM25760" s="1025"/>
      <c r="BO25760" s="43"/>
    </row>
    <row r="25761" spans="65:67" ht="18.75" customHeight="1">
      <c r="BM25761" s="1025"/>
      <c r="BO25761" s="43"/>
    </row>
    <row r="25762" spans="65:67" ht="18.75" customHeight="1">
      <c r="BM25762" s="1025"/>
      <c r="BO25762" s="43"/>
    </row>
    <row r="25763" spans="65:67" ht="18.75" customHeight="1">
      <c r="BM25763" s="1025"/>
      <c r="BO25763" s="43"/>
    </row>
    <row r="25764" spans="65:67" ht="18.75" customHeight="1">
      <c r="BM25764" s="1025"/>
      <c r="BO25764" s="43"/>
    </row>
    <row r="25765" spans="65:67" ht="18.75" customHeight="1">
      <c r="BM25765" s="1025"/>
      <c r="BO25765" s="43"/>
    </row>
    <row r="25766" spans="65:67" ht="18.75" customHeight="1">
      <c r="BM25766" s="1025"/>
      <c r="BO25766" s="43"/>
    </row>
    <row r="25767" spans="65:67" ht="18.75" customHeight="1">
      <c r="BM25767" s="1025"/>
      <c r="BO25767" s="43"/>
    </row>
    <row r="25768" spans="65:67" ht="18.75" customHeight="1">
      <c r="BM25768" s="1025"/>
      <c r="BO25768" s="43"/>
    </row>
    <row r="25769" spans="65:67" ht="18.75" customHeight="1">
      <c r="BM25769" s="1025"/>
      <c r="BO25769" s="43"/>
    </row>
    <row r="25770" spans="65:67" ht="18.75" customHeight="1">
      <c r="BM25770" s="1025"/>
      <c r="BO25770" s="43"/>
    </row>
    <row r="25771" spans="65:67" ht="18.75" customHeight="1">
      <c r="BM25771" s="1025"/>
      <c r="BO25771" s="43"/>
    </row>
    <row r="25772" spans="65:67" ht="18.75" customHeight="1">
      <c r="BM25772" s="1025"/>
      <c r="BO25772" s="43"/>
    </row>
    <row r="25773" spans="65:67" ht="18.75" customHeight="1">
      <c r="BM25773" s="1025"/>
      <c r="BO25773" s="43"/>
    </row>
    <row r="25774" spans="65:67" ht="18.75" customHeight="1">
      <c r="BM25774" s="1025"/>
      <c r="BO25774" s="43"/>
    </row>
    <row r="25775" spans="65:67" ht="18.75" customHeight="1">
      <c r="BM25775" s="1025"/>
      <c r="BO25775" s="43"/>
    </row>
    <row r="25776" spans="65:67" ht="18.75" customHeight="1">
      <c r="BM25776" s="1025"/>
      <c r="BO25776" s="43"/>
    </row>
    <row r="25777" spans="65:67" ht="18.75" customHeight="1">
      <c r="BM25777" s="1025"/>
      <c r="BO25777" s="43"/>
    </row>
    <row r="25778" spans="65:67" ht="18.75" customHeight="1">
      <c r="BM25778" s="1025"/>
      <c r="BO25778" s="43"/>
    </row>
    <row r="25779" spans="65:67" ht="18.75" customHeight="1">
      <c r="BM25779" s="1025"/>
      <c r="BO25779" s="43"/>
    </row>
    <row r="25780" spans="65:67" ht="18.75" customHeight="1">
      <c r="BM25780" s="1025"/>
      <c r="BO25780" s="43"/>
    </row>
    <row r="25781" spans="65:67" ht="18.75" customHeight="1">
      <c r="BM25781" s="1025"/>
      <c r="BO25781" s="43"/>
    </row>
    <row r="25782" spans="65:67" ht="18.75" customHeight="1">
      <c r="BM25782" s="1025"/>
      <c r="BO25782" s="43"/>
    </row>
    <row r="25783" spans="65:67" ht="18.75" customHeight="1">
      <c r="BM25783" s="1025"/>
      <c r="BO25783" s="43"/>
    </row>
    <row r="25784" spans="65:67" ht="18.75" customHeight="1">
      <c r="BM25784" s="1025"/>
      <c r="BO25784" s="43"/>
    </row>
    <row r="25785" spans="65:67" ht="18.75" customHeight="1">
      <c r="BM25785" s="1025"/>
      <c r="BO25785" s="43"/>
    </row>
    <row r="25786" spans="65:67" ht="18.75" customHeight="1">
      <c r="BM25786" s="1025"/>
      <c r="BO25786" s="43"/>
    </row>
    <row r="25787" spans="65:67" ht="18.75" customHeight="1">
      <c r="BM25787" s="1025"/>
      <c r="BO25787" s="43"/>
    </row>
    <row r="25788" spans="65:67" ht="18.75" customHeight="1">
      <c r="BM25788" s="1025"/>
      <c r="BO25788" s="43"/>
    </row>
    <row r="25789" spans="65:67" ht="18.75" customHeight="1">
      <c r="BM25789" s="1025"/>
      <c r="BO25789" s="43"/>
    </row>
    <row r="25790" spans="65:67" ht="18.75" customHeight="1">
      <c r="BM25790" s="1025"/>
      <c r="BO25790" s="43"/>
    </row>
    <row r="25791" spans="65:67" ht="18.75" customHeight="1">
      <c r="BM25791" s="1025"/>
      <c r="BO25791" s="43"/>
    </row>
    <row r="25792" spans="65:67" ht="18.75" customHeight="1">
      <c r="BM25792" s="1025"/>
      <c r="BO25792" s="43"/>
    </row>
    <row r="25793" spans="65:67" ht="18.75" customHeight="1">
      <c r="BM25793" s="1025"/>
      <c r="BO25793" s="43"/>
    </row>
    <row r="25794" spans="65:67" ht="18.75" customHeight="1">
      <c r="BM25794" s="1025"/>
      <c r="BO25794" s="43"/>
    </row>
    <row r="25795" spans="65:67" ht="18.75" customHeight="1">
      <c r="BM25795" s="1025"/>
      <c r="BO25795" s="43"/>
    </row>
    <row r="25796" spans="65:67" ht="18.75" customHeight="1">
      <c r="BM25796" s="1025"/>
      <c r="BO25796" s="43"/>
    </row>
    <row r="25797" spans="65:67" ht="18.75" customHeight="1">
      <c r="BM25797" s="1025"/>
      <c r="BO25797" s="43"/>
    </row>
    <row r="25798" spans="65:67" ht="18.75" customHeight="1">
      <c r="BM25798" s="1025"/>
      <c r="BO25798" s="43"/>
    </row>
    <row r="25799" spans="65:67" ht="18.75" customHeight="1">
      <c r="BM25799" s="1025"/>
      <c r="BO25799" s="43"/>
    </row>
    <row r="25800" spans="65:67" ht="18.75" customHeight="1">
      <c r="BM25800" s="1025"/>
      <c r="BO25800" s="43"/>
    </row>
    <row r="25801" spans="65:67" ht="18.75" customHeight="1">
      <c r="BM25801" s="1025"/>
      <c r="BO25801" s="43"/>
    </row>
    <row r="25802" spans="65:67" ht="18.75" customHeight="1">
      <c r="BM25802" s="1025"/>
      <c r="BO25802" s="43"/>
    </row>
    <row r="25803" spans="65:67" ht="18.75" customHeight="1">
      <c r="BM25803" s="1025"/>
      <c r="BO25803" s="43"/>
    </row>
    <row r="25804" spans="65:67" ht="18.75" customHeight="1">
      <c r="BM25804" s="1025"/>
      <c r="BO25804" s="43"/>
    </row>
    <row r="25805" spans="65:67" ht="18.75" customHeight="1">
      <c r="BM25805" s="1025"/>
      <c r="BO25805" s="43"/>
    </row>
    <row r="25806" spans="65:67" ht="18.75" customHeight="1">
      <c r="BM25806" s="1025"/>
      <c r="BO25806" s="43"/>
    </row>
    <row r="25807" spans="65:67" ht="18.75" customHeight="1">
      <c r="BM25807" s="1025"/>
      <c r="BO25807" s="43"/>
    </row>
    <row r="25808" spans="65:67" ht="18.75" customHeight="1">
      <c r="BM25808" s="1025"/>
      <c r="BO25808" s="43"/>
    </row>
    <row r="25809" spans="65:67" ht="18.75" customHeight="1">
      <c r="BM25809" s="1025"/>
      <c r="BO25809" s="43"/>
    </row>
    <row r="25810" spans="65:67" ht="18.75" customHeight="1">
      <c r="BM25810" s="1025"/>
      <c r="BO25810" s="43"/>
    </row>
    <row r="25811" spans="65:67" ht="18.75" customHeight="1">
      <c r="BM25811" s="1025"/>
      <c r="BO25811" s="43"/>
    </row>
    <row r="25812" spans="65:67" ht="18.75" customHeight="1">
      <c r="BM25812" s="1025"/>
      <c r="BO25812" s="43"/>
    </row>
    <row r="25813" spans="65:67" ht="18.75" customHeight="1">
      <c r="BM25813" s="1025"/>
      <c r="BO25813" s="43"/>
    </row>
    <row r="25814" spans="65:67" ht="18.75" customHeight="1">
      <c r="BM25814" s="1025"/>
      <c r="BO25814" s="43"/>
    </row>
    <row r="25815" spans="65:67" ht="18.75" customHeight="1">
      <c r="BM25815" s="1025"/>
      <c r="BO25815" s="43"/>
    </row>
    <row r="25816" spans="65:67" ht="18.75" customHeight="1">
      <c r="BM25816" s="1025"/>
      <c r="BO25816" s="43"/>
    </row>
    <row r="25817" spans="65:67" ht="18.75" customHeight="1">
      <c r="BM25817" s="1025"/>
      <c r="BO25817" s="43"/>
    </row>
    <row r="25818" spans="65:67" ht="18.75" customHeight="1">
      <c r="BM25818" s="1025"/>
      <c r="BO25818" s="43"/>
    </row>
    <row r="25819" spans="65:67" ht="18.75" customHeight="1">
      <c r="BM25819" s="1025"/>
      <c r="BO25819" s="43"/>
    </row>
    <row r="25820" spans="65:67" ht="18.75" customHeight="1">
      <c r="BM25820" s="1025"/>
      <c r="BO25820" s="43"/>
    </row>
    <row r="25821" spans="65:67" ht="18.75" customHeight="1">
      <c r="BM25821" s="1025"/>
      <c r="BO25821" s="43"/>
    </row>
    <row r="25822" spans="65:67" ht="18.75" customHeight="1">
      <c r="BM25822" s="1025"/>
      <c r="BO25822" s="43"/>
    </row>
    <row r="25823" spans="65:67" ht="18.75" customHeight="1">
      <c r="BM25823" s="1025"/>
      <c r="BO25823" s="43"/>
    </row>
    <row r="25824" spans="65:67" ht="18.75" customHeight="1">
      <c r="BM25824" s="1025"/>
      <c r="BO25824" s="43"/>
    </row>
    <row r="25825" spans="65:67" ht="18.75" customHeight="1">
      <c r="BM25825" s="1025"/>
      <c r="BO25825" s="43"/>
    </row>
    <row r="25826" spans="65:67" ht="18.75" customHeight="1">
      <c r="BM25826" s="1025"/>
      <c r="BO25826" s="43"/>
    </row>
    <row r="25827" spans="65:67" ht="18.75" customHeight="1">
      <c r="BM25827" s="1025"/>
      <c r="BO25827" s="43"/>
    </row>
    <row r="25828" spans="65:67" ht="18.75" customHeight="1">
      <c r="BM25828" s="1025"/>
      <c r="BO25828" s="43"/>
    </row>
    <row r="25829" spans="65:67" ht="18.75" customHeight="1">
      <c r="BM25829" s="1025"/>
      <c r="BO25829" s="43"/>
    </row>
    <row r="25830" spans="65:67" ht="18.75" customHeight="1">
      <c r="BM25830" s="1025"/>
      <c r="BO25830" s="43"/>
    </row>
    <row r="25831" spans="65:67" ht="18.75" customHeight="1">
      <c r="BM25831" s="1025"/>
      <c r="BO25831" s="43"/>
    </row>
    <row r="25832" spans="65:67" ht="18.75" customHeight="1">
      <c r="BM25832" s="1025"/>
      <c r="BO25832" s="43"/>
    </row>
    <row r="25833" spans="65:67" ht="18.75" customHeight="1">
      <c r="BM25833" s="1025"/>
      <c r="BO25833" s="43"/>
    </row>
    <row r="25834" spans="65:67" ht="18.75" customHeight="1">
      <c r="BM25834" s="1025"/>
      <c r="BO25834" s="43"/>
    </row>
    <row r="25835" spans="65:67" ht="18.75" customHeight="1">
      <c r="BM25835" s="1025"/>
      <c r="BO25835" s="43"/>
    </row>
    <row r="25836" spans="65:67" ht="18.75" customHeight="1">
      <c r="BM25836" s="1025"/>
      <c r="BO25836" s="43"/>
    </row>
    <row r="25837" spans="65:67" ht="18.75" customHeight="1">
      <c r="BM25837" s="1025"/>
      <c r="BO25837" s="43"/>
    </row>
    <row r="25838" spans="65:67" ht="18.75" customHeight="1">
      <c r="BM25838" s="1025"/>
      <c r="BO25838" s="43"/>
    </row>
    <row r="25839" spans="65:67" ht="18.75" customHeight="1">
      <c r="BM25839" s="1025"/>
      <c r="BO25839" s="43"/>
    </row>
    <row r="25840" spans="65:67" ht="18.75" customHeight="1">
      <c r="BM25840" s="1025"/>
      <c r="BO25840" s="43"/>
    </row>
    <row r="25841" spans="65:67" ht="18.75" customHeight="1">
      <c r="BM25841" s="1025"/>
      <c r="BO25841" s="43"/>
    </row>
    <row r="25842" spans="65:67" ht="18.75" customHeight="1">
      <c r="BM25842" s="1025"/>
      <c r="BO25842" s="43"/>
    </row>
    <row r="25843" spans="65:67" ht="18.75" customHeight="1">
      <c r="BM25843" s="1025"/>
      <c r="BO25843" s="43"/>
    </row>
    <row r="25844" spans="65:67" ht="18.75" customHeight="1">
      <c r="BM25844" s="1025"/>
      <c r="BO25844" s="43"/>
    </row>
    <row r="25845" spans="65:67" ht="18.75" customHeight="1">
      <c r="BM25845" s="1025"/>
      <c r="BO25845" s="43"/>
    </row>
    <row r="25846" spans="65:67" ht="18.75" customHeight="1">
      <c r="BM25846" s="1025"/>
      <c r="BO25846" s="43"/>
    </row>
    <row r="25847" spans="65:67" ht="18.75" customHeight="1">
      <c r="BM25847" s="1025"/>
      <c r="BO25847" s="43"/>
    </row>
    <row r="25848" spans="65:67" ht="18.75" customHeight="1">
      <c r="BM25848" s="1025"/>
      <c r="BO25848" s="43"/>
    </row>
    <row r="25849" spans="65:67" ht="18.75" customHeight="1">
      <c r="BM25849" s="1025"/>
      <c r="BO25849" s="43"/>
    </row>
    <row r="25850" spans="65:67" ht="18.75" customHeight="1">
      <c r="BM25850" s="1025"/>
      <c r="BO25850" s="43"/>
    </row>
    <row r="25851" spans="65:67" ht="18.75" customHeight="1">
      <c r="BM25851" s="1025"/>
      <c r="BO25851" s="43"/>
    </row>
    <row r="25852" spans="65:67" ht="18.75" customHeight="1">
      <c r="BM25852" s="1025"/>
      <c r="BO25852" s="43"/>
    </row>
    <row r="25853" spans="65:67" ht="18.75" customHeight="1">
      <c r="BM25853" s="1025"/>
      <c r="BO25853" s="43"/>
    </row>
    <row r="25854" spans="65:67" ht="18.75" customHeight="1">
      <c r="BM25854" s="1025"/>
      <c r="BO25854" s="43"/>
    </row>
    <row r="25855" spans="65:67" ht="18.75" customHeight="1">
      <c r="BM25855" s="1025"/>
      <c r="BO25855" s="43"/>
    </row>
    <row r="25856" spans="65:67" ht="18.75" customHeight="1">
      <c r="BM25856" s="1025"/>
      <c r="BO25856" s="43"/>
    </row>
    <row r="25857" spans="65:67" ht="18.75" customHeight="1">
      <c r="BM25857" s="1025"/>
      <c r="BO25857" s="43"/>
    </row>
    <row r="25858" spans="65:67" ht="18.75" customHeight="1">
      <c r="BM25858" s="1025"/>
      <c r="BO25858" s="43"/>
    </row>
    <row r="25859" spans="65:67" ht="18.75" customHeight="1">
      <c r="BM25859" s="1025"/>
      <c r="BO25859" s="43"/>
    </row>
    <row r="25860" spans="65:67" ht="18.75" customHeight="1">
      <c r="BM25860" s="1025"/>
      <c r="BO25860" s="43"/>
    </row>
    <row r="25861" spans="65:67" ht="18.75" customHeight="1">
      <c r="BM25861" s="1025"/>
      <c r="BO25861" s="43"/>
    </row>
    <row r="25862" spans="65:67" ht="18.75" customHeight="1">
      <c r="BM25862" s="1025"/>
      <c r="BO25862" s="43"/>
    </row>
    <row r="25863" spans="65:67" ht="18.75" customHeight="1">
      <c r="BM25863" s="1025"/>
      <c r="BO25863" s="43"/>
    </row>
    <row r="25864" spans="65:67" ht="18.75" customHeight="1">
      <c r="BM25864" s="1025"/>
      <c r="BO25864" s="43"/>
    </row>
    <row r="25865" spans="65:67" ht="18.75" customHeight="1">
      <c r="BM25865" s="1025"/>
      <c r="BO25865" s="43"/>
    </row>
    <row r="25866" spans="65:67" ht="18.75" customHeight="1">
      <c r="BM25866" s="1025"/>
      <c r="BO25866" s="43"/>
    </row>
    <row r="25867" spans="65:67" ht="18.75" customHeight="1">
      <c r="BM25867" s="1025"/>
      <c r="BO25867" s="43"/>
    </row>
    <row r="25868" spans="65:67" ht="18.75" customHeight="1">
      <c r="BM25868" s="1025"/>
      <c r="BO25868" s="43"/>
    </row>
    <row r="25869" spans="65:67" ht="18.75" customHeight="1">
      <c r="BM25869" s="1025"/>
      <c r="BO25869" s="43"/>
    </row>
    <row r="25870" spans="65:67" ht="18.75" customHeight="1">
      <c r="BM25870" s="1025"/>
      <c r="BO25870" s="43"/>
    </row>
    <row r="25871" spans="65:67" ht="18.75" customHeight="1">
      <c r="BM25871" s="1025"/>
      <c r="BO25871" s="43"/>
    </row>
    <row r="25872" spans="65:67" ht="18.75" customHeight="1">
      <c r="BM25872" s="1025"/>
      <c r="BO25872" s="43"/>
    </row>
    <row r="25873" spans="65:67" ht="18.75" customHeight="1">
      <c r="BM25873" s="1025"/>
      <c r="BO25873" s="43"/>
    </row>
    <row r="25874" spans="65:67" ht="18.75" customHeight="1">
      <c r="BM25874" s="1025"/>
      <c r="BO25874" s="43"/>
    </row>
    <row r="25875" spans="65:67" ht="18.75" customHeight="1">
      <c r="BM25875" s="1025"/>
      <c r="BO25875" s="43"/>
    </row>
    <row r="25876" spans="65:67" ht="18.75" customHeight="1">
      <c r="BM25876" s="1025"/>
      <c r="BO25876" s="43"/>
    </row>
    <row r="25877" spans="65:67" ht="18.75" customHeight="1">
      <c r="BM25877" s="1025"/>
      <c r="BO25877" s="43"/>
    </row>
    <row r="25878" spans="65:67" ht="18.75" customHeight="1">
      <c r="BM25878" s="1025"/>
      <c r="BO25878" s="43"/>
    </row>
    <row r="25879" spans="65:67" ht="18.75" customHeight="1">
      <c r="BM25879" s="1025"/>
      <c r="BO25879" s="43"/>
    </row>
    <row r="25880" spans="65:67" ht="18.75" customHeight="1">
      <c r="BM25880" s="1025"/>
      <c r="BO25880" s="43"/>
    </row>
    <row r="25881" spans="65:67" ht="18.75" customHeight="1">
      <c r="BM25881" s="1025"/>
      <c r="BO25881" s="43"/>
    </row>
    <row r="25882" spans="65:67" ht="18.75" customHeight="1">
      <c r="BM25882" s="1025"/>
      <c r="BO25882" s="43"/>
    </row>
    <row r="25883" spans="65:67" ht="18.75" customHeight="1">
      <c r="BM25883" s="1025"/>
      <c r="BO25883" s="43"/>
    </row>
    <row r="25884" spans="65:67" ht="18.75" customHeight="1">
      <c r="BM25884" s="1025"/>
      <c r="BO25884" s="43"/>
    </row>
    <row r="25885" spans="65:67" ht="18.75" customHeight="1">
      <c r="BM25885" s="1025"/>
      <c r="BO25885" s="43"/>
    </row>
    <row r="25886" spans="65:67" ht="18.75" customHeight="1">
      <c r="BM25886" s="1025"/>
      <c r="BO25886" s="43"/>
    </row>
    <row r="25887" spans="65:67" ht="18.75" customHeight="1">
      <c r="BM25887" s="1025"/>
      <c r="BO25887" s="43"/>
    </row>
    <row r="25888" spans="65:67" ht="18.75" customHeight="1">
      <c r="BM25888" s="1025"/>
      <c r="BO25888" s="43"/>
    </row>
    <row r="25889" spans="65:67" ht="18.75" customHeight="1">
      <c r="BM25889" s="1025"/>
      <c r="BO25889" s="43"/>
    </row>
    <row r="25890" spans="65:67" ht="18.75" customHeight="1">
      <c r="BM25890" s="1025"/>
      <c r="BO25890" s="43"/>
    </row>
    <row r="25891" spans="65:67" ht="18.75" customHeight="1">
      <c r="BM25891" s="1025"/>
      <c r="BO25891" s="43"/>
    </row>
    <row r="25892" spans="65:67" ht="18.75" customHeight="1">
      <c r="BM25892" s="1025"/>
      <c r="BO25892" s="43"/>
    </row>
    <row r="25893" spans="65:67" ht="18.75" customHeight="1">
      <c r="BM25893" s="1025"/>
      <c r="BO25893" s="43"/>
    </row>
    <row r="25894" spans="65:67" ht="18.75" customHeight="1">
      <c r="BM25894" s="1025"/>
      <c r="BO25894" s="43"/>
    </row>
    <row r="25895" spans="65:67" ht="18.75" customHeight="1">
      <c r="BM25895" s="1025"/>
      <c r="BO25895" s="43"/>
    </row>
    <row r="25896" spans="65:67" ht="18.75" customHeight="1">
      <c r="BM25896" s="1025"/>
      <c r="BO25896" s="43"/>
    </row>
    <row r="25897" spans="65:67" ht="18.75" customHeight="1">
      <c r="BM25897" s="1025"/>
      <c r="BO25897" s="43"/>
    </row>
    <row r="25898" spans="65:67" ht="18.75" customHeight="1">
      <c r="BM25898" s="1025"/>
      <c r="BO25898" s="43"/>
    </row>
    <row r="25899" spans="65:67" ht="18.75" customHeight="1">
      <c r="BM25899" s="1025"/>
      <c r="BO25899" s="43"/>
    </row>
    <row r="25900" spans="65:67" ht="18.75" customHeight="1">
      <c r="BM25900" s="1025"/>
      <c r="BO25900" s="43"/>
    </row>
    <row r="25901" spans="65:67" ht="18.75" customHeight="1">
      <c r="BM25901" s="1025"/>
      <c r="BO25901" s="43"/>
    </row>
    <row r="25902" spans="65:67" ht="18.75" customHeight="1">
      <c r="BM25902" s="1025"/>
      <c r="BO25902" s="43"/>
    </row>
    <row r="25903" spans="65:67" ht="18.75" customHeight="1">
      <c r="BM25903" s="1025"/>
      <c r="BO25903" s="43"/>
    </row>
    <row r="25904" spans="65:67" ht="18.75" customHeight="1">
      <c r="BM25904" s="1025"/>
      <c r="BO25904" s="43"/>
    </row>
    <row r="25905" spans="65:67" ht="18.75" customHeight="1">
      <c r="BM25905" s="1025"/>
      <c r="BO25905" s="43"/>
    </row>
    <row r="25906" spans="65:67" ht="18.75" customHeight="1">
      <c r="BM25906" s="1025"/>
      <c r="BO25906" s="43"/>
    </row>
    <row r="25907" spans="65:67" ht="18.75" customHeight="1">
      <c r="BM25907" s="1025"/>
      <c r="BO25907" s="43"/>
    </row>
    <row r="25908" spans="65:67" ht="18.75" customHeight="1">
      <c r="BM25908" s="1025"/>
      <c r="BO25908" s="43"/>
    </row>
    <row r="25909" spans="65:67" ht="18.75" customHeight="1">
      <c r="BM25909" s="1025"/>
      <c r="BO25909" s="43"/>
    </row>
    <row r="25910" spans="65:67" ht="18.75" customHeight="1">
      <c r="BM25910" s="1025"/>
      <c r="BO25910" s="43"/>
    </row>
    <row r="25911" spans="65:67" ht="18.75" customHeight="1">
      <c r="BM25911" s="1025"/>
      <c r="BO25911" s="43"/>
    </row>
    <row r="25912" spans="65:67" ht="18.75" customHeight="1">
      <c r="BM25912" s="1025"/>
      <c r="BO25912" s="43"/>
    </row>
    <row r="25913" spans="65:67" ht="18.75" customHeight="1">
      <c r="BM25913" s="1025"/>
      <c r="BO25913" s="43"/>
    </row>
    <row r="25914" spans="65:67" ht="18.75" customHeight="1">
      <c r="BM25914" s="1025"/>
      <c r="BO25914" s="43"/>
    </row>
    <row r="25915" spans="65:67" ht="18.75" customHeight="1">
      <c r="BM25915" s="1025"/>
      <c r="BO25915" s="43"/>
    </row>
    <row r="25916" spans="65:67" ht="18.75" customHeight="1">
      <c r="BM25916" s="1025"/>
      <c r="BO25916" s="43"/>
    </row>
    <row r="25917" spans="65:67" ht="18.75" customHeight="1">
      <c r="BM25917" s="1025"/>
      <c r="BO25917" s="43"/>
    </row>
    <row r="25918" spans="65:67" ht="18.75" customHeight="1">
      <c r="BM25918" s="1025"/>
      <c r="BO25918" s="43"/>
    </row>
    <row r="25919" spans="65:67" ht="18.75" customHeight="1">
      <c r="BM25919" s="1025"/>
      <c r="BO25919" s="43"/>
    </row>
    <row r="25920" spans="65:67" ht="18.75" customHeight="1">
      <c r="BM25920" s="1025"/>
      <c r="BO25920" s="43"/>
    </row>
    <row r="25921" spans="65:67" ht="18.75" customHeight="1">
      <c r="BM25921" s="1025"/>
      <c r="BO25921" s="43"/>
    </row>
    <row r="25922" spans="65:67" ht="18.75" customHeight="1">
      <c r="BM25922" s="1025"/>
      <c r="BO25922" s="43"/>
    </row>
    <row r="25923" spans="65:67" ht="18.75" customHeight="1">
      <c r="BM25923" s="1025"/>
      <c r="BO25923" s="43"/>
    </row>
    <row r="25924" spans="65:67" ht="18.75" customHeight="1">
      <c r="BM25924" s="1025"/>
      <c r="BO25924" s="43"/>
    </row>
    <row r="25925" spans="65:67" ht="18.75" customHeight="1">
      <c r="BM25925" s="1025"/>
      <c r="BO25925" s="43"/>
    </row>
    <row r="25926" spans="65:67" ht="18.75" customHeight="1">
      <c r="BM25926" s="1025"/>
      <c r="BO25926" s="43"/>
    </row>
    <row r="25927" spans="65:67" ht="18.75" customHeight="1">
      <c r="BM25927" s="1025"/>
      <c r="BO25927" s="43"/>
    </row>
    <row r="25928" spans="65:67" ht="18.75" customHeight="1">
      <c r="BM25928" s="1025"/>
      <c r="BO25928" s="43"/>
    </row>
    <row r="25929" spans="65:67" ht="18.75" customHeight="1">
      <c r="BM25929" s="1025"/>
      <c r="BO25929" s="43"/>
    </row>
    <row r="25930" spans="65:67" ht="18.75" customHeight="1">
      <c r="BM25930" s="1025"/>
      <c r="BO25930" s="43"/>
    </row>
    <row r="25931" spans="65:67" ht="18.75" customHeight="1">
      <c r="BM25931" s="1025"/>
      <c r="BO25931" s="43"/>
    </row>
    <row r="25932" spans="65:67" ht="18.75" customHeight="1">
      <c r="BM25932" s="1025"/>
      <c r="BO25932" s="43"/>
    </row>
    <row r="25933" spans="65:67" ht="18.75" customHeight="1">
      <c r="BM25933" s="1025"/>
      <c r="BO25933" s="43"/>
    </row>
    <row r="25934" spans="65:67" ht="18.75" customHeight="1">
      <c r="BM25934" s="1025"/>
      <c r="BO25934" s="43"/>
    </row>
    <row r="25935" spans="65:67" ht="18.75" customHeight="1">
      <c r="BM25935" s="1025"/>
      <c r="BO25935" s="43"/>
    </row>
    <row r="25936" spans="65:67" ht="18.75" customHeight="1">
      <c r="BM25936" s="1025"/>
      <c r="BO25936" s="43"/>
    </row>
    <row r="25937" spans="65:67" ht="18.75" customHeight="1">
      <c r="BM25937" s="1025"/>
      <c r="BO25937" s="43"/>
    </row>
    <row r="25938" spans="65:67" ht="18.75" customHeight="1">
      <c r="BM25938" s="1025"/>
      <c r="BO25938" s="43"/>
    </row>
    <row r="25939" spans="65:67" ht="18.75" customHeight="1">
      <c r="BM25939" s="1025"/>
      <c r="BO25939" s="43"/>
    </row>
    <row r="25940" spans="65:67" ht="18.75" customHeight="1">
      <c r="BM25940" s="1025"/>
      <c r="BO25940" s="43"/>
    </row>
    <row r="25941" spans="65:67" ht="18.75" customHeight="1">
      <c r="BM25941" s="1025"/>
      <c r="BO25941" s="43"/>
    </row>
    <row r="25942" spans="65:67" ht="18.75" customHeight="1">
      <c r="BM25942" s="1025"/>
      <c r="BO25942" s="43"/>
    </row>
    <row r="25943" spans="65:67" ht="18.75" customHeight="1">
      <c r="BM25943" s="1025"/>
      <c r="BO25943" s="43"/>
    </row>
    <row r="25944" spans="65:67" ht="18.75" customHeight="1">
      <c r="BM25944" s="1025"/>
      <c r="BO25944" s="43"/>
    </row>
    <row r="25945" spans="65:67" ht="18.75" customHeight="1">
      <c r="BM25945" s="1025"/>
      <c r="BO25945" s="43"/>
    </row>
    <row r="25946" spans="65:67" ht="18.75" customHeight="1">
      <c r="BM25946" s="1025"/>
      <c r="BO25946" s="43"/>
    </row>
    <row r="25947" spans="65:67" ht="18.75" customHeight="1">
      <c r="BM25947" s="1025"/>
      <c r="BO25947" s="43"/>
    </row>
    <row r="25948" spans="65:67" ht="18.75" customHeight="1">
      <c r="BM25948" s="1025"/>
      <c r="BO25948" s="43"/>
    </row>
    <row r="25949" spans="65:67" ht="18.75" customHeight="1">
      <c r="BM25949" s="1025"/>
      <c r="BO25949" s="43"/>
    </row>
    <row r="25950" spans="65:67" ht="18.75" customHeight="1">
      <c r="BM25950" s="1025"/>
      <c r="BO25950" s="43"/>
    </row>
    <row r="25951" spans="65:67" ht="18.75" customHeight="1">
      <c r="BM25951" s="1025"/>
      <c r="BO25951" s="43"/>
    </row>
    <row r="25952" spans="65:67" ht="18.75" customHeight="1">
      <c r="BM25952" s="1025"/>
      <c r="BO25952" s="43"/>
    </row>
    <row r="25953" spans="65:67" ht="18.75" customHeight="1">
      <c r="BM25953" s="1025"/>
      <c r="BO25953" s="43"/>
    </row>
    <row r="25954" spans="65:67" ht="18.75" customHeight="1">
      <c r="BM25954" s="1025"/>
      <c r="BO25954" s="43"/>
    </row>
    <row r="25955" spans="65:67" ht="18.75" customHeight="1">
      <c r="BM25955" s="1025"/>
      <c r="BO25955" s="43"/>
    </row>
    <row r="25956" spans="65:67" ht="18.75" customHeight="1">
      <c r="BM25956" s="1025"/>
      <c r="BO25956" s="43"/>
    </row>
    <row r="25957" spans="65:67" ht="18.75" customHeight="1">
      <c r="BM25957" s="1025"/>
      <c r="BO25957" s="43"/>
    </row>
    <row r="25958" spans="65:67" ht="18.75" customHeight="1">
      <c r="BM25958" s="1025"/>
      <c r="BO25958" s="43"/>
    </row>
    <row r="25959" spans="65:67" ht="18.75" customHeight="1">
      <c r="BM25959" s="1025"/>
      <c r="BO25959" s="43"/>
    </row>
    <row r="25960" spans="65:67" ht="18.75" customHeight="1">
      <c r="BM25960" s="1025"/>
      <c r="BO25960" s="43"/>
    </row>
    <row r="25961" spans="65:67" ht="18.75" customHeight="1">
      <c r="BM25961" s="1025"/>
      <c r="BO25961" s="43"/>
    </row>
    <row r="25962" spans="65:67" ht="18.75" customHeight="1">
      <c r="BM25962" s="1025"/>
      <c r="BO25962" s="43"/>
    </row>
    <row r="25963" spans="65:67" ht="18.75" customHeight="1">
      <c r="BM25963" s="1025"/>
      <c r="BO25963" s="43"/>
    </row>
    <row r="25964" spans="65:67" ht="18.75" customHeight="1">
      <c r="BM25964" s="1025"/>
      <c r="BO25964" s="43"/>
    </row>
    <row r="25965" spans="65:67" ht="18.75" customHeight="1">
      <c r="BM25965" s="1025"/>
      <c r="BO25965" s="43"/>
    </row>
    <row r="25966" spans="65:67" ht="18.75" customHeight="1">
      <c r="BM25966" s="1025"/>
      <c r="BO25966" s="43"/>
    </row>
    <row r="25967" spans="65:67" ht="18.75" customHeight="1">
      <c r="BM25967" s="1025"/>
      <c r="BO25967" s="43"/>
    </row>
    <row r="25968" spans="65:67" ht="18.75" customHeight="1">
      <c r="BM25968" s="1025"/>
      <c r="BO25968" s="43"/>
    </row>
    <row r="25969" spans="65:67" ht="18.75" customHeight="1">
      <c r="BM25969" s="1025"/>
      <c r="BO25969" s="43"/>
    </row>
    <row r="25970" spans="65:67" ht="18.75" customHeight="1">
      <c r="BM25970" s="1025"/>
      <c r="BO25970" s="43"/>
    </row>
    <row r="25971" spans="65:67" ht="18.75" customHeight="1">
      <c r="BM25971" s="1025"/>
      <c r="BO25971" s="43"/>
    </row>
    <row r="25972" spans="65:67" ht="18.75" customHeight="1">
      <c r="BM25972" s="1025"/>
      <c r="BO25972" s="43"/>
    </row>
    <row r="25973" spans="65:67" ht="18.75" customHeight="1">
      <c r="BM25973" s="1025"/>
      <c r="BO25973" s="43"/>
    </row>
    <row r="25974" spans="65:67" ht="18.75" customHeight="1">
      <c r="BM25974" s="1025"/>
      <c r="BO25974" s="43"/>
    </row>
    <row r="25975" spans="65:67" ht="18.75" customHeight="1">
      <c r="BM25975" s="1025"/>
      <c r="BO25975" s="43"/>
    </row>
    <row r="25976" spans="65:67" ht="18.75" customHeight="1">
      <c r="BM25976" s="1025"/>
      <c r="BO25976" s="43"/>
    </row>
    <row r="25977" spans="65:67" ht="18.75" customHeight="1">
      <c r="BM25977" s="1025"/>
      <c r="BO25977" s="43"/>
    </row>
    <row r="25978" spans="65:67" ht="18.75" customHeight="1">
      <c r="BM25978" s="1025"/>
      <c r="BO25978" s="43"/>
    </row>
    <row r="25979" spans="65:67" ht="18.75" customHeight="1">
      <c r="BM25979" s="1025"/>
      <c r="BO25979" s="43"/>
    </row>
    <row r="25980" spans="65:67" ht="18.75" customHeight="1">
      <c r="BM25980" s="1025"/>
      <c r="BO25980" s="43"/>
    </row>
    <row r="25981" spans="65:67" ht="18.75" customHeight="1">
      <c r="BM25981" s="1025"/>
      <c r="BO25981" s="43"/>
    </row>
    <row r="25982" spans="65:67" ht="18.75" customHeight="1">
      <c r="BM25982" s="1025"/>
      <c r="BO25982" s="43"/>
    </row>
    <row r="25983" spans="65:67" ht="18.75" customHeight="1">
      <c r="BM25983" s="1025"/>
      <c r="BO25983" s="43"/>
    </row>
    <row r="25984" spans="65:67" ht="18.75" customHeight="1">
      <c r="BM25984" s="1025"/>
      <c r="BO25984" s="43"/>
    </row>
    <row r="25985" spans="65:67" ht="18.75" customHeight="1">
      <c r="BM25985" s="1025"/>
      <c r="BO25985" s="43"/>
    </row>
    <row r="25986" spans="65:67" ht="18.75" customHeight="1">
      <c r="BM25986" s="1025"/>
      <c r="BO25986" s="43"/>
    </row>
    <row r="25987" spans="65:67" ht="18.75" customHeight="1">
      <c r="BM25987" s="1025"/>
      <c r="BO25987" s="43"/>
    </row>
    <row r="25988" spans="65:67" ht="18.75" customHeight="1">
      <c r="BM25988" s="1025"/>
      <c r="BO25988" s="43"/>
    </row>
    <row r="25989" spans="65:67" ht="18.75" customHeight="1">
      <c r="BM25989" s="1025"/>
      <c r="BO25989" s="43"/>
    </row>
    <row r="25990" spans="65:67" ht="18.75" customHeight="1">
      <c r="BM25990" s="1025"/>
      <c r="BO25990" s="43"/>
    </row>
    <row r="25991" spans="65:67" ht="18.75" customHeight="1">
      <c r="BM25991" s="1025"/>
      <c r="BO25991" s="43"/>
    </row>
    <row r="25992" spans="65:67" ht="18.75" customHeight="1">
      <c r="BM25992" s="1025"/>
      <c r="BO25992" s="43"/>
    </row>
    <row r="25993" spans="65:67" ht="18.75" customHeight="1">
      <c r="BM25993" s="1025"/>
      <c r="BO25993" s="43"/>
    </row>
    <row r="25994" spans="65:67" ht="18.75" customHeight="1">
      <c r="BM25994" s="1025"/>
      <c r="BO25994" s="43"/>
    </row>
    <row r="25995" spans="65:67" ht="18.75" customHeight="1">
      <c r="BM25995" s="1025"/>
      <c r="BO25995" s="43"/>
    </row>
    <row r="25996" spans="65:67" ht="18.75" customHeight="1">
      <c r="BM25996" s="1025"/>
      <c r="BO25996" s="43"/>
    </row>
    <row r="25997" spans="65:67" ht="18.75" customHeight="1">
      <c r="BM25997" s="1025"/>
      <c r="BO25997" s="43"/>
    </row>
    <row r="25998" spans="65:67" ht="18.75" customHeight="1">
      <c r="BM25998" s="1025"/>
      <c r="BO25998" s="43"/>
    </row>
    <row r="25999" spans="65:67" ht="18.75" customHeight="1">
      <c r="BM25999" s="1025"/>
      <c r="BO25999" s="43"/>
    </row>
    <row r="26000" spans="65:67" ht="18.75" customHeight="1">
      <c r="BM26000" s="1025"/>
      <c r="BO26000" s="43"/>
    </row>
    <row r="26001" spans="65:67" ht="18.75" customHeight="1">
      <c r="BM26001" s="1025"/>
      <c r="BO26001" s="43"/>
    </row>
    <row r="26002" spans="65:67" ht="18.75" customHeight="1">
      <c r="BM26002" s="1025"/>
      <c r="BO26002" s="43"/>
    </row>
    <row r="26003" spans="65:67" ht="18.75" customHeight="1">
      <c r="BM26003" s="1025"/>
      <c r="BO26003" s="43"/>
    </row>
    <row r="26004" spans="65:67" ht="18.75" customHeight="1">
      <c r="BM26004" s="1025"/>
      <c r="BO26004" s="43"/>
    </row>
    <row r="26005" spans="65:67" ht="18.75" customHeight="1">
      <c r="BM26005" s="1025"/>
      <c r="BO26005" s="43"/>
    </row>
    <row r="26006" spans="65:67" ht="18.75" customHeight="1">
      <c r="BM26006" s="1025"/>
      <c r="BO26006" s="43"/>
    </row>
    <row r="26007" spans="65:67" ht="18.75" customHeight="1">
      <c r="BM26007" s="1025"/>
      <c r="BO26007" s="43"/>
    </row>
    <row r="26008" spans="65:67" ht="18.75" customHeight="1">
      <c r="BM26008" s="1025"/>
      <c r="BO26008" s="43"/>
    </row>
    <row r="26009" spans="65:67" ht="18.75" customHeight="1">
      <c r="BM26009" s="1025"/>
      <c r="BO26009" s="43"/>
    </row>
    <row r="26010" spans="65:67" ht="18.75" customHeight="1">
      <c r="BM26010" s="1025"/>
      <c r="BO26010" s="43"/>
    </row>
    <row r="26011" spans="65:67" ht="18.75" customHeight="1">
      <c r="BM26011" s="1025"/>
      <c r="BO26011" s="43"/>
    </row>
    <row r="26012" spans="65:67" ht="18.75" customHeight="1">
      <c r="BM26012" s="1025"/>
      <c r="BO26012" s="43"/>
    </row>
    <row r="26013" spans="65:67" ht="18.75" customHeight="1">
      <c r="BM26013" s="1025"/>
      <c r="BO26013" s="43"/>
    </row>
    <row r="26014" spans="65:67" ht="18.75" customHeight="1">
      <c r="BM26014" s="1025"/>
      <c r="BO26014" s="43"/>
    </row>
    <row r="26015" spans="65:67" ht="18.75" customHeight="1">
      <c r="BM26015" s="1025"/>
      <c r="BO26015" s="43"/>
    </row>
    <row r="26016" spans="65:67" ht="18.75" customHeight="1">
      <c r="BM26016" s="1025"/>
      <c r="BO26016" s="43"/>
    </row>
    <row r="26017" spans="65:67" ht="18.75" customHeight="1">
      <c r="BM26017" s="1025"/>
      <c r="BO26017" s="43"/>
    </row>
    <row r="26018" spans="65:67" ht="18.75" customHeight="1">
      <c r="BM26018" s="1025"/>
      <c r="BO26018" s="43"/>
    </row>
    <row r="26019" spans="65:67" ht="18.75" customHeight="1">
      <c r="BM26019" s="1025"/>
      <c r="BO26019" s="43"/>
    </row>
    <row r="26020" spans="65:67" ht="18.75" customHeight="1">
      <c r="BM26020" s="1025"/>
      <c r="BO26020" s="43"/>
    </row>
    <row r="26021" spans="65:67" ht="18.75" customHeight="1">
      <c r="BM26021" s="1025"/>
      <c r="BO26021" s="43"/>
    </row>
    <row r="26022" spans="65:67" ht="18.75" customHeight="1">
      <c r="BM26022" s="1025"/>
      <c r="BO26022" s="43"/>
    </row>
    <row r="26023" spans="65:67" ht="18.75" customHeight="1">
      <c r="BM26023" s="1025"/>
      <c r="BO26023" s="43"/>
    </row>
    <row r="26024" spans="65:67" ht="18.75" customHeight="1">
      <c r="BM26024" s="1025"/>
      <c r="BO26024" s="43"/>
    </row>
    <row r="26025" spans="65:67" ht="18.75" customHeight="1">
      <c r="BM26025" s="1025"/>
      <c r="BO26025" s="43"/>
    </row>
    <row r="26026" spans="65:67" ht="18.75" customHeight="1">
      <c r="BM26026" s="1025"/>
      <c r="BO26026" s="43"/>
    </row>
    <row r="26027" spans="65:67" ht="18.75" customHeight="1">
      <c r="BM26027" s="1025"/>
      <c r="BO26027" s="43"/>
    </row>
    <row r="26028" spans="65:67" ht="18.75" customHeight="1">
      <c r="BM26028" s="1025"/>
      <c r="BO26028" s="43"/>
    </row>
    <row r="26029" spans="65:67" ht="18.75" customHeight="1">
      <c r="BM26029" s="1025"/>
      <c r="BO26029" s="43"/>
    </row>
    <row r="26030" spans="65:67" ht="18.75" customHeight="1">
      <c r="BM26030" s="1025"/>
      <c r="BO26030" s="43"/>
    </row>
    <row r="26031" spans="65:67" ht="18.75" customHeight="1">
      <c r="BM26031" s="1025"/>
      <c r="BO26031" s="43"/>
    </row>
    <row r="26032" spans="65:67" ht="18.75" customHeight="1">
      <c r="BM26032" s="1025"/>
      <c r="BO26032" s="43"/>
    </row>
    <row r="26033" spans="65:67" ht="18.75" customHeight="1">
      <c r="BM26033" s="1025"/>
      <c r="BO26033" s="43"/>
    </row>
    <row r="26034" spans="65:67" ht="18.75" customHeight="1">
      <c r="BM26034" s="1025"/>
      <c r="BO26034" s="43"/>
    </row>
    <row r="26035" spans="65:67" ht="18.75" customHeight="1">
      <c r="BM26035" s="1025"/>
      <c r="BO26035" s="43"/>
    </row>
    <row r="26036" spans="65:67" ht="18.75" customHeight="1">
      <c r="BM26036" s="1025"/>
      <c r="BO26036" s="43"/>
    </row>
    <row r="26037" spans="65:67" ht="18.75" customHeight="1">
      <c r="BM26037" s="1025"/>
      <c r="BO26037" s="43"/>
    </row>
    <row r="26038" spans="65:67" ht="18.75" customHeight="1">
      <c r="BM26038" s="1025"/>
      <c r="BO26038" s="43"/>
    </row>
    <row r="26039" spans="65:67" ht="18.75" customHeight="1">
      <c r="BM26039" s="1025"/>
      <c r="BO26039" s="43"/>
    </row>
    <row r="26040" spans="65:67" ht="18.75" customHeight="1">
      <c r="BM26040" s="1025"/>
      <c r="BO26040" s="43"/>
    </row>
    <row r="26041" spans="65:67" ht="18.75" customHeight="1">
      <c r="BM26041" s="1025"/>
      <c r="BO26041" s="43"/>
    </row>
    <row r="26042" spans="65:67" ht="18.75" customHeight="1">
      <c r="BM26042" s="1025"/>
      <c r="BO26042" s="43"/>
    </row>
    <row r="26043" spans="65:67" ht="18.75" customHeight="1">
      <c r="BM26043" s="1025"/>
      <c r="BO26043" s="43"/>
    </row>
    <row r="26044" spans="65:67" ht="18.75" customHeight="1">
      <c r="BM26044" s="1025"/>
      <c r="BO26044" s="43"/>
    </row>
    <row r="26045" spans="65:67" ht="18.75" customHeight="1">
      <c r="BM26045" s="1025"/>
      <c r="BO26045" s="43"/>
    </row>
    <row r="26046" spans="65:67" ht="18.75" customHeight="1">
      <c r="BM26046" s="1025"/>
      <c r="BO26046" s="43"/>
    </row>
    <row r="26047" spans="65:67" ht="18.75" customHeight="1">
      <c r="BM26047" s="1025"/>
      <c r="BO26047" s="43"/>
    </row>
    <row r="26048" spans="65:67" ht="18.75" customHeight="1">
      <c r="BM26048" s="1025"/>
      <c r="BO26048" s="43"/>
    </row>
    <row r="26049" spans="65:67" ht="18.75" customHeight="1">
      <c r="BM26049" s="1025"/>
      <c r="BO26049" s="43"/>
    </row>
    <row r="26050" spans="65:67" ht="18.75" customHeight="1">
      <c r="BM26050" s="1025"/>
      <c r="BO26050" s="43"/>
    </row>
    <row r="26051" spans="65:67" ht="18.75" customHeight="1">
      <c r="BM26051" s="1025"/>
      <c r="BO26051" s="43"/>
    </row>
    <row r="26052" spans="65:67" ht="18.75" customHeight="1">
      <c r="BM26052" s="1025"/>
      <c r="BO26052" s="43"/>
    </row>
    <row r="26053" spans="65:67" ht="18.75" customHeight="1">
      <c r="BM26053" s="1025"/>
      <c r="BO26053" s="43"/>
    </row>
    <row r="26054" spans="65:67" ht="18.75" customHeight="1">
      <c r="BM26054" s="1025"/>
      <c r="BO26054" s="43"/>
    </row>
    <row r="26055" spans="65:67" ht="18.75" customHeight="1">
      <c r="BM26055" s="1025"/>
      <c r="BO26055" s="43"/>
    </row>
    <row r="26056" spans="65:67" ht="18.75" customHeight="1">
      <c r="BM26056" s="1025"/>
      <c r="BO26056" s="43"/>
    </row>
    <row r="26057" spans="65:67" ht="18.75" customHeight="1">
      <c r="BM26057" s="1025"/>
      <c r="BO26057" s="43"/>
    </row>
    <row r="26058" spans="65:67" ht="18.75" customHeight="1">
      <c r="BM26058" s="1025"/>
      <c r="BO26058" s="43"/>
    </row>
    <row r="26059" spans="65:67" ht="18.75" customHeight="1">
      <c r="BM26059" s="1025"/>
      <c r="BO26059" s="43"/>
    </row>
    <row r="26060" spans="65:67" ht="18.75" customHeight="1">
      <c r="BM26060" s="1025"/>
      <c r="BO26060" s="43"/>
    </row>
    <row r="26061" spans="65:67" ht="18.75" customHeight="1">
      <c r="BM26061" s="1025"/>
      <c r="BO26061" s="43"/>
    </row>
    <row r="26062" spans="65:67" ht="18.75" customHeight="1">
      <c r="BM26062" s="1025"/>
      <c r="BO26062" s="43"/>
    </row>
    <row r="26063" spans="65:67" ht="18.75" customHeight="1">
      <c r="BM26063" s="1025"/>
      <c r="BO26063" s="43"/>
    </row>
    <row r="26064" spans="65:67" ht="18.75" customHeight="1">
      <c r="BM26064" s="1025"/>
      <c r="BO26064" s="43"/>
    </row>
    <row r="26065" spans="65:67" ht="18.75" customHeight="1">
      <c r="BM26065" s="1025"/>
      <c r="BO26065" s="43"/>
    </row>
    <row r="26066" spans="65:67" ht="18.75" customHeight="1">
      <c r="BM26066" s="1025"/>
      <c r="BO26066" s="43"/>
    </row>
    <row r="26067" spans="65:67" ht="18.75" customHeight="1">
      <c r="BM26067" s="1025"/>
      <c r="BO26067" s="43"/>
    </row>
    <row r="26068" spans="65:67" ht="18.75" customHeight="1">
      <c r="BM26068" s="1025"/>
      <c r="BO26068" s="43"/>
    </row>
    <row r="26069" spans="65:67" ht="18.75" customHeight="1">
      <c r="BM26069" s="1025"/>
      <c r="BO26069" s="43"/>
    </row>
    <row r="26070" spans="65:67" ht="18.75" customHeight="1">
      <c r="BM26070" s="1025"/>
      <c r="BO26070" s="43"/>
    </row>
    <row r="26071" spans="65:67" ht="18.75" customHeight="1">
      <c r="BM26071" s="1025"/>
      <c r="BO26071" s="43"/>
    </row>
    <row r="26072" spans="65:67" ht="18.75" customHeight="1">
      <c r="BM26072" s="1025"/>
      <c r="BO26072" s="43"/>
    </row>
    <row r="26073" spans="65:67" ht="18.75" customHeight="1">
      <c r="BM26073" s="1025"/>
      <c r="BO26073" s="43"/>
    </row>
    <row r="26074" spans="65:67" ht="18.75" customHeight="1">
      <c r="BM26074" s="1025"/>
      <c r="BO26074" s="43"/>
    </row>
    <row r="26075" spans="65:67" ht="18.75" customHeight="1">
      <c r="BM26075" s="1025"/>
      <c r="BO26075" s="43"/>
    </row>
    <row r="26076" spans="65:67" ht="18.75" customHeight="1">
      <c r="BM26076" s="1025"/>
      <c r="BO26076" s="43"/>
    </row>
    <row r="26077" spans="65:67" ht="18.75" customHeight="1">
      <c r="BM26077" s="1025"/>
      <c r="BO26077" s="43"/>
    </row>
    <row r="26078" spans="65:67" ht="18.75" customHeight="1">
      <c r="BM26078" s="1025"/>
      <c r="BO26078" s="43"/>
    </row>
    <row r="26079" spans="65:67" ht="18.75" customHeight="1">
      <c r="BM26079" s="1025"/>
      <c r="BO26079" s="43"/>
    </row>
    <row r="26080" spans="65:67" ht="18.75" customHeight="1">
      <c r="BM26080" s="1025"/>
      <c r="BO26080" s="43"/>
    </row>
    <row r="26081" spans="65:67" ht="18.75" customHeight="1">
      <c r="BM26081" s="1025"/>
      <c r="BO26081" s="43"/>
    </row>
    <row r="26082" spans="65:67" ht="18.75" customHeight="1">
      <c r="BM26082" s="1025"/>
      <c r="BO26082" s="43"/>
    </row>
    <row r="26083" spans="65:67" ht="18.75" customHeight="1">
      <c r="BM26083" s="1025"/>
      <c r="BO26083" s="43"/>
    </row>
    <row r="26084" spans="65:67" ht="18.75" customHeight="1">
      <c r="BM26084" s="1025"/>
      <c r="BO26084" s="43"/>
    </row>
    <row r="26085" spans="65:67" ht="18.75" customHeight="1">
      <c r="BM26085" s="1025"/>
      <c r="BO26085" s="43"/>
    </row>
    <row r="26086" spans="65:67" ht="18.75" customHeight="1">
      <c r="BM26086" s="1025"/>
      <c r="BO26086" s="43"/>
    </row>
    <row r="26087" spans="65:67" ht="18.75" customHeight="1">
      <c r="BM26087" s="1025"/>
      <c r="BO26087" s="43"/>
    </row>
    <row r="26088" spans="65:67" ht="18.75" customHeight="1">
      <c r="BM26088" s="1025"/>
      <c r="BO26088" s="43"/>
    </row>
    <row r="26089" spans="65:67" ht="18.75" customHeight="1">
      <c r="BM26089" s="1025"/>
      <c r="BO26089" s="43"/>
    </row>
    <row r="26090" spans="65:67" ht="18.75" customHeight="1">
      <c r="BM26090" s="1025"/>
      <c r="BO26090" s="43"/>
    </row>
    <row r="26091" spans="65:67" ht="18.75" customHeight="1">
      <c r="BM26091" s="1025"/>
      <c r="BO26091" s="43"/>
    </row>
    <row r="26092" spans="65:67" ht="18.75" customHeight="1">
      <c r="BM26092" s="1025"/>
      <c r="BO26092" s="43"/>
    </row>
    <row r="26093" spans="65:67" ht="18.75" customHeight="1">
      <c r="BM26093" s="1025"/>
      <c r="BO26093" s="43"/>
    </row>
    <row r="26094" spans="65:67" ht="18.75" customHeight="1">
      <c r="BM26094" s="1025"/>
      <c r="BO26094" s="43"/>
    </row>
    <row r="26095" spans="65:67" ht="18.75" customHeight="1">
      <c r="BM26095" s="1025"/>
      <c r="BO26095" s="43"/>
    </row>
    <row r="26096" spans="65:67" ht="18.75" customHeight="1">
      <c r="BM26096" s="1025"/>
      <c r="BO26096" s="43"/>
    </row>
    <row r="26097" spans="65:67" ht="18.75" customHeight="1">
      <c r="BM26097" s="1025"/>
      <c r="BO26097" s="43"/>
    </row>
    <row r="26098" spans="65:67" ht="18.75" customHeight="1">
      <c r="BM26098" s="1025"/>
      <c r="BO26098" s="43"/>
    </row>
    <row r="26099" spans="65:67" ht="18.75" customHeight="1">
      <c r="BM26099" s="1025"/>
      <c r="BO26099" s="43"/>
    </row>
    <row r="26100" spans="65:67" ht="18.75" customHeight="1">
      <c r="BM26100" s="1025"/>
      <c r="BO26100" s="43"/>
    </row>
    <row r="26101" spans="65:67" ht="18.75" customHeight="1">
      <c r="BM26101" s="1025"/>
      <c r="BO26101" s="43"/>
    </row>
    <row r="26102" spans="65:67" ht="18.75" customHeight="1">
      <c r="BM26102" s="1025"/>
      <c r="BO26102" s="43"/>
    </row>
    <row r="26103" spans="65:67" ht="18.75" customHeight="1">
      <c r="BM26103" s="1025"/>
      <c r="BO26103" s="43"/>
    </row>
    <row r="26104" spans="65:67" ht="18.75" customHeight="1">
      <c r="BM26104" s="1025"/>
      <c r="BO26104" s="43"/>
    </row>
    <row r="26105" spans="65:67" ht="18.75" customHeight="1">
      <c r="BM26105" s="1025"/>
      <c r="BO26105" s="43"/>
    </row>
    <row r="26106" spans="65:67" ht="18.75" customHeight="1">
      <c r="BM26106" s="1025"/>
      <c r="BO26106" s="43"/>
    </row>
    <row r="26107" spans="65:67" ht="18.75" customHeight="1">
      <c r="BM26107" s="1025"/>
      <c r="BO26107" s="43"/>
    </row>
    <row r="26108" spans="65:67" ht="18.75" customHeight="1">
      <c r="BM26108" s="1025"/>
      <c r="BO26108" s="43"/>
    </row>
    <row r="26109" spans="65:67" ht="18.75" customHeight="1">
      <c r="BM26109" s="1025"/>
      <c r="BO26109" s="43"/>
    </row>
    <row r="26110" spans="65:67" ht="18.75" customHeight="1">
      <c r="BM26110" s="1025"/>
      <c r="BO26110" s="43"/>
    </row>
    <row r="26111" spans="65:67" ht="18.75" customHeight="1">
      <c r="BM26111" s="1025"/>
      <c r="BO26111" s="43"/>
    </row>
    <row r="26112" spans="65:67" ht="18.75" customHeight="1">
      <c r="BM26112" s="1025"/>
      <c r="BO26112" s="43"/>
    </row>
    <row r="26113" spans="65:67" ht="18.75" customHeight="1">
      <c r="BM26113" s="1025"/>
      <c r="BO26113" s="43"/>
    </row>
    <row r="26114" spans="65:67" ht="18.75" customHeight="1">
      <c r="BM26114" s="1025"/>
      <c r="BO26114" s="43"/>
    </row>
    <row r="26115" spans="65:67" ht="18.75" customHeight="1">
      <c r="BM26115" s="1025"/>
      <c r="BO26115" s="43"/>
    </row>
    <row r="26116" spans="65:67" ht="18.75" customHeight="1">
      <c r="BM26116" s="1025"/>
      <c r="BO26116" s="43"/>
    </row>
    <row r="26117" spans="65:67" ht="18.75" customHeight="1">
      <c r="BM26117" s="1025"/>
      <c r="BO26117" s="43"/>
    </row>
    <row r="26118" spans="65:67" ht="18.75" customHeight="1">
      <c r="BM26118" s="1025"/>
      <c r="BO26118" s="43"/>
    </row>
    <row r="26119" spans="65:67" ht="18.75" customHeight="1">
      <c r="BM26119" s="1025"/>
      <c r="BO26119" s="43"/>
    </row>
    <row r="26120" spans="65:67" ht="18.75" customHeight="1">
      <c r="BM26120" s="1025"/>
      <c r="BO26120" s="43"/>
    </row>
    <row r="26121" spans="65:67" ht="18.75" customHeight="1">
      <c r="BM26121" s="1025"/>
      <c r="BO26121" s="43"/>
    </row>
    <row r="26122" spans="65:67" ht="18.75" customHeight="1">
      <c r="BM26122" s="1025"/>
      <c r="BO26122" s="43"/>
    </row>
    <row r="26123" spans="65:67" ht="18.75" customHeight="1">
      <c r="BM26123" s="1025"/>
      <c r="BO26123" s="43"/>
    </row>
    <row r="26124" spans="65:67" ht="18.75" customHeight="1">
      <c r="BM26124" s="1025"/>
      <c r="BO26124" s="43"/>
    </row>
    <row r="26125" spans="65:67" ht="18.75" customHeight="1">
      <c r="BM26125" s="1025"/>
      <c r="BO26125" s="43"/>
    </row>
    <row r="26126" spans="65:67" ht="18.75" customHeight="1">
      <c r="BM26126" s="1025"/>
      <c r="BO26126" s="43"/>
    </row>
    <row r="26127" spans="65:67" ht="18.75" customHeight="1">
      <c r="BM26127" s="1025"/>
      <c r="BO26127" s="43"/>
    </row>
    <row r="26128" spans="65:67" ht="18.75" customHeight="1">
      <c r="BM26128" s="1025"/>
      <c r="BO26128" s="43"/>
    </row>
    <row r="26129" spans="65:67" ht="18.75" customHeight="1">
      <c r="BM26129" s="1025"/>
      <c r="BO26129" s="43"/>
    </row>
    <row r="26130" spans="65:67" ht="18.75" customHeight="1">
      <c r="BM26130" s="1025"/>
      <c r="BO26130" s="43"/>
    </row>
    <row r="26131" spans="65:67" ht="18.75" customHeight="1">
      <c r="BM26131" s="1025"/>
      <c r="BO26131" s="43"/>
    </row>
    <row r="26132" spans="65:67" ht="18.75" customHeight="1">
      <c r="BM26132" s="1025"/>
      <c r="BO26132" s="43"/>
    </row>
    <row r="26133" spans="65:67" ht="18.75" customHeight="1">
      <c r="BM26133" s="1025"/>
      <c r="BO26133" s="43"/>
    </row>
    <row r="26134" spans="65:67" ht="18.75" customHeight="1">
      <c r="BM26134" s="1025"/>
      <c r="BO26134" s="43"/>
    </row>
    <row r="26135" spans="65:67" ht="18.75" customHeight="1">
      <c r="BM26135" s="1025"/>
      <c r="BO26135" s="43"/>
    </row>
    <row r="26136" spans="65:67" ht="18.75" customHeight="1">
      <c r="BM26136" s="1025"/>
      <c r="BO26136" s="43"/>
    </row>
    <row r="26137" spans="65:67" ht="18.75" customHeight="1">
      <c r="BM26137" s="1025"/>
      <c r="BO26137" s="43"/>
    </row>
    <row r="26138" spans="65:67" ht="18.75" customHeight="1">
      <c r="BM26138" s="1025"/>
      <c r="BO26138" s="43"/>
    </row>
    <row r="26139" spans="65:67" ht="18.75" customHeight="1">
      <c r="BM26139" s="1025"/>
      <c r="BO26139" s="43"/>
    </row>
    <row r="26140" spans="65:67" ht="18.75" customHeight="1">
      <c r="BM26140" s="1025"/>
      <c r="BO26140" s="43"/>
    </row>
    <row r="26141" spans="65:67" ht="18.75" customHeight="1">
      <c r="BM26141" s="1025"/>
      <c r="BO26141" s="43"/>
    </row>
    <row r="26142" spans="65:67" ht="18.75" customHeight="1">
      <c r="BM26142" s="1025"/>
      <c r="BO26142" s="43"/>
    </row>
    <row r="26143" spans="65:67" ht="18.75" customHeight="1">
      <c r="BM26143" s="1025"/>
      <c r="BO26143" s="43"/>
    </row>
    <row r="26144" spans="65:67" ht="18.75" customHeight="1">
      <c r="BM26144" s="1025"/>
      <c r="BO26144" s="43"/>
    </row>
    <row r="26145" spans="65:67" ht="18.75" customHeight="1">
      <c r="BM26145" s="1025"/>
      <c r="BO26145" s="43"/>
    </row>
    <row r="26146" spans="65:67" ht="18.75" customHeight="1">
      <c r="BM26146" s="1025"/>
      <c r="BO26146" s="43"/>
    </row>
    <row r="26147" spans="65:67" ht="18.75" customHeight="1">
      <c r="BM26147" s="1025"/>
      <c r="BO26147" s="43"/>
    </row>
    <row r="26148" spans="65:67" ht="18.75" customHeight="1">
      <c r="BM26148" s="1025"/>
      <c r="BO26148" s="43"/>
    </row>
    <row r="26149" spans="65:67" ht="18.75" customHeight="1">
      <c r="BM26149" s="1025"/>
      <c r="BO26149" s="43"/>
    </row>
    <row r="26150" spans="65:67" ht="18.75" customHeight="1">
      <c r="BM26150" s="1025"/>
      <c r="BO26150" s="43"/>
    </row>
    <row r="26151" spans="65:67" ht="18.75" customHeight="1">
      <c r="BM26151" s="1025"/>
      <c r="BO26151" s="43"/>
    </row>
    <row r="26152" spans="65:67" ht="18.75" customHeight="1">
      <c r="BM26152" s="1025"/>
      <c r="BO26152" s="43"/>
    </row>
    <row r="26153" spans="65:67" ht="18.75" customHeight="1">
      <c r="BM26153" s="1025"/>
      <c r="BO26153" s="43"/>
    </row>
    <row r="26154" spans="65:67" ht="18.75" customHeight="1">
      <c r="BM26154" s="1025"/>
      <c r="BO26154" s="43"/>
    </row>
    <row r="26155" spans="65:67" ht="18.75" customHeight="1">
      <c r="BM26155" s="1025"/>
      <c r="BO26155" s="43"/>
    </row>
    <row r="26156" spans="65:67" ht="18.75" customHeight="1">
      <c r="BM26156" s="1025"/>
      <c r="BO26156" s="43"/>
    </row>
    <row r="26157" spans="65:67" ht="18.75" customHeight="1">
      <c r="BM26157" s="1025"/>
      <c r="BO26157" s="43"/>
    </row>
    <row r="26158" spans="65:67" ht="18.75" customHeight="1">
      <c r="BM26158" s="1025"/>
      <c r="BO26158" s="43"/>
    </row>
    <row r="26159" spans="65:67" ht="18.75" customHeight="1">
      <c r="BM26159" s="1025"/>
      <c r="BO26159" s="43"/>
    </row>
    <row r="26160" spans="65:67" ht="18.75" customHeight="1">
      <c r="BM26160" s="1025"/>
      <c r="BO26160" s="43"/>
    </row>
    <row r="26161" spans="65:67" ht="18.75" customHeight="1">
      <c r="BM26161" s="1025"/>
      <c r="BO26161" s="43"/>
    </row>
    <row r="26162" spans="65:67" ht="18.75" customHeight="1">
      <c r="BM26162" s="1025"/>
      <c r="BO26162" s="43"/>
    </row>
    <row r="26163" spans="65:67" ht="18.75" customHeight="1">
      <c r="BM26163" s="1025"/>
      <c r="BO26163" s="43"/>
    </row>
    <row r="26164" spans="65:67" ht="18.75" customHeight="1">
      <c r="BM26164" s="1025"/>
      <c r="BO26164" s="43"/>
    </row>
    <row r="26165" spans="65:67" ht="18.75" customHeight="1">
      <c r="BM26165" s="1025"/>
      <c r="BO26165" s="43"/>
    </row>
    <row r="26166" spans="65:67" ht="18.75" customHeight="1">
      <c r="BM26166" s="1025"/>
      <c r="BO26166" s="43"/>
    </row>
    <row r="26167" spans="65:67" ht="18.75" customHeight="1">
      <c r="BM26167" s="1025"/>
      <c r="BO26167" s="43"/>
    </row>
    <row r="26168" spans="65:67" ht="18.75" customHeight="1">
      <c r="BM26168" s="1025"/>
      <c r="BO26168" s="43"/>
    </row>
    <row r="26169" spans="65:67" ht="18.75" customHeight="1">
      <c r="BM26169" s="1025"/>
      <c r="BO26169" s="43"/>
    </row>
    <row r="26170" spans="65:67" ht="18.75" customHeight="1">
      <c r="BM26170" s="1025"/>
      <c r="BO26170" s="43"/>
    </row>
    <row r="26171" spans="65:67" ht="18.75" customHeight="1">
      <c r="BM26171" s="1025"/>
      <c r="BO26171" s="43"/>
    </row>
    <row r="26172" spans="65:67" ht="18.75" customHeight="1">
      <c r="BM26172" s="1025"/>
      <c r="BO26172" s="43"/>
    </row>
    <row r="26173" spans="65:67" ht="18.75" customHeight="1">
      <c r="BM26173" s="1025"/>
      <c r="BO26173" s="43"/>
    </row>
    <row r="26174" spans="65:67" ht="18.75" customHeight="1">
      <c r="BM26174" s="1025"/>
      <c r="BO26174" s="43"/>
    </row>
    <row r="26175" spans="65:67" ht="18.75" customHeight="1">
      <c r="BM26175" s="1025"/>
      <c r="BO26175" s="43"/>
    </row>
    <row r="26176" spans="65:67" ht="18.75" customHeight="1">
      <c r="BM26176" s="1025"/>
      <c r="BO26176" s="43"/>
    </row>
    <row r="26177" spans="65:67" ht="18.75" customHeight="1">
      <c r="BM26177" s="1025"/>
      <c r="BO26177" s="43"/>
    </row>
    <row r="26178" spans="65:67" ht="18.75" customHeight="1">
      <c r="BM26178" s="1025"/>
      <c r="BO26178" s="43"/>
    </row>
    <row r="26179" spans="65:67" ht="18.75" customHeight="1">
      <c r="BM26179" s="1025"/>
      <c r="BO26179" s="43"/>
    </row>
    <row r="26180" spans="65:67" ht="18.75" customHeight="1">
      <c r="BM26180" s="1025"/>
      <c r="BO26180" s="43"/>
    </row>
    <row r="26181" spans="65:67" ht="18.75" customHeight="1">
      <c r="BM26181" s="1025"/>
      <c r="BO26181" s="43"/>
    </row>
    <row r="26182" spans="65:67" ht="18.75" customHeight="1">
      <c r="BM26182" s="1025"/>
      <c r="BO26182" s="43"/>
    </row>
    <row r="26183" spans="65:67" ht="18.75" customHeight="1">
      <c r="BM26183" s="1025"/>
      <c r="BO26183" s="43"/>
    </row>
    <row r="26184" spans="65:67" ht="18.75" customHeight="1">
      <c r="BM26184" s="1025"/>
      <c r="BO26184" s="43"/>
    </row>
    <row r="26185" spans="65:67" ht="18.75" customHeight="1">
      <c r="BM26185" s="1025"/>
      <c r="BO26185" s="43"/>
    </row>
    <row r="26186" spans="65:67" ht="18.75" customHeight="1">
      <c r="BM26186" s="1025"/>
      <c r="BO26186" s="43"/>
    </row>
    <row r="26187" spans="65:67" ht="18.75" customHeight="1">
      <c r="BM26187" s="1025"/>
      <c r="BO26187" s="43"/>
    </row>
    <row r="26188" spans="65:67" ht="18.75" customHeight="1">
      <c r="BM26188" s="1025"/>
      <c r="BO26188" s="43"/>
    </row>
    <row r="26189" spans="65:67" ht="18.75" customHeight="1">
      <c r="BM26189" s="1025"/>
      <c r="BO26189" s="43"/>
    </row>
    <row r="26190" spans="65:67" ht="18.75" customHeight="1">
      <c r="BM26190" s="1025"/>
      <c r="BO26190" s="43"/>
    </row>
    <row r="26191" spans="65:67" ht="18.75" customHeight="1">
      <c r="BM26191" s="1025"/>
      <c r="BO26191" s="43"/>
    </row>
    <row r="26192" spans="65:67" ht="18.75" customHeight="1">
      <c r="BM26192" s="1025"/>
      <c r="BO26192" s="43"/>
    </row>
    <row r="26193" spans="65:67" ht="18.75" customHeight="1">
      <c r="BM26193" s="1025"/>
      <c r="BO26193" s="43"/>
    </row>
    <row r="26194" spans="65:67" ht="18.75" customHeight="1">
      <c r="BM26194" s="1025"/>
      <c r="BO26194" s="43"/>
    </row>
    <row r="26195" spans="65:67" ht="18.75" customHeight="1">
      <c r="BM26195" s="1025"/>
      <c r="BO26195" s="43"/>
    </row>
    <row r="26196" spans="65:67" ht="18.75" customHeight="1">
      <c r="BM26196" s="1025"/>
      <c r="BO26196" s="43"/>
    </row>
    <row r="26197" spans="65:67" ht="18.75" customHeight="1">
      <c r="BM26197" s="1025"/>
      <c r="BO26197" s="43"/>
    </row>
    <row r="26198" spans="65:67" ht="18.75" customHeight="1">
      <c r="BM26198" s="1025"/>
      <c r="BO26198" s="43"/>
    </row>
    <row r="26199" spans="65:67" ht="18.75" customHeight="1">
      <c r="BM26199" s="1025"/>
      <c r="BO26199" s="43"/>
    </row>
    <row r="26200" spans="65:67" ht="18.75" customHeight="1">
      <c r="BM26200" s="1025"/>
      <c r="BO26200" s="43"/>
    </row>
    <row r="26201" spans="65:67" ht="18.75" customHeight="1">
      <c r="BM26201" s="1025"/>
      <c r="BO26201" s="43"/>
    </row>
    <row r="26202" spans="65:67" ht="18.75" customHeight="1">
      <c r="BM26202" s="1025"/>
      <c r="BO26202" s="43"/>
    </row>
    <row r="26203" spans="65:67" ht="18.75" customHeight="1">
      <c r="BM26203" s="1025"/>
      <c r="BO26203" s="43"/>
    </row>
    <row r="26204" spans="65:67" ht="18.75" customHeight="1">
      <c r="BM26204" s="1025"/>
      <c r="BO26204" s="43"/>
    </row>
    <row r="26205" spans="65:67" ht="18.75" customHeight="1">
      <c r="BM26205" s="1025"/>
      <c r="BO26205" s="43"/>
    </row>
    <row r="26206" spans="65:67" ht="18.75" customHeight="1">
      <c r="BM26206" s="1025"/>
      <c r="BO26206" s="43"/>
    </row>
    <row r="26207" spans="65:67" ht="18.75" customHeight="1">
      <c r="BM26207" s="1025"/>
      <c r="BO26207" s="43"/>
    </row>
    <row r="26208" spans="65:67" ht="18.75" customHeight="1">
      <c r="BM26208" s="1025"/>
      <c r="BO26208" s="43"/>
    </row>
    <row r="26209" spans="65:67" ht="18.75" customHeight="1">
      <c r="BM26209" s="1025"/>
      <c r="BO26209" s="43"/>
    </row>
    <row r="26210" spans="65:67" ht="18.75" customHeight="1">
      <c r="BM26210" s="1025"/>
      <c r="BO26210" s="43"/>
    </row>
    <row r="26211" spans="65:67" ht="18.75" customHeight="1">
      <c r="BM26211" s="1025"/>
      <c r="BO26211" s="43"/>
    </row>
    <row r="26212" spans="65:67" ht="18.75" customHeight="1">
      <c r="BM26212" s="1025"/>
      <c r="BO26212" s="43"/>
    </row>
    <row r="26213" spans="65:67" ht="18.75" customHeight="1">
      <c r="BM26213" s="1025"/>
      <c r="BO26213" s="43"/>
    </row>
    <row r="26214" spans="65:67" ht="18.75" customHeight="1">
      <c r="BM26214" s="1025"/>
      <c r="BO26214" s="43"/>
    </row>
    <row r="26215" spans="65:67" ht="18.75" customHeight="1">
      <c r="BM26215" s="1025"/>
      <c r="BO26215" s="43"/>
    </row>
    <row r="26216" spans="65:67" ht="18.75" customHeight="1">
      <c r="BM26216" s="1025"/>
      <c r="BO26216" s="43"/>
    </row>
    <row r="26217" spans="65:67" ht="18.75" customHeight="1">
      <c r="BM26217" s="1025"/>
      <c r="BO26217" s="43"/>
    </row>
    <row r="26218" spans="65:67" ht="18.75" customHeight="1">
      <c r="BM26218" s="1025"/>
      <c r="BO26218" s="43"/>
    </row>
    <row r="26219" spans="65:67" ht="18.75" customHeight="1">
      <c r="BM26219" s="1025"/>
      <c r="BO26219" s="43"/>
    </row>
    <row r="26220" spans="65:67" ht="18.75" customHeight="1">
      <c r="BM26220" s="1025"/>
      <c r="BO26220" s="43"/>
    </row>
    <row r="26221" spans="65:67" ht="18.75" customHeight="1">
      <c r="BM26221" s="1025"/>
      <c r="BO26221" s="43"/>
    </row>
    <row r="26222" spans="65:67" ht="18.75" customHeight="1">
      <c r="BM26222" s="1025"/>
      <c r="BO26222" s="43"/>
    </row>
    <row r="26223" spans="65:67" ht="18.75" customHeight="1">
      <c r="BM26223" s="1025"/>
      <c r="BO26223" s="43"/>
    </row>
    <row r="26224" spans="65:67" ht="18.75" customHeight="1">
      <c r="BM26224" s="1025"/>
      <c r="BO26224" s="43"/>
    </row>
    <row r="26225" spans="65:67" ht="18.75" customHeight="1">
      <c r="BM26225" s="1025"/>
      <c r="BO26225" s="43"/>
    </row>
    <row r="26226" spans="65:67" ht="18.75" customHeight="1">
      <c r="BM26226" s="1025"/>
      <c r="BO26226" s="43"/>
    </row>
    <row r="26227" spans="65:67" ht="18.75" customHeight="1">
      <c r="BM26227" s="1025"/>
      <c r="BO26227" s="43"/>
    </row>
    <row r="26228" spans="65:67" ht="18.75" customHeight="1">
      <c r="BM26228" s="1025"/>
      <c r="BO26228" s="43"/>
    </row>
    <row r="26229" spans="65:67" ht="18.75" customHeight="1">
      <c r="BM26229" s="1025"/>
      <c r="BO26229" s="43"/>
    </row>
    <row r="26230" spans="65:67" ht="18.75" customHeight="1">
      <c r="BM26230" s="1025"/>
      <c r="BO26230" s="43"/>
    </row>
    <row r="26231" spans="65:67" ht="18.75" customHeight="1">
      <c r="BM26231" s="1025"/>
      <c r="BO26231" s="43"/>
    </row>
    <row r="26232" spans="65:67" ht="18.75" customHeight="1">
      <c r="BM26232" s="1025"/>
      <c r="BO26232" s="43"/>
    </row>
    <row r="26233" spans="65:67" ht="18.75" customHeight="1">
      <c r="BM26233" s="1025"/>
      <c r="BO26233" s="43"/>
    </row>
    <row r="26234" spans="65:67" ht="18.75" customHeight="1">
      <c r="BM26234" s="1025"/>
      <c r="BO26234" s="43"/>
    </row>
    <row r="26235" spans="65:67" ht="18.75" customHeight="1">
      <c r="BM26235" s="1025"/>
      <c r="BO26235" s="43"/>
    </row>
    <row r="26236" spans="65:67" ht="18.75" customHeight="1">
      <c r="BM26236" s="1025"/>
      <c r="BO26236" s="43"/>
    </row>
    <row r="26237" spans="65:67" ht="18.75" customHeight="1">
      <c r="BM26237" s="1025"/>
      <c r="BO26237" s="43"/>
    </row>
    <row r="26238" spans="65:67" ht="18.75" customHeight="1">
      <c r="BM26238" s="1025"/>
      <c r="BO26238" s="43"/>
    </row>
    <row r="26239" spans="65:67" ht="18.75" customHeight="1">
      <c r="BM26239" s="1025"/>
      <c r="BO26239" s="43"/>
    </row>
    <row r="26240" spans="65:67" ht="18.75" customHeight="1">
      <c r="BM26240" s="1025"/>
      <c r="BO26240" s="43"/>
    </row>
    <row r="26241" spans="65:67" ht="18.75" customHeight="1">
      <c r="BM26241" s="1025"/>
      <c r="BO26241" s="43"/>
    </row>
    <row r="26242" spans="65:67" ht="18.75" customHeight="1">
      <c r="BM26242" s="1025"/>
      <c r="BO26242" s="43"/>
    </row>
    <row r="26243" spans="65:67" ht="18.75" customHeight="1">
      <c r="BM26243" s="1025"/>
      <c r="BO26243" s="43"/>
    </row>
    <row r="26244" spans="65:67" ht="18.75" customHeight="1">
      <c r="BM26244" s="1025"/>
      <c r="BO26244" s="43"/>
    </row>
    <row r="26245" spans="65:67" ht="18.75" customHeight="1">
      <c r="BM26245" s="1025"/>
      <c r="BO26245" s="43"/>
    </row>
    <row r="26246" spans="65:67" ht="18.75" customHeight="1">
      <c r="BM26246" s="1025"/>
      <c r="BO26246" s="43"/>
    </row>
    <row r="26247" spans="65:67" ht="18.75" customHeight="1">
      <c r="BM26247" s="1025"/>
      <c r="BO26247" s="43"/>
    </row>
    <row r="26248" spans="65:67" ht="18.75" customHeight="1">
      <c r="BM26248" s="1025"/>
      <c r="BO26248" s="43"/>
    </row>
    <row r="26249" spans="65:67" ht="18.75" customHeight="1">
      <c r="BM26249" s="1025"/>
      <c r="BO26249" s="43"/>
    </row>
    <row r="26250" spans="65:67" ht="18.75" customHeight="1">
      <c r="BM26250" s="1025"/>
      <c r="BO26250" s="43"/>
    </row>
    <row r="26251" spans="65:67" ht="18.75" customHeight="1">
      <c r="BM26251" s="1025"/>
      <c r="BO26251" s="43"/>
    </row>
    <row r="26252" spans="65:67" ht="18.75" customHeight="1">
      <c r="BM26252" s="1025"/>
      <c r="BO26252" s="43"/>
    </row>
    <row r="26253" spans="65:67" ht="18.75" customHeight="1">
      <c r="BM26253" s="1025"/>
      <c r="BO26253" s="43"/>
    </row>
    <row r="26254" spans="65:67" ht="18.75" customHeight="1">
      <c r="BM26254" s="1025"/>
      <c r="BO26254" s="43"/>
    </row>
    <row r="26255" spans="65:67" ht="18.75" customHeight="1">
      <c r="BM26255" s="1025"/>
      <c r="BO26255" s="43"/>
    </row>
    <row r="26256" spans="65:67" ht="18.75" customHeight="1">
      <c r="BM26256" s="1025"/>
      <c r="BO26256" s="43"/>
    </row>
    <row r="26257" spans="65:67" ht="18.75" customHeight="1">
      <c r="BM26257" s="1025"/>
      <c r="BO26257" s="43"/>
    </row>
    <row r="26258" spans="65:67" ht="18.75" customHeight="1">
      <c r="BM26258" s="1025"/>
      <c r="BO26258" s="43"/>
    </row>
    <row r="26259" spans="65:67" ht="18.75" customHeight="1">
      <c r="BM26259" s="1025"/>
      <c r="BO26259" s="43"/>
    </row>
    <row r="26260" spans="65:67" ht="18.75" customHeight="1">
      <c r="BM26260" s="1025"/>
      <c r="BO26260" s="43"/>
    </row>
    <row r="26261" spans="65:67" ht="18.75" customHeight="1">
      <c r="BM26261" s="1025"/>
      <c r="BO26261" s="43"/>
    </row>
    <row r="26262" spans="65:67" ht="18.75" customHeight="1">
      <c r="BM26262" s="1025"/>
      <c r="BO26262" s="43"/>
    </row>
    <row r="26263" spans="65:67" ht="18.75" customHeight="1">
      <c r="BM26263" s="1025"/>
      <c r="BO26263" s="43"/>
    </row>
    <row r="26264" spans="65:67" ht="18.75" customHeight="1">
      <c r="BM26264" s="1025"/>
      <c r="BO26264" s="43"/>
    </row>
    <row r="26265" spans="65:67" ht="18.75" customHeight="1">
      <c r="BM26265" s="1025"/>
      <c r="BO26265" s="43"/>
    </row>
    <row r="26266" spans="65:67" ht="18.75" customHeight="1">
      <c r="BM26266" s="1025"/>
      <c r="BO26266" s="43"/>
    </row>
    <row r="26267" spans="65:67" ht="18.75" customHeight="1">
      <c r="BM26267" s="1025"/>
      <c r="BO26267" s="43"/>
    </row>
    <row r="26268" spans="65:67" ht="18.75" customHeight="1">
      <c r="BM26268" s="1025"/>
      <c r="BO26268" s="43"/>
    </row>
    <row r="26269" spans="65:67" ht="18.75" customHeight="1">
      <c r="BM26269" s="1025"/>
      <c r="BO26269" s="43"/>
    </row>
    <row r="26270" spans="65:67" ht="18.75" customHeight="1">
      <c r="BM26270" s="1025"/>
      <c r="BO26270" s="43"/>
    </row>
    <row r="26271" spans="65:67" ht="18.75" customHeight="1">
      <c r="BM26271" s="1025"/>
      <c r="BO26271" s="43"/>
    </row>
    <row r="26272" spans="65:67" ht="18.75" customHeight="1">
      <c r="BM26272" s="1025"/>
      <c r="BO26272" s="43"/>
    </row>
    <row r="26273" spans="65:67" ht="18.75" customHeight="1">
      <c r="BM26273" s="1025"/>
      <c r="BO26273" s="43"/>
    </row>
    <row r="26274" spans="65:67" ht="18.75" customHeight="1">
      <c r="BM26274" s="1025"/>
      <c r="BO26274" s="43"/>
    </row>
    <row r="26275" spans="65:67" ht="18.75" customHeight="1">
      <c r="BM26275" s="1025"/>
      <c r="BO26275" s="43"/>
    </row>
    <row r="26276" spans="65:67" ht="18.75" customHeight="1">
      <c r="BM26276" s="1025"/>
      <c r="BO26276" s="43"/>
    </row>
    <row r="26277" spans="65:67" ht="18.75" customHeight="1">
      <c r="BM26277" s="1025"/>
      <c r="BO26277" s="43"/>
    </row>
    <row r="26278" spans="65:67" ht="18.75" customHeight="1">
      <c r="BM26278" s="1025"/>
      <c r="BO26278" s="43"/>
    </row>
    <row r="26279" spans="65:67" ht="18.75" customHeight="1">
      <c r="BM26279" s="1025"/>
      <c r="BO26279" s="43"/>
    </row>
    <row r="26280" spans="65:67" ht="18.75" customHeight="1">
      <c r="BM26280" s="1025"/>
      <c r="BO26280" s="43"/>
    </row>
    <row r="26281" spans="65:67" ht="18.75" customHeight="1">
      <c r="BM26281" s="1025"/>
      <c r="BO26281" s="43"/>
    </row>
    <row r="26282" spans="65:67" ht="18.75" customHeight="1">
      <c r="BM26282" s="1025"/>
      <c r="BO26282" s="43"/>
    </row>
    <row r="26283" spans="65:67" ht="18.75" customHeight="1">
      <c r="BM26283" s="1025"/>
      <c r="BO26283" s="43"/>
    </row>
    <row r="26284" spans="65:67" ht="18.75" customHeight="1">
      <c r="BM26284" s="1025"/>
      <c r="BO26284" s="43"/>
    </row>
    <row r="26285" spans="65:67" ht="18.75" customHeight="1">
      <c r="BM26285" s="1025"/>
      <c r="BO26285" s="43"/>
    </row>
    <row r="26286" spans="65:67" ht="18.75" customHeight="1">
      <c r="BM26286" s="1025"/>
      <c r="BO26286" s="43"/>
    </row>
    <row r="26287" spans="65:67" ht="18.75" customHeight="1">
      <c r="BM26287" s="1025"/>
      <c r="BO26287" s="43"/>
    </row>
    <row r="26288" spans="65:67" ht="18.75" customHeight="1">
      <c r="BM26288" s="1025"/>
      <c r="BO26288" s="43"/>
    </row>
    <row r="26289" spans="65:67" ht="18.75" customHeight="1">
      <c r="BM26289" s="1025"/>
      <c r="BO26289" s="43"/>
    </row>
    <row r="26290" spans="65:67" ht="18.75" customHeight="1">
      <c r="BM26290" s="1025"/>
      <c r="BO26290" s="43"/>
    </row>
    <row r="26291" spans="65:67" ht="18.75" customHeight="1">
      <c r="BM26291" s="1025"/>
      <c r="BO26291" s="43"/>
    </row>
    <row r="26292" spans="65:67" ht="18.75" customHeight="1">
      <c r="BM26292" s="1025"/>
      <c r="BO26292" s="43"/>
    </row>
    <row r="26293" spans="65:67" ht="18.75" customHeight="1">
      <c r="BM26293" s="1025"/>
      <c r="BO26293" s="43"/>
    </row>
    <row r="26294" spans="65:67" ht="18.75" customHeight="1">
      <c r="BM26294" s="1025"/>
      <c r="BO26294" s="43"/>
    </row>
    <row r="26295" spans="65:67" ht="18.75" customHeight="1">
      <c r="BM26295" s="1025"/>
      <c r="BO26295" s="43"/>
    </row>
    <row r="26296" spans="65:67" ht="18.75" customHeight="1">
      <c r="BM26296" s="1025"/>
      <c r="BO26296" s="43"/>
    </row>
    <row r="26297" spans="65:67" ht="18.75" customHeight="1">
      <c r="BM26297" s="1025"/>
      <c r="BO26297" s="43"/>
    </row>
    <row r="26298" spans="65:67" ht="18.75" customHeight="1">
      <c r="BM26298" s="1025"/>
      <c r="BO26298" s="43"/>
    </row>
    <row r="26299" spans="65:67" ht="18.75" customHeight="1">
      <c r="BM26299" s="1025"/>
      <c r="BO26299" s="43"/>
    </row>
    <row r="26300" spans="65:67" ht="18.75" customHeight="1">
      <c r="BM26300" s="1025"/>
      <c r="BO26300" s="43"/>
    </row>
    <row r="26301" spans="65:67" ht="18.75" customHeight="1">
      <c r="BM26301" s="1025"/>
      <c r="BO26301" s="43"/>
    </row>
    <row r="26302" spans="65:67" ht="18.75" customHeight="1">
      <c r="BM26302" s="1025"/>
      <c r="BO26302" s="43"/>
    </row>
    <row r="26303" spans="65:67" ht="18.75" customHeight="1">
      <c r="BM26303" s="1025"/>
      <c r="BO26303" s="43"/>
    </row>
    <row r="26304" spans="65:67" ht="18.75" customHeight="1">
      <c r="BM26304" s="1025"/>
      <c r="BO26304" s="43"/>
    </row>
    <row r="26305" spans="65:67" ht="18.75" customHeight="1">
      <c r="BM26305" s="1025"/>
      <c r="BO26305" s="43"/>
    </row>
    <row r="26306" spans="65:67" ht="18.75" customHeight="1">
      <c r="BM26306" s="1025"/>
      <c r="BO26306" s="43"/>
    </row>
    <row r="26307" spans="65:67" ht="18.75" customHeight="1">
      <c r="BM26307" s="1025"/>
      <c r="BO26307" s="43"/>
    </row>
    <row r="26308" spans="65:67" ht="18.75" customHeight="1">
      <c r="BM26308" s="1025"/>
      <c r="BO26308" s="43"/>
    </row>
    <row r="26309" spans="65:67" ht="18.75" customHeight="1">
      <c r="BM26309" s="1025"/>
      <c r="BO26309" s="43"/>
    </row>
    <row r="26310" spans="65:67" ht="18.75" customHeight="1">
      <c r="BM26310" s="1025"/>
      <c r="BO26310" s="43"/>
    </row>
    <row r="26311" spans="65:67" ht="18.75" customHeight="1">
      <c r="BM26311" s="1025"/>
      <c r="BO26311" s="43"/>
    </row>
    <row r="26312" spans="65:67" ht="18.75" customHeight="1">
      <c r="BM26312" s="1025"/>
      <c r="BO26312" s="43"/>
    </row>
    <row r="26313" spans="65:67" ht="18.75" customHeight="1">
      <c r="BM26313" s="1025"/>
      <c r="BO26313" s="43"/>
    </row>
    <row r="26314" spans="65:67" ht="18.75" customHeight="1">
      <c r="BM26314" s="1025"/>
      <c r="BO26314" s="43"/>
    </row>
    <row r="26315" spans="65:67" ht="18.75" customHeight="1">
      <c r="BM26315" s="1025"/>
      <c r="BO26315" s="43"/>
    </row>
    <row r="26316" spans="65:67" ht="18.75" customHeight="1">
      <c r="BM26316" s="1025"/>
      <c r="BO26316" s="43"/>
    </row>
    <row r="26317" spans="65:67" ht="18.75" customHeight="1">
      <c r="BM26317" s="1025"/>
      <c r="BO26317" s="43"/>
    </row>
    <row r="26318" spans="65:67" ht="18.75" customHeight="1">
      <c r="BM26318" s="1025"/>
      <c r="BO26318" s="43"/>
    </row>
    <row r="26319" spans="65:67" ht="18.75" customHeight="1">
      <c r="BM26319" s="1025"/>
      <c r="BO26319" s="43"/>
    </row>
    <row r="26320" spans="65:67" ht="18.75" customHeight="1">
      <c r="BM26320" s="1025"/>
      <c r="BO26320" s="43"/>
    </row>
    <row r="26321" spans="65:67" ht="18.75" customHeight="1">
      <c r="BM26321" s="1025"/>
      <c r="BO26321" s="43"/>
    </row>
    <row r="26322" spans="65:67" ht="18.75" customHeight="1">
      <c r="BM26322" s="1025"/>
      <c r="BO26322" s="43"/>
    </row>
    <row r="26323" spans="65:67" ht="18.75" customHeight="1">
      <c r="BM26323" s="1025"/>
      <c r="BO26323" s="43"/>
    </row>
    <row r="26324" spans="65:67" ht="18.75" customHeight="1">
      <c r="BM26324" s="1025"/>
      <c r="BO26324" s="43"/>
    </row>
    <row r="26325" spans="65:67" ht="18.75" customHeight="1">
      <c r="BM26325" s="1025"/>
      <c r="BO26325" s="43"/>
    </row>
    <row r="26326" spans="65:67" ht="18.75" customHeight="1">
      <c r="BM26326" s="1025"/>
      <c r="BO26326" s="43"/>
    </row>
    <row r="26327" spans="65:67" ht="18.75" customHeight="1">
      <c r="BM26327" s="1025"/>
      <c r="BO26327" s="43"/>
    </row>
    <row r="26328" spans="65:67" ht="18.75" customHeight="1">
      <c r="BM26328" s="1025"/>
      <c r="BO26328" s="43"/>
    </row>
    <row r="26329" spans="65:67" ht="18.75" customHeight="1">
      <c r="BM26329" s="1025"/>
      <c r="BO26329" s="43"/>
    </row>
    <row r="26330" spans="65:67" ht="18.75" customHeight="1">
      <c r="BM26330" s="1025"/>
      <c r="BO26330" s="43"/>
    </row>
    <row r="26331" spans="65:67" ht="18.75" customHeight="1">
      <c r="BM26331" s="1025"/>
      <c r="BO26331" s="43"/>
    </row>
    <row r="26332" spans="65:67" ht="18.75" customHeight="1">
      <c r="BM26332" s="1025"/>
      <c r="BO26332" s="43"/>
    </row>
    <row r="26333" spans="65:67" ht="18.75" customHeight="1">
      <c r="BM26333" s="1025"/>
      <c r="BO26333" s="43"/>
    </row>
    <row r="26334" spans="65:67" ht="18.75" customHeight="1">
      <c r="BM26334" s="1025"/>
      <c r="BO26334" s="43"/>
    </row>
    <row r="26335" spans="65:67" ht="18.75" customHeight="1">
      <c r="BM26335" s="1025"/>
      <c r="BO26335" s="43"/>
    </row>
    <row r="26336" spans="65:67" ht="18.75" customHeight="1">
      <c r="BM26336" s="1025"/>
      <c r="BO26336" s="43"/>
    </row>
    <row r="26337" spans="65:67" ht="18.75" customHeight="1">
      <c r="BM26337" s="1025"/>
      <c r="BO26337" s="43"/>
    </row>
    <row r="26338" spans="65:67" ht="18.75" customHeight="1">
      <c r="BM26338" s="1025"/>
      <c r="BO26338" s="43"/>
    </row>
    <row r="26339" spans="65:67" ht="18.75" customHeight="1">
      <c r="BM26339" s="1025"/>
      <c r="BO26339" s="43"/>
    </row>
    <row r="26340" spans="65:67" ht="18.75" customHeight="1">
      <c r="BM26340" s="1025"/>
      <c r="BO26340" s="43"/>
    </row>
    <row r="26341" spans="65:67" ht="18.75" customHeight="1">
      <c r="BM26341" s="1025"/>
      <c r="BO26341" s="43"/>
    </row>
    <row r="26342" spans="65:67" ht="18.75" customHeight="1">
      <c r="BM26342" s="1025"/>
      <c r="BO26342" s="43"/>
    </row>
    <row r="26343" spans="65:67" ht="18.75" customHeight="1">
      <c r="BM26343" s="1025"/>
      <c r="BO26343" s="43"/>
    </row>
    <row r="26344" spans="65:67" ht="18.75" customHeight="1">
      <c r="BM26344" s="1025"/>
      <c r="BO26344" s="43"/>
    </row>
    <row r="26345" spans="65:67" ht="18.75" customHeight="1">
      <c r="BM26345" s="1025"/>
      <c r="BO26345" s="43"/>
    </row>
    <row r="26346" spans="65:67" ht="18.75" customHeight="1">
      <c r="BM26346" s="1025"/>
      <c r="BO26346" s="43"/>
    </row>
    <row r="26347" spans="65:67" ht="18.75" customHeight="1">
      <c r="BM26347" s="1025"/>
      <c r="BO26347" s="43"/>
    </row>
    <row r="26348" spans="65:67" ht="18.75" customHeight="1">
      <c r="BM26348" s="1025"/>
      <c r="BO26348" s="43"/>
    </row>
    <row r="26349" spans="65:67" ht="18.75" customHeight="1">
      <c r="BM26349" s="1025"/>
      <c r="BO26349" s="43"/>
    </row>
    <row r="26350" spans="65:67" ht="18.75" customHeight="1">
      <c r="BM26350" s="1025"/>
      <c r="BO26350" s="43"/>
    </row>
    <row r="26351" spans="65:67" ht="18.75" customHeight="1">
      <c r="BM26351" s="1025"/>
      <c r="BO26351" s="43"/>
    </row>
    <row r="26352" spans="65:67" ht="18.75" customHeight="1">
      <c r="BM26352" s="1025"/>
      <c r="BO26352" s="43"/>
    </row>
    <row r="26353" spans="65:67" ht="18.75" customHeight="1">
      <c r="BM26353" s="1025"/>
      <c r="BO26353" s="43"/>
    </row>
    <row r="26354" spans="65:67" ht="18.75" customHeight="1">
      <c r="BM26354" s="1025"/>
      <c r="BO26354" s="43"/>
    </row>
    <row r="26355" spans="65:67" ht="18.75" customHeight="1">
      <c r="BM26355" s="1025"/>
      <c r="BO26355" s="43"/>
    </row>
    <row r="26356" spans="65:67" ht="18.75" customHeight="1">
      <c r="BM26356" s="1025"/>
      <c r="BO26356" s="43"/>
    </row>
    <row r="26357" spans="65:67" ht="18.75" customHeight="1">
      <c r="BM26357" s="1025"/>
      <c r="BO26357" s="43"/>
    </row>
    <row r="26358" spans="65:67" ht="18.75" customHeight="1">
      <c r="BM26358" s="1025"/>
      <c r="BO26358" s="43"/>
    </row>
    <row r="26359" spans="65:67" ht="18.75" customHeight="1">
      <c r="BM26359" s="1025"/>
      <c r="BO26359" s="43"/>
    </row>
    <row r="26360" spans="65:67" ht="18.75" customHeight="1">
      <c r="BM26360" s="1025"/>
      <c r="BO26360" s="43"/>
    </row>
    <row r="26361" spans="65:67" ht="18.75" customHeight="1">
      <c r="BM26361" s="1025"/>
      <c r="BO26361" s="43"/>
    </row>
    <row r="26362" spans="65:67" ht="18.75" customHeight="1">
      <c r="BM26362" s="1025"/>
      <c r="BO26362" s="43"/>
    </row>
    <row r="26363" spans="65:67" ht="18.75" customHeight="1">
      <c r="BM26363" s="1025"/>
      <c r="BO26363" s="43"/>
    </row>
    <row r="26364" spans="65:67" ht="18.75" customHeight="1">
      <c r="BM26364" s="1025"/>
      <c r="BO26364" s="43"/>
    </row>
    <row r="26365" spans="65:67" ht="18.75" customHeight="1">
      <c r="BM26365" s="1025"/>
      <c r="BO26365" s="43"/>
    </row>
    <row r="26366" spans="65:67" ht="18.75" customHeight="1">
      <c r="BM26366" s="1025"/>
      <c r="BO26366" s="43"/>
    </row>
    <row r="26367" spans="65:67" ht="18.75" customHeight="1">
      <c r="BM26367" s="1025"/>
      <c r="BO26367" s="43"/>
    </row>
    <row r="26368" spans="65:67" ht="18.75" customHeight="1">
      <c r="BM26368" s="1025"/>
      <c r="BO26368" s="43"/>
    </row>
    <row r="26369" spans="65:67" ht="18.75" customHeight="1">
      <c r="BM26369" s="1025"/>
      <c r="BO26369" s="43"/>
    </row>
    <row r="26370" spans="65:67" ht="18.75" customHeight="1">
      <c r="BM26370" s="1025"/>
      <c r="BO26370" s="43"/>
    </row>
    <row r="26371" spans="65:67" ht="18.75" customHeight="1">
      <c r="BM26371" s="1025"/>
      <c r="BO26371" s="43"/>
    </row>
    <row r="26372" spans="65:67" ht="18.75" customHeight="1">
      <c r="BM26372" s="1025"/>
      <c r="BO26372" s="43"/>
    </row>
    <row r="26373" spans="65:67" ht="18.75" customHeight="1">
      <c r="BM26373" s="1025"/>
      <c r="BO26373" s="43"/>
    </row>
    <row r="26374" spans="65:67" ht="18.75" customHeight="1">
      <c r="BM26374" s="1025"/>
      <c r="BO26374" s="43"/>
    </row>
    <row r="26375" spans="65:67" ht="18.75" customHeight="1">
      <c r="BM26375" s="1025"/>
      <c r="BO26375" s="43"/>
    </row>
    <row r="26376" spans="65:67" ht="18.75" customHeight="1">
      <c r="BM26376" s="1025"/>
      <c r="BO26376" s="43"/>
    </row>
    <row r="26377" spans="65:67" ht="18.75" customHeight="1">
      <c r="BM26377" s="1025"/>
      <c r="BO26377" s="43"/>
    </row>
    <row r="26378" spans="65:67" ht="18.75" customHeight="1">
      <c r="BM26378" s="1025"/>
      <c r="BO26378" s="43"/>
    </row>
    <row r="26379" spans="65:67" ht="18.75" customHeight="1">
      <c r="BM26379" s="1025"/>
      <c r="BO26379" s="43"/>
    </row>
    <row r="26380" spans="65:67" ht="18.75" customHeight="1">
      <c r="BM26380" s="1025"/>
      <c r="BO26380" s="43"/>
    </row>
    <row r="26381" spans="65:67" ht="18.75" customHeight="1">
      <c r="BM26381" s="1025"/>
      <c r="BO26381" s="43"/>
    </row>
    <row r="26382" spans="65:67" ht="18.75" customHeight="1">
      <c r="BM26382" s="1025"/>
      <c r="BO26382" s="43"/>
    </row>
    <row r="26383" spans="65:67" ht="18.75" customHeight="1">
      <c r="BM26383" s="1025"/>
      <c r="BO26383" s="43"/>
    </row>
    <row r="26384" spans="65:67" ht="18.75" customHeight="1">
      <c r="BM26384" s="1025"/>
      <c r="BO26384" s="43"/>
    </row>
    <row r="26385" spans="65:67" ht="18.75" customHeight="1">
      <c r="BM26385" s="1025"/>
      <c r="BO26385" s="43"/>
    </row>
    <row r="26386" spans="65:67" ht="18.75" customHeight="1">
      <c r="BM26386" s="1025"/>
      <c r="BO26386" s="43"/>
    </row>
    <row r="26387" spans="65:67" ht="18.75" customHeight="1">
      <c r="BM26387" s="1025"/>
      <c r="BO26387" s="43"/>
    </row>
    <row r="26388" spans="65:67" ht="18.75" customHeight="1">
      <c r="BM26388" s="1025"/>
      <c r="BO26388" s="43"/>
    </row>
    <row r="26389" spans="65:67" ht="18.75" customHeight="1">
      <c r="BM26389" s="1025"/>
      <c r="BO26389" s="43"/>
    </row>
    <row r="26390" spans="65:67" ht="18.75" customHeight="1">
      <c r="BM26390" s="1025"/>
      <c r="BO26390" s="43"/>
    </row>
    <row r="26391" spans="65:67" ht="18.75" customHeight="1">
      <c r="BM26391" s="1025"/>
      <c r="BO26391" s="43"/>
    </row>
    <row r="26392" spans="65:67" ht="18.75" customHeight="1">
      <c r="BM26392" s="1025"/>
      <c r="BO26392" s="43"/>
    </row>
    <row r="26393" spans="65:67" ht="18.75" customHeight="1">
      <c r="BM26393" s="1025"/>
      <c r="BO26393" s="43"/>
    </row>
    <row r="26394" spans="65:67" ht="18.75" customHeight="1">
      <c r="BM26394" s="1025"/>
      <c r="BO26394" s="43"/>
    </row>
    <row r="26395" spans="65:67" ht="18.75" customHeight="1">
      <c r="BM26395" s="1025"/>
      <c r="BO26395" s="43"/>
    </row>
    <row r="26396" spans="65:67" ht="18.75" customHeight="1">
      <c r="BM26396" s="1025"/>
      <c r="BO26396" s="43"/>
    </row>
    <row r="26397" spans="65:67" ht="18.75" customHeight="1">
      <c r="BM26397" s="1025"/>
      <c r="BO26397" s="43"/>
    </row>
    <row r="26398" spans="65:67" ht="18.75" customHeight="1">
      <c r="BM26398" s="1025"/>
      <c r="BO26398" s="43"/>
    </row>
    <row r="26399" spans="65:67" ht="18.75" customHeight="1">
      <c r="BM26399" s="1025"/>
      <c r="BO26399" s="43"/>
    </row>
    <row r="26400" spans="65:67" ht="18.75" customHeight="1">
      <c r="BM26400" s="1025"/>
      <c r="BO26400" s="43"/>
    </row>
    <row r="26401" spans="65:67" ht="18.75" customHeight="1">
      <c r="BM26401" s="1025"/>
      <c r="BO26401" s="43"/>
    </row>
    <row r="26402" spans="65:67" ht="18.75" customHeight="1">
      <c r="BM26402" s="1025"/>
      <c r="BO26402" s="43"/>
    </row>
    <row r="26403" spans="65:67" ht="18.75" customHeight="1">
      <c r="BM26403" s="1025"/>
      <c r="BO26403" s="43"/>
    </row>
    <row r="26404" spans="65:67" ht="18.75" customHeight="1">
      <c r="BM26404" s="1025"/>
      <c r="BO26404" s="43"/>
    </row>
    <row r="26405" spans="65:67" ht="18.75" customHeight="1">
      <c r="BM26405" s="1025"/>
      <c r="BO26405" s="43"/>
    </row>
    <row r="26406" spans="65:67" ht="18.75" customHeight="1">
      <c r="BM26406" s="1025"/>
      <c r="BO26406" s="43"/>
    </row>
    <row r="26407" spans="65:67" ht="18.75" customHeight="1">
      <c r="BM26407" s="1025"/>
      <c r="BO26407" s="43"/>
    </row>
    <row r="26408" spans="65:67" ht="18.75" customHeight="1">
      <c r="BM26408" s="1025"/>
      <c r="BO26408" s="43"/>
    </row>
    <row r="26409" spans="65:67" ht="18.75" customHeight="1">
      <c r="BM26409" s="1025"/>
      <c r="BO26409" s="43"/>
    </row>
    <row r="26410" spans="65:67" ht="18.75" customHeight="1">
      <c r="BM26410" s="1025"/>
      <c r="BO26410" s="43"/>
    </row>
    <row r="26411" spans="65:67" ht="18.75" customHeight="1">
      <c r="BM26411" s="1025"/>
      <c r="BO26411" s="43"/>
    </row>
    <row r="26412" spans="65:67" ht="18.75" customHeight="1">
      <c r="BM26412" s="1025"/>
      <c r="BO26412" s="43"/>
    </row>
    <row r="26413" spans="65:67" ht="18.75" customHeight="1">
      <c r="BM26413" s="1025"/>
      <c r="BO26413" s="43"/>
    </row>
    <row r="26414" spans="65:67" ht="18.75" customHeight="1">
      <c r="BM26414" s="1025"/>
      <c r="BO26414" s="43"/>
    </row>
    <row r="26415" spans="65:67" ht="18.75" customHeight="1">
      <c r="BM26415" s="1025"/>
      <c r="BO26415" s="43"/>
    </row>
    <row r="26416" spans="65:67" ht="18.75" customHeight="1">
      <c r="BM26416" s="1025"/>
      <c r="BO26416" s="43"/>
    </row>
    <row r="26417" spans="65:67" ht="18.75" customHeight="1">
      <c r="BM26417" s="1025"/>
      <c r="BO26417" s="43"/>
    </row>
    <row r="26418" spans="65:67" ht="18.75" customHeight="1">
      <c r="BM26418" s="1025"/>
      <c r="BO26418" s="43"/>
    </row>
    <row r="26419" spans="65:67" ht="18.75" customHeight="1">
      <c r="BM26419" s="1025"/>
      <c r="BO26419" s="43"/>
    </row>
    <row r="26420" spans="65:67" ht="18.75" customHeight="1">
      <c r="BM26420" s="1025"/>
      <c r="BO26420" s="43"/>
    </row>
    <row r="26421" spans="65:67" ht="18.75" customHeight="1">
      <c r="BM26421" s="1025"/>
      <c r="BO26421" s="43"/>
    </row>
    <row r="26422" spans="65:67" ht="18.75" customHeight="1">
      <c r="BM26422" s="1025"/>
      <c r="BO26422" s="43"/>
    </row>
    <row r="26423" spans="65:67" ht="18.75" customHeight="1">
      <c r="BM26423" s="1025"/>
      <c r="BO26423" s="43"/>
    </row>
    <row r="26424" spans="65:67" ht="18.75" customHeight="1">
      <c r="BM26424" s="1025"/>
      <c r="BO26424" s="43"/>
    </row>
    <row r="26425" spans="65:67" ht="18.75" customHeight="1">
      <c r="BM26425" s="1025"/>
      <c r="BO26425" s="43"/>
    </row>
    <row r="26426" spans="65:67" ht="18.75" customHeight="1">
      <c r="BM26426" s="1025"/>
      <c r="BO26426" s="43"/>
    </row>
    <row r="26427" spans="65:67" ht="18.75" customHeight="1">
      <c r="BM26427" s="1025"/>
      <c r="BO26427" s="43"/>
    </row>
    <row r="26428" spans="65:67" ht="18.75" customHeight="1">
      <c r="BM26428" s="1025"/>
      <c r="BO26428" s="43"/>
    </row>
    <row r="26429" spans="65:67" ht="18.75" customHeight="1">
      <c r="BM26429" s="1025"/>
      <c r="BO26429" s="43"/>
    </row>
    <row r="26430" spans="65:67" ht="18.75" customHeight="1">
      <c r="BM26430" s="1025"/>
      <c r="BO26430" s="43"/>
    </row>
    <row r="26431" spans="65:67" ht="18.75" customHeight="1">
      <c r="BM26431" s="1025"/>
      <c r="BO26431" s="43"/>
    </row>
    <row r="26432" spans="65:67" ht="18.75" customHeight="1">
      <c r="BM26432" s="1025"/>
      <c r="BO26432" s="43"/>
    </row>
    <row r="26433" spans="65:67" ht="18.75" customHeight="1">
      <c r="BM26433" s="1025"/>
      <c r="BO26433" s="43"/>
    </row>
    <row r="26434" spans="65:67" ht="18.75" customHeight="1">
      <c r="BM26434" s="1025"/>
      <c r="BO26434" s="43"/>
    </row>
    <row r="26435" spans="65:67" ht="18.75" customHeight="1">
      <c r="BM26435" s="1025"/>
      <c r="BO26435" s="43"/>
    </row>
    <row r="26436" spans="65:67" ht="18.75" customHeight="1">
      <c r="BM26436" s="1025"/>
      <c r="BO26436" s="43"/>
    </row>
    <row r="26437" spans="65:67" ht="18.75" customHeight="1">
      <c r="BM26437" s="1025"/>
      <c r="BO26437" s="43"/>
    </row>
    <row r="26438" spans="65:67" ht="18.75" customHeight="1">
      <c r="BM26438" s="1025"/>
      <c r="BO26438" s="43"/>
    </row>
    <row r="26439" spans="65:67" ht="18.75" customHeight="1">
      <c r="BM26439" s="1025"/>
      <c r="BO26439" s="43"/>
    </row>
    <row r="26440" spans="65:67" ht="18.75" customHeight="1">
      <c r="BM26440" s="1025"/>
      <c r="BO26440" s="43"/>
    </row>
    <row r="26441" spans="65:67" ht="18.75" customHeight="1">
      <c r="BM26441" s="1025"/>
      <c r="BO26441" s="43"/>
    </row>
    <row r="26442" spans="65:67" ht="18.75" customHeight="1">
      <c r="BM26442" s="1025"/>
      <c r="BO26442" s="43"/>
    </row>
    <row r="26443" spans="65:67" ht="18.75" customHeight="1">
      <c r="BM26443" s="1025"/>
      <c r="BO26443" s="43"/>
    </row>
    <row r="26444" spans="65:67" ht="18.75" customHeight="1">
      <c r="BM26444" s="1025"/>
      <c r="BO26444" s="43"/>
    </row>
    <row r="26445" spans="65:67" ht="18.75" customHeight="1">
      <c r="BM26445" s="1025"/>
      <c r="BO26445" s="43"/>
    </row>
    <row r="26446" spans="65:67" ht="18.75" customHeight="1">
      <c r="BM26446" s="1025"/>
      <c r="BO26446" s="43"/>
    </row>
    <row r="26447" spans="65:67" ht="18.75" customHeight="1">
      <c r="BM26447" s="1025"/>
      <c r="BO26447" s="43"/>
    </row>
    <row r="26448" spans="65:67" ht="18.75" customHeight="1">
      <c r="BM26448" s="1025"/>
      <c r="BO26448" s="43"/>
    </row>
    <row r="26449" spans="65:67" ht="18.75" customHeight="1">
      <c r="BM26449" s="1025"/>
      <c r="BO26449" s="43"/>
    </row>
    <row r="26450" spans="65:67" ht="18.75" customHeight="1">
      <c r="BM26450" s="1025"/>
      <c r="BO26450" s="43"/>
    </row>
    <row r="26451" spans="65:67" ht="18.75" customHeight="1">
      <c r="BM26451" s="1025"/>
      <c r="BO26451" s="43"/>
    </row>
    <row r="26452" spans="65:67" ht="18.75" customHeight="1">
      <c r="BM26452" s="1025"/>
      <c r="BO26452" s="43"/>
    </row>
    <row r="26453" spans="65:67" ht="18.75" customHeight="1">
      <c r="BM26453" s="1025"/>
      <c r="BO26453" s="43"/>
    </row>
    <row r="26454" spans="65:67" ht="18.75" customHeight="1">
      <c r="BM26454" s="1025"/>
      <c r="BO26454" s="43"/>
    </row>
    <row r="26455" spans="65:67" ht="18.75" customHeight="1">
      <c r="BM26455" s="1025"/>
      <c r="BO26455" s="43"/>
    </row>
    <row r="26456" spans="65:67" ht="18.75" customHeight="1">
      <c r="BM26456" s="1025"/>
      <c r="BO26456" s="43"/>
    </row>
    <row r="26457" spans="65:67" ht="18.75" customHeight="1">
      <c r="BM26457" s="1025"/>
      <c r="BO26457" s="43"/>
    </row>
    <row r="26458" spans="65:67" ht="18.75" customHeight="1">
      <c r="BM26458" s="1025"/>
      <c r="BO26458" s="43"/>
    </row>
    <row r="26459" spans="65:67" ht="18.75" customHeight="1">
      <c r="BM26459" s="1025"/>
      <c r="BO26459" s="43"/>
    </row>
    <row r="26460" spans="65:67" ht="18.75" customHeight="1">
      <c r="BM26460" s="1025"/>
      <c r="BO26460" s="43"/>
    </row>
    <row r="26461" spans="65:67" ht="18.75" customHeight="1">
      <c r="BM26461" s="1025"/>
      <c r="BO26461" s="43"/>
    </row>
    <row r="26462" spans="65:67" ht="18.75" customHeight="1">
      <c r="BM26462" s="1025"/>
      <c r="BO26462" s="43"/>
    </row>
    <row r="26463" spans="65:67" ht="18.75" customHeight="1">
      <c r="BM26463" s="1025"/>
      <c r="BO26463" s="43"/>
    </row>
    <row r="26464" spans="65:67" ht="18.75" customHeight="1">
      <c r="BM26464" s="1025"/>
      <c r="BO26464" s="43"/>
    </row>
    <row r="26465" spans="65:67" ht="18.75" customHeight="1">
      <c r="BM26465" s="1025"/>
      <c r="BO26465" s="43"/>
    </row>
    <row r="26466" spans="65:67" ht="18.75" customHeight="1">
      <c r="BM26466" s="1025"/>
      <c r="BO26466" s="43"/>
    </row>
    <row r="26467" spans="65:67" ht="18.75" customHeight="1">
      <c r="BM26467" s="1025"/>
      <c r="BO26467" s="43"/>
    </row>
    <row r="26468" spans="65:67" ht="18.75" customHeight="1">
      <c r="BM26468" s="1025"/>
      <c r="BO26468" s="43"/>
    </row>
    <row r="26469" spans="65:67" ht="18.75" customHeight="1">
      <c r="BM26469" s="1025"/>
      <c r="BO26469" s="43"/>
    </row>
    <row r="26470" spans="65:67" ht="18.75" customHeight="1">
      <c r="BM26470" s="1025"/>
      <c r="BO26470" s="43"/>
    </row>
    <row r="26471" spans="65:67" ht="18.75" customHeight="1">
      <c r="BM26471" s="1025"/>
      <c r="BO26471" s="43"/>
    </row>
    <row r="26472" spans="65:67" ht="18.75" customHeight="1">
      <c r="BM26472" s="1025"/>
      <c r="BO26472" s="43"/>
    </row>
    <row r="26473" spans="65:67" ht="18.75" customHeight="1">
      <c r="BM26473" s="1025"/>
      <c r="BO26473" s="43"/>
    </row>
    <row r="26474" spans="65:67" ht="18.75" customHeight="1">
      <c r="BM26474" s="1025"/>
      <c r="BO26474" s="43"/>
    </row>
    <row r="26475" spans="65:67" ht="18.75" customHeight="1">
      <c r="BM26475" s="1025"/>
      <c r="BO26475" s="43"/>
    </row>
    <row r="26476" spans="65:67" ht="18.75" customHeight="1">
      <c r="BM26476" s="1025"/>
      <c r="BO26476" s="43"/>
    </row>
    <row r="26477" spans="65:67" ht="18.75" customHeight="1">
      <c r="BM26477" s="1025"/>
      <c r="BO26477" s="43"/>
    </row>
    <row r="26478" spans="65:67" ht="18.75" customHeight="1">
      <c r="BM26478" s="1025"/>
      <c r="BO26478" s="43"/>
    </row>
    <row r="26479" spans="65:67" ht="18.75" customHeight="1">
      <c r="BM26479" s="1025"/>
      <c r="BO26479" s="43"/>
    </row>
    <row r="26480" spans="65:67" ht="18.75" customHeight="1">
      <c r="BM26480" s="1025"/>
      <c r="BO26480" s="43"/>
    </row>
    <row r="26481" spans="65:67" ht="18.75" customHeight="1">
      <c r="BM26481" s="1025"/>
      <c r="BO26481" s="43"/>
    </row>
    <row r="26482" spans="65:67" ht="18.75" customHeight="1">
      <c r="BM26482" s="1025"/>
      <c r="BO26482" s="43"/>
    </row>
    <row r="26483" spans="65:67" ht="18.75" customHeight="1">
      <c r="BM26483" s="1025"/>
      <c r="BO26483" s="43"/>
    </row>
    <row r="26484" spans="65:67" ht="18.75" customHeight="1">
      <c r="BM26484" s="1025"/>
      <c r="BO26484" s="43"/>
    </row>
    <row r="26485" spans="65:67" ht="18.75" customHeight="1">
      <c r="BM26485" s="1025"/>
      <c r="BO26485" s="43"/>
    </row>
    <row r="26486" spans="65:67" ht="18.75" customHeight="1">
      <c r="BM26486" s="1025"/>
      <c r="BO26486" s="43"/>
    </row>
    <row r="26487" spans="65:67" ht="18.75" customHeight="1">
      <c r="BM26487" s="1025"/>
      <c r="BO26487" s="43"/>
    </row>
    <row r="26488" spans="65:67" ht="18.75" customHeight="1">
      <c r="BM26488" s="1025"/>
      <c r="BO26488" s="43"/>
    </row>
    <row r="26489" spans="65:67" ht="18.75" customHeight="1">
      <c r="BM26489" s="1025"/>
      <c r="BO26489" s="43"/>
    </row>
    <row r="26490" spans="65:67" ht="18.75" customHeight="1">
      <c r="BM26490" s="1025"/>
      <c r="BO26490" s="43"/>
    </row>
    <row r="26491" spans="65:67" ht="18.75" customHeight="1">
      <c r="BM26491" s="1025"/>
      <c r="BO26491" s="43"/>
    </row>
    <row r="26492" spans="65:67" ht="18.75" customHeight="1">
      <c r="BM26492" s="1025"/>
      <c r="BO26492" s="43"/>
    </row>
    <row r="26493" spans="65:67" ht="18.75" customHeight="1">
      <c r="BM26493" s="1025"/>
      <c r="BO26493" s="43"/>
    </row>
    <row r="26494" spans="65:67" ht="18.75" customHeight="1">
      <c r="BM26494" s="1025"/>
      <c r="BO26494" s="43"/>
    </row>
    <row r="26495" spans="65:67" ht="18.75" customHeight="1">
      <c r="BM26495" s="1025"/>
      <c r="BO26495" s="43"/>
    </row>
    <row r="26496" spans="65:67" ht="18.75" customHeight="1">
      <c r="BM26496" s="1025"/>
      <c r="BO26496" s="43"/>
    </row>
    <row r="26497" spans="65:67" ht="18.75" customHeight="1">
      <c r="BM26497" s="1025"/>
      <c r="BO26497" s="43"/>
    </row>
    <row r="26498" spans="65:67" ht="18.75" customHeight="1">
      <c r="BM26498" s="1025"/>
      <c r="BO26498" s="43"/>
    </row>
    <row r="26499" spans="65:67" ht="18.75" customHeight="1">
      <c r="BM26499" s="1025"/>
      <c r="BO26499" s="43"/>
    </row>
    <row r="26500" spans="65:67" ht="18.75" customHeight="1">
      <c r="BM26500" s="1025"/>
      <c r="BO26500" s="43"/>
    </row>
    <row r="26501" spans="65:67" ht="18.75" customHeight="1">
      <c r="BM26501" s="1025"/>
      <c r="BO26501" s="43"/>
    </row>
    <row r="26502" spans="65:67" ht="18.75" customHeight="1">
      <c r="BM26502" s="1025"/>
      <c r="BO26502" s="43"/>
    </row>
    <row r="26503" spans="65:67" ht="18.75" customHeight="1">
      <c r="BM26503" s="1025"/>
      <c r="BO26503" s="43"/>
    </row>
    <row r="26504" spans="65:67" ht="18.75" customHeight="1">
      <c r="BM26504" s="1025"/>
      <c r="BO26504" s="43"/>
    </row>
    <row r="26505" spans="65:67" ht="18.75" customHeight="1">
      <c r="BM26505" s="1025"/>
      <c r="BO26505" s="43"/>
    </row>
    <row r="26506" spans="65:67" ht="18.75" customHeight="1">
      <c r="BM26506" s="1025"/>
      <c r="BO26506" s="43"/>
    </row>
    <row r="26507" spans="65:67" ht="18.75" customHeight="1">
      <c r="BM26507" s="1025"/>
      <c r="BO26507" s="43"/>
    </row>
    <row r="26508" spans="65:67" ht="18.75" customHeight="1">
      <c r="BM26508" s="1025"/>
      <c r="BO26508" s="43"/>
    </row>
    <row r="26509" spans="65:67" ht="18.75" customHeight="1">
      <c r="BM26509" s="1025"/>
      <c r="BO26509" s="43"/>
    </row>
    <row r="26510" spans="65:67" ht="18.75" customHeight="1">
      <c r="BM26510" s="1025"/>
      <c r="BO26510" s="43"/>
    </row>
    <row r="26511" spans="65:67" ht="18.75" customHeight="1">
      <c r="BM26511" s="1025"/>
      <c r="BO26511" s="43"/>
    </row>
    <row r="26512" spans="65:67" ht="18.75" customHeight="1">
      <c r="BM26512" s="1025"/>
      <c r="BO26512" s="43"/>
    </row>
    <row r="26513" spans="65:67" ht="18.75" customHeight="1">
      <c r="BM26513" s="1025"/>
      <c r="BO26513" s="43"/>
    </row>
    <row r="26514" spans="65:67" ht="18.75" customHeight="1">
      <c r="BM26514" s="1025"/>
      <c r="BO26514" s="43"/>
    </row>
    <row r="26515" spans="65:67" ht="18.75" customHeight="1">
      <c r="BM26515" s="1025"/>
      <c r="BO26515" s="43"/>
    </row>
    <row r="26516" spans="65:67" ht="18.75" customHeight="1">
      <c r="BM26516" s="1025"/>
      <c r="BO26516" s="43"/>
    </row>
    <row r="26517" spans="65:67" ht="18.75" customHeight="1">
      <c r="BM26517" s="1025"/>
      <c r="BO26517" s="43"/>
    </row>
    <row r="26518" spans="65:67" ht="18.75" customHeight="1">
      <c r="BM26518" s="1025"/>
      <c r="BO26518" s="43"/>
    </row>
    <row r="26519" spans="65:67" ht="18.75" customHeight="1">
      <c r="BM26519" s="1025"/>
      <c r="BO26519" s="43"/>
    </row>
    <row r="26520" spans="65:67" ht="18.75" customHeight="1">
      <c r="BM26520" s="1025"/>
      <c r="BO26520" s="43"/>
    </row>
    <row r="26521" spans="65:67" ht="18.75" customHeight="1">
      <c r="BM26521" s="1025"/>
      <c r="BO26521" s="43"/>
    </row>
    <row r="26522" spans="65:67" ht="18.75" customHeight="1">
      <c r="BM26522" s="1025"/>
      <c r="BO26522" s="43"/>
    </row>
    <row r="26523" spans="65:67" ht="18.75" customHeight="1">
      <c r="BM26523" s="1025"/>
      <c r="BO26523" s="43"/>
    </row>
    <row r="26524" spans="65:67" ht="18.75" customHeight="1">
      <c r="BM26524" s="1025"/>
      <c r="BO26524" s="43"/>
    </row>
    <row r="26525" spans="65:67" ht="18.75" customHeight="1">
      <c r="BM26525" s="1025"/>
      <c r="BO26525" s="43"/>
    </row>
    <row r="26526" spans="65:67" ht="18.75" customHeight="1">
      <c r="BM26526" s="1025"/>
      <c r="BO26526" s="43"/>
    </row>
    <row r="26527" spans="65:67" ht="18.75" customHeight="1">
      <c r="BM26527" s="1025"/>
      <c r="BO26527" s="43"/>
    </row>
    <row r="26528" spans="65:67" ht="18.75" customHeight="1">
      <c r="BM26528" s="1025"/>
      <c r="BO26528" s="43"/>
    </row>
    <row r="26529" spans="65:67" ht="18.75" customHeight="1">
      <c r="BM26529" s="1025"/>
      <c r="BO26529" s="43"/>
    </row>
    <row r="26530" spans="65:67" ht="18.75" customHeight="1">
      <c r="BM26530" s="1025"/>
      <c r="BO26530" s="43"/>
    </row>
    <row r="26531" spans="65:67" ht="18.75" customHeight="1">
      <c r="BM26531" s="1025"/>
      <c r="BO26531" s="43"/>
    </row>
    <row r="26532" spans="65:67" ht="18.75" customHeight="1">
      <c r="BM26532" s="1025"/>
      <c r="BO26532" s="43"/>
    </row>
    <row r="26533" spans="65:67" ht="18.75" customHeight="1">
      <c r="BM26533" s="1025"/>
      <c r="BO26533" s="43"/>
    </row>
    <row r="26534" spans="65:67" ht="18.75" customHeight="1">
      <c r="BM26534" s="1025"/>
      <c r="BO26534" s="43"/>
    </row>
    <row r="26535" spans="65:67" ht="18.75" customHeight="1">
      <c r="BM26535" s="1025"/>
      <c r="BO26535" s="43"/>
    </row>
    <row r="26536" spans="65:67" ht="18.75" customHeight="1">
      <c r="BM26536" s="1025"/>
      <c r="BO26536" s="43"/>
    </row>
    <row r="26537" spans="65:67" ht="18.75" customHeight="1">
      <c r="BM26537" s="1025"/>
      <c r="BO26537" s="43"/>
    </row>
    <row r="26538" spans="65:67" ht="18.75" customHeight="1">
      <c r="BM26538" s="1025"/>
      <c r="BO26538" s="43"/>
    </row>
    <row r="26539" spans="65:67" ht="18.75" customHeight="1">
      <c r="BM26539" s="1025"/>
      <c r="BO26539" s="43"/>
    </row>
    <row r="26540" spans="65:67" ht="18.75" customHeight="1">
      <c r="BM26540" s="1025"/>
      <c r="BO26540" s="43"/>
    </row>
    <row r="26541" spans="65:67" ht="18.75" customHeight="1">
      <c r="BM26541" s="1025"/>
      <c r="BO26541" s="43"/>
    </row>
    <row r="26542" spans="65:67" ht="18.75" customHeight="1">
      <c r="BM26542" s="1025"/>
      <c r="BO26542" s="43"/>
    </row>
    <row r="26543" spans="65:67" ht="18.75" customHeight="1">
      <c r="BM26543" s="1025"/>
      <c r="BO26543" s="43"/>
    </row>
    <row r="26544" spans="65:67" ht="18.75" customHeight="1">
      <c r="BM26544" s="1025"/>
      <c r="BO26544" s="43"/>
    </row>
    <row r="26545" spans="65:67" ht="18.75" customHeight="1">
      <c r="BM26545" s="1025"/>
      <c r="BO26545" s="43"/>
    </row>
    <row r="26546" spans="65:67" ht="18.75" customHeight="1">
      <c r="BM26546" s="1025"/>
      <c r="BO26546" s="43"/>
    </row>
    <row r="26547" spans="65:67" ht="18.75" customHeight="1">
      <c r="BM26547" s="1025"/>
      <c r="BO26547" s="43"/>
    </row>
    <row r="26548" spans="65:67" ht="18.75" customHeight="1">
      <c r="BM26548" s="1025"/>
      <c r="BO26548" s="43"/>
    </row>
    <row r="26549" spans="65:67" ht="18.75" customHeight="1">
      <c r="BM26549" s="1025"/>
      <c r="BO26549" s="43"/>
    </row>
    <row r="26550" spans="65:67" ht="18.75" customHeight="1">
      <c r="BM26550" s="1025"/>
      <c r="BO26550" s="43"/>
    </row>
    <row r="26551" spans="65:67" ht="18.75" customHeight="1">
      <c r="BM26551" s="1025"/>
      <c r="BO26551" s="43"/>
    </row>
    <row r="26552" spans="65:67" ht="18.75" customHeight="1">
      <c r="BM26552" s="1025"/>
      <c r="BO26552" s="43"/>
    </row>
    <row r="26553" spans="65:67" ht="18.75" customHeight="1">
      <c r="BM26553" s="1025"/>
      <c r="BO26553" s="43"/>
    </row>
    <row r="26554" spans="65:67" ht="18.75" customHeight="1">
      <c r="BM26554" s="1025"/>
      <c r="BO26554" s="43"/>
    </row>
    <row r="26555" spans="65:67" ht="18.75" customHeight="1">
      <c r="BM26555" s="1025"/>
      <c r="BO26555" s="43"/>
    </row>
    <row r="26556" spans="65:67" ht="18.75" customHeight="1">
      <c r="BM26556" s="1025"/>
      <c r="BO26556" s="43"/>
    </row>
    <row r="26557" spans="65:67" ht="18.75" customHeight="1">
      <c r="BM26557" s="1025"/>
      <c r="BO26557" s="43"/>
    </row>
    <row r="26558" spans="65:67" ht="18.75" customHeight="1">
      <c r="BM26558" s="1025"/>
      <c r="BO26558" s="43"/>
    </row>
    <row r="26559" spans="65:67" ht="18.75" customHeight="1">
      <c r="BM26559" s="1025"/>
      <c r="BO26559" s="43"/>
    </row>
    <row r="26560" spans="65:67" ht="18.75" customHeight="1">
      <c r="BM26560" s="1025"/>
      <c r="BO26560" s="43"/>
    </row>
    <row r="26561" spans="65:67" ht="18.75" customHeight="1">
      <c r="BM26561" s="1025"/>
      <c r="BO26561" s="43"/>
    </row>
    <row r="26562" spans="65:67" ht="18.75" customHeight="1">
      <c r="BM26562" s="1025"/>
      <c r="BO26562" s="43"/>
    </row>
    <row r="26563" spans="65:67" ht="18.75" customHeight="1">
      <c r="BM26563" s="1025"/>
      <c r="BO26563" s="43"/>
    </row>
    <row r="26564" spans="65:67" ht="18.75" customHeight="1">
      <c r="BM26564" s="1025"/>
      <c r="BO26564" s="43"/>
    </row>
    <row r="26565" spans="65:67" ht="18.75" customHeight="1">
      <c r="BM26565" s="1025"/>
      <c r="BO26565" s="43"/>
    </row>
    <row r="26566" spans="65:67" ht="18.75" customHeight="1">
      <c r="BM26566" s="1025"/>
      <c r="BO26566" s="43"/>
    </row>
    <row r="26567" spans="65:67" ht="18.75" customHeight="1">
      <c r="BM26567" s="1025"/>
      <c r="BO26567" s="43"/>
    </row>
    <row r="26568" spans="65:67" ht="18.75" customHeight="1">
      <c r="BM26568" s="1025"/>
      <c r="BO26568" s="43"/>
    </row>
    <row r="26569" spans="65:67" ht="18.75" customHeight="1">
      <c r="BM26569" s="1025"/>
      <c r="BO26569" s="43"/>
    </row>
    <row r="26570" spans="65:67" ht="18.75" customHeight="1">
      <c r="BM26570" s="1025"/>
      <c r="BO26570" s="43"/>
    </row>
    <row r="26571" spans="65:67" ht="18.75" customHeight="1">
      <c r="BM26571" s="1025"/>
      <c r="BO26571" s="43"/>
    </row>
    <row r="26572" spans="65:67" ht="18.75" customHeight="1">
      <c r="BM26572" s="1025"/>
      <c r="BO26572" s="43"/>
    </row>
    <row r="26573" spans="65:67" ht="18.75" customHeight="1">
      <c r="BM26573" s="1025"/>
      <c r="BO26573" s="43"/>
    </row>
    <row r="26574" spans="65:67" ht="18.75" customHeight="1">
      <c r="BM26574" s="1025"/>
      <c r="BO26574" s="43"/>
    </row>
    <row r="26575" spans="65:67" ht="18.75" customHeight="1">
      <c r="BM26575" s="1025"/>
      <c r="BO26575" s="43"/>
    </row>
    <row r="26576" spans="65:67" ht="18.75" customHeight="1">
      <c r="BM26576" s="1025"/>
      <c r="BO26576" s="43"/>
    </row>
    <row r="26577" spans="65:67" ht="18.75" customHeight="1">
      <c r="BM26577" s="1025"/>
      <c r="BO26577" s="43"/>
    </row>
    <row r="26578" spans="65:67" ht="18.75" customHeight="1">
      <c r="BM26578" s="1025"/>
      <c r="BO26578" s="43"/>
    </row>
    <row r="26579" spans="65:67" ht="18.75" customHeight="1">
      <c r="BM26579" s="1025"/>
      <c r="BO26579" s="43"/>
    </row>
    <row r="26580" spans="65:67" ht="18.75" customHeight="1">
      <c r="BM26580" s="1025"/>
      <c r="BO26580" s="43"/>
    </row>
    <row r="26581" spans="65:67" ht="18.75" customHeight="1">
      <c r="BM26581" s="1025"/>
      <c r="BO26581" s="43"/>
    </row>
    <row r="26582" spans="65:67" ht="18.75" customHeight="1">
      <c r="BM26582" s="1025"/>
      <c r="BO26582" s="43"/>
    </row>
    <row r="26583" spans="65:67" ht="18.75" customHeight="1">
      <c r="BM26583" s="1025"/>
      <c r="BO26583" s="43"/>
    </row>
    <row r="26584" spans="65:67" ht="18.75" customHeight="1">
      <c r="BM26584" s="1025"/>
      <c r="BO26584" s="43"/>
    </row>
    <row r="26585" spans="65:67" ht="18.75" customHeight="1">
      <c r="BM26585" s="1025"/>
      <c r="BO26585" s="43"/>
    </row>
    <row r="26586" spans="65:67" ht="18.75" customHeight="1">
      <c r="BM26586" s="1025"/>
      <c r="BO26586" s="43"/>
    </row>
    <row r="26587" spans="65:67" ht="18.75" customHeight="1">
      <c r="BM26587" s="1025"/>
      <c r="BO26587" s="43"/>
    </row>
    <row r="26588" spans="65:67" ht="18.75" customHeight="1">
      <c r="BM26588" s="1025"/>
      <c r="BO26588" s="43"/>
    </row>
    <row r="26589" spans="65:67" ht="18.75" customHeight="1">
      <c r="BM26589" s="1025"/>
      <c r="BO26589" s="43"/>
    </row>
    <row r="26590" spans="65:67" ht="18.75" customHeight="1">
      <c r="BM26590" s="1025"/>
      <c r="BO26590" s="43"/>
    </row>
    <row r="26591" spans="65:67" ht="18.75" customHeight="1">
      <c r="BM26591" s="1025"/>
      <c r="BO26591" s="43"/>
    </row>
    <row r="26592" spans="65:67" ht="18.75" customHeight="1">
      <c r="BM26592" s="1025"/>
      <c r="BO26592" s="43"/>
    </row>
    <row r="26593" spans="65:67" ht="18.75" customHeight="1">
      <c r="BM26593" s="1025"/>
      <c r="BO26593" s="43"/>
    </row>
    <row r="26594" spans="65:67" ht="18.75" customHeight="1">
      <c r="BM26594" s="1025"/>
      <c r="BO26594" s="43"/>
    </row>
    <row r="26595" spans="65:67" ht="18.75" customHeight="1">
      <c r="BM26595" s="1025"/>
      <c r="BO26595" s="43"/>
    </row>
    <row r="26596" spans="65:67" ht="18.75" customHeight="1">
      <c r="BM26596" s="1025"/>
      <c r="BO26596" s="43"/>
    </row>
    <row r="26597" spans="65:67" ht="18.75" customHeight="1">
      <c r="BM26597" s="1025"/>
      <c r="BO26597" s="43"/>
    </row>
    <row r="26598" spans="65:67" ht="18.75" customHeight="1">
      <c r="BM26598" s="1025"/>
      <c r="BO26598" s="43"/>
    </row>
    <row r="26599" spans="65:67" ht="18.75" customHeight="1">
      <c r="BM26599" s="1025"/>
      <c r="BO26599" s="43"/>
    </row>
    <row r="26600" spans="65:67" ht="18.75" customHeight="1">
      <c r="BM26600" s="1025"/>
      <c r="BO26600" s="43"/>
    </row>
    <row r="26601" spans="65:67" ht="18.75" customHeight="1">
      <c r="BM26601" s="1025"/>
      <c r="BO26601" s="43"/>
    </row>
    <row r="26602" spans="65:67" ht="18.75" customHeight="1">
      <c r="BM26602" s="1025"/>
      <c r="BO26602" s="43"/>
    </row>
    <row r="26603" spans="65:67" ht="18.75" customHeight="1">
      <c r="BM26603" s="1025"/>
      <c r="BO26603" s="43"/>
    </row>
    <row r="26604" spans="65:67" ht="18.75" customHeight="1">
      <c r="BM26604" s="1025"/>
      <c r="BO26604" s="43"/>
    </row>
    <row r="26605" spans="65:67" ht="18.75" customHeight="1">
      <c r="BM26605" s="1025"/>
      <c r="BO26605" s="43"/>
    </row>
    <row r="26606" spans="65:67" ht="18.75" customHeight="1">
      <c r="BM26606" s="1025"/>
      <c r="BO26606" s="43"/>
    </row>
    <row r="26607" spans="65:67" ht="18.75" customHeight="1">
      <c r="BM26607" s="1025"/>
      <c r="BO26607" s="43"/>
    </row>
    <row r="26608" spans="65:67" ht="18.75" customHeight="1">
      <c r="BM26608" s="1025"/>
      <c r="BO26608" s="43"/>
    </row>
    <row r="26609" spans="65:67" ht="18.75" customHeight="1">
      <c r="BM26609" s="1025"/>
      <c r="BO26609" s="43"/>
    </row>
    <row r="26610" spans="65:67" ht="18.75" customHeight="1">
      <c r="BM26610" s="1025"/>
      <c r="BO26610" s="43"/>
    </row>
    <row r="26611" spans="65:67" ht="18.75" customHeight="1">
      <c r="BM26611" s="1025"/>
      <c r="BO26611" s="43"/>
    </row>
    <row r="26612" spans="65:67" ht="18.75" customHeight="1">
      <c r="BM26612" s="1025"/>
      <c r="BO26612" s="43"/>
    </row>
    <row r="26613" spans="65:67" ht="18.75" customHeight="1">
      <c r="BM26613" s="1025"/>
      <c r="BO26613" s="43"/>
    </row>
    <row r="26614" spans="65:67" ht="18.75" customHeight="1">
      <c r="BM26614" s="1025"/>
      <c r="BO26614" s="43"/>
    </row>
    <row r="26615" spans="65:67" ht="18.75" customHeight="1">
      <c r="BM26615" s="1025"/>
      <c r="BO26615" s="43"/>
    </row>
    <row r="26616" spans="65:67" ht="18.75" customHeight="1">
      <c r="BM26616" s="1025"/>
      <c r="BO26616" s="43"/>
    </row>
    <row r="26617" spans="65:67" ht="18.75" customHeight="1">
      <c r="BM26617" s="1025"/>
      <c r="BO26617" s="43"/>
    </row>
    <row r="26618" spans="65:67" ht="18.75" customHeight="1">
      <c r="BM26618" s="1025"/>
      <c r="BO26618" s="43"/>
    </row>
    <row r="26619" spans="65:67" ht="18.75" customHeight="1">
      <c r="BM26619" s="1025"/>
      <c r="BO26619" s="43"/>
    </row>
    <row r="26620" spans="65:67" ht="18.75" customHeight="1">
      <c r="BM26620" s="1025"/>
      <c r="BO26620" s="43"/>
    </row>
    <row r="26621" spans="65:67" ht="18.75" customHeight="1">
      <c r="BM26621" s="1025"/>
      <c r="BO26621" s="43"/>
    </row>
    <row r="26622" spans="65:67" ht="18.75" customHeight="1">
      <c r="BM26622" s="1025"/>
      <c r="BO26622" s="43"/>
    </row>
    <row r="26623" spans="65:67" ht="18.75" customHeight="1">
      <c r="BM26623" s="1025"/>
      <c r="BO26623" s="43"/>
    </row>
    <row r="26624" spans="65:67" ht="18.75" customHeight="1">
      <c r="BM26624" s="1025"/>
      <c r="BO26624" s="43"/>
    </row>
    <row r="26625" spans="65:67" ht="18.75" customHeight="1">
      <c r="BM26625" s="1025"/>
      <c r="BO26625" s="43"/>
    </row>
    <row r="26626" spans="65:67" ht="18.75" customHeight="1">
      <c r="BM26626" s="1025"/>
      <c r="BO26626" s="43"/>
    </row>
    <row r="26627" spans="65:67" ht="18.75" customHeight="1">
      <c r="BM26627" s="1025"/>
      <c r="BO26627" s="43"/>
    </row>
    <row r="26628" spans="65:67" ht="18.75" customHeight="1">
      <c r="BM26628" s="1025"/>
      <c r="BO26628" s="43"/>
    </row>
    <row r="26629" spans="65:67" ht="18.75" customHeight="1">
      <c r="BM26629" s="1025"/>
      <c r="BO26629" s="43"/>
    </row>
    <row r="26630" spans="65:67" ht="18.75" customHeight="1">
      <c r="BM26630" s="1025"/>
      <c r="BO26630" s="43"/>
    </row>
    <row r="26631" spans="65:67" ht="18.75" customHeight="1">
      <c r="BM26631" s="1025"/>
      <c r="BO26631" s="43"/>
    </row>
    <row r="26632" spans="65:67" ht="18.75" customHeight="1">
      <c r="BM26632" s="1025"/>
      <c r="BO26632" s="43"/>
    </row>
    <row r="26633" spans="65:67" ht="18.75" customHeight="1">
      <c r="BM26633" s="1025"/>
      <c r="BO26633" s="43"/>
    </row>
    <row r="26634" spans="65:67" ht="18.75" customHeight="1">
      <c r="BM26634" s="1025"/>
      <c r="BO26634" s="43"/>
    </row>
    <row r="26635" spans="65:67" ht="18.75" customHeight="1">
      <c r="BM26635" s="1025"/>
      <c r="BO26635" s="43"/>
    </row>
    <row r="26636" spans="65:67" ht="18.75" customHeight="1">
      <c r="BM26636" s="1025"/>
      <c r="BO26636" s="43"/>
    </row>
    <row r="26637" spans="65:67" ht="18.75" customHeight="1">
      <c r="BM26637" s="1025"/>
      <c r="BO26637" s="43"/>
    </row>
    <row r="26638" spans="65:67" ht="18.75" customHeight="1">
      <c r="BM26638" s="1025"/>
      <c r="BO26638" s="43"/>
    </row>
    <row r="26639" spans="65:67" ht="18.75" customHeight="1">
      <c r="BM26639" s="1025"/>
      <c r="BO26639" s="43"/>
    </row>
    <row r="26640" spans="65:67" ht="18.75" customHeight="1">
      <c r="BM26640" s="1025"/>
      <c r="BO26640" s="43"/>
    </row>
    <row r="26641" spans="65:67" ht="18.75" customHeight="1">
      <c r="BM26641" s="1025"/>
      <c r="BO26641" s="43"/>
    </row>
    <row r="26642" spans="65:67" ht="18.75" customHeight="1">
      <c r="BM26642" s="1025"/>
      <c r="BO26642" s="43"/>
    </row>
    <row r="26643" spans="65:67" ht="18.75" customHeight="1">
      <c r="BM26643" s="1025"/>
      <c r="BO26643" s="43"/>
    </row>
    <row r="26644" spans="65:67" ht="18.75" customHeight="1">
      <c r="BM26644" s="1025"/>
      <c r="BO26644" s="43"/>
    </row>
    <row r="26645" spans="65:67" ht="18.75" customHeight="1">
      <c r="BM26645" s="1025"/>
      <c r="BO26645" s="43"/>
    </row>
    <row r="26646" spans="65:67" ht="18.75" customHeight="1">
      <c r="BM26646" s="1025"/>
      <c r="BO26646" s="43"/>
    </row>
    <row r="26647" spans="65:67" ht="18.75" customHeight="1">
      <c r="BM26647" s="1025"/>
      <c r="BO26647" s="43"/>
    </row>
    <row r="26648" spans="65:67" ht="18.75" customHeight="1">
      <c r="BM26648" s="1025"/>
      <c r="BO26648" s="43"/>
    </row>
    <row r="26649" spans="65:67" ht="18.75" customHeight="1">
      <c r="BM26649" s="1025"/>
      <c r="BO26649" s="43"/>
    </row>
    <row r="26650" spans="65:67" ht="18.75" customHeight="1">
      <c r="BM26650" s="1025"/>
      <c r="BO26650" s="43"/>
    </row>
    <row r="26651" spans="65:67" ht="18.75" customHeight="1">
      <c r="BM26651" s="1025"/>
      <c r="BO26651" s="43"/>
    </row>
    <row r="26652" spans="65:67" ht="18.75" customHeight="1">
      <c r="BM26652" s="1025"/>
      <c r="BO26652" s="43"/>
    </row>
    <row r="26653" spans="65:67" ht="18.75" customHeight="1">
      <c r="BM26653" s="1025"/>
      <c r="BO26653" s="43"/>
    </row>
    <row r="26654" spans="65:67" ht="18.75" customHeight="1">
      <c r="BM26654" s="1025"/>
      <c r="BO26654" s="43"/>
    </row>
    <row r="26655" spans="65:67" ht="18.75" customHeight="1">
      <c r="BM26655" s="1025"/>
      <c r="BO26655" s="43"/>
    </row>
    <row r="26656" spans="65:67" ht="18.75" customHeight="1">
      <c r="BM26656" s="1025"/>
      <c r="BO26656" s="43"/>
    </row>
    <row r="26657" spans="65:67" ht="18.75" customHeight="1">
      <c r="BM26657" s="1025"/>
      <c r="BO26657" s="43"/>
    </row>
    <row r="26658" spans="65:67" ht="18.75" customHeight="1">
      <c r="BM26658" s="1025"/>
      <c r="BO26658" s="43"/>
    </row>
    <row r="26659" spans="65:67" ht="18.75" customHeight="1">
      <c r="BM26659" s="1025"/>
      <c r="BO26659" s="43"/>
    </row>
    <row r="26660" spans="65:67" ht="18.75" customHeight="1">
      <c r="BM26660" s="1025"/>
      <c r="BO26660" s="43"/>
    </row>
    <row r="26661" spans="65:67" ht="18.75" customHeight="1">
      <c r="BM26661" s="1025"/>
      <c r="BO26661" s="43"/>
    </row>
    <row r="26662" spans="65:67" ht="18.75" customHeight="1">
      <c r="BM26662" s="1025"/>
      <c r="BO26662" s="43"/>
    </row>
    <row r="26663" spans="65:67" ht="18.75" customHeight="1">
      <c r="BM26663" s="1025"/>
      <c r="BO26663" s="43"/>
    </row>
    <row r="26664" spans="65:67" ht="18.75" customHeight="1">
      <c r="BM26664" s="1025"/>
      <c r="BO26664" s="43"/>
    </row>
    <row r="26665" spans="65:67" ht="18.75" customHeight="1">
      <c r="BM26665" s="1025"/>
      <c r="BO26665" s="43"/>
    </row>
    <row r="26666" spans="65:67" ht="18.75" customHeight="1">
      <c r="BM26666" s="1025"/>
      <c r="BO26666" s="43"/>
    </row>
    <row r="26667" spans="65:67" ht="18.75" customHeight="1">
      <c r="BM26667" s="1025"/>
      <c r="BO26667" s="43"/>
    </row>
    <row r="26668" spans="65:67" ht="18.75" customHeight="1">
      <c r="BM26668" s="1025"/>
      <c r="BO26668" s="43"/>
    </row>
    <row r="26669" spans="65:67" ht="18.75" customHeight="1">
      <c r="BM26669" s="1025"/>
      <c r="BO26669" s="43"/>
    </row>
    <row r="26670" spans="65:67" ht="18.75" customHeight="1">
      <c r="BM26670" s="1025"/>
      <c r="BO26670" s="43"/>
    </row>
    <row r="26671" spans="65:67" ht="18.75" customHeight="1">
      <c r="BM26671" s="1025"/>
      <c r="BO26671" s="43"/>
    </row>
    <row r="26672" spans="65:67" ht="18.75" customHeight="1">
      <c r="BM26672" s="1025"/>
      <c r="BO26672" s="43"/>
    </row>
    <row r="26673" spans="65:67" ht="18.75" customHeight="1">
      <c r="BM26673" s="1025"/>
      <c r="BO26673" s="43"/>
    </row>
    <row r="26674" spans="65:67" ht="18.75" customHeight="1">
      <c r="BM26674" s="1025"/>
      <c r="BO26674" s="43"/>
    </row>
    <row r="26675" spans="65:67" ht="18.75" customHeight="1">
      <c r="BM26675" s="1025"/>
      <c r="BO26675" s="43"/>
    </row>
    <row r="26676" spans="65:67" ht="18.75" customHeight="1">
      <c r="BM26676" s="1025"/>
      <c r="BO26676" s="43"/>
    </row>
    <row r="26677" spans="65:67" ht="18.75" customHeight="1">
      <c r="BM26677" s="1025"/>
      <c r="BO26677" s="43"/>
    </row>
    <row r="26678" spans="65:67" ht="18.75" customHeight="1">
      <c r="BM26678" s="1025"/>
      <c r="BO26678" s="43"/>
    </row>
    <row r="26679" spans="65:67" ht="18.75" customHeight="1">
      <c r="BM26679" s="1025"/>
      <c r="BO26679" s="43"/>
    </row>
    <row r="26680" spans="65:67" ht="18.75" customHeight="1">
      <c r="BM26680" s="1025"/>
      <c r="BO26680" s="43"/>
    </row>
    <row r="26681" spans="65:67" ht="18.75" customHeight="1">
      <c r="BM26681" s="1025"/>
      <c r="BO26681" s="43"/>
    </row>
    <row r="26682" spans="65:67" ht="18.75" customHeight="1">
      <c r="BM26682" s="1025"/>
      <c r="BO26682" s="43"/>
    </row>
    <row r="26683" spans="65:67" ht="18.75" customHeight="1">
      <c r="BM26683" s="1025"/>
      <c r="BO26683" s="43"/>
    </row>
    <row r="26684" spans="65:67" ht="18.75" customHeight="1">
      <c r="BM26684" s="1025"/>
      <c r="BO26684" s="43"/>
    </row>
    <row r="26685" spans="65:67" ht="18.75" customHeight="1">
      <c r="BM26685" s="1025"/>
      <c r="BO26685" s="43"/>
    </row>
    <row r="26686" spans="65:67" ht="18.75" customHeight="1">
      <c r="BM26686" s="1025"/>
      <c r="BO26686" s="43"/>
    </row>
    <row r="26687" spans="65:67" ht="18.75" customHeight="1">
      <c r="BM26687" s="1025"/>
      <c r="BO26687" s="43"/>
    </row>
    <row r="26688" spans="65:67" ht="18.75" customHeight="1">
      <c r="BM26688" s="1025"/>
      <c r="BO26688" s="43"/>
    </row>
    <row r="26689" spans="65:67" ht="18.75" customHeight="1">
      <c r="BM26689" s="1025"/>
      <c r="BO26689" s="43"/>
    </row>
    <row r="26690" spans="65:67" ht="18.75" customHeight="1">
      <c r="BM26690" s="1025"/>
      <c r="BO26690" s="43"/>
    </row>
    <row r="26691" spans="65:67" ht="18.75" customHeight="1">
      <c r="BM26691" s="1025"/>
      <c r="BO26691" s="43"/>
    </row>
    <row r="26692" spans="65:67" ht="18.75" customHeight="1">
      <c r="BM26692" s="1025"/>
      <c r="BO26692" s="43"/>
    </row>
    <row r="26693" spans="65:67" ht="18.75" customHeight="1">
      <c r="BM26693" s="1025"/>
      <c r="BO26693" s="43"/>
    </row>
    <row r="26694" spans="65:67" ht="18.75" customHeight="1">
      <c r="BM26694" s="1025"/>
      <c r="BO26694" s="43"/>
    </row>
    <row r="26695" spans="65:67" ht="18.75" customHeight="1">
      <c r="BM26695" s="1025"/>
      <c r="BO26695" s="43"/>
    </row>
    <row r="26696" spans="65:67" ht="18.75" customHeight="1">
      <c r="BM26696" s="1025"/>
      <c r="BO26696" s="43"/>
    </row>
    <row r="26697" spans="65:67" ht="18.75" customHeight="1">
      <c r="BM26697" s="1025"/>
      <c r="BO26697" s="43"/>
    </row>
    <row r="26698" spans="65:67" ht="18.75" customHeight="1">
      <c r="BM26698" s="1025"/>
      <c r="BO26698" s="43"/>
    </row>
    <row r="26699" spans="65:67" ht="18.75" customHeight="1">
      <c r="BM26699" s="1025"/>
      <c r="BO26699" s="43"/>
    </row>
    <row r="26700" spans="65:67" ht="18.75" customHeight="1">
      <c r="BM26700" s="1025"/>
      <c r="BO26700" s="43"/>
    </row>
    <row r="26701" spans="65:67" ht="18.75" customHeight="1">
      <c r="BM26701" s="1025"/>
      <c r="BO26701" s="43"/>
    </row>
    <row r="26702" spans="65:67" ht="18.75" customHeight="1">
      <c r="BM26702" s="1025"/>
      <c r="BO26702" s="43"/>
    </row>
    <row r="26703" spans="65:67" ht="18.75" customHeight="1">
      <c r="BM26703" s="1025"/>
      <c r="BO26703" s="43"/>
    </row>
    <row r="26704" spans="65:67" ht="18.75" customHeight="1">
      <c r="BM26704" s="1025"/>
      <c r="BO26704" s="43"/>
    </row>
    <row r="26705" spans="65:67" ht="18.75" customHeight="1">
      <c r="BM26705" s="1025"/>
      <c r="BO26705" s="43"/>
    </row>
    <row r="26706" spans="65:67" ht="18.75" customHeight="1">
      <c r="BM26706" s="1025"/>
      <c r="BO26706" s="43"/>
    </row>
    <row r="26707" spans="65:67" ht="18.75" customHeight="1">
      <c r="BM26707" s="1025"/>
      <c r="BO26707" s="43"/>
    </row>
    <row r="26708" spans="65:67" ht="18.75" customHeight="1">
      <c r="BM26708" s="1025"/>
      <c r="BO26708" s="43"/>
    </row>
    <row r="26709" spans="65:67" ht="18.75" customHeight="1">
      <c r="BM26709" s="1025"/>
      <c r="BO26709" s="43"/>
    </row>
    <row r="26710" spans="65:67" ht="18.75" customHeight="1">
      <c r="BM26710" s="1025"/>
      <c r="BO26710" s="43"/>
    </row>
    <row r="26711" spans="65:67" ht="18.75" customHeight="1">
      <c r="BM26711" s="1025"/>
      <c r="BO26711" s="43"/>
    </row>
    <row r="26712" spans="65:67" ht="18.75" customHeight="1">
      <c r="BM26712" s="1025"/>
      <c r="BO26712" s="43"/>
    </row>
    <row r="26713" spans="65:67" ht="18.75" customHeight="1">
      <c r="BM26713" s="1025"/>
      <c r="BO26713" s="43"/>
    </row>
    <row r="26714" spans="65:67" ht="18.75" customHeight="1">
      <c r="BM26714" s="1025"/>
      <c r="BO26714" s="43"/>
    </row>
    <row r="26715" spans="65:67" ht="18.75" customHeight="1">
      <c r="BM26715" s="1025"/>
      <c r="BO26715" s="43"/>
    </row>
    <row r="26716" spans="65:67" ht="18.75" customHeight="1">
      <c r="BM26716" s="1025"/>
      <c r="BO26716" s="43"/>
    </row>
    <row r="26717" spans="65:67" ht="18.75" customHeight="1">
      <c r="BM26717" s="1025"/>
      <c r="BO26717" s="43"/>
    </row>
    <row r="26718" spans="65:67" ht="18.75" customHeight="1">
      <c r="BM26718" s="1025"/>
      <c r="BO26718" s="43"/>
    </row>
    <row r="26719" spans="65:67" ht="18.75" customHeight="1">
      <c r="BM26719" s="1025"/>
      <c r="BO26719" s="43"/>
    </row>
    <row r="26720" spans="65:67" ht="18.75" customHeight="1">
      <c r="BM26720" s="1025"/>
      <c r="BO26720" s="43"/>
    </row>
    <row r="26721" spans="65:67" ht="18.75" customHeight="1">
      <c r="BM26721" s="1025"/>
      <c r="BO26721" s="43"/>
    </row>
    <row r="26722" spans="65:67" ht="18.75" customHeight="1">
      <c r="BM26722" s="1025"/>
      <c r="BO26722" s="43"/>
    </row>
    <row r="26723" spans="65:67" ht="18.75" customHeight="1">
      <c r="BM26723" s="1025"/>
      <c r="BO26723" s="43"/>
    </row>
    <row r="26724" spans="65:67" ht="18.75" customHeight="1">
      <c r="BM26724" s="1025"/>
      <c r="BO26724" s="43"/>
    </row>
    <row r="26725" spans="65:67" ht="18.75" customHeight="1">
      <c r="BM26725" s="1025"/>
      <c r="BO26725" s="43"/>
    </row>
    <row r="26726" spans="65:67" ht="18.75" customHeight="1">
      <c r="BM26726" s="1025"/>
      <c r="BO26726" s="43"/>
    </row>
    <row r="26727" spans="65:67" ht="18.75" customHeight="1">
      <c r="BM26727" s="1025"/>
      <c r="BO26727" s="43"/>
    </row>
    <row r="26728" spans="65:67" ht="18.75" customHeight="1">
      <c r="BM26728" s="1025"/>
      <c r="BO26728" s="43"/>
    </row>
    <row r="26729" spans="65:67" ht="18.75" customHeight="1">
      <c r="BM26729" s="1025"/>
      <c r="BO26729" s="43"/>
    </row>
    <row r="26730" spans="65:67" ht="18.75" customHeight="1">
      <c r="BM26730" s="1025"/>
      <c r="BO26730" s="43"/>
    </row>
    <row r="26731" spans="65:67" ht="18.75" customHeight="1">
      <c r="BM26731" s="1025"/>
      <c r="BO26731" s="43"/>
    </row>
    <row r="26732" spans="65:67" ht="18.75" customHeight="1">
      <c r="BM26732" s="1025"/>
      <c r="BO26732" s="43"/>
    </row>
    <row r="26733" spans="65:67" ht="18.75" customHeight="1">
      <c r="BM26733" s="1025"/>
      <c r="BO26733" s="43"/>
    </row>
    <row r="26734" spans="65:67" ht="18.75" customHeight="1">
      <c r="BM26734" s="1025"/>
      <c r="BO26734" s="43"/>
    </row>
    <row r="26735" spans="65:67" ht="18.75" customHeight="1">
      <c r="BM26735" s="1025"/>
      <c r="BO26735" s="43"/>
    </row>
    <row r="26736" spans="65:67" ht="18.75" customHeight="1">
      <c r="BM26736" s="1025"/>
      <c r="BO26736" s="43"/>
    </row>
    <row r="26737" spans="65:67" ht="18.75" customHeight="1">
      <c r="BM26737" s="1025"/>
      <c r="BO26737" s="43"/>
    </row>
    <row r="26738" spans="65:67" ht="18.75" customHeight="1">
      <c r="BM26738" s="1025"/>
      <c r="BO26738" s="43"/>
    </row>
    <row r="26739" spans="65:67" ht="18.75" customHeight="1">
      <c r="BM26739" s="1025"/>
      <c r="BO26739" s="43"/>
    </row>
    <row r="26740" spans="65:67" ht="18.75" customHeight="1">
      <c r="BM26740" s="1025"/>
      <c r="BO26740" s="43"/>
    </row>
    <row r="26741" spans="65:67" ht="18.75" customHeight="1">
      <c r="BM26741" s="1025"/>
      <c r="BO26741" s="43"/>
    </row>
    <row r="26742" spans="65:67" ht="18.75" customHeight="1">
      <c r="BM26742" s="1025"/>
      <c r="BO26742" s="43"/>
    </row>
    <row r="26743" spans="65:67" ht="18.75" customHeight="1">
      <c r="BM26743" s="1025"/>
      <c r="BO26743" s="43"/>
    </row>
    <row r="26744" spans="65:67" ht="18.75" customHeight="1">
      <c r="BM26744" s="1025"/>
      <c r="BO26744" s="43"/>
    </row>
    <row r="26745" spans="65:67" ht="18.75" customHeight="1">
      <c r="BM26745" s="1025"/>
      <c r="BO26745" s="43"/>
    </row>
    <row r="26746" spans="65:67" ht="18.75" customHeight="1">
      <c r="BM26746" s="1025"/>
      <c r="BO26746" s="43"/>
    </row>
    <row r="26747" spans="65:67" ht="18.75" customHeight="1">
      <c r="BM26747" s="1025"/>
      <c r="BO26747" s="43"/>
    </row>
    <row r="26748" spans="65:67" ht="18.75" customHeight="1">
      <c r="BM26748" s="1025"/>
      <c r="BO26748" s="43"/>
    </row>
    <row r="26749" spans="65:67" ht="18.75" customHeight="1">
      <c r="BM26749" s="1025"/>
      <c r="BO26749" s="43"/>
    </row>
    <row r="26750" spans="65:67" ht="18.75" customHeight="1">
      <c r="BM26750" s="1025"/>
      <c r="BO26750" s="43"/>
    </row>
    <row r="26751" spans="65:67" ht="18.75" customHeight="1">
      <c r="BM26751" s="1025"/>
      <c r="BO26751" s="43"/>
    </row>
    <row r="26752" spans="65:67" ht="18.75" customHeight="1">
      <c r="BM26752" s="1025"/>
      <c r="BO26752" s="43"/>
    </row>
    <row r="26753" spans="65:67" ht="18.75" customHeight="1">
      <c r="BM26753" s="1025"/>
      <c r="BO26753" s="43"/>
    </row>
    <row r="26754" spans="65:67" ht="18.75" customHeight="1">
      <c r="BM26754" s="1025"/>
      <c r="BO26754" s="43"/>
    </row>
    <row r="26755" spans="65:67" ht="18.75" customHeight="1">
      <c r="BM26755" s="1025"/>
      <c r="BO26755" s="43"/>
    </row>
    <row r="26756" spans="65:67" ht="18.75" customHeight="1">
      <c r="BM26756" s="1025"/>
      <c r="BO26756" s="43"/>
    </row>
    <row r="26757" spans="65:67" ht="18.75" customHeight="1">
      <c r="BM26757" s="1025"/>
      <c r="BO26757" s="43"/>
    </row>
    <row r="26758" spans="65:67" ht="18.75" customHeight="1">
      <c r="BM26758" s="1025"/>
      <c r="BO26758" s="43"/>
    </row>
    <row r="26759" spans="65:67" ht="18.75" customHeight="1">
      <c r="BM26759" s="1025"/>
      <c r="BO26759" s="43"/>
    </row>
    <row r="26760" spans="65:67" ht="18.75" customHeight="1">
      <c r="BM26760" s="1025"/>
      <c r="BO26760" s="43"/>
    </row>
    <row r="26761" spans="65:67" ht="18.75" customHeight="1">
      <c r="BM26761" s="1025"/>
      <c r="BO26761" s="43"/>
    </row>
    <row r="26762" spans="65:67" ht="18.75" customHeight="1">
      <c r="BM26762" s="1025"/>
      <c r="BO26762" s="43"/>
    </row>
    <row r="26763" spans="65:67" ht="18.75" customHeight="1">
      <c r="BM26763" s="1025"/>
      <c r="BO26763" s="43"/>
    </row>
    <row r="26764" spans="65:67" ht="18.75" customHeight="1">
      <c r="BM26764" s="1025"/>
      <c r="BO26764" s="43"/>
    </row>
    <row r="26765" spans="65:67" ht="18.75" customHeight="1">
      <c r="BM26765" s="1025"/>
      <c r="BO26765" s="43"/>
    </row>
    <row r="26766" spans="65:67" ht="18.75" customHeight="1">
      <c r="BM26766" s="1025"/>
      <c r="BO26766" s="43"/>
    </row>
    <row r="26767" spans="65:67" ht="18.75" customHeight="1">
      <c r="BM26767" s="1025"/>
      <c r="BO26767" s="43"/>
    </row>
    <row r="26768" spans="65:67" ht="18.75" customHeight="1">
      <c r="BM26768" s="1025"/>
      <c r="BO26768" s="43"/>
    </row>
    <row r="26769" spans="65:67" ht="18.75" customHeight="1">
      <c r="BM26769" s="1025"/>
      <c r="BO26769" s="43"/>
    </row>
    <row r="26770" spans="65:67" ht="18.75" customHeight="1">
      <c r="BM26770" s="1025"/>
      <c r="BO26770" s="43"/>
    </row>
    <row r="26771" spans="65:67" ht="18.75" customHeight="1">
      <c r="BM26771" s="1025"/>
      <c r="BO26771" s="43"/>
    </row>
    <row r="26772" spans="65:67" ht="18.75" customHeight="1">
      <c r="BM26772" s="1025"/>
      <c r="BO26772" s="43"/>
    </row>
    <row r="26773" spans="65:67" ht="18.75" customHeight="1">
      <c r="BM26773" s="1025"/>
      <c r="BO26773" s="43"/>
    </row>
    <row r="26774" spans="65:67" ht="18.75" customHeight="1">
      <c r="BM26774" s="1025"/>
      <c r="BO26774" s="43"/>
    </row>
    <row r="26775" spans="65:67" ht="18.75" customHeight="1">
      <c r="BM26775" s="1025"/>
      <c r="BO26775" s="43"/>
    </row>
    <row r="26776" spans="65:67" ht="18.75" customHeight="1">
      <c r="BM26776" s="1025"/>
      <c r="BO26776" s="43"/>
    </row>
    <row r="26777" spans="65:67" ht="18.75" customHeight="1">
      <c r="BM26777" s="1025"/>
      <c r="BO26777" s="43"/>
    </row>
    <row r="26778" spans="65:67" ht="18.75" customHeight="1">
      <c r="BM26778" s="1025"/>
      <c r="BO26778" s="43"/>
    </row>
    <row r="26779" spans="65:67" ht="18.75" customHeight="1">
      <c r="BM26779" s="1025"/>
      <c r="BO26779" s="43"/>
    </row>
    <row r="26780" spans="65:67" ht="18.75" customHeight="1">
      <c r="BM26780" s="1025"/>
      <c r="BO26780" s="43"/>
    </row>
    <row r="26781" spans="65:67" ht="18.75" customHeight="1">
      <c r="BM26781" s="1025"/>
      <c r="BO26781" s="43"/>
    </row>
    <row r="26782" spans="65:67" ht="18.75" customHeight="1">
      <c r="BM26782" s="1025"/>
      <c r="BO26782" s="43"/>
    </row>
    <row r="26783" spans="65:67" ht="18.75" customHeight="1">
      <c r="BM26783" s="1025"/>
      <c r="BO26783" s="43"/>
    </row>
    <row r="26784" spans="65:67" ht="18.75" customHeight="1">
      <c r="BM26784" s="1025"/>
      <c r="BO26784" s="43"/>
    </row>
    <row r="26785" spans="65:67" ht="18.75" customHeight="1">
      <c r="BM26785" s="1025"/>
      <c r="BO26785" s="43"/>
    </row>
    <row r="26786" spans="65:67" ht="18.75" customHeight="1">
      <c r="BM26786" s="1025"/>
      <c r="BO26786" s="43"/>
    </row>
    <row r="26787" spans="65:67" ht="18.75" customHeight="1">
      <c r="BM26787" s="1025"/>
      <c r="BO26787" s="43"/>
    </row>
    <row r="26788" spans="65:67" ht="18.75" customHeight="1">
      <c r="BM26788" s="1025"/>
      <c r="BO26788" s="43"/>
    </row>
    <row r="26789" spans="65:67" ht="18.75" customHeight="1">
      <c r="BM26789" s="1025"/>
      <c r="BO26789" s="43"/>
    </row>
    <row r="26790" spans="65:67" ht="18.75" customHeight="1">
      <c r="BM26790" s="1025"/>
      <c r="BO26790" s="43"/>
    </row>
    <row r="26791" spans="65:67" ht="18.75" customHeight="1">
      <c r="BM26791" s="1025"/>
      <c r="BO26791" s="43"/>
    </row>
    <row r="26792" spans="65:67" ht="18.75" customHeight="1">
      <c r="BM26792" s="1025"/>
      <c r="BO26792" s="43"/>
    </row>
    <row r="26793" spans="65:67" ht="18.75" customHeight="1">
      <c r="BM26793" s="1025"/>
      <c r="BO26793" s="43"/>
    </row>
    <row r="26794" spans="65:67" ht="18.75" customHeight="1">
      <c r="BM26794" s="1025"/>
      <c r="BO26794" s="43"/>
    </row>
    <row r="26795" spans="65:67" ht="18.75" customHeight="1">
      <c r="BM26795" s="1025"/>
      <c r="BO26795" s="43"/>
    </row>
    <row r="26796" spans="65:67" ht="18.75" customHeight="1">
      <c r="BM26796" s="1025"/>
      <c r="BO26796" s="43"/>
    </row>
    <row r="26797" spans="65:67" ht="18.75" customHeight="1">
      <c r="BM26797" s="1025"/>
      <c r="BO26797" s="43"/>
    </row>
    <row r="26798" spans="65:67" ht="18.75" customHeight="1">
      <c r="BM26798" s="1025"/>
      <c r="BO26798" s="43"/>
    </row>
    <row r="26799" spans="65:67" ht="18.75" customHeight="1">
      <c r="BM26799" s="1025"/>
      <c r="BO26799" s="43"/>
    </row>
    <row r="26800" spans="65:67" ht="18.75" customHeight="1">
      <c r="BM26800" s="1025"/>
      <c r="BO26800" s="43"/>
    </row>
    <row r="26801" spans="65:67" ht="18.75" customHeight="1">
      <c r="BM26801" s="1025"/>
      <c r="BO26801" s="43"/>
    </row>
    <row r="26802" spans="65:67" ht="18.75" customHeight="1">
      <c r="BM26802" s="1025"/>
      <c r="BO26802" s="43"/>
    </row>
    <row r="26803" spans="65:67" ht="18.75" customHeight="1">
      <c r="BM26803" s="1025"/>
      <c r="BO26803" s="43"/>
    </row>
    <row r="26804" spans="65:67" ht="18.75" customHeight="1">
      <c r="BM26804" s="1025"/>
      <c r="BO26804" s="43"/>
    </row>
    <row r="26805" spans="65:67" ht="18.75" customHeight="1">
      <c r="BM26805" s="1025"/>
      <c r="BO26805" s="43"/>
    </row>
    <row r="26806" spans="65:67" ht="18.75" customHeight="1">
      <c r="BM26806" s="1025"/>
      <c r="BO26806" s="43"/>
    </row>
    <row r="26807" spans="65:67" ht="18.75" customHeight="1">
      <c r="BM26807" s="1025"/>
      <c r="BO26807" s="43"/>
    </row>
    <row r="26808" spans="65:67" ht="18.75" customHeight="1">
      <c r="BM26808" s="1025"/>
      <c r="BO26808" s="43"/>
    </row>
    <row r="26809" spans="65:67" ht="18.75" customHeight="1">
      <c r="BM26809" s="1025"/>
      <c r="BO26809" s="43"/>
    </row>
    <row r="26810" spans="65:67" ht="18.75" customHeight="1">
      <c r="BM26810" s="1025"/>
      <c r="BO26810" s="43"/>
    </row>
    <row r="26811" spans="65:67" ht="18.75" customHeight="1">
      <c r="BM26811" s="1025"/>
      <c r="BO26811" s="43"/>
    </row>
    <row r="26812" spans="65:67" ht="18.75" customHeight="1">
      <c r="BM26812" s="1025"/>
      <c r="BO26812" s="43"/>
    </row>
    <row r="26813" spans="65:67" ht="18.75" customHeight="1">
      <c r="BM26813" s="1025"/>
      <c r="BO26813" s="43"/>
    </row>
    <row r="26814" spans="65:67" ht="18.75" customHeight="1">
      <c r="BM26814" s="1025"/>
      <c r="BO26814" s="43"/>
    </row>
    <row r="26815" spans="65:67" ht="18.75" customHeight="1">
      <c r="BM26815" s="1025"/>
      <c r="BO26815" s="43"/>
    </row>
    <row r="26816" spans="65:67" ht="18.75" customHeight="1">
      <c r="BM26816" s="1025"/>
      <c r="BO26816" s="43"/>
    </row>
    <row r="26817" spans="65:67" ht="18.75" customHeight="1">
      <c r="BM26817" s="1025"/>
      <c r="BO26817" s="43"/>
    </row>
    <row r="26818" spans="65:67" ht="18.75" customHeight="1">
      <c r="BM26818" s="1025"/>
      <c r="BO26818" s="43"/>
    </row>
    <row r="26819" spans="65:67" ht="18.75" customHeight="1">
      <c r="BM26819" s="1025"/>
      <c r="BO26819" s="43"/>
    </row>
    <row r="26820" spans="65:67" ht="18.75" customHeight="1">
      <c r="BM26820" s="1025"/>
      <c r="BO26820" s="43"/>
    </row>
    <row r="26821" spans="65:67" ht="18.75" customHeight="1">
      <c r="BM26821" s="1025"/>
      <c r="BO26821" s="43"/>
    </row>
    <row r="26822" spans="65:67" ht="18.75" customHeight="1">
      <c r="BM26822" s="1025"/>
      <c r="BO26822" s="43"/>
    </row>
    <row r="26823" spans="65:67" ht="18.75" customHeight="1">
      <c r="BM26823" s="1025"/>
      <c r="BO26823" s="43"/>
    </row>
    <row r="26824" spans="65:67" ht="18.75" customHeight="1">
      <c r="BM26824" s="1025"/>
      <c r="BO26824" s="43"/>
    </row>
    <row r="26825" spans="65:67" ht="18.75" customHeight="1">
      <c r="BM26825" s="1025"/>
      <c r="BO26825" s="43"/>
    </row>
    <row r="26826" spans="65:67" ht="18.75" customHeight="1">
      <c r="BM26826" s="1025"/>
      <c r="BO26826" s="43"/>
    </row>
    <row r="26827" spans="65:67" ht="18.75" customHeight="1">
      <c r="BM26827" s="1025"/>
      <c r="BO26827" s="43"/>
    </row>
    <row r="26828" spans="65:67" ht="18.75" customHeight="1">
      <c r="BM26828" s="1025"/>
      <c r="BO26828" s="43"/>
    </row>
    <row r="26829" spans="65:67" ht="18.75" customHeight="1">
      <c r="BM26829" s="1025"/>
      <c r="BO26829" s="43"/>
    </row>
    <row r="26830" spans="65:67" ht="18.75" customHeight="1">
      <c r="BM26830" s="1025"/>
      <c r="BO26830" s="43"/>
    </row>
    <row r="26831" spans="65:67" ht="18.75" customHeight="1">
      <c r="BM26831" s="1025"/>
      <c r="BO26831" s="43"/>
    </row>
    <row r="26832" spans="65:67" ht="18.75" customHeight="1">
      <c r="BM26832" s="1025"/>
      <c r="BO26832" s="43"/>
    </row>
    <row r="26833" spans="65:67" ht="18.75" customHeight="1">
      <c r="BM26833" s="1025"/>
      <c r="BO26833" s="43"/>
    </row>
    <row r="26834" spans="65:67" ht="18.75" customHeight="1">
      <c r="BM26834" s="1025"/>
      <c r="BO26834" s="43"/>
    </row>
    <row r="26835" spans="65:67" ht="18.75" customHeight="1">
      <c r="BM26835" s="1025"/>
      <c r="BO26835" s="43"/>
    </row>
    <row r="26836" spans="65:67" ht="18.75" customHeight="1">
      <c r="BM26836" s="1025"/>
      <c r="BO26836" s="43"/>
    </row>
    <row r="26837" spans="65:67" ht="18.75" customHeight="1">
      <c r="BM26837" s="1025"/>
      <c r="BO26837" s="43"/>
    </row>
    <row r="26838" spans="65:67" ht="18.75" customHeight="1">
      <c r="BM26838" s="1025"/>
      <c r="BO26838" s="43"/>
    </row>
    <row r="26839" spans="65:67" ht="18.75" customHeight="1">
      <c r="BM26839" s="1025"/>
      <c r="BO26839" s="43"/>
    </row>
    <row r="26840" spans="65:67" ht="18.75" customHeight="1">
      <c r="BM26840" s="1025"/>
      <c r="BO26840" s="43"/>
    </row>
    <row r="26841" spans="65:67" ht="18.75" customHeight="1">
      <c r="BM26841" s="1025"/>
      <c r="BO26841" s="43"/>
    </row>
    <row r="26842" spans="65:67" ht="18.75" customHeight="1">
      <c r="BM26842" s="1025"/>
      <c r="BO26842" s="43"/>
    </row>
    <row r="26843" spans="65:67" ht="18.75" customHeight="1">
      <c r="BM26843" s="1025"/>
      <c r="BO26843" s="43"/>
    </row>
    <row r="26844" spans="65:67" ht="18.75" customHeight="1">
      <c r="BM26844" s="1025"/>
      <c r="BO26844" s="43"/>
    </row>
    <row r="26845" spans="65:67" ht="18.75" customHeight="1">
      <c r="BM26845" s="1025"/>
      <c r="BO26845" s="43"/>
    </row>
    <row r="26846" spans="65:67" ht="18.75" customHeight="1">
      <c r="BM26846" s="1025"/>
      <c r="BO26846" s="43"/>
    </row>
    <row r="26847" spans="65:67" ht="18.75" customHeight="1">
      <c r="BM26847" s="1025"/>
      <c r="BO26847" s="43"/>
    </row>
    <row r="26848" spans="65:67" ht="18.75" customHeight="1">
      <c r="BM26848" s="1025"/>
      <c r="BO26848" s="43"/>
    </row>
    <row r="26849" spans="65:67" ht="18.75" customHeight="1">
      <c r="BM26849" s="1025"/>
      <c r="BO26849" s="43"/>
    </row>
    <row r="26850" spans="65:67" ht="18.75" customHeight="1">
      <c r="BM26850" s="1025"/>
      <c r="BO26850" s="43"/>
    </row>
    <row r="26851" spans="65:67" ht="18.75" customHeight="1">
      <c r="BM26851" s="1025"/>
      <c r="BO26851" s="43"/>
    </row>
    <row r="26852" spans="65:67" ht="18.75" customHeight="1">
      <c r="BM26852" s="1025"/>
      <c r="BO26852" s="43"/>
    </row>
    <row r="26853" spans="65:67" ht="18.75" customHeight="1">
      <c r="BM26853" s="1025"/>
      <c r="BO26853" s="43"/>
    </row>
    <row r="26854" spans="65:67" ht="18.75" customHeight="1">
      <c r="BM26854" s="1025"/>
      <c r="BO26854" s="43"/>
    </row>
    <row r="26855" spans="65:67" ht="18.75" customHeight="1">
      <c r="BM26855" s="1025"/>
      <c r="BO26855" s="43"/>
    </row>
    <row r="26856" spans="65:67" ht="18.75" customHeight="1">
      <c r="BM26856" s="1025"/>
      <c r="BO26856" s="43"/>
    </row>
    <row r="26857" spans="65:67" ht="18.75" customHeight="1">
      <c r="BM26857" s="1025"/>
      <c r="BO26857" s="43"/>
    </row>
    <row r="26858" spans="65:67" ht="18.75" customHeight="1">
      <c r="BM26858" s="1025"/>
      <c r="BO26858" s="43"/>
    </row>
    <row r="26859" spans="65:67" ht="18.75" customHeight="1">
      <c r="BM26859" s="1025"/>
      <c r="BO26859" s="43"/>
    </row>
    <row r="26860" spans="65:67" ht="18.75" customHeight="1">
      <c r="BM26860" s="1025"/>
      <c r="BO26860" s="43"/>
    </row>
    <row r="26861" spans="65:67" ht="18.75" customHeight="1">
      <c r="BM26861" s="1025"/>
      <c r="BO26861" s="43"/>
    </row>
    <row r="26862" spans="65:67" ht="18.75" customHeight="1">
      <c r="BM26862" s="1025"/>
      <c r="BO26862" s="43"/>
    </row>
    <row r="26863" spans="65:67" ht="18.75" customHeight="1">
      <c r="BM26863" s="1025"/>
      <c r="BO26863" s="43"/>
    </row>
    <row r="26864" spans="65:67" ht="18.75" customHeight="1">
      <c r="BM26864" s="1025"/>
      <c r="BO26864" s="43"/>
    </row>
    <row r="26865" spans="65:67" ht="18.75" customHeight="1">
      <c r="BM26865" s="1025"/>
      <c r="BO26865" s="43"/>
    </row>
    <row r="26866" spans="65:67" ht="18.75" customHeight="1">
      <c r="BM26866" s="1025"/>
      <c r="BO26866" s="43"/>
    </row>
    <row r="26867" spans="65:67" ht="18.75" customHeight="1">
      <c r="BM26867" s="1025"/>
      <c r="BO26867" s="43"/>
    </row>
    <row r="26868" spans="65:67" ht="18.75" customHeight="1">
      <c r="BM26868" s="1025"/>
      <c r="BO26868" s="43"/>
    </row>
    <row r="26869" spans="65:67" ht="18.75" customHeight="1">
      <c r="BM26869" s="1025"/>
      <c r="BO26869" s="43"/>
    </row>
    <row r="26870" spans="65:67" ht="18.75" customHeight="1">
      <c r="BM26870" s="1025"/>
      <c r="BO26870" s="43"/>
    </row>
    <row r="26871" spans="65:67" ht="18.75" customHeight="1">
      <c r="BM26871" s="1025"/>
      <c r="BO26871" s="43"/>
    </row>
    <row r="26872" spans="65:67" ht="18.75" customHeight="1">
      <c r="BM26872" s="1025"/>
      <c r="BO26872" s="43"/>
    </row>
    <row r="26873" spans="65:67" ht="18.75" customHeight="1">
      <c r="BM26873" s="1025"/>
      <c r="BO26873" s="43"/>
    </row>
    <row r="26874" spans="65:67" ht="18.75" customHeight="1">
      <c r="BM26874" s="1025"/>
      <c r="BO26874" s="43"/>
    </row>
    <row r="26875" spans="65:67" ht="18.75" customHeight="1">
      <c r="BM26875" s="1025"/>
      <c r="BO26875" s="43"/>
    </row>
    <row r="26876" spans="65:67" ht="18.75" customHeight="1">
      <c r="BM26876" s="1025"/>
      <c r="BO26876" s="43"/>
    </row>
    <row r="26877" spans="65:67" ht="18.75" customHeight="1">
      <c r="BM26877" s="1025"/>
      <c r="BO26877" s="43"/>
    </row>
    <row r="26878" spans="65:67" ht="18.75" customHeight="1">
      <c r="BM26878" s="1025"/>
      <c r="BO26878" s="43"/>
    </row>
    <row r="26879" spans="65:67" ht="18.75" customHeight="1">
      <c r="BM26879" s="1025"/>
      <c r="BO26879" s="43"/>
    </row>
    <row r="26880" spans="65:67" ht="18.75" customHeight="1">
      <c r="BM26880" s="1025"/>
      <c r="BO26880" s="43"/>
    </row>
    <row r="26881" spans="65:67" ht="18.75" customHeight="1">
      <c r="BM26881" s="1025"/>
      <c r="BO26881" s="43"/>
    </row>
    <row r="26882" spans="65:67" ht="18.75" customHeight="1">
      <c r="BM26882" s="1025"/>
      <c r="BO26882" s="43"/>
    </row>
    <row r="26883" spans="65:67" ht="18.75" customHeight="1">
      <c r="BM26883" s="1025"/>
      <c r="BO26883" s="43"/>
    </row>
    <row r="26884" spans="65:67" ht="18.75" customHeight="1">
      <c r="BM26884" s="1025"/>
      <c r="BO26884" s="43"/>
    </row>
    <row r="26885" spans="65:67" ht="18.75" customHeight="1">
      <c r="BM26885" s="1025"/>
      <c r="BO26885" s="43"/>
    </row>
    <row r="26886" spans="65:67" ht="18.75" customHeight="1">
      <c r="BM26886" s="1025"/>
      <c r="BO26886" s="43"/>
    </row>
    <row r="26887" spans="65:67" ht="18.75" customHeight="1">
      <c r="BM26887" s="1025"/>
      <c r="BO26887" s="43"/>
    </row>
    <row r="26888" spans="65:67" ht="18.75" customHeight="1">
      <c r="BM26888" s="1025"/>
      <c r="BO26888" s="43"/>
    </row>
    <row r="26889" spans="65:67" ht="18.75" customHeight="1">
      <c r="BM26889" s="1025"/>
      <c r="BO26889" s="43"/>
    </row>
    <row r="26890" spans="65:67" ht="18.75" customHeight="1">
      <c r="BM26890" s="1025"/>
      <c r="BO26890" s="43"/>
    </row>
    <row r="26891" spans="65:67" ht="18.75" customHeight="1">
      <c r="BM26891" s="1025"/>
      <c r="BO26891" s="43"/>
    </row>
    <row r="26892" spans="65:67" ht="18.75" customHeight="1">
      <c r="BM26892" s="1025"/>
      <c r="BO26892" s="43"/>
    </row>
    <row r="26893" spans="65:67" ht="18.75" customHeight="1">
      <c r="BM26893" s="1025"/>
      <c r="BO26893" s="43"/>
    </row>
    <row r="26894" spans="65:67" ht="18.75" customHeight="1">
      <c r="BM26894" s="1025"/>
      <c r="BO26894" s="43"/>
    </row>
    <row r="26895" spans="65:67" ht="18.75" customHeight="1">
      <c r="BM26895" s="1025"/>
      <c r="BO26895" s="43"/>
    </row>
    <row r="26896" spans="65:67" ht="18.75" customHeight="1">
      <c r="BM26896" s="1025"/>
      <c r="BO26896" s="43"/>
    </row>
    <row r="26897" spans="65:67" ht="18.75" customHeight="1">
      <c r="BM26897" s="1025"/>
      <c r="BO26897" s="43"/>
    </row>
    <row r="26898" spans="65:67" ht="18.75" customHeight="1">
      <c r="BM26898" s="1025"/>
      <c r="BO26898" s="43"/>
    </row>
    <row r="26899" spans="65:67" ht="18.75" customHeight="1">
      <c r="BM26899" s="1025"/>
      <c r="BO26899" s="43"/>
    </row>
    <row r="26900" spans="65:67" ht="18.75" customHeight="1">
      <c r="BM26900" s="1025"/>
      <c r="BO26900" s="43"/>
    </row>
    <row r="26901" spans="65:67" ht="18.75" customHeight="1">
      <c r="BM26901" s="1025"/>
      <c r="BO26901" s="43"/>
    </row>
    <row r="26902" spans="65:67" ht="18.75" customHeight="1">
      <c r="BM26902" s="1025"/>
      <c r="BO26902" s="43"/>
    </row>
    <row r="26903" spans="65:67" ht="18.75" customHeight="1">
      <c r="BM26903" s="1025"/>
      <c r="BO26903" s="43"/>
    </row>
    <row r="26904" spans="65:67" ht="18.75" customHeight="1">
      <c r="BM26904" s="1025"/>
      <c r="BO26904" s="43"/>
    </row>
    <row r="26905" spans="65:67" ht="18.75" customHeight="1">
      <c r="BM26905" s="1025"/>
      <c r="BO26905" s="43"/>
    </row>
    <row r="26906" spans="65:67" ht="18.75" customHeight="1">
      <c r="BM26906" s="1025"/>
      <c r="BO26906" s="43"/>
    </row>
    <row r="26907" spans="65:67" ht="18.75" customHeight="1">
      <c r="BM26907" s="1025"/>
      <c r="BO26907" s="43"/>
    </row>
    <row r="26908" spans="65:67" ht="18.75" customHeight="1">
      <c r="BM26908" s="1025"/>
      <c r="BO26908" s="43"/>
    </row>
    <row r="26909" spans="65:67" ht="18.75" customHeight="1">
      <c r="BM26909" s="1025"/>
      <c r="BO26909" s="43"/>
    </row>
    <row r="26910" spans="65:67" ht="18.75" customHeight="1">
      <c r="BM26910" s="1025"/>
      <c r="BO26910" s="43"/>
    </row>
    <row r="26911" spans="65:67" ht="18.75" customHeight="1">
      <c r="BM26911" s="1025"/>
      <c r="BO26911" s="43"/>
    </row>
    <row r="26912" spans="65:67" ht="18.75" customHeight="1">
      <c r="BM26912" s="1025"/>
      <c r="BO26912" s="43"/>
    </row>
    <row r="26913" spans="65:67" ht="18.75" customHeight="1">
      <c r="BM26913" s="1025"/>
      <c r="BO26913" s="43"/>
    </row>
    <row r="26914" spans="65:67" ht="18.75" customHeight="1">
      <c r="BM26914" s="1025"/>
      <c r="BO26914" s="43"/>
    </row>
    <row r="26915" spans="65:67" ht="18.75" customHeight="1">
      <c r="BM26915" s="1025"/>
      <c r="BO26915" s="43"/>
    </row>
    <row r="26916" spans="65:67" ht="18.75" customHeight="1">
      <c r="BM26916" s="1025"/>
      <c r="BO26916" s="43"/>
    </row>
    <row r="26917" spans="65:67" ht="18.75" customHeight="1">
      <c r="BM26917" s="1025"/>
      <c r="BO26917" s="43"/>
    </row>
    <row r="26918" spans="65:67" ht="18.75" customHeight="1">
      <c r="BM26918" s="1025"/>
      <c r="BO26918" s="43"/>
    </row>
    <row r="26919" spans="65:67" ht="18.75" customHeight="1">
      <c r="BM26919" s="1025"/>
      <c r="BO26919" s="43"/>
    </row>
    <row r="26920" spans="65:67" ht="18.75" customHeight="1">
      <c r="BM26920" s="1025"/>
      <c r="BO26920" s="43"/>
    </row>
    <row r="26921" spans="65:67" ht="18.75" customHeight="1">
      <c r="BM26921" s="1025"/>
      <c r="BO26921" s="43"/>
    </row>
    <row r="26922" spans="65:67" ht="18.75" customHeight="1">
      <c r="BM26922" s="1025"/>
      <c r="BO26922" s="43"/>
    </row>
    <row r="26923" spans="65:67" ht="18.75" customHeight="1">
      <c r="BM26923" s="1025"/>
      <c r="BO26923" s="43"/>
    </row>
    <row r="26924" spans="65:67" ht="18.75" customHeight="1">
      <c r="BM26924" s="1025"/>
      <c r="BO26924" s="43"/>
    </row>
    <row r="26925" spans="65:67" ht="18.75" customHeight="1">
      <c r="BM26925" s="1025"/>
      <c r="BO26925" s="43"/>
    </row>
    <row r="26926" spans="65:67" ht="18.75" customHeight="1">
      <c r="BM26926" s="1025"/>
      <c r="BO26926" s="43"/>
    </row>
    <row r="26927" spans="65:67" ht="18.75" customHeight="1">
      <c r="BM26927" s="1025"/>
      <c r="BO26927" s="43"/>
    </row>
    <row r="26928" spans="65:67" ht="18.75" customHeight="1">
      <c r="BM26928" s="1025"/>
      <c r="BO26928" s="43"/>
    </row>
    <row r="26929" spans="65:67" ht="18.75" customHeight="1">
      <c r="BM26929" s="1025"/>
      <c r="BO26929" s="43"/>
    </row>
    <row r="26930" spans="65:67" ht="18.75" customHeight="1">
      <c r="BM26930" s="1025"/>
      <c r="BO26930" s="43"/>
    </row>
    <row r="26931" spans="65:67" ht="18.75" customHeight="1">
      <c r="BM26931" s="1025"/>
      <c r="BO26931" s="43"/>
    </row>
    <row r="26932" spans="65:67" ht="18.75" customHeight="1">
      <c r="BM26932" s="1025"/>
      <c r="BO26932" s="43"/>
    </row>
    <row r="26933" spans="65:67" ht="18.75" customHeight="1">
      <c r="BM26933" s="1025"/>
      <c r="BO26933" s="43"/>
    </row>
    <row r="26934" spans="65:67" ht="18.75" customHeight="1">
      <c r="BM26934" s="1025"/>
      <c r="BO26934" s="43"/>
    </row>
    <row r="26935" spans="65:67" ht="18.75" customHeight="1">
      <c r="BM26935" s="1025"/>
      <c r="BO26935" s="43"/>
    </row>
    <row r="26936" spans="65:67" ht="18.75" customHeight="1">
      <c r="BM26936" s="1025"/>
      <c r="BO26936" s="43"/>
    </row>
    <row r="26937" spans="65:67" ht="18.75" customHeight="1">
      <c r="BM26937" s="1025"/>
      <c r="BO26937" s="43"/>
    </row>
    <row r="26938" spans="65:67" ht="18.75" customHeight="1">
      <c r="BM26938" s="1025"/>
      <c r="BO26938" s="43"/>
    </row>
    <row r="26939" spans="65:67" ht="18.75" customHeight="1">
      <c r="BM26939" s="1025"/>
      <c r="BO26939" s="43"/>
    </row>
    <row r="26940" spans="65:67" ht="18.75" customHeight="1">
      <c r="BM26940" s="1025"/>
      <c r="BO26940" s="43"/>
    </row>
    <row r="26941" spans="65:67" ht="18.75" customHeight="1">
      <c r="BM26941" s="1025"/>
      <c r="BO26941" s="43"/>
    </row>
    <row r="26942" spans="65:67" ht="18.75" customHeight="1">
      <c r="BM26942" s="1025"/>
      <c r="BO26942" s="43"/>
    </row>
    <row r="26943" spans="65:67" ht="18.75" customHeight="1">
      <c r="BM26943" s="1025"/>
      <c r="BO26943" s="43"/>
    </row>
    <row r="26944" spans="65:67" ht="18.75" customHeight="1">
      <c r="BM26944" s="1025"/>
      <c r="BO26944" s="43"/>
    </row>
    <row r="26945" spans="65:67" ht="18.75" customHeight="1">
      <c r="BM26945" s="1025"/>
      <c r="BO26945" s="43"/>
    </row>
    <row r="26946" spans="65:67" ht="18.75" customHeight="1">
      <c r="BM26946" s="1025"/>
      <c r="BO26946" s="43"/>
    </row>
    <row r="26947" spans="65:67" ht="18.75" customHeight="1">
      <c r="BM26947" s="1025"/>
      <c r="BO26947" s="43"/>
    </row>
    <row r="26948" spans="65:67" ht="18.75" customHeight="1">
      <c r="BM26948" s="1025"/>
      <c r="BO26948" s="43"/>
    </row>
    <row r="26949" spans="65:67" ht="18.75" customHeight="1">
      <c r="BM26949" s="1025"/>
      <c r="BO26949" s="43"/>
    </row>
    <row r="26950" spans="65:67" ht="18.75" customHeight="1">
      <c r="BM26950" s="1025"/>
      <c r="BO26950" s="43"/>
    </row>
    <row r="26951" spans="65:67" ht="18.75" customHeight="1">
      <c r="BM26951" s="1025"/>
      <c r="BO26951" s="43"/>
    </row>
    <row r="26952" spans="65:67" ht="18.75" customHeight="1">
      <c r="BM26952" s="1025"/>
      <c r="BO26952" s="43"/>
    </row>
    <row r="26953" spans="65:67" ht="18.75" customHeight="1">
      <c r="BM26953" s="1025"/>
      <c r="BO26953" s="43"/>
    </row>
    <row r="26954" spans="65:67" ht="18.75" customHeight="1">
      <c r="BM26954" s="1025"/>
      <c r="BO26954" s="43"/>
    </row>
    <row r="26955" spans="65:67" ht="18.75" customHeight="1">
      <c r="BM26955" s="1025"/>
      <c r="BO26955" s="43"/>
    </row>
    <row r="26956" spans="65:67" ht="18.75" customHeight="1">
      <c r="BM26956" s="1025"/>
      <c r="BO26956" s="43"/>
    </row>
    <row r="26957" spans="65:67" ht="18.75" customHeight="1">
      <c r="BM26957" s="1025"/>
      <c r="BO26957" s="43"/>
    </row>
    <row r="26958" spans="65:67" ht="18.75" customHeight="1">
      <c r="BM26958" s="1025"/>
      <c r="BO26958" s="43"/>
    </row>
    <row r="26959" spans="65:67" ht="18.75" customHeight="1">
      <c r="BM26959" s="1025"/>
      <c r="BO26959" s="43"/>
    </row>
    <row r="26960" spans="65:67" ht="18.75" customHeight="1">
      <c r="BM26960" s="1025"/>
      <c r="BO26960" s="43"/>
    </row>
    <row r="26961" spans="65:67" ht="18.75" customHeight="1">
      <c r="BM26961" s="1025"/>
      <c r="BO26961" s="43"/>
    </row>
    <row r="26962" spans="65:67" ht="18.75" customHeight="1">
      <c r="BM26962" s="1025"/>
      <c r="BO26962" s="43"/>
    </row>
    <row r="26963" spans="65:67" ht="18.75" customHeight="1">
      <c r="BM26963" s="1025"/>
      <c r="BO26963" s="43"/>
    </row>
    <row r="26964" spans="65:67" ht="18.75" customHeight="1">
      <c r="BM26964" s="1025"/>
      <c r="BO26964" s="43"/>
    </row>
    <row r="26965" spans="65:67" ht="18.75" customHeight="1">
      <c r="BM26965" s="1025"/>
      <c r="BO26965" s="43"/>
    </row>
    <row r="26966" spans="65:67" ht="18.75" customHeight="1">
      <c r="BM26966" s="1025"/>
      <c r="BO26966" s="43"/>
    </row>
    <row r="26967" spans="65:67" ht="18.75" customHeight="1">
      <c r="BM26967" s="1025"/>
      <c r="BO26967" s="43"/>
    </row>
    <row r="26968" spans="65:67" ht="18.75" customHeight="1">
      <c r="BM26968" s="1025"/>
      <c r="BO26968" s="43"/>
    </row>
    <row r="26969" spans="65:67" ht="18.75" customHeight="1">
      <c r="BM26969" s="1025"/>
      <c r="BO26969" s="43"/>
    </row>
    <row r="26970" spans="65:67" ht="18.75" customHeight="1">
      <c r="BM26970" s="1025"/>
      <c r="BO26970" s="43"/>
    </row>
    <row r="26971" spans="65:67" ht="18.75" customHeight="1">
      <c r="BM26971" s="1025"/>
      <c r="BO26971" s="43"/>
    </row>
    <row r="26972" spans="65:67" ht="18.75" customHeight="1">
      <c r="BM26972" s="1025"/>
      <c r="BO26972" s="43"/>
    </row>
    <row r="26973" spans="65:67" ht="18.75" customHeight="1">
      <c r="BM26973" s="1025"/>
      <c r="BO26973" s="43"/>
    </row>
    <row r="26974" spans="65:67" ht="18.75" customHeight="1">
      <c r="BM26974" s="1025"/>
      <c r="BO26974" s="43"/>
    </row>
    <row r="26975" spans="65:67" ht="18.75" customHeight="1">
      <c r="BM26975" s="1025"/>
      <c r="BO26975" s="43"/>
    </row>
    <row r="26976" spans="65:67" ht="18.75" customHeight="1">
      <c r="BM26976" s="1025"/>
      <c r="BO26976" s="43"/>
    </row>
    <row r="26977" spans="65:67" ht="18.75" customHeight="1">
      <c r="BM26977" s="1025"/>
      <c r="BO26977" s="43"/>
    </row>
    <row r="26978" spans="65:67" ht="18.75" customHeight="1">
      <c r="BM26978" s="1025"/>
      <c r="BO26978" s="43"/>
    </row>
    <row r="26979" spans="65:67" ht="18.75" customHeight="1">
      <c r="BM26979" s="1025"/>
      <c r="BO26979" s="43"/>
    </row>
    <row r="26980" spans="65:67" ht="18.75" customHeight="1">
      <c r="BM26980" s="1025"/>
      <c r="BO26980" s="43"/>
    </row>
    <row r="26981" spans="65:67" ht="18.75" customHeight="1">
      <c r="BM26981" s="1025"/>
      <c r="BO26981" s="43"/>
    </row>
    <row r="26982" spans="65:67" ht="18.75" customHeight="1">
      <c r="BM26982" s="1025"/>
      <c r="BO26982" s="43"/>
    </row>
    <row r="26983" spans="65:67" ht="18.75" customHeight="1">
      <c r="BM26983" s="1025"/>
      <c r="BO26983" s="43"/>
    </row>
    <row r="26984" spans="65:67" ht="18.75" customHeight="1">
      <c r="BM26984" s="1025"/>
      <c r="BO26984" s="43"/>
    </row>
    <row r="26985" spans="65:67" ht="18.75" customHeight="1">
      <c r="BM26985" s="1025"/>
      <c r="BO26985" s="43"/>
    </row>
    <row r="26986" spans="65:67" ht="18.75" customHeight="1">
      <c r="BM26986" s="1025"/>
      <c r="BO26986" s="43"/>
    </row>
    <row r="26987" spans="65:67" ht="18.75" customHeight="1">
      <c r="BM26987" s="1025"/>
      <c r="BO26987" s="43"/>
    </row>
    <row r="26988" spans="65:67" ht="18.75" customHeight="1">
      <c r="BM26988" s="1025"/>
      <c r="BO26988" s="43"/>
    </row>
    <row r="26989" spans="65:67" ht="18.75" customHeight="1">
      <c r="BM26989" s="1025"/>
      <c r="BO26989" s="43"/>
    </row>
    <row r="26990" spans="65:67" ht="18.75" customHeight="1">
      <c r="BM26990" s="1025"/>
      <c r="BO26990" s="43"/>
    </row>
    <row r="26991" spans="65:67" ht="18.75" customHeight="1">
      <c r="BM26991" s="1025"/>
      <c r="BO26991" s="43"/>
    </row>
    <row r="26992" spans="65:67" ht="18.75" customHeight="1">
      <c r="BM26992" s="1025"/>
      <c r="BO26992" s="43"/>
    </row>
    <row r="26993" spans="65:67" ht="18.75" customHeight="1">
      <c r="BM26993" s="1025"/>
      <c r="BO26993" s="43"/>
    </row>
    <row r="26994" spans="65:67" ht="18.75" customHeight="1">
      <c r="BM26994" s="1025"/>
      <c r="BO26994" s="43"/>
    </row>
    <row r="26995" spans="65:67" ht="18.75" customHeight="1">
      <c r="BM26995" s="1025"/>
      <c r="BO26995" s="43"/>
    </row>
    <row r="26996" spans="65:67" ht="18.75" customHeight="1">
      <c r="BM26996" s="1025"/>
      <c r="BO26996" s="43"/>
    </row>
    <row r="26997" spans="65:67" ht="18.75" customHeight="1">
      <c r="BM26997" s="1025"/>
      <c r="BO26997" s="43"/>
    </row>
    <row r="26998" spans="65:67" ht="18.75" customHeight="1">
      <c r="BM26998" s="1025"/>
      <c r="BO26998" s="43"/>
    </row>
    <row r="26999" spans="65:67" ht="18.75" customHeight="1">
      <c r="BM26999" s="1025"/>
      <c r="BO26999" s="43"/>
    </row>
    <row r="27000" spans="65:67" ht="18.75" customHeight="1">
      <c r="BM27000" s="1025"/>
      <c r="BO27000" s="43"/>
    </row>
    <row r="27001" spans="65:67" ht="18.75" customHeight="1">
      <c r="BM27001" s="1025"/>
      <c r="BO27001" s="43"/>
    </row>
    <row r="27002" spans="65:67" ht="18.75" customHeight="1">
      <c r="BM27002" s="1025"/>
      <c r="BO27002" s="43"/>
    </row>
    <row r="27003" spans="65:67" ht="18.75" customHeight="1">
      <c r="BM27003" s="1025"/>
      <c r="BO27003" s="43"/>
    </row>
    <row r="27004" spans="65:67" ht="18.75" customHeight="1">
      <c r="BM27004" s="1025"/>
      <c r="BO27004" s="43"/>
    </row>
    <row r="27005" spans="65:67" ht="18.75" customHeight="1">
      <c r="BM27005" s="1025"/>
      <c r="BO27005" s="43"/>
    </row>
    <row r="27006" spans="65:67" ht="18.75" customHeight="1">
      <c r="BM27006" s="1025"/>
      <c r="BO27006" s="43"/>
    </row>
    <row r="27007" spans="65:67" ht="18.75" customHeight="1">
      <c r="BM27007" s="1025"/>
      <c r="BO27007" s="43"/>
    </row>
    <row r="27008" spans="65:67" ht="18.75" customHeight="1">
      <c r="BM27008" s="1025"/>
      <c r="BO27008" s="43"/>
    </row>
    <row r="27009" spans="65:67" ht="18.75" customHeight="1">
      <c r="BM27009" s="1025"/>
      <c r="BO27009" s="43"/>
    </row>
    <row r="27010" spans="65:67" ht="18.75" customHeight="1">
      <c r="BM27010" s="1025"/>
      <c r="BO27010" s="43"/>
    </row>
    <row r="27011" spans="65:67" ht="18.75" customHeight="1">
      <c r="BM27011" s="1025"/>
      <c r="BO27011" s="43"/>
    </row>
    <row r="27012" spans="65:67" ht="18.75" customHeight="1">
      <c r="BM27012" s="1025"/>
      <c r="BO27012" s="43"/>
    </row>
    <row r="27013" spans="65:67" ht="18.75" customHeight="1">
      <c r="BM27013" s="1025"/>
      <c r="BO27013" s="43"/>
    </row>
    <row r="27014" spans="65:67" ht="18.75" customHeight="1">
      <c r="BM27014" s="1025"/>
      <c r="BO27014" s="43"/>
    </row>
    <row r="27015" spans="65:67" ht="18.75" customHeight="1">
      <c r="BM27015" s="1025"/>
      <c r="BO27015" s="43"/>
    </row>
    <row r="27016" spans="65:67" ht="18.75" customHeight="1">
      <c r="BM27016" s="1025"/>
      <c r="BO27016" s="43"/>
    </row>
    <row r="27017" spans="65:67" ht="18.75" customHeight="1">
      <c r="BM27017" s="1025"/>
      <c r="BO27017" s="43"/>
    </row>
    <row r="27018" spans="65:67" ht="18.75" customHeight="1">
      <c r="BM27018" s="1025"/>
      <c r="BO27018" s="43"/>
    </row>
    <row r="27019" spans="65:67" ht="18.75" customHeight="1">
      <c r="BM27019" s="1025"/>
      <c r="BO27019" s="43"/>
    </row>
    <row r="27020" spans="65:67" ht="18.75" customHeight="1">
      <c r="BM27020" s="1025"/>
      <c r="BO27020" s="43"/>
    </row>
    <row r="27021" spans="65:67" ht="18.75" customHeight="1">
      <c r="BM27021" s="1025"/>
      <c r="BO27021" s="43"/>
    </row>
    <row r="27022" spans="65:67" ht="18.75" customHeight="1">
      <c r="BM27022" s="1025"/>
      <c r="BO27022" s="43"/>
    </row>
    <row r="27023" spans="65:67" ht="18.75" customHeight="1">
      <c r="BM27023" s="1025"/>
      <c r="BO27023" s="43"/>
    </row>
    <row r="27024" spans="65:67" ht="18.75" customHeight="1">
      <c r="BM27024" s="1025"/>
      <c r="BO27024" s="43"/>
    </row>
    <row r="27025" spans="65:67" ht="18.75" customHeight="1">
      <c r="BM27025" s="1025"/>
      <c r="BO27025" s="43"/>
    </row>
    <row r="27026" spans="65:67" ht="18.75" customHeight="1">
      <c r="BM27026" s="1025"/>
      <c r="BO27026" s="43"/>
    </row>
    <row r="27027" spans="65:67" ht="18.75" customHeight="1">
      <c r="BM27027" s="1025"/>
      <c r="BO27027" s="43"/>
    </row>
    <row r="27028" spans="65:67" ht="18.75" customHeight="1">
      <c r="BM27028" s="1025"/>
      <c r="BO27028" s="43"/>
    </row>
    <row r="27029" spans="65:67" ht="18.75" customHeight="1">
      <c r="BM27029" s="1025"/>
      <c r="BO27029" s="43"/>
    </row>
    <row r="27030" spans="65:67" ht="18.75" customHeight="1">
      <c r="BM27030" s="1025"/>
      <c r="BO27030" s="43"/>
    </row>
    <row r="27031" spans="65:67" ht="18.75" customHeight="1">
      <c r="BM27031" s="1025"/>
      <c r="BO27031" s="43"/>
    </row>
    <row r="27032" spans="65:67" ht="18.75" customHeight="1">
      <c r="BM27032" s="1025"/>
      <c r="BO27032" s="43"/>
    </row>
    <row r="27033" spans="65:67" ht="18.75" customHeight="1">
      <c r="BM27033" s="1025"/>
      <c r="BO27033" s="43"/>
    </row>
    <row r="27034" spans="65:67" ht="18.75" customHeight="1">
      <c r="BM27034" s="1025"/>
      <c r="BO27034" s="43"/>
    </row>
    <row r="27035" spans="65:67" ht="18.75" customHeight="1">
      <c r="BM27035" s="1025"/>
      <c r="BO27035" s="43"/>
    </row>
    <row r="27036" spans="65:67" ht="18.75" customHeight="1">
      <c r="BM27036" s="1025"/>
      <c r="BO27036" s="43"/>
    </row>
    <row r="27037" spans="65:67" ht="18.75" customHeight="1">
      <c r="BM27037" s="1025"/>
      <c r="BO27037" s="43"/>
    </row>
    <row r="27038" spans="65:67" ht="18.75" customHeight="1">
      <c r="BM27038" s="1025"/>
      <c r="BO27038" s="43"/>
    </row>
    <row r="27039" spans="65:67" ht="18.75" customHeight="1">
      <c r="BM27039" s="1025"/>
      <c r="BO27039" s="43"/>
    </row>
    <row r="27040" spans="65:67" ht="18.75" customHeight="1">
      <c r="BM27040" s="1025"/>
      <c r="BO27040" s="43"/>
    </row>
    <row r="27041" spans="65:67" ht="18.75" customHeight="1">
      <c r="BM27041" s="1025"/>
      <c r="BO27041" s="43"/>
    </row>
    <row r="27042" spans="65:67" ht="18.75" customHeight="1">
      <c r="BM27042" s="1025"/>
      <c r="BO27042" s="43"/>
    </row>
    <row r="27043" spans="65:67" ht="18.75" customHeight="1">
      <c r="BM27043" s="1025"/>
      <c r="BO27043" s="43"/>
    </row>
    <row r="27044" spans="65:67" ht="18.75" customHeight="1">
      <c r="BM27044" s="1025"/>
      <c r="BO27044" s="43"/>
    </row>
    <row r="27045" spans="65:67" ht="18.75" customHeight="1">
      <c r="BM27045" s="1025"/>
      <c r="BO27045" s="43"/>
    </row>
    <row r="27046" spans="65:67" ht="18.75" customHeight="1">
      <c r="BM27046" s="1025"/>
      <c r="BO27046" s="43"/>
    </row>
    <row r="27047" spans="65:67" ht="18.75" customHeight="1">
      <c r="BM27047" s="1025"/>
      <c r="BO27047" s="43"/>
    </row>
    <row r="27048" spans="65:67" ht="18.75" customHeight="1">
      <c r="BM27048" s="1025"/>
      <c r="BO27048" s="43"/>
    </row>
    <row r="27049" spans="65:67" ht="18.75" customHeight="1">
      <c r="BM27049" s="1025"/>
      <c r="BO27049" s="43"/>
    </row>
    <row r="27050" spans="65:67" ht="18.75" customHeight="1">
      <c r="BM27050" s="1025"/>
      <c r="BO27050" s="43"/>
    </row>
    <row r="27051" spans="65:67" ht="18.75" customHeight="1">
      <c r="BM27051" s="1025"/>
      <c r="BO27051" s="43"/>
    </row>
    <row r="27052" spans="65:67" ht="18.75" customHeight="1">
      <c r="BM27052" s="1025"/>
      <c r="BO27052" s="43"/>
    </row>
    <row r="27053" spans="65:67" ht="18.75" customHeight="1">
      <c r="BM27053" s="1025"/>
      <c r="BO27053" s="43"/>
    </row>
    <row r="27054" spans="65:67" ht="18.75" customHeight="1">
      <c r="BM27054" s="1025"/>
      <c r="BO27054" s="43"/>
    </row>
    <row r="27055" spans="65:67" ht="18.75" customHeight="1">
      <c r="BM27055" s="1025"/>
      <c r="BO27055" s="43"/>
    </row>
    <row r="27056" spans="65:67" ht="18.75" customHeight="1">
      <c r="BM27056" s="1025"/>
      <c r="BO27056" s="43"/>
    </row>
    <row r="27057" spans="65:67" ht="18.75" customHeight="1">
      <c r="BM27057" s="1025"/>
      <c r="BO27057" s="43"/>
    </row>
    <row r="27058" spans="65:67" ht="18.75" customHeight="1">
      <c r="BM27058" s="1025"/>
      <c r="BO27058" s="43"/>
    </row>
    <row r="27059" spans="65:67" ht="18.75" customHeight="1">
      <c r="BM27059" s="1025"/>
      <c r="BO27059" s="43"/>
    </row>
    <row r="27060" spans="65:67" ht="18.75" customHeight="1">
      <c r="BM27060" s="1025"/>
      <c r="BO27060" s="43"/>
    </row>
    <row r="27061" spans="65:67" ht="18.75" customHeight="1">
      <c r="BM27061" s="1025"/>
      <c r="BO27061" s="43"/>
    </row>
    <row r="27062" spans="65:67" ht="18.75" customHeight="1">
      <c r="BM27062" s="1025"/>
      <c r="BO27062" s="43"/>
    </row>
    <row r="27063" spans="65:67" ht="18.75" customHeight="1">
      <c r="BM27063" s="1025"/>
      <c r="BO27063" s="43"/>
    </row>
    <row r="27064" spans="65:67" ht="18.75" customHeight="1">
      <c r="BM27064" s="1025"/>
      <c r="BO27064" s="43"/>
    </row>
    <row r="27065" spans="65:67" ht="18.75" customHeight="1">
      <c r="BM27065" s="1025"/>
      <c r="BO27065" s="43"/>
    </row>
    <row r="27066" spans="65:67" ht="18.75" customHeight="1">
      <c r="BM27066" s="1025"/>
      <c r="BO27066" s="43"/>
    </row>
    <row r="27067" spans="65:67" ht="18.75" customHeight="1">
      <c r="BM27067" s="1025"/>
      <c r="BO27067" s="43"/>
    </row>
    <row r="27068" spans="65:67" ht="18.75" customHeight="1">
      <c r="BM27068" s="1025"/>
      <c r="BO27068" s="43"/>
    </row>
    <row r="27069" spans="65:67" ht="18.75" customHeight="1">
      <c r="BM27069" s="1025"/>
      <c r="BO27069" s="43"/>
    </row>
    <row r="27070" spans="65:67" ht="18.75" customHeight="1">
      <c r="BM27070" s="1025"/>
      <c r="BO27070" s="43"/>
    </row>
    <row r="27071" spans="65:67" ht="18.75" customHeight="1">
      <c r="BM27071" s="1025"/>
      <c r="BO27071" s="43"/>
    </row>
    <row r="27072" spans="65:67" ht="18.75" customHeight="1">
      <c r="BM27072" s="1025"/>
      <c r="BO27072" s="43"/>
    </row>
    <row r="27073" spans="65:67" ht="18.75" customHeight="1">
      <c r="BM27073" s="1025"/>
      <c r="BO27073" s="43"/>
    </row>
    <row r="27074" spans="65:67" ht="18.75" customHeight="1">
      <c r="BM27074" s="1025"/>
      <c r="BO27074" s="43"/>
    </row>
    <row r="27075" spans="65:67" ht="18.75" customHeight="1">
      <c r="BM27075" s="1025"/>
      <c r="BO27075" s="43"/>
    </row>
    <row r="27076" spans="65:67" ht="18.75" customHeight="1">
      <c r="BM27076" s="1025"/>
      <c r="BO27076" s="43"/>
    </row>
    <row r="27077" spans="65:67" ht="18.75" customHeight="1">
      <c r="BM27077" s="1025"/>
      <c r="BO27077" s="43"/>
    </row>
    <row r="27078" spans="65:67" ht="18.75" customHeight="1">
      <c r="BM27078" s="1025"/>
      <c r="BO27078" s="43"/>
    </row>
    <row r="27079" spans="65:67" ht="18.75" customHeight="1">
      <c r="BM27079" s="1025"/>
      <c r="BO27079" s="43"/>
    </row>
    <row r="27080" spans="65:67" ht="18.75" customHeight="1">
      <c r="BM27080" s="1025"/>
      <c r="BO27080" s="43"/>
    </row>
    <row r="27081" spans="65:67" ht="18.75" customHeight="1">
      <c r="BM27081" s="1025"/>
      <c r="BO27081" s="43"/>
    </row>
    <row r="27082" spans="65:67" ht="18.75" customHeight="1">
      <c r="BM27082" s="1025"/>
      <c r="BO27082" s="43"/>
    </row>
    <row r="27083" spans="65:67" ht="18.75" customHeight="1">
      <c r="BM27083" s="1025"/>
      <c r="BO27083" s="43"/>
    </row>
    <row r="27084" spans="65:67" ht="18.75" customHeight="1">
      <c r="BM27084" s="1025"/>
      <c r="BO27084" s="43"/>
    </row>
    <row r="27085" spans="65:67" ht="18.75" customHeight="1">
      <c r="BM27085" s="1025"/>
      <c r="BO27085" s="43"/>
    </row>
    <row r="27086" spans="65:67" ht="18.75" customHeight="1">
      <c r="BM27086" s="1025"/>
      <c r="BO27086" s="43"/>
    </row>
    <row r="27087" spans="65:67" ht="18.75" customHeight="1">
      <c r="BM27087" s="1025"/>
      <c r="BO27087" s="43"/>
    </row>
    <row r="27088" spans="65:67" ht="18.75" customHeight="1">
      <c r="BM27088" s="1025"/>
      <c r="BO27088" s="43"/>
    </row>
    <row r="27089" spans="65:67" ht="18.75" customHeight="1">
      <c r="BM27089" s="1025"/>
      <c r="BO27089" s="43"/>
    </row>
    <row r="27090" spans="65:67" ht="18.75" customHeight="1">
      <c r="BM27090" s="1025"/>
      <c r="BO27090" s="43"/>
    </row>
    <row r="27091" spans="65:67" ht="18.75" customHeight="1">
      <c r="BM27091" s="1025"/>
      <c r="BO27091" s="43"/>
    </row>
    <row r="27092" spans="65:67" ht="18.75" customHeight="1">
      <c r="BM27092" s="1025"/>
      <c r="BO27092" s="43"/>
    </row>
    <row r="27093" spans="65:67" ht="18.75" customHeight="1">
      <c r="BM27093" s="1025"/>
      <c r="BO27093" s="43"/>
    </row>
    <row r="27094" spans="65:67" ht="18.75" customHeight="1">
      <c r="BM27094" s="1025"/>
      <c r="BO27094" s="43"/>
    </row>
    <row r="27095" spans="65:67" ht="18.75" customHeight="1">
      <c r="BM27095" s="1025"/>
      <c r="BO27095" s="43"/>
    </row>
    <row r="27096" spans="65:67" ht="18.75" customHeight="1">
      <c r="BM27096" s="1025"/>
      <c r="BO27096" s="43"/>
    </row>
    <row r="27097" spans="65:67" ht="18.75" customHeight="1">
      <c r="BM27097" s="1025"/>
      <c r="BO27097" s="43"/>
    </row>
    <row r="27098" spans="65:67" ht="18.75" customHeight="1">
      <c r="BM27098" s="1025"/>
      <c r="BO27098" s="43"/>
    </row>
    <row r="27099" spans="65:67" ht="18.75" customHeight="1">
      <c r="BM27099" s="1025"/>
      <c r="BO27099" s="43"/>
    </row>
    <row r="27100" spans="65:67" ht="18.75" customHeight="1">
      <c r="BM27100" s="1025"/>
      <c r="BO27100" s="43"/>
    </row>
    <row r="27101" spans="65:67" ht="18.75" customHeight="1">
      <c r="BM27101" s="1025"/>
      <c r="BO27101" s="43"/>
    </row>
    <row r="27102" spans="65:67" ht="18.75" customHeight="1">
      <c r="BM27102" s="1025"/>
      <c r="BO27102" s="43"/>
    </row>
    <row r="27103" spans="65:67" ht="18.75" customHeight="1">
      <c r="BM27103" s="1025"/>
      <c r="BO27103" s="43"/>
    </row>
    <row r="27104" spans="65:67" ht="18.75" customHeight="1">
      <c r="BM27104" s="1025"/>
      <c r="BO27104" s="43"/>
    </row>
    <row r="27105" spans="65:67" ht="18.75" customHeight="1">
      <c r="BM27105" s="1025"/>
      <c r="BO27105" s="43"/>
    </row>
    <row r="27106" spans="65:67" ht="18.75" customHeight="1">
      <c r="BM27106" s="1025"/>
      <c r="BO27106" s="43"/>
    </row>
    <row r="27107" spans="65:67" ht="18.75" customHeight="1">
      <c r="BM27107" s="1025"/>
      <c r="BO27107" s="43"/>
    </row>
    <row r="27108" spans="65:67" ht="18.75" customHeight="1">
      <c r="BM27108" s="1025"/>
      <c r="BO27108" s="43"/>
    </row>
    <row r="27109" spans="65:67" ht="18.75" customHeight="1">
      <c r="BM27109" s="1025"/>
      <c r="BO27109" s="43"/>
    </row>
    <row r="27110" spans="65:67" ht="18.75" customHeight="1">
      <c r="BM27110" s="1025"/>
      <c r="BO27110" s="43"/>
    </row>
    <row r="27111" spans="65:67" ht="18.75" customHeight="1">
      <c r="BM27111" s="1025"/>
      <c r="BO27111" s="43"/>
    </row>
    <row r="27112" spans="65:67" ht="18.75" customHeight="1">
      <c r="BM27112" s="1025"/>
      <c r="BO27112" s="43"/>
    </row>
    <row r="27113" spans="65:67" ht="18.75" customHeight="1">
      <c r="BM27113" s="1025"/>
      <c r="BO27113" s="43"/>
    </row>
    <row r="27114" spans="65:67" ht="18.75" customHeight="1">
      <c r="BM27114" s="1025"/>
      <c r="BO27114" s="43"/>
    </row>
    <row r="27115" spans="65:67" ht="18.75" customHeight="1">
      <c r="BM27115" s="1025"/>
      <c r="BO27115" s="43"/>
    </row>
    <row r="27116" spans="65:67" ht="18.75" customHeight="1">
      <c r="BM27116" s="1025"/>
      <c r="BO27116" s="43"/>
    </row>
    <row r="27117" spans="65:67" ht="18.75" customHeight="1">
      <c r="BM27117" s="1025"/>
      <c r="BO27117" s="43"/>
    </row>
    <row r="27118" spans="65:67" ht="18.75" customHeight="1">
      <c r="BM27118" s="1025"/>
      <c r="BO27118" s="43"/>
    </row>
    <row r="27119" spans="65:67" ht="18.75" customHeight="1">
      <c r="BM27119" s="1025"/>
      <c r="BO27119" s="43"/>
    </row>
    <row r="27120" spans="65:67" ht="18.75" customHeight="1">
      <c r="BM27120" s="1025"/>
      <c r="BO27120" s="43"/>
    </row>
    <row r="27121" spans="65:67" ht="18.75" customHeight="1">
      <c r="BM27121" s="1025"/>
      <c r="BO27121" s="43"/>
    </row>
    <row r="27122" spans="65:67" ht="18.75" customHeight="1">
      <c r="BM27122" s="1025"/>
      <c r="BO27122" s="43"/>
    </row>
    <row r="27123" spans="65:67" ht="18.75" customHeight="1">
      <c r="BM27123" s="1025"/>
      <c r="BO27123" s="43"/>
    </row>
    <row r="27124" spans="65:67" ht="18.75" customHeight="1">
      <c r="BM27124" s="1025"/>
      <c r="BO27124" s="43"/>
    </row>
    <row r="27125" spans="65:67" ht="18.75" customHeight="1">
      <c r="BM27125" s="1025"/>
      <c r="BO27125" s="43"/>
    </row>
    <row r="27126" spans="65:67" ht="18.75" customHeight="1">
      <c r="BM27126" s="1025"/>
      <c r="BO27126" s="43"/>
    </row>
    <row r="27127" spans="65:67" ht="18.75" customHeight="1">
      <c r="BM27127" s="1025"/>
      <c r="BO27127" s="43"/>
    </row>
    <row r="27128" spans="65:67" ht="18.75" customHeight="1">
      <c r="BM27128" s="1025"/>
      <c r="BO27128" s="43"/>
    </row>
    <row r="27129" spans="65:67" ht="18.75" customHeight="1">
      <c r="BM27129" s="1025"/>
      <c r="BO27129" s="43"/>
    </row>
    <row r="27130" spans="65:67" ht="18.75" customHeight="1">
      <c r="BM27130" s="1025"/>
      <c r="BO27130" s="43"/>
    </row>
    <row r="27131" spans="65:67" ht="18.75" customHeight="1">
      <c r="BM27131" s="1025"/>
      <c r="BO27131" s="43"/>
    </row>
    <row r="27132" spans="65:67" ht="18.75" customHeight="1">
      <c r="BM27132" s="1025"/>
      <c r="BO27132" s="43"/>
    </row>
    <row r="27133" spans="65:67" ht="18.75" customHeight="1">
      <c r="BM27133" s="1025"/>
      <c r="BO27133" s="43"/>
    </row>
    <row r="27134" spans="65:67" ht="18.75" customHeight="1">
      <c r="BM27134" s="1025"/>
      <c r="BO27134" s="43"/>
    </row>
    <row r="27135" spans="65:67" ht="18.75" customHeight="1">
      <c r="BM27135" s="1025"/>
      <c r="BO27135" s="43"/>
    </row>
    <row r="27136" spans="65:67" ht="18.75" customHeight="1">
      <c r="BM27136" s="1025"/>
      <c r="BO27136" s="43"/>
    </row>
    <row r="27137" spans="65:67" ht="18.75" customHeight="1">
      <c r="BM27137" s="1025"/>
      <c r="BO27137" s="43"/>
    </row>
    <row r="27138" spans="65:67" ht="18.75" customHeight="1">
      <c r="BM27138" s="1025"/>
      <c r="BO27138" s="43"/>
    </row>
    <row r="27139" spans="65:67" ht="18.75" customHeight="1">
      <c r="BM27139" s="1025"/>
      <c r="BO27139" s="43"/>
    </row>
    <row r="27140" spans="65:67" ht="18.75" customHeight="1">
      <c r="BM27140" s="1025"/>
      <c r="BO27140" s="43"/>
    </row>
    <row r="27141" spans="65:67" ht="18.75" customHeight="1">
      <c r="BM27141" s="1025"/>
      <c r="BO27141" s="43"/>
    </row>
    <row r="27142" spans="65:67" ht="18.75" customHeight="1">
      <c r="BM27142" s="1025"/>
      <c r="BO27142" s="43"/>
    </row>
    <row r="27143" spans="65:67" ht="18.75" customHeight="1">
      <c r="BM27143" s="1025"/>
      <c r="BO27143" s="43"/>
    </row>
    <row r="27144" spans="65:67" ht="18.75" customHeight="1">
      <c r="BM27144" s="1025"/>
      <c r="BO27144" s="43"/>
    </row>
    <row r="27145" spans="65:67" ht="18.75" customHeight="1">
      <c r="BM27145" s="1025"/>
      <c r="BO27145" s="43"/>
    </row>
    <row r="27146" spans="65:67" ht="18.75" customHeight="1">
      <c r="BM27146" s="1025"/>
      <c r="BO27146" s="43"/>
    </row>
    <row r="27147" spans="65:67" ht="18.75" customHeight="1">
      <c r="BM27147" s="1025"/>
      <c r="BO27147" s="43"/>
    </row>
    <row r="27148" spans="65:67" ht="18.75" customHeight="1">
      <c r="BM27148" s="1025"/>
      <c r="BO27148" s="43"/>
    </row>
    <row r="27149" spans="65:67" ht="18.75" customHeight="1">
      <c r="BM27149" s="1025"/>
      <c r="BO27149" s="43"/>
    </row>
    <row r="27150" spans="65:67" ht="18.75" customHeight="1">
      <c r="BM27150" s="1025"/>
      <c r="BO27150" s="43"/>
    </row>
    <row r="27151" spans="65:67" ht="18.75" customHeight="1">
      <c r="BM27151" s="1025"/>
      <c r="BO27151" s="43"/>
    </row>
    <row r="27152" spans="65:67" ht="18.75" customHeight="1">
      <c r="BM27152" s="1025"/>
      <c r="BO27152" s="43"/>
    </row>
    <row r="27153" spans="65:67" ht="18.75" customHeight="1">
      <c r="BM27153" s="1025"/>
      <c r="BO27153" s="43"/>
    </row>
    <row r="27154" spans="65:67" ht="18.75" customHeight="1">
      <c r="BM27154" s="1025"/>
      <c r="BO27154" s="43"/>
    </row>
    <row r="27155" spans="65:67" ht="18.75" customHeight="1">
      <c r="BM27155" s="1025"/>
      <c r="BO27155" s="43"/>
    </row>
    <row r="27156" spans="65:67" ht="18.75" customHeight="1">
      <c r="BM27156" s="1025"/>
      <c r="BO27156" s="43"/>
    </row>
    <row r="27157" spans="65:67" ht="18.75" customHeight="1">
      <c r="BM27157" s="1025"/>
      <c r="BO27157" s="43"/>
    </row>
    <row r="27158" spans="65:67" ht="18.75" customHeight="1">
      <c r="BM27158" s="1025"/>
      <c r="BO27158" s="43"/>
    </row>
    <row r="27159" spans="65:67" ht="18.75" customHeight="1">
      <c r="BM27159" s="1025"/>
      <c r="BO27159" s="43"/>
    </row>
    <row r="27160" spans="65:67" ht="18.75" customHeight="1">
      <c r="BM27160" s="1025"/>
      <c r="BO27160" s="43"/>
    </row>
    <row r="27161" spans="65:67" ht="18.75" customHeight="1">
      <c r="BM27161" s="1025"/>
      <c r="BO27161" s="43"/>
    </row>
    <row r="27162" spans="65:67" ht="18.75" customHeight="1">
      <c r="BM27162" s="1025"/>
      <c r="BO27162" s="43"/>
    </row>
    <row r="27163" spans="65:67" ht="18.75" customHeight="1">
      <c r="BM27163" s="1025"/>
      <c r="BO27163" s="43"/>
    </row>
    <row r="27164" spans="65:67" ht="18.75" customHeight="1">
      <c r="BM27164" s="1025"/>
      <c r="BO27164" s="43"/>
    </row>
    <row r="27165" spans="65:67" ht="18.75" customHeight="1">
      <c r="BM27165" s="1025"/>
      <c r="BO27165" s="43"/>
    </row>
    <row r="27166" spans="65:67" ht="18.75" customHeight="1">
      <c r="BM27166" s="1025"/>
      <c r="BO27166" s="43"/>
    </row>
    <row r="27167" spans="65:67" ht="18.75" customHeight="1">
      <c r="BM27167" s="1025"/>
      <c r="BO27167" s="43"/>
    </row>
    <row r="27168" spans="65:67" ht="18.75" customHeight="1">
      <c r="BM27168" s="1025"/>
      <c r="BO27168" s="43"/>
    </row>
    <row r="27169" spans="65:67" ht="18.75" customHeight="1">
      <c r="BM27169" s="1025"/>
      <c r="BO27169" s="43"/>
    </row>
    <row r="27170" spans="65:67" ht="18.75" customHeight="1">
      <c r="BM27170" s="1025"/>
      <c r="BO27170" s="43"/>
    </row>
    <row r="27171" spans="65:67" ht="18.75" customHeight="1">
      <c r="BM27171" s="1025"/>
      <c r="BO27171" s="43"/>
    </row>
    <row r="27172" spans="65:67" ht="18.75" customHeight="1">
      <c r="BM27172" s="1025"/>
      <c r="BO27172" s="43"/>
    </row>
    <row r="27173" spans="65:67" ht="18.75" customHeight="1">
      <c r="BM27173" s="1025"/>
      <c r="BO27173" s="43"/>
    </row>
    <row r="27174" spans="65:67" ht="18.75" customHeight="1">
      <c r="BM27174" s="1025"/>
      <c r="BO27174" s="43"/>
    </row>
    <row r="27175" spans="65:67" ht="18.75" customHeight="1">
      <c r="BM27175" s="1025"/>
      <c r="BO27175" s="43"/>
    </row>
    <row r="27176" spans="65:67" ht="18.75" customHeight="1">
      <c r="BM27176" s="1025"/>
      <c r="BO27176" s="43"/>
    </row>
    <row r="27177" spans="65:67" ht="18.75" customHeight="1">
      <c r="BM27177" s="1025"/>
      <c r="BO27177" s="43"/>
    </row>
    <row r="27178" spans="65:67" ht="18.75" customHeight="1">
      <c r="BM27178" s="1025"/>
      <c r="BO27178" s="43"/>
    </row>
    <row r="27179" spans="65:67" ht="18.75" customHeight="1">
      <c r="BM27179" s="1025"/>
      <c r="BO27179" s="43"/>
    </row>
    <row r="27180" spans="65:67" ht="18.75" customHeight="1">
      <c r="BM27180" s="1025"/>
      <c r="BO27180" s="43"/>
    </row>
    <row r="27181" spans="65:67" ht="18.75" customHeight="1">
      <c r="BM27181" s="1025"/>
      <c r="BO27181" s="43"/>
    </row>
    <row r="27182" spans="65:67" ht="18.75" customHeight="1">
      <c r="BM27182" s="1025"/>
      <c r="BO27182" s="43"/>
    </row>
    <row r="27183" spans="65:67" ht="18.75" customHeight="1">
      <c r="BM27183" s="1025"/>
      <c r="BO27183" s="43"/>
    </row>
    <row r="27184" spans="65:67" ht="18.75" customHeight="1">
      <c r="BM27184" s="1025"/>
      <c r="BO27184" s="43"/>
    </row>
    <row r="27185" spans="65:67" ht="18.75" customHeight="1">
      <c r="BM27185" s="1025"/>
      <c r="BO27185" s="43"/>
    </row>
    <row r="27186" spans="65:67" ht="18.75" customHeight="1">
      <c r="BM27186" s="1025"/>
      <c r="BO27186" s="43"/>
    </row>
    <row r="27187" spans="65:67" ht="18.75" customHeight="1">
      <c r="BM27187" s="1025"/>
      <c r="BO27187" s="43"/>
    </row>
    <row r="27188" spans="65:67" ht="18.75" customHeight="1">
      <c r="BM27188" s="1025"/>
      <c r="BO27188" s="43"/>
    </row>
    <row r="27189" spans="65:67" ht="18.75" customHeight="1">
      <c r="BM27189" s="1025"/>
      <c r="BO27189" s="43"/>
    </row>
    <row r="27190" spans="65:67" ht="18.75" customHeight="1">
      <c r="BM27190" s="1025"/>
      <c r="BO27190" s="43"/>
    </row>
    <row r="27191" spans="65:67" ht="18.75" customHeight="1">
      <c r="BM27191" s="1025"/>
      <c r="BO27191" s="43"/>
    </row>
    <row r="27192" spans="65:67" ht="18.75" customHeight="1">
      <c r="BM27192" s="1025"/>
      <c r="BO27192" s="43"/>
    </row>
    <row r="27193" spans="65:67" ht="18.75" customHeight="1">
      <c r="BM27193" s="1025"/>
      <c r="BO27193" s="43"/>
    </row>
    <row r="27194" spans="65:67" ht="18.75" customHeight="1">
      <c r="BM27194" s="1025"/>
      <c r="BO27194" s="43"/>
    </row>
    <row r="27195" spans="65:67" ht="18.75" customHeight="1">
      <c r="BM27195" s="1025"/>
      <c r="BO27195" s="43"/>
    </row>
    <row r="27196" spans="65:67" ht="18.75" customHeight="1">
      <c r="BM27196" s="1025"/>
      <c r="BO27196" s="43"/>
    </row>
    <row r="27197" spans="65:67" ht="18.75" customHeight="1">
      <c r="BM27197" s="1025"/>
      <c r="BO27197" s="43"/>
    </row>
    <row r="27198" spans="65:67" ht="18.75" customHeight="1">
      <c r="BM27198" s="1025"/>
      <c r="BO27198" s="43"/>
    </row>
    <row r="27199" spans="65:67" ht="18.75" customHeight="1">
      <c r="BM27199" s="1025"/>
      <c r="BO27199" s="43"/>
    </row>
    <row r="27200" spans="65:67" ht="18.75" customHeight="1">
      <c r="BM27200" s="1025"/>
      <c r="BO27200" s="43"/>
    </row>
    <row r="27201" spans="65:67" ht="18.75" customHeight="1">
      <c r="BM27201" s="1025"/>
      <c r="BO27201" s="43"/>
    </row>
    <row r="27202" spans="65:67" ht="18.75" customHeight="1">
      <c r="BM27202" s="1025"/>
      <c r="BO27202" s="43"/>
    </row>
    <row r="27203" spans="65:67" ht="18.75" customHeight="1">
      <c r="BM27203" s="1025"/>
      <c r="BO27203" s="43"/>
    </row>
    <row r="27204" spans="65:67" ht="18.75" customHeight="1">
      <c r="BM27204" s="1025"/>
      <c r="BO27204" s="43"/>
    </row>
    <row r="27205" spans="65:67" ht="18.75" customHeight="1">
      <c r="BM27205" s="1025"/>
      <c r="BO27205" s="43"/>
    </row>
    <row r="27206" spans="65:67" ht="18.75" customHeight="1">
      <c r="BM27206" s="1025"/>
      <c r="BO27206" s="43"/>
    </row>
    <row r="27207" spans="65:67" ht="18.75" customHeight="1">
      <c r="BM27207" s="1025"/>
      <c r="BO27207" s="43"/>
    </row>
    <row r="27208" spans="65:67" ht="18.75" customHeight="1">
      <c r="BM27208" s="1025"/>
      <c r="BO27208" s="43"/>
    </row>
    <row r="27209" spans="65:67" ht="18.75" customHeight="1">
      <c r="BM27209" s="1025"/>
      <c r="BO27209" s="43"/>
    </row>
    <row r="27210" spans="65:67" ht="18.75" customHeight="1">
      <c r="BM27210" s="1025"/>
      <c r="BO27210" s="43"/>
    </row>
    <row r="27211" spans="65:67" ht="18.75" customHeight="1">
      <c r="BM27211" s="1025"/>
      <c r="BO27211" s="43"/>
    </row>
    <row r="27212" spans="65:67" ht="18.75" customHeight="1">
      <c r="BM27212" s="1025"/>
      <c r="BO27212" s="43"/>
    </row>
    <row r="27213" spans="65:67" ht="18.75" customHeight="1">
      <c r="BM27213" s="1025"/>
      <c r="BO27213" s="43"/>
    </row>
    <row r="27214" spans="65:67" ht="18.75" customHeight="1">
      <c r="BM27214" s="1025"/>
      <c r="BO27214" s="43"/>
    </row>
    <row r="27215" spans="65:67" ht="18.75" customHeight="1">
      <c r="BM27215" s="1025"/>
      <c r="BO27215" s="43"/>
    </row>
    <row r="27216" spans="65:67" ht="18.75" customHeight="1">
      <c r="BM27216" s="1025"/>
      <c r="BO27216" s="43"/>
    </row>
    <row r="27217" spans="65:67" ht="18.75" customHeight="1">
      <c r="BM27217" s="1025"/>
      <c r="BO27217" s="43"/>
    </row>
    <row r="27218" spans="65:67" ht="18.75" customHeight="1">
      <c r="BM27218" s="1025"/>
      <c r="BO27218" s="43"/>
    </row>
    <row r="27219" spans="65:67" ht="18.75" customHeight="1">
      <c r="BM27219" s="1025"/>
      <c r="BO27219" s="43"/>
    </row>
    <row r="27220" spans="65:67" ht="18.75" customHeight="1">
      <c r="BM27220" s="1025"/>
      <c r="BO27220" s="43"/>
    </row>
    <row r="27221" spans="65:67" ht="18.75" customHeight="1">
      <c r="BM27221" s="1025"/>
      <c r="BO27221" s="43"/>
    </row>
    <row r="27222" spans="65:67" ht="18.75" customHeight="1">
      <c r="BM27222" s="1025"/>
      <c r="BO27222" s="43"/>
    </row>
    <row r="27223" spans="65:67" ht="18.75" customHeight="1">
      <c r="BM27223" s="1025"/>
      <c r="BO27223" s="43"/>
    </row>
    <row r="27224" spans="65:67" ht="18.75" customHeight="1">
      <c r="BM27224" s="1025"/>
      <c r="BO27224" s="43"/>
    </row>
    <row r="27225" spans="65:67" ht="18.75" customHeight="1">
      <c r="BM27225" s="1025"/>
      <c r="BO27225" s="43"/>
    </row>
    <row r="27226" spans="65:67" ht="18.75" customHeight="1">
      <c r="BM27226" s="1025"/>
      <c r="BO27226" s="43"/>
    </row>
    <row r="27227" spans="65:67" ht="18.75" customHeight="1">
      <c r="BM27227" s="1025"/>
      <c r="BO27227" s="43"/>
    </row>
    <row r="27228" spans="65:67" ht="18.75" customHeight="1">
      <c r="BM27228" s="1025"/>
      <c r="BO27228" s="43"/>
    </row>
    <row r="27229" spans="65:67" ht="18.75" customHeight="1">
      <c r="BM27229" s="1025"/>
      <c r="BO27229" s="43"/>
    </row>
    <row r="27230" spans="65:67" ht="18.75" customHeight="1">
      <c r="BM27230" s="1025"/>
      <c r="BO27230" s="43"/>
    </row>
    <row r="27231" spans="65:67" ht="18.75" customHeight="1">
      <c r="BM27231" s="1025"/>
      <c r="BO27231" s="43"/>
    </row>
    <row r="27232" spans="65:67" ht="18.75" customHeight="1">
      <c r="BM27232" s="1025"/>
      <c r="BO27232" s="43"/>
    </row>
    <row r="27233" spans="65:67" ht="18.75" customHeight="1">
      <c r="BM27233" s="1025"/>
      <c r="BO27233" s="43"/>
    </row>
    <row r="27234" spans="65:67" ht="18.75" customHeight="1">
      <c r="BM27234" s="1025"/>
      <c r="BO27234" s="43"/>
    </row>
    <row r="27235" spans="65:67" ht="18.75" customHeight="1">
      <c r="BM27235" s="1025"/>
      <c r="BO27235" s="43"/>
    </row>
    <row r="27236" spans="65:67" ht="18.75" customHeight="1">
      <c r="BM27236" s="1025"/>
      <c r="BO27236" s="43"/>
    </row>
    <row r="27237" spans="65:67" ht="18.75" customHeight="1">
      <c r="BM27237" s="1025"/>
      <c r="BO27237" s="43"/>
    </row>
    <row r="27238" spans="65:67" ht="18.75" customHeight="1">
      <c r="BM27238" s="1025"/>
      <c r="BO27238" s="43"/>
    </row>
    <row r="27239" spans="65:67" ht="18.75" customHeight="1">
      <c r="BM27239" s="1025"/>
      <c r="BO27239" s="43"/>
    </row>
    <row r="27240" spans="65:67" ht="18.75" customHeight="1">
      <c r="BM27240" s="1025"/>
      <c r="BO27240" s="43"/>
    </row>
    <row r="27241" spans="65:67" ht="18.75" customHeight="1">
      <c r="BM27241" s="1025"/>
      <c r="BO27241" s="43"/>
    </row>
    <row r="27242" spans="65:67" ht="18.75" customHeight="1">
      <c r="BM27242" s="1025"/>
      <c r="BO27242" s="43"/>
    </row>
    <row r="27243" spans="65:67" ht="18.75" customHeight="1">
      <c r="BM27243" s="1025"/>
      <c r="BO27243" s="43"/>
    </row>
    <row r="27244" spans="65:67" ht="18.75" customHeight="1">
      <c r="BM27244" s="1025"/>
      <c r="BO27244" s="43"/>
    </row>
    <row r="27245" spans="65:67" ht="18.75" customHeight="1">
      <c r="BM27245" s="1025"/>
      <c r="BO27245" s="43"/>
    </row>
    <row r="27246" spans="65:67" ht="18.75" customHeight="1">
      <c r="BM27246" s="1025"/>
      <c r="BO27246" s="43"/>
    </row>
    <row r="27247" spans="65:67" ht="18.75" customHeight="1">
      <c r="BM27247" s="1025"/>
      <c r="BO27247" s="43"/>
    </row>
    <row r="27248" spans="65:67" ht="18.75" customHeight="1">
      <c r="BM27248" s="1025"/>
      <c r="BO27248" s="43"/>
    </row>
    <row r="27249" spans="65:67" ht="18.75" customHeight="1">
      <c r="BM27249" s="1025"/>
      <c r="BO27249" s="43"/>
    </row>
    <row r="27250" spans="65:67" ht="18.75" customHeight="1">
      <c r="BM27250" s="1025"/>
      <c r="BO27250" s="43"/>
    </row>
    <row r="27251" spans="65:67" ht="18.75" customHeight="1">
      <c r="BM27251" s="1025"/>
      <c r="BO27251" s="43"/>
    </row>
    <row r="27252" spans="65:67" ht="18.75" customHeight="1">
      <c r="BM27252" s="1025"/>
      <c r="BO27252" s="43"/>
    </row>
    <row r="27253" spans="65:67" ht="18.75" customHeight="1">
      <c r="BM27253" s="1025"/>
      <c r="BO27253" s="43"/>
    </row>
    <row r="27254" spans="65:67" ht="18.75" customHeight="1">
      <c r="BM27254" s="1025"/>
      <c r="BO27254" s="43"/>
    </row>
    <row r="27255" spans="65:67" ht="18.75" customHeight="1">
      <c r="BM27255" s="1025"/>
      <c r="BO27255" s="43"/>
    </row>
    <row r="27256" spans="65:67" ht="18.75" customHeight="1">
      <c r="BM27256" s="1025"/>
      <c r="BO27256" s="43"/>
    </row>
    <row r="27257" spans="65:67" ht="18.75" customHeight="1">
      <c r="BM27257" s="1025"/>
      <c r="BO27257" s="43"/>
    </row>
    <row r="27258" spans="65:67" ht="18.75" customHeight="1">
      <c r="BM27258" s="1025"/>
      <c r="BO27258" s="43"/>
    </row>
    <row r="27259" spans="65:67" ht="18.75" customHeight="1">
      <c r="BM27259" s="1025"/>
      <c r="BO27259" s="43"/>
    </row>
    <row r="27260" spans="65:67" ht="18.75" customHeight="1">
      <c r="BM27260" s="1025"/>
      <c r="BO27260" s="43"/>
    </row>
    <row r="27261" spans="65:67" ht="18.75" customHeight="1">
      <c r="BM27261" s="1025"/>
      <c r="BO27261" s="43"/>
    </row>
    <row r="27262" spans="65:67" ht="18.75" customHeight="1">
      <c r="BM27262" s="1025"/>
      <c r="BO27262" s="43"/>
    </row>
    <row r="27263" spans="65:67" ht="18.75" customHeight="1">
      <c r="BM27263" s="1025"/>
      <c r="BO27263" s="43"/>
    </row>
    <row r="27264" spans="65:67" ht="18.75" customHeight="1">
      <c r="BM27264" s="1025"/>
      <c r="BO27264" s="43"/>
    </row>
    <row r="27265" spans="65:67" ht="18.75" customHeight="1">
      <c r="BM27265" s="1025"/>
      <c r="BO27265" s="43"/>
    </row>
    <row r="27266" spans="65:67" ht="18.75" customHeight="1">
      <c r="BM27266" s="1025"/>
      <c r="BO27266" s="43"/>
    </row>
    <row r="27267" spans="65:67" ht="18.75" customHeight="1">
      <c r="BM27267" s="1025"/>
      <c r="BO27267" s="43"/>
    </row>
    <row r="27268" spans="65:67" ht="18.75" customHeight="1">
      <c r="BM27268" s="1025"/>
      <c r="BO27268" s="43"/>
    </row>
    <row r="27269" spans="65:67" ht="18.75" customHeight="1">
      <c r="BM27269" s="1025"/>
      <c r="BO27269" s="43"/>
    </row>
    <row r="27270" spans="65:67" ht="18.75" customHeight="1">
      <c r="BM27270" s="1025"/>
      <c r="BO27270" s="43"/>
    </row>
    <row r="27271" spans="65:67" ht="18.75" customHeight="1">
      <c r="BM27271" s="1025"/>
      <c r="BO27271" s="43"/>
    </row>
    <row r="27272" spans="65:67" ht="18.75" customHeight="1">
      <c r="BM27272" s="1025"/>
      <c r="BO27272" s="43"/>
    </row>
    <row r="27273" spans="65:67" ht="18.75" customHeight="1">
      <c r="BM27273" s="1025"/>
      <c r="BO27273" s="43"/>
    </row>
    <row r="27274" spans="65:67" ht="18.75" customHeight="1">
      <c r="BM27274" s="1025"/>
      <c r="BO27274" s="43"/>
    </row>
    <row r="27275" spans="65:67" ht="18.75" customHeight="1">
      <c r="BM27275" s="1025"/>
      <c r="BO27275" s="43"/>
    </row>
    <row r="27276" spans="65:67" ht="18.75" customHeight="1">
      <c r="BM27276" s="1025"/>
      <c r="BO27276" s="43"/>
    </row>
    <row r="27277" spans="65:67" ht="18.75" customHeight="1">
      <c r="BM27277" s="1025"/>
      <c r="BO27277" s="43"/>
    </row>
    <row r="27278" spans="65:67" ht="18.75" customHeight="1">
      <c r="BM27278" s="1025"/>
      <c r="BO27278" s="43"/>
    </row>
    <row r="27279" spans="65:67" ht="18.75" customHeight="1">
      <c r="BM27279" s="1025"/>
      <c r="BO27279" s="43"/>
    </row>
    <row r="27280" spans="65:67" ht="18.75" customHeight="1">
      <c r="BM27280" s="1025"/>
      <c r="BO27280" s="43"/>
    </row>
    <row r="27281" spans="65:67" ht="18.75" customHeight="1">
      <c r="BM27281" s="1025"/>
      <c r="BO27281" s="43"/>
    </row>
    <row r="27282" spans="65:67" ht="18.75" customHeight="1">
      <c r="BM27282" s="1025"/>
      <c r="BO27282" s="43"/>
    </row>
    <row r="27283" spans="65:67" ht="18.75" customHeight="1">
      <c r="BM27283" s="1025"/>
      <c r="BO27283" s="43"/>
    </row>
    <row r="27284" spans="65:67" ht="18.75" customHeight="1">
      <c r="BM27284" s="1025"/>
      <c r="BO27284" s="43"/>
    </row>
    <row r="27285" spans="65:67" ht="18.75" customHeight="1">
      <c r="BM27285" s="1025"/>
      <c r="BO27285" s="43"/>
    </row>
    <row r="27286" spans="65:67" ht="18.75" customHeight="1">
      <c r="BM27286" s="1025"/>
      <c r="BO27286" s="43"/>
    </row>
    <row r="27287" spans="65:67" ht="18.75" customHeight="1">
      <c r="BM27287" s="1025"/>
      <c r="BO27287" s="43"/>
    </row>
    <row r="27288" spans="65:67" ht="18.75" customHeight="1">
      <c r="BM27288" s="1025"/>
      <c r="BO27288" s="43"/>
    </row>
    <row r="27289" spans="65:67" ht="18.75" customHeight="1">
      <c r="BM27289" s="1025"/>
      <c r="BO27289" s="43"/>
    </row>
    <row r="27290" spans="65:67" ht="18.75" customHeight="1">
      <c r="BM27290" s="1025"/>
      <c r="BO27290" s="43"/>
    </row>
    <row r="27291" spans="65:67" ht="18.75" customHeight="1">
      <c r="BM27291" s="1025"/>
      <c r="BO27291" s="43"/>
    </row>
    <row r="27292" spans="65:67" ht="18.75" customHeight="1">
      <c r="BM27292" s="1025"/>
      <c r="BO27292" s="43"/>
    </row>
    <row r="27293" spans="65:67" ht="18.75" customHeight="1">
      <c r="BM27293" s="1025"/>
      <c r="BO27293" s="43"/>
    </row>
    <row r="27294" spans="65:67" ht="18.75" customHeight="1">
      <c r="BM27294" s="1025"/>
      <c r="BO27294" s="43"/>
    </row>
    <row r="27295" spans="65:67" ht="18.75" customHeight="1">
      <c r="BM27295" s="1025"/>
      <c r="BO27295" s="43"/>
    </row>
    <row r="27296" spans="65:67" ht="18.75" customHeight="1">
      <c r="BM27296" s="1025"/>
      <c r="BO27296" s="43"/>
    </row>
    <row r="27297" spans="65:67" ht="18.75" customHeight="1">
      <c r="BM27297" s="1025"/>
      <c r="BO27297" s="43"/>
    </row>
    <row r="27298" spans="65:67" ht="18.75" customHeight="1">
      <c r="BM27298" s="1025"/>
      <c r="BO27298" s="43"/>
    </row>
    <row r="27299" spans="65:67" ht="18.75" customHeight="1">
      <c r="BM27299" s="1025"/>
      <c r="BO27299" s="43"/>
    </row>
    <row r="27300" spans="65:67" ht="18.75" customHeight="1">
      <c r="BM27300" s="1025"/>
      <c r="BO27300" s="43"/>
    </row>
    <row r="27301" spans="65:67" ht="18.75" customHeight="1">
      <c r="BM27301" s="1025"/>
      <c r="BO27301" s="43"/>
    </row>
    <row r="27302" spans="65:67" ht="18.75" customHeight="1">
      <c r="BM27302" s="1025"/>
      <c r="BO27302" s="43"/>
    </row>
    <row r="27303" spans="65:67" ht="18.75" customHeight="1">
      <c r="BM27303" s="1025"/>
      <c r="BO27303" s="43"/>
    </row>
    <row r="27304" spans="65:67" ht="18.75" customHeight="1">
      <c r="BM27304" s="1025"/>
      <c r="BO27304" s="43"/>
    </row>
    <row r="27305" spans="65:67" ht="18.75" customHeight="1">
      <c r="BM27305" s="1025"/>
      <c r="BO27305" s="43"/>
    </row>
    <row r="27306" spans="65:67" ht="18.75" customHeight="1">
      <c r="BM27306" s="1025"/>
      <c r="BO27306" s="43"/>
    </row>
    <row r="27307" spans="65:67" ht="18.75" customHeight="1">
      <c r="BM27307" s="1025"/>
      <c r="BO27307" s="43"/>
    </row>
    <row r="27308" spans="65:67" ht="18.75" customHeight="1">
      <c r="BM27308" s="1025"/>
      <c r="BO27308" s="43"/>
    </row>
    <row r="27309" spans="65:67" ht="18.75" customHeight="1">
      <c r="BM27309" s="1025"/>
      <c r="BO27309" s="43"/>
    </row>
    <row r="27310" spans="65:67" ht="18.75" customHeight="1">
      <c r="BM27310" s="1025"/>
      <c r="BO27310" s="43"/>
    </row>
    <row r="27311" spans="65:67" ht="18.75" customHeight="1">
      <c r="BM27311" s="1025"/>
      <c r="BO27311" s="43"/>
    </row>
    <row r="27312" spans="65:67" ht="18.75" customHeight="1">
      <c r="BM27312" s="1025"/>
      <c r="BO27312" s="43"/>
    </row>
    <row r="27313" spans="65:67" ht="18.75" customHeight="1">
      <c r="BM27313" s="1025"/>
      <c r="BO27313" s="43"/>
    </row>
    <row r="27314" spans="65:67" ht="18.75" customHeight="1">
      <c r="BM27314" s="1025"/>
      <c r="BO27314" s="43"/>
    </row>
    <row r="27315" spans="65:67" ht="18.75" customHeight="1">
      <c r="BM27315" s="1025"/>
      <c r="BO27315" s="43"/>
    </row>
    <row r="27316" spans="65:67" ht="18.75" customHeight="1">
      <c r="BM27316" s="1025"/>
      <c r="BO27316" s="43"/>
    </row>
    <row r="27317" spans="65:67" ht="18.75" customHeight="1">
      <c r="BM27317" s="1025"/>
      <c r="BO27317" s="43"/>
    </row>
    <row r="27318" spans="65:67" ht="18.75" customHeight="1">
      <c r="BM27318" s="1025"/>
      <c r="BO27318" s="43"/>
    </row>
    <row r="27319" spans="65:67" ht="18.75" customHeight="1">
      <c r="BM27319" s="1025"/>
      <c r="BO27319" s="43"/>
    </row>
    <row r="27320" spans="65:67" ht="18.75" customHeight="1">
      <c r="BM27320" s="1025"/>
      <c r="BO27320" s="43"/>
    </row>
    <row r="27321" spans="65:67" ht="18.75" customHeight="1">
      <c r="BM27321" s="1025"/>
      <c r="BO27321" s="43"/>
    </row>
    <row r="27322" spans="65:67" ht="18.75" customHeight="1">
      <c r="BM27322" s="1025"/>
      <c r="BO27322" s="43"/>
    </row>
    <row r="27323" spans="65:67" ht="18.75" customHeight="1">
      <c r="BM27323" s="1025"/>
      <c r="BO27323" s="43"/>
    </row>
    <row r="27324" spans="65:67" ht="18.75" customHeight="1">
      <c r="BM27324" s="1025"/>
      <c r="BO27324" s="43"/>
    </row>
    <row r="27325" spans="65:67" ht="18.75" customHeight="1">
      <c r="BM27325" s="1025"/>
      <c r="BO27325" s="43"/>
    </row>
    <row r="27326" spans="65:67" ht="18.75" customHeight="1">
      <c r="BM27326" s="1025"/>
      <c r="BO27326" s="43"/>
    </row>
    <row r="27327" spans="65:67" ht="18.75" customHeight="1">
      <c r="BM27327" s="1025"/>
      <c r="BO27327" s="43"/>
    </row>
    <row r="27328" spans="65:67" ht="18.75" customHeight="1">
      <c r="BM27328" s="1025"/>
      <c r="BO27328" s="43"/>
    </row>
    <row r="27329" spans="65:67" ht="18.75" customHeight="1">
      <c r="BM27329" s="1025"/>
      <c r="BO27329" s="43"/>
    </row>
    <row r="27330" spans="65:67" ht="18.75" customHeight="1">
      <c r="BM27330" s="1025"/>
      <c r="BO27330" s="43"/>
    </row>
    <row r="27331" spans="65:67" ht="18.75" customHeight="1">
      <c r="BM27331" s="1025"/>
      <c r="BO27331" s="43"/>
    </row>
    <row r="27332" spans="65:67" ht="18.75" customHeight="1">
      <c r="BM27332" s="1025"/>
      <c r="BO27332" s="43"/>
    </row>
    <row r="27333" spans="65:67" ht="18.75" customHeight="1">
      <c r="BM27333" s="1025"/>
      <c r="BO27333" s="43"/>
    </row>
    <row r="27334" spans="65:67" ht="18.75" customHeight="1">
      <c r="BM27334" s="1025"/>
      <c r="BO27334" s="43"/>
    </row>
    <row r="27335" spans="65:67" ht="18.75" customHeight="1">
      <c r="BM27335" s="1025"/>
      <c r="BO27335" s="43"/>
    </row>
    <row r="27336" spans="65:67" ht="18.75" customHeight="1">
      <c r="BM27336" s="1025"/>
      <c r="BO27336" s="43"/>
    </row>
    <row r="27337" spans="65:67" ht="18.75" customHeight="1">
      <c r="BM27337" s="1025"/>
      <c r="BO27337" s="43"/>
    </row>
    <row r="27338" spans="65:67" ht="18.75" customHeight="1">
      <c r="BM27338" s="1025"/>
      <c r="BO27338" s="43"/>
    </row>
    <row r="27339" spans="65:67" ht="18.75" customHeight="1">
      <c r="BM27339" s="1025"/>
      <c r="BO27339" s="43"/>
    </row>
    <row r="27340" spans="65:67" ht="18.75" customHeight="1">
      <c r="BM27340" s="1025"/>
      <c r="BO27340" s="43"/>
    </row>
    <row r="27341" spans="65:67" ht="18.75" customHeight="1">
      <c r="BM27341" s="1025"/>
      <c r="BO27341" s="43"/>
    </row>
    <row r="27342" spans="65:67" ht="18.75" customHeight="1">
      <c r="BM27342" s="1025"/>
      <c r="BO27342" s="43"/>
    </row>
    <row r="27343" spans="65:67" ht="18.75" customHeight="1">
      <c r="BM27343" s="1025"/>
      <c r="BO27343" s="43"/>
    </row>
    <row r="27344" spans="65:67" ht="18.75" customHeight="1">
      <c r="BM27344" s="1025"/>
      <c r="BO27344" s="43"/>
    </row>
    <row r="27345" spans="65:67" ht="18.75" customHeight="1">
      <c r="BM27345" s="1025"/>
      <c r="BO27345" s="43"/>
    </row>
    <row r="27346" spans="65:67" ht="18.75" customHeight="1">
      <c r="BM27346" s="1025"/>
      <c r="BO27346" s="43"/>
    </row>
    <row r="27347" spans="65:67" ht="18.75" customHeight="1">
      <c r="BM27347" s="1025"/>
      <c r="BO27347" s="43"/>
    </row>
    <row r="27348" spans="65:67" ht="18.75" customHeight="1">
      <c r="BM27348" s="1025"/>
      <c r="BO27348" s="43"/>
    </row>
    <row r="27349" spans="65:67" ht="18.75" customHeight="1">
      <c r="BM27349" s="1025"/>
      <c r="BO27349" s="43"/>
    </row>
    <row r="27350" spans="65:67" ht="18.75" customHeight="1">
      <c r="BM27350" s="1025"/>
      <c r="BO27350" s="43"/>
    </row>
    <row r="27351" spans="65:67" ht="18.75" customHeight="1">
      <c r="BM27351" s="1025"/>
      <c r="BO27351" s="43"/>
    </row>
    <row r="27352" spans="65:67" ht="18.75" customHeight="1">
      <c r="BM27352" s="1025"/>
      <c r="BO27352" s="43"/>
    </row>
    <row r="27353" spans="65:67" ht="18.75" customHeight="1">
      <c r="BM27353" s="1025"/>
      <c r="BO27353" s="43"/>
    </row>
    <row r="27354" spans="65:67" ht="18.75" customHeight="1">
      <c r="BM27354" s="1025"/>
      <c r="BO27354" s="43"/>
    </row>
    <row r="27355" spans="65:67" ht="18.75" customHeight="1">
      <c r="BM27355" s="1025"/>
      <c r="BO27355" s="43"/>
    </row>
    <row r="27356" spans="65:67" ht="18.75" customHeight="1">
      <c r="BM27356" s="1025"/>
      <c r="BO27356" s="43"/>
    </row>
    <row r="27357" spans="65:67" ht="18.75" customHeight="1">
      <c r="BM27357" s="1025"/>
      <c r="BO27357" s="43"/>
    </row>
    <row r="27358" spans="65:67" ht="18.75" customHeight="1">
      <c r="BM27358" s="1025"/>
      <c r="BO27358" s="43"/>
    </row>
    <row r="27359" spans="65:67" ht="18.75" customHeight="1">
      <c r="BM27359" s="1025"/>
      <c r="BO27359" s="43"/>
    </row>
    <row r="27360" spans="65:67" ht="18.75" customHeight="1">
      <c r="BM27360" s="1025"/>
      <c r="BO27360" s="43"/>
    </row>
    <row r="27361" spans="65:67" ht="18.75" customHeight="1">
      <c r="BM27361" s="1025"/>
      <c r="BO27361" s="43"/>
    </row>
    <row r="27362" spans="65:67" ht="18.75" customHeight="1">
      <c r="BM27362" s="1025"/>
      <c r="BO27362" s="43"/>
    </row>
    <row r="27363" spans="65:67" ht="18.75" customHeight="1">
      <c r="BM27363" s="1025"/>
      <c r="BO27363" s="43"/>
    </row>
    <row r="27364" spans="65:67" ht="18.75" customHeight="1">
      <c r="BM27364" s="1025"/>
      <c r="BO27364" s="43"/>
    </row>
    <row r="27365" spans="65:67" ht="18.75" customHeight="1">
      <c r="BM27365" s="1025"/>
      <c r="BO27365" s="43"/>
    </row>
    <row r="27366" spans="65:67" ht="18.75" customHeight="1">
      <c r="BM27366" s="1025"/>
      <c r="BO27366" s="43"/>
    </row>
    <row r="27367" spans="65:67" ht="18.75" customHeight="1">
      <c r="BM27367" s="1025"/>
      <c r="BO27367" s="43"/>
    </row>
    <row r="27368" spans="65:67" ht="18.75" customHeight="1">
      <c r="BM27368" s="1025"/>
      <c r="BO27368" s="43"/>
    </row>
    <row r="27369" spans="65:67" ht="18.75" customHeight="1">
      <c r="BM27369" s="1025"/>
      <c r="BO27369" s="43"/>
    </row>
    <row r="27370" spans="65:67" ht="18.75" customHeight="1">
      <c r="BM27370" s="1025"/>
      <c r="BO27370" s="43"/>
    </row>
    <row r="27371" spans="65:67" ht="18.75" customHeight="1">
      <c r="BM27371" s="1025"/>
      <c r="BO27371" s="43"/>
    </row>
    <row r="27372" spans="65:67" ht="18.75" customHeight="1">
      <c r="BM27372" s="1025"/>
      <c r="BO27372" s="43"/>
    </row>
    <row r="27373" spans="65:67" ht="18.75" customHeight="1">
      <c r="BM27373" s="1025"/>
      <c r="BO27373" s="43"/>
    </row>
    <row r="27374" spans="65:67" ht="18.75" customHeight="1">
      <c r="BM27374" s="1025"/>
      <c r="BO27374" s="43"/>
    </row>
    <row r="27375" spans="65:67" ht="18.75" customHeight="1">
      <c r="BM27375" s="1025"/>
      <c r="BO27375" s="43"/>
    </row>
    <row r="27376" spans="65:67" ht="18.75" customHeight="1">
      <c r="BM27376" s="1025"/>
      <c r="BO27376" s="43"/>
    </row>
    <row r="27377" spans="65:67" ht="18.75" customHeight="1">
      <c r="BM27377" s="1025"/>
      <c r="BO27377" s="43"/>
    </row>
    <row r="27378" spans="65:67" ht="18.75" customHeight="1">
      <c r="BM27378" s="1025"/>
      <c r="BO27378" s="43"/>
    </row>
    <row r="27379" spans="65:67" ht="18.75" customHeight="1">
      <c r="BM27379" s="1025"/>
      <c r="BO27379" s="43"/>
    </row>
    <row r="27380" spans="65:67" ht="18.75" customHeight="1">
      <c r="BM27380" s="1025"/>
      <c r="BO27380" s="43"/>
    </row>
    <row r="27381" spans="65:67" ht="18.75" customHeight="1">
      <c r="BM27381" s="1025"/>
      <c r="BO27381" s="43"/>
    </row>
    <row r="27382" spans="65:67" ht="18.75" customHeight="1">
      <c r="BM27382" s="1025"/>
      <c r="BO27382" s="43"/>
    </row>
    <row r="27383" spans="65:67" ht="18.75" customHeight="1">
      <c r="BM27383" s="1025"/>
      <c r="BO27383" s="43"/>
    </row>
    <row r="27384" spans="65:67" ht="18.75" customHeight="1">
      <c r="BM27384" s="1025"/>
      <c r="BO27384" s="43"/>
    </row>
    <row r="27385" spans="65:67" ht="18.75" customHeight="1">
      <c r="BM27385" s="1025"/>
      <c r="BO27385" s="43"/>
    </row>
    <row r="27386" spans="65:67" ht="18.75" customHeight="1">
      <c r="BM27386" s="1025"/>
      <c r="BO27386" s="43"/>
    </row>
    <row r="27387" spans="65:67" ht="18.75" customHeight="1">
      <c r="BM27387" s="1025"/>
      <c r="BO27387" s="43"/>
    </row>
    <row r="27388" spans="65:67" ht="18.75" customHeight="1">
      <c r="BM27388" s="1025"/>
      <c r="BO27388" s="43"/>
    </row>
    <row r="27389" spans="65:67" ht="18.75" customHeight="1">
      <c r="BM27389" s="1025"/>
      <c r="BO27389" s="43"/>
    </row>
    <row r="27390" spans="65:67" ht="18.75" customHeight="1">
      <c r="BM27390" s="1025"/>
      <c r="BO27390" s="43"/>
    </row>
    <row r="27391" spans="65:67" ht="18.75" customHeight="1">
      <c r="BM27391" s="1025"/>
      <c r="BO27391" s="43"/>
    </row>
    <row r="27392" spans="65:67" ht="18.75" customHeight="1">
      <c r="BM27392" s="1025"/>
      <c r="BO27392" s="43"/>
    </row>
    <row r="27393" spans="65:67" ht="18.75" customHeight="1">
      <c r="BM27393" s="1025"/>
      <c r="BO27393" s="43"/>
    </row>
    <row r="27394" spans="65:67" ht="18.75" customHeight="1">
      <c r="BM27394" s="1025"/>
      <c r="BO27394" s="43"/>
    </row>
    <row r="27395" spans="65:67" ht="18.75" customHeight="1">
      <c r="BM27395" s="1025"/>
      <c r="BO27395" s="43"/>
    </row>
    <row r="27396" spans="65:67" ht="18.75" customHeight="1">
      <c r="BM27396" s="1025"/>
      <c r="BO27396" s="43"/>
    </row>
    <row r="27397" spans="65:67" ht="18.75" customHeight="1">
      <c r="BM27397" s="1025"/>
      <c r="BO27397" s="43"/>
    </row>
    <row r="27398" spans="65:67" ht="18.75" customHeight="1">
      <c r="BM27398" s="1025"/>
      <c r="BO27398" s="43"/>
    </row>
    <row r="27399" spans="65:67" ht="18.75" customHeight="1">
      <c r="BM27399" s="1025"/>
      <c r="BO27399" s="43"/>
    </row>
    <row r="27400" spans="65:67" ht="18.75" customHeight="1">
      <c r="BM27400" s="1025"/>
      <c r="BO27400" s="43"/>
    </row>
    <row r="27401" spans="65:67" ht="18.75" customHeight="1">
      <c r="BM27401" s="1025"/>
      <c r="BO27401" s="43"/>
    </row>
    <row r="27402" spans="65:67" ht="18.75" customHeight="1">
      <c r="BM27402" s="1025"/>
      <c r="BO27402" s="43"/>
    </row>
    <row r="27403" spans="65:67" ht="18.75" customHeight="1">
      <c r="BM27403" s="1025"/>
      <c r="BO27403" s="43"/>
    </row>
    <row r="27404" spans="65:67" ht="18.75" customHeight="1">
      <c r="BM27404" s="1025"/>
      <c r="BO27404" s="43"/>
    </row>
    <row r="27405" spans="65:67" ht="18.75" customHeight="1">
      <c r="BM27405" s="1025"/>
      <c r="BO27405" s="43"/>
    </row>
    <row r="27406" spans="65:67" ht="18.75" customHeight="1">
      <c r="BM27406" s="1025"/>
      <c r="BO27406" s="43"/>
    </row>
    <row r="27407" spans="65:67" ht="18.75" customHeight="1">
      <c r="BM27407" s="1025"/>
      <c r="BO27407" s="43"/>
    </row>
    <row r="27408" spans="65:67" ht="18.75" customHeight="1">
      <c r="BM27408" s="1025"/>
      <c r="BO27408" s="43"/>
    </row>
    <row r="27409" spans="65:67" ht="18.75" customHeight="1">
      <c r="BM27409" s="1025"/>
      <c r="BO27409" s="43"/>
    </row>
    <row r="27410" spans="65:67" ht="18.75" customHeight="1">
      <c r="BM27410" s="1025"/>
      <c r="BO27410" s="43"/>
    </row>
    <row r="27411" spans="65:67" ht="18.75" customHeight="1">
      <c r="BM27411" s="1025"/>
      <c r="BO27411" s="43"/>
    </row>
    <row r="27412" spans="65:67" ht="18.75" customHeight="1">
      <c r="BM27412" s="1025"/>
      <c r="BO27412" s="43"/>
    </row>
    <row r="27413" spans="65:67" ht="18.75" customHeight="1">
      <c r="BM27413" s="1025"/>
      <c r="BO27413" s="43"/>
    </row>
    <row r="27414" spans="65:67" ht="18.75" customHeight="1">
      <c r="BM27414" s="1025"/>
      <c r="BO27414" s="43"/>
    </row>
    <row r="27415" spans="65:67" ht="18.75" customHeight="1">
      <c r="BM27415" s="1025"/>
      <c r="BO27415" s="43"/>
    </row>
    <row r="27416" spans="65:67" ht="18.75" customHeight="1">
      <c r="BM27416" s="1025"/>
      <c r="BO27416" s="43"/>
    </row>
    <row r="27417" spans="65:67" ht="18.75" customHeight="1">
      <c r="BM27417" s="1025"/>
      <c r="BO27417" s="43"/>
    </row>
    <row r="27418" spans="65:67" ht="18.75" customHeight="1">
      <c r="BM27418" s="1025"/>
      <c r="BO27418" s="43"/>
    </row>
    <row r="27419" spans="65:67" ht="18.75" customHeight="1">
      <c r="BM27419" s="1025"/>
      <c r="BO27419" s="43"/>
    </row>
    <row r="27420" spans="65:67" ht="18.75" customHeight="1">
      <c r="BM27420" s="1025"/>
      <c r="BO27420" s="43"/>
    </row>
    <row r="27421" spans="65:67" ht="18.75" customHeight="1">
      <c r="BM27421" s="1025"/>
      <c r="BO27421" s="43"/>
    </row>
    <row r="27422" spans="65:67" ht="18.75" customHeight="1">
      <c r="BM27422" s="1025"/>
      <c r="BO27422" s="43"/>
    </row>
    <row r="27423" spans="65:67" ht="18.75" customHeight="1">
      <c r="BM27423" s="1025"/>
      <c r="BO27423" s="43"/>
    </row>
    <row r="27424" spans="65:67" ht="18.75" customHeight="1">
      <c r="BM27424" s="1025"/>
      <c r="BO27424" s="43"/>
    </row>
    <row r="27425" spans="65:67" ht="18.75" customHeight="1">
      <c r="BM27425" s="1025"/>
      <c r="BO27425" s="43"/>
    </row>
    <row r="27426" spans="65:67" ht="18.75" customHeight="1">
      <c r="BM27426" s="1025"/>
      <c r="BO27426" s="43"/>
    </row>
    <row r="27427" spans="65:67" ht="18.75" customHeight="1">
      <c r="BM27427" s="1025"/>
      <c r="BO27427" s="43"/>
    </row>
    <row r="27428" spans="65:67" ht="18.75" customHeight="1">
      <c r="BM27428" s="1025"/>
      <c r="BO27428" s="43"/>
    </row>
    <row r="27429" spans="65:67" ht="18.75" customHeight="1">
      <c r="BM27429" s="1025"/>
      <c r="BO27429" s="43"/>
    </row>
    <row r="27430" spans="65:67" ht="18.75" customHeight="1">
      <c r="BM27430" s="1025"/>
      <c r="BO27430" s="43"/>
    </row>
    <row r="27431" spans="65:67" ht="18.75" customHeight="1">
      <c r="BM27431" s="1025"/>
      <c r="BO27431" s="43"/>
    </row>
    <row r="27432" spans="65:67" ht="18.75" customHeight="1">
      <c r="BM27432" s="1025"/>
      <c r="BO27432" s="43"/>
    </row>
    <row r="27433" spans="65:67" ht="18.75" customHeight="1">
      <c r="BM27433" s="1025"/>
      <c r="BO27433" s="43"/>
    </row>
    <row r="27434" spans="65:67" ht="18.75" customHeight="1">
      <c r="BM27434" s="1025"/>
      <c r="BO27434" s="43"/>
    </row>
    <row r="27435" spans="65:67" ht="18.75" customHeight="1">
      <c r="BM27435" s="1025"/>
      <c r="BO27435" s="43"/>
    </row>
    <row r="27436" spans="65:67" ht="18.75" customHeight="1">
      <c r="BM27436" s="1025"/>
      <c r="BO27436" s="43"/>
    </row>
    <row r="27437" spans="65:67" ht="18.75" customHeight="1">
      <c r="BM27437" s="1025"/>
      <c r="BO27437" s="43"/>
    </row>
    <row r="27438" spans="65:67" ht="18.75" customHeight="1">
      <c r="BM27438" s="1025"/>
      <c r="BO27438" s="43"/>
    </row>
    <row r="27439" spans="65:67" ht="18.75" customHeight="1">
      <c r="BM27439" s="1025"/>
      <c r="BO27439" s="43"/>
    </row>
    <row r="27440" spans="65:67" ht="18.75" customHeight="1">
      <c r="BM27440" s="1025"/>
      <c r="BO27440" s="43"/>
    </row>
    <row r="27441" spans="65:67" ht="18.75" customHeight="1">
      <c r="BM27441" s="1025"/>
      <c r="BO27441" s="43"/>
    </row>
    <row r="27442" spans="65:67" ht="18.75" customHeight="1">
      <c r="BM27442" s="1025"/>
      <c r="BO27442" s="43"/>
    </row>
    <row r="27443" spans="65:67" ht="18.75" customHeight="1">
      <c r="BM27443" s="1025"/>
      <c r="BO27443" s="43"/>
    </row>
    <row r="27444" spans="65:67" ht="18.75" customHeight="1">
      <c r="BM27444" s="1025"/>
      <c r="BO27444" s="43"/>
    </row>
    <row r="27445" spans="65:67" ht="18.75" customHeight="1">
      <c r="BM27445" s="1025"/>
      <c r="BO27445" s="43"/>
    </row>
    <row r="27446" spans="65:67" ht="18.75" customHeight="1">
      <c r="BM27446" s="1025"/>
      <c r="BO27446" s="43"/>
    </row>
    <row r="27447" spans="65:67" ht="18.75" customHeight="1">
      <c r="BM27447" s="1025"/>
      <c r="BO27447" s="43"/>
    </row>
    <row r="27448" spans="65:67" ht="18.75" customHeight="1">
      <c r="BM27448" s="1025"/>
      <c r="BO27448" s="43"/>
    </row>
    <row r="27449" spans="65:67" ht="18.75" customHeight="1">
      <c r="BM27449" s="1025"/>
      <c r="BO27449" s="43"/>
    </row>
    <row r="27450" spans="65:67" ht="18.75" customHeight="1">
      <c r="BM27450" s="1025"/>
      <c r="BO27450" s="43"/>
    </row>
    <row r="27451" spans="65:67" ht="18.75" customHeight="1">
      <c r="BM27451" s="1025"/>
      <c r="BO27451" s="43"/>
    </row>
    <row r="27452" spans="65:67" ht="18.75" customHeight="1">
      <c r="BM27452" s="1025"/>
      <c r="BO27452" s="43"/>
    </row>
    <row r="27453" spans="65:67" ht="18.75" customHeight="1">
      <c r="BM27453" s="1025"/>
      <c r="BO27453" s="43"/>
    </row>
    <row r="27454" spans="65:67" ht="18.75" customHeight="1">
      <c r="BM27454" s="1025"/>
      <c r="BO27454" s="43"/>
    </row>
    <row r="27455" spans="65:67" ht="18.75" customHeight="1">
      <c r="BM27455" s="1025"/>
      <c r="BO27455" s="43"/>
    </row>
    <row r="27456" spans="65:67" ht="18.75" customHeight="1">
      <c r="BM27456" s="1025"/>
      <c r="BO27456" s="43"/>
    </row>
    <row r="27457" spans="65:67" ht="18.75" customHeight="1">
      <c r="BM27457" s="1025"/>
      <c r="BO27457" s="43"/>
    </row>
    <row r="27458" spans="65:67" ht="18.75" customHeight="1">
      <c r="BM27458" s="1025"/>
      <c r="BO27458" s="43"/>
    </row>
    <row r="27459" spans="65:67" ht="18.75" customHeight="1">
      <c r="BM27459" s="1025"/>
      <c r="BO27459" s="43"/>
    </row>
    <row r="27460" spans="65:67" ht="18.75" customHeight="1">
      <c r="BM27460" s="1025"/>
      <c r="BO27460" s="43"/>
    </row>
    <row r="27461" spans="65:67" ht="18.75" customHeight="1">
      <c r="BM27461" s="1025"/>
      <c r="BO27461" s="43"/>
    </row>
    <row r="27462" spans="65:67" ht="18.75" customHeight="1">
      <c r="BM27462" s="1025"/>
      <c r="BO27462" s="43"/>
    </row>
    <row r="27463" spans="65:67" ht="18.75" customHeight="1">
      <c r="BM27463" s="1025"/>
      <c r="BO27463" s="43"/>
    </row>
    <row r="27464" spans="65:67" ht="18.75" customHeight="1">
      <c r="BM27464" s="1025"/>
      <c r="BO27464" s="43"/>
    </row>
    <row r="27465" spans="65:67" ht="18.75" customHeight="1">
      <c r="BM27465" s="1025"/>
      <c r="BO27465" s="43"/>
    </row>
    <row r="27466" spans="65:67" ht="18.75" customHeight="1">
      <c r="BM27466" s="1025"/>
      <c r="BO27466" s="43"/>
    </row>
    <row r="27467" spans="65:67" ht="18.75" customHeight="1">
      <c r="BM27467" s="1025"/>
      <c r="BO27467" s="43"/>
    </row>
    <row r="27468" spans="65:67" ht="18.75" customHeight="1">
      <c r="BM27468" s="1025"/>
      <c r="BO27468" s="43"/>
    </row>
    <row r="27469" spans="65:67" ht="18.75" customHeight="1">
      <c r="BM27469" s="1025"/>
      <c r="BO27469" s="43"/>
    </row>
    <row r="27470" spans="65:67" ht="18.75" customHeight="1">
      <c r="BM27470" s="1025"/>
      <c r="BO27470" s="43"/>
    </row>
    <row r="27471" spans="65:67" ht="18.75" customHeight="1">
      <c r="BM27471" s="1025"/>
      <c r="BO27471" s="43"/>
    </row>
    <row r="27472" spans="65:67" ht="18.75" customHeight="1">
      <c r="BM27472" s="1025"/>
      <c r="BO27472" s="43"/>
    </row>
    <row r="27473" spans="65:67" ht="18.75" customHeight="1">
      <c r="BM27473" s="1025"/>
      <c r="BO27473" s="43"/>
    </row>
    <row r="27474" spans="65:67" ht="18.75" customHeight="1">
      <c r="BM27474" s="1025"/>
      <c r="BO27474" s="43"/>
    </row>
    <row r="27475" spans="65:67" ht="18.75" customHeight="1">
      <c r="BM27475" s="1025"/>
      <c r="BO27475" s="43"/>
    </row>
    <row r="27476" spans="65:67" ht="18.75" customHeight="1">
      <c r="BM27476" s="1025"/>
      <c r="BO27476" s="43"/>
    </row>
    <row r="27477" spans="65:67" ht="18.75" customHeight="1">
      <c r="BM27477" s="1025"/>
      <c r="BO27477" s="43"/>
    </row>
    <row r="27478" spans="65:67" ht="18.75" customHeight="1">
      <c r="BM27478" s="1025"/>
      <c r="BO27478" s="43"/>
    </row>
    <row r="27479" spans="65:67" ht="18.75" customHeight="1">
      <c r="BM27479" s="1025"/>
      <c r="BO27479" s="43"/>
    </row>
    <row r="27480" spans="65:67" ht="18.75" customHeight="1">
      <c r="BM27480" s="1025"/>
      <c r="BO27480" s="43"/>
    </row>
    <row r="27481" spans="65:67" ht="18.75" customHeight="1">
      <c r="BM27481" s="1025"/>
      <c r="BO27481" s="43"/>
    </row>
    <row r="27482" spans="65:67" ht="18.75" customHeight="1">
      <c r="BM27482" s="1025"/>
      <c r="BO27482" s="43"/>
    </row>
    <row r="27483" spans="65:67" ht="18.75" customHeight="1">
      <c r="BM27483" s="1025"/>
      <c r="BO27483" s="43"/>
    </row>
    <row r="27484" spans="65:67" ht="18.75" customHeight="1">
      <c r="BM27484" s="1025"/>
      <c r="BO27484" s="43"/>
    </row>
    <row r="27485" spans="65:67" ht="18.75" customHeight="1">
      <c r="BM27485" s="1025"/>
      <c r="BO27485" s="43"/>
    </row>
    <row r="27486" spans="65:67" ht="18.75" customHeight="1">
      <c r="BM27486" s="1025"/>
      <c r="BO27486" s="43"/>
    </row>
    <row r="27487" spans="65:67" ht="18.75" customHeight="1">
      <c r="BM27487" s="1025"/>
      <c r="BO27487" s="43"/>
    </row>
    <row r="27488" spans="65:67" ht="18.75" customHeight="1">
      <c r="BM27488" s="1025"/>
      <c r="BO27488" s="43"/>
    </row>
    <row r="27489" spans="65:67" ht="18.75" customHeight="1">
      <c r="BM27489" s="1025"/>
      <c r="BO27489" s="43"/>
    </row>
    <row r="27490" spans="65:67" ht="18.75" customHeight="1">
      <c r="BM27490" s="1025"/>
      <c r="BO27490" s="43"/>
    </row>
    <row r="27491" spans="65:67" ht="18.75" customHeight="1">
      <c r="BM27491" s="1025"/>
      <c r="BO27491" s="43"/>
    </row>
    <row r="27492" spans="65:67" ht="18.75" customHeight="1">
      <c r="BM27492" s="1025"/>
      <c r="BO27492" s="43"/>
    </row>
    <row r="27493" spans="65:67" ht="18.75" customHeight="1">
      <c r="BM27493" s="1025"/>
      <c r="BO27493" s="43"/>
    </row>
    <row r="27494" spans="65:67" ht="18.75" customHeight="1">
      <c r="BM27494" s="1025"/>
      <c r="BO27494" s="43"/>
    </row>
    <row r="27495" spans="65:67" ht="18.75" customHeight="1">
      <c r="BM27495" s="1025"/>
      <c r="BO27495" s="43"/>
    </row>
    <row r="27496" spans="65:67" ht="18.75" customHeight="1">
      <c r="BM27496" s="1025"/>
      <c r="BO27496" s="43"/>
    </row>
    <row r="27497" spans="65:67" ht="18.75" customHeight="1">
      <c r="BM27497" s="1025"/>
      <c r="BO27497" s="43"/>
    </row>
    <row r="27498" spans="65:67" ht="18.75" customHeight="1">
      <c r="BM27498" s="1025"/>
      <c r="BO27498" s="43"/>
    </row>
    <row r="27499" spans="65:67" ht="18.75" customHeight="1">
      <c r="BM27499" s="1025"/>
      <c r="BO27499" s="43"/>
    </row>
    <row r="27500" spans="65:67" ht="18.75" customHeight="1">
      <c r="BM27500" s="1025"/>
      <c r="BO27500" s="43"/>
    </row>
    <row r="27501" spans="65:67" ht="18.75" customHeight="1">
      <c r="BM27501" s="1025"/>
      <c r="BO27501" s="43"/>
    </row>
    <row r="27502" spans="65:67" ht="18.75" customHeight="1">
      <c r="BM27502" s="1025"/>
      <c r="BO27502" s="43"/>
    </row>
    <row r="27503" spans="65:67" ht="18.75" customHeight="1">
      <c r="BM27503" s="1025"/>
      <c r="BO27503" s="43"/>
    </row>
    <row r="27504" spans="65:67" ht="18.75" customHeight="1">
      <c r="BM27504" s="1025"/>
      <c r="BO27504" s="43"/>
    </row>
    <row r="27505" spans="65:67" ht="18.75" customHeight="1">
      <c r="BM27505" s="1025"/>
      <c r="BO27505" s="43"/>
    </row>
    <row r="27506" spans="65:67" ht="18.75" customHeight="1">
      <c r="BM27506" s="1025"/>
      <c r="BO27506" s="43"/>
    </row>
    <row r="27507" spans="65:67" ht="18.75" customHeight="1">
      <c r="BM27507" s="1025"/>
      <c r="BO27507" s="43"/>
    </row>
    <row r="27508" spans="65:67" ht="18.75" customHeight="1">
      <c r="BM27508" s="1025"/>
      <c r="BO27508" s="43"/>
    </row>
    <row r="27509" spans="65:67" ht="18.75" customHeight="1">
      <c r="BM27509" s="1025"/>
      <c r="BO27509" s="43"/>
    </row>
    <row r="27510" spans="65:67" ht="18.75" customHeight="1">
      <c r="BM27510" s="1025"/>
      <c r="BO27510" s="43"/>
    </row>
    <row r="27511" spans="65:67" ht="18.75" customHeight="1">
      <c r="BM27511" s="1025"/>
      <c r="BO27511" s="43"/>
    </row>
    <row r="27512" spans="65:67" ht="18.75" customHeight="1">
      <c r="BM27512" s="1025"/>
      <c r="BO27512" s="43"/>
    </row>
    <row r="27513" spans="65:67" ht="18.75" customHeight="1">
      <c r="BM27513" s="1025"/>
      <c r="BO27513" s="43"/>
    </row>
    <row r="27514" spans="65:67" ht="18.75" customHeight="1">
      <c r="BM27514" s="1025"/>
      <c r="BO27514" s="43"/>
    </row>
    <row r="27515" spans="65:67" ht="18.75" customHeight="1">
      <c r="BM27515" s="1025"/>
      <c r="BO27515" s="43"/>
    </row>
    <row r="27516" spans="65:67" ht="18.75" customHeight="1">
      <c r="BM27516" s="1025"/>
      <c r="BO27516" s="43"/>
    </row>
    <row r="27517" spans="65:67" ht="18.75" customHeight="1">
      <c r="BM27517" s="1025"/>
      <c r="BO27517" s="43"/>
    </row>
    <row r="27518" spans="65:67" ht="18.75" customHeight="1">
      <c r="BM27518" s="1025"/>
      <c r="BO27518" s="43"/>
    </row>
    <row r="27519" spans="65:67" ht="18.75" customHeight="1">
      <c r="BM27519" s="1025"/>
      <c r="BO27519" s="43"/>
    </row>
    <row r="27520" spans="65:67" ht="18.75" customHeight="1">
      <c r="BM27520" s="1025"/>
      <c r="BO27520" s="43"/>
    </row>
    <row r="27521" spans="65:67" ht="18.75" customHeight="1">
      <c r="BM27521" s="1025"/>
      <c r="BO27521" s="43"/>
    </row>
    <row r="27522" spans="65:67" ht="18.75" customHeight="1">
      <c r="BM27522" s="1025"/>
      <c r="BO27522" s="43"/>
    </row>
    <row r="27523" spans="65:67" ht="18.75" customHeight="1">
      <c r="BM27523" s="1025"/>
      <c r="BO27523" s="43"/>
    </row>
    <row r="27524" spans="65:67" ht="18.75" customHeight="1">
      <c r="BM27524" s="1025"/>
      <c r="BO27524" s="43"/>
    </row>
    <row r="27525" spans="65:67" ht="18.75" customHeight="1">
      <c r="BM27525" s="1025"/>
      <c r="BO27525" s="43"/>
    </row>
    <row r="27526" spans="65:67" ht="18.75" customHeight="1">
      <c r="BM27526" s="1025"/>
      <c r="BO27526" s="43"/>
    </row>
    <row r="27527" spans="65:67" ht="18.75" customHeight="1">
      <c r="BM27527" s="1025"/>
      <c r="BO27527" s="43"/>
    </row>
    <row r="27528" spans="65:67" ht="18.75" customHeight="1">
      <c r="BM27528" s="1025"/>
      <c r="BO27528" s="43"/>
    </row>
    <row r="27529" spans="65:67" ht="18.75" customHeight="1">
      <c r="BM27529" s="1025"/>
      <c r="BO27529" s="43"/>
    </row>
    <row r="27530" spans="65:67" ht="18.75" customHeight="1">
      <c r="BM27530" s="1025"/>
      <c r="BO27530" s="43"/>
    </row>
    <row r="27531" spans="65:67" ht="18.75" customHeight="1">
      <c r="BM27531" s="1025"/>
      <c r="BO27531" s="43"/>
    </row>
    <row r="27532" spans="65:67" ht="18.75" customHeight="1">
      <c r="BM27532" s="1025"/>
      <c r="BO27532" s="43"/>
    </row>
    <row r="27533" spans="65:67" ht="18.75" customHeight="1">
      <c r="BM27533" s="1025"/>
      <c r="BO27533" s="43"/>
    </row>
    <row r="27534" spans="65:67" ht="18.75" customHeight="1">
      <c r="BM27534" s="1025"/>
      <c r="BO27534" s="43"/>
    </row>
    <row r="27535" spans="65:67" ht="18.75" customHeight="1">
      <c r="BM27535" s="1025"/>
      <c r="BO27535" s="43"/>
    </row>
    <row r="27536" spans="65:67" ht="18.75" customHeight="1">
      <c r="BM27536" s="1025"/>
      <c r="BO27536" s="43"/>
    </row>
    <row r="27537" spans="65:67" ht="18.75" customHeight="1">
      <c r="BM27537" s="1025"/>
      <c r="BO27537" s="43"/>
    </row>
    <row r="27538" spans="65:67" ht="18.75" customHeight="1">
      <c r="BM27538" s="1025"/>
      <c r="BO27538" s="43"/>
    </row>
    <row r="27539" spans="65:67" ht="18.75" customHeight="1">
      <c r="BM27539" s="1025"/>
      <c r="BO27539" s="43"/>
    </row>
    <row r="27540" spans="65:67" ht="18.75" customHeight="1">
      <c r="BM27540" s="1025"/>
      <c r="BO27540" s="43"/>
    </row>
    <row r="27541" spans="65:67" ht="18.75" customHeight="1">
      <c r="BM27541" s="1025"/>
      <c r="BO27541" s="43"/>
    </row>
    <row r="27542" spans="65:67" ht="18.75" customHeight="1">
      <c r="BM27542" s="1025"/>
      <c r="BO27542" s="43"/>
    </row>
    <row r="27543" spans="65:67" ht="18.75" customHeight="1">
      <c r="BM27543" s="1025"/>
      <c r="BO27543" s="43"/>
    </row>
    <row r="27544" spans="65:67" ht="18.75" customHeight="1">
      <c r="BM27544" s="1025"/>
      <c r="BO27544" s="43"/>
    </row>
    <row r="27545" spans="65:67" ht="18.75" customHeight="1">
      <c r="BM27545" s="1025"/>
      <c r="BO27545" s="43"/>
    </row>
    <row r="27546" spans="65:67" ht="18.75" customHeight="1">
      <c r="BM27546" s="1025"/>
      <c r="BO27546" s="43"/>
    </row>
    <row r="27547" spans="65:67" ht="18.75" customHeight="1">
      <c r="BM27547" s="1025"/>
      <c r="BO27547" s="43"/>
    </row>
    <row r="27548" spans="65:67" ht="18.75" customHeight="1">
      <c r="BM27548" s="1025"/>
      <c r="BO27548" s="43"/>
    </row>
    <row r="27549" spans="65:67" ht="18.75" customHeight="1">
      <c r="BM27549" s="1025"/>
      <c r="BO27549" s="43"/>
    </row>
    <row r="27550" spans="65:67" ht="18.75" customHeight="1">
      <c r="BM27550" s="1025"/>
      <c r="BO27550" s="43"/>
    </row>
    <row r="27551" spans="65:67" ht="18.75" customHeight="1">
      <c r="BM27551" s="1025"/>
      <c r="BO27551" s="43"/>
    </row>
    <row r="27552" spans="65:67" ht="18.75" customHeight="1">
      <c r="BM27552" s="1025"/>
      <c r="BO27552" s="43"/>
    </row>
    <row r="27553" spans="65:67" ht="18.75" customHeight="1">
      <c r="BM27553" s="1025"/>
      <c r="BO27553" s="43"/>
    </row>
    <row r="27554" spans="65:67" ht="18.75" customHeight="1">
      <c r="BM27554" s="1025"/>
      <c r="BO27554" s="43"/>
    </row>
    <row r="27555" spans="65:67" ht="18.75" customHeight="1">
      <c r="BM27555" s="1025"/>
      <c r="BO27555" s="43"/>
    </row>
    <row r="27556" spans="65:67" ht="18.75" customHeight="1">
      <c r="BM27556" s="1025"/>
      <c r="BO27556" s="43"/>
    </row>
    <row r="27557" spans="65:67" ht="18.75" customHeight="1">
      <c r="BM27557" s="1025"/>
      <c r="BO27557" s="43"/>
    </row>
    <row r="27558" spans="65:67" ht="18.75" customHeight="1">
      <c r="BM27558" s="1025"/>
      <c r="BO27558" s="43"/>
    </row>
    <row r="27559" spans="65:67" ht="18.75" customHeight="1">
      <c r="BM27559" s="1025"/>
      <c r="BO27559" s="43"/>
    </row>
    <row r="27560" spans="65:67" ht="18.75" customHeight="1">
      <c r="BM27560" s="1025"/>
      <c r="BO27560" s="43"/>
    </row>
    <row r="27561" spans="65:67" ht="18.75" customHeight="1">
      <c r="BM27561" s="1025"/>
      <c r="BO27561" s="43"/>
    </row>
    <row r="27562" spans="65:67" ht="18.75" customHeight="1">
      <c r="BM27562" s="1025"/>
      <c r="BO27562" s="43"/>
    </row>
    <row r="27563" spans="65:67" ht="18.75" customHeight="1">
      <c r="BM27563" s="1025"/>
      <c r="BO27563" s="43"/>
    </row>
    <row r="27564" spans="65:67" ht="18.75" customHeight="1">
      <c r="BM27564" s="1025"/>
      <c r="BO27564" s="43"/>
    </row>
    <row r="27565" spans="65:67" ht="18.75" customHeight="1">
      <c r="BM27565" s="1025"/>
      <c r="BO27565" s="43"/>
    </row>
    <row r="27566" spans="65:67" ht="18.75" customHeight="1">
      <c r="BM27566" s="1025"/>
      <c r="BO27566" s="43"/>
    </row>
    <row r="27567" spans="65:67" ht="18.75" customHeight="1">
      <c r="BM27567" s="1025"/>
      <c r="BO27567" s="43"/>
    </row>
    <row r="27568" spans="65:67" ht="18.75" customHeight="1">
      <c r="BM27568" s="1025"/>
      <c r="BO27568" s="43"/>
    </row>
    <row r="27569" spans="65:67" ht="18.75" customHeight="1">
      <c r="BM27569" s="1025"/>
      <c r="BO27569" s="43"/>
    </row>
    <row r="27570" spans="65:67" ht="18.75" customHeight="1">
      <c r="BM27570" s="1025"/>
      <c r="BO27570" s="43"/>
    </row>
    <row r="27571" spans="65:67" ht="18.75" customHeight="1">
      <c r="BM27571" s="1025"/>
      <c r="BO27571" s="43"/>
    </row>
    <row r="27572" spans="65:67" ht="18.75" customHeight="1">
      <c r="BM27572" s="1025"/>
      <c r="BO27572" s="43"/>
    </row>
    <row r="27573" spans="65:67" ht="18.75" customHeight="1">
      <c r="BM27573" s="1025"/>
      <c r="BO27573" s="43"/>
    </row>
    <row r="27574" spans="65:67" ht="18.75" customHeight="1">
      <c r="BM27574" s="1025"/>
      <c r="BO27574" s="43"/>
    </row>
    <row r="27575" spans="65:67" ht="18.75" customHeight="1">
      <c r="BM27575" s="1025"/>
      <c r="BO27575" s="43"/>
    </row>
    <row r="27576" spans="65:67" ht="18.75" customHeight="1">
      <c r="BM27576" s="1025"/>
      <c r="BO27576" s="43"/>
    </row>
    <row r="27577" spans="65:67" ht="18.75" customHeight="1">
      <c r="BM27577" s="1025"/>
      <c r="BO27577" s="43"/>
    </row>
    <row r="27578" spans="65:67" ht="18.75" customHeight="1">
      <c r="BM27578" s="1025"/>
      <c r="BO27578" s="43"/>
    </row>
    <row r="27579" spans="65:67" ht="18.75" customHeight="1">
      <c r="BM27579" s="1025"/>
      <c r="BO27579" s="43"/>
    </row>
    <row r="27580" spans="65:67" ht="18.75" customHeight="1">
      <c r="BM27580" s="1025"/>
      <c r="BO27580" s="43"/>
    </row>
    <row r="27581" spans="65:67" ht="18.75" customHeight="1">
      <c r="BM27581" s="1025"/>
      <c r="BO27581" s="43"/>
    </row>
    <row r="27582" spans="65:67" ht="18.75" customHeight="1">
      <c r="BM27582" s="1025"/>
      <c r="BO27582" s="43"/>
    </row>
    <row r="27583" spans="65:67" ht="18.75" customHeight="1">
      <c r="BM27583" s="1025"/>
      <c r="BO27583" s="43"/>
    </row>
    <row r="27584" spans="65:67" ht="18.75" customHeight="1">
      <c r="BM27584" s="1025"/>
      <c r="BO27584" s="43"/>
    </row>
    <row r="27585" spans="65:67" ht="18.75" customHeight="1">
      <c r="BM27585" s="1025"/>
      <c r="BO27585" s="43"/>
    </row>
    <row r="27586" spans="65:67" ht="18.75" customHeight="1">
      <c r="BM27586" s="1025"/>
      <c r="BO27586" s="43"/>
    </row>
    <row r="27587" spans="65:67" ht="18.75" customHeight="1">
      <c r="BM27587" s="1025"/>
      <c r="BO27587" s="43"/>
    </row>
    <row r="27588" spans="65:67" ht="18.75" customHeight="1">
      <c r="BM27588" s="1025"/>
      <c r="BO27588" s="43"/>
    </row>
    <row r="27589" spans="65:67" ht="18.75" customHeight="1">
      <c r="BM27589" s="1025"/>
      <c r="BO27589" s="43"/>
    </row>
    <row r="27590" spans="65:67" ht="18.75" customHeight="1">
      <c r="BM27590" s="1025"/>
      <c r="BO27590" s="43"/>
    </row>
    <row r="27591" spans="65:67" ht="18.75" customHeight="1">
      <c r="BM27591" s="1025"/>
      <c r="BO27591" s="43"/>
    </row>
    <row r="27592" spans="65:67" ht="18.75" customHeight="1">
      <c r="BM27592" s="1025"/>
      <c r="BO27592" s="43"/>
    </row>
    <row r="27593" spans="65:67" ht="18.75" customHeight="1">
      <c r="BM27593" s="1025"/>
      <c r="BO27593" s="43"/>
    </row>
    <row r="27594" spans="65:67" ht="18.75" customHeight="1">
      <c r="BM27594" s="1025"/>
      <c r="BO27594" s="43"/>
    </row>
    <row r="27595" spans="65:67" ht="18.75" customHeight="1">
      <c r="BM27595" s="1025"/>
      <c r="BO27595" s="43"/>
    </row>
    <row r="27596" spans="65:67" ht="18.75" customHeight="1">
      <c r="BM27596" s="1025"/>
      <c r="BO27596" s="43"/>
    </row>
    <row r="27597" spans="65:67" ht="18.75" customHeight="1">
      <c r="BM27597" s="1025"/>
      <c r="BO27597" s="43"/>
    </row>
    <row r="27598" spans="65:67" ht="18.75" customHeight="1">
      <c r="BM27598" s="1025"/>
      <c r="BO27598" s="43"/>
    </row>
    <row r="27599" spans="65:67" ht="18.75" customHeight="1">
      <c r="BM27599" s="1025"/>
      <c r="BO27599" s="43"/>
    </row>
    <row r="27600" spans="65:67" ht="18.75" customHeight="1">
      <c r="BM27600" s="1025"/>
      <c r="BO27600" s="43"/>
    </row>
    <row r="27601" spans="65:67" ht="18.75" customHeight="1">
      <c r="BM27601" s="1025"/>
      <c r="BO27601" s="43"/>
    </row>
    <row r="27602" spans="65:67" ht="18.75" customHeight="1">
      <c r="BM27602" s="1025"/>
      <c r="BO27602" s="43"/>
    </row>
    <row r="27603" spans="65:67" ht="18.75" customHeight="1">
      <c r="BM27603" s="1025"/>
      <c r="BO27603" s="43"/>
    </row>
    <row r="27604" spans="65:67" ht="18.75" customHeight="1">
      <c r="BM27604" s="1025"/>
      <c r="BO27604" s="43"/>
    </row>
    <row r="27605" spans="65:67" ht="18.75" customHeight="1">
      <c r="BM27605" s="1025"/>
      <c r="BO27605" s="43"/>
    </row>
    <row r="27606" spans="65:67" ht="18.75" customHeight="1">
      <c r="BM27606" s="1025"/>
      <c r="BO27606" s="43"/>
    </row>
    <row r="27607" spans="65:67" ht="18.75" customHeight="1">
      <c r="BM27607" s="1025"/>
      <c r="BO27607" s="43"/>
    </row>
    <row r="27608" spans="65:67" ht="18.75" customHeight="1">
      <c r="BM27608" s="1025"/>
      <c r="BO27608" s="43"/>
    </row>
    <row r="27609" spans="65:67" ht="18.75" customHeight="1">
      <c r="BM27609" s="1025"/>
      <c r="BO27609" s="43"/>
    </row>
    <row r="27610" spans="65:67" ht="18.75" customHeight="1">
      <c r="BM27610" s="1025"/>
      <c r="BO27610" s="43"/>
    </row>
    <row r="27611" spans="65:67" ht="18.75" customHeight="1">
      <c r="BM27611" s="1025"/>
      <c r="BO27611" s="43"/>
    </row>
    <row r="27612" spans="65:67" ht="18.75" customHeight="1">
      <c r="BM27612" s="1025"/>
      <c r="BO27612" s="43"/>
    </row>
    <row r="27613" spans="65:67" ht="18.75" customHeight="1">
      <c r="BM27613" s="1025"/>
      <c r="BO27613" s="43"/>
    </row>
    <row r="27614" spans="65:67" ht="18.75" customHeight="1">
      <c r="BM27614" s="1025"/>
      <c r="BO27614" s="43"/>
    </row>
    <row r="27615" spans="65:67" ht="18.75" customHeight="1">
      <c r="BM27615" s="1025"/>
      <c r="BO27615" s="43"/>
    </row>
    <row r="27616" spans="65:67" ht="18.75" customHeight="1">
      <c r="BM27616" s="1025"/>
      <c r="BO27616" s="43"/>
    </row>
    <row r="27617" spans="65:67" ht="18.75" customHeight="1">
      <c r="BM27617" s="1025"/>
      <c r="BO27617" s="43"/>
    </row>
    <row r="27618" spans="65:67" ht="18.75" customHeight="1">
      <c r="BM27618" s="1025"/>
      <c r="BO27618" s="43"/>
    </row>
    <row r="27619" spans="65:67" ht="18.75" customHeight="1">
      <c r="BM27619" s="1025"/>
      <c r="BO27619" s="43"/>
    </row>
    <row r="27620" spans="65:67" ht="18.75" customHeight="1">
      <c r="BM27620" s="1025"/>
      <c r="BO27620" s="43"/>
    </row>
    <row r="27621" spans="65:67" ht="18.75" customHeight="1">
      <c r="BM27621" s="1025"/>
      <c r="BO27621" s="43"/>
    </row>
    <row r="27622" spans="65:67" ht="18.75" customHeight="1">
      <c r="BM27622" s="1025"/>
      <c r="BO27622" s="43"/>
    </row>
    <row r="27623" spans="65:67" ht="18.75" customHeight="1">
      <c r="BM27623" s="1025"/>
      <c r="BO27623" s="43"/>
    </row>
    <row r="27624" spans="65:67" ht="18.75" customHeight="1">
      <c r="BM27624" s="1025"/>
      <c r="BO27624" s="43"/>
    </row>
    <row r="27625" spans="65:67" ht="18.75" customHeight="1">
      <c r="BM27625" s="1025"/>
      <c r="BO27625" s="43"/>
    </row>
    <row r="27626" spans="65:67" ht="18.75" customHeight="1">
      <c r="BM27626" s="1025"/>
      <c r="BO27626" s="43"/>
    </row>
    <row r="27627" spans="65:67" ht="18.75" customHeight="1">
      <c r="BM27627" s="1025"/>
      <c r="BO27627" s="43"/>
    </row>
    <row r="27628" spans="65:67" ht="18.75" customHeight="1">
      <c r="BM27628" s="1025"/>
      <c r="BO27628" s="43"/>
    </row>
    <row r="27629" spans="65:67" ht="18.75" customHeight="1">
      <c r="BM27629" s="1025"/>
      <c r="BO27629" s="43"/>
    </row>
    <row r="27630" spans="65:67" ht="18.75" customHeight="1">
      <c r="BM27630" s="1025"/>
      <c r="BO27630" s="43"/>
    </row>
    <row r="27631" spans="65:67" ht="18.75" customHeight="1">
      <c r="BM27631" s="1025"/>
      <c r="BO27631" s="43"/>
    </row>
    <row r="27632" spans="65:67" ht="18.75" customHeight="1">
      <c r="BM27632" s="1025"/>
      <c r="BO27632" s="43"/>
    </row>
    <row r="27633" spans="65:67" ht="18.75" customHeight="1">
      <c r="BM27633" s="1025"/>
      <c r="BO27633" s="43"/>
    </row>
    <row r="27634" spans="65:67" ht="18.75" customHeight="1">
      <c r="BM27634" s="1025"/>
      <c r="BO27634" s="43"/>
    </row>
    <row r="27635" spans="65:67" ht="18.75" customHeight="1">
      <c r="BM27635" s="1025"/>
      <c r="BO27635" s="43"/>
    </row>
    <row r="27636" spans="65:67" ht="18.75" customHeight="1">
      <c r="BM27636" s="1025"/>
      <c r="BO27636" s="43"/>
    </row>
    <row r="27637" spans="65:67" ht="18.75" customHeight="1">
      <c r="BM27637" s="1025"/>
      <c r="BO27637" s="43"/>
    </row>
    <row r="27638" spans="65:67" ht="18.75" customHeight="1">
      <c r="BM27638" s="1025"/>
      <c r="BO27638" s="43"/>
    </row>
    <row r="27639" spans="65:67" ht="18.75" customHeight="1">
      <c r="BM27639" s="1025"/>
      <c r="BO27639" s="43"/>
    </row>
    <row r="27640" spans="65:67" ht="18.75" customHeight="1">
      <c r="BM27640" s="1025"/>
      <c r="BO27640" s="43"/>
    </row>
    <row r="27641" spans="65:67" ht="18.75" customHeight="1">
      <c r="BM27641" s="1025"/>
      <c r="BO27641" s="43"/>
    </row>
    <row r="27642" spans="65:67" ht="18.75" customHeight="1">
      <c r="BM27642" s="1025"/>
      <c r="BO27642" s="43"/>
    </row>
    <row r="27643" spans="65:67" ht="18.75" customHeight="1">
      <c r="BM27643" s="1025"/>
      <c r="BO27643" s="43"/>
    </row>
    <row r="27644" spans="65:67" ht="18.75" customHeight="1">
      <c r="BM27644" s="1025"/>
      <c r="BO27644" s="43"/>
    </row>
    <row r="27645" spans="65:67" ht="18.75" customHeight="1">
      <c r="BM27645" s="1025"/>
      <c r="BO27645" s="43"/>
    </row>
    <row r="27646" spans="65:67" ht="18.75" customHeight="1">
      <c r="BM27646" s="1025"/>
      <c r="BO27646" s="43"/>
    </row>
    <row r="27647" spans="65:67" ht="18.75" customHeight="1">
      <c r="BM27647" s="1025"/>
      <c r="BO27647" s="43"/>
    </row>
    <row r="27648" spans="65:67" ht="18.75" customHeight="1">
      <c r="BM27648" s="1025"/>
      <c r="BO27648" s="43"/>
    </row>
    <row r="27649" spans="65:67" ht="18.75" customHeight="1">
      <c r="BM27649" s="1025"/>
      <c r="BO27649" s="43"/>
    </row>
    <row r="27650" spans="65:67" ht="18.75" customHeight="1">
      <c r="BM27650" s="1025"/>
      <c r="BO27650" s="43"/>
    </row>
    <row r="27651" spans="65:67" ht="18.75" customHeight="1">
      <c r="BM27651" s="1025"/>
      <c r="BO27651" s="43"/>
    </row>
    <row r="27652" spans="65:67" ht="18.75" customHeight="1">
      <c r="BM27652" s="1025"/>
      <c r="BO27652" s="43"/>
    </row>
    <row r="27653" spans="65:67" ht="18.75" customHeight="1">
      <c r="BM27653" s="1025"/>
      <c r="BO27653" s="43"/>
    </row>
    <row r="27654" spans="65:67" ht="18.75" customHeight="1">
      <c r="BM27654" s="1025"/>
      <c r="BO27654" s="43"/>
    </row>
    <row r="27655" spans="65:67" ht="18.75" customHeight="1">
      <c r="BM27655" s="1025"/>
      <c r="BO27655" s="43"/>
    </row>
    <row r="27656" spans="65:67" ht="18.75" customHeight="1">
      <c r="BM27656" s="1025"/>
      <c r="BO27656" s="43"/>
    </row>
    <row r="27657" spans="65:67" ht="18.75" customHeight="1">
      <c r="BM27657" s="1025"/>
      <c r="BO27657" s="43"/>
    </row>
    <row r="27658" spans="65:67" ht="18.75" customHeight="1">
      <c r="BM27658" s="1025"/>
      <c r="BO27658" s="43"/>
    </row>
    <row r="27659" spans="65:67" ht="18.75" customHeight="1">
      <c r="BM27659" s="1025"/>
      <c r="BO27659" s="43"/>
    </row>
    <row r="27660" spans="65:67" ht="18.75" customHeight="1">
      <c r="BM27660" s="1025"/>
      <c r="BO27660" s="43"/>
    </row>
    <row r="27661" spans="65:67" ht="18.75" customHeight="1">
      <c r="BM27661" s="1025"/>
      <c r="BO27661" s="43"/>
    </row>
    <row r="27662" spans="65:67" ht="18.75" customHeight="1">
      <c r="BM27662" s="1025"/>
      <c r="BO27662" s="43"/>
    </row>
    <row r="27663" spans="65:67" ht="18.75" customHeight="1">
      <c r="BM27663" s="1025"/>
      <c r="BO27663" s="43"/>
    </row>
    <row r="27664" spans="65:67" ht="18.75" customHeight="1">
      <c r="BM27664" s="1025"/>
      <c r="BO27664" s="43"/>
    </row>
    <row r="27665" spans="65:67" ht="18.75" customHeight="1">
      <c r="BM27665" s="1025"/>
      <c r="BO27665" s="43"/>
    </row>
    <row r="27666" spans="65:67" ht="18.75" customHeight="1">
      <c r="BM27666" s="1025"/>
      <c r="BO27666" s="43"/>
    </row>
    <row r="27667" spans="65:67" ht="18.75" customHeight="1">
      <c r="BM27667" s="1025"/>
      <c r="BO27667" s="43"/>
    </row>
    <row r="27668" spans="65:67" ht="18.75" customHeight="1">
      <c r="BM27668" s="1025"/>
      <c r="BO27668" s="43"/>
    </row>
    <row r="27669" spans="65:67" ht="18.75" customHeight="1">
      <c r="BM27669" s="1025"/>
      <c r="BO27669" s="43"/>
    </row>
    <row r="27670" spans="65:67" ht="18.75" customHeight="1">
      <c r="BM27670" s="1025"/>
      <c r="BO27670" s="43"/>
    </row>
    <row r="27671" spans="65:67" ht="18.75" customHeight="1">
      <c r="BM27671" s="1025"/>
      <c r="BO27671" s="43"/>
    </row>
    <row r="27672" spans="65:67" ht="18.75" customHeight="1">
      <c r="BM27672" s="1025"/>
      <c r="BO27672" s="43"/>
    </row>
    <row r="27673" spans="65:67" ht="18.75" customHeight="1">
      <c r="BM27673" s="1025"/>
      <c r="BO27673" s="43"/>
    </row>
    <row r="27674" spans="65:67" ht="18.75" customHeight="1">
      <c r="BM27674" s="1025"/>
      <c r="BO27674" s="43"/>
    </row>
    <row r="27675" spans="65:67" ht="18.75" customHeight="1">
      <c r="BM27675" s="1025"/>
      <c r="BO27675" s="43"/>
    </row>
    <row r="27676" spans="65:67" ht="18.75" customHeight="1">
      <c r="BM27676" s="1025"/>
      <c r="BO27676" s="43"/>
    </row>
    <row r="27677" spans="65:67" ht="18.75" customHeight="1">
      <c r="BM27677" s="1025"/>
      <c r="BO27677" s="43"/>
    </row>
    <row r="27678" spans="65:67" ht="18.75" customHeight="1">
      <c r="BM27678" s="1025"/>
      <c r="BO27678" s="43"/>
    </row>
    <row r="27679" spans="65:67" ht="18.75" customHeight="1">
      <c r="BM27679" s="1025"/>
      <c r="BO27679" s="43"/>
    </row>
    <row r="27680" spans="65:67" ht="18.75" customHeight="1">
      <c r="BM27680" s="1025"/>
      <c r="BO27680" s="43"/>
    </row>
    <row r="27681" spans="65:67" ht="18.75" customHeight="1">
      <c r="BM27681" s="1025"/>
      <c r="BO27681" s="43"/>
    </row>
    <row r="27682" spans="65:67" ht="18.75" customHeight="1">
      <c r="BM27682" s="1025"/>
      <c r="BO27682" s="43"/>
    </row>
    <row r="27683" spans="65:67" ht="18.75" customHeight="1">
      <c r="BM27683" s="1025"/>
      <c r="BO27683" s="43"/>
    </row>
    <row r="27684" spans="65:67" ht="18.75" customHeight="1">
      <c r="BM27684" s="1025"/>
      <c r="BO27684" s="43"/>
    </row>
    <row r="27685" spans="65:67" ht="18.75" customHeight="1">
      <c r="BM27685" s="1025"/>
      <c r="BO27685" s="43"/>
    </row>
    <row r="27686" spans="65:67" ht="18.75" customHeight="1">
      <c r="BM27686" s="1025"/>
      <c r="BO27686" s="43"/>
    </row>
    <row r="27687" spans="65:67" ht="18.75" customHeight="1">
      <c r="BM27687" s="1025"/>
      <c r="BO27687" s="43"/>
    </row>
    <row r="27688" spans="65:67" ht="18.75" customHeight="1">
      <c r="BM27688" s="1025"/>
      <c r="BO27688" s="43"/>
    </row>
    <row r="27689" spans="65:67" ht="18.75" customHeight="1">
      <c r="BM27689" s="1025"/>
      <c r="BO27689" s="43"/>
    </row>
    <row r="27690" spans="65:67" ht="18.75" customHeight="1">
      <c r="BM27690" s="1025"/>
      <c r="BO27690" s="43"/>
    </row>
    <row r="27691" spans="65:67" ht="18.75" customHeight="1">
      <c r="BM27691" s="1025"/>
      <c r="BO27691" s="43"/>
    </row>
    <row r="27692" spans="65:67" ht="18.75" customHeight="1">
      <c r="BM27692" s="1025"/>
      <c r="BO27692" s="43"/>
    </row>
    <row r="27693" spans="65:67" ht="18.75" customHeight="1">
      <c r="BM27693" s="1025"/>
      <c r="BO27693" s="43"/>
    </row>
    <row r="27694" spans="65:67" ht="18.75" customHeight="1">
      <c r="BM27694" s="1025"/>
      <c r="BO27694" s="43"/>
    </row>
    <row r="27695" spans="65:67" ht="18.75" customHeight="1">
      <c r="BM27695" s="1025"/>
      <c r="BO27695" s="43"/>
    </row>
    <row r="27696" spans="65:67" ht="18.75" customHeight="1">
      <c r="BM27696" s="1025"/>
      <c r="BO27696" s="43"/>
    </row>
    <row r="27697" spans="65:67" ht="18.75" customHeight="1">
      <c r="BM27697" s="1025"/>
      <c r="BO27697" s="43"/>
    </row>
    <row r="27698" spans="65:67" ht="18.75" customHeight="1">
      <c r="BM27698" s="1025"/>
      <c r="BO27698" s="43"/>
    </row>
    <row r="27699" spans="65:67" ht="18.75" customHeight="1">
      <c r="BM27699" s="1025"/>
      <c r="BO27699" s="43"/>
    </row>
    <row r="27700" spans="65:67" ht="18.75" customHeight="1">
      <c r="BM27700" s="1025"/>
      <c r="BO27700" s="43"/>
    </row>
    <row r="27701" spans="65:67" ht="18.75" customHeight="1">
      <c r="BM27701" s="1025"/>
      <c r="BO27701" s="43"/>
    </row>
    <row r="27702" spans="65:67" ht="18.75" customHeight="1">
      <c r="BM27702" s="1025"/>
      <c r="BO27702" s="43"/>
    </row>
    <row r="27703" spans="65:67" ht="18.75" customHeight="1">
      <c r="BM27703" s="1025"/>
      <c r="BO27703" s="43"/>
    </row>
    <row r="27704" spans="65:67" ht="18.75" customHeight="1">
      <c r="BM27704" s="1025"/>
      <c r="BO27704" s="43"/>
    </row>
    <row r="27705" spans="65:67" ht="18.75" customHeight="1">
      <c r="BM27705" s="1025"/>
      <c r="BO27705" s="43"/>
    </row>
    <row r="27706" spans="65:67" ht="18.75" customHeight="1">
      <c r="BM27706" s="1025"/>
      <c r="BO27706" s="43"/>
    </row>
    <row r="27707" spans="65:67" ht="18.75" customHeight="1">
      <c r="BM27707" s="1025"/>
      <c r="BO27707" s="43"/>
    </row>
    <row r="27708" spans="65:67" ht="18.75" customHeight="1">
      <c r="BM27708" s="1025"/>
      <c r="BO27708" s="43"/>
    </row>
    <row r="27709" spans="65:67" ht="18.75" customHeight="1">
      <c r="BM27709" s="1025"/>
      <c r="BO27709" s="43"/>
    </row>
    <row r="27710" spans="65:67" ht="18.75" customHeight="1">
      <c r="BM27710" s="1025"/>
      <c r="BO27710" s="43"/>
    </row>
    <row r="27711" spans="65:67" ht="18.75" customHeight="1">
      <c r="BM27711" s="1025"/>
      <c r="BO27711" s="43"/>
    </row>
    <row r="27712" spans="65:67" ht="18.75" customHeight="1">
      <c r="BM27712" s="1025"/>
      <c r="BO27712" s="43"/>
    </row>
    <row r="27713" spans="65:67" ht="18.75" customHeight="1">
      <c r="BM27713" s="1025"/>
      <c r="BO27713" s="43"/>
    </row>
    <row r="27714" spans="65:67" ht="18.75" customHeight="1">
      <c r="BM27714" s="1025"/>
      <c r="BO27714" s="43"/>
    </row>
    <row r="27715" spans="65:67" ht="18.75" customHeight="1">
      <c r="BM27715" s="1025"/>
      <c r="BO27715" s="43"/>
    </row>
    <row r="27716" spans="65:67" ht="18.75" customHeight="1">
      <c r="BM27716" s="1025"/>
      <c r="BO27716" s="43"/>
    </row>
    <row r="27717" spans="65:67" ht="18.75" customHeight="1">
      <c r="BM27717" s="1025"/>
      <c r="BO27717" s="43"/>
    </row>
    <row r="27718" spans="65:67" ht="18.75" customHeight="1">
      <c r="BM27718" s="1025"/>
      <c r="BO27718" s="43"/>
    </row>
    <row r="27719" spans="65:67" ht="18.75" customHeight="1">
      <c r="BM27719" s="1025"/>
      <c r="BO27719" s="43"/>
    </row>
    <row r="27720" spans="65:67" ht="18.75" customHeight="1">
      <c r="BM27720" s="1025"/>
      <c r="BO27720" s="43"/>
    </row>
    <row r="27721" spans="65:67" ht="18.75" customHeight="1">
      <c r="BM27721" s="1025"/>
      <c r="BO27721" s="43"/>
    </row>
    <row r="27722" spans="65:67" ht="18.75" customHeight="1">
      <c r="BM27722" s="1025"/>
      <c r="BO27722" s="43"/>
    </row>
    <row r="27723" spans="65:67" ht="18.75" customHeight="1">
      <c r="BM27723" s="1025"/>
      <c r="BO27723" s="43"/>
    </row>
    <row r="27724" spans="65:67" ht="18.75" customHeight="1">
      <c r="BM27724" s="1025"/>
      <c r="BO27724" s="43"/>
    </row>
    <row r="27725" spans="65:67" ht="18.75" customHeight="1">
      <c r="BM27725" s="1025"/>
      <c r="BO27725" s="43"/>
    </row>
    <row r="27726" spans="65:67" ht="18.75" customHeight="1">
      <c r="BM27726" s="1025"/>
      <c r="BO27726" s="43"/>
    </row>
    <row r="27727" spans="65:67" ht="18.75" customHeight="1">
      <c r="BM27727" s="1025"/>
      <c r="BO27727" s="43"/>
    </row>
    <row r="27728" spans="65:67" ht="18.75" customHeight="1">
      <c r="BM27728" s="1025"/>
      <c r="BO27728" s="43"/>
    </row>
    <row r="27729" spans="65:67" ht="18.75" customHeight="1">
      <c r="BM27729" s="1025"/>
      <c r="BO27729" s="43"/>
    </row>
    <row r="27730" spans="65:67" ht="18.75" customHeight="1">
      <c r="BM27730" s="1025"/>
      <c r="BO27730" s="43"/>
    </row>
    <row r="27731" spans="65:67" ht="18.75" customHeight="1">
      <c r="BM27731" s="1025"/>
      <c r="BO27731" s="43"/>
    </row>
    <row r="27732" spans="65:67" ht="18.75" customHeight="1">
      <c r="BM27732" s="1025"/>
      <c r="BO27732" s="43"/>
    </row>
    <row r="27733" spans="65:67" ht="18.75" customHeight="1">
      <c r="BM27733" s="1025"/>
      <c r="BO27733" s="43"/>
    </row>
    <row r="27734" spans="65:67" ht="18.75" customHeight="1">
      <c r="BM27734" s="1025"/>
      <c r="BO27734" s="43"/>
    </row>
    <row r="27735" spans="65:67" ht="18.75" customHeight="1">
      <c r="BM27735" s="1025"/>
      <c r="BO27735" s="43"/>
    </row>
    <row r="27736" spans="65:67" ht="18.75" customHeight="1">
      <c r="BM27736" s="1025"/>
      <c r="BO27736" s="43"/>
    </row>
    <row r="27737" spans="65:67" ht="18.75" customHeight="1">
      <c r="BM27737" s="1025"/>
      <c r="BO27737" s="43"/>
    </row>
    <row r="27738" spans="65:67" ht="18.75" customHeight="1">
      <c r="BM27738" s="1025"/>
      <c r="BO27738" s="43"/>
    </row>
    <row r="27739" spans="65:67" ht="18.75" customHeight="1">
      <c r="BM27739" s="1025"/>
      <c r="BO27739" s="43"/>
    </row>
    <row r="27740" spans="65:67" ht="18.75" customHeight="1">
      <c r="BM27740" s="1025"/>
      <c r="BO27740" s="43"/>
    </row>
    <row r="27741" spans="65:67" ht="18.75" customHeight="1">
      <c r="BM27741" s="1025"/>
      <c r="BO27741" s="43"/>
    </row>
    <row r="27742" spans="65:67" ht="18.75" customHeight="1">
      <c r="BM27742" s="1025"/>
      <c r="BO27742" s="43"/>
    </row>
    <row r="27743" spans="65:67" ht="18.75" customHeight="1">
      <c r="BM27743" s="1025"/>
      <c r="BO27743" s="43"/>
    </row>
    <row r="27744" spans="65:67" ht="18.75" customHeight="1">
      <c r="BM27744" s="1025"/>
      <c r="BO27744" s="43"/>
    </row>
    <row r="27745" spans="65:67" ht="18.75" customHeight="1">
      <c r="BM27745" s="1025"/>
      <c r="BO27745" s="43"/>
    </row>
    <row r="27746" spans="65:67" ht="18.75" customHeight="1">
      <c r="BM27746" s="1025"/>
      <c r="BO27746" s="43"/>
    </row>
    <row r="27747" spans="65:67" ht="18.75" customHeight="1">
      <c r="BM27747" s="1025"/>
      <c r="BO27747" s="43"/>
    </row>
    <row r="27748" spans="65:67" ht="18.75" customHeight="1">
      <c r="BM27748" s="1025"/>
      <c r="BO27748" s="43"/>
    </row>
    <row r="27749" spans="65:67" ht="18.75" customHeight="1">
      <c r="BM27749" s="1025"/>
      <c r="BO27749" s="43"/>
    </row>
    <row r="27750" spans="65:67" ht="18.75" customHeight="1">
      <c r="BM27750" s="1025"/>
      <c r="BO27750" s="43"/>
    </row>
    <row r="27751" spans="65:67" ht="18.75" customHeight="1">
      <c r="BM27751" s="1025"/>
      <c r="BO27751" s="43"/>
    </row>
    <row r="27752" spans="65:67" ht="18.75" customHeight="1">
      <c r="BM27752" s="1025"/>
      <c r="BO27752" s="43"/>
    </row>
    <row r="27753" spans="65:67" ht="18.75" customHeight="1">
      <c r="BM27753" s="1025"/>
      <c r="BO27753" s="43"/>
    </row>
    <row r="27754" spans="65:67" ht="18.75" customHeight="1">
      <c r="BM27754" s="1025"/>
      <c r="BO27754" s="43"/>
    </row>
    <row r="27755" spans="65:67" ht="18.75" customHeight="1">
      <c r="BM27755" s="1025"/>
      <c r="BO27755" s="43"/>
    </row>
    <row r="27756" spans="65:67" ht="18.75" customHeight="1">
      <c r="BM27756" s="1025"/>
      <c r="BO27756" s="43"/>
    </row>
    <row r="27757" spans="65:67" ht="18.75" customHeight="1">
      <c r="BM27757" s="1025"/>
      <c r="BO27757" s="43"/>
    </row>
    <row r="27758" spans="65:67" ht="18.75" customHeight="1">
      <c r="BM27758" s="1025"/>
      <c r="BO27758" s="43"/>
    </row>
    <row r="27759" spans="65:67" ht="18.75" customHeight="1">
      <c r="BM27759" s="1025"/>
      <c r="BO27759" s="43"/>
    </row>
    <row r="27760" spans="65:67" ht="18.75" customHeight="1">
      <c r="BM27760" s="1025"/>
      <c r="BO27760" s="43"/>
    </row>
    <row r="27761" spans="65:67" ht="18.75" customHeight="1">
      <c r="BM27761" s="1025"/>
      <c r="BO27761" s="43"/>
    </row>
    <row r="27762" spans="65:67" ht="18.75" customHeight="1">
      <c r="BM27762" s="1025"/>
      <c r="BO27762" s="43"/>
    </row>
    <row r="27763" spans="65:67" ht="18.75" customHeight="1">
      <c r="BM27763" s="1025"/>
      <c r="BO27763" s="43"/>
    </row>
    <row r="27764" spans="65:67" ht="18.75" customHeight="1">
      <c r="BM27764" s="1025"/>
      <c r="BO27764" s="43"/>
    </row>
    <row r="27765" spans="65:67" ht="18.75" customHeight="1">
      <c r="BM27765" s="1025"/>
      <c r="BO27765" s="43"/>
    </row>
    <row r="27766" spans="65:67" ht="18.75" customHeight="1">
      <c r="BM27766" s="1025"/>
      <c r="BO27766" s="43"/>
    </row>
    <row r="27767" spans="65:67" ht="18.75" customHeight="1">
      <c r="BM27767" s="1025"/>
      <c r="BO27767" s="43"/>
    </row>
    <row r="27768" spans="65:67" ht="18.75" customHeight="1">
      <c r="BM27768" s="1025"/>
      <c r="BO27768" s="43"/>
    </row>
    <row r="27769" spans="65:67" ht="18.75" customHeight="1">
      <c r="BM27769" s="1025"/>
      <c r="BO27769" s="43"/>
    </row>
    <row r="27770" spans="65:67" ht="18.75" customHeight="1">
      <c r="BM27770" s="1025"/>
      <c r="BO27770" s="43"/>
    </row>
    <row r="27771" spans="65:67" ht="18.75" customHeight="1">
      <c r="BM27771" s="1025"/>
      <c r="BO27771" s="43"/>
    </row>
    <row r="27772" spans="65:67" ht="18.75" customHeight="1">
      <c r="BM27772" s="1025"/>
      <c r="BO27772" s="43"/>
    </row>
    <row r="27773" spans="65:67" ht="18.75" customHeight="1">
      <c r="BM27773" s="1025"/>
      <c r="BO27773" s="43"/>
    </row>
    <row r="27774" spans="65:67" ht="18.75" customHeight="1">
      <c r="BM27774" s="1025"/>
      <c r="BO27774" s="43"/>
    </row>
    <row r="27775" spans="65:67" ht="18.75" customHeight="1">
      <c r="BM27775" s="1025"/>
      <c r="BO27775" s="43"/>
    </row>
    <row r="27776" spans="65:67" ht="18.75" customHeight="1">
      <c r="BM27776" s="1025"/>
      <c r="BO27776" s="43"/>
    </row>
    <row r="27777" spans="65:67" ht="18.75" customHeight="1">
      <c r="BM27777" s="1025"/>
      <c r="BO27777" s="43"/>
    </row>
    <row r="27778" spans="65:67" ht="18.75" customHeight="1">
      <c r="BM27778" s="1025"/>
      <c r="BO27778" s="43"/>
    </row>
    <row r="27779" spans="65:67" ht="18.75" customHeight="1">
      <c r="BM27779" s="1025"/>
      <c r="BO27779" s="43"/>
    </row>
    <row r="27780" spans="65:67" ht="18.75" customHeight="1">
      <c r="BM27780" s="1025"/>
      <c r="BO27780" s="43"/>
    </row>
    <row r="27781" spans="65:67" ht="18.75" customHeight="1">
      <c r="BM27781" s="1025"/>
      <c r="BO27781" s="43"/>
    </row>
    <row r="27782" spans="65:67" ht="18.75" customHeight="1">
      <c r="BM27782" s="1025"/>
      <c r="BO27782" s="43"/>
    </row>
    <row r="27783" spans="65:67" ht="18.75" customHeight="1">
      <c r="BM27783" s="1025"/>
      <c r="BO27783" s="43"/>
    </row>
    <row r="27784" spans="65:67" ht="18.75" customHeight="1">
      <c r="BM27784" s="1025"/>
      <c r="BO27784" s="43"/>
    </row>
    <row r="27785" spans="65:67" ht="18.75" customHeight="1">
      <c r="BM27785" s="1025"/>
      <c r="BO27785" s="43"/>
    </row>
    <row r="27786" spans="65:67" ht="18.75" customHeight="1">
      <c r="BM27786" s="1025"/>
      <c r="BO27786" s="43"/>
    </row>
    <row r="27787" spans="65:67" ht="18.75" customHeight="1">
      <c r="BM27787" s="1025"/>
      <c r="BO27787" s="43"/>
    </row>
    <row r="27788" spans="65:67" ht="18.75" customHeight="1">
      <c r="BM27788" s="1025"/>
      <c r="BO27788" s="43"/>
    </row>
    <row r="27789" spans="65:67" ht="18.75" customHeight="1">
      <c r="BM27789" s="1025"/>
      <c r="BO27789" s="43"/>
    </row>
    <row r="27790" spans="65:67" ht="18.75" customHeight="1">
      <c r="BM27790" s="1025"/>
      <c r="BO27790" s="43"/>
    </row>
    <row r="27791" spans="65:67" ht="18.75" customHeight="1">
      <c r="BM27791" s="1025"/>
      <c r="BO27791" s="43"/>
    </row>
    <row r="27792" spans="65:67" ht="18.75" customHeight="1">
      <c r="BM27792" s="1025"/>
      <c r="BO27792" s="43"/>
    </row>
    <row r="27793" spans="65:67" ht="18.75" customHeight="1">
      <c r="BM27793" s="1025"/>
      <c r="BO27793" s="43"/>
    </row>
    <row r="27794" spans="65:67" ht="18.75" customHeight="1">
      <c r="BM27794" s="1025"/>
      <c r="BO27794" s="43"/>
    </row>
    <row r="27795" spans="65:67" ht="18.75" customHeight="1">
      <c r="BM27795" s="1025"/>
      <c r="BO27795" s="43"/>
    </row>
    <row r="27796" spans="65:67" ht="18.75" customHeight="1">
      <c r="BM27796" s="1025"/>
      <c r="BO27796" s="43"/>
    </row>
    <row r="27797" spans="65:67" ht="18.75" customHeight="1">
      <c r="BM27797" s="1025"/>
      <c r="BO27797" s="43"/>
    </row>
    <row r="27798" spans="65:67" ht="18.75" customHeight="1">
      <c r="BM27798" s="1025"/>
      <c r="BO27798" s="43"/>
    </row>
    <row r="27799" spans="65:67" ht="18.75" customHeight="1">
      <c r="BM27799" s="1025"/>
      <c r="BO27799" s="43"/>
    </row>
    <row r="27800" spans="65:67" ht="18.75" customHeight="1">
      <c r="BM27800" s="1025"/>
      <c r="BO27800" s="43"/>
    </row>
    <row r="27801" spans="65:67" ht="18.75" customHeight="1">
      <c r="BM27801" s="1025"/>
      <c r="BO27801" s="43"/>
    </row>
    <row r="27802" spans="65:67" ht="18.75" customHeight="1">
      <c r="BM27802" s="1025"/>
      <c r="BO27802" s="43"/>
    </row>
    <row r="27803" spans="65:67" ht="18.75" customHeight="1">
      <c r="BM27803" s="1025"/>
      <c r="BO27803" s="43"/>
    </row>
    <row r="27804" spans="65:67" ht="18.75" customHeight="1">
      <c r="BM27804" s="1025"/>
      <c r="BO27804" s="43"/>
    </row>
    <row r="27805" spans="65:67" ht="18.75" customHeight="1">
      <c r="BM27805" s="1025"/>
      <c r="BO27805" s="43"/>
    </row>
    <row r="27806" spans="65:67" ht="18.75" customHeight="1">
      <c r="BM27806" s="1025"/>
      <c r="BO27806" s="43"/>
    </row>
    <row r="27807" spans="65:67" ht="18.75" customHeight="1">
      <c r="BM27807" s="1025"/>
      <c r="BO27807" s="43"/>
    </row>
    <row r="27808" spans="65:67" ht="18.75" customHeight="1">
      <c r="BM27808" s="1025"/>
      <c r="BO27808" s="43"/>
    </row>
    <row r="27809" spans="65:67" ht="18.75" customHeight="1">
      <c r="BM27809" s="1025"/>
      <c r="BO27809" s="43"/>
    </row>
    <row r="27810" spans="65:67" ht="18.75" customHeight="1">
      <c r="BM27810" s="1025"/>
      <c r="BO27810" s="43"/>
    </row>
    <row r="27811" spans="65:67" ht="18.75" customHeight="1">
      <c r="BM27811" s="1025"/>
      <c r="BO27811" s="43"/>
    </row>
    <row r="27812" spans="65:67" ht="18.75" customHeight="1">
      <c r="BM27812" s="1025"/>
      <c r="BO27812" s="43"/>
    </row>
    <row r="27813" spans="65:67" ht="18.75" customHeight="1">
      <c r="BM27813" s="1025"/>
      <c r="BO27813" s="43"/>
    </row>
    <row r="27814" spans="65:67" ht="18.75" customHeight="1">
      <c r="BM27814" s="1025"/>
      <c r="BO27814" s="43"/>
    </row>
    <row r="27815" spans="65:67" ht="18.75" customHeight="1">
      <c r="BM27815" s="1025"/>
      <c r="BO27815" s="43"/>
    </row>
    <row r="27816" spans="65:67" ht="18.75" customHeight="1">
      <c r="BM27816" s="1025"/>
      <c r="BO27816" s="43"/>
    </row>
    <row r="27817" spans="65:67" ht="18.75" customHeight="1">
      <c r="BM27817" s="1025"/>
      <c r="BO27817" s="43"/>
    </row>
    <row r="27818" spans="65:67" ht="18.75" customHeight="1">
      <c r="BM27818" s="1025"/>
      <c r="BO27818" s="43"/>
    </row>
    <row r="27819" spans="65:67" ht="18.75" customHeight="1">
      <c r="BM27819" s="1025"/>
      <c r="BO27819" s="43"/>
    </row>
    <row r="27820" spans="65:67" ht="18.75" customHeight="1">
      <c r="BM27820" s="1025"/>
      <c r="BO27820" s="43"/>
    </row>
    <row r="27821" spans="65:67" ht="18.75" customHeight="1">
      <c r="BM27821" s="1025"/>
      <c r="BO27821" s="43"/>
    </row>
    <row r="27822" spans="65:67" ht="18.75" customHeight="1">
      <c r="BM27822" s="1025"/>
      <c r="BO27822" s="43"/>
    </row>
    <row r="27823" spans="65:67" ht="18.75" customHeight="1">
      <c r="BM27823" s="1025"/>
      <c r="BO27823" s="43"/>
    </row>
    <row r="27824" spans="65:67" ht="18.75" customHeight="1">
      <c r="BM27824" s="1025"/>
      <c r="BO27824" s="43"/>
    </row>
    <row r="27825" spans="65:67" ht="18.75" customHeight="1">
      <c r="BM27825" s="1025"/>
      <c r="BO27825" s="43"/>
    </row>
    <row r="27826" spans="65:67" ht="18.75" customHeight="1">
      <c r="BM27826" s="1025"/>
      <c r="BO27826" s="43"/>
    </row>
    <row r="27827" spans="65:67" ht="18.75" customHeight="1">
      <c r="BM27827" s="1025"/>
      <c r="BO27827" s="43"/>
    </row>
    <row r="27828" spans="65:67" ht="18.75" customHeight="1">
      <c r="BM27828" s="1025"/>
      <c r="BO27828" s="43"/>
    </row>
    <row r="27829" spans="65:67" ht="18.75" customHeight="1">
      <c r="BM27829" s="1025"/>
      <c r="BO27829" s="43"/>
    </row>
    <row r="27830" spans="65:67" ht="18.75" customHeight="1">
      <c r="BM27830" s="1025"/>
      <c r="BO27830" s="43"/>
    </row>
    <row r="27831" spans="65:67" ht="18.75" customHeight="1">
      <c r="BM27831" s="1025"/>
      <c r="BO27831" s="43"/>
    </row>
    <row r="27832" spans="65:67" ht="18.75" customHeight="1">
      <c r="BM27832" s="1025"/>
      <c r="BO27832" s="43"/>
    </row>
    <row r="27833" spans="65:67" ht="18.75" customHeight="1">
      <c r="BM27833" s="1025"/>
      <c r="BO27833" s="43"/>
    </row>
    <row r="27834" spans="65:67" ht="18.75" customHeight="1">
      <c r="BM27834" s="1025"/>
      <c r="BO27834" s="43"/>
    </row>
    <row r="27835" spans="65:67" ht="18.75" customHeight="1">
      <c r="BM27835" s="1025"/>
      <c r="BO27835" s="43"/>
    </row>
    <row r="27836" spans="65:67" ht="18.75" customHeight="1">
      <c r="BM27836" s="1025"/>
      <c r="BO27836" s="43"/>
    </row>
    <row r="27837" spans="65:67" ht="18.75" customHeight="1">
      <c r="BM27837" s="1025"/>
      <c r="BO27837" s="43"/>
    </row>
    <row r="27838" spans="65:67" ht="18.75" customHeight="1">
      <c r="BM27838" s="1025"/>
      <c r="BO27838" s="43"/>
    </row>
    <row r="27839" spans="65:67" ht="18.75" customHeight="1">
      <c r="BM27839" s="1025"/>
      <c r="BO27839" s="43"/>
    </row>
    <row r="27840" spans="65:67" ht="18.75" customHeight="1">
      <c r="BM27840" s="1025"/>
      <c r="BO27840" s="43"/>
    </row>
    <row r="27841" spans="65:67" ht="18.75" customHeight="1">
      <c r="BM27841" s="1025"/>
      <c r="BO27841" s="43"/>
    </row>
    <row r="27842" spans="65:67" ht="18.75" customHeight="1">
      <c r="BM27842" s="1025"/>
      <c r="BO27842" s="43"/>
    </row>
    <row r="27843" spans="65:67" ht="18.75" customHeight="1">
      <c r="BM27843" s="1025"/>
      <c r="BO27843" s="43"/>
    </row>
    <row r="27844" spans="65:67" ht="18.75" customHeight="1">
      <c r="BM27844" s="1025"/>
      <c r="BO27844" s="43"/>
    </row>
    <row r="27845" spans="65:67" ht="18.75" customHeight="1">
      <c r="BM27845" s="1025"/>
      <c r="BO27845" s="43"/>
    </row>
    <row r="27846" spans="65:67" ht="18.75" customHeight="1">
      <c r="BM27846" s="1025"/>
      <c r="BO27846" s="43"/>
    </row>
    <row r="27847" spans="65:67" ht="18.75" customHeight="1">
      <c r="BM27847" s="1025"/>
      <c r="BO27847" s="43"/>
    </row>
    <row r="27848" spans="65:67" ht="18.75" customHeight="1">
      <c r="BM27848" s="1025"/>
      <c r="BO27848" s="43"/>
    </row>
    <row r="27849" spans="65:67" ht="18.75" customHeight="1">
      <c r="BM27849" s="1025"/>
      <c r="BO27849" s="43"/>
    </row>
    <row r="27850" spans="65:67" ht="18.75" customHeight="1">
      <c r="BM27850" s="1025"/>
      <c r="BO27850" s="43"/>
    </row>
    <row r="27851" spans="65:67" ht="18.75" customHeight="1">
      <c r="BM27851" s="1025"/>
      <c r="BO27851" s="43"/>
    </row>
    <row r="27852" spans="65:67" ht="18.75" customHeight="1">
      <c r="BM27852" s="1025"/>
      <c r="BO27852" s="43"/>
    </row>
    <row r="27853" spans="65:67" ht="18.75" customHeight="1">
      <c r="BM27853" s="1025"/>
      <c r="BO27853" s="43"/>
    </row>
    <row r="27854" spans="65:67" ht="18.75" customHeight="1">
      <c r="BM27854" s="1025"/>
      <c r="BO27854" s="43"/>
    </row>
    <row r="27855" spans="65:67" ht="18.75" customHeight="1">
      <c r="BM27855" s="1025"/>
      <c r="BO27855" s="43"/>
    </row>
    <row r="27856" spans="65:67" ht="18.75" customHeight="1">
      <c r="BM27856" s="1025"/>
      <c r="BO27856" s="43"/>
    </row>
    <row r="27857" spans="65:67" ht="18.75" customHeight="1">
      <c r="BM27857" s="1025"/>
      <c r="BO27857" s="43"/>
    </row>
    <row r="27858" spans="65:67" ht="18.75" customHeight="1">
      <c r="BM27858" s="1025"/>
      <c r="BO27858" s="43"/>
    </row>
    <row r="27859" spans="65:67" ht="18.75" customHeight="1">
      <c r="BM27859" s="1025"/>
      <c r="BO27859" s="43"/>
    </row>
    <row r="27860" spans="65:67" ht="18.75" customHeight="1">
      <c r="BM27860" s="1025"/>
      <c r="BO27860" s="43"/>
    </row>
    <row r="27861" spans="65:67" ht="18.75" customHeight="1">
      <c r="BM27861" s="1025"/>
      <c r="BO27861" s="43"/>
    </row>
    <row r="27862" spans="65:67" ht="18.75" customHeight="1">
      <c r="BM27862" s="1025"/>
      <c r="BO27862" s="43"/>
    </row>
    <row r="27863" spans="65:67" ht="18.75" customHeight="1">
      <c r="BM27863" s="1025"/>
      <c r="BO27863" s="43"/>
    </row>
    <row r="27864" spans="65:67" ht="18.75" customHeight="1">
      <c r="BM27864" s="1025"/>
      <c r="BO27864" s="43"/>
    </row>
    <row r="27865" spans="65:67" ht="18.75" customHeight="1">
      <c r="BM27865" s="1025"/>
      <c r="BO27865" s="43"/>
    </row>
    <row r="27866" spans="65:67" ht="18.75" customHeight="1">
      <c r="BM27866" s="1025"/>
      <c r="BO27866" s="43"/>
    </row>
    <row r="27867" spans="65:67" ht="18.75" customHeight="1">
      <c r="BM27867" s="1025"/>
      <c r="BO27867" s="43"/>
    </row>
    <row r="27868" spans="65:67" ht="18.75" customHeight="1">
      <c r="BM27868" s="1025"/>
      <c r="BO27868" s="43"/>
    </row>
    <row r="27869" spans="65:67" ht="18.75" customHeight="1">
      <c r="BM27869" s="1025"/>
      <c r="BO27869" s="43"/>
    </row>
    <row r="27870" spans="65:67" ht="18.75" customHeight="1">
      <c r="BM27870" s="1025"/>
      <c r="BO27870" s="43"/>
    </row>
    <row r="27871" spans="65:67" ht="18.75" customHeight="1">
      <c r="BM27871" s="1025"/>
      <c r="BO27871" s="43"/>
    </row>
    <row r="27872" spans="65:67" ht="18.75" customHeight="1">
      <c r="BM27872" s="1025"/>
      <c r="BO27872" s="43"/>
    </row>
    <row r="27873" spans="65:67" ht="18.75" customHeight="1">
      <c r="BM27873" s="1025"/>
      <c r="BO27873" s="43"/>
    </row>
    <row r="27874" spans="65:67" ht="18.75" customHeight="1">
      <c r="BM27874" s="1025"/>
      <c r="BO27874" s="43"/>
    </row>
    <row r="27875" spans="65:67" ht="18.75" customHeight="1">
      <c r="BM27875" s="1025"/>
      <c r="BO27875" s="43"/>
    </row>
    <row r="27876" spans="65:67" ht="18.75" customHeight="1">
      <c r="BM27876" s="1025"/>
      <c r="BO27876" s="43"/>
    </row>
    <row r="27877" spans="65:67" ht="18.75" customHeight="1">
      <c r="BM27877" s="1025"/>
      <c r="BO27877" s="43"/>
    </row>
    <row r="27878" spans="65:67" ht="18.75" customHeight="1">
      <c r="BM27878" s="1025"/>
      <c r="BO27878" s="43"/>
    </row>
    <row r="27879" spans="65:67" ht="18.75" customHeight="1">
      <c r="BM27879" s="1025"/>
      <c r="BO27879" s="43"/>
    </row>
    <row r="27880" spans="65:67" ht="18.75" customHeight="1">
      <c r="BM27880" s="1025"/>
      <c r="BO27880" s="43"/>
    </row>
    <row r="27881" spans="65:67" ht="18.75" customHeight="1">
      <c r="BM27881" s="1025"/>
      <c r="BO27881" s="43"/>
    </row>
    <row r="27882" spans="65:67" ht="18.75" customHeight="1">
      <c r="BM27882" s="1025"/>
      <c r="BO27882" s="43"/>
    </row>
    <row r="27883" spans="65:67" ht="18.75" customHeight="1">
      <c r="BM27883" s="1025"/>
      <c r="BO27883" s="43"/>
    </row>
    <row r="27884" spans="65:67" ht="18.75" customHeight="1">
      <c r="BM27884" s="1025"/>
      <c r="BO27884" s="43"/>
    </row>
    <row r="27885" spans="65:67" ht="18.75" customHeight="1">
      <c r="BM27885" s="1025"/>
      <c r="BO27885" s="43"/>
    </row>
    <row r="27886" spans="65:67" ht="18.75" customHeight="1">
      <c r="BM27886" s="1025"/>
      <c r="BO27886" s="43"/>
    </row>
    <row r="27887" spans="65:67" ht="18.75" customHeight="1">
      <c r="BM27887" s="1025"/>
      <c r="BO27887" s="43"/>
    </row>
    <row r="27888" spans="65:67" ht="18.75" customHeight="1">
      <c r="BM27888" s="1025"/>
      <c r="BO27888" s="43"/>
    </row>
    <row r="27889" spans="65:67" ht="18.75" customHeight="1">
      <c r="BM27889" s="1025"/>
      <c r="BO27889" s="43"/>
    </row>
    <row r="27890" spans="65:67" ht="18.75" customHeight="1">
      <c r="BM27890" s="1025"/>
      <c r="BO27890" s="43"/>
    </row>
    <row r="27891" spans="65:67" ht="18.75" customHeight="1">
      <c r="BM27891" s="1025"/>
      <c r="BO27891" s="43"/>
    </row>
    <row r="27892" spans="65:67" ht="18.75" customHeight="1">
      <c r="BM27892" s="1025"/>
      <c r="BO27892" s="43"/>
    </row>
    <row r="27893" spans="65:67" ht="18.75" customHeight="1">
      <c r="BM27893" s="1025"/>
      <c r="BO27893" s="43"/>
    </row>
    <row r="27894" spans="65:67" ht="18.75" customHeight="1">
      <c r="BM27894" s="1025"/>
      <c r="BO27894" s="43"/>
    </row>
    <row r="27895" spans="65:67" ht="18.75" customHeight="1">
      <c r="BM27895" s="1025"/>
      <c r="BO27895" s="43"/>
    </row>
    <row r="27896" spans="65:67" ht="18.75" customHeight="1">
      <c r="BM27896" s="1025"/>
      <c r="BO27896" s="43"/>
    </row>
    <row r="27897" spans="65:67" ht="18.75" customHeight="1">
      <c r="BM27897" s="1025"/>
      <c r="BO27897" s="43"/>
    </row>
    <row r="27898" spans="65:67" ht="18.75" customHeight="1">
      <c r="BM27898" s="1025"/>
      <c r="BO27898" s="43"/>
    </row>
    <row r="27899" spans="65:67" ht="18.75" customHeight="1">
      <c r="BM27899" s="1025"/>
      <c r="BO27899" s="43"/>
    </row>
    <row r="27900" spans="65:67" ht="18.75" customHeight="1">
      <c r="BM27900" s="1025"/>
      <c r="BO27900" s="43"/>
    </row>
    <row r="27901" spans="65:67" ht="18.75" customHeight="1">
      <c r="BM27901" s="1025"/>
      <c r="BO27901" s="43"/>
    </row>
    <row r="27902" spans="65:67" ht="18.75" customHeight="1">
      <c r="BM27902" s="1025"/>
      <c r="BO27902" s="43"/>
    </row>
    <row r="27903" spans="65:67" ht="18.75" customHeight="1">
      <c r="BM27903" s="1025"/>
      <c r="BO27903" s="43"/>
    </row>
    <row r="27904" spans="65:67" ht="18.75" customHeight="1">
      <c r="BM27904" s="1025"/>
      <c r="BO27904" s="43"/>
    </row>
    <row r="27905" spans="65:67" ht="18.75" customHeight="1">
      <c r="BM27905" s="1025"/>
      <c r="BO27905" s="43"/>
    </row>
    <row r="27906" spans="65:67" ht="18.75" customHeight="1">
      <c r="BM27906" s="1025"/>
      <c r="BO27906" s="43"/>
    </row>
    <row r="27907" spans="65:67" ht="18.75" customHeight="1">
      <c r="BM27907" s="1025"/>
      <c r="BO27907" s="43"/>
    </row>
    <row r="27908" spans="65:67" ht="18.75" customHeight="1">
      <c r="BM27908" s="1025"/>
      <c r="BO27908" s="43"/>
    </row>
    <row r="27909" spans="65:67" ht="18.75" customHeight="1">
      <c r="BM27909" s="1025"/>
      <c r="BO27909" s="43"/>
    </row>
    <row r="27910" spans="65:67" ht="18.75" customHeight="1">
      <c r="BM27910" s="1025"/>
      <c r="BO27910" s="43"/>
    </row>
    <row r="27911" spans="65:67" ht="18.75" customHeight="1">
      <c r="BM27911" s="1025"/>
      <c r="BO27911" s="43"/>
    </row>
    <row r="27912" spans="65:67" ht="18.75" customHeight="1">
      <c r="BM27912" s="1025"/>
      <c r="BO27912" s="43"/>
    </row>
    <row r="27913" spans="65:67" ht="18.75" customHeight="1">
      <c r="BM27913" s="1025"/>
      <c r="BO27913" s="43"/>
    </row>
    <row r="27914" spans="65:67" ht="18.75" customHeight="1">
      <c r="BM27914" s="1025"/>
      <c r="BO27914" s="43"/>
    </row>
    <row r="27915" spans="65:67" ht="18.75" customHeight="1">
      <c r="BM27915" s="1025"/>
      <c r="BO27915" s="43"/>
    </row>
    <row r="27916" spans="65:67" ht="18.75" customHeight="1">
      <c r="BM27916" s="1025"/>
      <c r="BO27916" s="43"/>
    </row>
    <row r="27917" spans="65:67" ht="18.75" customHeight="1">
      <c r="BM27917" s="1025"/>
      <c r="BO27917" s="43"/>
    </row>
    <row r="27918" spans="65:67" ht="18.75" customHeight="1">
      <c r="BM27918" s="1025"/>
      <c r="BO27918" s="43"/>
    </row>
    <row r="27919" spans="65:67" ht="18.75" customHeight="1">
      <c r="BM27919" s="1025"/>
      <c r="BO27919" s="43"/>
    </row>
    <row r="27920" spans="65:67" ht="18.75" customHeight="1">
      <c r="BM27920" s="1025"/>
      <c r="BO27920" s="43"/>
    </row>
    <row r="27921" spans="65:67" ht="18.75" customHeight="1">
      <c r="BM27921" s="1025"/>
      <c r="BO27921" s="43"/>
    </row>
    <row r="27922" spans="65:67" ht="18.75" customHeight="1">
      <c r="BM27922" s="1025"/>
      <c r="BO27922" s="43"/>
    </row>
    <row r="27923" spans="65:67" ht="18.75" customHeight="1">
      <c r="BM27923" s="1025"/>
      <c r="BO27923" s="43"/>
    </row>
    <row r="27924" spans="65:67" ht="18.75" customHeight="1">
      <c r="BM27924" s="1025"/>
      <c r="BO27924" s="43"/>
    </row>
    <row r="27925" spans="65:67" ht="18.75" customHeight="1">
      <c r="BM27925" s="1025"/>
      <c r="BO27925" s="43"/>
    </row>
    <row r="27926" spans="65:67" ht="18.75" customHeight="1">
      <c r="BM27926" s="1025"/>
      <c r="BO27926" s="43"/>
    </row>
    <row r="27927" spans="65:67" ht="18.75" customHeight="1">
      <c r="BM27927" s="1025"/>
      <c r="BO27927" s="43"/>
    </row>
    <row r="27928" spans="65:67" ht="18.75" customHeight="1">
      <c r="BM27928" s="1025"/>
      <c r="BO27928" s="43"/>
    </row>
    <row r="27929" spans="65:67" ht="18.75" customHeight="1">
      <c r="BM27929" s="1025"/>
      <c r="BO27929" s="43"/>
    </row>
    <row r="27930" spans="65:67" ht="18.75" customHeight="1">
      <c r="BM27930" s="1025"/>
      <c r="BO27930" s="43"/>
    </row>
    <row r="27931" spans="65:67" ht="18.75" customHeight="1">
      <c r="BM27931" s="1025"/>
      <c r="BO27931" s="43"/>
    </row>
    <row r="27932" spans="65:67" ht="18.75" customHeight="1">
      <c r="BM27932" s="1025"/>
      <c r="BO27932" s="43"/>
    </row>
    <row r="27933" spans="65:67" ht="18.75" customHeight="1">
      <c r="BM27933" s="1025"/>
      <c r="BO27933" s="43"/>
    </row>
    <row r="27934" spans="65:67" ht="18.75" customHeight="1">
      <c r="BM27934" s="1025"/>
      <c r="BO27934" s="43"/>
    </row>
    <row r="27935" spans="65:67" ht="18.75" customHeight="1">
      <c r="BM27935" s="1025"/>
      <c r="BO27935" s="43"/>
    </row>
    <row r="27936" spans="65:67" ht="18.75" customHeight="1">
      <c r="BM27936" s="1025"/>
      <c r="BO27936" s="43"/>
    </row>
    <row r="27937" spans="65:67" ht="18.75" customHeight="1">
      <c r="BM27937" s="1025"/>
      <c r="BO27937" s="43"/>
    </row>
    <row r="27938" spans="65:67" ht="18.75" customHeight="1">
      <c r="BM27938" s="1025"/>
      <c r="BO27938" s="43"/>
    </row>
    <row r="27939" spans="65:67" ht="18.75" customHeight="1">
      <c r="BM27939" s="1025"/>
      <c r="BO27939" s="43"/>
    </row>
    <row r="27940" spans="65:67" ht="18.75" customHeight="1">
      <c r="BM27940" s="1025"/>
      <c r="BO27940" s="43"/>
    </row>
    <row r="27941" spans="65:67" ht="18.75" customHeight="1">
      <c r="BM27941" s="1025"/>
      <c r="BO27941" s="43"/>
    </row>
    <row r="27942" spans="65:67" ht="18.75" customHeight="1">
      <c r="BM27942" s="1025"/>
      <c r="BO27942" s="43"/>
    </row>
    <row r="27943" spans="65:67" ht="18.75" customHeight="1">
      <c r="BM27943" s="1025"/>
      <c r="BO27943" s="43"/>
    </row>
    <row r="27944" spans="65:67" ht="18.75" customHeight="1">
      <c r="BM27944" s="1025"/>
      <c r="BO27944" s="43"/>
    </row>
    <row r="27945" spans="65:67" ht="18.75" customHeight="1">
      <c r="BM27945" s="1025"/>
      <c r="BO27945" s="43"/>
    </row>
    <row r="27946" spans="65:67" ht="18.75" customHeight="1">
      <c r="BM27946" s="1025"/>
      <c r="BO27946" s="43"/>
    </row>
    <row r="27947" spans="65:67" ht="18.75" customHeight="1">
      <c r="BM27947" s="1025"/>
      <c r="BO27947" s="43"/>
    </row>
    <row r="27948" spans="65:67" ht="18.75" customHeight="1">
      <c r="BM27948" s="1025"/>
      <c r="BO27948" s="43"/>
    </row>
    <row r="27949" spans="65:67" ht="18.75" customHeight="1">
      <c r="BM27949" s="1025"/>
      <c r="BO27949" s="43"/>
    </row>
    <row r="27950" spans="65:67" ht="18.75" customHeight="1">
      <c r="BM27950" s="1025"/>
      <c r="BO27950" s="43"/>
    </row>
    <row r="27951" spans="65:67" ht="18.75" customHeight="1">
      <c r="BM27951" s="1025"/>
      <c r="BO27951" s="43"/>
    </row>
    <row r="27952" spans="65:67" ht="18.75" customHeight="1">
      <c r="BM27952" s="1025"/>
      <c r="BO27952" s="43"/>
    </row>
    <row r="27953" spans="65:67" ht="18.75" customHeight="1">
      <c r="BM27953" s="1025"/>
      <c r="BO27953" s="43"/>
    </row>
    <row r="27954" spans="65:67" ht="18.75" customHeight="1">
      <c r="BM27954" s="1025"/>
      <c r="BO27954" s="43"/>
    </row>
    <row r="27955" spans="65:67" ht="18.75" customHeight="1">
      <c r="BM27955" s="1025"/>
      <c r="BO27955" s="43"/>
    </row>
    <row r="27956" spans="65:67" ht="18.75" customHeight="1">
      <c r="BM27956" s="1025"/>
      <c r="BO27956" s="43"/>
    </row>
    <row r="27957" spans="65:67" ht="18.75" customHeight="1">
      <c r="BM27957" s="1025"/>
      <c r="BO27957" s="43"/>
    </row>
    <row r="27958" spans="65:67" ht="18.75" customHeight="1">
      <c r="BM27958" s="1025"/>
      <c r="BO27958" s="43"/>
    </row>
    <row r="27959" spans="65:67" ht="18.75" customHeight="1">
      <c r="BM27959" s="1025"/>
      <c r="BO27959" s="43"/>
    </row>
    <row r="27960" spans="65:67" ht="18.75" customHeight="1">
      <c r="BM27960" s="1025"/>
      <c r="BO27960" s="43"/>
    </row>
    <row r="27961" spans="65:67" ht="18.75" customHeight="1">
      <c r="BM27961" s="1025"/>
      <c r="BO27961" s="43"/>
    </row>
    <row r="27962" spans="65:67" ht="18.75" customHeight="1">
      <c r="BM27962" s="1025"/>
      <c r="BO27962" s="43"/>
    </row>
    <row r="27963" spans="65:67" ht="18.75" customHeight="1">
      <c r="BM27963" s="1025"/>
      <c r="BO27963" s="43"/>
    </row>
    <row r="27964" spans="65:67" ht="18.75" customHeight="1">
      <c r="BM27964" s="1025"/>
      <c r="BO27964" s="43"/>
    </row>
    <row r="27965" spans="65:67" ht="18.75" customHeight="1">
      <c r="BM27965" s="1025"/>
      <c r="BO27965" s="43"/>
    </row>
    <row r="27966" spans="65:67" ht="18.75" customHeight="1">
      <c r="BM27966" s="1025"/>
      <c r="BO27966" s="43"/>
    </row>
    <row r="27967" spans="65:67" ht="18.75" customHeight="1">
      <c r="BM27967" s="1025"/>
      <c r="BO27967" s="43"/>
    </row>
    <row r="27968" spans="65:67" ht="18.75" customHeight="1">
      <c r="BM27968" s="1025"/>
      <c r="BO27968" s="43"/>
    </row>
    <row r="27969" spans="65:67" ht="18.75" customHeight="1">
      <c r="BM27969" s="1025"/>
      <c r="BO27969" s="43"/>
    </row>
    <row r="27970" spans="65:67" ht="18.75" customHeight="1">
      <c r="BM27970" s="1025"/>
      <c r="BO27970" s="43"/>
    </row>
    <row r="27971" spans="65:67" ht="18.75" customHeight="1">
      <c r="BM27971" s="1025"/>
      <c r="BO27971" s="43"/>
    </row>
    <row r="27972" spans="65:67" ht="18.75" customHeight="1">
      <c r="BM27972" s="1025"/>
      <c r="BO27972" s="43"/>
    </row>
    <row r="27973" spans="65:67" ht="18.75" customHeight="1">
      <c r="BM27973" s="1025"/>
      <c r="BO27973" s="43"/>
    </row>
    <row r="27974" spans="65:67" ht="18.75" customHeight="1">
      <c r="BM27974" s="1025"/>
      <c r="BO27974" s="43"/>
    </row>
    <row r="27975" spans="65:67" ht="18.75" customHeight="1">
      <c r="BM27975" s="1025"/>
      <c r="BO27975" s="43"/>
    </row>
    <row r="27976" spans="65:67" ht="18.75" customHeight="1">
      <c r="BM27976" s="1025"/>
      <c r="BO27976" s="43"/>
    </row>
    <row r="27977" spans="65:67" ht="18.75" customHeight="1">
      <c r="BM27977" s="1025"/>
      <c r="BO27977" s="43"/>
    </row>
    <row r="27978" spans="65:67" ht="18.75" customHeight="1">
      <c r="BM27978" s="1025"/>
      <c r="BO27978" s="43"/>
    </row>
    <row r="27979" spans="65:67" ht="18.75" customHeight="1">
      <c r="BM27979" s="1025"/>
      <c r="BO27979" s="43"/>
    </row>
    <row r="27980" spans="65:67" ht="18.75" customHeight="1">
      <c r="BM27980" s="1025"/>
      <c r="BO27980" s="43"/>
    </row>
    <row r="27981" spans="65:67" ht="18.75" customHeight="1">
      <c r="BM27981" s="1025"/>
      <c r="BO27981" s="43"/>
    </row>
    <row r="27982" spans="65:67" ht="18.75" customHeight="1">
      <c r="BM27982" s="1025"/>
      <c r="BO27982" s="43"/>
    </row>
    <row r="27983" spans="65:67" ht="18.75" customHeight="1">
      <c r="BM27983" s="1025"/>
      <c r="BO27983" s="43"/>
    </row>
    <row r="27984" spans="65:67" ht="18.75" customHeight="1">
      <c r="BM27984" s="1025"/>
      <c r="BO27984" s="43"/>
    </row>
    <row r="27985" spans="65:67" ht="18.75" customHeight="1">
      <c r="BM27985" s="1025"/>
      <c r="BO27985" s="43"/>
    </row>
    <row r="27986" spans="65:67" ht="18.75" customHeight="1">
      <c r="BM27986" s="1025"/>
      <c r="BO27986" s="43"/>
    </row>
    <row r="27987" spans="65:67" ht="18.75" customHeight="1">
      <c r="BM27987" s="1025"/>
      <c r="BO27987" s="43"/>
    </row>
    <row r="27988" spans="65:67" ht="18.75" customHeight="1">
      <c r="BM27988" s="1025"/>
      <c r="BO27988" s="43"/>
    </row>
    <row r="27989" spans="65:67" ht="18.75" customHeight="1">
      <c r="BM27989" s="1025"/>
      <c r="BO27989" s="43"/>
    </row>
    <row r="27990" spans="65:67" ht="18.75" customHeight="1">
      <c r="BM27990" s="1025"/>
      <c r="BO27990" s="43"/>
    </row>
    <row r="27991" spans="65:67" ht="18.75" customHeight="1">
      <c r="BM27991" s="1025"/>
      <c r="BO27991" s="43"/>
    </row>
    <row r="27992" spans="65:67" ht="18.75" customHeight="1">
      <c r="BM27992" s="1025"/>
      <c r="BO27992" s="43"/>
    </row>
    <row r="27993" spans="65:67" ht="18.75" customHeight="1">
      <c r="BM27993" s="1025"/>
      <c r="BO27993" s="43"/>
    </row>
    <row r="27994" spans="65:67" ht="18.75" customHeight="1">
      <c r="BM27994" s="1025"/>
      <c r="BO27994" s="43"/>
    </row>
    <row r="27995" spans="65:67" ht="18.75" customHeight="1">
      <c r="BM27995" s="1025"/>
      <c r="BO27995" s="43"/>
    </row>
    <row r="27996" spans="65:67" ht="18.75" customHeight="1">
      <c r="BM27996" s="1025"/>
      <c r="BO27996" s="43"/>
    </row>
    <row r="27997" spans="65:67" ht="18.75" customHeight="1">
      <c r="BM27997" s="1025"/>
      <c r="BO27997" s="43"/>
    </row>
    <row r="27998" spans="65:67" ht="18.75" customHeight="1">
      <c r="BM27998" s="1025"/>
      <c r="BO27998" s="43"/>
    </row>
    <row r="27999" spans="65:67" ht="18.75" customHeight="1">
      <c r="BM27999" s="1025"/>
      <c r="BO27999" s="43"/>
    </row>
    <row r="28000" spans="65:67" ht="18.75" customHeight="1">
      <c r="BM28000" s="1025"/>
      <c r="BO28000" s="43"/>
    </row>
    <row r="28001" spans="65:67" ht="18.75" customHeight="1">
      <c r="BM28001" s="1025"/>
      <c r="BO28001" s="43"/>
    </row>
    <row r="28002" spans="65:67" ht="18.75" customHeight="1">
      <c r="BM28002" s="1025"/>
      <c r="BO28002" s="43"/>
    </row>
    <row r="28003" spans="65:67" ht="18.75" customHeight="1">
      <c r="BM28003" s="1025"/>
      <c r="BO28003" s="43"/>
    </row>
    <row r="28004" spans="65:67" ht="18.75" customHeight="1">
      <c r="BM28004" s="1025"/>
      <c r="BO28004" s="43"/>
    </row>
    <row r="28005" spans="65:67" ht="18.75" customHeight="1">
      <c r="BM28005" s="1025"/>
      <c r="BO28005" s="43"/>
    </row>
    <row r="28006" spans="65:67" ht="18.75" customHeight="1">
      <c r="BM28006" s="1025"/>
      <c r="BO28006" s="43"/>
    </row>
    <row r="28007" spans="65:67" ht="18.75" customHeight="1">
      <c r="BM28007" s="1025"/>
      <c r="BO28007" s="43"/>
    </row>
    <row r="28008" spans="65:67" ht="18.75" customHeight="1">
      <c r="BM28008" s="1025"/>
      <c r="BO28008" s="43"/>
    </row>
    <row r="28009" spans="65:67" ht="18.75" customHeight="1">
      <c r="BM28009" s="1025"/>
      <c r="BO28009" s="43"/>
    </row>
    <row r="28010" spans="65:67" ht="18.75" customHeight="1">
      <c r="BM28010" s="1025"/>
      <c r="BO28010" s="43"/>
    </row>
    <row r="28011" spans="65:67" ht="18.75" customHeight="1">
      <c r="BM28011" s="1025"/>
      <c r="BO28011" s="43"/>
    </row>
    <row r="28012" spans="65:67" ht="18.75" customHeight="1">
      <c r="BM28012" s="1025"/>
      <c r="BO28012" s="43"/>
    </row>
    <row r="28013" spans="65:67" ht="18.75" customHeight="1">
      <c r="BM28013" s="1025"/>
      <c r="BO28013" s="43"/>
    </row>
    <row r="28014" spans="65:67" ht="18.75" customHeight="1">
      <c r="BM28014" s="1025"/>
      <c r="BO28014" s="43"/>
    </row>
    <row r="28015" spans="65:67" ht="18.75" customHeight="1">
      <c r="BM28015" s="1025"/>
      <c r="BO28015" s="43"/>
    </row>
    <row r="28016" spans="65:67" ht="18.75" customHeight="1">
      <c r="BM28016" s="1025"/>
      <c r="BO28016" s="43"/>
    </row>
    <row r="28017" spans="65:67" ht="18.75" customHeight="1">
      <c r="BM28017" s="1025"/>
      <c r="BO28017" s="43"/>
    </row>
    <row r="28018" spans="65:67" ht="18.75" customHeight="1">
      <c r="BM28018" s="1025"/>
      <c r="BO28018" s="43"/>
    </row>
    <row r="28019" spans="65:67" ht="18.75" customHeight="1">
      <c r="BM28019" s="1025"/>
      <c r="BO28019" s="43"/>
    </row>
    <row r="28020" spans="65:67" ht="18.75" customHeight="1">
      <c r="BM28020" s="1025"/>
      <c r="BO28020" s="43"/>
    </row>
    <row r="28021" spans="65:67" ht="18.75" customHeight="1">
      <c r="BM28021" s="1025"/>
      <c r="BO28021" s="43"/>
    </row>
    <row r="28022" spans="65:67" ht="18.75" customHeight="1">
      <c r="BM28022" s="1025"/>
      <c r="BO28022" s="43"/>
    </row>
    <row r="28023" spans="65:67" ht="18.75" customHeight="1">
      <c r="BM28023" s="1025"/>
      <c r="BO28023" s="43"/>
    </row>
    <row r="28024" spans="65:67" ht="18.75" customHeight="1">
      <c r="BM28024" s="1025"/>
      <c r="BO28024" s="43"/>
    </row>
    <row r="28025" spans="65:67" ht="18.75" customHeight="1">
      <c r="BM28025" s="1025"/>
      <c r="BO28025" s="43"/>
    </row>
    <row r="28026" spans="65:67" ht="18.75" customHeight="1">
      <c r="BM28026" s="1025"/>
      <c r="BO28026" s="43"/>
    </row>
    <row r="28027" spans="65:67" ht="18.75" customHeight="1">
      <c r="BM28027" s="1025"/>
      <c r="BO28027" s="43"/>
    </row>
    <row r="28028" spans="65:67" ht="18.75" customHeight="1">
      <c r="BM28028" s="1025"/>
      <c r="BO28028" s="43"/>
    </row>
    <row r="28029" spans="65:67" ht="18.75" customHeight="1">
      <c r="BM28029" s="1025"/>
      <c r="BO28029" s="43"/>
    </row>
    <row r="28030" spans="65:67" ht="18.75" customHeight="1">
      <c r="BM28030" s="1025"/>
      <c r="BO28030" s="43"/>
    </row>
    <row r="28031" spans="65:67" ht="18.75" customHeight="1">
      <c r="BM28031" s="1025"/>
      <c r="BO28031" s="43"/>
    </row>
    <row r="28032" spans="65:67" ht="18.75" customHeight="1">
      <c r="BM28032" s="1025"/>
      <c r="BO28032" s="43"/>
    </row>
    <row r="28033" spans="65:67" ht="18.75" customHeight="1">
      <c r="BM28033" s="1025"/>
      <c r="BO28033" s="43"/>
    </row>
    <row r="28034" spans="65:67" ht="18.75" customHeight="1">
      <c r="BM28034" s="1025"/>
      <c r="BO28034" s="43"/>
    </row>
    <row r="28035" spans="65:67" ht="18.75" customHeight="1">
      <c r="BM28035" s="1025"/>
      <c r="BO28035" s="43"/>
    </row>
    <row r="28036" spans="65:67" ht="18.75" customHeight="1">
      <c r="BM28036" s="1025"/>
      <c r="BO28036" s="43"/>
    </row>
    <row r="28037" spans="65:67" ht="18.75" customHeight="1">
      <c r="BM28037" s="1025"/>
      <c r="BO28037" s="43"/>
    </row>
    <row r="28038" spans="65:67" ht="18.75" customHeight="1">
      <c r="BM28038" s="1025"/>
      <c r="BO28038" s="43"/>
    </row>
    <row r="28039" spans="65:67" ht="18.75" customHeight="1">
      <c r="BM28039" s="1025"/>
      <c r="BO28039" s="43"/>
    </row>
    <row r="28040" spans="65:67" ht="18.75" customHeight="1">
      <c r="BM28040" s="1025"/>
      <c r="BO28040" s="43"/>
    </row>
    <row r="28041" spans="65:67" ht="18.75" customHeight="1">
      <c r="BM28041" s="1025"/>
      <c r="BO28041" s="43"/>
    </row>
    <row r="28042" spans="65:67" ht="18.75" customHeight="1">
      <c r="BM28042" s="1025"/>
      <c r="BO28042" s="43"/>
    </row>
    <row r="28043" spans="65:67" ht="18.75" customHeight="1">
      <c r="BM28043" s="1025"/>
      <c r="BO28043" s="43"/>
    </row>
    <row r="28044" spans="65:67" ht="18.75" customHeight="1">
      <c r="BM28044" s="1025"/>
      <c r="BO28044" s="43"/>
    </row>
    <row r="28045" spans="65:67" ht="18.75" customHeight="1">
      <c r="BM28045" s="1025"/>
      <c r="BO28045" s="43"/>
    </row>
    <row r="28046" spans="65:67" ht="18.75" customHeight="1">
      <c r="BM28046" s="1025"/>
      <c r="BO28046" s="43"/>
    </row>
    <row r="28047" spans="65:67" ht="18.75" customHeight="1">
      <c r="BM28047" s="1025"/>
      <c r="BO28047" s="43"/>
    </row>
    <row r="28048" spans="65:67" ht="18.75" customHeight="1">
      <c r="BM28048" s="1025"/>
      <c r="BO28048" s="43"/>
    </row>
    <row r="28049" spans="65:67" ht="18.75" customHeight="1">
      <c r="BM28049" s="1025"/>
      <c r="BO28049" s="43"/>
    </row>
    <row r="28050" spans="65:67" ht="18.75" customHeight="1">
      <c r="BM28050" s="1025"/>
      <c r="BO28050" s="43"/>
    </row>
    <row r="28051" spans="65:67" ht="18.75" customHeight="1">
      <c r="BM28051" s="1025"/>
      <c r="BO28051" s="43"/>
    </row>
    <row r="28052" spans="65:67" ht="18.75" customHeight="1">
      <c r="BM28052" s="1025"/>
      <c r="BO28052" s="43"/>
    </row>
    <row r="28053" spans="65:67" ht="18.75" customHeight="1">
      <c r="BM28053" s="1025"/>
      <c r="BO28053" s="43"/>
    </row>
    <row r="28054" spans="65:67" ht="18.75" customHeight="1">
      <c r="BM28054" s="1025"/>
      <c r="BO28054" s="43"/>
    </row>
    <row r="28055" spans="65:67" ht="18.75" customHeight="1">
      <c r="BM28055" s="1025"/>
      <c r="BO28055" s="43"/>
    </row>
    <row r="28056" spans="65:67" ht="18.75" customHeight="1">
      <c r="BM28056" s="1025"/>
      <c r="BO28056" s="43"/>
    </row>
    <row r="28057" spans="65:67" ht="18.75" customHeight="1">
      <c r="BM28057" s="1025"/>
      <c r="BO28057" s="43"/>
    </row>
    <row r="28058" spans="65:67" ht="18.75" customHeight="1">
      <c r="BM28058" s="1025"/>
      <c r="BO28058" s="43"/>
    </row>
    <row r="28059" spans="65:67" ht="18.75" customHeight="1">
      <c r="BM28059" s="1025"/>
      <c r="BO28059" s="43"/>
    </row>
    <row r="28060" spans="65:67" ht="18.75" customHeight="1">
      <c r="BM28060" s="1025"/>
      <c r="BO28060" s="43"/>
    </row>
    <row r="28061" spans="65:67" ht="18.75" customHeight="1">
      <c r="BM28061" s="1025"/>
      <c r="BO28061" s="43"/>
    </row>
    <row r="28062" spans="65:67" ht="18.75" customHeight="1">
      <c r="BM28062" s="1025"/>
      <c r="BO28062" s="43"/>
    </row>
    <row r="28063" spans="65:67" ht="18.75" customHeight="1">
      <c r="BM28063" s="1025"/>
      <c r="BO28063" s="43"/>
    </row>
    <row r="28064" spans="65:67" ht="18.75" customHeight="1">
      <c r="BM28064" s="1025"/>
      <c r="BO28064" s="43"/>
    </row>
    <row r="28065" spans="65:67" ht="18.75" customHeight="1">
      <c r="BM28065" s="1025"/>
      <c r="BO28065" s="43"/>
    </row>
    <row r="28066" spans="65:67" ht="18.75" customHeight="1">
      <c r="BM28066" s="1025"/>
      <c r="BO28066" s="43"/>
    </row>
    <row r="28067" spans="65:67" ht="18.75" customHeight="1">
      <c r="BM28067" s="1025"/>
      <c r="BO28067" s="43"/>
    </row>
    <row r="28068" spans="65:67" ht="18.75" customHeight="1">
      <c r="BM28068" s="1025"/>
      <c r="BO28068" s="43"/>
    </row>
    <row r="28069" spans="65:67" ht="18.75" customHeight="1">
      <c r="BM28069" s="1025"/>
      <c r="BO28069" s="43"/>
    </row>
    <row r="28070" spans="65:67" ht="18.75" customHeight="1">
      <c r="BM28070" s="1025"/>
      <c r="BO28070" s="43"/>
    </row>
    <row r="28071" spans="65:67" ht="18.75" customHeight="1">
      <c r="BM28071" s="1025"/>
      <c r="BO28071" s="43"/>
    </row>
    <row r="28072" spans="65:67" ht="18.75" customHeight="1">
      <c r="BM28072" s="1025"/>
      <c r="BO28072" s="43"/>
    </row>
    <row r="28073" spans="65:67" ht="18.75" customHeight="1">
      <c r="BM28073" s="1025"/>
      <c r="BO28073" s="43"/>
    </row>
    <row r="28074" spans="65:67" ht="18.75" customHeight="1">
      <c r="BM28074" s="1025"/>
      <c r="BO28074" s="43"/>
    </row>
    <row r="28075" spans="65:67" ht="18.75" customHeight="1">
      <c r="BM28075" s="1025"/>
      <c r="BO28075" s="43"/>
    </row>
    <row r="28076" spans="65:67" ht="18.75" customHeight="1">
      <c r="BM28076" s="1025"/>
      <c r="BO28076" s="43"/>
    </row>
    <row r="28077" spans="65:67" ht="18.75" customHeight="1">
      <c r="BM28077" s="1025"/>
      <c r="BO28077" s="43"/>
    </row>
    <row r="28078" spans="65:67" ht="18.75" customHeight="1">
      <c r="BM28078" s="1025"/>
      <c r="BO28078" s="43"/>
    </row>
    <row r="28079" spans="65:67" ht="18.75" customHeight="1">
      <c r="BM28079" s="1025"/>
      <c r="BO28079" s="43"/>
    </row>
    <row r="28080" spans="65:67" ht="18.75" customHeight="1">
      <c r="BM28080" s="1025"/>
      <c r="BO28080" s="43"/>
    </row>
    <row r="28081" spans="65:67" ht="18.75" customHeight="1">
      <c r="BM28081" s="1025"/>
      <c r="BO28081" s="43"/>
    </row>
    <row r="28082" spans="65:67" ht="18.75" customHeight="1">
      <c r="BM28082" s="1025"/>
      <c r="BO28082" s="43"/>
    </row>
    <row r="28083" spans="65:67" ht="18.75" customHeight="1">
      <c r="BM28083" s="1025"/>
      <c r="BO28083" s="43"/>
    </row>
    <row r="28084" spans="65:67" ht="18.75" customHeight="1">
      <c r="BM28084" s="1025"/>
      <c r="BO28084" s="43"/>
    </row>
    <row r="28085" spans="65:67" ht="18.75" customHeight="1">
      <c r="BM28085" s="1025"/>
      <c r="BO28085" s="43"/>
    </row>
    <row r="28086" spans="65:67" ht="18.75" customHeight="1">
      <c r="BM28086" s="1025"/>
      <c r="BO28086" s="43"/>
    </row>
    <row r="28087" spans="65:67" ht="18.75" customHeight="1">
      <c r="BM28087" s="1025"/>
      <c r="BO28087" s="43"/>
    </row>
    <row r="28088" spans="65:67" ht="18.75" customHeight="1">
      <c r="BM28088" s="1025"/>
      <c r="BO28088" s="43"/>
    </row>
    <row r="28089" spans="65:67" ht="18.75" customHeight="1">
      <c r="BM28089" s="1025"/>
      <c r="BO28089" s="43"/>
    </row>
    <row r="28090" spans="65:67" ht="18.75" customHeight="1">
      <c r="BM28090" s="1025"/>
      <c r="BO28090" s="43"/>
    </row>
    <row r="28091" spans="65:67" ht="18.75" customHeight="1">
      <c r="BM28091" s="1025"/>
      <c r="BO28091" s="43"/>
    </row>
    <row r="28092" spans="65:67" ht="18.75" customHeight="1">
      <c r="BM28092" s="1025"/>
      <c r="BO28092" s="43"/>
    </row>
    <row r="28093" spans="65:67" ht="18.75" customHeight="1">
      <c r="BM28093" s="1025"/>
      <c r="BO28093" s="43"/>
    </row>
    <row r="28094" spans="65:67" ht="18.75" customHeight="1">
      <c r="BM28094" s="1025"/>
      <c r="BO28094" s="43"/>
    </row>
    <row r="28095" spans="65:67" ht="18.75" customHeight="1">
      <c r="BM28095" s="1025"/>
      <c r="BO28095" s="43"/>
    </row>
    <row r="28096" spans="65:67" ht="18.75" customHeight="1">
      <c r="BM28096" s="1025"/>
      <c r="BO28096" s="43"/>
    </row>
    <row r="28097" spans="65:67" ht="18.75" customHeight="1">
      <c r="BM28097" s="1025"/>
      <c r="BO28097" s="43"/>
    </row>
    <row r="28098" spans="65:67" ht="18.75" customHeight="1">
      <c r="BM28098" s="1025"/>
      <c r="BO28098" s="43"/>
    </row>
    <row r="28099" spans="65:67" ht="18.75" customHeight="1">
      <c r="BM28099" s="1025"/>
      <c r="BO28099" s="43"/>
    </row>
    <row r="28100" spans="65:67" ht="18.75" customHeight="1">
      <c r="BM28100" s="1025"/>
      <c r="BO28100" s="43"/>
    </row>
    <row r="28101" spans="65:67" ht="18.75" customHeight="1">
      <c r="BM28101" s="1025"/>
      <c r="BO28101" s="43"/>
    </row>
    <row r="28102" spans="65:67" ht="18.75" customHeight="1">
      <c r="BM28102" s="1025"/>
      <c r="BO28102" s="43"/>
    </row>
    <row r="28103" spans="65:67" ht="18.75" customHeight="1">
      <c r="BM28103" s="1025"/>
      <c r="BO28103" s="43"/>
    </row>
    <row r="28104" spans="65:67" ht="18.75" customHeight="1">
      <c r="BM28104" s="1025"/>
      <c r="BO28104" s="43"/>
    </row>
    <row r="28105" spans="65:67" ht="18.75" customHeight="1">
      <c r="BM28105" s="1025"/>
      <c r="BO28105" s="43"/>
    </row>
    <row r="28106" spans="65:67" ht="18.75" customHeight="1">
      <c r="BM28106" s="1025"/>
      <c r="BO28106" s="43"/>
    </row>
    <row r="28107" spans="65:67" ht="18.75" customHeight="1">
      <c r="BM28107" s="1025"/>
      <c r="BO28107" s="43"/>
    </row>
    <row r="28108" spans="65:67" ht="18.75" customHeight="1">
      <c r="BM28108" s="1025"/>
      <c r="BO28108" s="43"/>
    </row>
    <row r="28109" spans="65:67" ht="18.75" customHeight="1">
      <c r="BM28109" s="1025"/>
      <c r="BO28109" s="43"/>
    </row>
    <row r="28110" spans="65:67" ht="18.75" customHeight="1">
      <c r="BM28110" s="1025"/>
      <c r="BO28110" s="43"/>
    </row>
    <row r="28111" spans="65:67" ht="18.75" customHeight="1">
      <c r="BM28111" s="1025"/>
      <c r="BO28111" s="43"/>
    </row>
    <row r="28112" spans="65:67" ht="18.75" customHeight="1">
      <c r="BM28112" s="1025"/>
      <c r="BO28112" s="43"/>
    </row>
    <row r="28113" spans="65:67" ht="18.75" customHeight="1">
      <c r="BM28113" s="1025"/>
      <c r="BO28113" s="43"/>
    </row>
    <row r="28114" spans="65:67" ht="18.75" customHeight="1">
      <c r="BM28114" s="1025"/>
      <c r="BO28114" s="43"/>
    </row>
    <row r="28115" spans="65:67" ht="18.75" customHeight="1">
      <c r="BM28115" s="1025"/>
      <c r="BO28115" s="43"/>
    </row>
    <row r="28116" spans="65:67" ht="18.75" customHeight="1">
      <c r="BM28116" s="1025"/>
      <c r="BO28116" s="43"/>
    </row>
    <row r="28117" spans="65:67" ht="18.75" customHeight="1">
      <c r="BM28117" s="1025"/>
      <c r="BO28117" s="43"/>
    </row>
    <row r="28118" spans="65:67" ht="18.75" customHeight="1">
      <c r="BM28118" s="1025"/>
      <c r="BO28118" s="43"/>
    </row>
    <row r="28119" spans="65:67" ht="18.75" customHeight="1">
      <c r="BM28119" s="1025"/>
      <c r="BO28119" s="43"/>
    </row>
    <row r="28120" spans="65:67" ht="18.75" customHeight="1">
      <c r="BM28120" s="1025"/>
      <c r="BO28120" s="43"/>
    </row>
    <row r="28121" spans="65:67" ht="18.75" customHeight="1">
      <c r="BM28121" s="1025"/>
      <c r="BO28121" s="43"/>
    </row>
    <row r="28122" spans="65:67" ht="18.75" customHeight="1">
      <c r="BM28122" s="1025"/>
      <c r="BO28122" s="43"/>
    </row>
    <row r="28123" spans="65:67" ht="18.75" customHeight="1">
      <c r="BM28123" s="1025"/>
      <c r="BO28123" s="43"/>
    </row>
    <row r="28124" spans="65:67" ht="18.75" customHeight="1">
      <c r="BM28124" s="1025"/>
      <c r="BO28124" s="43"/>
    </row>
    <row r="28125" spans="65:67" ht="18.75" customHeight="1">
      <c r="BM28125" s="1025"/>
      <c r="BO28125" s="43"/>
    </row>
    <row r="28126" spans="65:67" ht="18.75" customHeight="1">
      <c r="BM28126" s="1025"/>
      <c r="BO28126" s="43"/>
    </row>
    <row r="28127" spans="65:67" ht="18.75" customHeight="1">
      <c r="BM28127" s="1025"/>
      <c r="BO28127" s="43"/>
    </row>
    <row r="28128" spans="65:67" ht="18.75" customHeight="1">
      <c r="BM28128" s="1025"/>
      <c r="BO28128" s="43"/>
    </row>
    <row r="28129" spans="65:67" ht="18.75" customHeight="1">
      <c r="BM28129" s="1025"/>
      <c r="BO28129" s="43"/>
    </row>
    <row r="28130" spans="65:67" ht="18.75" customHeight="1">
      <c r="BM28130" s="1025"/>
      <c r="BO28130" s="43"/>
    </row>
    <row r="28131" spans="65:67" ht="18.75" customHeight="1">
      <c r="BM28131" s="1025"/>
      <c r="BO28131" s="43"/>
    </row>
    <row r="28132" spans="65:67" ht="18.75" customHeight="1">
      <c r="BM28132" s="1025"/>
      <c r="BO28132" s="43"/>
    </row>
    <row r="28133" spans="65:67" ht="18.75" customHeight="1">
      <c r="BM28133" s="1025"/>
      <c r="BO28133" s="43"/>
    </row>
    <row r="28134" spans="65:67" ht="18.75" customHeight="1">
      <c r="BM28134" s="1025"/>
      <c r="BO28134" s="43"/>
    </row>
    <row r="28135" spans="65:67" ht="18.75" customHeight="1">
      <c r="BM28135" s="1025"/>
      <c r="BO28135" s="43"/>
    </row>
    <row r="28136" spans="65:67" ht="18.75" customHeight="1">
      <c r="BM28136" s="1025"/>
      <c r="BO28136" s="43"/>
    </row>
    <row r="28137" spans="65:67" ht="18.75" customHeight="1">
      <c r="BM28137" s="1025"/>
      <c r="BO28137" s="43"/>
    </row>
    <row r="28138" spans="65:67" ht="18.75" customHeight="1">
      <c r="BM28138" s="1025"/>
      <c r="BO28138" s="43"/>
    </row>
    <row r="28139" spans="65:67" ht="18.75" customHeight="1">
      <c r="BM28139" s="1025"/>
      <c r="BO28139" s="43"/>
    </row>
    <row r="28140" spans="65:67" ht="18.75" customHeight="1">
      <c r="BM28140" s="1025"/>
      <c r="BO28140" s="43"/>
    </row>
    <row r="28141" spans="65:67" ht="18.75" customHeight="1">
      <c r="BM28141" s="1025"/>
      <c r="BO28141" s="43"/>
    </row>
    <row r="28142" spans="65:67" ht="18.75" customHeight="1">
      <c r="BM28142" s="1025"/>
      <c r="BO28142" s="43"/>
    </row>
    <row r="28143" spans="65:67" ht="18.75" customHeight="1">
      <c r="BM28143" s="1025"/>
      <c r="BO28143" s="43"/>
    </row>
    <row r="28144" spans="65:67" ht="18.75" customHeight="1">
      <c r="BM28144" s="1025"/>
      <c r="BO28144" s="43"/>
    </row>
    <row r="28145" spans="65:67" ht="18.75" customHeight="1">
      <c r="BM28145" s="1025"/>
      <c r="BO28145" s="43"/>
    </row>
    <row r="28146" spans="65:67" ht="18.75" customHeight="1">
      <c r="BM28146" s="1025"/>
      <c r="BO28146" s="43"/>
    </row>
    <row r="28147" spans="65:67" ht="18.75" customHeight="1">
      <c r="BM28147" s="1025"/>
      <c r="BO28147" s="43"/>
    </row>
    <row r="28148" spans="65:67" ht="18.75" customHeight="1">
      <c r="BM28148" s="1025"/>
      <c r="BO28148" s="43"/>
    </row>
    <row r="28149" spans="65:67" ht="18.75" customHeight="1">
      <c r="BM28149" s="1025"/>
      <c r="BO28149" s="43"/>
    </row>
    <row r="28150" spans="65:67" ht="18.75" customHeight="1">
      <c r="BM28150" s="1025"/>
      <c r="BO28150" s="43"/>
    </row>
    <row r="28151" spans="65:67" ht="18.75" customHeight="1">
      <c r="BM28151" s="1025"/>
      <c r="BO28151" s="43"/>
    </row>
    <row r="28152" spans="65:67" ht="18.75" customHeight="1">
      <c r="BM28152" s="1025"/>
      <c r="BO28152" s="43"/>
    </row>
    <row r="28153" spans="65:67" ht="18.75" customHeight="1">
      <c r="BM28153" s="1025"/>
      <c r="BO28153" s="43"/>
    </row>
    <row r="28154" spans="65:67" ht="18.75" customHeight="1">
      <c r="BM28154" s="1025"/>
      <c r="BO28154" s="43"/>
    </row>
    <row r="28155" spans="65:67" ht="18.75" customHeight="1">
      <c r="BM28155" s="1025"/>
      <c r="BO28155" s="43"/>
    </row>
    <row r="28156" spans="65:67" ht="18.75" customHeight="1">
      <c r="BM28156" s="1025"/>
      <c r="BO28156" s="43"/>
    </row>
    <row r="28157" spans="65:67" ht="18.75" customHeight="1">
      <c r="BM28157" s="1025"/>
      <c r="BO28157" s="43"/>
    </row>
    <row r="28158" spans="65:67" ht="18.75" customHeight="1">
      <c r="BM28158" s="1025"/>
      <c r="BO28158" s="43"/>
    </row>
    <row r="28159" spans="65:67" ht="18.75" customHeight="1">
      <c r="BM28159" s="1025"/>
      <c r="BO28159" s="43"/>
    </row>
    <row r="28160" spans="65:67" ht="18.75" customHeight="1">
      <c r="BM28160" s="1025"/>
      <c r="BO28160" s="43"/>
    </row>
    <row r="28161" spans="65:67" ht="18.75" customHeight="1">
      <c r="BM28161" s="1025"/>
      <c r="BO28161" s="43"/>
    </row>
    <row r="28162" spans="65:67" ht="18.75" customHeight="1">
      <c r="BM28162" s="1025"/>
      <c r="BO28162" s="43"/>
    </row>
    <row r="28163" spans="65:67" ht="18.75" customHeight="1">
      <c r="BM28163" s="1025"/>
      <c r="BO28163" s="43"/>
    </row>
    <row r="28164" spans="65:67" ht="18.75" customHeight="1">
      <c r="BM28164" s="1025"/>
      <c r="BO28164" s="43"/>
    </row>
    <row r="28165" spans="65:67" ht="18.75" customHeight="1">
      <c r="BM28165" s="1025"/>
      <c r="BO28165" s="43"/>
    </row>
    <row r="28166" spans="65:67" ht="18.75" customHeight="1">
      <c r="BM28166" s="1025"/>
      <c r="BO28166" s="43"/>
    </row>
    <row r="28167" spans="65:67" ht="18.75" customHeight="1">
      <c r="BM28167" s="1025"/>
      <c r="BO28167" s="43"/>
    </row>
    <row r="28168" spans="65:67" ht="18.75" customHeight="1">
      <c r="BM28168" s="1025"/>
      <c r="BO28168" s="43"/>
    </row>
    <row r="28169" spans="65:67" ht="18.75" customHeight="1">
      <c r="BM28169" s="1025"/>
      <c r="BO28169" s="43"/>
    </row>
    <row r="28170" spans="65:67" ht="18.75" customHeight="1">
      <c r="BM28170" s="1025"/>
      <c r="BO28170" s="43"/>
    </row>
    <row r="28171" spans="65:67" ht="18.75" customHeight="1">
      <c r="BM28171" s="1025"/>
      <c r="BO28171" s="43"/>
    </row>
    <row r="28172" spans="65:67" ht="18.75" customHeight="1">
      <c r="BM28172" s="1025"/>
      <c r="BO28172" s="43"/>
    </row>
    <row r="28173" spans="65:67" ht="18.75" customHeight="1">
      <c r="BM28173" s="1025"/>
      <c r="BO28173" s="43"/>
    </row>
    <row r="28174" spans="65:67" ht="18.75" customHeight="1">
      <c r="BM28174" s="1025"/>
      <c r="BO28174" s="43"/>
    </row>
    <row r="28175" spans="65:67" ht="18.75" customHeight="1">
      <c r="BM28175" s="1025"/>
      <c r="BO28175" s="43"/>
    </row>
    <row r="28176" spans="65:67" ht="18.75" customHeight="1">
      <c r="BM28176" s="1025"/>
      <c r="BO28176" s="43"/>
    </row>
    <row r="28177" spans="65:67" ht="18.75" customHeight="1">
      <c r="BM28177" s="1025"/>
      <c r="BO28177" s="43"/>
    </row>
    <row r="28178" spans="65:67" ht="18.75" customHeight="1">
      <c r="BM28178" s="1025"/>
      <c r="BO28178" s="43"/>
    </row>
    <row r="28179" spans="65:67" ht="18.75" customHeight="1">
      <c r="BM28179" s="1025"/>
      <c r="BO28179" s="43"/>
    </row>
    <row r="28180" spans="65:67" ht="18.75" customHeight="1">
      <c r="BM28180" s="1025"/>
      <c r="BO28180" s="43"/>
    </row>
    <row r="28181" spans="65:67" ht="18.75" customHeight="1">
      <c r="BM28181" s="1025"/>
      <c r="BO28181" s="43"/>
    </row>
    <row r="28182" spans="65:67" ht="18.75" customHeight="1">
      <c r="BM28182" s="1025"/>
      <c r="BO28182" s="43"/>
    </row>
    <row r="28183" spans="65:67" ht="18.75" customHeight="1">
      <c r="BM28183" s="1025"/>
      <c r="BO28183" s="43"/>
    </row>
    <row r="28184" spans="65:67" ht="18.75" customHeight="1">
      <c r="BM28184" s="1025"/>
      <c r="BO28184" s="43"/>
    </row>
    <row r="28185" spans="65:67" ht="18.75" customHeight="1">
      <c r="BM28185" s="1025"/>
      <c r="BO28185" s="43"/>
    </row>
    <row r="28186" spans="65:67" ht="18.75" customHeight="1">
      <c r="BM28186" s="1025"/>
      <c r="BO28186" s="43"/>
    </row>
    <row r="28187" spans="65:67" ht="18.75" customHeight="1">
      <c r="BM28187" s="1025"/>
      <c r="BO28187" s="43"/>
    </row>
    <row r="28188" spans="65:67" ht="18.75" customHeight="1">
      <c r="BM28188" s="1025"/>
      <c r="BO28188" s="43"/>
    </row>
    <row r="28189" spans="65:67" ht="18.75" customHeight="1">
      <c r="BM28189" s="1025"/>
      <c r="BO28189" s="43"/>
    </row>
    <row r="28190" spans="65:67" ht="18.75" customHeight="1">
      <c r="BM28190" s="1025"/>
      <c r="BO28190" s="43"/>
    </row>
    <row r="28191" spans="65:67" ht="18.75" customHeight="1">
      <c r="BM28191" s="1025"/>
      <c r="BO28191" s="43"/>
    </row>
    <row r="28192" spans="65:67" ht="18.75" customHeight="1">
      <c r="BM28192" s="1025"/>
      <c r="BO28192" s="43"/>
    </row>
    <row r="28193" spans="65:67" ht="18.75" customHeight="1">
      <c r="BM28193" s="1025"/>
      <c r="BO28193" s="43"/>
    </row>
    <row r="28194" spans="65:67" ht="18.75" customHeight="1">
      <c r="BM28194" s="1025"/>
      <c r="BO28194" s="43"/>
    </row>
    <row r="28195" spans="65:67" ht="18.75" customHeight="1">
      <c r="BM28195" s="1025"/>
      <c r="BO28195" s="43"/>
    </row>
    <row r="28196" spans="65:67" ht="18.75" customHeight="1">
      <c r="BM28196" s="1025"/>
      <c r="BO28196" s="43"/>
    </row>
    <row r="28197" spans="65:67" ht="18.75" customHeight="1">
      <c r="BM28197" s="1025"/>
      <c r="BO28197" s="43"/>
    </row>
    <row r="28198" spans="65:67" ht="18.75" customHeight="1">
      <c r="BM28198" s="1025"/>
      <c r="BO28198" s="43"/>
    </row>
    <row r="28199" spans="65:67" ht="18.75" customHeight="1">
      <c r="BM28199" s="1025"/>
      <c r="BO28199" s="43"/>
    </row>
    <row r="28200" spans="65:67" ht="18.75" customHeight="1">
      <c r="BM28200" s="1025"/>
      <c r="BO28200" s="43"/>
    </row>
    <row r="28201" spans="65:67" ht="18.75" customHeight="1">
      <c r="BM28201" s="1025"/>
      <c r="BO28201" s="43"/>
    </row>
    <row r="28202" spans="65:67" ht="18.75" customHeight="1">
      <c r="BM28202" s="1025"/>
      <c r="BO28202" s="43"/>
    </row>
    <row r="28203" spans="65:67" ht="18.75" customHeight="1">
      <c r="BM28203" s="1025"/>
      <c r="BO28203" s="43"/>
    </row>
    <row r="28204" spans="65:67" ht="18.75" customHeight="1">
      <c r="BM28204" s="1025"/>
      <c r="BO28204" s="43"/>
    </row>
    <row r="28205" spans="65:67" ht="18.75" customHeight="1">
      <c r="BM28205" s="1025"/>
      <c r="BO28205" s="43"/>
    </row>
    <row r="28206" spans="65:67" ht="18.75" customHeight="1">
      <c r="BM28206" s="1025"/>
      <c r="BO28206" s="43"/>
    </row>
    <row r="28207" spans="65:67" ht="18.75" customHeight="1">
      <c r="BM28207" s="1025"/>
      <c r="BO28207" s="43"/>
    </row>
    <row r="28208" spans="65:67" ht="18.75" customHeight="1">
      <c r="BM28208" s="1025"/>
      <c r="BO28208" s="43"/>
    </row>
    <row r="28209" spans="65:67" ht="18.75" customHeight="1">
      <c r="BM28209" s="1025"/>
      <c r="BO28209" s="43"/>
    </row>
    <row r="28210" spans="65:67" ht="18.75" customHeight="1">
      <c r="BM28210" s="1025"/>
      <c r="BO28210" s="43"/>
    </row>
    <row r="28211" spans="65:67" ht="18.75" customHeight="1">
      <c r="BM28211" s="1025"/>
      <c r="BO28211" s="43"/>
    </row>
    <row r="28212" spans="65:67" ht="18.75" customHeight="1">
      <c r="BM28212" s="1025"/>
      <c r="BO28212" s="43"/>
    </row>
    <row r="28213" spans="65:67" ht="18.75" customHeight="1">
      <c r="BM28213" s="1025"/>
      <c r="BO28213" s="43"/>
    </row>
    <row r="28214" spans="65:67" ht="18.75" customHeight="1">
      <c r="BM28214" s="1025"/>
      <c r="BO28214" s="43"/>
    </row>
    <row r="28215" spans="65:67" ht="18.75" customHeight="1">
      <c r="BM28215" s="1025"/>
      <c r="BO28215" s="43"/>
    </row>
    <row r="28216" spans="65:67" ht="18.75" customHeight="1">
      <c r="BM28216" s="1025"/>
      <c r="BO28216" s="43"/>
    </row>
    <row r="28217" spans="65:67" ht="18.75" customHeight="1">
      <c r="BM28217" s="1025"/>
      <c r="BO28217" s="43"/>
    </row>
    <row r="28218" spans="65:67" ht="18.75" customHeight="1">
      <c r="BM28218" s="1025"/>
      <c r="BO28218" s="43"/>
    </row>
    <row r="28219" spans="65:67" ht="18.75" customHeight="1">
      <c r="BM28219" s="1025"/>
      <c r="BO28219" s="43"/>
    </row>
    <row r="28220" spans="65:67" ht="18.75" customHeight="1">
      <c r="BM28220" s="1025"/>
      <c r="BO28220" s="43"/>
    </row>
    <row r="28221" spans="65:67" ht="18.75" customHeight="1">
      <c r="BM28221" s="1025"/>
      <c r="BO28221" s="43"/>
    </row>
    <row r="28222" spans="65:67" ht="18.75" customHeight="1">
      <c r="BM28222" s="1025"/>
      <c r="BO28222" s="43"/>
    </row>
    <row r="28223" spans="65:67" ht="18.75" customHeight="1">
      <c r="BM28223" s="1025"/>
      <c r="BO28223" s="43"/>
    </row>
    <row r="28224" spans="65:67" ht="18.75" customHeight="1">
      <c r="BM28224" s="1025"/>
      <c r="BO28224" s="43"/>
    </row>
    <row r="28225" spans="65:67" ht="18.75" customHeight="1">
      <c r="BM28225" s="1025"/>
      <c r="BO28225" s="43"/>
    </row>
    <row r="28226" spans="65:67" ht="18.75" customHeight="1">
      <c r="BM28226" s="1025"/>
      <c r="BO28226" s="43"/>
    </row>
    <row r="28227" spans="65:67" ht="18.75" customHeight="1">
      <c r="BM28227" s="1025"/>
      <c r="BO28227" s="43"/>
    </row>
    <row r="28228" spans="65:67" ht="18.75" customHeight="1">
      <c r="BM28228" s="1025"/>
      <c r="BO28228" s="43"/>
    </row>
    <row r="28229" spans="65:67" ht="18.75" customHeight="1">
      <c r="BM28229" s="1025"/>
      <c r="BO28229" s="43"/>
    </row>
    <row r="28230" spans="65:67" ht="18.75" customHeight="1">
      <c r="BM28230" s="1025"/>
      <c r="BO28230" s="43"/>
    </row>
    <row r="28231" spans="65:67" ht="18.75" customHeight="1">
      <c r="BM28231" s="1025"/>
      <c r="BO28231" s="43"/>
    </row>
    <row r="28232" spans="65:67" ht="18.75" customHeight="1">
      <c r="BM28232" s="1025"/>
      <c r="BO28232" s="43"/>
    </row>
    <row r="28233" spans="65:67" ht="18.75" customHeight="1">
      <c r="BM28233" s="1025"/>
      <c r="BO28233" s="43"/>
    </row>
    <row r="28234" spans="65:67" ht="18.75" customHeight="1">
      <c r="BM28234" s="1025"/>
      <c r="BO28234" s="43"/>
    </row>
    <row r="28235" spans="65:67" ht="18.75" customHeight="1">
      <c r="BM28235" s="1025"/>
      <c r="BO28235" s="43"/>
    </row>
    <row r="28236" spans="65:67" ht="18.75" customHeight="1">
      <c r="BM28236" s="1025"/>
      <c r="BO28236" s="43"/>
    </row>
    <row r="28237" spans="65:67" ht="18.75" customHeight="1">
      <c r="BM28237" s="1025"/>
      <c r="BO28237" s="43"/>
    </row>
    <row r="28238" spans="65:67" ht="18.75" customHeight="1">
      <c r="BM28238" s="1025"/>
      <c r="BO28238" s="43"/>
    </row>
    <row r="28239" spans="65:67" ht="18.75" customHeight="1">
      <c r="BM28239" s="1025"/>
      <c r="BO28239" s="43"/>
    </row>
    <row r="28240" spans="65:67" ht="18.75" customHeight="1">
      <c r="BM28240" s="1025"/>
      <c r="BO28240" s="43"/>
    </row>
    <row r="28241" spans="65:67" ht="18.75" customHeight="1">
      <c r="BM28241" s="1025"/>
      <c r="BO28241" s="43"/>
    </row>
    <row r="28242" spans="65:67" ht="18.75" customHeight="1">
      <c r="BM28242" s="1025"/>
      <c r="BO28242" s="43"/>
    </row>
    <row r="28243" spans="65:67" ht="18.75" customHeight="1">
      <c r="BM28243" s="1025"/>
      <c r="BO28243" s="43"/>
    </row>
    <row r="28244" spans="65:67" ht="18.75" customHeight="1">
      <c r="BM28244" s="1025"/>
      <c r="BO28244" s="43"/>
    </row>
    <row r="28245" spans="65:67" ht="18.75" customHeight="1">
      <c r="BM28245" s="1025"/>
      <c r="BO28245" s="43"/>
    </row>
    <row r="28246" spans="65:67" ht="18.75" customHeight="1">
      <c r="BM28246" s="1025"/>
      <c r="BO28246" s="43"/>
    </row>
    <row r="28247" spans="65:67" ht="18.75" customHeight="1">
      <c r="BM28247" s="1025"/>
      <c r="BO28247" s="43"/>
    </row>
    <row r="28248" spans="65:67" ht="18.75" customHeight="1">
      <c r="BM28248" s="1025"/>
      <c r="BO28248" s="43"/>
    </row>
    <row r="28249" spans="65:67" ht="18.75" customHeight="1">
      <c r="BM28249" s="1025"/>
      <c r="BO28249" s="43"/>
    </row>
    <row r="28250" spans="65:67" ht="18.75" customHeight="1">
      <c r="BM28250" s="1025"/>
      <c r="BO28250" s="43"/>
    </row>
    <row r="28251" spans="65:67" ht="18.75" customHeight="1">
      <c r="BM28251" s="1025"/>
      <c r="BO28251" s="43"/>
    </row>
    <row r="28252" spans="65:67" ht="18.75" customHeight="1">
      <c r="BM28252" s="1025"/>
      <c r="BO28252" s="43"/>
    </row>
    <row r="28253" spans="65:67" ht="18.75" customHeight="1">
      <c r="BM28253" s="1025"/>
      <c r="BO28253" s="43"/>
    </row>
    <row r="28254" spans="65:67" ht="18.75" customHeight="1">
      <c r="BM28254" s="1025"/>
      <c r="BO28254" s="43"/>
    </row>
    <row r="28255" spans="65:67" ht="18.75" customHeight="1">
      <c r="BM28255" s="1025"/>
      <c r="BO28255" s="43"/>
    </row>
    <row r="28256" spans="65:67" ht="18.75" customHeight="1">
      <c r="BM28256" s="1025"/>
      <c r="BO28256" s="43"/>
    </row>
    <row r="28257" spans="65:67" ht="18.75" customHeight="1">
      <c r="BM28257" s="1025"/>
      <c r="BO28257" s="43"/>
    </row>
    <row r="28258" spans="65:67" ht="18.75" customHeight="1">
      <c r="BM28258" s="1025"/>
      <c r="BO28258" s="43"/>
    </row>
    <row r="28259" spans="65:67" ht="18.75" customHeight="1">
      <c r="BM28259" s="1025"/>
      <c r="BO28259" s="43"/>
    </row>
    <row r="28260" spans="65:67" ht="18.75" customHeight="1">
      <c r="BM28260" s="1025"/>
      <c r="BO28260" s="43"/>
    </row>
    <row r="28261" spans="65:67" ht="18.75" customHeight="1">
      <c r="BM28261" s="1025"/>
      <c r="BO28261" s="43"/>
    </row>
    <row r="28262" spans="65:67" ht="18.75" customHeight="1">
      <c r="BM28262" s="1025"/>
      <c r="BO28262" s="43"/>
    </row>
    <row r="28263" spans="65:67" ht="18.75" customHeight="1">
      <c r="BM28263" s="1025"/>
      <c r="BO28263" s="43"/>
    </row>
    <row r="28264" spans="65:67" ht="18.75" customHeight="1">
      <c r="BM28264" s="1025"/>
      <c r="BO28264" s="43"/>
    </row>
    <row r="28265" spans="65:67" ht="18.75" customHeight="1">
      <c r="BM28265" s="1025"/>
      <c r="BO28265" s="43"/>
    </row>
    <row r="28266" spans="65:67" ht="18.75" customHeight="1">
      <c r="BM28266" s="1025"/>
      <c r="BO28266" s="43"/>
    </row>
    <row r="28267" spans="65:67" ht="18.75" customHeight="1">
      <c r="BM28267" s="1025"/>
      <c r="BO28267" s="43"/>
    </row>
    <row r="28268" spans="65:67" ht="18.75" customHeight="1">
      <c r="BM28268" s="1025"/>
      <c r="BO28268" s="43"/>
    </row>
    <row r="28269" spans="65:67" ht="18.75" customHeight="1">
      <c r="BM28269" s="1025"/>
      <c r="BO28269" s="43"/>
    </row>
    <row r="28270" spans="65:67" ht="18.75" customHeight="1">
      <c r="BM28270" s="1025"/>
      <c r="BO28270" s="43"/>
    </row>
    <row r="28271" spans="65:67" ht="18.75" customHeight="1">
      <c r="BM28271" s="1025"/>
      <c r="BO28271" s="43"/>
    </row>
    <row r="28272" spans="65:67" ht="18.75" customHeight="1">
      <c r="BM28272" s="1025"/>
      <c r="BO28272" s="43"/>
    </row>
    <row r="28273" spans="65:67" ht="18.75" customHeight="1">
      <c r="BM28273" s="1025"/>
      <c r="BO28273" s="43"/>
    </row>
    <row r="28274" spans="65:67" ht="18.75" customHeight="1">
      <c r="BM28274" s="1025"/>
      <c r="BO28274" s="43"/>
    </row>
    <row r="28275" spans="65:67" ht="18.75" customHeight="1">
      <c r="BM28275" s="1025"/>
      <c r="BO28275" s="43"/>
    </row>
    <row r="28276" spans="65:67" ht="18.75" customHeight="1">
      <c r="BM28276" s="1025"/>
      <c r="BO28276" s="43"/>
    </row>
    <row r="28277" spans="65:67" ht="18.75" customHeight="1">
      <c r="BM28277" s="1025"/>
      <c r="BO28277" s="43"/>
    </row>
    <row r="28278" spans="65:67" ht="18.75" customHeight="1">
      <c r="BM28278" s="1025"/>
      <c r="BO28278" s="43"/>
    </row>
    <row r="28279" spans="65:67" ht="18.75" customHeight="1">
      <c r="BM28279" s="1025"/>
      <c r="BO28279" s="43"/>
    </row>
    <row r="28280" spans="65:67" ht="18.75" customHeight="1">
      <c r="BM28280" s="1025"/>
      <c r="BO28280" s="43"/>
    </row>
    <row r="28281" spans="65:67" ht="18.75" customHeight="1">
      <c r="BM28281" s="1025"/>
      <c r="BO28281" s="43"/>
    </row>
    <row r="28282" spans="65:67" ht="18.75" customHeight="1">
      <c r="BM28282" s="1025"/>
      <c r="BO28282" s="43"/>
    </row>
    <row r="28283" spans="65:67" ht="18.75" customHeight="1">
      <c r="BM28283" s="1025"/>
      <c r="BO28283" s="43"/>
    </row>
    <row r="28284" spans="65:67" ht="18.75" customHeight="1">
      <c r="BM28284" s="1025"/>
      <c r="BO28284" s="43"/>
    </row>
    <row r="28285" spans="65:67" ht="18.75" customHeight="1">
      <c r="BM28285" s="1025"/>
      <c r="BO28285" s="43"/>
    </row>
    <row r="28286" spans="65:67" ht="18.75" customHeight="1">
      <c r="BM28286" s="1025"/>
      <c r="BO28286" s="43"/>
    </row>
    <row r="28287" spans="65:67" ht="18.75" customHeight="1">
      <c r="BM28287" s="1025"/>
      <c r="BO28287" s="43"/>
    </row>
    <row r="28288" spans="65:67" ht="18.75" customHeight="1">
      <c r="BM28288" s="1025"/>
      <c r="BO28288" s="43"/>
    </row>
    <row r="28289" spans="65:67" ht="18.75" customHeight="1">
      <c r="BM28289" s="1025"/>
      <c r="BO28289" s="43"/>
    </row>
    <row r="28290" spans="65:67" ht="18.75" customHeight="1">
      <c r="BM28290" s="1025"/>
      <c r="BO28290" s="43"/>
    </row>
    <row r="28291" spans="65:67" ht="18.75" customHeight="1">
      <c r="BM28291" s="1025"/>
      <c r="BO28291" s="43"/>
    </row>
    <row r="28292" spans="65:67" ht="18.75" customHeight="1">
      <c r="BM28292" s="1025"/>
      <c r="BO28292" s="43"/>
    </row>
    <row r="28293" spans="65:67" ht="18.75" customHeight="1">
      <c r="BM28293" s="1025"/>
      <c r="BO28293" s="43"/>
    </row>
    <row r="28294" spans="65:67" ht="18.75" customHeight="1">
      <c r="BM28294" s="1025"/>
      <c r="BO28294" s="43"/>
    </row>
    <row r="28295" spans="65:67" ht="18.75" customHeight="1">
      <c r="BM28295" s="1025"/>
      <c r="BO28295" s="43"/>
    </row>
    <row r="28296" spans="65:67" ht="18.75" customHeight="1">
      <c r="BM28296" s="1025"/>
      <c r="BO28296" s="43"/>
    </row>
    <row r="28297" spans="65:67" ht="18.75" customHeight="1">
      <c r="BM28297" s="1025"/>
      <c r="BO28297" s="43"/>
    </row>
    <row r="28298" spans="65:67" ht="18.75" customHeight="1">
      <c r="BM28298" s="1025"/>
      <c r="BO28298" s="43"/>
    </row>
    <row r="28299" spans="65:67" ht="18.75" customHeight="1">
      <c r="BM28299" s="1025"/>
      <c r="BO28299" s="43"/>
    </row>
    <row r="28300" spans="65:67" ht="18.75" customHeight="1">
      <c r="BM28300" s="1025"/>
      <c r="BO28300" s="43"/>
    </row>
    <row r="28301" spans="65:67" ht="18.75" customHeight="1">
      <c r="BM28301" s="1025"/>
      <c r="BO28301" s="43"/>
    </row>
    <row r="28302" spans="65:67" ht="18.75" customHeight="1">
      <c r="BM28302" s="1025"/>
      <c r="BO28302" s="43"/>
    </row>
    <row r="28303" spans="65:67" ht="18.75" customHeight="1">
      <c r="BM28303" s="1025"/>
      <c r="BO28303" s="43"/>
    </row>
    <row r="28304" spans="65:67" ht="18.75" customHeight="1">
      <c r="BM28304" s="1025"/>
      <c r="BO28304" s="43"/>
    </row>
    <row r="28305" spans="65:67" ht="18.75" customHeight="1">
      <c r="BM28305" s="1025"/>
      <c r="BO28305" s="43"/>
    </row>
    <row r="28306" spans="65:67" ht="18.75" customHeight="1">
      <c r="BM28306" s="1025"/>
      <c r="BO28306" s="43"/>
    </row>
    <row r="28307" spans="65:67" ht="18.75" customHeight="1">
      <c r="BM28307" s="1025"/>
      <c r="BO28307" s="43"/>
    </row>
    <row r="28308" spans="65:67" ht="18.75" customHeight="1">
      <c r="BM28308" s="1025"/>
      <c r="BO28308" s="43"/>
    </row>
    <row r="28309" spans="65:67" ht="18.75" customHeight="1">
      <c r="BM28309" s="1025"/>
      <c r="BO28309" s="43"/>
    </row>
    <row r="28310" spans="65:67" ht="18.75" customHeight="1">
      <c r="BM28310" s="1025"/>
      <c r="BO28310" s="43"/>
    </row>
    <row r="28311" spans="65:67" ht="18.75" customHeight="1">
      <c r="BM28311" s="1025"/>
      <c r="BO28311" s="43"/>
    </row>
    <row r="28312" spans="65:67" ht="18.75" customHeight="1">
      <c r="BM28312" s="1025"/>
      <c r="BO28312" s="43"/>
    </row>
    <row r="28313" spans="65:67" ht="18.75" customHeight="1">
      <c r="BM28313" s="1025"/>
      <c r="BO28313" s="43"/>
    </row>
    <row r="28314" spans="65:67" ht="18.75" customHeight="1">
      <c r="BM28314" s="1025"/>
      <c r="BO28314" s="43"/>
    </row>
    <row r="28315" spans="65:67" ht="18.75" customHeight="1">
      <c r="BM28315" s="1025"/>
      <c r="BO28315" s="43"/>
    </row>
    <row r="28316" spans="65:67" ht="18.75" customHeight="1">
      <c r="BM28316" s="1025"/>
      <c r="BO28316" s="43"/>
    </row>
    <row r="28317" spans="65:67" ht="18.75" customHeight="1">
      <c r="BM28317" s="1025"/>
      <c r="BO28317" s="43"/>
    </row>
    <row r="28318" spans="65:67" ht="18.75" customHeight="1">
      <c r="BM28318" s="1025"/>
      <c r="BO28318" s="43"/>
    </row>
    <row r="28319" spans="65:67" ht="18.75" customHeight="1">
      <c r="BM28319" s="1025"/>
      <c r="BO28319" s="43"/>
    </row>
    <row r="28320" spans="65:67" ht="18.75" customHeight="1">
      <c r="BM28320" s="1025"/>
      <c r="BO28320" s="43"/>
    </row>
    <row r="28321" spans="65:67" ht="18.75" customHeight="1">
      <c r="BM28321" s="1025"/>
      <c r="BO28321" s="43"/>
    </row>
    <row r="28322" spans="65:67" ht="18.75" customHeight="1">
      <c r="BM28322" s="1025"/>
      <c r="BO28322" s="43"/>
    </row>
    <row r="28323" spans="65:67" ht="18.75" customHeight="1">
      <c r="BM28323" s="1025"/>
      <c r="BO28323" s="43"/>
    </row>
    <row r="28324" spans="65:67" ht="18.75" customHeight="1">
      <c r="BM28324" s="1025"/>
      <c r="BO28324" s="43"/>
    </row>
    <row r="28325" spans="65:67" ht="18.75" customHeight="1">
      <c r="BM28325" s="1025"/>
      <c r="BO28325" s="43"/>
    </row>
    <row r="28326" spans="65:67" ht="18.75" customHeight="1">
      <c r="BM28326" s="1025"/>
      <c r="BO28326" s="43"/>
    </row>
    <row r="28327" spans="65:67" ht="18.75" customHeight="1">
      <c r="BM28327" s="1025"/>
      <c r="BO28327" s="43"/>
    </row>
    <row r="28328" spans="65:67" ht="18.75" customHeight="1">
      <c r="BM28328" s="1025"/>
      <c r="BO28328" s="43"/>
    </row>
    <row r="28329" spans="65:67" ht="18.75" customHeight="1">
      <c r="BM28329" s="1025"/>
      <c r="BO28329" s="43"/>
    </row>
    <row r="28330" spans="65:67" ht="18.75" customHeight="1">
      <c r="BM28330" s="1025"/>
      <c r="BO28330" s="43"/>
    </row>
    <row r="28331" spans="65:67" ht="18.75" customHeight="1">
      <c r="BM28331" s="1025"/>
      <c r="BO28331" s="43"/>
    </row>
    <row r="28332" spans="65:67" ht="18.75" customHeight="1">
      <c r="BM28332" s="1025"/>
      <c r="BO28332" s="43"/>
    </row>
    <row r="28333" spans="65:67" ht="18.75" customHeight="1">
      <c r="BM28333" s="1025"/>
      <c r="BO28333" s="43"/>
    </row>
    <row r="28334" spans="65:67" ht="18.75" customHeight="1">
      <c r="BM28334" s="1025"/>
      <c r="BO28334" s="43"/>
    </row>
    <row r="28335" spans="65:67" ht="18.75" customHeight="1">
      <c r="BM28335" s="1025"/>
      <c r="BO28335" s="43"/>
    </row>
    <row r="28336" spans="65:67" ht="18.75" customHeight="1">
      <c r="BM28336" s="1025"/>
      <c r="BO28336" s="43"/>
    </row>
    <row r="28337" spans="65:67" ht="18.75" customHeight="1">
      <c r="BM28337" s="1025"/>
      <c r="BO28337" s="43"/>
    </row>
    <row r="28338" spans="65:67" ht="18.75" customHeight="1">
      <c r="BM28338" s="1025"/>
      <c r="BO28338" s="43"/>
    </row>
    <row r="28339" spans="65:67" ht="18.75" customHeight="1">
      <c r="BM28339" s="1025"/>
      <c r="BO28339" s="43"/>
    </row>
    <row r="28340" spans="65:67" ht="18.75" customHeight="1">
      <c r="BM28340" s="1025"/>
      <c r="BO28340" s="43"/>
    </row>
    <row r="28341" spans="65:67" ht="18.75" customHeight="1">
      <c r="BM28341" s="1025"/>
      <c r="BO28341" s="43"/>
    </row>
    <row r="28342" spans="65:67" ht="18.75" customHeight="1">
      <c r="BM28342" s="1025"/>
      <c r="BO28342" s="43"/>
    </row>
    <row r="28343" spans="65:67" ht="18.75" customHeight="1">
      <c r="BM28343" s="1025"/>
      <c r="BO28343" s="43"/>
    </row>
    <row r="28344" spans="65:67" ht="18.75" customHeight="1">
      <c r="BM28344" s="1025"/>
      <c r="BO28344" s="43"/>
    </row>
    <row r="28345" spans="65:67" ht="18.75" customHeight="1">
      <c r="BM28345" s="1025"/>
      <c r="BO28345" s="43"/>
    </row>
    <row r="28346" spans="65:67" ht="18.75" customHeight="1">
      <c r="BM28346" s="1025"/>
      <c r="BO28346" s="43"/>
    </row>
    <row r="28347" spans="65:67" ht="18.75" customHeight="1">
      <c r="BM28347" s="1025"/>
      <c r="BO28347" s="43"/>
    </row>
    <row r="28348" spans="65:67" ht="18.75" customHeight="1">
      <c r="BM28348" s="1025"/>
      <c r="BO28348" s="43"/>
    </row>
    <row r="28349" spans="65:67" ht="18.75" customHeight="1">
      <c r="BM28349" s="1025"/>
      <c r="BO28349" s="43"/>
    </row>
    <row r="28350" spans="65:67" ht="18.75" customHeight="1">
      <c r="BM28350" s="1025"/>
      <c r="BO28350" s="43"/>
    </row>
    <row r="28351" spans="65:67" ht="18.75" customHeight="1">
      <c r="BM28351" s="1025"/>
      <c r="BO28351" s="43"/>
    </row>
    <row r="28352" spans="65:67" ht="18.75" customHeight="1">
      <c r="BM28352" s="1025"/>
      <c r="BO28352" s="43"/>
    </row>
    <row r="28353" spans="65:67" ht="18.75" customHeight="1">
      <c r="BM28353" s="1025"/>
      <c r="BO28353" s="43"/>
    </row>
    <row r="28354" spans="65:67" ht="18.75" customHeight="1">
      <c r="BM28354" s="1025"/>
      <c r="BO28354" s="43"/>
    </row>
    <row r="28355" spans="65:67" ht="18.75" customHeight="1">
      <c r="BM28355" s="1025"/>
      <c r="BO28355" s="43"/>
    </row>
    <row r="28356" spans="65:67" ht="18.75" customHeight="1">
      <c r="BM28356" s="1025"/>
      <c r="BO28356" s="43"/>
    </row>
    <row r="28357" spans="65:67" ht="18.75" customHeight="1">
      <c r="BM28357" s="1025"/>
      <c r="BO28357" s="43"/>
    </row>
    <row r="28358" spans="65:67" ht="18.75" customHeight="1">
      <c r="BM28358" s="1025"/>
      <c r="BO28358" s="43"/>
    </row>
    <row r="28359" spans="65:67" ht="18.75" customHeight="1">
      <c r="BM28359" s="1025"/>
      <c r="BO28359" s="43"/>
    </row>
    <row r="28360" spans="65:67" ht="18.75" customHeight="1">
      <c r="BM28360" s="1025"/>
      <c r="BO28360" s="43"/>
    </row>
    <row r="28361" spans="65:67" ht="18.75" customHeight="1">
      <c r="BM28361" s="1025"/>
      <c r="BO28361" s="43"/>
    </row>
    <row r="28362" spans="65:67" ht="18.75" customHeight="1">
      <c r="BM28362" s="1025"/>
      <c r="BO28362" s="43"/>
    </row>
    <row r="28363" spans="65:67" ht="18.75" customHeight="1">
      <c r="BM28363" s="1025"/>
      <c r="BO28363" s="43"/>
    </row>
    <row r="28364" spans="65:67" ht="18.75" customHeight="1">
      <c r="BM28364" s="1025"/>
      <c r="BO28364" s="43"/>
    </row>
    <row r="28365" spans="65:67" ht="18.75" customHeight="1">
      <c r="BM28365" s="1025"/>
      <c r="BO28365" s="43"/>
    </row>
    <row r="28366" spans="65:67" ht="18.75" customHeight="1">
      <c r="BM28366" s="1025"/>
      <c r="BO28366" s="43"/>
    </row>
    <row r="28367" spans="65:67" ht="18.75" customHeight="1">
      <c r="BM28367" s="1025"/>
      <c r="BO28367" s="43"/>
    </row>
    <row r="28368" spans="65:67" ht="18.75" customHeight="1">
      <c r="BM28368" s="1025"/>
      <c r="BO28368" s="43"/>
    </row>
    <row r="28369" spans="65:67" ht="18.75" customHeight="1">
      <c r="BM28369" s="1025"/>
      <c r="BO28369" s="43"/>
    </row>
    <row r="28370" spans="65:67" ht="18.75" customHeight="1">
      <c r="BM28370" s="1025"/>
      <c r="BO28370" s="43"/>
    </row>
    <row r="28371" spans="65:67" ht="18.75" customHeight="1">
      <c r="BM28371" s="1025"/>
      <c r="BO28371" s="43"/>
    </row>
    <row r="28372" spans="65:67" ht="18.75" customHeight="1">
      <c r="BM28372" s="1025"/>
      <c r="BO28372" s="43"/>
    </row>
    <row r="28373" spans="65:67" ht="18.75" customHeight="1">
      <c r="BM28373" s="1025"/>
      <c r="BO28373" s="43"/>
    </row>
    <row r="28374" spans="65:67" ht="18.75" customHeight="1">
      <c r="BM28374" s="1025"/>
      <c r="BO28374" s="43"/>
    </row>
    <row r="28375" spans="65:67" ht="18.75" customHeight="1">
      <c r="BM28375" s="1025"/>
      <c r="BO28375" s="43"/>
    </row>
    <row r="28376" spans="65:67" ht="18.75" customHeight="1">
      <c r="BM28376" s="1025"/>
      <c r="BO28376" s="43"/>
    </row>
    <row r="28377" spans="65:67" ht="18.75" customHeight="1">
      <c r="BM28377" s="1025"/>
      <c r="BO28377" s="43"/>
    </row>
    <row r="28378" spans="65:67" ht="18.75" customHeight="1">
      <c r="BM28378" s="1025"/>
      <c r="BO28378" s="43"/>
    </row>
    <row r="28379" spans="65:67" ht="18.75" customHeight="1">
      <c r="BM28379" s="1025"/>
      <c r="BO28379" s="43"/>
    </row>
    <row r="28380" spans="65:67" ht="18.75" customHeight="1">
      <c r="BM28380" s="1025"/>
      <c r="BO28380" s="43"/>
    </row>
    <row r="28381" spans="65:67" ht="18.75" customHeight="1">
      <c r="BM28381" s="1025"/>
      <c r="BO28381" s="43"/>
    </row>
    <row r="28382" spans="65:67" ht="18.75" customHeight="1">
      <c r="BM28382" s="1025"/>
      <c r="BO28382" s="43"/>
    </row>
    <row r="28383" spans="65:67" ht="18.75" customHeight="1">
      <c r="BM28383" s="1025"/>
      <c r="BO28383" s="43"/>
    </row>
    <row r="28384" spans="65:67" ht="18.75" customHeight="1">
      <c r="BM28384" s="1025"/>
      <c r="BO28384" s="43"/>
    </row>
    <row r="28385" spans="65:67" ht="18.75" customHeight="1">
      <c r="BM28385" s="1025"/>
      <c r="BO28385" s="43"/>
    </row>
    <row r="28386" spans="65:67" ht="18.75" customHeight="1">
      <c r="BM28386" s="1025"/>
      <c r="BO28386" s="43"/>
    </row>
    <row r="28387" spans="65:67" ht="18.75" customHeight="1">
      <c r="BM28387" s="1025"/>
      <c r="BO28387" s="43"/>
    </row>
    <row r="28388" spans="65:67" ht="18.75" customHeight="1">
      <c r="BM28388" s="1025"/>
      <c r="BO28388" s="43"/>
    </row>
    <row r="28389" spans="65:67" ht="18.75" customHeight="1">
      <c r="BM28389" s="1025"/>
      <c r="BO28389" s="43"/>
    </row>
    <row r="28390" spans="65:67" ht="18.75" customHeight="1">
      <c r="BM28390" s="1025"/>
      <c r="BO28390" s="43"/>
    </row>
    <row r="28391" spans="65:67" ht="18.75" customHeight="1">
      <c r="BM28391" s="1025"/>
      <c r="BO28391" s="43"/>
    </row>
    <row r="28392" spans="65:67" ht="18.75" customHeight="1">
      <c r="BM28392" s="1025"/>
      <c r="BO28392" s="43"/>
    </row>
    <row r="28393" spans="65:67" ht="18.75" customHeight="1">
      <c r="BM28393" s="1025"/>
      <c r="BO28393" s="43"/>
    </row>
    <row r="28394" spans="65:67" ht="18.75" customHeight="1">
      <c r="BM28394" s="1025"/>
      <c r="BO28394" s="43"/>
    </row>
    <row r="28395" spans="65:67" ht="18.75" customHeight="1">
      <c r="BM28395" s="1025"/>
      <c r="BO28395" s="43"/>
    </row>
    <row r="28396" spans="65:67" ht="18.75" customHeight="1">
      <c r="BM28396" s="1025"/>
      <c r="BO28396" s="43"/>
    </row>
    <row r="28397" spans="65:67" ht="18.75" customHeight="1">
      <c r="BM28397" s="1025"/>
      <c r="BO28397" s="43"/>
    </row>
    <row r="28398" spans="65:67" ht="18.75" customHeight="1">
      <c r="BM28398" s="1025"/>
      <c r="BO28398" s="43"/>
    </row>
    <row r="28399" spans="65:67" ht="18.75" customHeight="1">
      <c r="BM28399" s="1025"/>
      <c r="BO28399" s="43"/>
    </row>
    <row r="28400" spans="65:67" ht="18.75" customHeight="1">
      <c r="BM28400" s="1025"/>
      <c r="BO28400" s="43"/>
    </row>
    <row r="28401" spans="65:67" ht="18.75" customHeight="1">
      <c r="BM28401" s="1025"/>
      <c r="BO28401" s="43"/>
    </row>
    <row r="28402" spans="65:67" ht="18.75" customHeight="1">
      <c r="BM28402" s="1025"/>
      <c r="BO28402" s="43"/>
    </row>
    <row r="28403" spans="65:67" ht="18.75" customHeight="1">
      <c r="BM28403" s="1025"/>
      <c r="BO28403" s="43"/>
    </row>
    <row r="28404" spans="65:67" ht="18.75" customHeight="1">
      <c r="BM28404" s="1025"/>
      <c r="BO28404" s="43"/>
    </row>
    <row r="28405" spans="65:67" ht="18.75" customHeight="1">
      <c r="BM28405" s="1025"/>
      <c r="BO28405" s="43"/>
    </row>
    <row r="28406" spans="65:67" ht="18.75" customHeight="1">
      <c r="BM28406" s="1025"/>
      <c r="BO28406" s="43"/>
    </row>
    <row r="28407" spans="65:67" ht="18.75" customHeight="1">
      <c r="BM28407" s="1025"/>
      <c r="BO28407" s="43"/>
    </row>
    <row r="28408" spans="65:67" ht="18.75" customHeight="1">
      <c r="BM28408" s="1025"/>
      <c r="BO28408" s="43"/>
    </row>
    <row r="28409" spans="65:67" ht="18.75" customHeight="1">
      <c r="BM28409" s="1025"/>
      <c r="BO28409" s="43"/>
    </row>
    <row r="28410" spans="65:67" ht="18.75" customHeight="1">
      <c r="BM28410" s="1025"/>
      <c r="BO28410" s="43"/>
    </row>
    <row r="28411" spans="65:67" ht="18.75" customHeight="1">
      <c r="BM28411" s="1025"/>
      <c r="BO28411" s="43"/>
    </row>
    <row r="28412" spans="65:67" ht="18.75" customHeight="1">
      <c r="BM28412" s="1025"/>
      <c r="BO28412" s="43"/>
    </row>
    <row r="28413" spans="65:67" ht="18.75" customHeight="1">
      <c r="BM28413" s="1025"/>
      <c r="BO28413" s="43"/>
    </row>
    <row r="28414" spans="65:67" ht="18.75" customHeight="1">
      <c r="BM28414" s="1025"/>
      <c r="BO28414" s="43"/>
    </row>
    <row r="28415" spans="65:67" ht="18.75" customHeight="1">
      <c r="BM28415" s="1025"/>
      <c r="BO28415" s="43"/>
    </row>
    <row r="28416" spans="65:67" ht="18.75" customHeight="1">
      <c r="BM28416" s="1025"/>
      <c r="BO28416" s="43"/>
    </row>
    <row r="28417" spans="65:67" ht="18.75" customHeight="1">
      <c r="BM28417" s="1025"/>
      <c r="BO28417" s="43"/>
    </row>
    <row r="28418" spans="65:67" ht="18.75" customHeight="1">
      <c r="BM28418" s="1025"/>
      <c r="BO28418" s="43"/>
    </row>
    <row r="28419" spans="65:67" ht="18.75" customHeight="1">
      <c r="BM28419" s="1025"/>
      <c r="BO28419" s="43"/>
    </row>
    <row r="28420" spans="65:67" ht="18.75" customHeight="1">
      <c r="BM28420" s="1025"/>
      <c r="BO28420" s="43"/>
    </row>
    <row r="28421" spans="65:67" ht="18.75" customHeight="1">
      <c r="BM28421" s="1025"/>
      <c r="BO28421" s="43"/>
    </row>
    <row r="28422" spans="65:67" ht="18.75" customHeight="1">
      <c r="BM28422" s="1025"/>
      <c r="BO28422" s="43"/>
    </row>
    <row r="28423" spans="65:67" ht="18.75" customHeight="1">
      <c r="BM28423" s="1025"/>
      <c r="BO28423" s="43"/>
    </row>
    <row r="28424" spans="65:67" ht="18.75" customHeight="1">
      <c r="BM28424" s="1025"/>
      <c r="BO28424" s="43"/>
    </row>
    <row r="28425" spans="65:67" ht="18.75" customHeight="1">
      <c r="BM28425" s="1025"/>
      <c r="BO28425" s="43"/>
    </row>
    <row r="28426" spans="65:67" ht="18.75" customHeight="1">
      <c r="BM28426" s="1025"/>
      <c r="BO28426" s="43"/>
    </row>
    <row r="28427" spans="65:67" ht="18.75" customHeight="1">
      <c r="BM28427" s="1025"/>
      <c r="BO28427" s="43"/>
    </row>
    <row r="28428" spans="65:67" ht="18.75" customHeight="1">
      <c r="BM28428" s="1025"/>
      <c r="BO28428" s="43"/>
    </row>
    <row r="28429" spans="65:67" ht="18.75" customHeight="1">
      <c r="BM28429" s="1025"/>
      <c r="BO28429" s="43"/>
    </row>
    <row r="28430" spans="65:67" ht="18.75" customHeight="1">
      <c r="BM28430" s="1025"/>
      <c r="BO28430" s="43"/>
    </row>
    <row r="28431" spans="65:67" ht="18.75" customHeight="1">
      <c r="BM28431" s="1025"/>
      <c r="BO28431" s="43"/>
    </row>
    <row r="28432" spans="65:67" ht="18.75" customHeight="1">
      <c r="BM28432" s="1025"/>
      <c r="BO28432" s="43"/>
    </row>
    <row r="28433" spans="65:67" ht="18.75" customHeight="1">
      <c r="BM28433" s="1025"/>
      <c r="BO28433" s="43"/>
    </row>
    <row r="28434" spans="65:67" ht="18.75" customHeight="1">
      <c r="BM28434" s="1025"/>
      <c r="BO28434" s="43"/>
    </row>
    <row r="28435" spans="65:67" ht="18.75" customHeight="1">
      <c r="BM28435" s="1025"/>
      <c r="BO28435" s="43"/>
    </row>
    <row r="28436" spans="65:67" ht="18.75" customHeight="1">
      <c r="BM28436" s="1025"/>
      <c r="BO28436" s="43"/>
    </row>
    <row r="28437" spans="65:67" ht="18.75" customHeight="1">
      <c r="BM28437" s="1025"/>
      <c r="BO28437" s="43"/>
    </row>
    <row r="28438" spans="65:67" ht="18.75" customHeight="1">
      <c r="BM28438" s="1025"/>
      <c r="BO28438" s="43"/>
    </row>
    <row r="28439" spans="65:67" ht="18.75" customHeight="1">
      <c r="BM28439" s="1025"/>
      <c r="BO28439" s="43"/>
    </row>
    <row r="28440" spans="65:67" ht="18.75" customHeight="1">
      <c r="BM28440" s="1025"/>
      <c r="BO28440" s="43"/>
    </row>
    <row r="28441" spans="65:67" ht="18.75" customHeight="1">
      <c r="BM28441" s="1025"/>
      <c r="BO28441" s="43"/>
    </row>
    <row r="28442" spans="65:67" ht="18.75" customHeight="1">
      <c r="BM28442" s="1025"/>
      <c r="BO28442" s="43"/>
    </row>
    <row r="28443" spans="65:67" ht="18.75" customHeight="1">
      <c r="BM28443" s="1025"/>
      <c r="BO28443" s="43"/>
    </row>
    <row r="28444" spans="65:67" ht="18.75" customHeight="1">
      <c r="BM28444" s="1025"/>
      <c r="BO28444" s="43"/>
    </row>
    <row r="28445" spans="65:67" ht="18.75" customHeight="1">
      <c r="BM28445" s="1025"/>
      <c r="BO28445" s="43"/>
    </row>
    <row r="28446" spans="65:67" ht="18.75" customHeight="1">
      <c r="BM28446" s="1025"/>
      <c r="BO28446" s="43"/>
    </row>
    <row r="28447" spans="65:67" ht="18.75" customHeight="1">
      <c r="BM28447" s="1025"/>
      <c r="BO28447" s="43"/>
    </row>
    <row r="28448" spans="65:67" ht="18.75" customHeight="1">
      <c r="BM28448" s="1025"/>
      <c r="BO28448" s="43"/>
    </row>
    <row r="28449" spans="65:67" ht="18.75" customHeight="1">
      <c r="BM28449" s="1025"/>
      <c r="BO28449" s="43"/>
    </row>
    <row r="28450" spans="65:67" ht="18.75" customHeight="1">
      <c r="BM28450" s="1025"/>
      <c r="BO28450" s="43"/>
    </row>
    <row r="28451" spans="65:67" ht="18.75" customHeight="1">
      <c r="BM28451" s="1025"/>
      <c r="BO28451" s="43"/>
    </row>
    <row r="28452" spans="65:67" ht="18.75" customHeight="1">
      <c r="BM28452" s="1025"/>
      <c r="BO28452" s="43"/>
    </row>
    <row r="28453" spans="65:67" ht="18.75" customHeight="1">
      <c r="BM28453" s="1025"/>
      <c r="BO28453" s="43"/>
    </row>
    <row r="28454" spans="65:67" ht="18.75" customHeight="1">
      <c r="BM28454" s="1025"/>
      <c r="BO28454" s="43"/>
    </row>
    <row r="28455" spans="65:67" ht="18.75" customHeight="1">
      <c r="BM28455" s="1025"/>
      <c r="BO28455" s="43"/>
    </row>
    <row r="28456" spans="65:67" ht="18.75" customHeight="1">
      <c r="BM28456" s="1025"/>
      <c r="BO28456" s="43"/>
    </row>
    <row r="28457" spans="65:67" ht="18.75" customHeight="1">
      <c r="BM28457" s="1025"/>
      <c r="BO28457" s="43"/>
    </row>
    <row r="28458" spans="65:67" ht="18.75" customHeight="1">
      <c r="BM28458" s="1025"/>
      <c r="BO28458" s="43"/>
    </row>
    <row r="28459" spans="65:67" ht="18.75" customHeight="1">
      <c r="BM28459" s="1025"/>
      <c r="BO28459" s="43"/>
    </row>
    <row r="28460" spans="65:67" ht="18.75" customHeight="1">
      <c r="BM28460" s="1025"/>
      <c r="BO28460" s="43"/>
    </row>
    <row r="28461" spans="65:67" ht="18.75" customHeight="1">
      <c r="BM28461" s="1025"/>
      <c r="BO28461" s="43"/>
    </row>
    <row r="28462" spans="65:67" ht="18.75" customHeight="1">
      <c r="BM28462" s="1025"/>
      <c r="BO28462" s="43"/>
    </row>
    <row r="28463" spans="65:67" ht="18.75" customHeight="1">
      <c r="BM28463" s="1025"/>
      <c r="BO28463" s="43"/>
    </row>
    <row r="28464" spans="65:67" ht="18.75" customHeight="1">
      <c r="BM28464" s="1025"/>
      <c r="BO28464" s="43"/>
    </row>
    <row r="28465" spans="65:67" ht="18.75" customHeight="1">
      <c r="BM28465" s="1025"/>
      <c r="BO28465" s="43"/>
    </row>
    <row r="28466" spans="65:67" ht="18.75" customHeight="1">
      <c r="BM28466" s="1025"/>
      <c r="BO28466" s="43"/>
    </row>
    <row r="28467" spans="65:67" ht="18.75" customHeight="1">
      <c r="BM28467" s="1025"/>
      <c r="BO28467" s="43"/>
    </row>
    <row r="28468" spans="65:67" ht="18.75" customHeight="1">
      <c r="BM28468" s="1025"/>
      <c r="BO28468" s="43"/>
    </row>
    <row r="28469" spans="65:67" ht="18.75" customHeight="1">
      <c r="BM28469" s="1025"/>
      <c r="BO28469" s="43"/>
    </row>
    <row r="28470" spans="65:67" ht="18.75" customHeight="1">
      <c r="BM28470" s="1025"/>
      <c r="BO28470" s="43"/>
    </row>
    <row r="28471" spans="65:67" ht="18.75" customHeight="1">
      <c r="BM28471" s="1025"/>
      <c r="BO28471" s="43"/>
    </row>
    <row r="28472" spans="65:67" ht="18.75" customHeight="1">
      <c r="BM28472" s="1025"/>
      <c r="BO28472" s="43"/>
    </row>
    <row r="28473" spans="65:67" ht="18.75" customHeight="1">
      <c r="BM28473" s="1025"/>
      <c r="BO28473" s="43"/>
    </row>
    <row r="28474" spans="65:67" ht="18.75" customHeight="1">
      <c r="BM28474" s="1025"/>
      <c r="BO28474" s="43"/>
    </row>
    <row r="28475" spans="65:67" ht="18.75" customHeight="1">
      <c r="BM28475" s="1025"/>
      <c r="BO28475" s="43"/>
    </row>
    <row r="28476" spans="65:67" ht="18.75" customHeight="1">
      <c r="BM28476" s="1025"/>
      <c r="BO28476" s="43"/>
    </row>
    <row r="28477" spans="65:67" ht="18.75" customHeight="1">
      <c r="BM28477" s="1025"/>
      <c r="BO28477" s="43"/>
    </row>
    <row r="28478" spans="65:67" ht="18.75" customHeight="1">
      <c r="BM28478" s="1025"/>
      <c r="BO28478" s="43"/>
    </row>
    <row r="28479" spans="65:67" ht="18.75" customHeight="1">
      <c r="BM28479" s="1025"/>
      <c r="BO28479" s="43"/>
    </row>
    <row r="28480" spans="65:67" ht="18.75" customHeight="1">
      <c r="BM28480" s="1025"/>
      <c r="BO28480" s="43"/>
    </row>
    <row r="28481" spans="65:67" ht="18.75" customHeight="1">
      <c r="BM28481" s="1025"/>
      <c r="BO28481" s="43"/>
    </row>
    <row r="28482" spans="65:67" ht="18.75" customHeight="1">
      <c r="BM28482" s="1025"/>
      <c r="BO28482" s="43"/>
    </row>
    <row r="28483" spans="65:67" ht="18.75" customHeight="1">
      <c r="BM28483" s="1025"/>
      <c r="BO28483" s="43"/>
    </row>
    <row r="28484" spans="65:67" ht="18.75" customHeight="1">
      <c r="BM28484" s="1025"/>
      <c r="BO28484" s="43"/>
    </row>
    <row r="28485" spans="65:67" ht="18.75" customHeight="1">
      <c r="BM28485" s="1025"/>
      <c r="BO28485" s="43"/>
    </row>
    <row r="28486" spans="65:67" ht="18.75" customHeight="1">
      <c r="BM28486" s="1025"/>
      <c r="BO28486" s="43"/>
    </row>
    <row r="28487" spans="65:67" ht="18.75" customHeight="1">
      <c r="BM28487" s="1025"/>
      <c r="BO28487" s="43"/>
    </row>
    <row r="28488" spans="65:67" ht="18.75" customHeight="1">
      <c r="BM28488" s="1025"/>
      <c r="BO28488" s="43"/>
    </row>
    <row r="28489" spans="65:67" ht="18.75" customHeight="1">
      <c r="BM28489" s="1025"/>
      <c r="BO28489" s="43"/>
    </row>
    <row r="28490" spans="65:67" ht="18.75" customHeight="1">
      <c r="BM28490" s="1025"/>
      <c r="BO28490" s="43"/>
    </row>
    <row r="28491" spans="65:67" ht="18.75" customHeight="1">
      <c r="BM28491" s="1025"/>
      <c r="BO28491" s="43"/>
    </row>
    <row r="28492" spans="65:67" ht="18.75" customHeight="1">
      <c r="BM28492" s="1025"/>
      <c r="BO28492" s="43"/>
    </row>
    <row r="28493" spans="65:67" ht="18.75" customHeight="1">
      <c r="BM28493" s="1025"/>
      <c r="BO28493" s="43"/>
    </row>
    <row r="28494" spans="65:67" ht="18.75" customHeight="1">
      <c r="BM28494" s="1025"/>
      <c r="BO28494" s="43"/>
    </row>
    <row r="28495" spans="65:67" ht="18.75" customHeight="1">
      <c r="BM28495" s="1025"/>
      <c r="BO28495" s="43"/>
    </row>
    <row r="28496" spans="65:67" ht="18.75" customHeight="1">
      <c r="BM28496" s="1025"/>
      <c r="BO28496" s="43"/>
    </row>
    <row r="28497" spans="65:67" ht="18.75" customHeight="1">
      <c r="BM28497" s="1025"/>
      <c r="BO28497" s="43"/>
    </row>
    <row r="28498" spans="65:67" ht="18.75" customHeight="1">
      <c r="BM28498" s="1025"/>
      <c r="BO28498" s="43"/>
    </row>
    <row r="28499" spans="65:67" ht="18.75" customHeight="1">
      <c r="BM28499" s="1025"/>
      <c r="BO28499" s="43"/>
    </row>
    <row r="28500" spans="65:67" ht="18.75" customHeight="1">
      <c r="BM28500" s="1025"/>
      <c r="BO28500" s="43"/>
    </row>
    <row r="28501" spans="65:67" ht="18.75" customHeight="1">
      <c r="BM28501" s="1025"/>
      <c r="BO28501" s="43"/>
    </row>
    <row r="28502" spans="65:67" ht="18.75" customHeight="1">
      <c r="BM28502" s="1025"/>
      <c r="BO28502" s="43"/>
    </row>
    <row r="28503" spans="65:67" ht="18.75" customHeight="1">
      <c r="BM28503" s="1025"/>
      <c r="BO28503" s="43"/>
    </row>
    <row r="28504" spans="65:67" ht="18.75" customHeight="1">
      <c r="BM28504" s="1025"/>
      <c r="BO28504" s="43"/>
    </row>
    <row r="28505" spans="65:67" ht="18.75" customHeight="1">
      <c r="BM28505" s="1025"/>
      <c r="BO28505" s="43"/>
    </row>
    <row r="28506" spans="65:67" ht="18.75" customHeight="1">
      <c r="BM28506" s="1025"/>
      <c r="BO28506" s="43"/>
    </row>
    <row r="28507" spans="65:67" ht="18.75" customHeight="1">
      <c r="BM28507" s="1025"/>
      <c r="BO28507" s="43"/>
    </row>
    <row r="28508" spans="65:67" ht="18.75" customHeight="1">
      <c r="BM28508" s="1025"/>
      <c r="BO28508" s="43"/>
    </row>
    <row r="28509" spans="65:67" ht="18.75" customHeight="1">
      <c r="BM28509" s="1025"/>
      <c r="BO28509" s="43"/>
    </row>
    <row r="28510" spans="65:67" ht="18.75" customHeight="1">
      <c r="BM28510" s="1025"/>
      <c r="BO28510" s="43"/>
    </row>
    <row r="28511" spans="65:67" ht="18.75" customHeight="1">
      <c r="BM28511" s="1025"/>
      <c r="BO28511" s="43"/>
    </row>
    <row r="28512" spans="65:67" ht="18.75" customHeight="1">
      <c r="BM28512" s="1025"/>
      <c r="BO28512" s="43"/>
    </row>
    <row r="28513" spans="65:67" ht="18.75" customHeight="1">
      <c r="BM28513" s="1025"/>
      <c r="BO28513" s="43"/>
    </row>
    <row r="28514" spans="65:67" ht="18.75" customHeight="1">
      <c r="BM28514" s="1025"/>
      <c r="BO28514" s="43"/>
    </row>
    <row r="28515" spans="65:67" ht="18.75" customHeight="1">
      <c r="BM28515" s="1025"/>
      <c r="BO28515" s="43"/>
    </row>
    <row r="28516" spans="65:67" ht="18.75" customHeight="1">
      <c r="BM28516" s="1025"/>
      <c r="BO28516" s="43"/>
    </row>
    <row r="28517" spans="65:67" ht="18.75" customHeight="1">
      <c r="BM28517" s="1025"/>
      <c r="BO28517" s="43"/>
    </row>
    <row r="28518" spans="65:67" ht="18.75" customHeight="1">
      <c r="BM28518" s="1025"/>
      <c r="BO28518" s="43"/>
    </row>
    <row r="28519" spans="65:67" ht="18.75" customHeight="1">
      <c r="BM28519" s="1025"/>
      <c r="BO28519" s="43"/>
    </row>
    <row r="28520" spans="65:67" ht="18.75" customHeight="1">
      <c r="BM28520" s="1025"/>
      <c r="BO28520" s="43"/>
    </row>
    <row r="28521" spans="65:67" ht="18.75" customHeight="1">
      <c r="BM28521" s="1025"/>
      <c r="BO28521" s="43"/>
    </row>
    <row r="28522" spans="65:67" ht="18.75" customHeight="1">
      <c r="BM28522" s="1025"/>
      <c r="BO28522" s="43"/>
    </row>
    <row r="28523" spans="65:67" ht="18.75" customHeight="1">
      <c r="BM28523" s="1025"/>
      <c r="BO28523" s="43"/>
    </row>
    <row r="28524" spans="65:67" ht="18.75" customHeight="1">
      <c r="BM28524" s="1025"/>
      <c r="BO28524" s="43"/>
    </row>
    <row r="28525" spans="65:67" ht="18.75" customHeight="1">
      <c r="BM28525" s="1025"/>
      <c r="BO28525" s="43"/>
    </row>
    <row r="28526" spans="65:67" ht="18.75" customHeight="1">
      <c r="BM28526" s="1025"/>
      <c r="BO28526" s="43"/>
    </row>
    <row r="28527" spans="65:67" ht="18.75" customHeight="1">
      <c r="BM28527" s="1025"/>
      <c r="BO28527" s="43"/>
    </row>
    <row r="28528" spans="65:67" ht="18.75" customHeight="1">
      <c r="BM28528" s="1025"/>
      <c r="BO28528" s="43"/>
    </row>
    <row r="28529" spans="65:67" ht="18.75" customHeight="1">
      <c r="BM28529" s="1025"/>
      <c r="BO28529" s="43"/>
    </row>
    <row r="28530" spans="65:67" ht="18.75" customHeight="1">
      <c r="BM28530" s="1025"/>
      <c r="BO28530" s="43"/>
    </row>
    <row r="28531" spans="65:67" ht="18.75" customHeight="1">
      <c r="BM28531" s="1025"/>
      <c r="BO28531" s="43"/>
    </row>
    <row r="28532" spans="65:67" ht="18.75" customHeight="1">
      <c r="BM28532" s="1025"/>
      <c r="BO28532" s="43"/>
    </row>
    <row r="28533" spans="65:67" ht="18.75" customHeight="1">
      <c r="BM28533" s="1025"/>
      <c r="BO28533" s="43"/>
    </row>
    <row r="28534" spans="65:67" ht="18.75" customHeight="1">
      <c r="BM28534" s="1025"/>
      <c r="BO28534" s="43"/>
    </row>
    <row r="28535" spans="65:67" ht="18.75" customHeight="1">
      <c r="BM28535" s="1025"/>
      <c r="BO28535" s="43"/>
    </row>
    <row r="28536" spans="65:67" ht="18.75" customHeight="1">
      <c r="BM28536" s="1025"/>
      <c r="BO28536" s="43"/>
    </row>
    <row r="28537" spans="65:67" ht="18.75" customHeight="1">
      <c r="BM28537" s="1025"/>
      <c r="BO28537" s="43"/>
    </row>
    <row r="28538" spans="65:67" ht="18.75" customHeight="1">
      <c r="BM28538" s="1025"/>
      <c r="BO28538" s="43"/>
    </row>
    <row r="28539" spans="65:67" ht="18.75" customHeight="1">
      <c r="BM28539" s="1025"/>
      <c r="BO28539" s="43"/>
    </row>
    <row r="28540" spans="65:67" ht="18.75" customHeight="1">
      <c r="BM28540" s="1025"/>
      <c r="BO28540" s="43"/>
    </row>
    <row r="28541" spans="65:67" ht="18.75" customHeight="1">
      <c r="BM28541" s="1025"/>
      <c r="BO28541" s="43"/>
    </row>
    <row r="28542" spans="65:67" ht="18.75" customHeight="1">
      <c r="BM28542" s="1025"/>
      <c r="BO28542" s="43"/>
    </row>
    <row r="28543" spans="65:67" ht="18.75" customHeight="1">
      <c r="BM28543" s="1025"/>
      <c r="BO28543" s="43"/>
    </row>
    <row r="28544" spans="65:67" ht="18.75" customHeight="1">
      <c r="BM28544" s="1025"/>
      <c r="BO28544" s="43"/>
    </row>
    <row r="28545" spans="65:67" ht="18.75" customHeight="1">
      <c r="BM28545" s="1025"/>
      <c r="BO28545" s="43"/>
    </row>
    <row r="28546" spans="65:67" ht="18.75" customHeight="1">
      <c r="BM28546" s="1025"/>
      <c r="BO28546" s="43"/>
    </row>
    <row r="28547" spans="65:67" ht="18.75" customHeight="1">
      <c r="BM28547" s="1025"/>
      <c r="BO28547" s="43"/>
    </row>
    <row r="28548" spans="65:67" ht="18.75" customHeight="1">
      <c r="BM28548" s="1025"/>
      <c r="BO28548" s="43"/>
    </row>
    <row r="28549" spans="65:67" ht="18.75" customHeight="1">
      <c r="BM28549" s="1025"/>
      <c r="BO28549" s="43"/>
    </row>
    <row r="28550" spans="65:67" ht="18.75" customHeight="1">
      <c r="BM28550" s="1025"/>
      <c r="BO28550" s="43"/>
    </row>
    <row r="28551" spans="65:67" ht="18.75" customHeight="1">
      <c r="BM28551" s="1025"/>
      <c r="BO28551" s="43"/>
    </row>
    <row r="28552" spans="65:67" ht="18.75" customHeight="1">
      <c r="BM28552" s="1025"/>
      <c r="BO28552" s="43"/>
    </row>
    <row r="28553" spans="65:67" ht="18.75" customHeight="1">
      <c r="BM28553" s="1025"/>
      <c r="BO28553" s="43"/>
    </row>
    <row r="28554" spans="65:67" ht="18.75" customHeight="1">
      <c r="BM28554" s="1025"/>
      <c r="BO28554" s="43"/>
    </row>
    <row r="28555" spans="65:67" ht="18.75" customHeight="1">
      <c r="BM28555" s="1025"/>
      <c r="BO28555" s="43"/>
    </row>
    <row r="28556" spans="65:67" ht="18.75" customHeight="1">
      <c r="BM28556" s="1025"/>
      <c r="BO28556" s="43"/>
    </row>
    <row r="28557" spans="65:67" ht="18.75" customHeight="1">
      <c r="BM28557" s="1025"/>
      <c r="BO28557" s="43"/>
    </row>
    <row r="28558" spans="65:67" ht="18.75" customHeight="1">
      <c r="BM28558" s="1025"/>
      <c r="BO28558" s="43"/>
    </row>
    <row r="28559" spans="65:67" ht="18.75" customHeight="1">
      <c r="BM28559" s="1025"/>
      <c r="BO28559" s="43"/>
    </row>
    <row r="28560" spans="65:67" ht="18.75" customHeight="1">
      <c r="BM28560" s="1025"/>
      <c r="BO28560" s="43"/>
    </row>
    <row r="28561" spans="65:67" ht="18.75" customHeight="1">
      <c r="BM28561" s="1025"/>
      <c r="BO28561" s="43"/>
    </row>
    <row r="28562" spans="65:67" ht="18.75" customHeight="1">
      <c r="BM28562" s="1025"/>
      <c r="BO28562" s="43"/>
    </row>
    <row r="28563" spans="65:67" ht="18.75" customHeight="1">
      <c r="BM28563" s="1025"/>
      <c r="BO28563" s="43"/>
    </row>
    <row r="28564" spans="65:67" ht="18.75" customHeight="1">
      <c r="BM28564" s="1025"/>
      <c r="BO28564" s="43"/>
    </row>
    <row r="28565" spans="65:67" ht="18.75" customHeight="1">
      <c r="BM28565" s="1025"/>
      <c r="BO28565" s="43"/>
    </row>
    <row r="28566" spans="65:67" ht="18.75" customHeight="1">
      <c r="BM28566" s="1025"/>
      <c r="BO28566" s="43"/>
    </row>
    <row r="28567" spans="65:67" ht="18.75" customHeight="1">
      <c r="BM28567" s="1025"/>
      <c r="BO28567" s="43"/>
    </row>
    <row r="28568" spans="65:67" ht="18.75" customHeight="1">
      <c r="BM28568" s="1025"/>
      <c r="BO28568" s="43"/>
    </row>
    <row r="28569" spans="65:67" ht="18.75" customHeight="1">
      <c r="BM28569" s="1025"/>
      <c r="BO28569" s="43"/>
    </row>
    <row r="28570" spans="65:67" ht="18.75" customHeight="1">
      <c r="BM28570" s="1025"/>
      <c r="BO28570" s="43"/>
    </row>
    <row r="28571" spans="65:67" ht="18.75" customHeight="1">
      <c r="BM28571" s="1025"/>
      <c r="BO28571" s="43"/>
    </row>
    <row r="28572" spans="65:67" ht="18.75" customHeight="1">
      <c r="BM28572" s="1025"/>
      <c r="BO28572" s="43"/>
    </row>
    <row r="28573" spans="65:67" ht="18.75" customHeight="1">
      <c r="BM28573" s="1025"/>
      <c r="BO28573" s="43"/>
    </row>
    <row r="28574" spans="65:67" ht="18.75" customHeight="1">
      <c r="BM28574" s="1025"/>
      <c r="BO28574" s="43"/>
    </row>
    <row r="28575" spans="65:67" ht="18.75" customHeight="1">
      <c r="BM28575" s="1025"/>
      <c r="BO28575" s="43"/>
    </row>
    <row r="28576" spans="65:67" ht="18.75" customHeight="1">
      <c r="BM28576" s="1025"/>
      <c r="BO28576" s="43"/>
    </row>
    <row r="28577" spans="65:67" ht="18.75" customHeight="1">
      <c r="BM28577" s="1025"/>
      <c r="BO28577" s="43"/>
    </row>
    <row r="28578" spans="65:67" ht="18.75" customHeight="1">
      <c r="BM28578" s="1025"/>
      <c r="BO28578" s="43"/>
    </row>
    <row r="28579" spans="65:67" ht="18.75" customHeight="1">
      <c r="BM28579" s="1025"/>
      <c r="BO28579" s="43"/>
    </row>
    <row r="28580" spans="65:67" ht="18.75" customHeight="1">
      <c r="BM28580" s="1025"/>
      <c r="BO28580" s="43"/>
    </row>
    <row r="28581" spans="65:67" ht="18.75" customHeight="1">
      <c r="BM28581" s="1025"/>
      <c r="BO28581" s="43"/>
    </row>
    <row r="28582" spans="65:67" ht="18.75" customHeight="1">
      <c r="BM28582" s="1025"/>
      <c r="BO28582" s="43"/>
    </row>
    <row r="28583" spans="65:67" ht="18.75" customHeight="1">
      <c r="BM28583" s="1025"/>
      <c r="BO28583" s="43"/>
    </row>
    <row r="28584" spans="65:67" ht="18.75" customHeight="1">
      <c r="BM28584" s="1025"/>
      <c r="BO28584" s="43"/>
    </row>
    <row r="28585" spans="65:67" ht="18.75" customHeight="1">
      <c r="BM28585" s="1025"/>
      <c r="BO28585" s="43"/>
    </row>
    <row r="28586" spans="65:67" ht="18.75" customHeight="1">
      <c r="BM28586" s="1025"/>
      <c r="BO28586" s="43"/>
    </row>
    <row r="28587" spans="65:67" ht="18.75" customHeight="1">
      <c r="BM28587" s="1025"/>
      <c r="BO28587" s="43"/>
    </row>
    <row r="28588" spans="65:67" ht="18.75" customHeight="1">
      <c r="BM28588" s="1025"/>
      <c r="BO28588" s="43"/>
    </row>
    <row r="28589" spans="65:67" ht="18.75" customHeight="1">
      <c r="BM28589" s="1025"/>
      <c r="BO28589" s="43"/>
    </row>
    <row r="28590" spans="65:67" ht="18.75" customHeight="1">
      <c r="BM28590" s="1025"/>
      <c r="BO28590" s="43"/>
    </row>
    <row r="28591" spans="65:67" ht="18.75" customHeight="1">
      <c r="BM28591" s="1025"/>
      <c r="BO28591" s="43"/>
    </row>
    <row r="28592" spans="65:67" ht="18.75" customHeight="1">
      <c r="BM28592" s="1025"/>
      <c r="BO28592" s="43"/>
    </row>
    <row r="28593" spans="65:67" ht="18.75" customHeight="1">
      <c r="BM28593" s="1025"/>
      <c r="BO28593" s="43"/>
    </row>
    <row r="28594" spans="65:67" ht="18.75" customHeight="1">
      <c r="BM28594" s="1025"/>
      <c r="BO28594" s="43"/>
    </row>
    <row r="28595" spans="65:67" ht="18.75" customHeight="1">
      <c r="BM28595" s="1025"/>
      <c r="BO28595" s="43"/>
    </row>
    <row r="28596" spans="65:67" ht="18.75" customHeight="1">
      <c r="BM28596" s="1025"/>
      <c r="BO28596" s="43"/>
    </row>
    <row r="28597" spans="65:67" ht="18.75" customHeight="1">
      <c r="BM28597" s="1025"/>
      <c r="BO28597" s="43"/>
    </row>
    <row r="28598" spans="65:67" ht="18.75" customHeight="1">
      <c r="BM28598" s="1025"/>
      <c r="BO28598" s="43"/>
    </row>
    <row r="28599" spans="65:67" ht="18.75" customHeight="1">
      <c r="BM28599" s="1025"/>
      <c r="BO28599" s="43"/>
    </row>
    <row r="28600" spans="65:67" ht="18.75" customHeight="1">
      <c r="BM28600" s="1025"/>
      <c r="BO28600" s="43"/>
    </row>
    <row r="28601" spans="65:67" ht="18.75" customHeight="1">
      <c r="BM28601" s="1025"/>
      <c r="BO28601" s="43"/>
    </row>
    <row r="28602" spans="65:67" ht="18.75" customHeight="1">
      <c r="BM28602" s="1025"/>
      <c r="BO28602" s="43"/>
    </row>
    <row r="28603" spans="65:67" ht="18.75" customHeight="1">
      <c r="BM28603" s="1025"/>
      <c r="BO28603" s="43"/>
    </row>
    <row r="28604" spans="65:67" ht="18.75" customHeight="1">
      <c r="BM28604" s="1025"/>
      <c r="BO28604" s="43"/>
    </row>
    <row r="28605" spans="65:67" ht="18.75" customHeight="1">
      <c r="BM28605" s="1025"/>
      <c r="BO28605" s="43"/>
    </row>
    <row r="28606" spans="65:67" ht="18.75" customHeight="1">
      <c r="BM28606" s="1025"/>
      <c r="BO28606" s="43"/>
    </row>
    <row r="28607" spans="65:67" ht="18.75" customHeight="1">
      <c r="BM28607" s="1025"/>
      <c r="BO28607" s="43"/>
    </row>
    <row r="28608" spans="65:67" ht="18.75" customHeight="1">
      <c r="BM28608" s="1025"/>
      <c r="BO28608" s="43"/>
    </row>
    <row r="28609" spans="65:67" ht="18.75" customHeight="1">
      <c r="BM28609" s="1025"/>
      <c r="BO28609" s="43"/>
    </row>
    <row r="28610" spans="65:67" ht="18.75" customHeight="1">
      <c r="BM28610" s="1025"/>
      <c r="BO28610" s="43"/>
    </row>
    <row r="28611" spans="65:67" ht="18.75" customHeight="1">
      <c r="BM28611" s="1025"/>
      <c r="BO28611" s="43"/>
    </row>
    <row r="28612" spans="65:67" ht="18.75" customHeight="1">
      <c r="BM28612" s="1025"/>
      <c r="BO28612" s="43"/>
    </row>
    <row r="28613" spans="65:67" ht="18.75" customHeight="1">
      <c r="BM28613" s="1025"/>
      <c r="BO28613" s="43"/>
    </row>
    <row r="28614" spans="65:67" ht="18.75" customHeight="1">
      <c r="BM28614" s="1025"/>
      <c r="BO28614" s="43"/>
    </row>
    <row r="28615" spans="65:67" ht="18.75" customHeight="1">
      <c r="BM28615" s="1025"/>
      <c r="BO28615" s="43"/>
    </row>
    <row r="28616" spans="65:67" ht="18.75" customHeight="1">
      <c r="BM28616" s="1025"/>
      <c r="BO28616" s="43"/>
    </row>
    <row r="28617" spans="65:67" ht="18.75" customHeight="1">
      <c r="BM28617" s="1025"/>
      <c r="BO28617" s="43"/>
    </row>
    <row r="28618" spans="65:67" ht="18.75" customHeight="1">
      <c r="BM28618" s="1025"/>
      <c r="BO28618" s="43"/>
    </row>
    <row r="28619" spans="65:67" ht="18.75" customHeight="1">
      <c r="BM28619" s="1025"/>
      <c r="BO28619" s="43"/>
    </row>
    <row r="28620" spans="65:67" ht="18.75" customHeight="1">
      <c r="BM28620" s="1025"/>
      <c r="BO28620" s="43"/>
    </row>
    <row r="28621" spans="65:67" ht="18.75" customHeight="1">
      <c r="BM28621" s="1025"/>
      <c r="BO28621" s="43"/>
    </row>
    <row r="28622" spans="65:67" ht="18.75" customHeight="1">
      <c r="BM28622" s="1025"/>
      <c r="BO28622" s="43"/>
    </row>
    <row r="28623" spans="65:67" ht="18.75" customHeight="1">
      <c r="BM28623" s="1025"/>
      <c r="BO28623" s="43"/>
    </row>
    <row r="28624" spans="65:67" ht="18.75" customHeight="1">
      <c r="BM28624" s="1025"/>
      <c r="BO28624" s="43"/>
    </row>
    <row r="28625" spans="65:67" ht="18.75" customHeight="1">
      <c r="BM28625" s="1025"/>
      <c r="BO28625" s="43"/>
    </row>
    <row r="28626" spans="65:67" ht="18.75" customHeight="1">
      <c r="BM28626" s="1025"/>
      <c r="BO28626" s="43"/>
    </row>
    <row r="28627" spans="65:67" ht="18.75" customHeight="1">
      <c r="BM28627" s="1025"/>
      <c r="BO28627" s="43"/>
    </row>
    <row r="28628" spans="65:67" ht="18.75" customHeight="1">
      <c r="BM28628" s="1025"/>
      <c r="BO28628" s="43"/>
    </row>
    <row r="28629" spans="65:67" ht="18.75" customHeight="1">
      <c r="BM28629" s="1025"/>
      <c r="BO28629" s="43"/>
    </row>
    <row r="28630" spans="65:67" ht="18.75" customHeight="1">
      <c r="BM28630" s="1025"/>
      <c r="BO28630" s="43"/>
    </row>
    <row r="28631" spans="65:67" ht="18.75" customHeight="1">
      <c r="BM28631" s="1025"/>
      <c r="BO28631" s="43"/>
    </row>
    <row r="28632" spans="65:67" ht="18.75" customHeight="1">
      <c r="BM28632" s="1025"/>
      <c r="BO28632" s="43"/>
    </row>
    <row r="28633" spans="65:67" ht="18.75" customHeight="1">
      <c r="BM28633" s="1025"/>
      <c r="BO28633" s="43"/>
    </row>
    <row r="28634" spans="65:67" ht="18.75" customHeight="1">
      <c r="BM28634" s="1025"/>
      <c r="BO28634" s="43"/>
    </row>
    <row r="28635" spans="65:67" ht="18.75" customHeight="1">
      <c r="BM28635" s="1025"/>
      <c r="BO28635" s="43"/>
    </row>
    <row r="28636" spans="65:67" ht="18.75" customHeight="1">
      <c r="BM28636" s="1025"/>
      <c r="BO28636" s="43"/>
    </row>
    <row r="28637" spans="65:67" ht="18.75" customHeight="1">
      <c r="BM28637" s="1025"/>
      <c r="BO28637" s="43"/>
    </row>
    <row r="28638" spans="65:67" ht="18.75" customHeight="1">
      <c r="BM28638" s="1025"/>
      <c r="BO28638" s="43"/>
    </row>
    <row r="28639" spans="65:67" ht="18.75" customHeight="1">
      <c r="BM28639" s="1025"/>
      <c r="BO28639" s="43"/>
    </row>
    <row r="28640" spans="65:67" ht="18.75" customHeight="1">
      <c r="BM28640" s="1025"/>
      <c r="BO28640" s="43"/>
    </row>
    <row r="28641" spans="65:67" ht="18.75" customHeight="1">
      <c r="BM28641" s="1025"/>
      <c r="BO28641" s="43"/>
    </row>
    <row r="28642" spans="65:67" ht="18.75" customHeight="1">
      <c r="BM28642" s="1025"/>
      <c r="BO28642" s="43"/>
    </row>
    <row r="28643" spans="65:67" ht="18.75" customHeight="1">
      <c r="BM28643" s="1025"/>
      <c r="BO28643" s="43"/>
    </row>
    <row r="28644" spans="65:67" ht="18.75" customHeight="1">
      <c r="BM28644" s="1025"/>
      <c r="BO28644" s="43"/>
    </row>
    <row r="28645" spans="65:67" ht="18.75" customHeight="1">
      <c r="BM28645" s="1025"/>
      <c r="BO28645" s="43"/>
    </row>
    <row r="28646" spans="65:67" ht="18.75" customHeight="1">
      <c r="BM28646" s="1025"/>
      <c r="BO28646" s="43"/>
    </row>
    <row r="28647" spans="65:67" ht="18.75" customHeight="1">
      <c r="BM28647" s="1025"/>
      <c r="BO28647" s="43"/>
    </row>
    <row r="28648" spans="65:67" ht="18.75" customHeight="1">
      <c r="BM28648" s="1025"/>
      <c r="BO28648" s="43"/>
    </row>
    <row r="28649" spans="65:67" ht="18.75" customHeight="1">
      <c r="BM28649" s="1025"/>
      <c r="BO28649" s="43"/>
    </row>
    <row r="28650" spans="65:67" ht="18.75" customHeight="1">
      <c r="BM28650" s="1025"/>
      <c r="BO28650" s="43"/>
    </row>
    <row r="28651" spans="65:67" ht="18.75" customHeight="1">
      <c r="BM28651" s="1025"/>
      <c r="BO28651" s="43"/>
    </row>
    <row r="28652" spans="65:67" ht="18.75" customHeight="1">
      <c r="BM28652" s="1025"/>
      <c r="BO28652" s="43"/>
    </row>
    <row r="28653" spans="65:67" ht="18.75" customHeight="1">
      <c r="BM28653" s="1025"/>
      <c r="BO28653" s="43"/>
    </row>
    <row r="28654" spans="65:67" ht="18.75" customHeight="1">
      <c r="BM28654" s="1025"/>
      <c r="BO28654" s="43"/>
    </row>
    <row r="28655" spans="65:67" ht="18.75" customHeight="1">
      <c r="BM28655" s="1025"/>
      <c r="BO28655" s="43"/>
    </row>
    <row r="28656" spans="65:67" ht="18.75" customHeight="1">
      <c r="BM28656" s="1025"/>
      <c r="BO28656" s="43"/>
    </row>
    <row r="28657" spans="65:67" ht="18.75" customHeight="1">
      <c r="BM28657" s="1025"/>
      <c r="BO28657" s="43"/>
    </row>
    <row r="28658" spans="65:67" ht="18.75" customHeight="1">
      <c r="BM28658" s="1025"/>
      <c r="BO28658" s="43"/>
    </row>
    <row r="28659" spans="65:67" ht="18.75" customHeight="1">
      <c r="BM28659" s="1025"/>
      <c r="BO28659" s="43"/>
    </row>
    <row r="28660" spans="65:67" ht="18.75" customHeight="1">
      <c r="BM28660" s="1025"/>
      <c r="BO28660" s="43"/>
    </row>
    <row r="28661" spans="65:67" ht="18.75" customHeight="1">
      <c r="BM28661" s="1025"/>
      <c r="BO28661" s="43"/>
    </row>
    <row r="28662" spans="65:67" ht="18.75" customHeight="1">
      <c r="BM28662" s="1025"/>
      <c r="BO28662" s="43"/>
    </row>
    <row r="28663" spans="65:67" ht="18.75" customHeight="1">
      <c r="BM28663" s="1025"/>
      <c r="BO28663" s="43"/>
    </row>
    <row r="28664" spans="65:67" ht="18.75" customHeight="1">
      <c r="BM28664" s="1025"/>
      <c r="BO28664" s="43"/>
    </row>
    <row r="28665" spans="65:67" ht="18.75" customHeight="1">
      <c r="BM28665" s="1025"/>
      <c r="BO28665" s="43"/>
    </row>
    <row r="28666" spans="65:67" ht="18.75" customHeight="1">
      <c r="BM28666" s="1025"/>
      <c r="BO28666" s="43"/>
    </row>
    <row r="28667" spans="65:67" ht="18.75" customHeight="1">
      <c r="BM28667" s="1025"/>
      <c r="BO28667" s="43"/>
    </row>
    <row r="28668" spans="65:67" ht="18.75" customHeight="1">
      <c r="BM28668" s="1025"/>
      <c r="BO28668" s="43"/>
    </row>
    <row r="28669" spans="65:67" ht="18.75" customHeight="1">
      <c r="BM28669" s="1025"/>
      <c r="BO28669" s="43"/>
    </row>
    <row r="28670" spans="65:67" ht="18.75" customHeight="1">
      <c r="BM28670" s="1025"/>
      <c r="BO28670" s="43"/>
    </row>
    <row r="28671" spans="65:67" ht="18.75" customHeight="1">
      <c r="BM28671" s="1025"/>
      <c r="BO28671" s="43"/>
    </row>
    <row r="28672" spans="65:67" ht="18.75" customHeight="1">
      <c r="BM28672" s="1025"/>
      <c r="BO28672" s="43"/>
    </row>
    <row r="28673" spans="65:67" ht="18.75" customHeight="1">
      <c r="BM28673" s="1025"/>
      <c r="BO28673" s="43"/>
    </row>
    <row r="28674" spans="65:67" ht="18.75" customHeight="1">
      <c r="BM28674" s="1025"/>
      <c r="BO28674" s="43"/>
    </row>
    <row r="28675" spans="65:67" ht="18.75" customHeight="1">
      <c r="BM28675" s="1025"/>
      <c r="BO28675" s="43"/>
    </row>
    <row r="28676" spans="65:67" ht="18.75" customHeight="1">
      <c r="BM28676" s="1025"/>
      <c r="BO28676" s="43"/>
    </row>
    <row r="28677" spans="65:67" ht="18.75" customHeight="1">
      <c r="BM28677" s="1025"/>
      <c r="BO28677" s="43"/>
    </row>
    <row r="28678" spans="65:67" ht="18.75" customHeight="1">
      <c r="BM28678" s="1025"/>
      <c r="BO28678" s="43"/>
    </row>
    <row r="28679" spans="65:67" ht="18.75" customHeight="1">
      <c r="BM28679" s="1025"/>
      <c r="BO28679" s="43"/>
    </row>
    <row r="28680" spans="65:67" ht="18.75" customHeight="1">
      <c r="BM28680" s="1025"/>
      <c r="BO28680" s="43"/>
    </row>
    <row r="28681" spans="65:67" ht="18.75" customHeight="1">
      <c r="BM28681" s="1025"/>
      <c r="BO28681" s="43"/>
    </row>
    <row r="28682" spans="65:67" ht="18.75" customHeight="1">
      <c r="BM28682" s="1025"/>
      <c r="BO28682" s="43"/>
    </row>
    <row r="28683" spans="65:67" ht="18.75" customHeight="1">
      <c r="BM28683" s="1025"/>
      <c r="BO28683" s="43"/>
    </row>
    <row r="28684" spans="65:67" ht="18.75" customHeight="1">
      <c r="BM28684" s="1025"/>
      <c r="BO28684" s="43"/>
    </row>
    <row r="28685" spans="65:67" ht="18.75" customHeight="1">
      <c r="BM28685" s="1025"/>
      <c r="BO28685" s="43"/>
    </row>
    <row r="28686" spans="65:67" ht="18.75" customHeight="1">
      <c r="BM28686" s="1025"/>
      <c r="BO28686" s="43"/>
    </row>
    <row r="28687" spans="65:67" ht="18.75" customHeight="1">
      <c r="BM28687" s="1025"/>
      <c r="BO28687" s="43"/>
    </row>
    <row r="28688" spans="65:67" ht="18.75" customHeight="1">
      <c r="BM28688" s="1025"/>
      <c r="BO28688" s="43"/>
    </row>
    <row r="28689" spans="65:67" ht="18.75" customHeight="1">
      <c r="BM28689" s="1025"/>
      <c r="BO28689" s="43"/>
    </row>
    <row r="28690" spans="65:67" ht="18.75" customHeight="1">
      <c r="BM28690" s="1025"/>
      <c r="BO28690" s="43"/>
    </row>
    <row r="28691" spans="65:67" ht="18.75" customHeight="1">
      <c r="BM28691" s="1025"/>
      <c r="BO28691" s="43"/>
    </row>
    <row r="28692" spans="65:67" ht="18.75" customHeight="1">
      <c r="BM28692" s="1025"/>
      <c r="BO28692" s="43"/>
    </row>
    <row r="28693" spans="65:67" ht="18.75" customHeight="1">
      <c r="BM28693" s="1025"/>
      <c r="BO28693" s="43"/>
    </row>
    <row r="28694" spans="65:67" ht="18.75" customHeight="1">
      <c r="BM28694" s="1025"/>
      <c r="BO28694" s="43"/>
    </row>
    <row r="28695" spans="65:67" ht="18.75" customHeight="1">
      <c r="BM28695" s="1025"/>
      <c r="BO28695" s="43"/>
    </row>
    <row r="28696" spans="65:67" ht="18.75" customHeight="1">
      <c r="BM28696" s="1025"/>
      <c r="BO28696" s="43"/>
    </row>
    <row r="28697" spans="65:67" ht="18.75" customHeight="1">
      <c r="BM28697" s="1025"/>
      <c r="BO28697" s="43"/>
    </row>
    <row r="28698" spans="65:67" ht="18.75" customHeight="1">
      <c r="BM28698" s="1025"/>
      <c r="BO28698" s="43"/>
    </row>
    <row r="28699" spans="65:67" ht="18.75" customHeight="1">
      <c r="BM28699" s="1025"/>
      <c r="BO28699" s="43"/>
    </row>
    <row r="28700" spans="65:67" ht="18.75" customHeight="1">
      <c r="BM28700" s="1025"/>
      <c r="BO28700" s="43"/>
    </row>
    <row r="28701" spans="65:67" ht="18.75" customHeight="1">
      <c r="BM28701" s="1025"/>
      <c r="BO28701" s="43"/>
    </row>
    <row r="28702" spans="65:67" ht="18.75" customHeight="1">
      <c r="BM28702" s="1025"/>
      <c r="BO28702" s="43"/>
    </row>
    <row r="28703" spans="65:67" ht="18.75" customHeight="1">
      <c r="BM28703" s="1025"/>
      <c r="BO28703" s="43"/>
    </row>
    <row r="28704" spans="65:67" ht="18.75" customHeight="1">
      <c r="BM28704" s="1025"/>
      <c r="BO28704" s="43"/>
    </row>
    <row r="28705" spans="65:67" ht="18.75" customHeight="1">
      <c r="BM28705" s="1025"/>
      <c r="BO28705" s="43"/>
    </row>
    <row r="28706" spans="65:67" ht="18.75" customHeight="1">
      <c r="BM28706" s="1025"/>
      <c r="BO28706" s="43"/>
    </row>
    <row r="28707" spans="65:67" ht="18.75" customHeight="1">
      <c r="BM28707" s="1025"/>
      <c r="BO28707" s="43"/>
    </row>
    <row r="28708" spans="65:67" ht="18.75" customHeight="1">
      <c r="BM28708" s="1025"/>
      <c r="BO28708" s="43"/>
    </row>
    <row r="28709" spans="65:67" ht="18.75" customHeight="1">
      <c r="BM28709" s="1025"/>
      <c r="BO28709" s="43"/>
    </row>
    <row r="28710" spans="65:67" ht="18.75" customHeight="1">
      <c r="BM28710" s="1025"/>
      <c r="BO28710" s="43"/>
    </row>
    <row r="28711" spans="65:67" ht="18.75" customHeight="1">
      <c r="BM28711" s="1025"/>
      <c r="BO28711" s="43"/>
    </row>
    <row r="28712" spans="65:67" ht="18.75" customHeight="1">
      <c r="BM28712" s="1025"/>
      <c r="BO28712" s="43"/>
    </row>
    <row r="28713" spans="65:67" ht="18.75" customHeight="1">
      <c r="BM28713" s="1025"/>
      <c r="BO28713" s="43"/>
    </row>
    <row r="28714" spans="65:67" ht="18.75" customHeight="1">
      <c r="BM28714" s="1025"/>
      <c r="BO28714" s="43"/>
    </row>
    <row r="28715" spans="65:67" ht="18.75" customHeight="1">
      <c r="BM28715" s="1025"/>
      <c r="BO28715" s="43"/>
    </row>
    <row r="28716" spans="65:67" ht="18.75" customHeight="1">
      <c r="BM28716" s="1025"/>
      <c r="BO28716" s="43"/>
    </row>
    <row r="28717" spans="65:67" ht="18.75" customHeight="1">
      <c r="BM28717" s="1025"/>
      <c r="BO28717" s="43"/>
    </row>
    <row r="28718" spans="65:67" ht="18.75" customHeight="1">
      <c r="BM28718" s="1025"/>
      <c r="BO28718" s="43"/>
    </row>
    <row r="28719" spans="65:67" ht="18.75" customHeight="1">
      <c r="BM28719" s="1025"/>
      <c r="BO28719" s="43"/>
    </row>
    <row r="28720" spans="65:67" ht="18.75" customHeight="1">
      <c r="BM28720" s="1025"/>
      <c r="BO28720" s="43"/>
    </row>
    <row r="28721" spans="65:67" ht="18.75" customHeight="1">
      <c r="BM28721" s="1025"/>
      <c r="BO28721" s="43"/>
    </row>
    <row r="28722" spans="65:67" ht="18.75" customHeight="1">
      <c r="BM28722" s="1025"/>
      <c r="BO28722" s="43"/>
    </row>
    <row r="28723" spans="65:67" ht="18.75" customHeight="1">
      <c r="BM28723" s="1025"/>
      <c r="BO28723" s="43"/>
    </row>
    <row r="28724" spans="65:67" ht="18.75" customHeight="1">
      <c r="BM28724" s="1025"/>
      <c r="BO28724" s="43"/>
    </row>
    <row r="28725" spans="65:67" ht="18.75" customHeight="1">
      <c r="BM28725" s="1025"/>
      <c r="BO28725" s="43"/>
    </row>
    <row r="28726" spans="65:67" ht="18.75" customHeight="1">
      <c r="BM28726" s="1025"/>
      <c r="BO28726" s="43"/>
    </row>
    <row r="28727" spans="65:67" ht="18.75" customHeight="1">
      <c r="BM28727" s="1025"/>
      <c r="BO28727" s="43"/>
    </row>
    <row r="28728" spans="65:67" ht="18.75" customHeight="1">
      <c r="BM28728" s="1025"/>
      <c r="BO28728" s="43"/>
    </row>
    <row r="28729" spans="65:67" ht="18.75" customHeight="1">
      <c r="BM28729" s="1025"/>
      <c r="BO28729" s="43"/>
    </row>
    <row r="28730" spans="65:67" ht="18.75" customHeight="1">
      <c r="BM28730" s="1025"/>
      <c r="BO28730" s="43"/>
    </row>
    <row r="28731" spans="65:67" ht="18.75" customHeight="1">
      <c r="BM28731" s="1025"/>
      <c r="BO28731" s="43"/>
    </row>
    <row r="28732" spans="65:67" ht="18.75" customHeight="1">
      <c r="BM28732" s="1025"/>
      <c r="BO28732" s="43"/>
    </row>
    <row r="28733" spans="65:67" ht="18.75" customHeight="1">
      <c r="BM28733" s="1025"/>
      <c r="BO28733" s="43"/>
    </row>
    <row r="28734" spans="65:67" ht="18.75" customHeight="1">
      <c r="BM28734" s="1025"/>
      <c r="BO28734" s="43"/>
    </row>
    <row r="28735" spans="65:67" ht="18.75" customHeight="1">
      <c r="BM28735" s="1025"/>
      <c r="BO28735" s="43"/>
    </row>
    <row r="28736" spans="65:67" ht="18.75" customHeight="1">
      <c r="BM28736" s="1025"/>
      <c r="BO28736" s="43"/>
    </row>
    <row r="28737" spans="65:67" ht="18.75" customHeight="1">
      <c r="BM28737" s="1025"/>
      <c r="BO28737" s="43"/>
    </row>
    <row r="28738" spans="65:67" ht="18.75" customHeight="1">
      <c r="BM28738" s="1025"/>
      <c r="BO28738" s="43"/>
    </row>
    <row r="28739" spans="65:67" ht="18.75" customHeight="1">
      <c r="BM28739" s="1025"/>
      <c r="BO28739" s="43"/>
    </row>
    <row r="28740" spans="65:67" ht="18.75" customHeight="1">
      <c r="BM28740" s="1025"/>
      <c r="BO28740" s="43"/>
    </row>
    <row r="28741" spans="65:67" ht="18.75" customHeight="1">
      <c r="BM28741" s="1025"/>
      <c r="BO28741" s="43"/>
    </row>
    <row r="28742" spans="65:67" ht="18.75" customHeight="1">
      <c r="BM28742" s="1025"/>
      <c r="BO28742" s="43"/>
    </row>
    <row r="28743" spans="65:67" ht="18.75" customHeight="1">
      <c r="BM28743" s="1025"/>
      <c r="BO28743" s="43"/>
    </row>
    <row r="28744" spans="65:67" ht="18.75" customHeight="1">
      <c r="BM28744" s="1025"/>
      <c r="BO28744" s="43"/>
    </row>
    <row r="28745" spans="65:67" ht="18.75" customHeight="1">
      <c r="BM28745" s="1025"/>
      <c r="BO28745" s="43"/>
    </row>
    <row r="28746" spans="65:67" ht="18.75" customHeight="1">
      <c r="BM28746" s="1025"/>
      <c r="BO28746" s="43"/>
    </row>
    <row r="28747" spans="65:67" ht="18.75" customHeight="1">
      <c r="BM28747" s="1025"/>
      <c r="BO28747" s="43"/>
    </row>
    <row r="28748" spans="65:67" ht="18.75" customHeight="1">
      <c r="BM28748" s="1025"/>
      <c r="BO28748" s="43"/>
    </row>
    <row r="28749" spans="65:67" ht="18.75" customHeight="1">
      <c r="BM28749" s="1025"/>
      <c r="BO28749" s="43"/>
    </row>
    <row r="28750" spans="65:67" ht="18.75" customHeight="1">
      <c r="BM28750" s="1025"/>
      <c r="BO28750" s="43"/>
    </row>
    <row r="28751" spans="65:67" ht="18.75" customHeight="1">
      <c r="BM28751" s="1025"/>
      <c r="BO28751" s="43"/>
    </row>
    <row r="28752" spans="65:67" ht="18.75" customHeight="1">
      <c r="BM28752" s="1025"/>
      <c r="BO28752" s="43"/>
    </row>
    <row r="28753" spans="65:67" ht="18.75" customHeight="1">
      <c r="BM28753" s="1025"/>
      <c r="BO28753" s="43"/>
    </row>
    <row r="28754" spans="65:67" ht="18.75" customHeight="1">
      <c r="BM28754" s="1025"/>
      <c r="BO28754" s="43"/>
    </row>
    <row r="28755" spans="65:67" ht="18.75" customHeight="1">
      <c r="BM28755" s="1025"/>
      <c r="BO28755" s="43"/>
    </row>
    <row r="28756" spans="65:67" ht="18.75" customHeight="1">
      <c r="BM28756" s="1025"/>
      <c r="BO28756" s="43"/>
    </row>
    <row r="28757" spans="65:67" ht="18.75" customHeight="1">
      <c r="BM28757" s="1025"/>
      <c r="BO28757" s="43"/>
    </row>
    <row r="28758" spans="65:67" ht="18.75" customHeight="1">
      <c r="BM28758" s="1025"/>
      <c r="BO28758" s="43"/>
    </row>
    <row r="28759" spans="65:67" ht="18.75" customHeight="1">
      <c r="BM28759" s="1025"/>
      <c r="BO28759" s="43"/>
    </row>
    <row r="28760" spans="65:67" ht="18.75" customHeight="1">
      <c r="BM28760" s="1025"/>
      <c r="BO28760" s="43"/>
    </row>
    <row r="28761" spans="65:67" ht="18.75" customHeight="1">
      <c r="BM28761" s="1025"/>
      <c r="BO28761" s="43"/>
    </row>
    <row r="28762" spans="65:67" ht="18.75" customHeight="1">
      <c r="BM28762" s="1025"/>
      <c r="BO28762" s="43"/>
    </row>
    <row r="28763" spans="65:67" ht="18.75" customHeight="1">
      <c r="BM28763" s="1025"/>
      <c r="BO28763" s="43"/>
    </row>
    <row r="28764" spans="65:67" ht="18.75" customHeight="1">
      <c r="BM28764" s="1025"/>
      <c r="BO28764" s="43"/>
    </row>
    <row r="28765" spans="65:67" ht="18.75" customHeight="1">
      <c r="BM28765" s="1025"/>
      <c r="BO28765" s="43"/>
    </row>
    <row r="28766" spans="65:67" ht="18.75" customHeight="1">
      <c r="BM28766" s="1025"/>
      <c r="BO28766" s="43"/>
    </row>
    <row r="28767" spans="65:67" ht="18.75" customHeight="1">
      <c r="BM28767" s="1025"/>
      <c r="BO28767" s="43"/>
    </row>
    <row r="28768" spans="65:67" ht="18.75" customHeight="1">
      <c r="BM28768" s="1025"/>
      <c r="BO28768" s="43"/>
    </row>
    <row r="28769" spans="65:67" ht="18.75" customHeight="1">
      <c r="BM28769" s="1025"/>
      <c r="BO28769" s="43"/>
    </row>
    <row r="28770" spans="65:67" ht="18.75" customHeight="1">
      <c r="BM28770" s="1025"/>
      <c r="BO28770" s="43"/>
    </row>
    <row r="28771" spans="65:67" ht="18.75" customHeight="1">
      <c r="BM28771" s="1025"/>
      <c r="BO28771" s="43"/>
    </row>
    <row r="28772" spans="65:67" ht="18.75" customHeight="1">
      <c r="BM28772" s="1025"/>
      <c r="BO28772" s="43"/>
    </row>
    <row r="28773" spans="65:67" ht="18.75" customHeight="1">
      <c r="BM28773" s="1025"/>
      <c r="BO28773" s="43"/>
    </row>
    <row r="28774" spans="65:67" ht="18.75" customHeight="1">
      <c r="BM28774" s="1025"/>
      <c r="BO28774" s="43"/>
    </row>
    <row r="28775" spans="65:67" ht="18.75" customHeight="1">
      <c r="BM28775" s="1025"/>
      <c r="BO28775" s="43"/>
    </row>
    <row r="28776" spans="65:67" ht="18.75" customHeight="1">
      <c r="BM28776" s="1025"/>
      <c r="BO28776" s="43"/>
    </row>
    <row r="28777" spans="65:67" ht="18.75" customHeight="1">
      <c r="BM28777" s="1025"/>
      <c r="BO28777" s="43"/>
    </row>
    <row r="28778" spans="65:67" ht="18.75" customHeight="1">
      <c r="BM28778" s="1025"/>
      <c r="BO28778" s="43"/>
    </row>
    <row r="28779" spans="65:67" ht="18.75" customHeight="1">
      <c r="BM28779" s="1025"/>
      <c r="BO28779" s="43"/>
    </row>
    <row r="28780" spans="65:67" ht="18.75" customHeight="1">
      <c r="BM28780" s="1025"/>
      <c r="BO28780" s="43"/>
    </row>
    <row r="28781" spans="65:67" ht="18.75" customHeight="1">
      <c r="BM28781" s="1025"/>
      <c r="BO28781" s="43"/>
    </row>
    <row r="28782" spans="65:67" ht="18.75" customHeight="1">
      <c r="BM28782" s="1025"/>
      <c r="BO28782" s="43"/>
    </row>
    <row r="28783" spans="65:67" ht="18.75" customHeight="1">
      <c r="BM28783" s="1025"/>
      <c r="BO28783" s="43"/>
    </row>
    <row r="28784" spans="65:67" ht="18.75" customHeight="1">
      <c r="BM28784" s="1025"/>
      <c r="BO28784" s="43"/>
    </row>
    <row r="28785" spans="65:67" ht="18.75" customHeight="1">
      <c r="BM28785" s="1025"/>
      <c r="BO28785" s="43"/>
    </row>
    <row r="28786" spans="65:67" ht="18.75" customHeight="1">
      <c r="BM28786" s="1025"/>
      <c r="BO28786" s="43"/>
    </row>
    <row r="28787" spans="65:67" ht="18.75" customHeight="1">
      <c r="BM28787" s="1025"/>
      <c r="BO28787" s="43"/>
    </row>
    <row r="28788" spans="65:67" ht="18.75" customHeight="1">
      <c r="BM28788" s="1025"/>
      <c r="BO28788" s="43"/>
    </row>
    <row r="28789" spans="65:67" ht="18.75" customHeight="1">
      <c r="BM28789" s="1025"/>
      <c r="BO28789" s="43"/>
    </row>
    <row r="28790" spans="65:67" ht="18.75" customHeight="1">
      <c r="BM28790" s="1025"/>
      <c r="BO28790" s="43"/>
    </row>
    <row r="28791" spans="65:67" ht="18.75" customHeight="1">
      <c r="BM28791" s="1025"/>
      <c r="BO28791" s="43"/>
    </row>
    <row r="28792" spans="65:67" ht="18.75" customHeight="1">
      <c r="BM28792" s="1025"/>
      <c r="BO28792" s="43"/>
    </row>
    <row r="28793" spans="65:67" ht="18.75" customHeight="1">
      <c r="BM28793" s="1025"/>
      <c r="BO28793" s="43"/>
    </row>
    <row r="28794" spans="65:67" ht="18.75" customHeight="1">
      <c r="BM28794" s="1025"/>
      <c r="BO28794" s="43"/>
    </row>
    <row r="28795" spans="65:67" ht="18.75" customHeight="1">
      <c r="BM28795" s="1025"/>
      <c r="BO28795" s="43"/>
    </row>
    <row r="28796" spans="65:67" ht="18.75" customHeight="1">
      <c r="BM28796" s="1025"/>
      <c r="BO28796" s="43"/>
    </row>
    <row r="28797" spans="65:67" ht="18.75" customHeight="1">
      <c r="BM28797" s="1025"/>
      <c r="BO28797" s="43"/>
    </row>
    <row r="28798" spans="65:67" ht="18.75" customHeight="1">
      <c r="BM28798" s="1025"/>
      <c r="BO28798" s="43"/>
    </row>
    <row r="28799" spans="65:67" ht="18.75" customHeight="1">
      <c r="BM28799" s="1025"/>
      <c r="BO28799" s="43"/>
    </row>
    <row r="28800" spans="65:67" ht="18.75" customHeight="1">
      <c r="BM28800" s="1025"/>
      <c r="BO28800" s="43"/>
    </row>
    <row r="28801" spans="65:67" ht="18.75" customHeight="1">
      <c r="BM28801" s="1025"/>
      <c r="BO28801" s="43"/>
    </row>
    <row r="28802" spans="65:67" ht="18.75" customHeight="1">
      <c r="BM28802" s="1025"/>
      <c r="BO28802" s="43"/>
    </row>
    <row r="28803" spans="65:67" ht="18.75" customHeight="1">
      <c r="BM28803" s="1025"/>
      <c r="BO28803" s="43"/>
    </row>
    <row r="28804" spans="65:67" ht="18.75" customHeight="1">
      <c r="BM28804" s="1025"/>
      <c r="BO28804" s="43"/>
    </row>
    <row r="28805" spans="65:67" ht="18.75" customHeight="1">
      <c r="BM28805" s="1025"/>
      <c r="BO28805" s="43"/>
    </row>
    <row r="28806" spans="65:67" ht="18.75" customHeight="1">
      <c r="BM28806" s="1025"/>
      <c r="BO28806" s="43"/>
    </row>
    <row r="28807" spans="65:67" ht="18.75" customHeight="1">
      <c r="BM28807" s="1025"/>
      <c r="BO28807" s="43"/>
    </row>
    <row r="28808" spans="65:67" ht="18.75" customHeight="1">
      <c r="BM28808" s="1025"/>
      <c r="BO28808" s="43"/>
    </row>
    <row r="28809" spans="65:67" ht="18.75" customHeight="1">
      <c r="BM28809" s="1025"/>
      <c r="BO28809" s="43"/>
    </row>
    <row r="28810" spans="65:67" ht="18.75" customHeight="1">
      <c r="BM28810" s="1025"/>
      <c r="BO28810" s="43"/>
    </row>
    <row r="28811" spans="65:67" ht="18.75" customHeight="1">
      <c r="BM28811" s="1025"/>
      <c r="BO28811" s="43"/>
    </row>
    <row r="28812" spans="65:67" ht="18.75" customHeight="1">
      <c r="BM28812" s="1025"/>
      <c r="BO28812" s="43"/>
    </row>
    <row r="28813" spans="65:67" ht="18.75" customHeight="1">
      <c r="BM28813" s="1025"/>
      <c r="BO28813" s="43"/>
    </row>
    <row r="28814" spans="65:67" ht="18.75" customHeight="1">
      <c r="BM28814" s="1025"/>
      <c r="BO28814" s="43"/>
    </row>
    <row r="28815" spans="65:67" ht="18.75" customHeight="1">
      <c r="BM28815" s="1025"/>
      <c r="BO28815" s="43"/>
    </row>
    <row r="28816" spans="65:67" ht="18.75" customHeight="1">
      <c r="BM28816" s="1025"/>
      <c r="BO28816" s="43"/>
    </row>
    <row r="28817" spans="65:67" ht="18.75" customHeight="1">
      <c r="BM28817" s="1025"/>
      <c r="BO28817" s="43"/>
    </row>
    <row r="28818" spans="65:67" ht="18.75" customHeight="1">
      <c r="BM28818" s="1025"/>
      <c r="BO28818" s="43"/>
    </row>
    <row r="28819" spans="65:67" ht="18.75" customHeight="1">
      <c r="BM28819" s="1025"/>
      <c r="BO28819" s="43"/>
    </row>
    <row r="28820" spans="65:67" ht="18.75" customHeight="1">
      <c r="BM28820" s="1025"/>
      <c r="BO28820" s="43"/>
    </row>
    <row r="28821" spans="65:67" ht="18.75" customHeight="1">
      <c r="BM28821" s="1025"/>
      <c r="BO28821" s="43"/>
    </row>
    <row r="28822" spans="65:67" ht="18.75" customHeight="1">
      <c r="BM28822" s="1025"/>
      <c r="BO28822" s="43"/>
    </row>
    <row r="28823" spans="65:67" ht="18.75" customHeight="1">
      <c r="BM28823" s="1025"/>
      <c r="BO28823" s="43"/>
    </row>
    <row r="28824" spans="65:67" ht="18.75" customHeight="1">
      <c r="BM28824" s="1025"/>
      <c r="BO28824" s="43"/>
    </row>
    <row r="28825" spans="65:67" ht="18.75" customHeight="1">
      <c r="BM28825" s="1025"/>
      <c r="BO28825" s="43"/>
    </row>
    <row r="28826" spans="65:67" ht="18.75" customHeight="1">
      <c r="BM28826" s="1025"/>
      <c r="BO28826" s="43"/>
    </row>
    <row r="28827" spans="65:67" ht="18.75" customHeight="1">
      <c r="BM28827" s="1025"/>
      <c r="BO28827" s="43"/>
    </row>
    <row r="28828" spans="65:67" ht="18.75" customHeight="1">
      <c r="BM28828" s="1025"/>
      <c r="BO28828" s="43"/>
    </row>
    <row r="28829" spans="65:67" ht="18.75" customHeight="1">
      <c r="BM28829" s="1025"/>
      <c r="BO28829" s="43"/>
    </row>
    <row r="28830" spans="65:67" ht="18.75" customHeight="1">
      <c r="BM28830" s="1025"/>
      <c r="BO28830" s="43"/>
    </row>
    <row r="28831" spans="65:67" ht="18.75" customHeight="1">
      <c r="BM28831" s="1025"/>
      <c r="BO28831" s="43"/>
    </row>
    <row r="28832" spans="65:67" ht="18.75" customHeight="1">
      <c r="BM28832" s="1025"/>
      <c r="BO28832" s="43"/>
    </row>
    <row r="28833" spans="65:67" ht="18.75" customHeight="1">
      <c r="BM28833" s="1025"/>
      <c r="BO28833" s="43"/>
    </row>
    <row r="28834" spans="65:67" ht="18.75" customHeight="1">
      <c r="BM28834" s="1025"/>
      <c r="BO28834" s="43"/>
    </row>
    <row r="28835" spans="65:67" ht="18.75" customHeight="1">
      <c r="BM28835" s="1025"/>
      <c r="BO28835" s="43"/>
    </row>
    <row r="28836" spans="65:67" ht="18.75" customHeight="1">
      <c r="BM28836" s="1025"/>
      <c r="BO28836" s="43"/>
    </row>
    <row r="28837" spans="65:67" ht="18.75" customHeight="1">
      <c r="BM28837" s="1025"/>
      <c r="BO28837" s="43"/>
    </row>
    <row r="28838" spans="65:67" ht="18.75" customHeight="1">
      <c r="BM28838" s="1025"/>
      <c r="BO28838" s="43"/>
    </row>
    <row r="28839" spans="65:67" ht="18.75" customHeight="1">
      <c r="BM28839" s="1025"/>
      <c r="BO28839" s="43"/>
    </row>
    <row r="28840" spans="65:67" ht="18.75" customHeight="1">
      <c r="BM28840" s="1025"/>
      <c r="BO28840" s="43"/>
    </row>
    <row r="28841" spans="65:67" ht="18.75" customHeight="1">
      <c r="BM28841" s="1025"/>
      <c r="BO28841" s="43"/>
    </row>
    <row r="28842" spans="65:67" ht="18.75" customHeight="1">
      <c r="BM28842" s="1025"/>
      <c r="BO28842" s="43"/>
    </row>
    <row r="28843" spans="65:67" ht="18.75" customHeight="1">
      <c r="BM28843" s="1025"/>
      <c r="BO28843" s="43"/>
    </row>
    <row r="28844" spans="65:67" ht="18.75" customHeight="1">
      <c r="BM28844" s="1025"/>
      <c r="BO28844" s="43"/>
    </row>
    <row r="28845" spans="65:67" ht="18.75" customHeight="1">
      <c r="BM28845" s="1025"/>
      <c r="BO28845" s="43"/>
    </row>
    <row r="28846" spans="65:67" ht="18.75" customHeight="1">
      <c r="BM28846" s="1025"/>
      <c r="BO28846" s="43"/>
    </row>
    <row r="28847" spans="65:67" ht="18.75" customHeight="1">
      <c r="BM28847" s="1025"/>
      <c r="BO28847" s="43"/>
    </row>
    <row r="28848" spans="65:67" ht="18.75" customHeight="1">
      <c r="BM28848" s="1025"/>
      <c r="BO28848" s="43"/>
    </row>
    <row r="28849" spans="65:67" ht="18.75" customHeight="1">
      <c r="BM28849" s="1025"/>
      <c r="BO28849" s="43"/>
    </row>
    <row r="28850" spans="65:67" ht="18.75" customHeight="1">
      <c r="BM28850" s="1025"/>
      <c r="BO28850" s="43"/>
    </row>
    <row r="28851" spans="65:67" ht="18.75" customHeight="1">
      <c r="BM28851" s="1025"/>
      <c r="BO28851" s="43"/>
    </row>
    <row r="28852" spans="65:67" ht="18.75" customHeight="1">
      <c r="BM28852" s="1025"/>
      <c r="BO28852" s="43"/>
    </row>
    <row r="28853" spans="65:67" ht="18.75" customHeight="1">
      <c r="BM28853" s="1025"/>
      <c r="BO28853" s="43"/>
    </row>
    <row r="28854" spans="65:67" ht="18.75" customHeight="1">
      <c r="BM28854" s="1025"/>
      <c r="BO28854" s="43"/>
    </row>
    <row r="28855" spans="65:67" ht="18.75" customHeight="1">
      <c r="BM28855" s="1025"/>
      <c r="BO28855" s="43"/>
    </row>
    <row r="28856" spans="65:67" ht="18.75" customHeight="1">
      <c r="BM28856" s="1025"/>
      <c r="BO28856" s="43"/>
    </row>
    <row r="28857" spans="65:67" ht="18.75" customHeight="1">
      <c r="BM28857" s="1025"/>
      <c r="BO28857" s="43"/>
    </row>
    <row r="28858" spans="65:67" ht="18.75" customHeight="1">
      <c r="BM28858" s="1025"/>
      <c r="BO28858" s="43"/>
    </row>
    <row r="28859" spans="65:67" ht="18.75" customHeight="1">
      <c r="BM28859" s="1025"/>
      <c r="BO28859" s="43"/>
    </row>
    <row r="28860" spans="65:67" ht="18.75" customHeight="1">
      <c r="BM28860" s="1025"/>
      <c r="BO28860" s="43"/>
    </row>
    <row r="28861" spans="65:67" ht="18.75" customHeight="1">
      <c r="BM28861" s="1025"/>
      <c r="BO28861" s="43"/>
    </row>
    <row r="28862" spans="65:67" ht="18.75" customHeight="1">
      <c r="BM28862" s="1025"/>
      <c r="BO28862" s="43"/>
    </row>
    <row r="28863" spans="65:67" ht="18.75" customHeight="1">
      <c r="BM28863" s="1025"/>
      <c r="BO28863" s="43"/>
    </row>
    <row r="28864" spans="65:67" ht="18.75" customHeight="1">
      <c r="BM28864" s="1025"/>
      <c r="BO28864" s="43"/>
    </row>
    <row r="28865" spans="65:67" ht="18.75" customHeight="1">
      <c r="BM28865" s="1025"/>
      <c r="BO28865" s="43"/>
    </row>
    <row r="28866" spans="65:67" ht="18.75" customHeight="1">
      <c r="BM28866" s="1025"/>
      <c r="BO28866" s="43"/>
    </row>
    <row r="28867" spans="65:67" ht="18.75" customHeight="1">
      <c r="BM28867" s="1025"/>
      <c r="BO28867" s="43"/>
    </row>
    <row r="28868" spans="65:67" ht="18.75" customHeight="1">
      <c r="BM28868" s="1025"/>
      <c r="BO28868" s="43"/>
    </row>
    <row r="28869" spans="65:67" ht="18.75" customHeight="1">
      <c r="BM28869" s="1025"/>
      <c r="BO28869" s="43"/>
    </row>
    <row r="28870" spans="65:67" ht="18.75" customHeight="1">
      <c r="BM28870" s="1025"/>
      <c r="BO28870" s="43"/>
    </row>
    <row r="28871" spans="65:67" ht="18.75" customHeight="1">
      <c r="BM28871" s="1025"/>
      <c r="BO28871" s="43"/>
    </row>
    <row r="28872" spans="65:67" ht="18.75" customHeight="1">
      <c r="BM28872" s="1025"/>
      <c r="BO28872" s="43"/>
    </row>
    <row r="28873" spans="65:67" ht="18.75" customHeight="1">
      <c r="BM28873" s="1025"/>
      <c r="BO28873" s="43"/>
    </row>
    <row r="28874" spans="65:67" ht="18.75" customHeight="1">
      <c r="BM28874" s="1025"/>
      <c r="BO28874" s="43"/>
    </row>
    <row r="28875" spans="65:67" ht="18.75" customHeight="1">
      <c r="BM28875" s="1025"/>
      <c r="BO28875" s="43"/>
    </row>
    <row r="28876" spans="65:67" ht="18.75" customHeight="1">
      <c r="BM28876" s="1025"/>
      <c r="BO28876" s="43"/>
    </row>
    <row r="28877" spans="65:67" ht="18.75" customHeight="1">
      <c r="BM28877" s="1025"/>
      <c r="BO28877" s="43"/>
    </row>
    <row r="28878" spans="65:67" ht="18.75" customHeight="1">
      <c r="BM28878" s="1025"/>
      <c r="BO28878" s="43"/>
    </row>
    <row r="28879" spans="65:67" ht="18.75" customHeight="1">
      <c r="BM28879" s="1025"/>
      <c r="BO28879" s="43"/>
    </row>
    <row r="28880" spans="65:67" ht="18.75" customHeight="1">
      <c r="BM28880" s="1025"/>
      <c r="BO28880" s="43"/>
    </row>
    <row r="28881" spans="65:67" ht="18.75" customHeight="1">
      <c r="BM28881" s="1025"/>
      <c r="BO28881" s="43"/>
    </row>
    <row r="28882" spans="65:67" ht="18.75" customHeight="1">
      <c r="BM28882" s="1025"/>
      <c r="BO28882" s="43"/>
    </row>
    <row r="28883" spans="65:67" ht="18.75" customHeight="1">
      <c r="BM28883" s="1025"/>
      <c r="BO28883" s="43"/>
    </row>
    <row r="28884" spans="65:67" ht="18.75" customHeight="1">
      <c r="BM28884" s="1025"/>
      <c r="BO28884" s="43"/>
    </row>
    <row r="28885" spans="65:67" ht="18.75" customHeight="1">
      <c r="BM28885" s="1025"/>
      <c r="BO28885" s="43"/>
    </row>
    <row r="28886" spans="65:67" ht="18.75" customHeight="1">
      <c r="BM28886" s="1025"/>
      <c r="BO28886" s="43"/>
    </row>
    <row r="28887" spans="65:67" ht="18.75" customHeight="1">
      <c r="BM28887" s="1025"/>
      <c r="BO28887" s="43"/>
    </row>
    <row r="28888" spans="65:67" ht="18.75" customHeight="1">
      <c r="BM28888" s="1025"/>
      <c r="BO28888" s="43"/>
    </row>
    <row r="28889" spans="65:67" ht="18.75" customHeight="1">
      <c r="BM28889" s="1025"/>
      <c r="BO28889" s="43"/>
    </row>
    <row r="28890" spans="65:67" ht="18.75" customHeight="1">
      <c r="BM28890" s="1025"/>
      <c r="BO28890" s="43"/>
    </row>
    <row r="28891" spans="65:67" ht="18.75" customHeight="1">
      <c r="BM28891" s="1025"/>
      <c r="BO28891" s="43"/>
    </row>
    <row r="28892" spans="65:67" ht="18.75" customHeight="1">
      <c r="BM28892" s="1025"/>
      <c r="BO28892" s="43"/>
    </row>
    <row r="28893" spans="65:67" ht="18.75" customHeight="1">
      <c r="BM28893" s="1025"/>
      <c r="BO28893" s="43"/>
    </row>
    <row r="28894" spans="65:67" ht="18.75" customHeight="1">
      <c r="BM28894" s="1025"/>
      <c r="BO28894" s="43"/>
    </row>
    <row r="28895" spans="65:67" ht="18.75" customHeight="1">
      <c r="BM28895" s="1025"/>
      <c r="BO28895" s="43"/>
    </row>
    <row r="28896" spans="65:67" ht="18.75" customHeight="1">
      <c r="BM28896" s="1025"/>
      <c r="BO28896" s="43"/>
    </row>
    <row r="28897" spans="65:67" ht="18.75" customHeight="1">
      <c r="BM28897" s="1025"/>
      <c r="BO28897" s="43"/>
    </row>
    <row r="28898" spans="65:67" ht="18.75" customHeight="1">
      <c r="BM28898" s="1025"/>
      <c r="BO28898" s="43"/>
    </row>
    <row r="28899" spans="65:67" ht="18.75" customHeight="1">
      <c r="BM28899" s="1025"/>
      <c r="BO28899" s="43"/>
    </row>
    <row r="28900" spans="65:67" ht="18.75" customHeight="1">
      <c r="BM28900" s="1025"/>
      <c r="BO28900" s="43"/>
    </row>
    <row r="28901" spans="65:67" ht="18.75" customHeight="1">
      <c r="BM28901" s="1025"/>
      <c r="BO28901" s="43"/>
    </row>
    <row r="28902" spans="65:67" ht="18.75" customHeight="1">
      <c r="BM28902" s="1025"/>
      <c r="BO28902" s="43"/>
    </row>
    <row r="28903" spans="65:67" ht="18.75" customHeight="1">
      <c r="BM28903" s="1025"/>
      <c r="BO28903" s="43"/>
    </row>
    <row r="28904" spans="65:67" ht="18.75" customHeight="1">
      <c r="BM28904" s="1025"/>
      <c r="BO28904" s="43"/>
    </row>
    <row r="28905" spans="65:67" ht="18.75" customHeight="1">
      <c r="BM28905" s="1025"/>
      <c r="BO28905" s="43"/>
    </row>
    <row r="28906" spans="65:67" ht="18.75" customHeight="1">
      <c r="BM28906" s="1025"/>
      <c r="BO28906" s="43"/>
    </row>
    <row r="28907" spans="65:67" ht="18.75" customHeight="1">
      <c r="BM28907" s="1025"/>
      <c r="BO28907" s="43"/>
    </row>
    <row r="28908" spans="65:67" ht="18.75" customHeight="1">
      <c r="BM28908" s="1025"/>
      <c r="BO28908" s="43"/>
    </row>
    <row r="28909" spans="65:67" ht="18.75" customHeight="1">
      <c r="BM28909" s="1025"/>
      <c r="BO28909" s="43"/>
    </row>
    <row r="28910" spans="65:67" ht="18.75" customHeight="1">
      <c r="BM28910" s="1025"/>
      <c r="BO28910" s="43"/>
    </row>
    <row r="28911" spans="65:67" ht="18.75" customHeight="1">
      <c r="BM28911" s="1025"/>
      <c r="BO28911" s="43"/>
    </row>
    <row r="28912" spans="65:67" ht="18.75" customHeight="1">
      <c r="BM28912" s="1025"/>
      <c r="BO28912" s="43"/>
    </row>
    <row r="28913" spans="65:67" ht="18.75" customHeight="1">
      <c r="BM28913" s="1025"/>
      <c r="BO28913" s="43"/>
    </row>
    <row r="28914" spans="65:67" ht="18.75" customHeight="1">
      <c r="BM28914" s="1025"/>
      <c r="BO28914" s="43"/>
    </row>
    <row r="28915" spans="65:67" ht="18.75" customHeight="1">
      <c r="BM28915" s="1025"/>
      <c r="BO28915" s="43"/>
    </row>
    <row r="28916" spans="65:67" ht="18.75" customHeight="1">
      <c r="BM28916" s="1025"/>
      <c r="BO28916" s="43"/>
    </row>
    <row r="28917" spans="65:67" ht="18.75" customHeight="1">
      <c r="BM28917" s="1025"/>
      <c r="BO28917" s="43"/>
    </row>
    <row r="28918" spans="65:67" ht="18.75" customHeight="1">
      <c r="BM28918" s="1025"/>
      <c r="BO28918" s="43"/>
    </row>
    <row r="28919" spans="65:67" ht="18.75" customHeight="1">
      <c r="BM28919" s="1025"/>
      <c r="BO28919" s="43"/>
    </row>
    <row r="28920" spans="65:67" ht="18.75" customHeight="1">
      <c r="BM28920" s="1025"/>
      <c r="BO28920" s="43"/>
    </row>
    <row r="28921" spans="65:67" ht="18.75" customHeight="1">
      <c r="BM28921" s="1025"/>
      <c r="BO28921" s="43"/>
    </row>
    <row r="28922" spans="65:67" ht="18.75" customHeight="1">
      <c r="BM28922" s="1025"/>
      <c r="BO28922" s="43"/>
    </row>
    <row r="28923" spans="65:67" ht="18.75" customHeight="1">
      <c r="BM28923" s="1025"/>
      <c r="BO28923" s="43"/>
    </row>
    <row r="28924" spans="65:67" ht="18.75" customHeight="1">
      <c r="BM28924" s="1025"/>
      <c r="BO28924" s="43"/>
    </row>
    <row r="28925" spans="65:67" ht="18.75" customHeight="1">
      <c r="BM28925" s="1025"/>
      <c r="BO28925" s="43"/>
    </row>
    <row r="28926" spans="65:67" ht="18.75" customHeight="1">
      <c r="BM28926" s="1025"/>
      <c r="BO28926" s="43"/>
    </row>
    <row r="28927" spans="65:67" ht="18.75" customHeight="1">
      <c r="BM28927" s="1025"/>
      <c r="BO28927" s="43"/>
    </row>
    <row r="28928" spans="65:67" ht="18.75" customHeight="1">
      <c r="BM28928" s="1025"/>
      <c r="BO28928" s="43"/>
    </row>
    <row r="28929" spans="65:67" ht="18.75" customHeight="1">
      <c r="BM28929" s="1025"/>
      <c r="BO28929" s="43"/>
    </row>
    <row r="28930" spans="65:67" ht="18.75" customHeight="1">
      <c r="BM28930" s="1025"/>
      <c r="BO28930" s="43"/>
    </row>
    <row r="28931" spans="65:67" ht="18.75" customHeight="1">
      <c r="BM28931" s="1025"/>
      <c r="BO28931" s="43"/>
    </row>
    <row r="28932" spans="65:67" ht="18.75" customHeight="1">
      <c r="BM28932" s="1025"/>
      <c r="BO28932" s="43"/>
    </row>
    <row r="28933" spans="65:67" ht="18.75" customHeight="1">
      <c r="BM28933" s="1025"/>
      <c r="BO28933" s="43"/>
    </row>
    <row r="28934" spans="65:67" ht="18.75" customHeight="1">
      <c r="BM28934" s="1025"/>
      <c r="BO28934" s="43"/>
    </row>
    <row r="28935" spans="65:67" ht="18.75" customHeight="1">
      <c r="BM28935" s="1025"/>
      <c r="BO28935" s="43"/>
    </row>
    <row r="28936" spans="65:67" ht="18.75" customHeight="1">
      <c r="BM28936" s="1025"/>
      <c r="BO28936" s="43"/>
    </row>
    <row r="28937" spans="65:67" ht="18.75" customHeight="1">
      <c r="BM28937" s="1025"/>
      <c r="BO28937" s="43"/>
    </row>
    <row r="28938" spans="65:67" ht="18.75" customHeight="1">
      <c r="BM28938" s="1025"/>
      <c r="BO28938" s="43"/>
    </row>
    <row r="28939" spans="65:67" ht="18.75" customHeight="1">
      <c r="BM28939" s="1025"/>
      <c r="BO28939" s="43"/>
    </row>
    <row r="28940" spans="65:67" ht="18.75" customHeight="1">
      <c r="BM28940" s="1025"/>
      <c r="BO28940" s="43"/>
    </row>
    <row r="28941" spans="65:67" ht="18.75" customHeight="1">
      <c r="BM28941" s="1025"/>
      <c r="BO28941" s="43"/>
    </row>
    <row r="28942" spans="65:67" ht="18.75" customHeight="1">
      <c r="BM28942" s="1025"/>
      <c r="BO28942" s="43"/>
    </row>
    <row r="28943" spans="65:67" ht="18.75" customHeight="1">
      <c r="BM28943" s="1025"/>
      <c r="BO28943" s="43"/>
    </row>
    <row r="28944" spans="65:67" ht="18.75" customHeight="1">
      <c r="BM28944" s="1025"/>
      <c r="BO28944" s="43"/>
    </row>
    <row r="28945" spans="65:67" ht="18.75" customHeight="1">
      <c r="BM28945" s="1025"/>
      <c r="BO28945" s="43"/>
    </row>
    <row r="28946" spans="65:67" ht="18.75" customHeight="1">
      <c r="BM28946" s="1025"/>
      <c r="BO28946" s="43"/>
    </row>
    <row r="28947" spans="65:67" ht="18.75" customHeight="1">
      <c r="BM28947" s="1025"/>
      <c r="BO28947" s="43"/>
    </row>
    <row r="28948" spans="65:67" ht="18.75" customHeight="1">
      <c r="BM28948" s="1025"/>
      <c r="BO28948" s="43"/>
    </row>
    <row r="28949" spans="65:67" ht="18.75" customHeight="1">
      <c r="BM28949" s="1025"/>
      <c r="BO28949" s="43"/>
    </row>
    <row r="28950" spans="65:67" ht="18.75" customHeight="1">
      <c r="BM28950" s="1025"/>
      <c r="BO28950" s="43"/>
    </row>
    <row r="28951" spans="65:67" ht="18.75" customHeight="1">
      <c r="BM28951" s="1025"/>
      <c r="BO28951" s="43"/>
    </row>
    <row r="28952" spans="65:67" ht="18.75" customHeight="1">
      <c r="BM28952" s="1025"/>
      <c r="BO28952" s="43"/>
    </row>
    <row r="28953" spans="65:67" ht="18.75" customHeight="1">
      <c r="BM28953" s="1025"/>
      <c r="BO28953" s="43"/>
    </row>
    <row r="28954" spans="65:67" ht="18.75" customHeight="1">
      <c r="BM28954" s="1025"/>
      <c r="BO28954" s="43"/>
    </row>
    <row r="28955" spans="65:67" ht="18.75" customHeight="1">
      <c r="BM28955" s="1025"/>
      <c r="BO28955" s="43"/>
    </row>
    <row r="28956" spans="65:67" ht="18.75" customHeight="1">
      <c r="BM28956" s="1025"/>
      <c r="BO28956" s="43"/>
    </row>
    <row r="28957" spans="65:67" ht="18.75" customHeight="1">
      <c r="BM28957" s="1025"/>
      <c r="BO28957" s="43"/>
    </row>
    <row r="28958" spans="65:67" ht="18.75" customHeight="1">
      <c r="BM28958" s="1025"/>
      <c r="BO28958" s="43"/>
    </row>
    <row r="28959" spans="65:67" ht="18.75" customHeight="1">
      <c r="BM28959" s="1025"/>
      <c r="BO28959" s="43"/>
    </row>
    <row r="28960" spans="65:67" ht="18.75" customHeight="1">
      <c r="BM28960" s="1025"/>
      <c r="BO28960" s="43"/>
    </row>
    <row r="28961" spans="65:67" ht="18.75" customHeight="1">
      <c r="BM28961" s="1025"/>
      <c r="BO28961" s="43"/>
    </row>
    <row r="28962" spans="65:67" ht="18.75" customHeight="1">
      <c r="BM28962" s="1025"/>
      <c r="BO28962" s="43"/>
    </row>
    <row r="28963" spans="65:67" ht="18.75" customHeight="1">
      <c r="BM28963" s="1025"/>
      <c r="BO28963" s="43"/>
    </row>
    <row r="28964" spans="65:67" ht="18.75" customHeight="1">
      <c r="BM28964" s="1025"/>
      <c r="BO28964" s="43"/>
    </row>
    <row r="28965" spans="65:67" ht="18.75" customHeight="1">
      <c r="BM28965" s="1025"/>
      <c r="BO28965" s="43"/>
    </row>
    <row r="28966" spans="65:67" ht="18.75" customHeight="1">
      <c r="BM28966" s="1025"/>
      <c r="BO28966" s="43"/>
    </row>
    <row r="28967" spans="65:67" ht="18.75" customHeight="1">
      <c r="BM28967" s="1025"/>
      <c r="BO28967" s="43"/>
    </row>
    <row r="28968" spans="65:67" ht="18.75" customHeight="1">
      <c r="BM28968" s="1025"/>
      <c r="BO28968" s="43"/>
    </row>
    <row r="28969" spans="65:67" ht="18.75" customHeight="1">
      <c r="BM28969" s="1025"/>
      <c r="BO28969" s="43"/>
    </row>
    <row r="28970" spans="65:67" ht="18.75" customHeight="1">
      <c r="BM28970" s="1025"/>
      <c r="BO28970" s="43"/>
    </row>
    <row r="28971" spans="65:67" ht="18.75" customHeight="1">
      <c r="BM28971" s="1025"/>
      <c r="BO28971" s="43"/>
    </row>
    <row r="28972" spans="65:67" ht="18.75" customHeight="1">
      <c r="BM28972" s="1025"/>
      <c r="BO28972" s="43"/>
    </row>
    <row r="28973" spans="65:67" ht="18.75" customHeight="1">
      <c r="BM28973" s="1025"/>
      <c r="BO28973" s="43"/>
    </row>
    <row r="28974" spans="65:67" ht="18.75" customHeight="1">
      <c r="BM28974" s="1025"/>
      <c r="BO28974" s="43"/>
    </row>
    <row r="28975" spans="65:67" ht="18.75" customHeight="1">
      <c r="BM28975" s="1025"/>
      <c r="BO28975" s="43"/>
    </row>
    <row r="28976" spans="65:67" ht="18.75" customHeight="1">
      <c r="BM28976" s="1025"/>
      <c r="BO28976" s="43"/>
    </row>
    <row r="28977" spans="65:67" ht="18.75" customHeight="1">
      <c r="BM28977" s="1025"/>
      <c r="BO28977" s="43"/>
    </row>
    <row r="28978" spans="65:67" ht="18.75" customHeight="1">
      <c r="BM28978" s="1025"/>
      <c r="BO28978" s="43"/>
    </row>
    <row r="28979" spans="65:67" ht="18.75" customHeight="1">
      <c r="BM28979" s="1025"/>
      <c r="BO28979" s="43"/>
    </row>
    <row r="28980" spans="65:67" ht="18.75" customHeight="1">
      <c r="BM28980" s="1025"/>
      <c r="BO28980" s="43"/>
    </row>
    <row r="28981" spans="65:67" ht="18.75" customHeight="1">
      <c r="BM28981" s="1025"/>
      <c r="BO28981" s="43"/>
    </row>
    <row r="28982" spans="65:67" ht="18.75" customHeight="1">
      <c r="BM28982" s="1025"/>
      <c r="BO28982" s="43"/>
    </row>
    <row r="28983" spans="65:67" ht="18.75" customHeight="1">
      <c r="BM28983" s="1025"/>
      <c r="BO28983" s="43"/>
    </row>
    <row r="28984" spans="65:67" ht="18.75" customHeight="1">
      <c r="BM28984" s="1025"/>
      <c r="BO28984" s="43"/>
    </row>
    <row r="28985" spans="65:67" ht="18.75" customHeight="1">
      <c r="BM28985" s="1025"/>
      <c r="BO28985" s="43"/>
    </row>
    <row r="28986" spans="65:67" ht="18.75" customHeight="1">
      <c r="BM28986" s="1025"/>
      <c r="BO28986" s="43"/>
    </row>
    <row r="28987" spans="65:67" ht="18.75" customHeight="1">
      <c r="BM28987" s="1025"/>
      <c r="BO28987" s="43"/>
    </row>
    <row r="28988" spans="65:67" ht="18.75" customHeight="1">
      <c r="BM28988" s="1025"/>
      <c r="BO28988" s="43"/>
    </row>
    <row r="28989" spans="65:67" ht="18.75" customHeight="1">
      <c r="BM28989" s="1025"/>
      <c r="BO28989" s="43"/>
    </row>
    <row r="28990" spans="65:67" ht="18.75" customHeight="1">
      <c r="BM28990" s="1025"/>
      <c r="BO28990" s="43"/>
    </row>
    <row r="28991" spans="65:67" ht="18.75" customHeight="1">
      <c r="BM28991" s="1025"/>
      <c r="BO28991" s="43"/>
    </row>
    <row r="28992" spans="65:67" ht="18.75" customHeight="1">
      <c r="BM28992" s="1025"/>
      <c r="BO28992" s="43"/>
    </row>
    <row r="28993" spans="65:67" ht="18.75" customHeight="1">
      <c r="BM28993" s="1025"/>
      <c r="BO28993" s="43"/>
    </row>
    <row r="28994" spans="65:67" ht="18.75" customHeight="1">
      <c r="BM28994" s="1025"/>
      <c r="BO28994" s="43"/>
    </row>
    <row r="28995" spans="65:67" ht="18.75" customHeight="1">
      <c r="BM28995" s="1025"/>
      <c r="BO28995" s="43"/>
    </row>
    <row r="28996" spans="65:67" ht="18.75" customHeight="1">
      <c r="BM28996" s="1025"/>
      <c r="BO28996" s="43"/>
    </row>
    <row r="28997" spans="65:67" ht="18.75" customHeight="1">
      <c r="BM28997" s="1025"/>
      <c r="BO28997" s="43"/>
    </row>
    <row r="28998" spans="65:67" ht="18.75" customHeight="1">
      <c r="BM28998" s="1025"/>
      <c r="BO28998" s="43"/>
    </row>
    <row r="28999" spans="65:67" ht="18.75" customHeight="1">
      <c r="BM28999" s="1025"/>
      <c r="BO28999" s="43"/>
    </row>
    <row r="29000" spans="65:67" ht="18.75" customHeight="1">
      <c r="BM29000" s="1025"/>
      <c r="BO29000" s="43"/>
    </row>
    <row r="29001" spans="65:67" ht="18.75" customHeight="1">
      <c r="BM29001" s="1025"/>
      <c r="BO29001" s="43"/>
    </row>
    <row r="29002" spans="65:67" ht="18.75" customHeight="1">
      <c r="BM29002" s="1025"/>
      <c r="BO29002" s="43"/>
    </row>
    <row r="29003" spans="65:67" ht="18.75" customHeight="1">
      <c r="BM29003" s="1025"/>
      <c r="BO29003" s="43"/>
    </row>
    <row r="29004" spans="65:67" ht="18.75" customHeight="1">
      <c r="BM29004" s="1025"/>
      <c r="BO29004" s="43"/>
    </row>
    <row r="29005" spans="65:67" ht="18.75" customHeight="1">
      <c r="BM29005" s="1025"/>
      <c r="BO29005" s="43"/>
    </row>
    <row r="29006" spans="65:67" ht="18.75" customHeight="1">
      <c r="BM29006" s="1025"/>
      <c r="BO29006" s="43"/>
    </row>
    <row r="29007" spans="65:67" ht="18.75" customHeight="1">
      <c r="BM29007" s="1025"/>
      <c r="BO29007" s="43"/>
    </row>
    <row r="29008" spans="65:67" ht="18.75" customHeight="1">
      <c r="BM29008" s="1025"/>
      <c r="BO29008" s="43"/>
    </row>
    <row r="29009" spans="65:67" ht="18.75" customHeight="1">
      <c r="BM29009" s="1025"/>
      <c r="BO29009" s="43"/>
    </row>
    <row r="29010" spans="65:67" ht="18.75" customHeight="1">
      <c r="BM29010" s="1025"/>
      <c r="BO29010" s="43"/>
    </row>
    <row r="29011" spans="65:67" ht="18.75" customHeight="1">
      <c r="BM29011" s="1025"/>
      <c r="BO29011" s="43"/>
    </row>
    <row r="29012" spans="65:67" ht="18.75" customHeight="1">
      <c r="BM29012" s="1025"/>
      <c r="BO29012" s="43"/>
    </row>
    <row r="29013" spans="65:67" ht="18.75" customHeight="1">
      <c r="BM29013" s="1025"/>
      <c r="BO29013" s="43"/>
    </row>
    <row r="29014" spans="65:67" ht="18.75" customHeight="1">
      <c r="BM29014" s="1025"/>
      <c r="BO29014" s="43"/>
    </row>
    <row r="29015" spans="65:67" ht="18.75" customHeight="1">
      <c r="BM29015" s="1025"/>
      <c r="BO29015" s="43"/>
    </row>
    <row r="29016" spans="65:67" ht="18.75" customHeight="1">
      <c r="BM29016" s="1025"/>
      <c r="BO29016" s="43"/>
    </row>
    <row r="29017" spans="65:67" ht="18.75" customHeight="1">
      <c r="BM29017" s="1025"/>
      <c r="BO29017" s="43"/>
    </row>
    <row r="29018" spans="65:67" ht="18.75" customHeight="1">
      <c r="BM29018" s="1025"/>
      <c r="BO29018" s="43"/>
    </row>
    <row r="29019" spans="65:67" ht="18.75" customHeight="1">
      <c r="BM29019" s="1025"/>
      <c r="BO29019" s="43"/>
    </row>
    <row r="29020" spans="65:67" ht="18.75" customHeight="1">
      <c r="BM29020" s="1025"/>
      <c r="BO29020" s="43"/>
    </row>
    <row r="29021" spans="65:67" ht="18.75" customHeight="1">
      <c r="BM29021" s="1025"/>
      <c r="BO29021" s="43"/>
    </row>
    <row r="29022" spans="65:67" ht="18.75" customHeight="1">
      <c r="BM29022" s="1025"/>
      <c r="BO29022" s="43"/>
    </row>
    <row r="29023" spans="65:67" ht="18.75" customHeight="1">
      <c r="BM29023" s="1025"/>
      <c r="BO29023" s="43"/>
    </row>
    <row r="29024" spans="65:67" ht="18.75" customHeight="1">
      <c r="BM29024" s="1025"/>
      <c r="BO29024" s="43"/>
    </row>
    <row r="29025" spans="65:67" ht="18.75" customHeight="1">
      <c r="BM29025" s="1025"/>
      <c r="BO29025" s="43"/>
    </row>
    <row r="29026" spans="65:67" ht="18.75" customHeight="1">
      <c r="BM29026" s="1025"/>
      <c r="BO29026" s="43"/>
    </row>
    <row r="29027" spans="65:67" ht="18.75" customHeight="1">
      <c r="BM29027" s="1025"/>
      <c r="BO29027" s="43"/>
    </row>
    <row r="29028" spans="65:67" ht="18.75" customHeight="1">
      <c r="BM29028" s="1025"/>
      <c r="BO29028" s="43"/>
    </row>
    <row r="29029" spans="65:67" ht="18.75" customHeight="1">
      <c r="BM29029" s="1025"/>
      <c r="BO29029" s="43"/>
    </row>
    <row r="29030" spans="65:67" ht="18.75" customHeight="1">
      <c r="BM29030" s="1025"/>
      <c r="BO29030" s="43"/>
    </row>
    <row r="29031" spans="65:67" ht="18.75" customHeight="1">
      <c r="BM29031" s="1025"/>
      <c r="BO29031" s="43"/>
    </row>
    <row r="29032" spans="65:67" ht="18.75" customHeight="1">
      <c r="BM29032" s="1025"/>
      <c r="BO29032" s="43"/>
    </row>
    <row r="29033" spans="65:67" ht="18.75" customHeight="1">
      <c r="BM29033" s="1025"/>
      <c r="BO29033" s="43"/>
    </row>
    <row r="29034" spans="65:67" ht="18.75" customHeight="1">
      <c r="BM29034" s="1025"/>
      <c r="BO29034" s="43"/>
    </row>
    <row r="29035" spans="65:67" ht="18.75" customHeight="1">
      <c r="BM29035" s="1025"/>
      <c r="BO29035" s="43"/>
    </row>
    <row r="29036" spans="65:67" ht="18.75" customHeight="1">
      <c r="BM29036" s="1025"/>
      <c r="BO29036" s="43"/>
    </row>
    <row r="29037" spans="65:67" ht="18.75" customHeight="1">
      <c r="BM29037" s="1025"/>
      <c r="BO29037" s="43"/>
    </row>
    <row r="29038" spans="65:67" ht="18.75" customHeight="1">
      <c r="BM29038" s="1025"/>
      <c r="BO29038" s="43"/>
    </row>
    <row r="29039" spans="65:67" ht="18.75" customHeight="1">
      <c r="BM29039" s="1025"/>
      <c r="BO29039" s="43"/>
    </row>
    <row r="29040" spans="65:67" ht="18.75" customHeight="1">
      <c r="BM29040" s="1025"/>
      <c r="BO29040" s="43"/>
    </row>
    <row r="29041" spans="65:67" ht="18.75" customHeight="1">
      <c r="BM29041" s="1025"/>
      <c r="BO29041" s="43"/>
    </row>
    <row r="29042" spans="65:67" ht="18.75" customHeight="1">
      <c r="BM29042" s="1025"/>
      <c r="BO29042" s="43"/>
    </row>
    <row r="29043" spans="65:67" ht="18.75" customHeight="1">
      <c r="BM29043" s="1025"/>
      <c r="BO29043" s="43"/>
    </row>
    <row r="29044" spans="65:67" ht="18.75" customHeight="1">
      <c r="BM29044" s="1025"/>
      <c r="BO29044" s="43"/>
    </row>
    <row r="29045" spans="65:67" ht="18.75" customHeight="1">
      <c r="BM29045" s="1025"/>
      <c r="BO29045" s="43"/>
    </row>
    <row r="29046" spans="65:67" ht="18.75" customHeight="1">
      <c r="BM29046" s="1025"/>
      <c r="BO29046" s="43"/>
    </row>
    <row r="29047" spans="65:67" ht="18.75" customHeight="1">
      <c r="BM29047" s="1025"/>
      <c r="BO29047" s="43"/>
    </row>
    <row r="29048" spans="65:67" ht="18.75" customHeight="1">
      <c r="BM29048" s="1025"/>
      <c r="BO29048" s="43"/>
    </row>
    <row r="29049" spans="65:67" ht="18.75" customHeight="1">
      <c r="BM29049" s="1025"/>
      <c r="BO29049" s="43"/>
    </row>
    <row r="29050" spans="65:67" ht="18.75" customHeight="1">
      <c r="BM29050" s="1025"/>
      <c r="BO29050" s="43"/>
    </row>
    <row r="29051" spans="65:67" ht="18.75" customHeight="1">
      <c r="BM29051" s="1025"/>
      <c r="BO29051" s="43"/>
    </row>
    <row r="29052" spans="65:67" ht="18.75" customHeight="1">
      <c r="BM29052" s="1025"/>
      <c r="BO29052" s="43"/>
    </row>
    <row r="29053" spans="65:67" ht="18.75" customHeight="1">
      <c r="BM29053" s="1025"/>
      <c r="BO29053" s="43"/>
    </row>
    <row r="29054" spans="65:67" ht="18.75" customHeight="1">
      <c r="BM29054" s="1025"/>
      <c r="BO29054" s="43"/>
    </row>
    <row r="29055" spans="65:67" ht="18.75" customHeight="1">
      <c r="BM29055" s="1025"/>
      <c r="BO29055" s="43"/>
    </row>
    <row r="29056" spans="65:67" ht="18.75" customHeight="1">
      <c r="BM29056" s="1025"/>
      <c r="BO29056" s="43"/>
    </row>
    <row r="29057" spans="65:67" ht="18.75" customHeight="1">
      <c r="BM29057" s="1025"/>
      <c r="BO29057" s="43"/>
    </row>
    <row r="29058" spans="65:67" ht="18.75" customHeight="1">
      <c r="BM29058" s="1025"/>
      <c r="BO29058" s="43"/>
    </row>
    <row r="29059" spans="65:67" ht="18.75" customHeight="1">
      <c r="BM29059" s="1025"/>
      <c r="BO29059" s="43"/>
    </row>
    <row r="29060" spans="65:67" ht="18.75" customHeight="1">
      <c r="BM29060" s="1025"/>
      <c r="BO29060" s="43"/>
    </row>
    <row r="29061" spans="65:67" ht="18.75" customHeight="1">
      <c r="BM29061" s="1025"/>
      <c r="BO29061" s="43"/>
    </row>
    <row r="29062" spans="65:67" ht="18.75" customHeight="1">
      <c r="BM29062" s="1025"/>
      <c r="BO29062" s="43"/>
    </row>
    <row r="29063" spans="65:67" ht="18.75" customHeight="1">
      <c r="BM29063" s="1025"/>
      <c r="BO29063" s="43"/>
    </row>
    <row r="29064" spans="65:67" ht="18.75" customHeight="1">
      <c r="BM29064" s="1025"/>
      <c r="BO29064" s="43"/>
    </row>
    <row r="29065" spans="65:67" ht="18.75" customHeight="1">
      <c r="BM29065" s="1025"/>
      <c r="BO29065" s="43"/>
    </row>
    <row r="29066" spans="65:67" ht="18.75" customHeight="1">
      <c r="BM29066" s="1025"/>
      <c r="BO29066" s="43"/>
    </row>
    <row r="29067" spans="65:67" ht="18.75" customHeight="1">
      <c r="BM29067" s="1025"/>
      <c r="BO29067" s="43"/>
    </row>
    <row r="29068" spans="65:67" ht="18.75" customHeight="1">
      <c r="BM29068" s="1025"/>
      <c r="BO29068" s="43"/>
    </row>
    <row r="29069" spans="65:67" ht="18.75" customHeight="1">
      <c r="BM29069" s="1025"/>
      <c r="BO29069" s="43"/>
    </row>
    <row r="29070" spans="65:67" ht="18.75" customHeight="1">
      <c r="BM29070" s="1025"/>
      <c r="BO29070" s="43"/>
    </row>
    <row r="29071" spans="65:67" ht="18.75" customHeight="1">
      <c r="BM29071" s="1025"/>
      <c r="BO29071" s="43"/>
    </row>
    <row r="29072" spans="65:67" ht="18.75" customHeight="1">
      <c r="BM29072" s="1025"/>
      <c r="BO29072" s="43"/>
    </row>
    <row r="29073" spans="65:67" ht="18.75" customHeight="1">
      <c r="BM29073" s="1025"/>
      <c r="BO29073" s="43"/>
    </row>
    <row r="29074" spans="65:67" ht="18.75" customHeight="1">
      <c r="BM29074" s="1025"/>
      <c r="BO29074" s="43"/>
    </row>
    <row r="29075" spans="65:67" ht="18.75" customHeight="1">
      <c r="BM29075" s="1025"/>
      <c r="BO29075" s="43"/>
    </row>
    <row r="29076" spans="65:67" ht="18.75" customHeight="1">
      <c r="BM29076" s="1025"/>
      <c r="BO29076" s="43"/>
    </row>
    <row r="29077" spans="65:67" ht="18.75" customHeight="1">
      <c r="BM29077" s="1025"/>
      <c r="BO29077" s="43"/>
    </row>
    <row r="29078" spans="65:67" ht="18.75" customHeight="1">
      <c r="BM29078" s="1025"/>
      <c r="BO29078" s="43"/>
    </row>
    <row r="29079" spans="65:67" ht="18.75" customHeight="1">
      <c r="BM29079" s="1025"/>
      <c r="BO29079" s="43"/>
    </row>
    <row r="29080" spans="65:67" ht="18.75" customHeight="1">
      <c r="BM29080" s="1025"/>
      <c r="BO29080" s="43"/>
    </row>
    <row r="29081" spans="65:67" ht="18.75" customHeight="1">
      <c r="BM29081" s="1025"/>
      <c r="BO29081" s="43"/>
    </row>
    <row r="29082" spans="65:67" ht="18.75" customHeight="1">
      <c r="BM29082" s="1025"/>
      <c r="BO29082" s="43"/>
    </row>
    <row r="29083" spans="65:67" ht="18.75" customHeight="1">
      <c r="BM29083" s="1025"/>
      <c r="BO29083" s="43"/>
    </row>
    <row r="29084" spans="65:67" ht="18.75" customHeight="1">
      <c r="BM29084" s="1025"/>
      <c r="BO29084" s="43"/>
    </row>
    <row r="29085" spans="65:67" ht="18.75" customHeight="1">
      <c r="BM29085" s="1025"/>
      <c r="BO29085" s="43"/>
    </row>
    <row r="29086" spans="65:67" ht="18.75" customHeight="1">
      <c r="BM29086" s="1025"/>
      <c r="BO29086" s="43"/>
    </row>
    <row r="29087" spans="65:67" ht="18.75" customHeight="1">
      <c r="BM29087" s="1025"/>
      <c r="BO29087" s="43"/>
    </row>
    <row r="29088" spans="65:67" ht="18.75" customHeight="1">
      <c r="BM29088" s="1025"/>
      <c r="BO29088" s="43"/>
    </row>
    <row r="29089" spans="65:67" ht="18.75" customHeight="1">
      <c r="BM29089" s="1025"/>
      <c r="BO29089" s="43"/>
    </row>
    <row r="29090" spans="65:67" ht="18.75" customHeight="1">
      <c r="BM29090" s="1025"/>
      <c r="BO29090" s="43"/>
    </row>
    <row r="29091" spans="65:67" ht="18.75" customHeight="1">
      <c r="BM29091" s="1025"/>
      <c r="BO29091" s="43"/>
    </row>
    <row r="29092" spans="65:67" ht="18.75" customHeight="1">
      <c r="BM29092" s="1025"/>
      <c r="BO29092" s="43"/>
    </row>
    <row r="29093" spans="65:67" ht="18.75" customHeight="1">
      <c r="BM29093" s="1025"/>
      <c r="BO29093" s="43"/>
    </row>
    <row r="29094" spans="65:67" ht="18.75" customHeight="1">
      <c r="BM29094" s="1025"/>
      <c r="BO29094" s="43"/>
    </row>
    <row r="29095" spans="65:67" ht="18.75" customHeight="1">
      <c r="BM29095" s="1025"/>
      <c r="BO29095" s="43"/>
    </row>
    <row r="29096" spans="65:67" ht="18.75" customHeight="1">
      <c r="BM29096" s="1025"/>
      <c r="BO29096" s="43"/>
    </row>
    <row r="29097" spans="65:67" ht="18.75" customHeight="1">
      <c r="BM29097" s="1025"/>
      <c r="BO29097" s="43"/>
    </row>
    <row r="29098" spans="65:67" ht="18.75" customHeight="1">
      <c r="BM29098" s="1025"/>
      <c r="BO29098" s="43"/>
    </row>
    <row r="29099" spans="65:67" ht="18.75" customHeight="1">
      <c r="BM29099" s="1025"/>
      <c r="BO29099" s="43"/>
    </row>
    <row r="29100" spans="65:67" ht="18.75" customHeight="1">
      <c r="BM29100" s="1025"/>
      <c r="BO29100" s="43"/>
    </row>
    <row r="29101" spans="65:67" ht="18.75" customHeight="1">
      <c r="BM29101" s="1025"/>
      <c r="BO29101" s="43"/>
    </row>
    <row r="29102" spans="65:67" ht="18.75" customHeight="1">
      <c r="BM29102" s="1025"/>
      <c r="BO29102" s="43"/>
    </row>
    <row r="29103" spans="65:67" ht="18.75" customHeight="1">
      <c r="BM29103" s="1025"/>
      <c r="BO29103" s="43"/>
    </row>
    <row r="29104" spans="65:67" ht="18.75" customHeight="1">
      <c r="BM29104" s="1025"/>
      <c r="BO29104" s="43"/>
    </row>
    <row r="29105" spans="65:67" ht="18.75" customHeight="1">
      <c r="BM29105" s="1025"/>
      <c r="BO29105" s="43"/>
    </row>
    <row r="29106" spans="65:67" ht="18.75" customHeight="1">
      <c r="BM29106" s="1025"/>
      <c r="BO29106" s="43"/>
    </row>
    <row r="29107" spans="65:67" ht="18.75" customHeight="1">
      <c r="BM29107" s="1025"/>
      <c r="BO29107" s="43"/>
    </row>
    <row r="29108" spans="65:67" ht="18.75" customHeight="1">
      <c r="BM29108" s="1025"/>
      <c r="BO29108" s="43"/>
    </row>
    <row r="29109" spans="65:67" ht="18.75" customHeight="1">
      <c r="BM29109" s="1025"/>
      <c r="BO29109" s="43"/>
    </row>
    <row r="29110" spans="65:67" ht="18.75" customHeight="1">
      <c r="BM29110" s="1025"/>
      <c r="BO29110" s="43"/>
    </row>
    <row r="29111" spans="65:67" ht="18.75" customHeight="1">
      <c r="BM29111" s="1025"/>
      <c r="BO29111" s="43"/>
    </row>
    <row r="29112" spans="65:67" ht="18.75" customHeight="1">
      <c r="BM29112" s="1025"/>
      <c r="BO29112" s="43"/>
    </row>
    <row r="29113" spans="65:67" ht="18.75" customHeight="1">
      <c r="BM29113" s="1025"/>
      <c r="BO29113" s="43"/>
    </row>
    <row r="29114" spans="65:67" ht="18.75" customHeight="1">
      <c r="BM29114" s="1025"/>
      <c r="BO29114" s="43"/>
    </row>
    <row r="29115" spans="65:67" ht="18.75" customHeight="1">
      <c r="BM29115" s="1025"/>
      <c r="BO29115" s="43"/>
    </row>
    <row r="29116" spans="65:67" ht="18.75" customHeight="1">
      <c r="BM29116" s="1025"/>
      <c r="BO29116" s="43"/>
    </row>
    <row r="29117" spans="65:67" ht="18.75" customHeight="1">
      <c r="BM29117" s="1025"/>
      <c r="BO29117" s="43"/>
    </row>
    <row r="29118" spans="65:67" ht="18.75" customHeight="1">
      <c r="BM29118" s="1025"/>
      <c r="BO29118" s="43"/>
    </row>
    <row r="29119" spans="65:67" ht="18.75" customHeight="1">
      <c r="BM29119" s="1025"/>
      <c r="BO29119" s="43"/>
    </row>
    <row r="29120" spans="65:67" ht="18.75" customHeight="1">
      <c r="BM29120" s="1025"/>
      <c r="BO29120" s="43"/>
    </row>
    <row r="29121" spans="65:67" ht="18.75" customHeight="1">
      <c r="BM29121" s="1025"/>
      <c r="BO29121" s="43"/>
    </row>
    <row r="29122" spans="65:67" ht="18.75" customHeight="1">
      <c r="BM29122" s="1025"/>
      <c r="BO29122" s="43"/>
    </row>
    <row r="29123" spans="65:67" ht="18.75" customHeight="1">
      <c r="BM29123" s="1025"/>
      <c r="BO29123" s="43"/>
    </row>
    <row r="29124" spans="65:67" ht="18.75" customHeight="1">
      <c r="BM29124" s="1025"/>
      <c r="BO29124" s="43"/>
    </row>
    <row r="29125" spans="65:67" ht="18.75" customHeight="1">
      <c r="BM29125" s="1025"/>
      <c r="BO29125" s="43"/>
    </row>
    <row r="29126" spans="65:67" ht="18.75" customHeight="1">
      <c r="BM29126" s="1025"/>
      <c r="BO29126" s="43"/>
    </row>
    <row r="29127" spans="65:67" ht="18.75" customHeight="1">
      <c r="BM29127" s="1025"/>
      <c r="BO29127" s="43"/>
    </row>
    <row r="29128" spans="65:67" ht="18.75" customHeight="1">
      <c r="BM29128" s="1025"/>
      <c r="BO29128" s="43"/>
    </row>
    <row r="29129" spans="65:67" ht="18.75" customHeight="1">
      <c r="BM29129" s="1025"/>
      <c r="BO29129" s="43"/>
    </row>
    <row r="29130" spans="65:67" ht="18.75" customHeight="1">
      <c r="BM29130" s="1025"/>
      <c r="BO29130" s="43"/>
    </row>
    <row r="29131" spans="65:67" ht="18.75" customHeight="1">
      <c r="BM29131" s="1025"/>
      <c r="BO29131" s="43"/>
    </row>
    <row r="29132" spans="65:67" ht="18.75" customHeight="1">
      <c r="BM29132" s="1025"/>
      <c r="BO29132" s="43"/>
    </row>
    <row r="29133" spans="65:67" ht="18.75" customHeight="1">
      <c r="BM29133" s="1025"/>
      <c r="BO29133" s="43"/>
    </row>
    <row r="29134" spans="65:67" ht="18.75" customHeight="1">
      <c r="BM29134" s="1025"/>
      <c r="BO29134" s="43"/>
    </row>
    <row r="29135" spans="65:67" ht="18.75" customHeight="1">
      <c r="BM29135" s="1025"/>
      <c r="BO29135" s="43"/>
    </row>
    <row r="29136" spans="65:67" ht="18.75" customHeight="1">
      <c r="BM29136" s="1025"/>
      <c r="BO29136" s="43"/>
    </row>
    <row r="29137" spans="65:67" ht="18.75" customHeight="1">
      <c r="BM29137" s="1025"/>
      <c r="BO29137" s="43"/>
    </row>
    <row r="29138" spans="65:67" ht="18.75" customHeight="1">
      <c r="BM29138" s="1025"/>
      <c r="BO29138" s="43"/>
    </row>
    <row r="29139" spans="65:67" ht="18.75" customHeight="1">
      <c r="BM29139" s="1025"/>
      <c r="BO29139" s="43"/>
    </row>
    <row r="29140" spans="65:67" ht="18.75" customHeight="1">
      <c r="BM29140" s="1025"/>
      <c r="BO29140" s="43"/>
    </row>
    <row r="29141" spans="65:67" ht="18.75" customHeight="1">
      <c r="BM29141" s="1025"/>
      <c r="BO29141" s="43"/>
    </row>
    <row r="29142" spans="65:67" ht="18.75" customHeight="1">
      <c r="BM29142" s="1025"/>
      <c r="BO29142" s="43"/>
    </row>
    <row r="29143" spans="65:67" ht="18.75" customHeight="1">
      <c r="BM29143" s="1025"/>
      <c r="BO29143" s="43"/>
    </row>
    <row r="29144" spans="65:67" ht="18.75" customHeight="1">
      <c r="BM29144" s="1025"/>
      <c r="BO29144" s="43"/>
    </row>
    <row r="29145" spans="65:67" ht="18.75" customHeight="1">
      <c r="BM29145" s="1025"/>
      <c r="BO29145" s="43"/>
    </row>
    <row r="29146" spans="65:67" ht="18.75" customHeight="1">
      <c r="BM29146" s="1025"/>
      <c r="BO29146" s="43"/>
    </row>
    <row r="29147" spans="65:67" ht="18.75" customHeight="1">
      <c r="BM29147" s="1025"/>
      <c r="BO29147" s="43"/>
    </row>
    <row r="29148" spans="65:67" ht="18.75" customHeight="1">
      <c r="BM29148" s="1025"/>
      <c r="BO29148" s="43"/>
    </row>
    <row r="29149" spans="65:67" ht="18.75" customHeight="1">
      <c r="BM29149" s="1025"/>
      <c r="BO29149" s="43"/>
    </row>
    <row r="29150" spans="65:67" ht="18.75" customHeight="1">
      <c r="BM29150" s="1025"/>
      <c r="BO29150" s="43"/>
    </row>
    <row r="29151" spans="65:67" ht="18.75" customHeight="1">
      <c r="BM29151" s="1025"/>
      <c r="BO29151" s="43"/>
    </row>
    <row r="29152" spans="65:67" ht="18.75" customHeight="1">
      <c r="BM29152" s="1025"/>
      <c r="BO29152" s="43"/>
    </row>
    <row r="29153" spans="65:67" ht="18.75" customHeight="1">
      <c r="BM29153" s="1025"/>
      <c r="BO29153" s="43"/>
    </row>
    <row r="29154" spans="65:67" ht="18.75" customHeight="1">
      <c r="BM29154" s="1025"/>
      <c r="BO29154" s="43"/>
    </row>
    <row r="29155" spans="65:67" ht="18.75" customHeight="1">
      <c r="BM29155" s="1025"/>
      <c r="BO29155" s="43"/>
    </row>
    <row r="29156" spans="65:67" ht="18.75" customHeight="1">
      <c r="BM29156" s="1025"/>
      <c r="BO29156" s="43"/>
    </row>
    <row r="29157" spans="65:67" ht="18.75" customHeight="1">
      <c r="BM29157" s="1025"/>
      <c r="BO29157" s="43"/>
    </row>
    <row r="29158" spans="65:67" ht="18.75" customHeight="1">
      <c r="BM29158" s="1025"/>
      <c r="BO29158" s="43"/>
    </row>
    <row r="29159" spans="65:67" ht="18.75" customHeight="1">
      <c r="BM29159" s="1025"/>
      <c r="BO29159" s="43"/>
    </row>
    <row r="29160" spans="65:67" ht="18.75" customHeight="1">
      <c r="BM29160" s="1025"/>
      <c r="BO29160" s="43"/>
    </row>
    <row r="29161" spans="65:67" ht="18.75" customHeight="1">
      <c r="BM29161" s="1025"/>
      <c r="BO29161" s="43"/>
    </row>
    <row r="29162" spans="65:67" ht="18.75" customHeight="1">
      <c r="BM29162" s="1025"/>
      <c r="BO29162" s="43"/>
    </row>
    <row r="29163" spans="65:67" ht="18.75" customHeight="1">
      <c r="BM29163" s="1025"/>
      <c r="BO29163" s="43"/>
    </row>
    <row r="29164" spans="65:67" ht="18.75" customHeight="1">
      <c r="BM29164" s="1025"/>
      <c r="BO29164" s="43"/>
    </row>
    <row r="29165" spans="65:67" ht="18.75" customHeight="1">
      <c r="BM29165" s="1025"/>
      <c r="BO29165" s="43"/>
    </row>
    <row r="29166" spans="65:67" ht="18.75" customHeight="1">
      <c r="BM29166" s="1025"/>
      <c r="BO29166" s="43"/>
    </row>
    <row r="29167" spans="65:67" ht="18.75" customHeight="1">
      <c r="BM29167" s="1025"/>
      <c r="BO29167" s="43"/>
    </row>
    <row r="29168" spans="65:67" ht="18.75" customHeight="1">
      <c r="BM29168" s="1025"/>
      <c r="BO29168" s="43"/>
    </row>
    <row r="29169" spans="65:67" ht="18.75" customHeight="1">
      <c r="BM29169" s="1025"/>
      <c r="BO29169" s="43"/>
    </row>
    <row r="29170" spans="65:67" ht="18.75" customHeight="1">
      <c r="BM29170" s="1025"/>
      <c r="BO29170" s="43"/>
    </row>
    <row r="29171" spans="65:67" ht="18.75" customHeight="1">
      <c r="BM29171" s="1025"/>
      <c r="BO29171" s="43"/>
    </row>
    <row r="29172" spans="65:67" ht="18.75" customHeight="1">
      <c r="BM29172" s="1025"/>
      <c r="BO29172" s="43"/>
    </row>
    <row r="29173" spans="65:67" ht="18.75" customHeight="1">
      <c r="BM29173" s="1025"/>
      <c r="BO29173" s="43"/>
    </row>
    <row r="29174" spans="65:67" ht="18.75" customHeight="1">
      <c r="BM29174" s="1025"/>
      <c r="BO29174" s="43"/>
    </row>
    <row r="29175" spans="65:67" ht="18.75" customHeight="1">
      <c r="BM29175" s="1025"/>
      <c r="BO29175" s="43"/>
    </row>
    <row r="29176" spans="65:67" ht="18.75" customHeight="1">
      <c r="BM29176" s="1025"/>
      <c r="BO29176" s="43"/>
    </row>
    <row r="29177" spans="65:67" ht="18.75" customHeight="1">
      <c r="BM29177" s="1025"/>
      <c r="BO29177" s="43"/>
    </row>
    <row r="29178" spans="65:67" ht="18.75" customHeight="1">
      <c r="BM29178" s="1025"/>
      <c r="BO29178" s="43"/>
    </row>
    <row r="29179" spans="65:67" ht="18.75" customHeight="1">
      <c r="BM29179" s="1025"/>
      <c r="BO29179" s="43"/>
    </row>
    <row r="29180" spans="65:67" ht="18.75" customHeight="1">
      <c r="BM29180" s="1025"/>
      <c r="BO29180" s="43"/>
    </row>
    <row r="29181" spans="65:67" ht="18.75" customHeight="1">
      <c r="BM29181" s="1025"/>
      <c r="BO29181" s="43"/>
    </row>
    <row r="29182" spans="65:67" ht="18.75" customHeight="1">
      <c r="BM29182" s="1025"/>
      <c r="BO29182" s="43"/>
    </row>
    <row r="29183" spans="65:67" ht="18.75" customHeight="1">
      <c r="BM29183" s="1025"/>
      <c r="BO29183" s="43"/>
    </row>
    <row r="29184" spans="65:67" ht="18.75" customHeight="1">
      <c r="BM29184" s="1025"/>
      <c r="BO29184" s="43"/>
    </row>
    <row r="29185" spans="65:67" ht="18.75" customHeight="1">
      <c r="BM29185" s="1025"/>
      <c r="BO29185" s="43"/>
    </row>
    <row r="29186" spans="65:67" ht="18.75" customHeight="1">
      <c r="BM29186" s="1025"/>
      <c r="BO29186" s="43"/>
    </row>
    <row r="29187" spans="65:67" ht="18.75" customHeight="1">
      <c r="BM29187" s="1025"/>
      <c r="BO29187" s="43"/>
    </row>
    <row r="29188" spans="65:67" ht="18.75" customHeight="1">
      <c r="BM29188" s="1025"/>
      <c r="BO29188" s="43"/>
    </row>
    <row r="29189" spans="65:67" ht="18.75" customHeight="1">
      <c r="BM29189" s="1025"/>
      <c r="BO29189" s="43"/>
    </row>
    <row r="29190" spans="65:67" ht="18.75" customHeight="1">
      <c r="BM29190" s="1025"/>
      <c r="BO29190" s="43"/>
    </row>
    <row r="29191" spans="65:67" ht="18.75" customHeight="1">
      <c r="BM29191" s="1025"/>
      <c r="BO29191" s="43"/>
    </row>
    <row r="29192" spans="65:67" ht="18.75" customHeight="1">
      <c r="BM29192" s="1025"/>
      <c r="BO29192" s="43"/>
    </row>
    <row r="29193" spans="65:67" ht="18.75" customHeight="1">
      <c r="BM29193" s="1025"/>
      <c r="BO29193" s="43"/>
    </row>
    <row r="29194" spans="65:67" ht="18.75" customHeight="1">
      <c r="BM29194" s="1025"/>
      <c r="BO29194" s="43"/>
    </row>
    <row r="29195" spans="65:67" ht="18.75" customHeight="1">
      <c r="BM29195" s="1025"/>
      <c r="BO29195" s="43"/>
    </row>
    <row r="29196" spans="65:67" ht="18.75" customHeight="1">
      <c r="BM29196" s="1025"/>
      <c r="BO29196" s="43"/>
    </row>
    <row r="29197" spans="65:67" ht="18.75" customHeight="1">
      <c r="BM29197" s="1025"/>
      <c r="BO29197" s="43"/>
    </row>
    <row r="29198" spans="65:67" ht="18.75" customHeight="1">
      <c r="BM29198" s="1025"/>
      <c r="BO29198" s="43"/>
    </row>
    <row r="29199" spans="65:67" ht="18.75" customHeight="1">
      <c r="BM29199" s="1025"/>
      <c r="BO29199" s="43"/>
    </row>
    <row r="29200" spans="65:67" ht="18.75" customHeight="1">
      <c r="BM29200" s="1025"/>
      <c r="BO29200" s="43"/>
    </row>
    <row r="29201" spans="65:67" ht="18.75" customHeight="1">
      <c r="BM29201" s="1025"/>
      <c r="BO29201" s="43"/>
    </row>
    <row r="29202" spans="65:67" ht="18.75" customHeight="1">
      <c r="BM29202" s="1025"/>
      <c r="BO29202" s="43"/>
    </row>
    <row r="29203" spans="65:67" ht="18.75" customHeight="1">
      <c r="BM29203" s="1025"/>
      <c r="BO29203" s="43"/>
    </row>
    <row r="29204" spans="65:67" ht="18.75" customHeight="1">
      <c r="BM29204" s="1025"/>
      <c r="BO29204" s="43"/>
    </row>
    <row r="29205" spans="65:67" ht="18.75" customHeight="1">
      <c r="BM29205" s="1025"/>
      <c r="BO29205" s="43"/>
    </row>
    <row r="29206" spans="65:67" ht="18.75" customHeight="1">
      <c r="BM29206" s="1025"/>
      <c r="BO29206" s="43"/>
    </row>
    <row r="29207" spans="65:67" ht="18.75" customHeight="1">
      <c r="BM29207" s="1025"/>
      <c r="BO29207" s="43"/>
    </row>
    <row r="29208" spans="65:67" ht="18.75" customHeight="1">
      <c r="BM29208" s="1025"/>
      <c r="BO29208" s="43"/>
    </row>
    <row r="29209" spans="65:67" ht="18.75" customHeight="1">
      <c r="BM29209" s="1025"/>
      <c r="BO29209" s="43"/>
    </row>
    <row r="29210" spans="65:67" ht="18.75" customHeight="1">
      <c r="BM29210" s="1025"/>
      <c r="BO29210" s="43"/>
    </row>
    <row r="29211" spans="65:67" ht="18.75" customHeight="1">
      <c r="BM29211" s="1025"/>
      <c r="BO29211" s="43"/>
    </row>
    <row r="29212" spans="65:67" ht="18.75" customHeight="1">
      <c r="BM29212" s="1025"/>
      <c r="BO29212" s="43"/>
    </row>
    <row r="29213" spans="65:67" ht="18.75" customHeight="1">
      <c r="BM29213" s="1025"/>
      <c r="BO29213" s="43"/>
    </row>
    <row r="29214" spans="65:67" ht="18.75" customHeight="1">
      <c r="BM29214" s="1025"/>
      <c r="BO29214" s="43"/>
    </row>
    <row r="29215" spans="65:67" ht="18.75" customHeight="1">
      <c r="BM29215" s="1025"/>
      <c r="BO29215" s="43"/>
    </row>
    <row r="29216" spans="65:67" ht="18.75" customHeight="1">
      <c r="BM29216" s="1025"/>
      <c r="BO29216" s="43"/>
    </row>
    <row r="29217" spans="65:67" ht="18.75" customHeight="1">
      <c r="BM29217" s="1025"/>
      <c r="BO29217" s="43"/>
    </row>
    <row r="29218" spans="65:67" ht="18.75" customHeight="1">
      <c r="BM29218" s="1025"/>
      <c r="BO29218" s="43"/>
    </row>
    <row r="29219" spans="65:67" ht="18.75" customHeight="1">
      <c r="BM29219" s="1025"/>
      <c r="BO29219" s="43"/>
    </row>
    <row r="29220" spans="65:67" ht="18.75" customHeight="1">
      <c r="BM29220" s="1025"/>
      <c r="BO29220" s="43"/>
    </row>
    <row r="29221" spans="65:67" ht="18.75" customHeight="1">
      <c r="BM29221" s="1025"/>
      <c r="BO29221" s="43"/>
    </row>
    <row r="29222" spans="65:67" ht="18.75" customHeight="1">
      <c r="BM29222" s="1025"/>
      <c r="BO29222" s="43"/>
    </row>
    <row r="29223" spans="65:67" ht="18.75" customHeight="1">
      <c r="BM29223" s="1025"/>
      <c r="BO29223" s="43"/>
    </row>
    <row r="29224" spans="65:67" ht="18.75" customHeight="1">
      <c r="BM29224" s="1025"/>
      <c r="BO29224" s="43"/>
    </row>
    <row r="29225" spans="65:67" ht="18.75" customHeight="1">
      <c r="BM29225" s="1025"/>
      <c r="BO29225" s="43"/>
    </row>
    <row r="29226" spans="65:67" ht="18.75" customHeight="1">
      <c r="BM29226" s="1025"/>
      <c r="BO29226" s="43"/>
    </row>
    <row r="29227" spans="65:67" ht="18.75" customHeight="1">
      <c r="BM29227" s="1025"/>
      <c r="BO29227" s="43"/>
    </row>
    <row r="29228" spans="65:67" ht="18.75" customHeight="1">
      <c r="BM29228" s="1025"/>
      <c r="BO29228" s="43"/>
    </row>
    <row r="29229" spans="65:67" ht="18.75" customHeight="1">
      <c r="BM29229" s="1025"/>
      <c r="BO29229" s="43"/>
    </row>
    <row r="29230" spans="65:67" ht="18.75" customHeight="1">
      <c r="BM29230" s="1025"/>
      <c r="BO29230" s="43"/>
    </row>
    <row r="29231" spans="65:67" ht="18.75" customHeight="1">
      <c r="BM29231" s="1025"/>
      <c r="BO29231" s="43"/>
    </row>
    <row r="29232" spans="65:67" ht="18.75" customHeight="1">
      <c r="BM29232" s="1025"/>
      <c r="BO29232" s="43"/>
    </row>
    <row r="29233" spans="65:67" ht="18.75" customHeight="1">
      <c r="BM29233" s="1025"/>
      <c r="BO29233" s="43"/>
    </row>
    <row r="29234" spans="65:67" ht="18.75" customHeight="1">
      <c r="BM29234" s="1025"/>
      <c r="BO29234" s="43"/>
    </row>
    <row r="29235" spans="65:67" ht="18.75" customHeight="1">
      <c r="BM29235" s="1025"/>
      <c r="BO29235" s="43"/>
    </row>
    <row r="29236" spans="65:67" ht="18.75" customHeight="1">
      <c r="BM29236" s="1025"/>
      <c r="BO29236" s="43"/>
    </row>
    <row r="29237" spans="65:67" ht="18.75" customHeight="1">
      <c r="BM29237" s="1025"/>
      <c r="BO29237" s="43"/>
    </row>
    <row r="29238" spans="65:67" ht="18.75" customHeight="1">
      <c r="BM29238" s="1025"/>
      <c r="BO29238" s="43"/>
    </row>
    <row r="29239" spans="65:67" ht="18.75" customHeight="1">
      <c r="BM29239" s="1025"/>
      <c r="BO29239" s="43"/>
    </row>
    <row r="29240" spans="65:67" ht="18.75" customHeight="1">
      <c r="BM29240" s="1025"/>
      <c r="BO29240" s="43"/>
    </row>
    <row r="29241" spans="65:67" ht="18.75" customHeight="1">
      <c r="BM29241" s="1025"/>
      <c r="BO29241" s="43"/>
    </row>
    <row r="29242" spans="65:67" ht="18.75" customHeight="1">
      <c r="BM29242" s="1025"/>
      <c r="BO29242" s="43"/>
    </row>
    <row r="29243" spans="65:67" ht="18.75" customHeight="1">
      <c r="BM29243" s="1025"/>
      <c r="BO29243" s="43"/>
    </row>
    <row r="29244" spans="65:67" ht="18.75" customHeight="1">
      <c r="BM29244" s="1025"/>
      <c r="BO29244" s="43"/>
    </row>
    <row r="29245" spans="65:67" ht="18.75" customHeight="1">
      <c r="BM29245" s="1025"/>
      <c r="BO29245" s="43"/>
    </row>
    <row r="29246" spans="65:67" ht="18.75" customHeight="1">
      <c r="BM29246" s="1025"/>
      <c r="BO29246" s="43"/>
    </row>
    <row r="29247" spans="65:67" ht="18.75" customHeight="1">
      <c r="BM29247" s="1025"/>
      <c r="BO29247" s="43"/>
    </row>
    <row r="29248" spans="65:67" ht="18.75" customHeight="1">
      <c r="BM29248" s="1025"/>
      <c r="BO29248" s="43"/>
    </row>
    <row r="29249" spans="65:67" ht="18.75" customHeight="1">
      <c r="BM29249" s="1025"/>
      <c r="BO29249" s="43"/>
    </row>
    <row r="29250" spans="65:67" ht="18.75" customHeight="1">
      <c r="BM29250" s="1025"/>
      <c r="BO29250" s="43"/>
    </row>
    <row r="29251" spans="65:67" ht="18.75" customHeight="1">
      <c r="BM29251" s="1025"/>
      <c r="BO29251" s="43"/>
    </row>
    <row r="29252" spans="65:67" ht="18.75" customHeight="1">
      <c r="BM29252" s="1025"/>
      <c r="BO29252" s="43"/>
    </row>
    <row r="29253" spans="65:67" ht="18.75" customHeight="1">
      <c r="BM29253" s="1025"/>
      <c r="BO29253" s="43"/>
    </row>
    <row r="29254" spans="65:67" ht="18.75" customHeight="1">
      <c r="BM29254" s="1025"/>
      <c r="BO29254" s="43"/>
    </row>
    <row r="29255" spans="65:67" ht="18.75" customHeight="1">
      <c r="BM29255" s="1025"/>
      <c r="BO29255" s="43"/>
    </row>
    <row r="29256" spans="65:67" ht="18.75" customHeight="1">
      <c r="BM29256" s="1025"/>
      <c r="BO29256" s="43"/>
    </row>
    <row r="29257" spans="65:67" ht="18.75" customHeight="1">
      <c r="BM29257" s="1025"/>
      <c r="BO29257" s="43"/>
    </row>
    <row r="29258" spans="65:67" ht="18.75" customHeight="1">
      <c r="BM29258" s="1025"/>
      <c r="BO29258" s="43"/>
    </row>
    <row r="29259" spans="65:67" ht="18.75" customHeight="1">
      <c r="BM29259" s="1025"/>
      <c r="BO29259" s="43"/>
    </row>
    <row r="29260" spans="65:67" ht="18.75" customHeight="1">
      <c r="BM29260" s="1025"/>
      <c r="BO29260" s="43"/>
    </row>
    <row r="29261" spans="65:67" ht="18.75" customHeight="1">
      <c r="BM29261" s="1025"/>
      <c r="BO29261" s="43"/>
    </row>
    <row r="29262" spans="65:67" ht="18.75" customHeight="1">
      <c r="BM29262" s="1025"/>
      <c r="BO29262" s="43"/>
    </row>
    <row r="29263" spans="65:67" ht="18.75" customHeight="1">
      <c r="BM29263" s="1025"/>
      <c r="BO29263" s="43"/>
    </row>
    <row r="29264" spans="65:67" ht="18.75" customHeight="1">
      <c r="BM29264" s="1025"/>
      <c r="BO29264" s="43"/>
    </row>
    <row r="29265" spans="65:67" ht="18.75" customHeight="1">
      <c r="BM29265" s="1025"/>
      <c r="BO29265" s="43"/>
    </row>
    <row r="29266" spans="65:67" ht="18.75" customHeight="1">
      <c r="BM29266" s="1025"/>
      <c r="BO29266" s="43"/>
    </row>
    <row r="29267" spans="65:67" ht="18.75" customHeight="1">
      <c r="BM29267" s="1025"/>
      <c r="BO29267" s="43"/>
    </row>
    <row r="29268" spans="65:67" ht="18.75" customHeight="1">
      <c r="BM29268" s="1025"/>
      <c r="BO29268" s="43"/>
    </row>
    <row r="29269" spans="65:67" ht="18.75" customHeight="1">
      <c r="BM29269" s="1025"/>
      <c r="BO29269" s="43"/>
    </row>
    <row r="29270" spans="65:67" ht="18.75" customHeight="1">
      <c r="BM29270" s="1025"/>
      <c r="BO29270" s="43"/>
    </row>
    <row r="29271" spans="65:67" ht="18.75" customHeight="1">
      <c r="BM29271" s="1025"/>
      <c r="BO29271" s="43"/>
    </row>
    <row r="29272" spans="65:67" ht="18.75" customHeight="1">
      <c r="BM29272" s="1025"/>
      <c r="BO29272" s="43"/>
    </row>
    <row r="29273" spans="65:67" ht="18.75" customHeight="1">
      <c r="BM29273" s="1025"/>
      <c r="BO29273" s="43"/>
    </row>
    <row r="29274" spans="65:67" ht="18.75" customHeight="1">
      <c r="BM29274" s="1025"/>
      <c r="BO29274" s="43"/>
    </row>
    <row r="29275" spans="65:67" ht="18.75" customHeight="1">
      <c r="BM29275" s="1025"/>
      <c r="BO29275" s="43"/>
    </row>
    <row r="29276" spans="65:67" ht="18.75" customHeight="1">
      <c r="BM29276" s="1025"/>
      <c r="BO29276" s="43"/>
    </row>
    <row r="29277" spans="65:67" ht="18.75" customHeight="1">
      <c r="BM29277" s="1025"/>
      <c r="BO29277" s="43"/>
    </row>
    <row r="29278" spans="65:67" ht="18.75" customHeight="1">
      <c r="BM29278" s="1025"/>
      <c r="BO29278" s="43"/>
    </row>
    <row r="29279" spans="65:67" ht="18.75" customHeight="1">
      <c r="BM29279" s="1025"/>
      <c r="BO29279" s="43"/>
    </row>
    <row r="29280" spans="65:67" ht="18.75" customHeight="1">
      <c r="BM29280" s="1025"/>
      <c r="BO29280" s="43"/>
    </row>
    <row r="29281" spans="65:67" ht="18.75" customHeight="1">
      <c r="BM29281" s="1025"/>
      <c r="BO29281" s="43"/>
    </row>
    <row r="29282" spans="65:67" ht="18.75" customHeight="1">
      <c r="BM29282" s="1025"/>
      <c r="BO29282" s="43"/>
    </row>
    <row r="29283" spans="65:67" ht="18.75" customHeight="1">
      <c r="BM29283" s="1025"/>
      <c r="BO29283" s="43"/>
    </row>
    <row r="29284" spans="65:67" ht="18.75" customHeight="1">
      <c r="BM29284" s="1025"/>
      <c r="BO29284" s="43"/>
    </row>
    <row r="29285" spans="65:67" ht="18.75" customHeight="1">
      <c r="BM29285" s="1025"/>
      <c r="BO29285" s="43"/>
    </row>
    <row r="29286" spans="65:67" ht="18.75" customHeight="1">
      <c r="BM29286" s="1025"/>
      <c r="BO29286" s="43"/>
    </row>
    <row r="29287" spans="65:67" ht="18.75" customHeight="1">
      <c r="BM29287" s="1025"/>
      <c r="BO29287" s="43"/>
    </row>
    <row r="29288" spans="65:67" ht="18.75" customHeight="1">
      <c r="BM29288" s="1025"/>
      <c r="BO29288" s="43"/>
    </row>
    <row r="29289" spans="65:67" ht="18.75" customHeight="1">
      <c r="BM29289" s="1025"/>
      <c r="BO29289" s="43"/>
    </row>
    <row r="29290" spans="65:67" ht="18.75" customHeight="1">
      <c r="BM29290" s="1025"/>
      <c r="BO29290" s="43"/>
    </row>
    <row r="29291" spans="65:67" ht="18.75" customHeight="1">
      <c r="BM29291" s="1025"/>
      <c r="BO29291" s="43"/>
    </row>
    <row r="29292" spans="65:67" ht="18.75" customHeight="1">
      <c r="BM29292" s="1025"/>
      <c r="BO29292" s="43"/>
    </row>
    <row r="29293" spans="65:67" ht="18.75" customHeight="1">
      <c r="BM29293" s="1025"/>
      <c r="BO29293" s="43"/>
    </row>
    <row r="29294" spans="65:67" ht="18.75" customHeight="1">
      <c r="BM29294" s="1025"/>
      <c r="BO29294" s="43"/>
    </row>
    <row r="29295" spans="65:67" ht="18.75" customHeight="1">
      <c r="BM29295" s="1025"/>
      <c r="BO29295" s="43"/>
    </row>
    <row r="29296" spans="65:67" ht="18.75" customHeight="1">
      <c r="BM29296" s="1025"/>
      <c r="BO29296" s="43"/>
    </row>
    <row r="29297" spans="65:67" ht="18.75" customHeight="1">
      <c r="BM29297" s="1025"/>
      <c r="BO29297" s="43"/>
    </row>
    <row r="29298" spans="65:67" ht="18.75" customHeight="1">
      <c r="BM29298" s="1025"/>
      <c r="BO29298" s="43"/>
    </row>
    <row r="29299" spans="65:67" ht="18.75" customHeight="1">
      <c r="BM29299" s="1025"/>
      <c r="BO29299" s="43"/>
    </row>
    <row r="29300" spans="65:67" ht="18.75" customHeight="1">
      <c r="BM29300" s="1025"/>
      <c r="BO29300" s="43"/>
    </row>
    <row r="29301" spans="65:67" ht="18.75" customHeight="1">
      <c r="BM29301" s="1025"/>
      <c r="BO29301" s="43"/>
    </row>
    <row r="29302" spans="65:67" ht="18.75" customHeight="1">
      <c r="BM29302" s="1025"/>
      <c r="BO29302" s="43"/>
    </row>
    <row r="29303" spans="65:67" ht="18.75" customHeight="1">
      <c r="BM29303" s="1025"/>
      <c r="BO29303" s="43"/>
    </row>
    <row r="29304" spans="65:67" ht="18.75" customHeight="1">
      <c r="BM29304" s="1025"/>
      <c r="BO29304" s="43"/>
    </row>
    <row r="29305" spans="65:67" ht="18.75" customHeight="1">
      <c r="BM29305" s="1025"/>
      <c r="BO29305" s="43"/>
    </row>
    <row r="29306" spans="65:67" ht="18.75" customHeight="1">
      <c r="BM29306" s="1025"/>
      <c r="BO29306" s="43"/>
    </row>
    <row r="29307" spans="65:67" ht="18.75" customHeight="1">
      <c r="BM29307" s="1025"/>
      <c r="BO29307" s="43"/>
    </row>
    <row r="29308" spans="65:67" ht="18.75" customHeight="1">
      <c r="BM29308" s="1025"/>
      <c r="BO29308" s="43"/>
    </row>
    <row r="29309" spans="65:67" ht="18.75" customHeight="1">
      <c r="BM29309" s="1025"/>
      <c r="BO29309" s="43"/>
    </row>
    <row r="29310" spans="65:67" ht="18.75" customHeight="1">
      <c r="BM29310" s="1025"/>
      <c r="BO29310" s="43"/>
    </row>
    <row r="29311" spans="65:67" ht="18.75" customHeight="1">
      <c r="BM29311" s="1025"/>
      <c r="BO29311" s="43"/>
    </row>
    <row r="29312" spans="65:67" ht="18.75" customHeight="1">
      <c r="BM29312" s="1025"/>
      <c r="BO29312" s="43"/>
    </row>
    <row r="29313" spans="65:67" ht="18.75" customHeight="1">
      <c r="BM29313" s="1025"/>
      <c r="BO29313" s="43"/>
    </row>
    <row r="29314" spans="65:67" ht="18.75" customHeight="1">
      <c r="BM29314" s="1025"/>
      <c r="BO29314" s="43"/>
    </row>
    <row r="29315" spans="65:67" ht="18.75" customHeight="1">
      <c r="BM29315" s="1025"/>
      <c r="BO29315" s="43"/>
    </row>
    <row r="29316" spans="65:67" ht="18.75" customHeight="1">
      <c r="BM29316" s="1025"/>
      <c r="BO29316" s="43"/>
    </row>
    <row r="29317" spans="65:67" ht="18.75" customHeight="1">
      <c r="BM29317" s="1025"/>
      <c r="BO29317" s="43"/>
    </row>
    <row r="29318" spans="65:67" ht="18.75" customHeight="1">
      <c r="BM29318" s="1025"/>
      <c r="BO29318" s="43"/>
    </row>
    <row r="29319" spans="65:67" ht="18.75" customHeight="1">
      <c r="BM29319" s="1025"/>
      <c r="BO29319" s="43"/>
    </row>
    <row r="29320" spans="65:67" ht="18.75" customHeight="1">
      <c r="BM29320" s="1025"/>
      <c r="BO29320" s="43"/>
    </row>
    <row r="29321" spans="65:67" ht="18.75" customHeight="1">
      <c r="BM29321" s="1025"/>
      <c r="BO29321" s="43"/>
    </row>
    <row r="29322" spans="65:67" ht="18.75" customHeight="1">
      <c r="BM29322" s="1025"/>
      <c r="BO29322" s="43"/>
    </row>
    <row r="29323" spans="65:67" ht="18.75" customHeight="1">
      <c r="BM29323" s="1025"/>
      <c r="BO29323" s="43"/>
    </row>
    <row r="29324" spans="65:67" ht="18.75" customHeight="1">
      <c r="BM29324" s="1025"/>
      <c r="BO29324" s="43"/>
    </row>
    <row r="29325" spans="65:67" ht="18.75" customHeight="1">
      <c r="BM29325" s="1025"/>
      <c r="BO29325" s="43"/>
    </row>
    <row r="29326" spans="65:67" ht="18.75" customHeight="1">
      <c r="BM29326" s="1025"/>
      <c r="BO29326" s="43"/>
    </row>
    <row r="29327" spans="65:67" ht="18.75" customHeight="1">
      <c r="BM29327" s="1025"/>
      <c r="BO29327" s="43"/>
    </row>
    <row r="29328" spans="65:67" ht="18.75" customHeight="1">
      <c r="BM29328" s="1025"/>
      <c r="BO29328" s="43"/>
    </row>
    <row r="29329" spans="65:67" ht="18.75" customHeight="1">
      <c r="BM29329" s="1025"/>
      <c r="BO29329" s="43"/>
    </row>
    <row r="29330" spans="65:67" ht="18.75" customHeight="1">
      <c r="BM29330" s="1025"/>
      <c r="BO29330" s="43"/>
    </row>
    <row r="29331" spans="65:67" ht="18.75" customHeight="1">
      <c r="BM29331" s="1025"/>
      <c r="BO29331" s="43"/>
    </row>
    <row r="29332" spans="65:67" ht="18.75" customHeight="1">
      <c r="BM29332" s="1025"/>
      <c r="BO29332" s="43"/>
    </row>
    <row r="29333" spans="65:67" ht="18.75" customHeight="1">
      <c r="BM29333" s="1025"/>
      <c r="BO29333" s="43"/>
    </row>
    <row r="29334" spans="65:67" ht="18.75" customHeight="1">
      <c r="BM29334" s="1025"/>
      <c r="BO29334" s="43"/>
    </row>
    <row r="29335" spans="65:67" ht="18.75" customHeight="1">
      <c r="BM29335" s="1025"/>
      <c r="BO29335" s="43"/>
    </row>
    <row r="29336" spans="65:67" ht="18.75" customHeight="1">
      <c r="BM29336" s="1025"/>
      <c r="BO29336" s="43"/>
    </row>
    <row r="29337" spans="65:67" ht="18.75" customHeight="1">
      <c r="BM29337" s="1025"/>
      <c r="BO29337" s="43"/>
    </row>
    <row r="29338" spans="65:67" ht="18.75" customHeight="1">
      <c r="BM29338" s="1025"/>
      <c r="BO29338" s="43"/>
    </row>
    <row r="29339" spans="65:67" ht="18.75" customHeight="1">
      <c r="BM29339" s="1025"/>
      <c r="BO29339" s="43"/>
    </row>
    <row r="29340" spans="65:67" ht="18.75" customHeight="1">
      <c r="BM29340" s="1025"/>
      <c r="BO29340" s="43"/>
    </row>
    <row r="29341" spans="65:67" ht="18.75" customHeight="1">
      <c r="BM29341" s="1025"/>
      <c r="BO29341" s="43"/>
    </row>
    <row r="29342" spans="65:67" ht="18.75" customHeight="1">
      <c r="BM29342" s="1025"/>
      <c r="BO29342" s="43"/>
    </row>
    <row r="29343" spans="65:67" ht="18.75" customHeight="1">
      <c r="BM29343" s="1025"/>
      <c r="BO29343" s="43"/>
    </row>
    <row r="29344" spans="65:67" ht="18.75" customHeight="1">
      <c r="BM29344" s="1025"/>
      <c r="BO29344" s="43"/>
    </row>
    <row r="29345" spans="65:67" ht="18.75" customHeight="1">
      <c r="BM29345" s="1025"/>
      <c r="BO29345" s="43"/>
    </row>
    <row r="29346" spans="65:67" ht="18.75" customHeight="1">
      <c r="BM29346" s="1025"/>
      <c r="BO29346" s="43"/>
    </row>
    <row r="29347" spans="65:67" ht="18.75" customHeight="1">
      <c r="BM29347" s="1025"/>
      <c r="BO29347" s="43"/>
    </row>
    <row r="29348" spans="65:67" ht="18.75" customHeight="1">
      <c r="BM29348" s="1025"/>
      <c r="BO29348" s="43"/>
    </row>
    <row r="29349" spans="65:67" ht="18.75" customHeight="1">
      <c r="BM29349" s="1025"/>
      <c r="BO29349" s="43"/>
    </row>
    <row r="29350" spans="65:67" ht="18.75" customHeight="1">
      <c r="BM29350" s="1025"/>
      <c r="BO29350" s="43"/>
    </row>
    <row r="29351" spans="65:67" ht="18.75" customHeight="1">
      <c r="BM29351" s="1025"/>
      <c r="BO29351" s="43"/>
    </row>
    <row r="29352" spans="65:67" ht="18.75" customHeight="1">
      <c r="BM29352" s="1025"/>
      <c r="BO29352" s="43"/>
    </row>
    <row r="29353" spans="65:67" ht="18.75" customHeight="1">
      <c r="BM29353" s="1025"/>
      <c r="BO29353" s="43"/>
    </row>
    <row r="29354" spans="65:67" ht="18.75" customHeight="1">
      <c r="BM29354" s="1025"/>
      <c r="BO29354" s="43"/>
    </row>
    <row r="29355" spans="65:67" ht="18.75" customHeight="1">
      <c r="BM29355" s="1025"/>
      <c r="BO29355" s="43"/>
    </row>
    <row r="29356" spans="65:67" ht="18.75" customHeight="1">
      <c r="BM29356" s="1025"/>
      <c r="BO29356" s="43"/>
    </row>
    <row r="29357" spans="65:67" ht="18.75" customHeight="1">
      <c r="BM29357" s="1025"/>
      <c r="BO29357" s="43"/>
    </row>
    <row r="29358" spans="65:67" ht="18.75" customHeight="1">
      <c r="BM29358" s="1025"/>
      <c r="BO29358" s="43"/>
    </row>
    <row r="29359" spans="65:67" ht="18.75" customHeight="1">
      <c r="BM29359" s="1025"/>
      <c r="BO29359" s="43"/>
    </row>
    <row r="29360" spans="65:67" ht="18.75" customHeight="1">
      <c r="BM29360" s="1025"/>
      <c r="BO29360" s="43"/>
    </row>
    <row r="29361" spans="65:67" ht="18.75" customHeight="1">
      <c r="BM29361" s="1025"/>
      <c r="BO29361" s="43"/>
    </row>
    <row r="29362" spans="65:67" ht="18.75" customHeight="1">
      <c r="BM29362" s="1025"/>
      <c r="BO29362" s="43"/>
    </row>
    <row r="29363" spans="65:67" ht="18.75" customHeight="1">
      <c r="BM29363" s="1025"/>
      <c r="BO29363" s="43"/>
    </row>
    <row r="29364" spans="65:67" ht="18.75" customHeight="1">
      <c r="BM29364" s="1025"/>
      <c r="BO29364" s="43"/>
    </row>
    <row r="29365" spans="65:67" ht="18.75" customHeight="1">
      <c r="BM29365" s="1025"/>
      <c r="BO29365" s="43"/>
    </row>
    <row r="29366" spans="65:67" ht="18.75" customHeight="1">
      <c r="BM29366" s="1025"/>
      <c r="BO29366" s="43"/>
    </row>
    <row r="29367" spans="65:67" ht="18.75" customHeight="1">
      <c r="BM29367" s="1025"/>
      <c r="BO29367" s="43"/>
    </row>
    <row r="29368" spans="65:67" ht="18.75" customHeight="1">
      <c r="BM29368" s="1025"/>
      <c r="BO29368" s="43"/>
    </row>
    <row r="29369" spans="65:67" ht="18.75" customHeight="1">
      <c r="BM29369" s="1025"/>
      <c r="BO29369" s="43"/>
    </row>
    <row r="29370" spans="65:67" ht="18.75" customHeight="1">
      <c r="BM29370" s="1025"/>
      <c r="BO29370" s="43"/>
    </row>
    <row r="29371" spans="65:67" ht="18.75" customHeight="1">
      <c r="BM29371" s="1025"/>
      <c r="BO29371" s="43"/>
    </row>
    <row r="29372" spans="65:67" ht="18.75" customHeight="1">
      <c r="BM29372" s="1025"/>
      <c r="BO29372" s="43"/>
    </row>
    <row r="29373" spans="65:67" ht="18.75" customHeight="1">
      <c r="BM29373" s="1025"/>
      <c r="BO29373" s="43"/>
    </row>
    <row r="29374" spans="65:67" ht="18.75" customHeight="1">
      <c r="BM29374" s="1025"/>
      <c r="BO29374" s="43"/>
    </row>
    <row r="29375" spans="65:67" ht="18.75" customHeight="1">
      <c r="BM29375" s="1025"/>
      <c r="BO29375" s="43"/>
    </row>
    <row r="29376" spans="65:67" ht="18.75" customHeight="1">
      <c r="BM29376" s="1025"/>
      <c r="BO29376" s="43"/>
    </row>
    <row r="29377" spans="65:67" ht="18.75" customHeight="1">
      <c r="BM29377" s="1025"/>
      <c r="BO29377" s="43"/>
    </row>
    <row r="29378" spans="65:67" ht="18.75" customHeight="1">
      <c r="BM29378" s="1025"/>
      <c r="BO29378" s="43"/>
    </row>
    <row r="29379" spans="65:67" ht="18.75" customHeight="1">
      <c r="BM29379" s="1025"/>
      <c r="BO29379" s="43"/>
    </row>
    <row r="29380" spans="65:67" ht="18.75" customHeight="1">
      <c r="BM29380" s="1025"/>
      <c r="BO29380" s="43"/>
    </row>
    <row r="29381" spans="65:67" ht="18.75" customHeight="1">
      <c r="BM29381" s="1025"/>
      <c r="BO29381" s="43"/>
    </row>
    <row r="29382" spans="65:67" ht="18.75" customHeight="1">
      <c r="BM29382" s="1025"/>
      <c r="BO29382" s="43"/>
    </row>
    <row r="29383" spans="65:67" ht="18.75" customHeight="1">
      <c r="BM29383" s="1025"/>
      <c r="BO29383" s="43"/>
    </row>
    <row r="29384" spans="65:67" ht="18.75" customHeight="1">
      <c r="BM29384" s="1025"/>
      <c r="BO29384" s="43"/>
    </row>
    <row r="29385" spans="65:67" ht="18.75" customHeight="1">
      <c r="BM29385" s="1025"/>
      <c r="BO29385" s="43"/>
    </row>
    <row r="29386" spans="65:67" ht="18.75" customHeight="1">
      <c r="BM29386" s="1025"/>
      <c r="BO29386" s="43"/>
    </row>
    <row r="29387" spans="65:67" ht="18.75" customHeight="1">
      <c r="BM29387" s="1025"/>
      <c r="BO29387" s="43"/>
    </row>
    <row r="29388" spans="65:67" ht="18.75" customHeight="1">
      <c r="BM29388" s="1025"/>
      <c r="BO29388" s="43"/>
    </row>
    <row r="29389" spans="65:67" ht="18.75" customHeight="1">
      <c r="BM29389" s="1025"/>
      <c r="BO29389" s="43"/>
    </row>
    <row r="29390" spans="65:67" ht="18.75" customHeight="1">
      <c r="BM29390" s="1025"/>
      <c r="BO29390" s="43"/>
    </row>
    <row r="29391" spans="65:67" ht="18.75" customHeight="1">
      <c r="BM29391" s="1025"/>
      <c r="BO29391" s="43"/>
    </row>
    <row r="29392" spans="65:67" ht="18.75" customHeight="1">
      <c r="BM29392" s="1025"/>
      <c r="BO29392" s="43"/>
    </row>
    <row r="29393" spans="65:67" ht="18.75" customHeight="1">
      <c r="BM29393" s="1025"/>
      <c r="BO29393" s="43"/>
    </row>
    <row r="29394" spans="65:67" ht="18.75" customHeight="1">
      <c r="BM29394" s="1025"/>
      <c r="BO29394" s="43"/>
    </row>
    <row r="29395" spans="65:67" ht="18.75" customHeight="1">
      <c r="BM29395" s="1025"/>
      <c r="BO29395" s="43"/>
    </row>
    <row r="29396" spans="65:67" ht="18.75" customHeight="1">
      <c r="BM29396" s="1025"/>
      <c r="BO29396" s="43"/>
    </row>
    <row r="29397" spans="65:67" ht="18.75" customHeight="1">
      <c r="BM29397" s="1025"/>
      <c r="BO29397" s="43"/>
    </row>
    <row r="29398" spans="65:67" ht="18.75" customHeight="1">
      <c r="BM29398" s="1025"/>
      <c r="BO29398" s="43"/>
    </row>
    <row r="29399" spans="65:67" ht="18.75" customHeight="1">
      <c r="BM29399" s="1025"/>
      <c r="BO29399" s="43"/>
    </row>
    <row r="29400" spans="65:67" ht="18.75" customHeight="1">
      <c r="BM29400" s="1025"/>
      <c r="BO29400" s="43"/>
    </row>
    <row r="29401" spans="65:67" ht="18.75" customHeight="1">
      <c r="BM29401" s="1025"/>
      <c r="BO29401" s="43"/>
    </row>
    <row r="29402" spans="65:67" ht="18.75" customHeight="1">
      <c r="BM29402" s="1025"/>
      <c r="BO29402" s="43"/>
    </row>
    <row r="29403" spans="65:67" ht="18.75" customHeight="1">
      <c r="BM29403" s="1025"/>
      <c r="BO29403" s="43"/>
    </row>
    <row r="29404" spans="65:67" ht="18.75" customHeight="1">
      <c r="BM29404" s="1025"/>
      <c r="BO29404" s="43"/>
    </row>
    <row r="29405" spans="65:67" ht="18.75" customHeight="1">
      <c r="BM29405" s="1025"/>
      <c r="BO29405" s="43"/>
    </row>
    <row r="29406" spans="65:67" ht="18.75" customHeight="1">
      <c r="BM29406" s="1025"/>
      <c r="BO29406" s="43"/>
    </row>
    <row r="29407" spans="65:67" ht="18.75" customHeight="1">
      <c r="BM29407" s="1025"/>
      <c r="BO29407" s="43"/>
    </row>
    <row r="29408" spans="65:67" ht="18.75" customHeight="1">
      <c r="BM29408" s="1025"/>
      <c r="BO29408" s="43"/>
    </row>
    <row r="29409" spans="65:67" ht="18.75" customHeight="1">
      <c r="BM29409" s="1025"/>
      <c r="BO29409" s="43"/>
    </row>
    <row r="29410" spans="65:67" ht="18.75" customHeight="1">
      <c r="BM29410" s="1025"/>
      <c r="BO29410" s="43"/>
    </row>
    <row r="29411" spans="65:67" ht="18.75" customHeight="1">
      <c r="BM29411" s="1025"/>
      <c r="BO29411" s="43"/>
    </row>
    <row r="29412" spans="65:67" ht="18.75" customHeight="1">
      <c r="BM29412" s="1025"/>
      <c r="BO29412" s="43"/>
    </row>
    <row r="29413" spans="65:67" ht="18.75" customHeight="1">
      <c r="BM29413" s="1025"/>
      <c r="BO29413" s="43"/>
    </row>
    <row r="29414" spans="65:67" ht="18.75" customHeight="1">
      <c r="BM29414" s="1025"/>
      <c r="BO29414" s="43"/>
    </row>
    <row r="29415" spans="65:67" ht="18.75" customHeight="1">
      <c r="BM29415" s="1025"/>
      <c r="BO29415" s="43"/>
    </row>
    <row r="29416" spans="65:67" ht="18.75" customHeight="1">
      <c r="BM29416" s="1025"/>
      <c r="BO29416" s="43"/>
    </row>
    <row r="29417" spans="65:67" ht="18.75" customHeight="1">
      <c r="BM29417" s="1025"/>
      <c r="BO29417" s="43"/>
    </row>
    <row r="29418" spans="65:67" ht="18.75" customHeight="1">
      <c r="BM29418" s="1025"/>
      <c r="BO29418" s="43"/>
    </row>
    <row r="29419" spans="65:67" ht="18.75" customHeight="1">
      <c r="BM29419" s="1025"/>
      <c r="BO29419" s="43"/>
    </row>
    <row r="29420" spans="65:67" ht="18.75" customHeight="1">
      <c r="BM29420" s="1025"/>
      <c r="BO29420" s="43"/>
    </row>
    <row r="29421" spans="65:67" ht="18.75" customHeight="1">
      <c r="BM29421" s="1025"/>
      <c r="BO29421" s="43"/>
    </row>
    <row r="29422" spans="65:67" ht="18.75" customHeight="1">
      <c r="BM29422" s="1025"/>
      <c r="BO29422" s="43"/>
    </row>
    <row r="29423" spans="65:67" ht="18.75" customHeight="1">
      <c r="BM29423" s="1025"/>
      <c r="BO29423" s="43"/>
    </row>
    <row r="29424" spans="65:67" ht="18.75" customHeight="1">
      <c r="BM29424" s="1025"/>
      <c r="BO29424" s="43"/>
    </row>
    <row r="29425" spans="65:67" ht="18.75" customHeight="1">
      <c r="BM29425" s="1025"/>
      <c r="BO29425" s="43"/>
    </row>
    <row r="29426" spans="65:67" ht="18.75" customHeight="1">
      <c r="BM29426" s="1025"/>
      <c r="BO29426" s="43"/>
    </row>
    <row r="29427" spans="65:67" ht="18.75" customHeight="1">
      <c r="BM29427" s="1025"/>
      <c r="BO29427" s="43"/>
    </row>
    <row r="29428" spans="65:67" ht="18.75" customHeight="1">
      <c r="BM29428" s="1025"/>
      <c r="BO29428" s="43"/>
    </row>
    <row r="29429" spans="65:67" ht="18.75" customHeight="1">
      <c r="BM29429" s="1025"/>
      <c r="BO29429" s="43"/>
    </row>
    <row r="29430" spans="65:67" ht="18.75" customHeight="1">
      <c r="BM29430" s="1025"/>
      <c r="BO29430" s="43"/>
    </row>
    <row r="29431" spans="65:67" ht="18.75" customHeight="1">
      <c r="BM29431" s="1025"/>
      <c r="BO29431" s="43"/>
    </row>
    <row r="29432" spans="65:67" ht="18.75" customHeight="1">
      <c r="BM29432" s="1025"/>
      <c r="BO29432" s="43"/>
    </row>
    <row r="29433" spans="65:67" ht="18.75" customHeight="1">
      <c r="BM29433" s="1025"/>
      <c r="BO29433" s="43"/>
    </row>
    <row r="29434" spans="65:67" ht="18.75" customHeight="1">
      <c r="BM29434" s="1025"/>
      <c r="BO29434" s="43"/>
    </row>
    <row r="29435" spans="65:67" ht="18.75" customHeight="1">
      <c r="BM29435" s="1025"/>
      <c r="BO29435" s="43"/>
    </row>
    <row r="29436" spans="65:67" ht="18.75" customHeight="1">
      <c r="BM29436" s="1025"/>
      <c r="BO29436" s="43"/>
    </row>
    <row r="29437" spans="65:67" ht="18.75" customHeight="1">
      <c r="BM29437" s="1025"/>
      <c r="BO29437" s="43"/>
    </row>
    <row r="29438" spans="65:67" ht="18.75" customHeight="1">
      <c r="BM29438" s="1025"/>
      <c r="BO29438" s="43"/>
    </row>
    <row r="29439" spans="65:67" ht="18.75" customHeight="1">
      <c r="BM29439" s="1025"/>
      <c r="BO29439" s="43"/>
    </row>
    <row r="29440" spans="65:67" ht="18.75" customHeight="1">
      <c r="BM29440" s="1025"/>
      <c r="BO29440" s="43"/>
    </row>
    <row r="29441" spans="65:67" ht="18.75" customHeight="1">
      <c r="BM29441" s="1025"/>
      <c r="BO29441" s="43"/>
    </row>
    <row r="29442" spans="65:67" ht="18.75" customHeight="1">
      <c r="BM29442" s="1025"/>
      <c r="BO29442" s="43"/>
    </row>
    <row r="29443" spans="65:67" ht="18.75" customHeight="1">
      <c r="BM29443" s="1025"/>
      <c r="BO29443" s="43"/>
    </row>
    <row r="29444" spans="65:67" ht="18.75" customHeight="1">
      <c r="BM29444" s="1025"/>
      <c r="BO29444" s="43"/>
    </row>
    <row r="29445" spans="65:67" ht="18.75" customHeight="1">
      <c r="BM29445" s="1025"/>
      <c r="BO29445" s="43"/>
    </row>
    <row r="29446" spans="65:67" ht="18.75" customHeight="1">
      <c r="BM29446" s="1025"/>
      <c r="BO29446" s="43"/>
    </row>
    <row r="29447" spans="65:67" ht="18.75" customHeight="1">
      <c r="BM29447" s="1025"/>
      <c r="BO29447" s="43"/>
    </row>
    <row r="29448" spans="65:67" ht="18.75" customHeight="1">
      <c r="BM29448" s="1025"/>
      <c r="BO29448" s="43"/>
    </row>
    <row r="29449" spans="65:67" ht="18.75" customHeight="1">
      <c r="BM29449" s="1025"/>
      <c r="BO29449" s="43"/>
    </row>
    <row r="29450" spans="65:67" ht="18.75" customHeight="1">
      <c r="BM29450" s="1025"/>
      <c r="BO29450" s="43"/>
    </row>
    <row r="29451" spans="65:67" ht="18.75" customHeight="1">
      <c r="BM29451" s="1025"/>
      <c r="BO29451" s="43"/>
    </row>
    <row r="29452" spans="65:67" ht="18.75" customHeight="1">
      <c r="BM29452" s="1025"/>
      <c r="BO29452" s="43"/>
    </row>
    <row r="29453" spans="65:67" ht="18.75" customHeight="1">
      <c r="BM29453" s="1025"/>
      <c r="BO29453" s="43"/>
    </row>
    <row r="29454" spans="65:67" ht="18.75" customHeight="1">
      <c r="BM29454" s="1025"/>
      <c r="BO29454" s="43"/>
    </row>
    <row r="29455" spans="65:67" ht="18.75" customHeight="1">
      <c r="BM29455" s="1025"/>
      <c r="BO29455" s="43"/>
    </row>
    <row r="29456" spans="65:67" ht="18.75" customHeight="1">
      <c r="BM29456" s="1025"/>
      <c r="BO29456" s="43"/>
    </row>
    <row r="29457" spans="65:67" ht="18.75" customHeight="1">
      <c r="BM29457" s="1025"/>
      <c r="BO29457" s="43"/>
    </row>
    <row r="29458" spans="65:67" ht="18.75" customHeight="1">
      <c r="BM29458" s="1025"/>
      <c r="BO29458" s="43"/>
    </row>
    <row r="29459" spans="65:67" ht="18.75" customHeight="1">
      <c r="BM29459" s="1025"/>
      <c r="BO29459" s="43"/>
    </row>
    <row r="29460" spans="65:67" ht="18.75" customHeight="1">
      <c r="BM29460" s="1025"/>
      <c r="BO29460" s="43"/>
    </row>
    <row r="29461" spans="65:67" ht="18.75" customHeight="1">
      <c r="BM29461" s="1025"/>
      <c r="BO29461" s="43"/>
    </row>
    <row r="29462" spans="65:67" ht="18.75" customHeight="1">
      <c r="BM29462" s="1025"/>
      <c r="BO29462" s="43"/>
    </row>
    <row r="29463" spans="65:67" ht="18.75" customHeight="1">
      <c r="BM29463" s="1025"/>
      <c r="BO29463" s="43"/>
    </row>
    <row r="29464" spans="65:67" ht="18.75" customHeight="1">
      <c r="BM29464" s="1025"/>
      <c r="BO29464" s="43"/>
    </row>
    <row r="29465" spans="65:67" ht="18.75" customHeight="1">
      <c r="BM29465" s="1025"/>
      <c r="BO29465" s="43"/>
    </row>
    <row r="29466" spans="65:67" ht="18.75" customHeight="1">
      <c r="BM29466" s="1025"/>
      <c r="BO29466" s="43"/>
    </row>
    <row r="29467" spans="65:67" ht="18.75" customHeight="1">
      <c r="BM29467" s="1025"/>
      <c r="BO29467" s="43"/>
    </row>
    <row r="29468" spans="65:67" ht="18.75" customHeight="1">
      <c r="BM29468" s="1025"/>
      <c r="BO29468" s="43"/>
    </row>
    <row r="29469" spans="65:67" ht="18.75" customHeight="1">
      <c r="BM29469" s="1025"/>
      <c r="BO29469" s="43"/>
    </row>
    <row r="29470" spans="65:67" ht="18.75" customHeight="1">
      <c r="BM29470" s="1025"/>
      <c r="BO29470" s="43"/>
    </row>
    <row r="29471" spans="65:67" ht="18.75" customHeight="1">
      <c r="BM29471" s="1025"/>
      <c r="BO29471" s="43"/>
    </row>
    <row r="29472" spans="65:67" ht="18.75" customHeight="1">
      <c r="BM29472" s="1025"/>
      <c r="BO29472" s="43"/>
    </row>
    <row r="29473" spans="65:67" ht="18.75" customHeight="1">
      <c r="BM29473" s="1025"/>
      <c r="BO29473" s="43"/>
    </row>
    <row r="29474" spans="65:67" ht="18.75" customHeight="1">
      <c r="BM29474" s="1025"/>
      <c r="BO29474" s="43"/>
    </row>
    <row r="29475" spans="65:67" ht="18.75" customHeight="1">
      <c r="BM29475" s="1025"/>
      <c r="BO29475" s="43"/>
    </row>
    <row r="29476" spans="65:67" ht="18.75" customHeight="1">
      <c r="BM29476" s="1025"/>
      <c r="BO29476" s="43"/>
    </row>
    <row r="29477" spans="65:67" ht="18.75" customHeight="1">
      <c r="BM29477" s="1025"/>
      <c r="BO29477" s="43"/>
    </row>
    <row r="29478" spans="65:67" ht="18.75" customHeight="1">
      <c r="BM29478" s="1025"/>
      <c r="BO29478" s="43"/>
    </row>
    <row r="29479" spans="65:67" ht="18.75" customHeight="1">
      <c r="BM29479" s="1025"/>
      <c r="BO29479" s="43"/>
    </row>
    <row r="29480" spans="65:67" ht="18.75" customHeight="1">
      <c r="BM29480" s="1025"/>
      <c r="BO29480" s="43"/>
    </row>
    <row r="29481" spans="65:67" ht="18.75" customHeight="1">
      <c r="BM29481" s="1025"/>
      <c r="BO29481" s="43"/>
    </row>
    <row r="29482" spans="65:67" ht="18.75" customHeight="1">
      <c r="BM29482" s="1025"/>
      <c r="BO29482" s="43"/>
    </row>
    <row r="29483" spans="65:67" ht="18.75" customHeight="1">
      <c r="BM29483" s="1025"/>
      <c r="BO29483" s="43"/>
    </row>
    <row r="29484" spans="65:67" ht="18.75" customHeight="1">
      <c r="BM29484" s="1025"/>
      <c r="BO29484" s="43"/>
    </row>
    <row r="29485" spans="65:67" ht="18.75" customHeight="1">
      <c r="BM29485" s="1025"/>
      <c r="BO29485" s="43"/>
    </row>
    <row r="29486" spans="65:67" ht="18.75" customHeight="1">
      <c r="BM29486" s="1025"/>
      <c r="BO29486" s="43"/>
    </row>
    <row r="29487" spans="65:67" ht="18.75" customHeight="1">
      <c r="BM29487" s="1025"/>
      <c r="BO29487" s="43"/>
    </row>
    <row r="29488" spans="65:67" ht="18.75" customHeight="1">
      <c r="BM29488" s="1025"/>
      <c r="BO29488" s="43"/>
    </row>
    <row r="29489" spans="65:67" ht="18.75" customHeight="1">
      <c r="BM29489" s="1025"/>
      <c r="BO29489" s="43"/>
    </row>
    <row r="29490" spans="65:67" ht="18.75" customHeight="1">
      <c r="BM29490" s="1025"/>
      <c r="BO29490" s="43"/>
    </row>
    <row r="29491" spans="65:67" ht="18.75" customHeight="1">
      <c r="BM29491" s="1025"/>
      <c r="BO29491" s="43"/>
    </row>
    <row r="29492" spans="65:67" ht="18.75" customHeight="1">
      <c r="BM29492" s="1025"/>
      <c r="BO29492" s="43"/>
    </row>
    <row r="29493" spans="65:67" ht="18.75" customHeight="1">
      <c r="BM29493" s="1025"/>
      <c r="BO29493" s="43"/>
    </row>
    <row r="29494" spans="65:67" ht="18.75" customHeight="1">
      <c r="BM29494" s="1025"/>
      <c r="BO29494" s="43"/>
    </row>
    <row r="29495" spans="65:67" ht="18.75" customHeight="1">
      <c r="BM29495" s="1025"/>
      <c r="BO29495" s="43"/>
    </row>
    <row r="29496" spans="65:67" ht="18.75" customHeight="1">
      <c r="BM29496" s="1025"/>
      <c r="BO29496" s="43"/>
    </row>
    <row r="29497" spans="65:67" ht="18.75" customHeight="1">
      <c r="BM29497" s="1025"/>
      <c r="BO29497" s="43"/>
    </row>
    <row r="29498" spans="65:67" ht="18.75" customHeight="1">
      <c r="BM29498" s="1025"/>
      <c r="BO29498" s="43"/>
    </row>
    <row r="29499" spans="65:67" ht="18.75" customHeight="1">
      <c r="BM29499" s="1025"/>
      <c r="BO29499" s="43"/>
    </row>
    <row r="29500" spans="65:67" ht="18.75" customHeight="1">
      <c r="BM29500" s="1025"/>
      <c r="BO29500" s="43"/>
    </row>
    <row r="29501" spans="65:67" ht="18.75" customHeight="1">
      <c r="BM29501" s="1025"/>
      <c r="BO29501" s="43"/>
    </row>
    <row r="29502" spans="65:67" ht="18.75" customHeight="1">
      <c r="BM29502" s="1025"/>
      <c r="BO29502" s="43"/>
    </row>
    <row r="29503" spans="65:67" ht="18.75" customHeight="1">
      <c r="BM29503" s="1025"/>
      <c r="BO29503" s="43"/>
    </row>
    <row r="29504" spans="65:67" ht="18.75" customHeight="1">
      <c r="BM29504" s="1025"/>
      <c r="BO29504" s="43"/>
    </row>
    <row r="29505" spans="65:67" ht="18.75" customHeight="1">
      <c r="BM29505" s="1025"/>
      <c r="BO29505" s="43"/>
    </row>
    <row r="29506" spans="65:67" ht="18.75" customHeight="1">
      <c r="BM29506" s="1025"/>
      <c r="BO29506" s="43"/>
    </row>
    <row r="29507" spans="65:67" ht="18.75" customHeight="1">
      <c r="BM29507" s="1025"/>
      <c r="BO29507" s="43"/>
    </row>
    <row r="29508" spans="65:67" ht="18.75" customHeight="1">
      <c r="BM29508" s="1025"/>
      <c r="BO29508" s="43"/>
    </row>
    <row r="29509" spans="65:67" ht="18.75" customHeight="1">
      <c r="BM29509" s="1025"/>
      <c r="BO29509" s="43"/>
    </row>
    <row r="29510" spans="65:67" ht="18.75" customHeight="1">
      <c r="BM29510" s="1025"/>
      <c r="BO29510" s="43"/>
    </row>
    <row r="29511" spans="65:67" ht="18.75" customHeight="1">
      <c r="BM29511" s="1025"/>
      <c r="BO29511" s="43"/>
    </row>
    <row r="29512" spans="65:67" ht="18.75" customHeight="1">
      <c r="BM29512" s="1025"/>
      <c r="BO29512" s="43"/>
    </row>
    <row r="29513" spans="65:67" ht="18.75" customHeight="1">
      <c r="BM29513" s="1025"/>
      <c r="BO29513" s="43"/>
    </row>
    <row r="29514" spans="65:67" ht="18.75" customHeight="1">
      <c r="BM29514" s="1025"/>
      <c r="BO29514" s="43"/>
    </row>
    <row r="29515" spans="65:67" ht="18.75" customHeight="1">
      <c r="BM29515" s="1025"/>
      <c r="BO29515" s="43"/>
    </row>
    <row r="29516" spans="65:67" ht="18.75" customHeight="1">
      <c r="BM29516" s="1025"/>
      <c r="BO29516" s="43"/>
    </row>
    <row r="29517" spans="65:67" ht="18.75" customHeight="1">
      <c r="BM29517" s="1025"/>
      <c r="BO29517" s="43"/>
    </row>
    <row r="29518" spans="65:67" ht="18.75" customHeight="1">
      <c r="BM29518" s="1025"/>
      <c r="BO29518" s="43"/>
    </row>
    <row r="29519" spans="65:67" ht="18.75" customHeight="1">
      <c r="BM29519" s="1025"/>
      <c r="BO29519" s="43"/>
    </row>
    <row r="29520" spans="65:67" ht="18.75" customHeight="1">
      <c r="BM29520" s="1025"/>
      <c r="BO29520" s="43"/>
    </row>
    <row r="29521" spans="65:67" ht="18.75" customHeight="1">
      <c r="BM29521" s="1025"/>
      <c r="BO29521" s="43"/>
    </row>
    <row r="29522" spans="65:67" ht="18.75" customHeight="1">
      <c r="BM29522" s="1025"/>
      <c r="BO29522" s="43"/>
    </row>
    <row r="29523" spans="65:67" ht="18.75" customHeight="1">
      <c r="BM29523" s="1025"/>
      <c r="BO29523" s="43"/>
    </row>
    <row r="29524" spans="65:67" ht="18.75" customHeight="1">
      <c r="BM29524" s="1025"/>
      <c r="BO29524" s="43"/>
    </row>
    <row r="29525" spans="65:67" ht="18.75" customHeight="1">
      <c r="BM29525" s="1025"/>
      <c r="BO29525" s="43"/>
    </row>
    <row r="29526" spans="65:67" ht="18.75" customHeight="1">
      <c r="BM29526" s="1025"/>
      <c r="BO29526" s="43"/>
    </row>
    <row r="29527" spans="65:67" ht="18.75" customHeight="1">
      <c r="BM29527" s="1025"/>
      <c r="BO29527" s="43"/>
    </row>
    <row r="29528" spans="65:67" ht="18.75" customHeight="1">
      <c r="BM29528" s="1025"/>
      <c r="BO29528" s="43"/>
    </row>
    <row r="29529" spans="65:67" ht="18.75" customHeight="1">
      <c r="BM29529" s="1025"/>
      <c r="BO29529" s="43"/>
    </row>
    <row r="29530" spans="65:67" ht="18.75" customHeight="1">
      <c r="BM29530" s="1025"/>
      <c r="BO29530" s="43"/>
    </row>
    <row r="29531" spans="65:67" ht="18.75" customHeight="1">
      <c r="BM29531" s="1025"/>
      <c r="BO29531" s="43"/>
    </row>
    <row r="29532" spans="65:67" ht="18.75" customHeight="1">
      <c r="BM29532" s="1025"/>
      <c r="BO29532" s="43"/>
    </row>
    <row r="29533" spans="65:67" ht="18.75" customHeight="1">
      <c r="BM29533" s="1025"/>
      <c r="BO29533" s="43"/>
    </row>
    <row r="29534" spans="65:67" ht="18.75" customHeight="1">
      <c r="BM29534" s="1025"/>
      <c r="BO29534" s="43"/>
    </row>
    <row r="29535" spans="65:67" ht="18.75" customHeight="1">
      <c r="BM29535" s="1025"/>
      <c r="BO29535" s="43"/>
    </row>
    <row r="29536" spans="65:67" ht="18.75" customHeight="1">
      <c r="BM29536" s="1025"/>
      <c r="BO29536" s="43"/>
    </row>
    <row r="29537" spans="65:67" ht="18.75" customHeight="1">
      <c r="BM29537" s="1025"/>
      <c r="BO29537" s="43"/>
    </row>
    <row r="29538" spans="65:67" ht="18.75" customHeight="1">
      <c r="BM29538" s="1025"/>
      <c r="BO29538" s="43"/>
    </row>
    <row r="29539" spans="65:67" ht="18.75" customHeight="1">
      <c r="BM29539" s="1025"/>
      <c r="BO29539" s="43"/>
    </row>
    <row r="29540" spans="65:67" ht="18.75" customHeight="1">
      <c r="BM29540" s="1025"/>
      <c r="BO29540" s="43"/>
    </row>
    <row r="29541" spans="65:67" ht="18.75" customHeight="1">
      <c r="BM29541" s="1025"/>
      <c r="BO29541" s="43"/>
    </row>
    <row r="29542" spans="65:67" ht="18.75" customHeight="1">
      <c r="BM29542" s="1025"/>
      <c r="BO29542" s="43"/>
    </row>
    <row r="29543" spans="65:67" ht="18.75" customHeight="1">
      <c r="BM29543" s="1025"/>
      <c r="BO29543" s="43"/>
    </row>
    <row r="29544" spans="65:67" ht="18.75" customHeight="1">
      <c r="BM29544" s="1025"/>
      <c r="BO29544" s="43"/>
    </row>
    <row r="29545" spans="65:67" ht="18.75" customHeight="1">
      <c r="BM29545" s="1025"/>
      <c r="BO29545" s="43"/>
    </row>
    <row r="29546" spans="65:67" ht="18.75" customHeight="1">
      <c r="BM29546" s="1025"/>
      <c r="BO29546" s="43"/>
    </row>
    <row r="29547" spans="65:67" ht="18.75" customHeight="1">
      <c r="BM29547" s="1025"/>
      <c r="BO29547" s="43"/>
    </row>
    <row r="29548" spans="65:67" ht="18.75" customHeight="1">
      <c r="BM29548" s="1025"/>
      <c r="BO29548" s="43"/>
    </row>
    <row r="29549" spans="65:67" ht="18.75" customHeight="1">
      <c r="BM29549" s="1025"/>
      <c r="BO29549" s="43"/>
    </row>
    <row r="29550" spans="65:67" ht="18.75" customHeight="1">
      <c r="BM29550" s="1025"/>
      <c r="BO29550" s="43"/>
    </row>
    <row r="29551" spans="65:67" ht="18.75" customHeight="1">
      <c r="BM29551" s="1025"/>
      <c r="BO29551" s="43"/>
    </row>
    <row r="29552" spans="65:67" ht="18.75" customHeight="1">
      <c r="BM29552" s="1025"/>
      <c r="BO29552" s="43"/>
    </row>
    <row r="29553" spans="65:67" ht="18.75" customHeight="1">
      <c r="BM29553" s="1025"/>
      <c r="BO29553" s="43"/>
    </row>
    <row r="29554" spans="65:67" ht="18.75" customHeight="1">
      <c r="BM29554" s="1025"/>
      <c r="BO29554" s="43"/>
    </row>
    <row r="29555" spans="65:67" ht="18.75" customHeight="1">
      <c r="BM29555" s="1025"/>
      <c r="BO29555" s="43"/>
    </row>
    <row r="29556" spans="65:67" ht="18.75" customHeight="1">
      <c r="BM29556" s="1025"/>
      <c r="BO29556" s="43"/>
    </row>
    <row r="29557" spans="65:67" ht="18.75" customHeight="1">
      <c r="BM29557" s="1025"/>
      <c r="BO29557" s="43"/>
    </row>
    <row r="29558" spans="65:67" ht="18.75" customHeight="1">
      <c r="BM29558" s="1025"/>
      <c r="BO29558" s="43"/>
    </row>
    <row r="29559" spans="65:67" ht="18.75" customHeight="1">
      <c r="BM29559" s="1025"/>
      <c r="BO29559" s="43"/>
    </row>
    <row r="29560" spans="65:67" ht="18.75" customHeight="1">
      <c r="BM29560" s="1025"/>
      <c r="BO29560" s="43"/>
    </row>
    <row r="29561" spans="65:67" ht="18.75" customHeight="1">
      <c r="BM29561" s="1025"/>
      <c r="BO29561" s="43"/>
    </row>
    <row r="29562" spans="65:67" ht="18.75" customHeight="1">
      <c r="BM29562" s="1025"/>
      <c r="BO29562" s="43"/>
    </row>
    <row r="29563" spans="65:67" ht="18.75" customHeight="1">
      <c r="BM29563" s="1025"/>
      <c r="BO29563" s="43"/>
    </row>
    <row r="29564" spans="65:67" ht="18.75" customHeight="1">
      <c r="BM29564" s="1025"/>
      <c r="BO29564" s="43"/>
    </row>
    <row r="29565" spans="65:67" ht="18.75" customHeight="1">
      <c r="BM29565" s="1025"/>
      <c r="BO29565" s="43"/>
    </row>
    <row r="29566" spans="65:67" ht="18.75" customHeight="1">
      <c r="BM29566" s="1025"/>
      <c r="BO29566" s="43"/>
    </row>
    <row r="29567" spans="65:67" ht="18.75" customHeight="1">
      <c r="BM29567" s="1025"/>
      <c r="BO29567" s="43"/>
    </row>
    <row r="29568" spans="65:67" ht="18.75" customHeight="1">
      <c r="BM29568" s="1025"/>
      <c r="BO29568" s="43"/>
    </row>
    <row r="29569" spans="65:67" ht="18.75" customHeight="1">
      <c r="BM29569" s="1025"/>
      <c r="BO29569" s="43"/>
    </row>
    <row r="29570" spans="65:67" ht="18.75" customHeight="1">
      <c r="BM29570" s="1025"/>
      <c r="BO29570" s="43"/>
    </row>
    <row r="29571" spans="65:67" ht="18.75" customHeight="1">
      <c r="BM29571" s="1025"/>
      <c r="BO29571" s="43"/>
    </row>
    <row r="29572" spans="65:67" ht="18.75" customHeight="1">
      <c r="BM29572" s="1025"/>
      <c r="BO29572" s="43"/>
    </row>
    <row r="29573" spans="65:67" ht="18.75" customHeight="1">
      <c r="BM29573" s="1025"/>
      <c r="BO29573" s="43"/>
    </row>
    <row r="29574" spans="65:67" ht="18.75" customHeight="1">
      <c r="BM29574" s="1025"/>
      <c r="BO29574" s="43"/>
    </row>
    <row r="29575" spans="65:67" ht="18.75" customHeight="1">
      <c r="BM29575" s="1025"/>
      <c r="BO29575" s="43"/>
    </row>
    <row r="29576" spans="65:67" ht="18.75" customHeight="1">
      <c r="BM29576" s="1025"/>
      <c r="BO29576" s="43"/>
    </row>
    <row r="29577" spans="65:67" ht="18.75" customHeight="1">
      <c r="BM29577" s="1025"/>
      <c r="BO29577" s="43"/>
    </row>
    <row r="29578" spans="65:67" ht="18.75" customHeight="1">
      <c r="BM29578" s="1025"/>
      <c r="BO29578" s="43"/>
    </row>
    <row r="29579" spans="65:67" ht="18.75" customHeight="1">
      <c r="BM29579" s="1025"/>
      <c r="BO29579" s="43"/>
    </row>
    <row r="29580" spans="65:67" ht="18.75" customHeight="1">
      <c r="BM29580" s="1025"/>
      <c r="BO29580" s="43"/>
    </row>
    <row r="29581" spans="65:67" ht="18.75" customHeight="1">
      <c r="BM29581" s="1025"/>
      <c r="BO29581" s="43"/>
    </row>
    <row r="29582" spans="65:67" ht="18.75" customHeight="1">
      <c r="BM29582" s="1025"/>
      <c r="BO29582" s="43"/>
    </row>
    <row r="29583" spans="65:67" ht="18.75" customHeight="1">
      <c r="BM29583" s="1025"/>
      <c r="BO29583" s="43"/>
    </row>
    <row r="29584" spans="65:67" ht="18.75" customHeight="1">
      <c r="BM29584" s="1025"/>
      <c r="BO29584" s="43"/>
    </row>
    <row r="29585" spans="65:67" ht="18.75" customHeight="1">
      <c r="BM29585" s="1025"/>
      <c r="BO29585" s="43"/>
    </row>
    <row r="29586" spans="65:67" ht="18.75" customHeight="1">
      <c r="BM29586" s="1025"/>
      <c r="BO29586" s="43"/>
    </row>
    <row r="29587" spans="65:67" ht="18.75" customHeight="1">
      <c r="BM29587" s="1025"/>
      <c r="BO29587" s="43"/>
    </row>
    <row r="29588" spans="65:67" ht="18.75" customHeight="1">
      <c r="BM29588" s="1025"/>
      <c r="BO29588" s="43"/>
    </row>
    <row r="29589" spans="65:67" ht="18.75" customHeight="1">
      <c r="BM29589" s="1025"/>
      <c r="BO29589" s="43"/>
    </row>
    <row r="29590" spans="65:67" ht="18.75" customHeight="1">
      <c r="BM29590" s="1025"/>
      <c r="BO29590" s="43"/>
    </row>
    <row r="29591" spans="65:67" ht="18.75" customHeight="1">
      <c r="BM29591" s="1025"/>
      <c r="BO29591" s="43"/>
    </row>
    <row r="29592" spans="65:67" ht="18.75" customHeight="1">
      <c r="BM29592" s="1025"/>
      <c r="BO29592" s="43"/>
    </row>
    <row r="29593" spans="65:67" ht="18.75" customHeight="1">
      <c r="BM29593" s="1025"/>
      <c r="BO29593" s="43"/>
    </row>
    <row r="29594" spans="65:67" ht="18.75" customHeight="1">
      <c r="BM29594" s="1025"/>
      <c r="BO29594" s="43"/>
    </row>
    <row r="29595" spans="65:67" ht="18.75" customHeight="1">
      <c r="BM29595" s="1025"/>
      <c r="BO29595" s="43"/>
    </row>
    <row r="29596" spans="65:67" ht="18.75" customHeight="1">
      <c r="BM29596" s="1025"/>
      <c r="BO29596" s="43"/>
    </row>
    <row r="29597" spans="65:67" ht="18.75" customHeight="1">
      <c r="BM29597" s="1025"/>
      <c r="BO29597" s="43"/>
    </row>
    <row r="29598" spans="65:67" ht="18.75" customHeight="1">
      <c r="BM29598" s="1025"/>
      <c r="BO29598" s="43"/>
    </row>
    <row r="29599" spans="65:67" ht="18.75" customHeight="1">
      <c r="BM29599" s="1025"/>
      <c r="BO29599" s="43"/>
    </row>
    <row r="29600" spans="65:67" ht="18.75" customHeight="1">
      <c r="BM29600" s="1025"/>
      <c r="BO29600" s="43"/>
    </row>
    <row r="29601" spans="65:67" ht="18.75" customHeight="1">
      <c r="BM29601" s="1025"/>
      <c r="BO29601" s="43"/>
    </row>
    <row r="29602" spans="65:67" ht="18.75" customHeight="1">
      <c r="BM29602" s="1025"/>
      <c r="BO29602" s="43"/>
    </row>
    <row r="29603" spans="65:67" ht="18.75" customHeight="1">
      <c r="BM29603" s="1025"/>
      <c r="BO29603" s="43"/>
    </row>
    <row r="29604" spans="65:67" ht="18.75" customHeight="1">
      <c r="BM29604" s="1025"/>
      <c r="BO29604" s="43"/>
    </row>
    <row r="29605" spans="65:67" ht="18.75" customHeight="1">
      <c r="BM29605" s="1025"/>
      <c r="BO29605" s="43"/>
    </row>
    <row r="29606" spans="65:67" ht="18.75" customHeight="1">
      <c r="BM29606" s="1025"/>
      <c r="BO29606" s="43"/>
    </row>
    <row r="29607" spans="65:67" ht="18.75" customHeight="1">
      <c r="BM29607" s="1025"/>
      <c r="BO29607" s="43"/>
    </row>
    <row r="29608" spans="65:67" ht="18.75" customHeight="1">
      <c r="BM29608" s="1025"/>
      <c r="BO29608" s="43"/>
    </row>
    <row r="29609" spans="65:67" ht="18.75" customHeight="1">
      <c r="BM29609" s="1025"/>
      <c r="BO29609" s="43"/>
    </row>
    <row r="29610" spans="65:67" ht="18.75" customHeight="1">
      <c r="BM29610" s="1025"/>
      <c r="BO29610" s="43"/>
    </row>
    <row r="29611" spans="65:67" ht="18.75" customHeight="1">
      <c r="BM29611" s="1025"/>
      <c r="BO29611" s="43"/>
    </row>
    <row r="29612" spans="65:67" ht="18.75" customHeight="1">
      <c r="BM29612" s="1025"/>
      <c r="BO29612" s="43"/>
    </row>
    <row r="29613" spans="65:67" ht="18.75" customHeight="1">
      <c r="BM29613" s="1025"/>
      <c r="BO29613" s="43"/>
    </row>
    <row r="29614" spans="65:67" ht="18.75" customHeight="1">
      <c r="BM29614" s="1025"/>
      <c r="BO29614" s="43"/>
    </row>
    <row r="29615" spans="65:67" ht="18.75" customHeight="1">
      <c r="BM29615" s="1025"/>
      <c r="BO29615" s="43"/>
    </row>
    <row r="29616" spans="65:67" ht="18.75" customHeight="1">
      <c r="BM29616" s="1025"/>
      <c r="BO29616" s="43"/>
    </row>
    <row r="29617" spans="65:67" ht="18.75" customHeight="1">
      <c r="BM29617" s="1025"/>
      <c r="BO29617" s="43"/>
    </row>
    <row r="29618" spans="65:67" ht="18.75" customHeight="1">
      <c r="BM29618" s="1025"/>
      <c r="BO29618" s="43"/>
    </row>
    <row r="29619" spans="65:67" ht="18.75" customHeight="1">
      <c r="BM29619" s="1025"/>
      <c r="BO29619" s="43"/>
    </row>
    <row r="29620" spans="65:67" ht="18.75" customHeight="1">
      <c r="BM29620" s="1025"/>
      <c r="BO29620" s="43"/>
    </row>
    <row r="29621" spans="65:67" ht="18.75" customHeight="1">
      <c r="BM29621" s="1025"/>
      <c r="BO29621" s="43"/>
    </row>
    <row r="29622" spans="65:67" ht="18.75" customHeight="1">
      <c r="BM29622" s="1025"/>
      <c r="BO29622" s="43"/>
    </row>
    <row r="29623" spans="65:67" ht="18.75" customHeight="1">
      <c r="BM29623" s="1025"/>
      <c r="BO29623" s="43"/>
    </row>
    <row r="29624" spans="65:67" ht="18.75" customHeight="1">
      <c r="BM29624" s="1025"/>
      <c r="BO29624" s="43"/>
    </row>
    <row r="29625" spans="65:67" ht="18.75" customHeight="1">
      <c r="BM29625" s="1025"/>
      <c r="BO29625" s="43"/>
    </row>
    <row r="29626" spans="65:67" ht="18.75" customHeight="1">
      <c r="BM29626" s="1025"/>
      <c r="BO29626" s="43"/>
    </row>
    <row r="29627" spans="65:67" ht="18.75" customHeight="1">
      <c r="BM29627" s="1025"/>
      <c r="BO29627" s="43"/>
    </row>
    <row r="29628" spans="65:67" ht="18.75" customHeight="1">
      <c r="BM29628" s="1025"/>
      <c r="BO29628" s="43"/>
    </row>
    <row r="29629" spans="65:67" ht="18.75" customHeight="1">
      <c r="BM29629" s="1025"/>
      <c r="BO29629" s="43"/>
    </row>
    <row r="29630" spans="65:67" ht="18.75" customHeight="1">
      <c r="BM29630" s="1025"/>
      <c r="BO29630" s="43"/>
    </row>
    <row r="29631" spans="65:67" ht="18.75" customHeight="1">
      <c r="BM29631" s="1025"/>
      <c r="BO29631" s="43"/>
    </row>
    <row r="29632" spans="65:67" ht="18.75" customHeight="1">
      <c r="BM29632" s="1025"/>
      <c r="BO29632" s="43"/>
    </row>
    <row r="29633" spans="65:67" ht="18.75" customHeight="1">
      <c r="BM29633" s="1025"/>
      <c r="BO29633" s="43"/>
    </row>
    <row r="29634" spans="65:67" ht="18.75" customHeight="1">
      <c r="BM29634" s="1025"/>
      <c r="BO29634" s="43"/>
    </row>
    <row r="29635" spans="65:67" ht="18.75" customHeight="1">
      <c r="BM29635" s="1025"/>
      <c r="BO29635" s="43"/>
    </row>
    <row r="29636" spans="65:67" ht="18.75" customHeight="1">
      <c r="BM29636" s="1025"/>
      <c r="BO29636" s="43"/>
    </row>
    <row r="29637" spans="65:67" ht="18.75" customHeight="1">
      <c r="BM29637" s="1025"/>
      <c r="BO29637" s="43"/>
    </row>
    <row r="29638" spans="65:67" ht="18.75" customHeight="1">
      <c r="BM29638" s="1025"/>
      <c r="BO29638" s="43"/>
    </row>
    <row r="29639" spans="65:67" ht="18.75" customHeight="1">
      <c r="BM29639" s="1025"/>
      <c r="BO29639" s="43"/>
    </row>
    <row r="29640" spans="65:67" ht="18.75" customHeight="1">
      <c r="BM29640" s="1025"/>
      <c r="BO29640" s="43"/>
    </row>
    <row r="29641" spans="65:67" ht="18.75" customHeight="1">
      <c r="BM29641" s="1025"/>
      <c r="BO29641" s="43"/>
    </row>
    <row r="29642" spans="65:67" ht="18.75" customHeight="1">
      <c r="BM29642" s="1025"/>
      <c r="BO29642" s="43"/>
    </row>
    <row r="29643" spans="65:67" ht="18.75" customHeight="1">
      <c r="BM29643" s="1025"/>
      <c r="BO29643" s="43"/>
    </row>
    <row r="29644" spans="65:67" ht="18.75" customHeight="1">
      <c r="BM29644" s="1025"/>
      <c r="BO29644" s="43"/>
    </row>
    <row r="29645" spans="65:67" ht="18.75" customHeight="1">
      <c r="BM29645" s="1025"/>
      <c r="BO29645" s="43"/>
    </row>
    <row r="29646" spans="65:67" ht="18.75" customHeight="1">
      <c r="BM29646" s="1025"/>
      <c r="BO29646" s="43"/>
    </row>
    <row r="29647" spans="65:67" ht="18.75" customHeight="1">
      <c r="BM29647" s="1025"/>
      <c r="BO29647" s="43"/>
    </row>
    <row r="29648" spans="65:67" ht="18.75" customHeight="1">
      <c r="BM29648" s="1025"/>
      <c r="BO29648" s="43"/>
    </row>
    <row r="29649" spans="65:67" ht="18.75" customHeight="1">
      <c r="BM29649" s="1025"/>
      <c r="BO29649" s="43"/>
    </row>
    <row r="29650" spans="65:67" ht="18.75" customHeight="1">
      <c r="BM29650" s="1025"/>
      <c r="BO29650" s="43"/>
    </row>
    <row r="29651" spans="65:67" ht="18.75" customHeight="1">
      <c r="BM29651" s="1025"/>
      <c r="BO29651" s="43"/>
    </row>
    <row r="29652" spans="65:67" ht="18.75" customHeight="1">
      <c r="BM29652" s="1025"/>
      <c r="BO29652" s="43"/>
    </row>
    <row r="29653" spans="65:67" ht="18.75" customHeight="1">
      <c r="BM29653" s="1025"/>
      <c r="BO29653" s="43"/>
    </row>
    <row r="29654" spans="65:67" ht="18.75" customHeight="1">
      <c r="BM29654" s="1025"/>
      <c r="BO29654" s="43"/>
    </row>
    <row r="29655" spans="65:67" ht="18.75" customHeight="1">
      <c r="BM29655" s="1025"/>
      <c r="BO29655" s="43"/>
    </row>
    <row r="29656" spans="65:67" ht="18.75" customHeight="1">
      <c r="BM29656" s="1025"/>
      <c r="BO29656" s="43"/>
    </row>
    <row r="29657" spans="65:67" ht="18.75" customHeight="1">
      <c r="BM29657" s="1025"/>
      <c r="BO29657" s="43"/>
    </row>
    <row r="29658" spans="65:67" ht="18.75" customHeight="1">
      <c r="BM29658" s="1025"/>
      <c r="BO29658" s="43"/>
    </row>
    <row r="29659" spans="65:67" ht="18.75" customHeight="1">
      <c r="BM29659" s="1025"/>
      <c r="BO29659" s="43"/>
    </row>
    <row r="29660" spans="65:67" ht="18.75" customHeight="1">
      <c r="BM29660" s="1025"/>
      <c r="BO29660" s="43"/>
    </row>
    <row r="29661" spans="65:67" ht="18.75" customHeight="1">
      <c r="BM29661" s="1025"/>
      <c r="BO29661" s="43"/>
    </row>
    <row r="29662" spans="65:67" ht="18.75" customHeight="1">
      <c r="BM29662" s="1025"/>
      <c r="BO29662" s="43"/>
    </row>
    <row r="29663" spans="65:67" ht="18.75" customHeight="1">
      <c r="BM29663" s="1025"/>
      <c r="BO29663" s="43"/>
    </row>
    <row r="29664" spans="65:67" ht="18.75" customHeight="1">
      <c r="BM29664" s="1025"/>
      <c r="BO29664" s="43"/>
    </row>
    <row r="29665" spans="65:67" ht="18.75" customHeight="1">
      <c r="BM29665" s="1025"/>
      <c r="BO29665" s="43"/>
    </row>
    <row r="29666" spans="65:67" ht="18.75" customHeight="1">
      <c r="BM29666" s="1025"/>
      <c r="BO29666" s="43"/>
    </row>
    <row r="29667" spans="65:67" ht="18.75" customHeight="1">
      <c r="BM29667" s="1025"/>
      <c r="BO29667" s="43"/>
    </row>
    <row r="29668" spans="65:67" ht="18.75" customHeight="1">
      <c r="BM29668" s="1025"/>
      <c r="BO29668" s="43"/>
    </row>
    <row r="29669" spans="65:67" ht="18.75" customHeight="1">
      <c r="BM29669" s="1025"/>
      <c r="BO29669" s="43"/>
    </row>
    <row r="29670" spans="65:67" ht="18.75" customHeight="1">
      <c r="BM29670" s="1025"/>
      <c r="BO29670" s="43"/>
    </row>
    <row r="29671" spans="65:67" ht="18.75" customHeight="1">
      <c r="BM29671" s="1025"/>
      <c r="BO29671" s="43"/>
    </row>
    <row r="29672" spans="65:67" ht="18.75" customHeight="1">
      <c r="BM29672" s="1025"/>
      <c r="BO29672" s="43"/>
    </row>
    <row r="29673" spans="65:67" ht="18.75" customHeight="1">
      <c r="BM29673" s="1025"/>
      <c r="BO29673" s="43"/>
    </row>
    <row r="29674" spans="65:67" ht="18.75" customHeight="1">
      <c r="BM29674" s="1025"/>
      <c r="BO29674" s="43"/>
    </row>
    <row r="29675" spans="65:67" ht="18.75" customHeight="1">
      <c r="BM29675" s="1025"/>
      <c r="BO29675" s="43"/>
    </row>
    <row r="29676" spans="65:67" ht="18.75" customHeight="1">
      <c r="BM29676" s="1025"/>
      <c r="BO29676" s="43"/>
    </row>
    <row r="29677" spans="65:67" ht="18.75" customHeight="1">
      <c r="BM29677" s="1025"/>
      <c r="BO29677" s="43"/>
    </row>
    <row r="29678" spans="65:67" ht="18.75" customHeight="1">
      <c r="BM29678" s="1025"/>
      <c r="BO29678" s="43"/>
    </row>
    <row r="29679" spans="65:67" ht="18.75" customHeight="1">
      <c r="BM29679" s="1025"/>
      <c r="BO29679" s="43"/>
    </row>
    <row r="29680" spans="65:67" ht="18.75" customHeight="1">
      <c r="BM29680" s="1025"/>
      <c r="BO29680" s="43"/>
    </row>
    <row r="29681" spans="65:67" ht="18.75" customHeight="1">
      <c r="BM29681" s="1025"/>
      <c r="BO29681" s="43"/>
    </row>
    <row r="29682" spans="65:67" ht="18.75" customHeight="1">
      <c r="BM29682" s="1025"/>
      <c r="BO29682" s="43"/>
    </row>
    <row r="29683" spans="65:67" ht="18.75" customHeight="1">
      <c r="BM29683" s="1025"/>
      <c r="BO29683" s="43"/>
    </row>
    <row r="29684" spans="65:67" ht="18.75" customHeight="1">
      <c r="BM29684" s="1025"/>
      <c r="BO29684" s="43"/>
    </row>
    <row r="29685" spans="65:67" ht="18.75" customHeight="1">
      <c r="BM29685" s="1025"/>
      <c r="BO29685" s="43"/>
    </row>
    <row r="29686" spans="65:67" ht="18.75" customHeight="1">
      <c r="BM29686" s="1025"/>
      <c r="BO29686" s="43"/>
    </row>
    <row r="29687" spans="65:67" ht="18.75" customHeight="1">
      <c r="BM29687" s="1025"/>
      <c r="BO29687" s="43"/>
    </row>
    <row r="29688" spans="65:67" ht="18.75" customHeight="1">
      <c r="BM29688" s="1025"/>
      <c r="BO29688" s="43"/>
    </row>
    <row r="29689" spans="65:67" ht="18.75" customHeight="1">
      <c r="BM29689" s="1025"/>
      <c r="BO29689" s="43"/>
    </row>
    <row r="29690" spans="65:67" ht="18.75" customHeight="1">
      <c r="BM29690" s="1025"/>
      <c r="BO29690" s="43"/>
    </row>
    <row r="29691" spans="65:67" ht="18.75" customHeight="1">
      <c r="BM29691" s="1025"/>
      <c r="BO29691" s="43"/>
    </row>
    <row r="29692" spans="65:67" ht="18.75" customHeight="1">
      <c r="BM29692" s="1025"/>
      <c r="BO29692" s="43"/>
    </row>
    <row r="29693" spans="65:67" ht="18.75" customHeight="1">
      <c r="BM29693" s="1025"/>
      <c r="BO29693" s="43"/>
    </row>
    <row r="29694" spans="65:67" ht="18.75" customHeight="1">
      <c r="BM29694" s="1025"/>
      <c r="BO29694" s="43"/>
    </row>
    <row r="29695" spans="65:67" ht="18.75" customHeight="1">
      <c r="BM29695" s="1025"/>
      <c r="BO29695" s="43"/>
    </row>
    <row r="29696" spans="65:67" ht="18.75" customHeight="1">
      <c r="BM29696" s="1025"/>
      <c r="BO29696" s="43"/>
    </row>
    <row r="29697" spans="65:67" ht="18.75" customHeight="1">
      <c r="BM29697" s="1025"/>
      <c r="BO29697" s="43"/>
    </row>
    <row r="29698" spans="65:67" ht="18.75" customHeight="1">
      <c r="BM29698" s="1025"/>
      <c r="BO29698" s="43"/>
    </row>
    <row r="29699" spans="65:67" ht="18.75" customHeight="1">
      <c r="BM29699" s="1025"/>
      <c r="BO29699" s="43"/>
    </row>
    <row r="29700" spans="65:67" ht="18.75" customHeight="1">
      <c r="BM29700" s="1025"/>
      <c r="BO29700" s="43"/>
    </row>
    <row r="29701" spans="65:67" ht="18.75" customHeight="1">
      <c r="BM29701" s="1025"/>
      <c r="BO29701" s="43"/>
    </row>
    <row r="29702" spans="65:67" ht="18.75" customHeight="1">
      <c r="BM29702" s="1025"/>
      <c r="BO29702" s="43"/>
    </row>
    <row r="29703" spans="65:67" ht="18.75" customHeight="1">
      <c r="BM29703" s="1025"/>
      <c r="BO29703" s="43"/>
    </row>
    <row r="29704" spans="65:67" ht="18.75" customHeight="1">
      <c r="BM29704" s="1025"/>
      <c r="BO29704" s="43"/>
    </row>
    <row r="29705" spans="65:67" ht="18.75" customHeight="1">
      <c r="BM29705" s="1025"/>
      <c r="BO29705" s="43"/>
    </row>
    <row r="29706" spans="65:67" ht="18.75" customHeight="1">
      <c r="BM29706" s="1025"/>
      <c r="BO29706" s="43"/>
    </row>
    <row r="29707" spans="65:67" ht="18.75" customHeight="1">
      <c r="BM29707" s="1025"/>
      <c r="BO29707" s="43"/>
    </row>
    <row r="29708" spans="65:67" ht="18.75" customHeight="1">
      <c r="BM29708" s="1025"/>
      <c r="BO29708" s="43"/>
    </row>
    <row r="29709" spans="65:67" ht="18.75" customHeight="1">
      <c r="BM29709" s="1025"/>
      <c r="BO29709" s="43"/>
    </row>
    <row r="29710" spans="65:67" ht="18.75" customHeight="1">
      <c r="BM29710" s="1025"/>
      <c r="BO29710" s="43"/>
    </row>
    <row r="29711" spans="65:67" ht="18.75" customHeight="1">
      <c r="BM29711" s="1025"/>
      <c r="BO29711" s="43"/>
    </row>
    <row r="29712" spans="65:67" ht="18.75" customHeight="1">
      <c r="BM29712" s="1025"/>
      <c r="BO29712" s="43"/>
    </row>
    <row r="29713" spans="65:67" ht="18.75" customHeight="1">
      <c r="BM29713" s="1025"/>
      <c r="BO29713" s="43"/>
    </row>
    <row r="29714" spans="65:67" ht="18.75" customHeight="1">
      <c r="BM29714" s="1025"/>
      <c r="BO29714" s="43"/>
    </row>
    <row r="29715" spans="65:67" ht="18.75" customHeight="1">
      <c r="BM29715" s="1025"/>
      <c r="BO29715" s="43"/>
    </row>
    <row r="29716" spans="65:67" ht="18.75" customHeight="1">
      <c r="BM29716" s="1025"/>
      <c r="BO29716" s="43"/>
    </row>
    <row r="29717" spans="65:67" ht="18.75" customHeight="1">
      <c r="BM29717" s="1025"/>
      <c r="BO29717" s="43"/>
    </row>
    <row r="29718" spans="65:67" ht="18.75" customHeight="1">
      <c r="BM29718" s="1025"/>
      <c r="BO29718" s="43"/>
    </row>
    <row r="29719" spans="65:67" ht="18.75" customHeight="1">
      <c r="BM29719" s="1025"/>
      <c r="BO29719" s="43"/>
    </row>
    <row r="29720" spans="65:67" ht="18.75" customHeight="1">
      <c r="BM29720" s="1025"/>
      <c r="BO29720" s="43"/>
    </row>
    <row r="29721" spans="65:67" ht="18.75" customHeight="1">
      <c r="BM29721" s="1025"/>
      <c r="BO29721" s="43"/>
    </row>
    <row r="29722" spans="65:67" ht="18.75" customHeight="1">
      <c r="BM29722" s="1025"/>
      <c r="BO29722" s="43"/>
    </row>
    <row r="29723" spans="65:67" ht="18.75" customHeight="1">
      <c r="BM29723" s="1025"/>
      <c r="BO29723" s="43"/>
    </row>
    <row r="29724" spans="65:67" ht="18.75" customHeight="1">
      <c r="BM29724" s="1025"/>
      <c r="BO29724" s="43"/>
    </row>
    <row r="29725" spans="65:67" ht="18.75" customHeight="1">
      <c r="BM29725" s="1025"/>
      <c r="BO29725" s="43"/>
    </row>
    <row r="29726" spans="65:67" ht="18.75" customHeight="1">
      <c r="BM29726" s="1025"/>
      <c r="BO29726" s="43"/>
    </row>
    <row r="29727" spans="65:67" ht="18.75" customHeight="1">
      <c r="BM29727" s="1025"/>
      <c r="BO29727" s="43"/>
    </row>
    <row r="29728" spans="65:67" ht="18.75" customHeight="1">
      <c r="BM29728" s="1025"/>
      <c r="BO29728" s="43"/>
    </row>
    <row r="29729" spans="65:67" ht="18.75" customHeight="1">
      <c r="BM29729" s="1025"/>
      <c r="BO29729" s="43"/>
    </row>
    <row r="29730" spans="65:67" ht="18.75" customHeight="1">
      <c r="BM29730" s="1025"/>
      <c r="BO29730" s="43"/>
    </row>
    <row r="29731" spans="65:67" ht="18.75" customHeight="1">
      <c r="BM29731" s="1025"/>
      <c r="BO29731" s="43"/>
    </row>
    <row r="29732" spans="65:67" ht="18.75" customHeight="1">
      <c r="BM29732" s="1025"/>
      <c r="BO29732" s="43"/>
    </row>
    <row r="29733" spans="65:67" ht="18.75" customHeight="1">
      <c r="BM29733" s="1025"/>
      <c r="BO29733" s="43"/>
    </row>
    <row r="29734" spans="65:67" ht="18.75" customHeight="1">
      <c r="BM29734" s="1025"/>
      <c r="BO29734" s="43"/>
    </row>
    <row r="29735" spans="65:67" ht="18.75" customHeight="1">
      <c r="BM29735" s="1025"/>
      <c r="BO29735" s="43"/>
    </row>
    <row r="29736" spans="65:67" ht="18.75" customHeight="1">
      <c r="BM29736" s="1025"/>
      <c r="BO29736" s="43"/>
    </row>
    <row r="29737" spans="65:67" ht="18.75" customHeight="1">
      <c r="BM29737" s="1025"/>
      <c r="BO29737" s="43"/>
    </row>
    <row r="29738" spans="65:67" ht="18.75" customHeight="1">
      <c r="BM29738" s="1025"/>
      <c r="BO29738" s="43"/>
    </row>
    <row r="29739" spans="65:67" ht="18.75" customHeight="1">
      <c r="BM29739" s="1025"/>
      <c r="BO29739" s="43"/>
    </row>
    <row r="29740" spans="65:67" ht="18.75" customHeight="1">
      <c r="BM29740" s="1025"/>
      <c r="BO29740" s="43"/>
    </row>
    <row r="29741" spans="65:67" ht="18.75" customHeight="1">
      <c r="BM29741" s="1025"/>
      <c r="BO29741" s="43"/>
    </row>
    <row r="29742" spans="65:67" ht="18.75" customHeight="1">
      <c r="BM29742" s="1025"/>
      <c r="BO29742" s="43"/>
    </row>
    <row r="29743" spans="65:67" ht="18.75" customHeight="1">
      <c r="BM29743" s="1025"/>
      <c r="BO29743" s="43"/>
    </row>
    <row r="29744" spans="65:67" ht="18.75" customHeight="1">
      <c r="BM29744" s="1025"/>
      <c r="BO29744" s="43"/>
    </row>
    <row r="29745" spans="65:67" ht="18.75" customHeight="1">
      <c r="BM29745" s="1025"/>
      <c r="BO29745" s="43"/>
    </row>
    <row r="29746" spans="65:67" ht="18.75" customHeight="1">
      <c r="BM29746" s="1025"/>
      <c r="BO29746" s="43"/>
    </row>
    <row r="29747" spans="65:67" ht="18.75" customHeight="1">
      <c r="BM29747" s="1025"/>
      <c r="BO29747" s="43"/>
    </row>
    <row r="29748" spans="65:67" ht="18.75" customHeight="1">
      <c r="BM29748" s="1025"/>
      <c r="BO29748" s="43"/>
    </row>
    <row r="29749" spans="65:67" ht="18.75" customHeight="1">
      <c r="BM29749" s="1025"/>
      <c r="BO29749" s="43"/>
    </row>
    <row r="29750" spans="65:67" ht="18.75" customHeight="1">
      <c r="BM29750" s="1025"/>
      <c r="BO29750" s="43"/>
    </row>
    <row r="29751" spans="65:67" ht="18.75" customHeight="1">
      <c r="BM29751" s="1025"/>
      <c r="BO29751" s="43"/>
    </row>
    <row r="29752" spans="65:67" ht="18.75" customHeight="1">
      <c r="BM29752" s="1025"/>
      <c r="BO29752" s="43"/>
    </row>
    <row r="29753" spans="65:67" ht="18.75" customHeight="1">
      <c r="BM29753" s="1025"/>
      <c r="BO29753" s="43"/>
    </row>
    <row r="29754" spans="65:67" ht="18.75" customHeight="1">
      <c r="BM29754" s="1025"/>
      <c r="BO29754" s="43"/>
    </row>
    <row r="29755" spans="65:67" ht="18.75" customHeight="1">
      <c r="BM29755" s="1025"/>
      <c r="BO29755" s="43"/>
    </row>
    <row r="29756" spans="65:67" ht="18.75" customHeight="1">
      <c r="BM29756" s="1025"/>
      <c r="BO29756" s="43"/>
    </row>
    <row r="29757" spans="65:67" ht="18.75" customHeight="1">
      <c r="BM29757" s="1025"/>
      <c r="BO29757" s="43"/>
    </row>
    <row r="29758" spans="65:67" ht="18.75" customHeight="1">
      <c r="BM29758" s="1025"/>
      <c r="BO29758" s="43"/>
    </row>
    <row r="29759" spans="65:67" ht="18.75" customHeight="1">
      <c r="BM29759" s="1025"/>
      <c r="BO29759" s="43"/>
    </row>
    <row r="29760" spans="65:67" ht="18.75" customHeight="1">
      <c r="BM29760" s="1025"/>
      <c r="BO29760" s="43"/>
    </row>
    <row r="29761" spans="65:67" ht="18.75" customHeight="1">
      <c r="BM29761" s="1025"/>
      <c r="BO29761" s="43"/>
    </row>
    <row r="29762" spans="65:67" ht="18.75" customHeight="1">
      <c r="BM29762" s="1025"/>
      <c r="BO29762" s="43"/>
    </row>
    <row r="29763" spans="65:67" ht="18.75" customHeight="1">
      <c r="BM29763" s="1025"/>
      <c r="BO29763" s="43"/>
    </row>
    <row r="29764" spans="65:67" ht="18.75" customHeight="1">
      <c r="BM29764" s="1025"/>
      <c r="BO29764" s="43"/>
    </row>
    <row r="29765" spans="65:67" ht="18.75" customHeight="1">
      <c r="BM29765" s="1025"/>
      <c r="BO29765" s="43"/>
    </row>
    <row r="29766" spans="65:67" ht="18.75" customHeight="1">
      <c r="BM29766" s="1025"/>
      <c r="BO29766" s="43"/>
    </row>
    <row r="29767" spans="65:67" ht="18.75" customHeight="1">
      <c r="BM29767" s="1025"/>
      <c r="BO29767" s="43"/>
    </row>
    <row r="29768" spans="65:67" ht="18.75" customHeight="1">
      <c r="BM29768" s="1025"/>
      <c r="BO29768" s="43"/>
    </row>
    <row r="29769" spans="65:67" ht="18.75" customHeight="1">
      <c r="BM29769" s="1025"/>
      <c r="BO29769" s="43"/>
    </row>
    <row r="29770" spans="65:67" ht="18.75" customHeight="1">
      <c r="BM29770" s="1025"/>
      <c r="BO29770" s="43"/>
    </row>
    <row r="29771" spans="65:67" ht="18.75" customHeight="1">
      <c r="BM29771" s="1025"/>
      <c r="BO29771" s="43"/>
    </row>
    <row r="29772" spans="65:67" ht="18.75" customHeight="1">
      <c r="BM29772" s="1025"/>
      <c r="BO29772" s="43"/>
    </row>
    <row r="29773" spans="65:67" ht="18.75" customHeight="1">
      <c r="BM29773" s="1025"/>
      <c r="BO29773" s="43"/>
    </row>
    <row r="29774" spans="65:67" ht="18.75" customHeight="1">
      <c r="BM29774" s="1025"/>
      <c r="BO29774" s="43"/>
    </row>
    <row r="29775" spans="65:67" ht="18.75" customHeight="1">
      <c r="BM29775" s="1025"/>
      <c r="BO29775" s="43"/>
    </row>
    <row r="29776" spans="65:67" ht="18.75" customHeight="1">
      <c r="BM29776" s="1025"/>
      <c r="BO29776" s="43"/>
    </row>
    <row r="29777" spans="65:67" ht="18.75" customHeight="1">
      <c r="BM29777" s="1025"/>
      <c r="BO29777" s="43"/>
    </row>
    <row r="29778" spans="65:67" ht="18.75" customHeight="1">
      <c r="BM29778" s="1025"/>
      <c r="BO29778" s="43"/>
    </row>
    <row r="29779" spans="65:67" ht="18.75" customHeight="1">
      <c r="BM29779" s="1025"/>
      <c r="BO29779" s="43"/>
    </row>
    <row r="29780" spans="65:67" ht="18.75" customHeight="1">
      <c r="BM29780" s="1025"/>
      <c r="BO29780" s="43"/>
    </row>
    <row r="29781" spans="65:67" ht="18.75" customHeight="1">
      <c r="BM29781" s="1025"/>
      <c r="BO29781" s="43"/>
    </row>
    <row r="29782" spans="65:67" ht="18.75" customHeight="1">
      <c r="BM29782" s="1025"/>
      <c r="BO29782" s="43"/>
    </row>
    <row r="29783" spans="65:67" ht="18.75" customHeight="1">
      <c r="BM29783" s="1025"/>
      <c r="BO29783" s="43"/>
    </row>
    <row r="29784" spans="65:67" ht="18.75" customHeight="1">
      <c r="BM29784" s="1025"/>
      <c r="BO29784" s="43"/>
    </row>
    <row r="29785" spans="65:67" ht="18.75" customHeight="1">
      <c r="BM29785" s="1025"/>
      <c r="BO29785" s="43"/>
    </row>
    <row r="29786" spans="65:67" ht="18.75" customHeight="1">
      <c r="BM29786" s="1025"/>
      <c r="BO29786" s="43"/>
    </row>
    <row r="29787" spans="65:67" ht="18.75" customHeight="1">
      <c r="BM29787" s="1025"/>
      <c r="BO29787" s="43"/>
    </row>
    <row r="29788" spans="65:67" ht="18.75" customHeight="1">
      <c r="BM29788" s="1025"/>
      <c r="BO29788" s="43"/>
    </row>
    <row r="29789" spans="65:67" ht="18.75" customHeight="1">
      <c r="BM29789" s="1025"/>
      <c r="BO29789" s="43"/>
    </row>
    <row r="29790" spans="65:67" ht="18.75" customHeight="1">
      <c r="BM29790" s="1025"/>
      <c r="BO29790" s="43"/>
    </row>
    <row r="29791" spans="65:67" ht="18.75" customHeight="1">
      <c r="BM29791" s="1025"/>
      <c r="BO29791" s="43"/>
    </row>
    <row r="29792" spans="65:67" ht="18.75" customHeight="1">
      <c r="BM29792" s="1025"/>
      <c r="BO29792" s="43"/>
    </row>
    <row r="29793" spans="65:67" ht="18.75" customHeight="1">
      <c r="BM29793" s="1025"/>
      <c r="BO29793" s="43"/>
    </row>
    <row r="29794" spans="65:67" ht="18.75" customHeight="1">
      <c r="BM29794" s="1025"/>
      <c r="BO29794" s="43"/>
    </row>
    <row r="29795" spans="65:67" ht="18.75" customHeight="1">
      <c r="BM29795" s="1025"/>
      <c r="BO29795" s="43"/>
    </row>
    <row r="29796" spans="65:67" ht="18.75" customHeight="1">
      <c r="BM29796" s="1025"/>
      <c r="BO29796" s="43"/>
    </row>
    <row r="29797" spans="65:67" ht="18.75" customHeight="1">
      <c r="BM29797" s="1025"/>
      <c r="BO29797" s="43"/>
    </row>
    <row r="29798" spans="65:67" ht="18.75" customHeight="1">
      <c r="BM29798" s="1025"/>
      <c r="BO29798" s="43"/>
    </row>
    <row r="29799" spans="65:67" ht="18.75" customHeight="1">
      <c r="BM29799" s="1025"/>
      <c r="BO29799" s="43"/>
    </row>
    <row r="29800" spans="65:67" ht="18.75" customHeight="1">
      <c r="BM29800" s="1025"/>
      <c r="BO29800" s="43"/>
    </row>
    <row r="29801" spans="65:67" ht="18.75" customHeight="1">
      <c r="BM29801" s="1025"/>
      <c r="BO29801" s="43"/>
    </row>
    <row r="29802" spans="65:67" ht="18.75" customHeight="1">
      <c r="BM29802" s="1025"/>
      <c r="BO29802" s="43"/>
    </row>
    <row r="29803" spans="65:67" ht="18.75" customHeight="1">
      <c r="BM29803" s="1025"/>
      <c r="BO29803" s="43"/>
    </row>
    <row r="29804" spans="65:67" ht="18.75" customHeight="1">
      <c r="BM29804" s="1025"/>
      <c r="BO29804" s="43"/>
    </row>
    <row r="29805" spans="65:67" ht="18.75" customHeight="1">
      <c r="BM29805" s="1025"/>
      <c r="BO29805" s="43"/>
    </row>
    <row r="29806" spans="65:67" ht="18.75" customHeight="1">
      <c r="BM29806" s="1025"/>
      <c r="BO29806" s="43"/>
    </row>
    <row r="29807" spans="65:67" ht="18.75" customHeight="1">
      <c r="BM29807" s="1025"/>
      <c r="BO29807" s="43"/>
    </row>
    <row r="29808" spans="65:67" ht="18.75" customHeight="1">
      <c r="BM29808" s="1025"/>
      <c r="BO29808" s="43"/>
    </row>
    <row r="29809" spans="65:67" ht="18.75" customHeight="1">
      <c r="BM29809" s="1025"/>
      <c r="BO29809" s="43"/>
    </row>
    <row r="29810" spans="65:67" ht="18.75" customHeight="1">
      <c r="BM29810" s="1025"/>
      <c r="BO29810" s="43"/>
    </row>
    <row r="29811" spans="65:67" ht="18.75" customHeight="1">
      <c r="BM29811" s="1025"/>
      <c r="BO29811" s="43"/>
    </row>
    <row r="29812" spans="65:67" ht="18.75" customHeight="1">
      <c r="BM29812" s="1025"/>
      <c r="BO29812" s="43"/>
    </row>
    <row r="29813" spans="65:67" ht="18.75" customHeight="1">
      <c r="BM29813" s="1025"/>
      <c r="BO29813" s="43"/>
    </row>
    <row r="29814" spans="65:67" ht="18.75" customHeight="1">
      <c r="BM29814" s="1025"/>
      <c r="BO29814" s="43"/>
    </row>
    <row r="29815" spans="65:67" ht="18.75" customHeight="1">
      <c r="BM29815" s="1025"/>
      <c r="BO29815" s="43"/>
    </row>
    <row r="29816" spans="65:67" ht="18.75" customHeight="1">
      <c r="BM29816" s="1025"/>
      <c r="BO29816" s="43"/>
    </row>
    <row r="29817" spans="65:67" ht="18.75" customHeight="1">
      <c r="BM29817" s="1025"/>
      <c r="BO29817" s="43"/>
    </row>
    <row r="29818" spans="65:67" ht="18.75" customHeight="1">
      <c r="BM29818" s="1025"/>
      <c r="BO29818" s="43"/>
    </row>
    <row r="29819" spans="65:67" ht="18.75" customHeight="1">
      <c r="BM29819" s="1025"/>
      <c r="BO29819" s="43"/>
    </row>
    <row r="29820" spans="65:67" ht="18.75" customHeight="1">
      <c r="BM29820" s="1025"/>
      <c r="BO29820" s="43"/>
    </row>
    <row r="29821" spans="65:67" ht="18.75" customHeight="1">
      <c r="BM29821" s="1025"/>
      <c r="BO29821" s="43"/>
    </row>
    <row r="29822" spans="65:67" ht="18.75" customHeight="1">
      <c r="BM29822" s="1025"/>
      <c r="BO29822" s="43"/>
    </row>
    <row r="29823" spans="65:67" ht="18.75" customHeight="1">
      <c r="BM29823" s="1025"/>
      <c r="BO29823" s="43"/>
    </row>
    <row r="29824" spans="65:67" ht="18.75" customHeight="1">
      <c r="BM29824" s="1025"/>
      <c r="BO29824" s="43"/>
    </row>
    <row r="29825" spans="65:67" ht="18.75" customHeight="1">
      <c r="BM29825" s="1025"/>
      <c r="BO29825" s="43"/>
    </row>
    <row r="29826" spans="65:67" ht="18.75" customHeight="1">
      <c r="BM29826" s="1025"/>
      <c r="BO29826" s="43"/>
    </row>
    <row r="29827" spans="65:67" ht="18.75" customHeight="1">
      <c r="BM29827" s="1025"/>
      <c r="BO29827" s="43"/>
    </row>
    <row r="29828" spans="65:67" ht="18.75" customHeight="1">
      <c r="BM29828" s="1025"/>
      <c r="BO29828" s="43"/>
    </row>
    <row r="29829" spans="65:67" ht="18.75" customHeight="1">
      <c r="BM29829" s="1025"/>
      <c r="BO29829" s="43"/>
    </row>
    <row r="29830" spans="65:67" ht="18.75" customHeight="1">
      <c r="BM29830" s="1025"/>
      <c r="BO29830" s="43"/>
    </row>
    <row r="29831" spans="65:67" ht="18.75" customHeight="1">
      <c r="BM29831" s="1025"/>
      <c r="BO29831" s="43"/>
    </row>
    <row r="29832" spans="65:67" ht="18.75" customHeight="1">
      <c r="BM29832" s="1025"/>
      <c r="BO29832" s="43"/>
    </row>
    <row r="29833" spans="65:67" ht="18.75" customHeight="1">
      <c r="BM29833" s="1025"/>
      <c r="BO29833" s="43"/>
    </row>
    <row r="29834" spans="65:67" ht="18.75" customHeight="1">
      <c r="BM29834" s="1025"/>
      <c r="BO29834" s="43"/>
    </row>
    <row r="29835" spans="65:67" ht="18.75" customHeight="1">
      <c r="BM29835" s="1025"/>
      <c r="BO29835" s="43"/>
    </row>
    <row r="29836" spans="65:67" ht="18.75" customHeight="1">
      <c r="BM29836" s="1025"/>
      <c r="BO29836" s="43"/>
    </row>
    <row r="29837" spans="65:67" ht="18.75" customHeight="1">
      <c r="BM29837" s="1025"/>
      <c r="BO29837" s="43"/>
    </row>
    <row r="29838" spans="65:67" ht="18.75" customHeight="1">
      <c r="BM29838" s="1025"/>
      <c r="BO29838" s="43"/>
    </row>
    <row r="29839" spans="65:67" ht="18.75" customHeight="1">
      <c r="BM29839" s="1025"/>
      <c r="BO29839" s="43"/>
    </row>
    <row r="29840" spans="65:67" ht="18.75" customHeight="1">
      <c r="BM29840" s="1025"/>
      <c r="BO29840" s="43"/>
    </row>
    <row r="29841" spans="65:67" ht="18.75" customHeight="1">
      <c r="BM29841" s="1025"/>
      <c r="BO29841" s="43"/>
    </row>
    <row r="29842" spans="65:67" ht="18.75" customHeight="1">
      <c r="BM29842" s="1025"/>
      <c r="BO29842" s="43"/>
    </row>
    <row r="29843" spans="65:67" ht="18.75" customHeight="1">
      <c r="BM29843" s="1025"/>
      <c r="BO29843" s="43"/>
    </row>
    <row r="29844" spans="65:67" ht="18.75" customHeight="1">
      <c r="BM29844" s="1025"/>
      <c r="BO29844" s="43"/>
    </row>
    <row r="29845" spans="65:67" ht="18.75" customHeight="1">
      <c r="BM29845" s="1025"/>
      <c r="BO29845" s="43"/>
    </row>
    <row r="29846" spans="65:67" ht="18.75" customHeight="1">
      <c r="BM29846" s="1025"/>
      <c r="BO29846" s="43"/>
    </row>
    <row r="29847" spans="65:67" ht="18.75" customHeight="1">
      <c r="BM29847" s="1025"/>
      <c r="BO29847" s="43"/>
    </row>
    <row r="29848" spans="65:67" ht="18.75" customHeight="1">
      <c r="BM29848" s="1025"/>
      <c r="BO29848" s="43"/>
    </row>
    <row r="29849" spans="65:67" ht="18.75" customHeight="1">
      <c r="BM29849" s="1025"/>
      <c r="BO29849" s="43"/>
    </row>
    <row r="29850" spans="65:67" ht="18.75" customHeight="1">
      <c r="BM29850" s="1025"/>
      <c r="BO29850" s="43"/>
    </row>
    <row r="29851" spans="65:67" ht="18.75" customHeight="1">
      <c r="BM29851" s="1025"/>
      <c r="BO29851" s="43"/>
    </row>
    <row r="29852" spans="65:67" ht="18.75" customHeight="1">
      <c r="BM29852" s="1025"/>
      <c r="BO29852" s="43"/>
    </row>
    <row r="29853" spans="65:67" ht="18.75" customHeight="1">
      <c r="BM29853" s="1025"/>
      <c r="BO29853" s="43"/>
    </row>
    <row r="29854" spans="65:67" ht="18.75" customHeight="1">
      <c r="BM29854" s="1025"/>
      <c r="BO29854" s="43"/>
    </row>
    <row r="29855" spans="65:67" ht="18.75" customHeight="1">
      <c r="BM29855" s="1025"/>
      <c r="BO29855" s="43"/>
    </row>
    <row r="29856" spans="65:67" ht="18.75" customHeight="1">
      <c r="BM29856" s="1025"/>
      <c r="BO29856" s="43"/>
    </row>
    <row r="29857" spans="65:67" ht="18.75" customHeight="1">
      <c r="BM29857" s="1025"/>
      <c r="BO29857" s="43"/>
    </row>
    <row r="29858" spans="65:67" ht="18.75" customHeight="1">
      <c r="BM29858" s="1025"/>
      <c r="BO29858" s="43"/>
    </row>
    <row r="29859" spans="65:67" ht="18.75" customHeight="1">
      <c r="BM29859" s="1025"/>
      <c r="BO29859" s="43"/>
    </row>
    <row r="29860" spans="65:67" ht="18.75" customHeight="1">
      <c r="BM29860" s="1025"/>
      <c r="BO29860" s="43"/>
    </row>
    <row r="29861" spans="65:67" ht="18.75" customHeight="1">
      <c r="BM29861" s="1025"/>
      <c r="BO29861" s="43"/>
    </row>
    <row r="29862" spans="65:67" ht="18.75" customHeight="1">
      <c r="BM29862" s="1025"/>
      <c r="BO29862" s="43"/>
    </row>
    <row r="29863" spans="65:67" ht="18.75" customHeight="1">
      <c r="BM29863" s="1025"/>
      <c r="BO29863" s="43"/>
    </row>
    <row r="29864" spans="65:67" ht="18.75" customHeight="1">
      <c r="BM29864" s="1025"/>
      <c r="BO29864" s="43"/>
    </row>
    <row r="29865" spans="65:67" ht="18.75" customHeight="1">
      <c r="BM29865" s="1025"/>
      <c r="BO29865" s="43"/>
    </row>
    <row r="29866" spans="65:67" ht="18.75" customHeight="1">
      <c r="BM29866" s="1025"/>
      <c r="BO29866" s="43"/>
    </row>
    <row r="29867" spans="65:67" ht="18.75" customHeight="1">
      <c r="BM29867" s="1025"/>
      <c r="BO29867" s="43"/>
    </row>
    <row r="29868" spans="65:67" ht="18.75" customHeight="1">
      <c r="BM29868" s="1025"/>
      <c r="BO29868" s="43"/>
    </row>
    <row r="29869" spans="65:67" ht="18.75" customHeight="1">
      <c r="BM29869" s="1025"/>
      <c r="BO29869" s="43"/>
    </row>
    <row r="29870" spans="65:67" ht="18.75" customHeight="1">
      <c r="BM29870" s="1025"/>
      <c r="BO29870" s="43"/>
    </row>
    <row r="29871" spans="65:67" ht="18.75" customHeight="1">
      <c r="BM29871" s="1025"/>
      <c r="BO29871" s="43"/>
    </row>
    <row r="29872" spans="65:67" ht="18.75" customHeight="1">
      <c r="BM29872" s="1025"/>
      <c r="BO29872" s="43"/>
    </row>
    <row r="29873" spans="65:67" ht="18.75" customHeight="1">
      <c r="BM29873" s="1025"/>
      <c r="BO29873" s="43"/>
    </row>
    <row r="29874" spans="65:67" ht="18.75" customHeight="1">
      <c r="BM29874" s="1025"/>
      <c r="BO29874" s="43"/>
    </row>
    <row r="29875" spans="65:67" ht="18.75" customHeight="1">
      <c r="BM29875" s="1025"/>
      <c r="BO29875" s="43"/>
    </row>
    <row r="29876" spans="65:67" ht="18.75" customHeight="1">
      <c r="BM29876" s="1025"/>
      <c r="BO29876" s="43"/>
    </row>
    <row r="29877" spans="65:67" ht="18.75" customHeight="1">
      <c r="BM29877" s="1025"/>
      <c r="BO29877" s="43"/>
    </row>
    <row r="29878" spans="65:67" ht="18.75" customHeight="1">
      <c r="BM29878" s="1025"/>
      <c r="BO29878" s="43"/>
    </row>
    <row r="29879" spans="65:67" ht="18.75" customHeight="1">
      <c r="BM29879" s="1025"/>
      <c r="BO29879" s="43"/>
    </row>
    <row r="29880" spans="65:67" ht="18.75" customHeight="1">
      <c r="BM29880" s="1025"/>
      <c r="BO29880" s="43"/>
    </row>
    <row r="29881" spans="65:67" ht="18.75" customHeight="1">
      <c r="BM29881" s="1025"/>
      <c r="BO29881" s="43"/>
    </row>
    <row r="29882" spans="65:67" ht="18.75" customHeight="1">
      <c r="BM29882" s="1025"/>
      <c r="BO29882" s="43"/>
    </row>
    <row r="29883" spans="65:67" ht="18.75" customHeight="1">
      <c r="BM29883" s="1025"/>
      <c r="BO29883" s="43"/>
    </row>
    <row r="29884" spans="65:67" ht="18.75" customHeight="1">
      <c r="BM29884" s="1025"/>
      <c r="BO29884" s="43"/>
    </row>
    <row r="29885" spans="65:67" ht="18.75" customHeight="1">
      <c r="BM29885" s="1025"/>
      <c r="BO29885" s="43"/>
    </row>
    <row r="29886" spans="65:67" ht="18.75" customHeight="1">
      <c r="BM29886" s="1025"/>
      <c r="BO29886" s="43"/>
    </row>
    <row r="29887" spans="65:67" ht="18.75" customHeight="1">
      <c r="BM29887" s="1025"/>
      <c r="BO29887" s="43"/>
    </row>
    <row r="29888" spans="65:67" ht="18.75" customHeight="1">
      <c r="BM29888" s="1025"/>
      <c r="BO29888" s="43"/>
    </row>
    <row r="29889" spans="65:67" ht="18.75" customHeight="1">
      <c r="BM29889" s="1025"/>
      <c r="BO29889" s="43"/>
    </row>
    <row r="29890" spans="65:67" ht="18.75" customHeight="1">
      <c r="BM29890" s="1025"/>
      <c r="BO29890" s="43"/>
    </row>
    <row r="29891" spans="65:67" ht="18.75" customHeight="1">
      <c r="BM29891" s="1025"/>
      <c r="BO29891" s="43"/>
    </row>
    <row r="29892" spans="65:67" ht="18.75" customHeight="1">
      <c r="BM29892" s="1025"/>
      <c r="BO29892" s="43"/>
    </row>
    <row r="29893" spans="65:67" ht="18.75" customHeight="1">
      <c r="BM29893" s="1025"/>
      <c r="BO29893" s="43"/>
    </row>
    <row r="29894" spans="65:67" ht="18.75" customHeight="1">
      <c r="BM29894" s="1025"/>
      <c r="BO29894" s="43"/>
    </row>
    <row r="29895" spans="65:67" ht="18.75" customHeight="1">
      <c r="BM29895" s="1025"/>
      <c r="BO29895" s="43"/>
    </row>
    <row r="29896" spans="65:67" ht="18.75" customHeight="1">
      <c r="BM29896" s="1025"/>
      <c r="BO29896" s="43"/>
    </row>
    <row r="29897" spans="65:67" ht="18.75" customHeight="1">
      <c r="BM29897" s="1025"/>
      <c r="BO29897" s="43"/>
    </row>
    <row r="29898" spans="65:67" ht="18.75" customHeight="1">
      <c r="BM29898" s="1025"/>
      <c r="BO29898" s="43"/>
    </row>
    <row r="29899" spans="65:67" ht="18.75" customHeight="1">
      <c r="BM29899" s="1025"/>
      <c r="BO29899" s="43"/>
    </row>
    <row r="29900" spans="65:67" ht="18.75" customHeight="1">
      <c r="BM29900" s="1025"/>
      <c r="BO29900" s="43"/>
    </row>
    <row r="29901" spans="65:67" ht="18.75" customHeight="1">
      <c r="BM29901" s="1025"/>
      <c r="BO29901" s="43"/>
    </row>
    <row r="29902" spans="65:67" ht="18.75" customHeight="1">
      <c r="BM29902" s="1025"/>
      <c r="BO29902" s="43"/>
    </row>
    <row r="29903" spans="65:67" ht="18.75" customHeight="1">
      <c r="BM29903" s="1025"/>
      <c r="BO29903" s="43"/>
    </row>
    <row r="29904" spans="65:67" ht="18.75" customHeight="1">
      <c r="BM29904" s="1025"/>
      <c r="BO29904" s="43"/>
    </row>
    <row r="29905" spans="65:67" ht="18.75" customHeight="1">
      <c r="BM29905" s="1025"/>
      <c r="BO29905" s="43"/>
    </row>
    <row r="29906" spans="65:67" ht="18.75" customHeight="1">
      <c r="BM29906" s="1025"/>
      <c r="BO29906" s="43"/>
    </row>
    <row r="29907" spans="65:67" ht="18.75" customHeight="1">
      <c r="BM29907" s="1025"/>
      <c r="BO29907" s="43"/>
    </row>
    <row r="29908" spans="65:67" ht="18.75" customHeight="1">
      <c r="BM29908" s="1025"/>
      <c r="BO29908" s="43"/>
    </row>
    <row r="29909" spans="65:67" ht="18.75" customHeight="1">
      <c r="BM29909" s="1025"/>
      <c r="BO29909" s="43"/>
    </row>
    <row r="29910" spans="65:67" ht="18.75" customHeight="1">
      <c r="BM29910" s="1025"/>
      <c r="BO29910" s="43"/>
    </row>
    <row r="29911" spans="65:67" ht="18.75" customHeight="1">
      <c r="BM29911" s="1025"/>
      <c r="BO29911" s="43"/>
    </row>
    <row r="29912" spans="65:67" ht="18.75" customHeight="1">
      <c r="BM29912" s="1025"/>
      <c r="BO29912" s="43"/>
    </row>
    <row r="29913" spans="65:67" ht="18.75" customHeight="1">
      <c r="BM29913" s="1025"/>
      <c r="BO29913" s="43"/>
    </row>
    <row r="29914" spans="65:67" ht="18.75" customHeight="1">
      <c r="BM29914" s="1025"/>
      <c r="BO29914" s="43"/>
    </row>
    <row r="29915" spans="65:67" ht="18.75" customHeight="1">
      <c r="BM29915" s="1025"/>
      <c r="BO29915" s="43"/>
    </row>
    <row r="29916" spans="65:67" ht="18.75" customHeight="1">
      <c r="BM29916" s="1025"/>
      <c r="BO29916" s="43"/>
    </row>
    <row r="29917" spans="65:67" ht="18.75" customHeight="1">
      <c r="BM29917" s="1025"/>
      <c r="BO29917" s="43"/>
    </row>
    <row r="29918" spans="65:67" ht="18.75" customHeight="1">
      <c r="BM29918" s="1025"/>
      <c r="BO29918" s="43"/>
    </row>
    <row r="29919" spans="65:67" ht="18.75" customHeight="1">
      <c r="BM29919" s="1025"/>
      <c r="BO29919" s="43"/>
    </row>
    <row r="29920" spans="65:67" ht="18.75" customHeight="1">
      <c r="BM29920" s="1025"/>
      <c r="BO29920" s="43"/>
    </row>
    <row r="29921" spans="65:67" ht="18.75" customHeight="1">
      <c r="BM29921" s="1025"/>
      <c r="BO29921" s="43"/>
    </row>
    <row r="29922" spans="65:67" ht="18.75" customHeight="1">
      <c r="BM29922" s="1025"/>
      <c r="BO29922" s="43"/>
    </row>
    <row r="29923" spans="65:67" ht="18.75" customHeight="1">
      <c r="BM29923" s="1025"/>
      <c r="BO29923" s="43"/>
    </row>
    <row r="29924" spans="65:67" ht="18.75" customHeight="1">
      <c r="BM29924" s="1025"/>
      <c r="BO29924" s="43"/>
    </row>
    <row r="29925" spans="65:67" ht="18.75" customHeight="1">
      <c r="BM29925" s="1025"/>
      <c r="BO29925" s="43"/>
    </row>
    <row r="29926" spans="65:67" ht="18.75" customHeight="1">
      <c r="BM29926" s="1025"/>
      <c r="BO29926" s="43"/>
    </row>
    <row r="29927" spans="65:67" ht="18.75" customHeight="1">
      <c r="BM29927" s="1025"/>
      <c r="BO29927" s="43"/>
    </row>
    <row r="29928" spans="65:67" ht="18.75" customHeight="1">
      <c r="BM29928" s="1025"/>
      <c r="BO29928" s="43"/>
    </row>
    <row r="29929" spans="65:67" ht="18.75" customHeight="1">
      <c r="BM29929" s="1025"/>
      <c r="BO29929" s="43"/>
    </row>
    <row r="29930" spans="65:67" ht="18.75" customHeight="1">
      <c r="BM29930" s="1025"/>
      <c r="BO29930" s="43"/>
    </row>
    <row r="29931" spans="65:67" ht="18.75" customHeight="1">
      <c r="BM29931" s="1025"/>
      <c r="BO29931" s="43"/>
    </row>
    <row r="29932" spans="65:67" ht="18.75" customHeight="1">
      <c r="BM29932" s="1025"/>
      <c r="BO29932" s="43"/>
    </row>
    <row r="29933" spans="65:67" ht="18.75" customHeight="1">
      <c r="BM29933" s="1025"/>
      <c r="BO29933" s="43"/>
    </row>
    <row r="29934" spans="65:67" ht="18.75" customHeight="1">
      <c r="BM29934" s="1025"/>
      <c r="BO29934" s="43"/>
    </row>
    <row r="29935" spans="65:67" ht="18.75" customHeight="1">
      <c r="BM29935" s="1025"/>
      <c r="BO29935" s="43"/>
    </row>
    <row r="29936" spans="65:67" ht="18.75" customHeight="1">
      <c r="BM29936" s="1025"/>
      <c r="BO29936" s="43"/>
    </row>
    <row r="29937" spans="65:67" ht="18.75" customHeight="1">
      <c r="BM29937" s="1025"/>
      <c r="BO29937" s="43"/>
    </row>
    <row r="29938" spans="65:67" ht="18.75" customHeight="1">
      <c r="BM29938" s="1025"/>
      <c r="BO29938" s="43"/>
    </row>
    <row r="29939" spans="65:67" ht="18.75" customHeight="1">
      <c r="BM29939" s="1025"/>
      <c r="BO29939" s="43"/>
    </row>
    <row r="29940" spans="65:67" ht="18.75" customHeight="1">
      <c r="BM29940" s="1025"/>
      <c r="BO29940" s="43"/>
    </row>
    <row r="29941" spans="65:67" ht="18.75" customHeight="1">
      <c r="BM29941" s="1025"/>
      <c r="BO29941" s="43"/>
    </row>
    <row r="29942" spans="65:67" ht="18.75" customHeight="1">
      <c r="BM29942" s="1025"/>
      <c r="BO29942" s="43"/>
    </row>
    <row r="29943" spans="65:67" ht="18.75" customHeight="1">
      <c r="BM29943" s="1025"/>
      <c r="BO29943" s="43"/>
    </row>
    <row r="29944" spans="65:67" ht="18.75" customHeight="1">
      <c r="BM29944" s="1025"/>
      <c r="BO29944" s="43"/>
    </row>
    <row r="29945" spans="65:67" ht="18.75" customHeight="1">
      <c r="BM29945" s="1025"/>
      <c r="BO29945" s="43"/>
    </row>
    <row r="29946" spans="65:67" ht="18.75" customHeight="1">
      <c r="BM29946" s="1025"/>
      <c r="BO29946" s="43"/>
    </row>
    <row r="29947" spans="65:67" ht="18.75" customHeight="1">
      <c r="BM29947" s="1025"/>
      <c r="BO29947" s="43"/>
    </row>
    <row r="29948" spans="65:67" ht="18.75" customHeight="1">
      <c r="BM29948" s="1025"/>
      <c r="BO29948" s="43"/>
    </row>
    <row r="29949" spans="65:67" ht="18.75" customHeight="1">
      <c r="BM29949" s="1025"/>
      <c r="BO29949" s="43"/>
    </row>
    <row r="29950" spans="65:67" ht="18.75" customHeight="1">
      <c r="BM29950" s="1025"/>
      <c r="BO29950" s="43"/>
    </row>
    <row r="29951" spans="65:67" ht="18.75" customHeight="1">
      <c r="BM29951" s="1025"/>
      <c r="BO29951" s="43"/>
    </row>
    <row r="29952" spans="65:67" ht="18.75" customHeight="1">
      <c r="BM29952" s="1025"/>
      <c r="BO29952" s="43"/>
    </row>
    <row r="29953" spans="65:67" ht="18.75" customHeight="1">
      <c r="BM29953" s="1025"/>
      <c r="BO29953" s="43"/>
    </row>
    <row r="29954" spans="65:67" ht="18.75" customHeight="1">
      <c r="BM29954" s="1025"/>
      <c r="BO29954" s="43"/>
    </row>
    <row r="29955" spans="65:67" ht="18.75" customHeight="1">
      <c r="BM29955" s="1025"/>
      <c r="BO29955" s="43"/>
    </row>
    <row r="29956" spans="65:67" ht="18.75" customHeight="1">
      <c r="BM29956" s="1025"/>
      <c r="BO29956" s="43"/>
    </row>
    <row r="29957" spans="65:67" ht="18.75" customHeight="1">
      <c r="BM29957" s="1025"/>
      <c r="BO29957" s="43"/>
    </row>
    <row r="29958" spans="65:67" ht="18.75" customHeight="1">
      <c r="BM29958" s="1025"/>
      <c r="BO29958" s="43"/>
    </row>
    <row r="29959" spans="65:67" ht="18.75" customHeight="1">
      <c r="BM29959" s="1025"/>
      <c r="BO29959" s="43"/>
    </row>
    <row r="29960" spans="65:67" ht="18.75" customHeight="1">
      <c r="BM29960" s="1025"/>
      <c r="BO29960" s="43"/>
    </row>
    <row r="29961" spans="65:67" ht="18.75" customHeight="1">
      <c r="BM29961" s="1025"/>
      <c r="BO29961" s="43"/>
    </row>
    <row r="29962" spans="65:67" ht="18.75" customHeight="1">
      <c r="BM29962" s="1025"/>
      <c r="BO29962" s="43"/>
    </row>
    <row r="29963" spans="65:67" ht="18.75" customHeight="1">
      <c r="BM29963" s="1025"/>
      <c r="BO29963" s="43"/>
    </row>
    <row r="29964" spans="65:67" ht="18.75" customHeight="1">
      <c r="BM29964" s="1025"/>
      <c r="BO29964" s="43"/>
    </row>
    <row r="29965" spans="65:67" ht="18.75" customHeight="1">
      <c r="BM29965" s="1025"/>
      <c r="BO29965" s="43"/>
    </row>
    <row r="29966" spans="65:67" ht="18.75" customHeight="1">
      <c r="BM29966" s="1025"/>
      <c r="BO29966" s="43"/>
    </row>
    <row r="29967" spans="65:67" ht="18.75" customHeight="1">
      <c r="BM29967" s="1025"/>
      <c r="BO29967" s="43"/>
    </row>
    <row r="29968" spans="65:67" ht="18.75" customHeight="1">
      <c r="BM29968" s="1025"/>
      <c r="BO29968" s="43"/>
    </row>
    <row r="29969" spans="65:67" ht="18.75" customHeight="1">
      <c r="BM29969" s="1025"/>
      <c r="BO29969" s="43"/>
    </row>
    <row r="29970" spans="65:67" ht="18.75" customHeight="1">
      <c r="BM29970" s="1025"/>
      <c r="BO29970" s="43"/>
    </row>
    <row r="29971" spans="65:67" ht="18.75" customHeight="1">
      <c r="BM29971" s="1025"/>
      <c r="BO29971" s="43"/>
    </row>
    <row r="29972" spans="65:67" ht="18.75" customHeight="1">
      <c r="BM29972" s="1025"/>
      <c r="BO29972" s="43"/>
    </row>
    <row r="29973" spans="65:67" ht="18.75" customHeight="1">
      <c r="BM29973" s="1025"/>
      <c r="BO29973" s="43"/>
    </row>
    <row r="29974" spans="65:67" ht="18.75" customHeight="1">
      <c r="BM29974" s="1025"/>
      <c r="BO29974" s="43"/>
    </row>
    <row r="29975" spans="65:67" ht="18.75" customHeight="1">
      <c r="BM29975" s="1025"/>
      <c r="BO29975" s="43"/>
    </row>
    <row r="29976" spans="65:67" ht="18.75" customHeight="1">
      <c r="BM29976" s="1025"/>
      <c r="BO29976" s="43"/>
    </row>
    <row r="29977" spans="65:67" ht="18.75" customHeight="1">
      <c r="BM29977" s="1025"/>
      <c r="BO29977" s="43"/>
    </row>
    <row r="29978" spans="65:67" ht="18.75" customHeight="1">
      <c r="BM29978" s="1025"/>
      <c r="BO29978" s="43"/>
    </row>
    <row r="29979" spans="65:67" ht="18.75" customHeight="1">
      <c r="BM29979" s="1025"/>
      <c r="BO29979" s="43"/>
    </row>
    <row r="29980" spans="65:67" ht="18.75" customHeight="1">
      <c r="BM29980" s="1025"/>
      <c r="BO29980" s="43"/>
    </row>
    <row r="29981" spans="65:67" ht="18.75" customHeight="1">
      <c r="BM29981" s="1025"/>
      <c r="BO29981" s="43"/>
    </row>
    <row r="29982" spans="65:67" ht="18.75" customHeight="1">
      <c r="BM29982" s="1025"/>
      <c r="BO29982" s="43"/>
    </row>
    <row r="29983" spans="65:67" ht="18.75" customHeight="1">
      <c r="BM29983" s="1025"/>
      <c r="BO29983" s="43"/>
    </row>
    <row r="29984" spans="65:67" ht="18.75" customHeight="1">
      <c r="BM29984" s="1025"/>
      <c r="BO29984" s="43"/>
    </row>
    <row r="29985" spans="65:67" ht="18.75" customHeight="1">
      <c r="BM29985" s="1025"/>
      <c r="BO29985" s="43"/>
    </row>
    <row r="29986" spans="65:67" ht="18.75" customHeight="1">
      <c r="BM29986" s="1025"/>
      <c r="BO29986" s="43"/>
    </row>
    <row r="29987" spans="65:67" ht="18.75" customHeight="1">
      <c r="BM29987" s="1025"/>
      <c r="BO29987" s="43"/>
    </row>
    <row r="29988" spans="65:67" ht="18.75" customHeight="1">
      <c r="BM29988" s="1025"/>
      <c r="BO29988" s="43"/>
    </row>
    <row r="29989" spans="65:67" ht="18.75" customHeight="1">
      <c r="BM29989" s="1025"/>
      <c r="BO29989" s="43"/>
    </row>
    <row r="29990" spans="65:67" ht="18.75" customHeight="1">
      <c r="BM29990" s="1025"/>
      <c r="BO29990" s="43"/>
    </row>
    <row r="29991" spans="65:67" ht="18.75" customHeight="1">
      <c r="BM29991" s="1025"/>
      <c r="BO29991" s="43"/>
    </row>
    <row r="29992" spans="65:67" ht="18.75" customHeight="1">
      <c r="BM29992" s="1025"/>
      <c r="BO29992" s="43"/>
    </row>
    <row r="29993" spans="65:67" ht="18.75" customHeight="1">
      <c r="BM29993" s="1025"/>
      <c r="BO29993" s="43"/>
    </row>
    <row r="29994" spans="65:67" ht="18.75" customHeight="1">
      <c r="BM29994" s="1025"/>
      <c r="BO29994" s="43"/>
    </row>
    <row r="29995" spans="65:67" ht="18.75" customHeight="1">
      <c r="BM29995" s="1025"/>
      <c r="BO29995" s="43"/>
    </row>
    <row r="29996" spans="65:67" ht="18.75" customHeight="1">
      <c r="BM29996" s="1025"/>
      <c r="BO29996" s="43"/>
    </row>
    <row r="29997" spans="65:67" ht="18.75" customHeight="1">
      <c r="BM29997" s="1025"/>
      <c r="BO29997" s="43"/>
    </row>
    <row r="29998" spans="65:67" ht="18.75" customHeight="1">
      <c r="BM29998" s="1025"/>
      <c r="BO29998" s="43"/>
    </row>
    <row r="29999" spans="65:67" ht="18.75" customHeight="1">
      <c r="BM29999" s="1025"/>
      <c r="BO29999" s="43"/>
    </row>
    <row r="30000" spans="65:67" ht="18.75" customHeight="1">
      <c r="BM30000" s="1025"/>
      <c r="BO30000" s="43"/>
    </row>
    <row r="30001" spans="65:67" ht="18.75" customHeight="1">
      <c r="BM30001" s="1025"/>
      <c r="BO30001" s="43"/>
    </row>
    <row r="30002" spans="65:67" ht="18.75" customHeight="1">
      <c r="BM30002" s="1025"/>
      <c r="BO30002" s="43"/>
    </row>
    <row r="30003" spans="65:67" ht="18.75" customHeight="1">
      <c r="BM30003" s="1025"/>
      <c r="BO30003" s="43"/>
    </row>
    <row r="30004" spans="65:67" ht="18.75" customHeight="1">
      <c r="BM30004" s="1025"/>
      <c r="BO30004" s="43"/>
    </row>
    <row r="30005" spans="65:67" ht="18.75" customHeight="1">
      <c r="BM30005" s="1025"/>
      <c r="BO30005" s="43"/>
    </row>
    <row r="30006" spans="65:67" ht="18.75" customHeight="1">
      <c r="BM30006" s="1025"/>
      <c r="BO30006" s="43"/>
    </row>
    <row r="30007" spans="65:67" ht="18.75" customHeight="1">
      <c r="BM30007" s="1025"/>
      <c r="BO30007" s="43"/>
    </row>
    <row r="30008" spans="65:67" ht="18.75" customHeight="1">
      <c r="BM30008" s="1025"/>
      <c r="BO30008" s="43"/>
    </row>
    <row r="30009" spans="65:67" ht="18.75" customHeight="1">
      <c r="BM30009" s="1025"/>
      <c r="BO30009" s="43"/>
    </row>
    <row r="30010" spans="65:67" ht="18.75" customHeight="1">
      <c r="BM30010" s="1025"/>
      <c r="BO30010" s="43"/>
    </row>
    <row r="30011" spans="65:67" ht="18.75" customHeight="1">
      <c r="BM30011" s="1025"/>
      <c r="BO30011" s="43"/>
    </row>
    <row r="30012" spans="65:67" ht="18.75" customHeight="1">
      <c r="BM30012" s="1025"/>
      <c r="BO30012" s="43"/>
    </row>
    <row r="30013" spans="65:67" ht="18.75" customHeight="1">
      <c r="BM30013" s="1025"/>
      <c r="BO30013" s="43"/>
    </row>
    <row r="30014" spans="65:67" ht="18.75" customHeight="1">
      <c r="BM30014" s="1025"/>
      <c r="BO30014" s="43"/>
    </row>
    <row r="30015" spans="65:67" ht="18.75" customHeight="1">
      <c r="BM30015" s="1025"/>
      <c r="BO30015" s="43"/>
    </row>
    <row r="30016" spans="65:67" ht="18.75" customHeight="1">
      <c r="BM30016" s="1025"/>
      <c r="BO30016" s="43"/>
    </row>
    <row r="30017" spans="65:67" ht="18.75" customHeight="1">
      <c r="BM30017" s="1025"/>
      <c r="BO30017" s="43"/>
    </row>
    <row r="30018" spans="65:67" ht="18.75" customHeight="1">
      <c r="BM30018" s="1025"/>
      <c r="BO30018" s="43"/>
    </row>
    <row r="30019" spans="65:67" ht="18.75" customHeight="1">
      <c r="BM30019" s="1025"/>
      <c r="BO30019" s="43"/>
    </row>
    <row r="30020" spans="65:67" ht="18.75" customHeight="1">
      <c r="BM30020" s="1025"/>
      <c r="BO30020" s="43"/>
    </row>
    <row r="30021" spans="65:67" ht="18.75" customHeight="1">
      <c r="BM30021" s="1025"/>
      <c r="BO30021" s="43"/>
    </row>
    <row r="30022" spans="65:67" ht="18.75" customHeight="1">
      <c r="BM30022" s="1025"/>
      <c r="BO30022" s="43"/>
    </row>
    <row r="30023" spans="65:67" ht="18.75" customHeight="1">
      <c r="BM30023" s="1025"/>
      <c r="BO30023" s="43"/>
    </row>
    <row r="30024" spans="65:67" ht="18.75" customHeight="1">
      <c r="BM30024" s="1025"/>
      <c r="BO30024" s="43"/>
    </row>
    <row r="30025" spans="65:67" ht="18.75" customHeight="1">
      <c r="BM30025" s="1025"/>
      <c r="BO30025" s="43"/>
    </row>
    <row r="30026" spans="65:67" ht="18.75" customHeight="1">
      <c r="BM30026" s="1025"/>
      <c r="BO30026" s="43"/>
    </row>
    <row r="30027" spans="65:67" ht="18.75" customHeight="1">
      <c r="BM30027" s="1025"/>
      <c r="BO30027" s="43"/>
    </row>
    <row r="30028" spans="65:67" ht="18.75" customHeight="1">
      <c r="BM30028" s="1025"/>
      <c r="BO30028" s="43"/>
    </row>
    <row r="30029" spans="65:67" ht="18.75" customHeight="1">
      <c r="BM30029" s="1025"/>
      <c r="BO30029" s="43"/>
    </row>
    <row r="30030" spans="65:67" ht="18.75" customHeight="1">
      <c r="BM30030" s="1025"/>
      <c r="BO30030" s="43"/>
    </row>
    <row r="30031" spans="65:67" ht="18.75" customHeight="1">
      <c r="BM30031" s="1025"/>
      <c r="BO30031" s="43"/>
    </row>
    <row r="30032" spans="65:67" ht="18.75" customHeight="1">
      <c r="BM30032" s="1025"/>
      <c r="BO30032" s="43"/>
    </row>
    <row r="30033" spans="65:67" ht="18.75" customHeight="1">
      <c r="BM30033" s="1025"/>
      <c r="BO30033" s="43"/>
    </row>
    <row r="30034" spans="65:67" ht="18.75" customHeight="1">
      <c r="BM30034" s="1025"/>
      <c r="BO30034" s="43"/>
    </row>
    <row r="30035" spans="65:67" ht="18.75" customHeight="1">
      <c r="BM30035" s="1025"/>
      <c r="BO30035" s="43"/>
    </row>
    <row r="30036" spans="65:67" ht="18.75" customHeight="1">
      <c r="BM30036" s="1025"/>
      <c r="BO30036" s="43"/>
    </row>
    <row r="30037" spans="65:67" ht="18.75" customHeight="1">
      <c r="BM30037" s="1025"/>
      <c r="BO30037" s="43"/>
    </row>
    <row r="30038" spans="65:67" ht="18.75" customHeight="1">
      <c r="BM30038" s="1025"/>
      <c r="BO30038" s="43"/>
    </row>
    <row r="30039" spans="65:67" ht="18.75" customHeight="1">
      <c r="BM30039" s="1025"/>
      <c r="BO30039" s="43"/>
    </row>
    <row r="30040" spans="65:67" ht="18.75" customHeight="1">
      <c r="BM30040" s="1025"/>
      <c r="BO30040" s="43"/>
    </row>
    <row r="30041" spans="65:67" ht="18.75" customHeight="1">
      <c r="BM30041" s="1025"/>
      <c r="BO30041" s="43"/>
    </row>
    <row r="30042" spans="65:67" ht="18.75" customHeight="1">
      <c r="BM30042" s="1025"/>
      <c r="BO30042" s="43"/>
    </row>
    <row r="30043" spans="65:67" ht="18.75" customHeight="1">
      <c r="BM30043" s="1025"/>
      <c r="BO30043" s="43"/>
    </row>
    <row r="30044" spans="65:67" ht="18.75" customHeight="1">
      <c r="BM30044" s="1025"/>
      <c r="BO30044" s="43"/>
    </row>
    <row r="30045" spans="65:67" ht="18.75" customHeight="1">
      <c r="BM30045" s="1025"/>
      <c r="BO30045" s="43"/>
    </row>
    <row r="30046" spans="65:67" ht="18.75" customHeight="1">
      <c r="BM30046" s="1025"/>
      <c r="BO30046" s="43"/>
    </row>
    <row r="30047" spans="65:67" ht="18.75" customHeight="1">
      <c r="BM30047" s="1025"/>
      <c r="BO30047" s="43"/>
    </row>
    <row r="30048" spans="65:67" ht="18.75" customHeight="1">
      <c r="BM30048" s="1025"/>
      <c r="BO30048" s="43"/>
    </row>
    <row r="30049" spans="65:67" ht="18.75" customHeight="1">
      <c r="BM30049" s="1025"/>
      <c r="BO30049" s="43"/>
    </row>
    <row r="30050" spans="65:67" ht="18.75" customHeight="1">
      <c r="BM30050" s="1025"/>
      <c r="BO30050" s="43"/>
    </row>
    <row r="30051" spans="65:67" ht="18.75" customHeight="1">
      <c r="BM30051" s="1025"/>
      <c r="BO30051" s="43"/>
    </row>
    <row r="30052" spans="65:67" ht="18.75" customHeight="1">
      <c r="BM30052" s="1025"/>
      <c r="BO30052" s="43"/>
    </row>
    <row r="30053" spans="65:67" ht="18.75" customHeight="1">
      <c r="BM30053" s="1025"/>
      <c r="BO30053" s="43"/>
    </row>
    <row r="30054" spans="65:67" ht="18.75" customHeight="1">
      <c r="BM30054" s="1025"/>
      <c r="BO30054" s="43"/>
    </row>
    <row r="30055" spans="65:67" ht="18.75" customHeight="1">
      <c r="BM30055" s="1025"/>
      <c r="BO30055" s="43"/>
    </row>
    <row r="30056" spans="65:67" ht="18.75" customHeight="1">
      <c r="BM30056" s="1025"/>
      <c r="BO30056" s="43"/>
    </row>
    <row r="30057" spans="65:67" ht="18.75" customHeight="1">
      <c r="BM30057" s="1025"/>
      <c r="BO30057" s="43"/>
    </row>
    <row r="30058" spans="65:67" ht="18.75" customHeight="1">
      <c r="BM30058" s="1025"/>
      <c r="BO30058" s="43"/>
    </row>
    <row r="30059" spans="65:67" ht="18.75" customHeight="1">
      <c r="BM30059" s="1025"/>
      <c r="BO30059" s="43"/>
    </row>
    <row r="30060" spans="65:67" ht="18.75" customHeight="1">
      <c r="BM30060" s="1025"/>
      <c r="BO30060" s="43"/>
    </row>
    <row r="30061" spans="65:67" ht="18.75" customHeight="1">
      <c r="BM30061" s="1025"/>
      <c r="BO30061" s="43"/>
    </row>
    <row r="30062" spans="65:67" ht="18.75" customHeight="1">
      <c r="BM30062" s="1025"/>
      <c r="BO30062" s="43"/>
    </row>
    <row r="30063" spans="65:67" ht="18.75" customHeight="1">
      <c r="BM30063" s="1025"/>
      <c r="BO30063" s="43"/>
    </row>
    <row r="30064" spans="65:67" ht="18.75" customHeight="1">
      <c r="BM30064" s="1025"/>
      <c r="BO30064" s="43"/>
    </row>
    <row r="30065" spans="65:67" ht="18.75" customHeight="1">
      <c r="BM30065" s="1025"/>
      <c r="BO30065" s="43"/>
    </row>
    <row r="30066" spans="65:67" ht="18.75" customHeight="1">
      <c r="BM30066" s="1025"/>
      <c r="BO30066" s="43"/>
    </row>
    <row r="30067" spans="65:67" ht="18.75" customHeight="1">
      <c r="BM30067" s="1025"/>
      <c r="BO30067" s="43"/>
    </row>
    <row r="30068" spans="65:67" ht="18.75" customHeight="1">
      <c r="BM30068" s="1025"/>
      <c r="BO30068" s="43"/>
    </row>
    <row r="30069" spans="65:67" ht="18.75" customHeight="1">
      <c r="BM30069" s="1025"/>
      <c r="BO30069" s="43"/>
    </row>
    <row r="30070" spans="65:67" ht="18.75" customHeight="1">
      <c r="BM30070" s="1025"/>
      <c r="BO30070" s="43"/>
    </row>
    <row r="30071" spans="65:67" ht="18.75" customHeight="1">
      <c r="BM30071" s="1025"/>
      <c r="BO30071" s="43"/>
    </row>
    <row r="30072" spans="65:67" ht="18.75" customHeight="1">
      <c r="BM30072" s="1025"/>
      <c r="BO30072" s="43"/>
    </row>
    <row r="30073" spans="65:67" ht="18.75" customHeight="1">
      <c r="BM30073" s="1025"/>
      <c r="BO30073" s="43"/>
    </row>
    <row r="30074" spans="65:67" ht="18.75" customHeight="1">
      <c r="BM30074" s="1025"/>
      <c r="BO30074" s="43"/>
    </row>
    <row r="30075" spans="65:67" ht="18.75" customHeight="1">
      <c r="BM30075" s="1025"/>
      <c r="BO30075" s="43"/>
    </row>
    <row r="30076" spans="65:67" ht="18.75" customHeight="1">
      <c r="BM30076" s="1025"/>
      <c r="BO30076" s="43"/>
    </row>
    <row r="30077" spans="65:67" ht="18.75" customHeight="1">
      <c r="BM30077" s="1025"/>
      <c r="BO30077" s="43"/>
    </row>
    <row r="30078" spans="65:67" ht="18.75" customHeight="1">
      <c r="BM30078" s="1025"/>
      <c r="BO30078" s="43"/>
    </row>
    <row r="30079" spans="65:67" ht="18.75" customHeight="1">
      <c r="BM30079" s="1025"/>
      <c r="BO30079" s="43"/>
    </row>
    <row r="30080" spans="65:67" ht="18.75" customHeight="1">
      <c r="BM30080" s="1025"/>
      <c r="BO30080" s="43"/>
    </row>
    <row r="30081" spans="65:67" ht="18.75" customHeight="1">
      <c r="BM30081" s="1025"/>
      <c r="BO30081" s="43"/>
    </row>
    <row r="30082" spans="65:67" ht="18.75" customHeight="1">
      <c r="BM30082" s="1025"/>
      <c r="BO30082" s="43"/>
    </row>
    <row r="30083" spans="65:67" ht="18.75" customHeight="1">
      <c r="BM30083" s="1025"/>
      <c r="BO30083" s="43"/>
    </row>
    <row r="30084" spans="65:67" ht="18.75" customHeight="1">
      <c r="BM30084" s="1025"/>
      <c r="BO30084" s="43"/>
    </row>
    <row r="30085" spans="65:67" ht="18.75" customHeight="1">
      <c r="BM30085" s="1025"/>
      <c r="BO30085" s="43"/>
    </row>
    <row r="30086" spans="65:67" ht="18.75" customHeight="1">
      <c r="BM30086" s="1025"/>
      <c r="BO30086" s="43"/>
    </row>
    <row r="30087" spans="65:67" ht="18.75" customHeight="1">
      <c r="BM30087" s="1025"/>
      <c r="BO30087" s="43"/>
    </row>
    <row r="30088" spans="65:67" ht="18.75" customHeight="1">
      <c r="BM30088" s="1025"/>
      <c r="BO30088" s="43"/>
    </row>
    <row r="30089" spans="65:67" ht="18.75" customHeight="1">
      <c r="BM30089" s="1025"/>
      <c r="BO30089" s="43"/>
    </row>
    <row r="30090" spans="65:67" ht="18.75" customHeight="1">
      <c r="BM30090" s="1025"/>
      <c r="BO30090" s="43"/>
    </row>
    <row r="30091" spans="65:67" ht="18.75" customHeight="1">
      <c r="BM30091" s="1025"/>
      <c r="BO30091" s="43"/>
    </row>
    <row r="30092" spans="65:67" ht="18.75" customHeight="1">
      <c r="BM30092" s="1025"/>
      <c r="BO30092" s="43"/>
    </row>
    <row r="30093" spans="65:67" ht="18.75" customHeight="1">
      <c r="BM30093" s="1025"/>
      <c r="BO30093" s="43"/>
    </row>
    <row r="30094" spans="65:67" ht="18.75" customHeight="1">
      <c r="BM30094" s="1025"/>
      <c r="BO30094" s="43"/>
    </row>
    <row r="30095" spans="65:67" ht="18.75" customHeight="1">
      <c r="BM30095" s="1025"/>
      <c r="BO30095" s="43"/>
    </row>
    <row r="30096" spans="65:67" ht="18.75" customHeight="1">
      <c r="BM30096" s="1025"/>
      <c r="BO30096" s="43"/>
    </row>
    <row r="30097" spans="65:67" ht="18.75" customHeight="1">
      <c r="BM30097" s="1025"/>
      <c r="BO30097" s="43"/>
    </row>
    <row r="30098" spans="65:67" ht="18.75" customHeight="1">
      <c r="BM30098" s="1025"/>
      <c r="BO30098" s="43"/>
    </row>
    <row r="30099" spans="65:67" ht="18.75" customHeight="1">
      <c r="BM30099" s="1025"/>
      <c r="BO30099" s="43"/>
    </row>
    <row r="30100" spans="65:67" ht="18.75" customHeight="1">
      <c r="BM30100" s="1025"/>
      <c r="BO30100" s="43"/>
    </row>
    <row r="30101" spans="65:67" ht="18.75" customHeight="1">
      <c r="BM30101" s="1025"/>
      <c r="BO30101" s="43"/>
    </row>
    <row r="30102" spans="65:67" ht="18.75" customHeight="1">
      <c r="BM30102" s="1025"/>
      <c r="BO30102" s="43"/>
    </row>
    <row r="30103" spans="65:67" ht="18.75" customHeight="1">
      <c r="BM30103" s="1025"/>
      <c r="BO30103" s="43"/>
    </row>
    <row r="30104" spans="65:67" ht="18.75" customHeight="1">
      <c r="BM30104" s="1025"/>
      <c r="BO30104" s="43"/>
    </row>
    <row r="30105" spans="65:67" ht="18.75" customHeight="1">
      <c r="BM30105" s="1025"/>
      <c r="BO30105" s="43"/>
    </row>
    <row r="30106" spans="65:67" ht="18.75" customHeight="1">
      <c r="BM30106" s="1025"/>
      <c r="BO30106" s="43"/>
    </row>
    <row r="30107" spans="65:67" ht="18.75" customHeight="1">
      <c r="BM30107" s="1025"/>
      <c r="BO30107" s="43"/>
    </row>
    <row r="30108" spans="65:67" ht="18.75" customHeight="1">
      <c r="BM30108" s="1025"/>
      <c r="BO30108" s="43"/>
    </row>
    <row r="30109" spans="65:67" ht="18.75" customHeight="1">
      <c r="BM30109" s="1025"/>
      <c r="BO30109" s="43"/>
    </row>
    <row r="30110" spans="65:67" ht="18.75" customHeight="1">
      <c r="BM30110" s="1025"/>
      <c r="BO30110" s="43"/>
    </row>
    <row r="30111" spans="65:67" ht="18.75" customHeight="1">
      <c r="BM30111" s="1025"/>
      <c r="BO30111" s="43"/>
    </row>
    <row r="30112" spans="65:67" ht="18.75" customHeight="1">
      <c r="BM30112" s="1025"/>
      <c r="BO30112" s="43"/>
    </row>
    <row r="30113" spans="65:67" ht="18.75" customHeight="1">
      <c r="BM30113" s="1025"/>
      <c r="BO30113" s="43"/>
    </row>
    <row r="30114" spans="65:67" ht="18.75" customHeight="1">
      <c r="BM30114" s="1025"/>
      <c r="BO30114" s="43"/>
    </row>
    <row r="30115" spans="65:67" ht="18.75" customHeight="1">
      <c r="BM30115" s="1025"/>
      <c r="BO30115" s="43"/>
    </row>
    <row r="30116" spans="65:67" ht="18.75" customHeight="1">
      <c r="BM30116" s="1025"/>
      <c r="BO30116" s="43"/>
    </row>
    <row r="30117" spans="65:67" ht="18.75" customHeight="1">
      <c r="BM30117" s="1025"/>
      <c r="BO30117" s="43"/>
    </row>
    <row r="30118" spans="65:67" ht="18.75" customHeight="1">
      <c r="BM30118" s="1025"/>
      <c r="BO30118" s="43"/>
    </row>
    <row r="30119" spans="65:67" ht="18.75" customHeight="1">
      <c r="BM30119" s="1025"/>
      <c r="BO30119" s="43"/>
    </row>
    <row r="30120" spans="65:67" ht="18.75" customHeight="1">
      <c r="BM30120" s="1025"/>
      <c r="BO30120" s="43"/>
    </row>
    <row r="30121" spans="65:67" ht="18.75" customHeight="1">
      <c r="BM30121" s="1025"/>
      <c r="BO30121" s="43"/>
    </row>
    <row r="30122" spans="65:67" ht="18.75" customHeight="1">
      <c r="BM30122" s="1025"/>
      <c r="BO30122" s="43"/>
    </row>
    <row r="30123" spans="65:67" ht="18.75" customHeight="1">
      <c r="BM30123" s="1025"/>
      <c r="BO30123" s="43"/>
    </row>
    <row r="30124" spans="65:67" ht="18.75" customHeight="1">
      <c r="BM30124" s="1025"/>
      <c r="BO30124" s="43"/>
    </row>
    <row r="30125" spans="65:67" ht="18.75" customHeight="1">
      <c r="BM30125" s="1025"/>
      <c r="BO30125" s="43"/>
    </row>
    <row r="30126" spans="65:67" ht="18.75" customHeight="1">
      <c r="BM30126" s="1025"/>
      <c r="BO30126" s="43"/>
    </row>
    <row r="30127" spans="65:67" ht="18.75" customHeight="1">
      <c r="BM30127" s="1025"/>
      <c r="BO30127" s="43"/>
    </row>
    <row r="30128" spans="65:67" ht="18.75" customHeight="1">
      <c r="BM30128" s="1025"/>
      <c r="BO30128" s="43"/>
    </row>
    <row r="30129" spans="65:67" ht="18.75" customHeight="1">
      <c r="BM30129" s="1025"/>
      <c r="BO30129" s="43"/>
    </row>
    <row r="30130" spans="65:67" ht="18.75" customHeight="1">
      <c r="BM30130" s="1025"/>
      <c r="BO30130" s="43"/>
    </row>
    <row r="30131" spans="65:67" ht="18.75" customHeight="1">
      <c r="BM30131" s="1025"/>
      <c r="BO30131" s="43"/>
    </row>
    <row r="30132" spans="65:67" ht="18.75" customHeight="1">
      <c r="BM30132" s="1025"/>
      <c r="BO30132" s="43"/>
    </row>
    <row r="30133" spans="65:67" ht="18.75" customHeight="1">
      <c r="BM30133" s="1025"/>
      <c r="BO30133" s="43"/>
    </row>
    <row r="30134" spans="65:67" ht="18.75" customHeight="1">
      <c r="BM30134" s="1025"/>
      <c r="BO30134" s="43"/>
    </row>
    <row r="30135" spans="65:67" ht="18.75" customHeight="1">
      <c r="BM30135" s="1025"/>
      <c r="BO30135" s="43"/>
    </row>
    <row r="30136" spans="65:67" ht="18.75" customHeight="1">
      <c r="BM30136" s="1025"/>
      <c r="BO30136" s="43"/>
    </row>
    <row r="30137" spans="65:67" ht="18.75" customHeight="1">
      <c r="BM30137" s="1025"/>
      <c r="BO30137" s="43"/>
    </row>
    <row r="30138" spans="65:67" ht="18.75" customHeight="1">
      <c r="BM30138" s="1025"/>
      <c r="BO30138" s="43"/>
    </row>
    <row r="30139" spans="65:67" ht="18.75" customHeight="1">
      <c r="BM30139" s="1025"/>
      <c r="BO30139" s="43"/>
    </row>
    <row r="30140" spans="65:67" ht="18.75" customHeight="1">
      <c r="BM30140" s="1025"/>
      <c r="BO30140" s="43"/>
    </row>
    <row r="30141" spans="65:67" ht="18.75" customHeight="1">
      <c r="BM30141" s="1025"/>
      <c r="BO30141" s="43"/>
    </row>
    <row r="30142" spans="65:67" ht="18.75" customHeight="1">
      <c r="BM30142" s="1025"/>
      <c r="BO30142" s="43"/>
    </row>
    <row r="30143" spans="65:67" ht="18.75" customHeight="1">
      <c r="BM30143" s="1025"/>
      <c r="BO30143" s="43"/>
    </row>
    <row r="30144" spans="65:67" ht="18.75" customHeight="1">
      <c r="BM30144" s="1025"/>
      <c r="BO30144" s="43"/>
    </row>
    <row r="30145" spans="65:67" ht="18.75" customHeight="1">
      <c r="BM30145" s="1025"/>
      <c r="BO30145" s="43"/>
    </row>
    <row r="30146" spans="65:67" ht="18.75" customHeight="1">
      <c r="BM30146" s="1025"/>
      <c r="BO30146" s="43"/>
    </row>
    <row r="30147" spans="65:67" ht="18.75" customHeight="1">
      <c r="BM30147" s="1025"/>
      <c r="BO30147" s="43"/>
    </row>
    <row r="30148" spans="65:67" ht="18.75" customHeight="1">
      <c r="BM30148" s="1025"/>
      <c r="BO30148" s="43"/>
    </row>
    <row r="30149" spans="65:67" ht="18.75" customHeight="1">
      <c r="BM30149" s="1025"/>
      <c r="BO30149" s="43"/>
    </row>
    <row r="30150" spans="65:67" ht="18.75" customHeight="1">
      <c r="BM30150" s="1025"/>
      <c r="BO30150" s="43"/>
    </row>
    <row r="30151" spans="65:67" ht="18.75" customHeight="1">
      <c r="BM30151" s="1025"/>
      <c r="BO30151" s="43"/>
    </row>
    <row r="30152" spans="65:67" ht="18.75" customHeight="1">
      <c r="BM30152" s="1025"/>
      <c r="BO30152" s="43"/>
    </row>
    <row r="30153" spans="65:67" ht="18.75" customHeight="1">
      <c r="BM30153" s="1025"/>
      <c r="BO30153" s="43"/>
    </row>
    <row r="30154" spans="65:67" ht="18.75" customHeight="1">
      <c r="BM30154" s="1025"/>
      <c r="BO30154" s="43"/>
    </row>
    <row r="30155" spans="65:67" ht="18.75" customHeight="1">
      <c r="BM30155" s="1025"/>
      <c r="BO30155" s="43"/>
    </row>
    <row r="30156" spans="65:67" ht="18.75" customHeight="1">
      <c r="BM30156" s="1025"/>
      <c r="BO30156" s="43"/>
    </row>
    <row r="30157" spans="65:67" ht="18.75" customHeight="1">
      <c r="BM30157" s="1025"/>
      <c r="BO30157" s="43"/>
    </row>
    <row r="30158" spans="65:67" ht="18.75" customHeight="1">
      <c r="BM30158" s="1025"/>
      <c r="BO30158" s="43"/>
    </row>
    <row r="30159" spans="65:67" ht="18.75" customHeight="1">
      <c r="BM30159" s="1025"/>
      <c r="BO30159" s="43"/>
    </row>
    <row r="30160" spans="65:67" ht="18.75" customHeight="1">
      <c r="BM30160" s="1025"/>
      <c r="BO30160" s="43"/>
    </row>
    <row r="30161" spans="65:67" ht="18.75" customHeight="1">
      <c r="BM30161" s="1025"/>
      <c r="BO30161" s="43"/>
    </row>
    <row r="30162" spans="65:67" ht="18.75" customHeight="1">
      <c r="BM30162" s="1025"/>
      <c r="BO30162" s="43"/>
    </row>
    <row r="30163" spans="65:67" ht="18.75" customHeight="1">
      <c r="BM30163" s="1025"/>
      <c r="BO30163" s="43"/>
    </row>
    <row r="30164" spans="65:67" ht="18.75" customHeight="1">
      <c r="BM30164" s="1025"/>
      <c r="BO30164" s="43"/>
    </row>
    <row r="30165" spans="65:67" ht="18.75" customHeight="1">
      <c r="BM30165" s="1025"/>
      <c r="BO30165" s="43"/>
    </row>
    <row r="30166" spans="65:67" ht="18.75" customHeight="1">
      <c r="BM30166" s="1025"/>
      <c r="BO30166" s="43"/>
    </row>
    <row r="30167" spans="65:67" ht="18.75" customHeight="1">
      <c r="BM30167" s="1025"/>
      <c r="BO30167" s="43"/>
    </row>
    <row r="30168" spans="65:67" ht="18.75" customHeight="1">
      <c r="BM30168" s="1025"/>
      <c r="BO30168" s="43"/>
    </row>
    <row r="30169" spans="65:67" ht="18.75" customHeight="1">
      <c r="BM30169" s="1025"/>
      <c r="BO30169" s="43"/>
    </row>
    <row r="30170" spans="65:67" ht="18.75" customHeight="1">
      <c r="BM30170" s="1025"/>
      <c r="BO30170" s="43"/>
    </row>
    <row r="30171" spans="65:67" ht="18.75" customHeight="1">
      <c r="BM30171" s="1025"/>
      <c r="BO30171" s="43"/>
    </row>
    <row r="30172" spans="65:67" ht="18.75" customHeight="1">
      <c r="BM30172" s="1025"/>
      <c r="BO30172" s="43"/>
    </row>
    <row r="30173" spans="65:67" ht="18.75" customHeight="1">
      <c r="BM30173" s="1025"/>
      <c r="BO30173" s="43"/>
    </row>
    <row r="30174" spans="65:67" ht="18.75" customHeight="1">
      <c r="BM30174" s="1025"/>
      <c r="BO30174" s="43"/>
    </row>
    <row r="30175" spans="65:67" ht="18.75" customHeight="1">
      <c r="BM30175" s="1025"/>
      <c r="BO30175" s="43"/>
    </row>
    <row r="30176" spans="65:67" ht="18.75" customHeight="1">
      <c r="BM30176" s="1025"/>
      <c r="BO30176" s="43"/>
    </row>
    <row r="30177" spans="65:67" ht="18.75" customHeight="1">
      <c r="BM30177" s="1025"/>
      <c r="BO30177" s="43"/>
    </row>
    <row r="30178" spans="65:67" ht="18.75" customHeight="1">
      <c r="BM30178" s="1025"/>
      <c r="BO30178" s="43"/>
    </row>
    <row r="30179" spans="65:67" ht="18.75" customHeight="1">
      <c r="BM30179" s="1025"/>
      <c r="BO30179" s="43"/>
    </row>
    <row r="30180" spans="65:67" ht="18.75" customHeight="1">
      <c r="BM30180" s="1025"/>
      <c r="BO30180" s="43"/>
    </row>
    <row r="30181" spans="65:67" ht="18.75" customHeight="1">
      <c r="BM30181" s="1025"/>
      <c r="BO30181" s="43"/>
    </row>
    <row r="30182" spans="65:67" ht="18.75" customHeight="1">
      <c r="BM30182" s="1025"/>
      <c r="BO30182" s="43"/>
    </row>
    <row r="30183" spans="65:67" ht="18.75" customHeight="1">
      <c r="BM30183" s="1025"/>
      <c r="BO30183" s="43"/>
    </row>
    <row r="30184" spans="65:67" ht="18.75" customHeight="1">
      <c r="BM30184" s="1025"/>
      <c r="BO30184" s="43"/>
    </row>
    <row r="30185" spans="65:67" ht="18.75" customHeight="1">
      <c r="BM30185" s="1025"/>
      <c r="BO30185" s="43"/>
    </row>
    <row r="30186" spans="65:67" ht="18.75" customHeight="1">
      <c r="BM30186" s="1025"/>
      <c r="BO30186" s="43"/>
    </row>
    <row r="30187" spans="65:67" ht="18.75" customHeight="1">
      <c r="BM30187" s="1025"/>
      <c r="BO30187" s="43"/>
    </row>
    <row r="30188" spans="65:67" ht="18.75" customHeight="1">
      <c r="BM30188" s="1025"/>
      <c r="BO30188" s="43"/>
    </row>
    <row r="30189" spans="65:67" ht="18.75" customHeight="1">
      <c r="BM30189" s="1025"/>
      <c r="BO30189" s="43"/>
    </row>
    <row r="30190" spans="65:67" ht="18.75" customHeight="1">
      <c r="BM30190" s="1025"/>
      <c r="BO30190" s="43"/>
    </row>
    <row r="30191" spans="65:67" ht="18.75" customHeight="1">
      <c r="BM30191" s="1025"/>
      <c r="BO30191" s="43"/>
    </row>
    <row r="30192" spans="65:67" ht="18.75" customHeight="1">
      <c r="BM30192" s="1025"/>
      <c r="BO30192" s="43"/>
    </row>
    <row r="30193" spans="65:67" ht="18.75" customHeight="1">
      <c r="BM30193" s="1025"/>
      <c r="BO30193" s="43"/>
    </row>
    <row r="30194" spans="65:67" ht="18.75" customHeight="1">
      <c r="BM30194" s="1025"/>
      <c r="BO30194" s="43"/>
    </row>
    <row r="30195" spans="65:67" ht="18.75" customHeight="1">
      <c r="BM30195" s="1025"/>
      <c r="BO30195" s="43"/>
    </row>
    <row r="30196" spans="65:67" ht="18.75" customHeight="1">
      <c r="BM30196" s="1025"/>
      <c r="BO30196" s="43"/>
    </row>
    <row r="30197" spans="65:67" ht="18.75" customHeight="1">
      <c r="BM30197" s="1025"/>
      <c r="BO30197" s="43"/>
    </row>
    <row r="30198" spans="65:67" ht="18.75" customHeight="1">
      <c r="BM30198" s="1025"/>
      <c r="BO30198" s="43"/>
    </row>
    <row r="30199" spans="65:67" ht="18.75" customHeight="1">
      <c r="BM30199" s="1025"/>
      <c r="BO30199" s="43"/>
    </row>
    <row r="30200" spans="65:67" ht="18.75" customHeight="1">
      <c r="BM30200" s="1025"/>
      <c r="BO30200" s="43"/>
    </row>
    <row r="30201" spans="65:67" ht="18.75" customHeight="1">
      <c r="BM30201" s="1025"/>
      <c r="BO30201" s="43"/>
    </row>
    <row r="30202" spans="65:67" ht="18.75" customHeight="1">
      <c r="BM30202" s="1025"/>
      <c r="BO30202" s="43"/>
    </row>
    <row r="30203" spans="65:67" ht="18.75" customHeight="1">
      <c r="BM30203" s="1025"/>
      <c r="BO30203" s="43"/>
    </row>
    <row r="30204" spans="65:67" ht="18.75" customHeight="1">
      <c r="BM30204" s="1025"/>
      <c r="BO30204" s="43"/>
    </row>
    <row r="30205" spans="65:67" ht="18.75" customHeight="1">
      <c r="BM30205" s="1025"/>
      <c r="BO30205" s="43"/>
    </row>
    <row r="30206" spans="65:67" ht="18.75" customHeight="1">
      <c r="BM30206" s="1025"/>
      <c r="BO30206" s="43"/>
    </row>
    <row r="30207" spans="65:67" ht="18.75" customHeight="1">
      <c r="BM30207" s="1025"/>
      <c r="BO30207" s="43"/>
    </row>
    <row r="30208" spans="65:67" ht="18.75" customHeight="1">
      <c r="BM30208" s="1025"/>
      <c r="BO30208" s="43"/>
    </row>
    <row r="30209" spans="65:67" ht="18.75" customHeight="1">
      <c r="BM30209" s="1025"/>
      <c r="BO30209" s="43"/>
    </row>
    <row r="30210" spans="65:67" ht="18.75" customHeight="1">
      <c r="BM30210" s="1025"/>
      <c r="BO30210" s="43"/>
    </row>
    <row r="30211" spans="65:67" ht="18.75" customHeight="1">
      <c r="BM30211" s="1025"/>
      <c r="BO30211" s="43"/>
    </row>
    <row r="30212" spans="65:67" ht="18.75" customHeight="1">
      <c r="BM30212" s="1025"/>
      <c r="BO30212" s="43"/>
    </row>
    <row r="30213" spans="65:67" ht="18.75" customHeight="1">
      <c r="BM30213" s="1025"/>
      <c r="BO30213" s="43"/>
    </row>
    <row r="30214" spans="65:67" ht="18.75" customHeight="1">
      <c r="BM30214" s="1025"/>
      <c r="BO30214" s="43"/>
    </row>
    <row r="30215" spans="65:67" ht="18.75" customHeight="1">
      <c r="BM30215" s="1025"/>
      <c r="BO30215" s="43"/>
    </row>
    <row r="30216" spans="65:67" ht="18.75" customHeight="1">
      <c r="BM30216" s="1025"/>
      <c r="BO30216" s="43"/>
    </row>
    <row r="30217" spans="65:67" ht="18.75" customHeight="1">
      <c r="BM30217" s="1025"/>
      <c r="BO30217" s="43"/>
    </row>
    <row r="30218" spans="65:67" ht="18.75" customHeight="1">
      <c r="BM30218" s="1025"/>
      <c r="BO30218" s="43"/>
    </row>
    <row r="30219" spans="65:67" ht="18.75" customHeight="1">
      <c r="BM30219" s="1025"/>
      <c r="BO30219" s="43"/>
    </row>
    <row r="30220" spans="65:67" ht="18.75" customHeight="1">
      <c r="BM30220" s="1025"/>
      <c r="BO30220" s="43"/>
    </row>
    <row r="30221" spans="65:67" ht="18.75" customHeight="1">
      <c r="BM30221" s="1025"/>
      <c r="BO30221" s="43"/>
    </row>
    <row r="30222" spans="65:67" ht="18.75" customHeight="1">
      <c r="BM30222" s="1025"/>
      <c r="BO30222" s="43"/>
    </row>
    <row r="30223" spans="65:67" ht="18.75" customHeight="1">
      <c r="BM30223" s="1025"/>
      <c r="BO30223" s="43"/>
    </row>
    <row r="30224" spans="65:67" ht="18.75" customHeight="1">
      <c r="BM30224" s="1025"/>
      <c r="BO30224" s="43"/>
    </row>
    <row r="30225" spans="65:67" ht="18.75" customHeight="1">
      <c r="BM30225" s="1025"/>
      <c r="BO30225" s="43"/>
    </row>
    <row r="30226" spans="65:67" ht="18.75" customHeight="1">
      <c r="BM30226" s="1025"/>
      <c r="BO30226" s="43"/>
    </row>
    <row r="30227" spans="65:67" ht="18.75" customHeight="1">
      <c r="BM30227" s="1025"/>
      <c r="BO30227" s="43"/>
    </row>
    <row r="30228" spans="65:67" ht="18.75" customHeight="1">
      <c r="BM30228" s="1025"/>
      <c r="BO30228" s="43"/>
    </row>
    <row r="30229" spans="65:67" ht="18.75" customHeight="1">
      <c r="BM30229" s="1025"/>
      <c r="BO30229" s="43"/>
    </row>
    <row r="30230" spans="65:67" ht="18.75" customHeight="1">
      <c r="BM30230" s="1025"/>
      <c r="BO30230" s="43"/>
    </row>
    <row r="30231" spans="65:67" ht="18.75" customHeight="1">
      <c r="BM30231" s="1025"/>
      <c r="BO30231" s="43"/>
    </row>
    <row r="30232" spans="65:67" ht="18.75" customHeight="1">
      <c r="BM30232" s="1025"/>
      <c r="BO30232" s="43"/>
    </row>
    <row r="30233" spans="65:67" ht="18.75" customHeight="1">
      <c r="BM30233" s="1025"/>
      <c r="BO30233" s="43"/>
    </row>
    <row r="30234" spans="65:67" ht="18.75" customHeight="1">
      <c r="BM30234" s="1025"/>
      <c r="BO30234" s="43"/>
    </row>
    <row r="30235" spans="65:67" ht="18.75" customHeight="1">
      <c r="BM30235" s="1025"/>
      <c r="BO30235" s="43"/>
    </row>
    <row r="30236" spans="65:67" ht="18.75" customHeight="1">
      <c r="BM30236" s="1025"/>
      <c r="BO30236" s="43"/>
    </row>
    <row r="30237" spans="65:67" ht="18.75" customHeight="1">
      <c r="BM30237" s="1025"/>
      <c r="BO30237" s="43"/>
    </row>
    <row r="30238" spans="65:67" ht="18.75" customHeight="1">
      <c r="BM30238" s="1025"/>
      <c r="BO30238" s="43"/>
    </row>
    <row r="30239" spans="65:67" ht="18.75" customHeight="1">
      <c r="BM30239" s="1025"/>
      <c r="BO30239" s="43"/>
    </row>
    <row r="30240" spans="65:67" ht="18.75" customHeight="1">
      <c r="BM30240" s="1025"/>
      <c r="BO30240" s="43"/>
    </row>
    <row r="30241" spans="65:67" ht="18.75" customHeight="1">
      <c r="BM30241" s="1025"/>
      <c r="BO30241" s="43"/>
    </row>
    <row r="30242" spans="65:67" ht="18.75" customHeight="1">
      <c r="BM30242" s="1025"/>
      <c r="BO30242" s="43"/>
    </row>
    <row r="30243" spans="65:67" ht="18.75" customHeight="1">
      <c r="BM30243" s="1025"/>
      <c r="BO30243" s="43"/>
    </row>
    <row r="30244" spans="65:67" ht="18.75" customHeight="1">
      <c r="BM30244" s="1025"/>
      <c r="BO30244" s="43"/>
    </row>
    <row r="30245" spans="65:67" ht="18.75" customHeight="1">
      <c r="BM30245" s="1025"/>
      <c r="BO30245" s="43"/>
    </row>
    <row r="30246" spans="65:67" ht="18.75" customHeight="1">
      <c r="BM30246" s="1025"/>
      <c r="BO30246" s="43"/>
    </row>
    <row r="30247" spans="65:67" ht="18.75" customHeight="1">
      <c r="BM30247" s="1025"/>
      <c r="BO30247" s="43"/>
    </row>
    <row r="30248" spans="65:67" ht="18.75" customHeight="1">
      <c r="BM30248" s="1025"/>
      <c r="BO30248" s="43"/>
    </row>
    <row r="30249" spans="65:67" ht="18.75" customHeight="1">
      <c r="BM30249" s="1025"/>
      <c r="BO30249" s="43"/>
    </row>
    <row r="30250" spans="65:67" ht="18.75" customHeight="1">
      <c r="BM30250" s="1025"/>
      <c r="BO30250" s="43"/>
    </row>
    <row r="30251" spans="65:67" ht="18.75" customHeight="1">
      <c r="BM30251" s="1025"/>
      <c r="BO30251" s="43"/>
    </row>
    <row r="30252" spans="65:67" ht="18.75" customHeight="1">
      <c r="BM30252" s="1025"/>
      <c r="BO30252" s="43"/>
    </row>
    <row r="30253" spans="65:67" ht="18.75" customHeight="1">
      <c r="BM30253" s="1025"/>
      <c r="BO30253" s="43"/>
    </row>
    <row r="30254" spans="65:67" ht="18.75" customHeight="1">
      <c r="BM30254" s="1025"/>
      <c r="BO30254" s="43"/>
    </row>
    <row r="30255" spans="65:67" ht="18.75" customHeight="1">
      <c r="BM30255" s="1025"/>
      <c r="BO30255" s="43"/>
    </row>
    <row r="30256" spans="65:67" ht="18.75" customHeight="1">
      <c r="BM30256" s="1025"/>
      <c r="BO30256" s="43"/>
    </row>
    <row r="30257" spans="65:67" ht="18.75" customHeight="1">
      <c r="BM30257" s="1025"/>
      <c r="BO30257" s="43"/>
    </row>
    <row r="30258" spans="65:67" ht="18.75" customHeight="1">
      <c r="BM30258" s="1025"/>
      <c r="BO30258" s="43"/>
    </row>
    <row r="30259" spans="65:67" ht="18.75" customHeight="1">
      <c r="BM30259" s="1025"/>
      <c r="BO30259" s="43"/>
    </row>
    <row r="30260" spans="65:67" ht="18.75" customHeight="1">
      <c r="BM30260" s="1025"/>
      <c r="BO30260" s="43"/>
    </row>
    <row r="30261" spans="65:67" ht="18.75" customHeight="1">
      <c r="BM30261" s="1025"/>
      <c r="BO30261" s="43"/>
    </row>
    <row r="30262" spans="65:67" ht="18.75" customHeight="1">
      <c r="BM30262" s="1025"/>
      <c r="BO30262" s="43"/>
    </row>
    <row r="30263" spans="65:67" ht="18.75" customHeight="1">
      <c r="BM30263" s="1025"/>
      <c r="BO30263" s="43"/>
    </row>
    <row r="30264" spans="65:67" ht="18.75" customHeight="1">
      <c r="BM30264" s="1025"/>
      <c r="BO30264" s="43"/>
    </row>
    <row r="30265" spans="65:67" ht="18.75" customHeight="1">
      <c r="BM30265" s="1025"/>
      <c r="BO30265" s="43"/>
    </row>
    <row r="30266" spans="65:67" ht="18.75" customHeight="1">
      <c r="BM30266" s="1025"/>
      <c r="BO30266" s="43"/>
    </row>
    <row r="30267" spans="65:67" ht="18.75" customHeight="1">
      <c r="BM30267" s="1025"/>
      <c r="BO30267" s="43"/>
    </row>
    <row r="30268" spans="65:67" ht="18.75" customHeight="1">
      <c r="BM30268" s="1025"/>
      <c r="BO30268" s="43"/>
    </row>
    <row r="30269" spans="65:67" ht="18.75" customHeight="1">
      <c r="BM30269" s="1025"/>
      <c r="BO30269" s="43"/>
    </row>
    <row r="30270" spans="65:67" ht="18.75" customHeight="1">
      <c r="BM30270" s="1025"/>
      <c r="BO30270" s="43"/>
    </row>
    <row r="30271" spans="65:67" ht="18.75" customHeight="1">
      <c r="BM30271" s="1025"/>
      <c r="BO30271" s="43"/>
    </row>
    <row r="30272" spans="65:67" ht="18.75" customHeight="1">
      <c r="BM30272" s="1025"/>
      <c r="BO30272" s="43"/>
    </row>
    <row r="30273" spans="65:67" ht="18.75" customHeight="1">
      <c r="BM30273" s="1025"/>
      <c r="BO30273" s="43"/>
    </row>
    <row r="30274" spans="65:67" ht="18.75" customHeight="1">
      <c r="BM30274" s="1025"/>
      <c r="BO30274" s="43"/>
    </row>
    <row r="30275" spans="65:67" ht="18.75" customHeight="1">
      <c r="BM30275" s="1025"/>
      <c r="BO30275" s="43"/>
    </row>
    <row r="30276" spans="65:67" ht="18.75" customHeight="1">
      <c r="BM30276" s="1025"/>
      <c r="BO30276" s="43"/>
    </row>
    <row r="30277" spans="65:67" ht="18.75" customHeight="1">
      <c r="BM30277" s="1025"/>
      <c r="BO30277" s="43"/>
    </row>
    <row r="30278" spans="65:67" ht="18.75" customHeight="1">
      <c r="BM30278" s="1025"/>
      <c r="BO30278" s="43"/>
    </row>
    <row r="30279" spans="65:67" ht="18.75" customHeight="1">
      <c r="BM30279" s="1025"/>
      <c r="BO30279" s="43"/>
    </row>
    <row r="30280" spans="65:67" ht="18.75" customHeight="1">
      <c r="BM30280" s="1025"/>
      <c r="BO30280" s="43"/>
    </row>
    <row r="30281" spans="65:67" ht="18.75" customHeight="1">
      <c r="BM30281" s="1025"/>
      <c r="BO30281" s="43"/>
    </row>
    <row r="30282" spans="65:67" ht="18.75" customHeight="1">
      <c r="BM30282" s="1025"/>
      <c r="BO30282" s="43"/>
    </row>
    <row r="30283" spans="65:67" ht="18.75" customHeight="1">
      <c r="BM30283" s="1025"/>
      <c r="BO30283" s="43"/>
    </row>
    <row r="30284" spans="65:67" ht="18.75" customHeight="1">
      <c r="BM30284" s="1025"/>
      <c r="BO30284" s="43"/>
    </row>
    <row r="30285" spans="65:67" ht="18.75" customHeight="1">
      <c r="BM30285" s="1025"/>
      <c r="BO30285" s="43"/>
    </row>
    <row r="30286" spans="65:67" ht="18.75" customHeight="1">
      <c r="BM30286" s="1025"/>
      <c r="BO30286" s="43"/>
    </row>
    <row r="30287" spans="65:67" ht="18.75" customHeight="1">
      <c r="BM30287" s="1025"/>
      <c r="BO30287" s="43"/>
    </row>
    <row r="30288" spans="65:67" ht="18.75" customHeight="1">
      <c r="BM30288" s="1025"/>
      <c r="BO30288" s="43"/>
    </row>
    <row r="30289" spans="65:67" ht="18.75" customHeight="1">
      <c r="BM30289" s="1025"/>
      <c r="BO30289" s="43"/>
    </row>
    <row r="30290" spans="65:67" ht="18.75" customHeight="1">
      <c r="BM30290" s="1025"/>
      <c r="BO30290" s="43"/>
    </row>
    <row r="30291" spans="65:67" ht="18.75" customHeight="1">
      <c r="BM30291" s="1025"/>
      <c r="BO30291" s="43"/>
    </row>
    <row r="30292" spans="65:67" ht="18.75" customHeight="1">
      <c r="BM30292" s="1025"/>
      <c r="BO30292" s="43"/>
    </row>
    <row r="30293" spans="65:67" ht="18.75" customHeight="1">
      <c r="BM30293" s="1025"/>
      <c r="BO30293" s="43"/>
    </row>
    <row r="30294" spans="65:67" ht="18.75" customHeight="1">
      <c r="BM30294" s="1025"/>
      <c r="BO30294" s="43"/>
    </row>
    <row r="30295" spans="65:67" ht="18.75" customHeight="1">
      <c r="BM30295" s="1025"/>
      <c r="BO30295" s="43"/>
    </row>
    <row r="30296" spans="65:67" ht="18.75" customHeight="1">
      <c r="BM30296" s="1025"/>
      <c r="BO30296" s="43"/>
    </row>
    <row r="30297" spans="65:67" ht="18.75" customHeight="1">
      <c r="BM30297" s="1025"/>
      <c r="BO30297" s="43"/>
    </row>
    <row r="30298" spans="65:67" ht="18.75" customHeight="1">
      <c r="BM30298" s="1025"/>
      <c r="BO30298" s="43"/>
    </row>
    <row r="30299" spans="65:67" ht="18.75" customHeight="1">
      <c r="BM30299" s="1025"/>
      <c r="BO30299" s="43"/>
    </row>
    <row r="30300" spans="65:67" ht="18.75" customHeight="1">
      <c r="BM30300" s="1025"/>
      <c r="BO30300" s="43"/>
    </row>
    <row r="30301" spans="65:67" ht="18.75" customHeight="1">
      <c r="BM30301" s="1025"/>
      <c r="BO30301" s="43"/>
    </row>
    <row r="30302" spans="65:67" ht="18.75" customHeight="1">
      <c r="BM30302" s="1025"/>
      <c r="BO30302" s="43"/>
    </row>
    <row r="30303" spans="65:67" ht="18.75" customHeight="1">
      <c r="BM30303" s="1025"/>
      <c r="BO30303" s="43"/>
    </row>
    <row r="30304" spans="65:67" ht="18.75" customHeight="1">
      <c r="BM30304" s="1025"/>
      <c r="BO30304" s="43"/>
    </row>
    <row r="30305" spans="65:67" ht="18.75" customHeight="1">
      <c r="BM30305" s="1025"/>
      <c r="BO30305" s="43"/>
    </row>
    <row r="30306" spans="65:67" ht="18.75" customHeight="1">
      <c r="BM30306" s="1025"/>
      <c r="BO30306" s="43"/>
    </row>
    <row r="30307" spans="65:67" ht="18.75" customHeight="1">
      <c r="BM30307" s="1025"/>
      <c r="BO30307" s="43"/>
    </row>
    <row r="30308" spans="65:67" ht="18.75" customHeight="1">
      <c r="BM30308" s="1025"/>
      <c r="BO30308" s="43"/>
    </row>
    <row r="30309" spans="65:67" ht="18.75" customHeight="1">
      <c r="BM30309" s="1025"/>
      <c r="BO30309" s="43"/>
    </row>
    <row r="30310" spans="65:67" ht="18.75" customHeight="1">
      <c r="BM30310" s="1025"/>
      <c r="BO30310" s="43"/>
    </row>
    <row r="30311" spans="65:67" ht="18.75" customHeight="1">
      <c r="BM30311" s="1025"/>
      <c r="BO30311" s="43"/>
    </row>
    <row r="30312" spans="65:67" ht="18.75" customHeight="1">
      <c r="BM30312" s="1025"/>
      <c r="BO30312" s="43"/>
    </row>
    <row r="30313" spans="65:67" ht="18.75" customHeight="1">
      <c r="BM30313" s="1025"/>
      <c r="BO30313" s="43"/>
    </row>
    <row r="30314" spans="65:67" ht="18.75" customHeight="1">
      <c r="BM30314" s="1025"/>
      <c r="BO30314" s="43"/>
    </row>
    <row r="30315" spans="65:67" ht="18.75" customHeight="1">
      <c r="BM30315" s="1025"/>
      <c r="BO30315" s="43"/>
    </row>
    <row r="30316" spans="65:67" ht="18.75" customHeight="1">
      <c r="BM30316" s="1025"/>
      <c r="BO30316" s="43"/>
    </row>
    <row r="30317" spans="65:67" ht="18.75" customHeight="1">
      <c r="BM30317" s="1025"/>
      <c r="BO30317" s="43"/>
    </row>
    <row r="30318" spans="65:67" ht="18.75" customHeight="1">
      <c r="BM30318" s="1025"/>
      <c r="BO30318" s="43"/>
    </row>
    <row r="30319" spans="65:67" ht="18.75" customHeight="1">
      <c r="BM30319" s="1025"/>
      <c r="BO30319" s="43"/>
    </row>
    <row r="30320" spans="65:67" ht="18.75" customHeight="1">
      <c r="BM30320" s="1025"/>
      <c r="BO30320" s="43"/>
    </row>
    <row r="30321" spans="65:67" ht="18.75" customHeight="1">
      <c r="BM30321" s="1025"/>
      <c r="BO30321" s="43"/>
    </row>
    <row r="30322" spans="65:67" ht="18.75" customHeight="1">
      <c r="BM30322" s="1025"/>
      <c r="BO30322" s="43"/>
    </row>
    <row r="30323" spans="65:67" ht="18.75" customHeight="1">
      <c r="BM30323" s="1025"/>
      <c r="BO30323" s="43"/>
    </row>
    <row r="30324" spans="65:67" ht="18.75" customHeight="1">
      <c r="BM30324" s="1025"/>
      <c r="BO30324" s="43"/>
    </row>
    <row r="30325" spans="65:67" ht="18.75" customHeight="1">
      <c r="BM30325" s="1025"/>
      <c r="BO30325" s="43"/>
    </row>
    <row r="30326" spans="65:67" ht="18.75" customHeight="1">
      <c r="BM30326" s="1025"/>
      <c r="BO30326" s="43"/>
    </row>
    <row r="30327" spans="65:67" ht="18.75" customHeight="1">
      <c r="BM30327" s="1025"/>
      <c r="BO30327" s="43"/>
    </row>
    <row r="30328" spans="65:67" ht="18.75" customHeight="1">
      <c r="BM30328" s="1025"/>
      <c r="BO30328" s="43"/>
    </row>
    <row r="30329" spans="65:67" ht="18.75" customHeight="1">
      <c r="BM30329" s="1025"/>
      <c r="BO30329" s="43"/>
    </row>
    <row r="30330" spans="65:67" ht="18.75" customHeight="1">
      <c r="BM30330" s="1025"/>
      <c r="BO30330" s="43"/>
    </row>
    <row r="30331" spans="65:67" ht="18.75" customHeight="1">
      <c r="BM30331" s="1025"/>
      <c r="BO30331" s="43"/>
    </row>
    <row r="30332" spans="65:67" ht="18.75" customHeight="1">
      <c r="BM30332" s="1025"/>
      <c r="BO30332" s="43"/>
    </row>
    <row r="30333" spans="65:67" ht="18.75" customHeight="1">
      <c r="BM30333" s="1025"/>
      <c r="BO30333" s="43"/>
    </row>
    <row r="30334" spans="65:67" ht="18.75" customHeight="1">
      <c r="BM30334" s="1025"/>
      <c r="BO30334" s="43"/>
    </row>
    <row r="30335" spans="65:67" ht="18.75" customHeight="1">
      <c r="BM30335" s="1025"/>
      <c r="BO30335" s="43"/>
    </row>
    <row r="30336" spans="65:67" ht="18.75" customHeight="1">
      <c r="BM30336" s="1025"/>
      <c r="BO30336" s="43"/>
    </row>
    <row r="30337" spans="65:67" ht="18.75" customHeight="1">
      <c r="BM30337" s="1025"/>
      <c r="BO30337" s="43"/>
    </row>
    <row r="30338" spans="65:67" ht="18.75" customHeight="1">
      <c r="BM30338" s="1025"/>
      <c r="BO30338" s="43"/>
    </row>
    <row r="30339" spans="65:67" ht="18.75" customHeight="1">
      <c r="BM30339" s="1025"/>
      <c r="BO30339" s="43"/>
    </row>
    <row r="30340" spans="65:67" ht="18.75" customHeight="1">
      <c r="BM30340" s="1025"/>
      <c r="BO30340" s="43"/>
    </row>
    <row r="30341" spans="65:67" ht="18.75" customHeight="1">
      <c r="BM30341" s="1025"/>
      <c r="BO30341" s="43"/>
    </row>
    <row r="30342" spans="65:67" ht="18.75" customHeight="1">
      <c r="BM30342" s="1025"/>
      <c r="BO30342" s="43"/>
    </row>
    <row r="30343" spans="65:67" ht="18.75" customHeight="1">
      <c r="BM30343" s="1025"/>
      <c r="BO30343" s="43"/>
    </row>
    <row r="30344" spans="65:67" ht="18.75" customHeight="1">
      <c r="BM30344" s="1025"/>
      <c r="BO30344" s="43"/>
    </row>
    <row r="30345" spans="65:67" ht="18.75" customHeight="1">
      <c r="BM30345" s="1025"/>
      <c r="BO30345" s="43"/>
    </row>
    <row r="30346" spans="65:67" ht="18.75" customHeight="1">
      <c r="BM30346" s="1025"/>
      <c r="BO30346" s="43"/>
    </row>
    <row r="30347" spans="65:67" ht="18.75" customHeight="1">
      <c r="BM30347" s="1025"/>
      <c r="BO30347" s="43"/>
    </row>
    <row r="30348" spans="65:67" ht="18.75" customHeight="1">
      <c r="BM30348" s="1025"/>
      <c r="BO30348" s="43"/>
    </row>
    <row r="30349" spans="65:67" ht="18.75" customHeight="1">
      <c r="BM30349" s="1025"/>
      <c r="BO30349" s="43"/>
    </row>
    <row r="30350" spans="65:67" ht="18.75" customHeight="1">
      <c r="BM30350" s="1025"/>
      <c r="BO30350" s="43"/>
    </row>
    <row r="30351" spans="65:67" ht="18.75" customHeight="1">
      <c r="BM30351" s="1025"/>
      <c r="BO30351" s="43"/>
    </row>
    <row r="30352" spans="65:67" ht="18.75" customHeight="1">
      <c r="BM30352" s="1025"/>
      <c r="BO30352" s="43"/>
    </row>
    <row r="30353" spans="65:67" ht="18.75" customHeight="1">
      <c r="BM30353" s="1025"/>
      <c r="BO30353" s="43"/>
    </row>
    <row r="30354" spans="65:67" ht="18.75" customHeight="1">
      <c r="BM30354" s="1025"/>
      <c r="BO30354" s="43"/>
    </row>
    <row r="30355" spans="65:67" ht="18.75" customHeight="1">
      <c r="BM30355" s="1025"/>
      <c r="BO30355" s="43"/>
    </row>
    <row r="30356" spans="65:67" ht="18.75" customHeight="1">
      <c r="BM30356" s="1025"/>
      <c r="BO30356" s="43"/>
    </row>
    <row r="30357" spans="65:67" ht="18.75" customHeight="1">
      <c r="BM30357" s="1025"/>
      <c r="BO30357" s="43"/>
    </row>
    <row r="30358" spans="65:67" ht="18.75" customHeight="1">
      <c r="BM30358" s="1025"/>
      <c r="BO30358" s="43"/>
    </row>
    <row r="30359" spans="65:67" ht="18.75" customHeight="1">
      <c r="BM30359" s="1025"/>
      <c r="BO30359" s="43"/>
    </row>
    <row r="30360" spans="65:67" ht="18.75" customHeight="1">
      <c r="BM30360" s="1025"/>
      <c r="BO30360" s="43"/>
    </row>
    <row r="30361" spans="65:67" ht="18.75" customHeight="1">
      <c r="BM30361" s="1025"/>
      <c r="BO30361" s="43"/>
    </row>
    <row r="30362" spans="65:67" ht="18.75" customHeight="1">
      <c r="BM30362" s="1025"/>
      <c r="BO30362" s="43"/>
    </row>
    <row r="30363" spans="65:67" ht="18.75" customHeight="1">
      <c r="BM30363" s="1025"/>
      <c r="BO30363" s="43"/>
    </row>
    <row r="30364" spans="65:67" ht="18.75" customHeight="1">
      <c r="BM30364" s="1025"/>
      <c r="BO30364" s="43"/>
    </row>
    <row r="30365" spans="65:67" ht="18.75" customHeight="1">
      <c r="BM30365" s="1025"/>
      <c r="BO30365" s="43"/>
    </row>
    <row r="30366" spans="65:67" ht="18.75" customHeight="1">
      <c r="BM30366" s="1025"/>
      <c r="BO30366" s="43"/>
    </row>
    <row r="30367" spans="65:67" ht="18.75" customHeight="1">
      <c r="BM30367" s="1025"/>
      <c r="BO30367" s="43"/>
    </row>
    <row r="30368" spans="65:67" ht="18.75" customHeight="1">
      <c r="BM30368" s="1025"/>
      <c r="BO30368" s="43"/>
    </row>
    <row r="30369" spans="65:67" ht="18.75" customHeight="1">
      <c r="BM30369" s="1025"/>
      <c r="BO30369" s="43"/>
    </row>
    <row r="30370" spans="65:67" ht="18.75" customHeight="1">
      <c r="BM30370" s="1025"/>
      <c r="BO30370" s="43"/>
    </row>
    <row r="30371" spans="65:67" ht="18.75" customHeight="1">
      <c r="BM30371" s="1025"/>
      <c r="BO30371" s="43"/>
    </row>
    <row r="30372" spans="65:67" ht="18.75" customHeight="1">
      <c r="BM30372" s="1025"/>
      <c r="BO30372" s="43"/>
    </row>
    <row r="30373" spans="65:67" ht="18.75" customHeight="1">
      <c r="BM30373" s="1025"/>
      <c r="BO30373" s="43"/>
    </row>
    <row r="30374" spans="65:67" ht="18.75" customHeight="1">
      <c r="BM30374" s="1025"/>
      <c r="BO30374" s="43"/>
    </row>
    <row r="30375" spans="65:67" ht="18.75" customHeight="1">
      <c r="BM30375" s="1025"/>
      <c r="BO30375" s="43"/>
    </row>
    <row r="30376" spans="65:67" ht="18.75" customHeight="1">
      <c r="BM30376" s="1025"/>
      <c r="BO30376" s="43"/>
    </row>
    <row r="30377" spans="65:67" ht="18.75" customHeight="1">
      <c r="BM30377" s="1025"/>
      <c r="BO30377" s="43"/>
    </row>
    <row r="30378" spans="65:67" ht="18.75" customHeight="1">
      <c r="BM30378" s="1025"/>
      <c r="BO30378" s="43"/>
    </row>
    <row r="30379" spans="65:67" ht="18.75" customHeight="1">
      <c r="BM30379" s="1025"/>
      <c r="BO30379" s="43"/>
    </row>
    <row r="30380" spans="65:67" ht="18.75" customHeight="1">
      <c r="BM30380" s="1025"/>
      <c r="BO30380" s="43"/>
    </row>
    <row r="30381" spans="65:67" ht="18.75" customHeight="1">
      <c r="BM30381" s="1025"/>
      <c r="BO30381" s="43"/>
    </row>
    <row r="30382" spans="65:67" ht="18.75" customHeight="1">
      <c r="BM30382" s="1025"/>
      <c r="BO30382" s="43"/>
    </row>
    <row r="30383" spans="65:67" ht="18.75" customHeight="1">
      <c r="BM30383" s="1025"/>
      <c r="BO30383" s="43"/>
    </row>
    <row r="30384" spans="65:67" ht="18.75" customHeight="1">
      <c r="BM30384" s="1025"/>
      <c r="BO30384" s="43"/>
    </row>
    <row r="30385" spans="65:67" ht="18.75" customHeight="1">
      <c r="BM30385" s="1025"/>
      <c r="BO30385" s="43"/>
    </row>
    <row r="30386" spans="65:67" ht="18.75" customHeight="1">
      <c r="BM30386" s="1025"/>
      <c r="BO30386" s="43"/>
    </row>
    <row r="30387" spans="65:67" ht="18.75" customHeight="1">
      <c r="BM30387" s="1025"/>
      <c r="BO30387" s="43"/>
    </row>
    <row r="30388" spans="65:67" ht="18.75" customHeight="1">
      <c r="BM30388" s="1025"/>
      <c r="BO30388" s="43"/>
    </row>
    <row r="30389" spans="65:67" ht="18.75" customHeight="1">
      <c r="BM30389" s="1025"/>
      <c r="BO30389" s="43"/>
    </row>
    <row r="30390" spans="65:67" ht="18.75" customHeight="1">
      <c r="BM30390" s="1025"/>
      <c r="BO30390" s="43"/>
    </row>
    <row r="30391" spans="65:67" ht="18.75" customHeight="1">
      <c r="BM30391" s="1025"/>
      <c r="BO30391" s="43"/>
    </row>
    <row r="30392" spans="65:67" ht="18.75" customHeight="1">
      <c r="BM30392" s="1025"/>
      <c r="BO30392" s="43"/>
    </row>
    <row r="30393" spans="65:67" ht="18.75" customHeight="1">
      <c r="BM30393" s="1025"/>
      <c r="BO30393" s="43"/>
    </row>
    <row r="30394" spans="65:67" ht="18.75" customHeight="1">
      <c r="BM30394" s="1025"/>
      <c r="BO30394" s="43"/>
    </row>
    <row r="30395" spans="65:67" ht="18.75" customHeight="1">
      <c r="BM30395" s="1025"/>
      <c r="BO30395" s="43"/>
    </row>
    <row r="30396" spans="65:67" ht="18.75" customHeight="1">
      <c r="BM30396" s="1025"/>
      <c r="BO30396" s="43"/>
    </row>
    <row r="30397" spans="65:67" ht="18.75" customHeight="1">
      <c r="BM30397" s="1025"/>
      <c r="BO30397" s="43"/>
    </row>
    <row r="30398" spans="65:67" ht="18.75" customHeight="1">
      <c r="BM30398" s="1025"/>
      <c r="BO30398" s="43"/>
    </row>
    <row r="30399" spans="65:67" ht="18.75" customHeight="1">
      <c r="BM30399" s="1025"/>
      <c r="BO30399" s="43"/>
    </row>
    <row r="30400" spans="65:67" ht="18.75" customHeight="1">
      <c r="BM30400" s="1025"/>
      <c r="BO30400" s="43"/>
    </row>
    <row r="30401" spans="65:67" ht="18.75" customHeight="1">
      <c r="BM30401" s="1025"/>
      <c r="BO30401" s="43"/>
    </row>
    <row r="30402" spans="65:67" ht="18.75" customHeight="1">
      <c r="BM30402" s="1025"/>
      <c r="BO30402" s="43"/>
    </row>
    <row r="30403" spans="65:67" ht="18.75" customHeight="1">
      <c r="BM30403" s="1025"/>
      <c r="BO30403" s="43"/>
    </row>
    <row r="30404" spans="65:67" ht="18.75" customHeight="1">
      <c r="BM30404" s="1025"/>
      <c r="BO30404" s="43"/>
    </row>
    <row r="30405" spans="65:67" ht="18.75" customHeight="1">
      <c r="BM30405" s="1025"/>
      <c r="BO30405" s="43"/>
    </row>
    <row r="30406" spans="65:67" ht="18.75" customHeight="1">
      <c r="BM30406" s="1025"/>
      <c r="BO30406" s="43"/>
    </row>
    <row r="30407" spans="65:67" ht="18.75" customHeight="1">
      <c r="BM30407" s="1025"/>
      <c r="BO30407" s="43"/>
    </row>
    <row r="30408" spans="65:67" ht="18.75" customHeight="1">
      <c r="BM30408" s="1025"/>
      <c r="BO30408" s="43"/>
    </row>
    <row r="30409" spans="65:67" ht="18.75" customHeight="1">
      <c r="BM30409" s="1025"/>
      <c r="BO30409" s="43"/>
    </row>
    <row r="30410" spans="65:67" ht="18.75" customHeight="1">
      <c r="BM30410" s="1025"/>
      <c r="BO30410" s="43"/>
    </row>
    <row r="30411" spans="65:67" ht="18.75" customHeight="1">
      <c r="BM30411" s="1025"/>
      <c r="BO30411" s="43"/>
    </row>
    <row r="30412" spans="65:67" ht="18.75" customHeight="1">
      <c r="BM30412" s="1025"/>
      <c r="BO30412" s="43"/>
    </row>
    <row r="30413" spans="65:67" ht="18.75" customHeight="1">
      <c r="BM30413" s="1025"/>
      <c r="BO30413" s="43"/>
    </row>
    <row r="30414" spans="65:67" ht="18.75" customHeight="1">
      <c r="BM30414" s="1025"/>
      <c r="BO30414" s="43"/>
    </row>
    <row r="30415" spans="65:67" ht="18.75" customHeight="1">
      <c r="BM30415" s="1025"/>
      <c r="BO30415" s="43"/>
    </row>
    <row r="30416" spans="65:67" ht="18.75" customHeight="1">
      <c r="BM30416" s="1025"/>
      <c r="BO30416" s="43"/>
    </row>
    <row r="30417" spans="65:67" ht="18.75" customHeight="1">
      <c r="BM30417" s="1025"/>
      <c r="BO30417" s="43"/>
    </row>
    <row r="30418" spans="65:67" ht="18.75" customHeight="1">
      <c r="BM30418" s="1025"/>
      <c r="BO30418" s="43"/>
    </row>
    <row r="30419" spans="65:67" ht="18.75" customHeight="1">
      <c r="BM30419" s="1025"/>
      <c r="BO30419" s="43"/>
    </row>
    <row r="30420" spans="65:67" ht="18.75" customHeight="1">
      <c r="BM30420" s="1025"/>
      <c r="BO30420" s="43"/>
    </row>
    <row r="30421" spans="65:67" ht="18.75" customHeight="1">
      <c r="BM30421" s="1025"/>
      <c r="BO30421" s="43"/>
    </row>
    <row r="30422" spans="65:67" ht="18.75" customHeight="1">
      <c r="BM30422" s="1025"/>
      <c r="BO30422" s="43"/>
    </row>
    <row r="30423" spans="65:67" ht="18.75" customHeight="1">
      <c r="BM30423" s="1025"/>
      <c r="BO30423" s="43"/>
    </row>
    <row r="30424" spans="65:67" ht="18.75" customHeight="1">
      <c r="BM30424" s="1025"/>
      <c r="BO30424" s="43"/>
    </row>
    <row r="30425" spans="65:67" ht="18.75" customHeight="1">
      <c r="BM30425" s="1025"/>
      <c r="BO30425" s="43"/>
    </row>
    <row r="30426" spans="65:67" ht="18.75" customHeight="1">
      <c r="BM30426" s="1025"/>
      <c r="BO30426" s="43"/>
    </row>
    <row r="30427" spans="65:67" ht="18.75" customHeight="1">
      <c r="BM30427" s="1025"/>
      <c r="BO30427" s="43"/>
    </row>
    <row r="30428" spans="65:67" ht="18.75" customHeight="1">
      <c r="BM30428" s="1025"/>
      <c r="BO30428" s="43"/>
    </row>
    <row r="30429" spans="65:67" ht="18.75" customHeight="1">
      <c r="BM30429" s="1025"/>
      <c r="BO30429" s="43"/>
    </row>
    <row r="30430" spans="65:67" ht="18.75" customHeight="1">
      <c r="BM30430" s="1025"/>
      <c r="BO30430" s="43"/>
    </row>
    <row r="30431" spans="65:67" ht="18.75" customHeight="1">
      <c r="BM30431" s="1025"/>
      <c r="BO30431" s="43"/>
    </row>
    <row r="30432" spans="65:67" ht="18.75" customHeight="1">
      <c r="BM30432" s="1025"/>
      <c r="BO30432" s="43"/>
    </row>
    <row r="30433" spans="65:67" ht="18.75" customHeight="1">
      <c r="BM30433" s="1025"/>
      <c r="BO30433" s="43"/>
    </row>
    <row r="30434" spans="65:67" ht="18.75" customHeight="1">
      <c r="BM30434" s="1025"/>
      <c r="BO30434" s="43"/>
    </row>
    <row r="30435" spans="65:67" ht="18.75" customHeight="1">
      <c r="BM30435" s="1025"/>
      <c r="BO30435" s="43"/>
    </row>
    <row r="30436" spans="65:67" ht="18.75" customHeight="1">
      <c r="BM30436" s="1025"/>
      <c r="BO30436" s="43"/>
    </row>
    <row r="30437" spans="65:67" ht="18.75" customHeight="1">
      <c r="BM30437" s="1025"/>
      <c r="BO30437" s="43"/>
    </row>
    <row r="30438" spans="65:67" ht="18.75" customHeight="1">
      <c r="BM30438" s="1025"/>
      <c r="BO30438" s="43"/>
    </row>
    <row r="30439" spans="65:67" ht="18.75" customHeight="1">
      <c r="BM30439" s="1025"/>
      <c r="BO30439" s="43"/>
    </row>
    <row r="30440" spans="65:67" ht="18.75" customHeight="1">
      <c r="BM30440" s="1025"/>
      <c r="BO30440" s="43"/>
    </row>
    <row r="30441" spans="65:67" ht="18.75" customHeight="1">
      <c r="BM30441" s="1025"/>
      <c r="BO30441" s="43"/>
    </row>
    <row r="30442" spans="65:67" ht="18.75" customHeight="1">
      <c r="BM30442" s="1025"/>
      <c r="BO30442" s="43"/>
    </row>
    <row r="30443" spans="65:67" ht="18.75" customHeight="1">
      <c r="BM30443" s="1025"/>
      <c r="BO30443" s="43"/>
    </row>
    <row r="30444" spans="65:67" ht="18.75" customHeight="1">
      <c r="BM30444" s="1025"/>
      <c r="BO30444" s="43"/>
    </row>
    <row r="30445" spans="65:67" ht="18.75" customHeight="1">
      <c r="BM30445" s="1025"/>
      <c r="BO30445" s="43"/>
    </row>
    <row r="30446" spans="65:67" ht="18.75" customHeight="1">
      <c r="BM30446" s="1025"/>
      <c r="BO30446" s="43"/>
    </row>
    <row r="30447" spans="65:67" ht="18.75" customHeight="1">
      <c r="BM30447" s="1025"/>
      <c r="BO30447" s="43"/>
    </row>
    <row r="30448" spans="65:67" ht="18.75" customHeight="1">
      <c r="BM30448" s="1025"/>
      <c r="BO30448" s="43"/>
    </row>
    <row r="30449" spans="65:67" ht="18.75" customHeight="1">
      <c r="BM30449" s="1025"/>
      <c r="BO30449" s="43"/>
    </row>
    <row r="30450" spans="65:67" ht="18.75" customHeight="1">
      <c r="BM30450" s="1025"/>
      <c r="BO30450" s="43"/>
    </row>
    <row r="30451" spans="65:67" ht="18.75" customHeight="1">
      <c r="BM30451" s="1025"/>
      <c r="BO30451" s="43"/>
    </row>
    <row r="30452" spans="65:67" ht="18.75" customHeight="1">
      <c r="BM30452" s="1025"/>
      <c r="BO30452" s="43"/>
    </row>
    <row r="30453" spans="65:67" ht="18.75" customHeight="1">
      <c r="BM30453" s="1025"/>
      <c r="BO30453" s="43"/>
    </row>
    <row r="30454" spans="65:67" ht="18.75" customHeight="1">
      <c r="BM30454" s="1025"/>
      <c r="BO30454" s="43"/>
    </row>
    <row r="30455" spans="65:67" ht="18.75" customHeight="1">
      <c r="BM30455" s="1025"/>
      <c r="BO30455" s="43"/>
    </row>
    <row r="30456" spans="65:67" ht="18.75" customHeight="1">
      <c r="BM30456" s="1025"/>
      <c r="BO30456" s="43"/>
    </row>
    <row r="30457" spans="65:67" ht="18.75" customHeight="1">
      <c r="BM30457" s="1025"/>
      <c r="BO30457" s="43"/>
    </row>
    <row r="30458" spans="65:67" ht="18.75" customHeight="1">
      <c r="BM30458" s="1025"/>
      <c r="BO30458" s="43"/>
    </row>
    <row r="30459" spans="65:67" ht="18.75" customHeight="1">
      <c r="BM30459" s="1025"/>
      <c r="BO30459" s="43"/>
    </row>
    <row r="30460" spans="65:67" ht="18.75" customHeight="1">
      <c r="BM30460" s="1025"/>
      <c r="BO30460" s="43"/>
    </row>
    <row r="30461" spans="65:67" ht="18.75" customHeight="1">
      <c r="BM30461" s="1025"/>
      <c r="BO30461" s="43"/>
    </row>
    <row r="30462" spans="65:67" ht="18.75" customHeight="1">
      <c r="BM30462" s="1025"/>
      <c r="BO30462" s="43"/>
    </row>
    <row r="30463" spans="65:67" ht="18.75" customHeight="1">
      <c r="BM30463" s="1025"/>
      <c r="BO30463" s="43"/>
    </row>
    <row r="30464" spans="65:67" ht="18.75" customHeight="1">
      <c r="BM30464" s="1025"/>
      <c r="BO30464" s="43"/>
    </row>
    <row r="30465" spans="65:67" ht="18.75" customHeight="1">
      <c r="BM30465" s="1025"/>
      <c r="BO30465" s="43"/>
    </row>
    <row r="30466" spans="65:67" ht="18.75" customHeight="1">
      <c r="BM30466" s="1025"/>
      <c r="BO30466" s="43"/>
    </row>
    <row r="30467" spans="65:67" ht="18.75" customHeight="1">
      <c r="BM30467" s="1025"/>
      <c r="BO30467" s="43"/>
    </row>
    <row r="30468" spans="65:67" ht="18.75" customHeight="1">
      <c r="BM30468" s="1025"/>
      <c r="BO30468" s="43"/>
    </row>
    <row r="30469" spans="65:67" ht="18.75" customHeight="1">
      <c r="BM30469" s="1025"/>
      <c r="BO30469" s="43"/>
    </row>
    <row r="30470" spans="65:67" ht="18.75" customHeight="1">
      <c r="BM30470" s="1025"/>
      <c r="BO30470" s="43"/>
    </row>
    <row r="30471" spans="65:67" ht="18.75" customHeight="1">
      <c r="BM30471" s="1025"/>
      <c r="BO30471" s="43"/>
    </row>
    <row r="30472" spans="65:67" ht="18.75" customHeight="1">
      <c r="BM30472" s="1025"/>
      <c r="BO30472" s="43"/>
    </row>
    <row r="30473" spans="65:67" ht="18.75" customHeight="1">
      <c r="BM30473" s="1025"/>
      <c r="BO30473" s="43"/>
    </row>
    <row r="30474" spans="65:67" ht="18.75" customHeight="1">
      <c r="BM30474" s="1025"/>
      <c r="BO30474" s="43"/>
    </row>
    <row r="30475" spans="65:67" ht="18.75" customHeight="1">
      <c r="BM30475" s="1025"/>
      <c r="BO30475" s="43"/>
    </row>
    <row r="30476" spans="65:67" ht="18.75" customHeight="1">
      <c r="BM30476" s="1025"/>
      <c r="BO30476" s="43"/>
    </row>
    <row r="30477" spans="65:67" ht="18.75" customHeight="1">
      <c r="BM30477" s="1025"/>
      <c r="BO30477" s="43"/>
    </row>
    <row r="30478" spans="65:67" ht="18.75" customHeight="1">
      <c r="BM30478" s="1025"/>
      <c r="BO30478" s="43"/>
    </row>
    <row r="30479" spans="65:67" ht="18.75" customHeight="1">
      <c r="BM30479" s="1025"/>
      <c r="BO30479" s="43"/>
    </row>
    <row r="30480" spans="65:67" ht="18.75" customHeight="1">
      <c r="BM30480" s="1025"/>
      <c r="BO30480" s="43"/>
    </row>
    <row r="30481" spans="65:67" ht="18.75" customHeight="1">
      <c r="BM30481" s="1025"/>
      <c r="BO30481" s="43"/>
    </row>
    <row r="30482" spans="65:67" ht="18.75" customHeight="1">
      <c r="BM30482" s="1025"/>
      <c r="BO30482" s="43"/>
    </row>
    <row r="30483" spans="65:67" ht="18.75" customHeight="1">
      <c r="BM30483" s="1025"/>
      <c r="BO30483" s="43"/>
    </row>
    <row r="30484" spans="65:67" ht="18.75" customHeight="1">
      <c r="BM30484" s="1025"/>
      <c r="BO30484" s="43"/>
    </row>
    <row r="30485" spans="65:67" ht="18.75" customHeight="1">
      <c r="BM30485" s="1025"/>
      <c r="BO30485" s="43"/>
    </row>
    <row r="30486" spans="65:67" ht="18.75" customHeight="1">
      <c r="BM30486" s="1025"/>
      <c r="BO30486" s="43"/>
    </row>
    <row r="30487" spans="65:67" ht="18.75" customHeight="1">
      <c r="BM30487" s="1025"/>
      <c r="BO30487" s="43"/>
    </row>
    <row r="30488" spans="65:67" ht="18.75" customHeight="1">
      <c r="BM30488" s="1025"/>
      <c r="BO30488" s="43"/>
    </row>
    <row r="30489" spans="65:67" ht="18.75" customHeight="1">
      <c r="BM30489" s="1025"/>
      <c r="BO30489" s="43"/>
    </row>
    <row r="30490" spans="65:67" ht="18.75" customHeight="1">
      <c r="BM30490" s="1025"/>
      <c r="BO30490" s="43"/>
    </row>
    <row r="30491" spans="65:67" ht="18.75" customHeight="1">
      <c r="BM30491" s="1025"/>
      <c r="BO30491" s="43"/>
    </row>
    <row r="30492" spans="65:67" ht="18.75" customHeight="1">
      <c r="BM30492" s="1025"/>
      <c r="BO30492" s="43"/>
    </row>
    <row r="30493" spans="65:67" ht="18.75" customHeight="1">
      <c r="BM30493" s="1025"/>
      <c r="BO30493" s="43"/>
    </row>
    <row r="30494" spans="65:67" ht="18.75" customHeight="1">
      <c r="BM30494" s="1025"/>
      <c r="BO30494" s="43"/>
    </row>
    <row r="30495" spans="65:67" ht="18.75" customHeight="1">
      <c r="BM30495" s="1025"/>
      <c r="BO30495" s="43"/>
    </row>
    <row r="30496" spans="65:67" ht="18.75" customHeight="1">
      <c r="BM30496" s="1025"/>
      <c r="BO30496" s="43"/>
    </row>
    <row r="30497" spans="65:67" ht="18.75" customHeight="1">
      <c r="BM30497" s="1025"/>
      <c r="BO30497" s="43"/>
    </row>
    <row r="30498" spans="65:67" ht="18.75" customHeight="1">
      <c r="BM30498" s="1025"/>
      <c r="BO30498" s="43"/>
    </row>
    <row r="30499" spans="65:67" ht="18.75" customHeight="1">
      <c r="BM30499" s="1025"/>
      <c r="BO30499" s="43"/>
    </row>
    <row r="30500" spans="65:67" ht="18.75" customHeight="1">
      <c r="BM30500" s="1025"/>
      <c r="BO30500" s="43"/>
    </row>
    <row r="30501" spans="65:67" ht="18.75" customHeight="1">
      <c r="BM30501" s="1025"/>
      <c r="BO30501" s="43"/>
    </row>
    <row r="30502" spans="65:67" ht="18.75" customHeight="1">
      <c r="BM30502" s="1025"/>
      <c r="BO30502" s="43"/>
    </row>
    <row r="30503" spans="65:67" ht="18.75" customHeight="1">
      <c r="BM30503" s="1025"/>
      <c r="BO30503" s="43"/>
    </row>
    <row r="30504" spans="65:67" ht="18.75" customHeight="1">
      <c r="BM30504" s="1025"/>
      <c r="BO30504" s="43"/>
    </row>
    <row r="30505" spans="65:67" ht="18.75" customHeight="1">
      <c r="BM30505" s="1025"/>
      <c r="BO30505" s="43"/>
    </row>
    <row r="30506" spans="65:67" ht="18.75" customHeight="1">
      <c r="BM30506" s="1025"/>
      <c r="BO30506" s="43"/>
    </row>
    <row r="30507" spans="65:67" ht="18.75" customHeight="1">
      <c r="BM30507" s="1025"/>
      <c r="BO30507" s="43"/>
    </row>
    <row r="30508" spans="65:67" ht="18.75" customHeight="1">
      <c r="BM30508" s="1025"/>
      <c r="BO30508" s="43"/>
    </row>
    <row r="30509" spans="65:67" ht="18.75" customHeight="1">
      <c r="BM30509" s="1025"/>
      <c r="BO30509" s="43"/>
    </row>
    <row r="30510" spans="65:67" ht="18.75" customHeight="1">
      <c r="BM30510" s="1025"/>
      <c r="BO30510" s="43"/>
    </row>
    <row r="30511" spans="65:67" ht="18.75" customHeight="1">
      <c r="BM30511" s="1025"/>
      <c r="BO30511" s="43"/>
    </row>
    <row r="30512" spans="65:67" ht="18.75" customHeight="1">
      <c r="BM30512" s="1025"/>
      <c r="BO30512" s="43"/>
    </row>
    <row r="30513" spans="65:67" ht="18.75" customHeight="1">
      <c r="BM30513" s="1025"/>
      <c r="BO30513" s="43"/>
    </row>
    <row r="30514" spans="65:67" ht="18.75" customHeight="1">
      <c r="BM30514" s="1025"/>
      <c r="BO30514" s="43"/>
    </row>
    <row r="30515" spans="65:67" ht="18.75" customHeight="1">
      <c r="BM30515" s="1025"/>
      <c r="BO30515" s="43"/>
    </row>
    <row r="30516" spans="65:67" ht="18.75" customHeight="1">
      <c r="BM30516" s="1025"/>
      <c r="BO30516" s="43"/>
    </row>
    <row r="30517" spans="65:67" ht="18.75" customHeight="1">
      <c r="BM30517" s="1025"/>
      <c r="BO30517" s="43"/>
    </row>
    <row r="30518" spans="65:67" ht="18.75" customHeight="1">
      <c r="BM30518" s="1025"/>
      <c r="BO30518" s="43"/>
    </row>
    <row r="30519" spans="65:67" ht="18.75" customHeight="1">
      <c r="BM30519" s="1025"/>
      <c r="BO30519" s="43"/>
    </row>
    <row r="30520" spans="65:67" ht="18.75" customHeight="1">
      <c r="BM30520" s="1025"/>
      <c r="BO30520" s="43"/>
    </row>
    <row r="30521" spans="65:67" ht="18.75" customHeight="1">
      <c r="BM30521" s="1025"/>
      <c r="BO30521" s="43"/>
    </row>
    <row r="30522" spans="65:67" ht="18.75" customHeight="1">
      <c r="BM30522" s="1025"/>
      <c r="BO30522" s="43"/>
    </row>
    <row r="30523" spans="65:67" ht="18.75" customHeight="1">
      <c r="BM30523" s="1025"/>
      <c r="BO30523" s="43"/>
    </row>
    <row r="30524" spans="65:67" ht="18.75" customHeight="1">
      <c r="BM30524" s="1025"/>
      <c r="BO30524" s="43"/>
    </row>
    <row r="30525" spans="65:67" ht="18.75" customHeight="1">
      <c r="BM30525" s="1025"/>
      <c r="BO30525" s="43"/>
    </row>
    <row r="30526" spans="65:67" ht="18.75" customHeight="1">
      <c r="BM30526" s="1025"/>
      <c r="BO30526" s="43"/>
    </row>
    <row r="30527" spans="65:67" ht="18.75" customHeight="1">
      <c r="BM30527" s="1025"/>
      <c r="BO30527" s="43"/>
    </row>
    <row r="30528" spans="65:67" ht="18.75" customHeight="1">
      <c r="BM30528" s="1025"/>
      <c r="BO30528" s="43"/>
    </row>
    <row r="30529" spans="65:67" ht="18.75" customHeight="1">
      <c r="BM30529" s="1025"/>
      <c r="BO30529" s="43"/>
    </row>
    <row r="30530" spans="65:67" ht="18.75" customHeight="1">
      <c r="BM30530" s="1025"/>
      <c r="BO30530" s="43"/>
    </row>
    <row r="30531" spans="65:67" ht="18.75" customHeight="1">
      <c r="BM30531" s="1025"/>
      <c r="BO30531" s="43"/>
    </row>
    <row r="30532" spans="65:67" ht="18.75" customHeight="1">
      <c r="BM30532" s="1025"/>
      <c r="BO30532" s="43"/>
    </row>
    <row r="30533" spans="65:67" ht="18.75" customHeight="1">
      <c r="BM30533" s="1025"/>
      <c r="BO30533" s="43"/>
    </row>
    <row r="30534" spans="65:67" ht="18.75" customHeight="1">
      <c r="BM30534" s="1025"/>
      <c r="BO30534" s="43"/>
    </row>
    <row r="30535" spans="65:67" ht="18.75" customHeight="1">
      <c r="BM30535" s="1025"/>
      <c r="BO30535" s="43"/>
    </row>
    <row r="30536" spans="65:67" ht="18.75" customHeight="1">
      <c r="BM30536" s="1025"/>
      <c r="BO30536" s="43"/>
    </row>
    <row r="30537" spans="65:67" ht="18.75" customHeight="1">
      <c r="BM30537" s="1025"/>
      <c r="BO30537" s="43"/>
    </row>
    <row r="30538" spans="65:67" ht="18.75" customHeight="1">
      <c r="BM30538" s="1025"/>
      <c r="BO30538" s="43"/>
    </row>
    <row r="30539" spans="65:67" ht="18.75" customHeight="1">
      <c r="BM30539" s="1025"/>
      <c r="BO30539" s="43"/>
    </row>
    <row r="30540" spans="65:67" ht="18.75" customHeight="1">
      <c r="BM30540" s="1025"/>
      <c r="BO30540" s="43"/>
    </row>
    <row r="30541" spans="65:67" ht="18.75" customHeight="1">
      <c r="BM30541" s="1025"/>
      <c r="BO30541" s="43"/>
    </row>
    <row r="30542" spans="65:67" ht="18.75" customHeight="1">
      <c r="BM30542" s="1025"/>
      <c r="BO30542" s="43"/>
    </row>
    <row r="30543" spans="65:67" ht="18.75" customHeight="1">
      <c r="BM30543" s="1025"/>
      <c r="BO30543" s="43"/>
    </row>
    <row r="30544" spans="65:67" ht="18.75" customHeight="1">
      <c r="BM30544" s="1025"/>
      <c r="BO30544" s="43"/>
    </row>
    <row r="30545" spans="65:67" ht="18.75" customHeight="1">
      <c r="BM30545" s="1025"/>
      <c r="BO30545" s="43"/>
    </row>
    <row r="30546" spans="65:67" ht="18.75" customHeight="1">
      <c r="BM30546" s="1025"/>
      <c r="BO30546" s="43"/>
    </row>
    <row r="30547" spans="65:67" ht="18.75" customHeight="1">
      <c r="BM30547" s="1025"/>
      <c r="BO30547" s="43"/>
    </row>
    <row r="30548" spans="65:67" ht="18.75" customHeight="1">
      <c r="BM30548" s="1025"/>
      <c r="BO30548" s="43"/>
    </row>
    <row r="30549" spans="65:67" ht="18.75" customHeight="1">
      <c r="BM30549" s="1025"/>
      <c r="BO30549" s="43"/>
    </row>
    <row r="30550" spans="65:67" ht="18.75" customHeight="1">
      <c r="BM30550" s="1025"/>
      <c r="BO30550" s="43"/>
    </row>
    <row r="30551" spans="65:67" ht="18.75" customHeight="1">
      <c r="BM30551" s="1025"/>
      <c r="BO30551" s="43"/>
    </row>
    <row r="30552" spans="65:67" ht="18.75" customHeight="1">
      <c r="BM30552" s="1025"/>
      <c r="BO30552" s="43"/>
    </row>
    <row r="30553" spans="65:67" ht="18.75" customHeight="1">
      <c r="BM30553" s="1025"/>
      <c r="BO30553" s="43"/>
    </row>
    <row r="30554" spans="65:67" ht="18.75" customHeight="1">
      <c r="BM30554" s="1025"/>
      <c r="BO30554" s="43"/>
    </row>
    <row r="30555" spans="65:67" ht="18.75" customHeight="1">
      <c r="BM30555" s="1025"/>
      <c r="BO30555" s="43"/>
    </row>
    <row r="30556" spans="65:67" ht="18.75" customHeight="1">
      <c r="BM30556" s="1025"/>
      <c r="BO30556" s="43"/>
    </row>
    <row r="30557" spans="65:67" ht="18.75" customHeight="1">
      <c r="BM30557" s="1025"/>
      <c r="BO30557" s="43"/>
    </row>
    <row r="30558" spans="65:67" ht="18.75" customHeight="1">
      <c r="BM30558" s="1025"/>
      <c r="BO30558" s="43"/>
    </row>
    <row r="30559" spans="65:67" ht="18.75" customHeight="1">
      <c r="BM30559" s="1025"/>
      <c r="BO30559" s="43"/>
    </row>
    <row r="30560" spans="65:67" ht="18.75" customHeight="1">
      <c r="BM30560" s="1025"/>
      <c r="BO30560" s="43"/>
    </row>
    <row r="30561" spans="65:67" ht="18.75" customHeight="1">
      <c r="BM30561" s="1025"/>
      <c r="BO30561" s="43"/>
    </row>
    <row r="30562" spans="65:67" ht="18.75" customHeight="1">
      <c r="BM30562" s="1025"/>
      <c r="BO30562" s="43"/>
    </row>
    <row r="30563" spans="65:67" ht="18.75" customHeight="1">
      <c r="BM30563" s="1025"/>
      <c r="BO30563" s="43"/>
    </row>
    <row r="30564" spans="65:67" ht="18.75" customHeight="1">
      <c r="BM30564" s="1025"/>
      <c r="BO30564" s="43"/>
    </row>
    <row r="30565" spans="65:67" ht="18.75" customHeight="1">
      <c r="BM30565" s="1025"/>
      <c r="BO30565" s="43"/>
    </row>
    <row r="30566" spans="65:67" ht="18.75" customHeight="1">
      <c r="BM30566" s="1025"/>
      <c r="BO30566" s="43"/>
    </row>
    <row r="30567" spans="65:67" ht="18.75" customHeight="1">
      <c r="BM30567" s="1025"/>
      <c r="BO30567" s="43"/>
    </row>
    <row r="30568" spans="65:67" ht="18.75" customHeight="1">
      <c r="BM30568" s="1025"/>
      <c r="BO30568" s="43"/>
    </row>
    <row r="30569" spans="65:67" ht="18.75" customHeight="1">
      <c r="BM30569" s="1025"/>
      <c r="BO30569" s="43"/>
    </row>
    <row r="30570" spans="65:67" ht="18.75" customHeight="1">
      <c r="BM30570" s="1025"/>
      <c r="BO30570" s="43"/>
    </row>
    <row r="30571" spans="65:67" ht="18.75" customHeight="1">
      <c r="BM30571" s="1025"/>
      <c r="BO30571" s="43"/>
    </row>
    <row r="30572" spans="65:67" ht="18.75" customHeight="1">
      <c r="BM30572" s="1025"/>
      <c r="BO30572" s="43"/>
    </row>
    <row r="30573" spans="65:67" ht="18.75" customHeight="1">
      <c r="BM30573" s="1025"/>
      <c r="BO30573" s="43"/>
    </row>
    <row r="30574" spans="65:67" ht="18.75" customHeight="1">
      <c r="BM30574" s="1025"/>
      <c r="BO30574" s="43"/>
    </row>
    <row r="30575" spans="65:67" ht="18.75" customHeight="1">
      <c r="BM30575" s="1025"/>
      <c r="BO30575" s="43"/>
    </row>
    <row r="30576" spans="65:67" ht="18.75" customHeight="1">
      <c r="BM30576" s="1025"/>
      <c r="BO30576" s="43"/>
    </row>
    <row r="30577" spans="65:67" ht="18.75" customHeight="1">
      <c r="BM30577" s="1025"/>
      <c r="BO30577" s="43"/>
    </row>
    <row r="30578" spans="65:67" ht="18.75" customHeight="1">
      <c r="BM30578" s="1025"/>
      <c r="BO30578" s="43"/>
    </row>
    <row r="30579" spans="65:67" ht="18.75" customHeight="1">
      <c r="BM30579" s="1025"/>
      <c r="BO30579" s="43"/>
    </row>
    <row r="30580" spans="65:67" ht="18.75" customHeight="1">
      <c r="BM30580" s="1025"/>
      <c r="BO30580" s="43"/>
    </row>
    <row r="30581" spans="65:67" ht="18.75" customHeight="1">
      <c r="BM30581" s="1025"/>
      <c r="BO30581" s="43"/>
    </row>
    <row r="30582" spans="65:67" ht="18.75" customHeight="1">
      <c r="BM30582" s="1025"/>
      <c r="BO30582" s="43"/>
    </row>
    <row r="30583" spans="65:67" ht="18.75" customHeight="1">
      <c r="BM30583" s="1025"/>
      <c r="BO30583" s="43"/>
    </row>
    <row r="30584" spans="65:67" ht="18.75" customHeight="1">
      <c r="BM30584" s="1025"/>
      <c r="BO30584" s="43"/>
    </row>
    <row r="30585" spans="65:67" ht="18.75" customHeight="1">
      <c r="BM30585" s="1025"/>
      <c r="BO30585" s="43"/>
    </row>
    <row r="30586" spans="65:67" ht="18.75" customHeight="1">
      <c r="BM30586" s="1025"/>
      <c r="BO30586" s="43"/>
    </row>
    <row r="30587" spans="65:67" ht="18.75" customHeight="1">
      <c r="BM30587" s="1025"/>
      <c r="BO30587" s="43"/>
    </row>
    <row r="30588" spans="65:67" ht="18.75" customHeight="1">
      <c r="BM30588" s="1025"/>
      <c r="BO30588" s="43"/>
    </row>
    <row r="30589" spans="65:67" ht="18.75" customHeight="1">
      <c r="BM30589" s="1025"/>
      <c r="BO30589" s="43"/>
    </row>
    <row r="30590" spans="65:67" ht="18.75" customHeight="1">
      <c r="BM30590" s="1025"/>
      <c r="BO30590" s="43"/>
    </row>
    <row r="30591" spans="65:67" ht="18.75" customHeight="1">
      <c r="BM30591" s="1025"/>
      <c r="BO30591" s="43"/>
    </row>
    <row r="30592" spans="65:67" ht="18.75" customHeight="1">
      <c r="BM30592" s="1025"/>
      <c r="BO30592" s="43"/>
    </row>
    <row r="30593" spans="65:67" ht="18.75" customHeight="1">
      <c r="BM30593" s="1025"/>
      <c r="BO30593" s="43"/>
    </row>
    <row r="30594" spans="65:67" ht="18.75" customHeight="1">
      <c r="BM30594" s="1025"/>
      <c r="BO30594" s="43"/>
    </row>
    <row r="30595" spans="65:67" ht="18.75" customHeight="1">
      <c r="BM30595" s="1025"/>
      <c r="BO30595" s="43"/>
    </row>
    <row r="30596" spans="65:67" ht="18.75" customHeight="1">
      <c r="BM30596" s="1025"/>
      <c r="BO30596" s="43"/>
    </row>
    <row r="30597" spans="65:67" ht="18.75" customHeight="1">
      <c r="BM30597" s="1025"/>
      <c r="BO30597" s="43"/>
    </row>
    <row r="30598" spans="65:67" ht="18.75" customHeight="1">
      <c r="BM30598" s="1025"/>
      <c r="BO30598" s="43"/>
    </row>
    <row r="30599" spans="65:67" ht="18.75" customHeight="1">
      <c r="BM30599" s="1025"/>
      <c r="BO30599" s="43"/>
    </row>
    <row r="30600" spans="65:67" ht="18.75" customHeight="1">
      <c r="BM30600" s="1025"/>
      <c r="BO30600" s="43"/>
    </row>
    <row r="30601" spans="65:67" ht="18.75" customHeight="1">
      <c r="BM30601" s="1025"/>
      <c r="BO30601" s="43"/>
    </row>
    <row r="30602" spans="65:67" ht="18.75" customHeight="1">
      <c r="BM30602" s="1025"/>
      <c r="BO30602" s="43"/>
    </row>
    <row r="30603" spans="65:67" ht="18.75" customHeight="1">
      <c r="BM30603" s="1025"/>
      <c r="BO30603" s="43"/>
    </row>
    <row r="30604" spans="65:67" ht="18.75" customHeight="1">
      <c r="BM30604" s="1025"/>
      <c r="BO30604" s="43"/>
    </row>
    <row r="30605" spans="65:67" ht="18.75" customHeight="1">
      <c r="BM30605" s="1025"/>
      <c r="BO30605" s="43"/>
    </row>
    <row r="30606" spans="65:67" ht="18.75" customHeight="1">
      <c r="BM30606" s="1025"/>
      <c r="BO30606" s="43"/>
    </row>
    <row r="30607" spans="65:67" ht="18.75" customHeight="1">
      <c r="BM30607" s="1025"/>
      <c r="BO30607" s="43"/>
    </row>
    <row r="30608" spans="65:67" ht="18.75" customHeight="1">
      <c r="BM30608" s="1025"/>
      <c r="BO30608" s="43"/>
    </row>
    <row r="30609" spans="65:67" ht="18.75" customHeight="1">
      <c r="BM30609" s="1025"/>
      <c r="BO30609" s="43"/>
    </row>
    <row r="30610" spans="65:67" ht="18.75" customHeight="1">
      <c r="BM30610" s="1025"/>
      <c r="BO30610" s="43"/>
    </row>
    <row r="30611" spans="65:67" ht="18.75" customHeight="1">
      <c r="BM30611" s="1025"/>
      <c r="BO30611" s="43"/>
    </row>
    <row r="30612" spans="65:67" ht="18.75" customHeight="1">
      <c r="BM30612" s="1025"/>
      <c r="BO30612" s="43"/>
    </row>
    <row r="30613" spans="65:67" ht="18.75" customHeight="1">
      <c r="BM30613" s="1025"/>
      <c r="BO30613" s="43"/>
    </row>
    <row r="30614" spans="65:67" ht="18.75" customHeight="1">
      <c r="BM30614" s="1025"/>
      <c r="BO30614" s="43"/>
    </row>
    <row r="30615" spans="65:67" ht="18.75" customHeight="1">
      <c r="BM30615" s="1025"/>
      <c r="BO30615" s="43"/>
    </row>
    <row r="30616" spans="65:67" ht="18.75" customHeight="1">
      <c r="BM30616" s="1025"/>
      <c r="BO30616" s="43"/>
    </row>
    <row r="30617" spans="65:67" ht="18.75" customHeight="1">
      <c r="BM30617" s="1025"/>
      <c r="BO30617" s="43"/>
    </row>
    <row r="30618" spans="65:67" ht="18.75" customHeight="1">
      <c r="BM30618" s="1025"/>
      <c r="BO30618" s="43"/>
    </row>
    <row r="30619" spans="65:67" ht="18.75" customHeight="1">
      <c r="BM30619" s="1025"/>
      <c r="BO30619" s="43"/>
    </row>
    <row r="30620" spans="65:67" ht="18.75" customHeight="1">
      <c r="BM30620" s="1025"/>
      <c r="BO30620" s="43"/>
    </row>
    <row r="30621" spans="65:67" ht="18.75" customHeight="1">
      <c r="BM30621" s="1025"/>
      <c r="BO30621" s="43"/>
    </row>
    <row r="30622" spans="65:67" ht="18.75" customHeight="1">
      <c r="BM30622" s="1025"/>
      <c r="BO30622" s="43"/>
    </row>
    <row r="30623" spans="65:67" ht="18.75" customHeight="1">
      <c r="BM30623" s="1025"/>
      <c r="BO30623" s="43"/>
    </row>
    <row r="30624" spans="65:67" ht="18.75" customHeight="1">
      <c r="BM30624" s="1025"/>
      <c r="BO30624" s="43"/>
    </row>
    <row r="30625" spans="65:67" ht="18.75" customHeight="1">
      <c r="BM30625" s="1025"/>
      <c r="BO30625" s="43"/>
    </row>
    <row r="30626" spans="65:67" ht="18.75" customHeight="1">
      <c r="BM30626" s="1025"/>
      <c r="BO30626" s="43"/>
    </row>
    <row r="30627" spans="65:67" ht="18.75" customHeight="1">
      <c r="BM30627" s="1025"/>
      <c r="BO30627" s="43"/>
    </row>
    <row r="30628" spans="65:67" ht="18.75" customHeight="1">
      <c r="BM30628" s="1025"/>
      <c r="BO30628" s="43"/>
    </row>
    <row r="30629" spans="65:67" ht="18.75" customHeight="1">
      <c r="BM30629" s="1025"/>
      <c r="BO30629" s="43"/>
    </row>
    <row r="30630" spans="65:67" ht="18.75" customHeight="1">
      <c r="BM30630" s="1025"/>
      <c r="BO30630" s="43"/>
    </row>
    <row r="30631" spans="65:67" ht="18.75" customHeight="1">
      <c r="BM30631" s="1025"/>
      <c r="BO30631" s="43"/>
    </row>
    <row r="30632" spans="65:67" ht="18.75" customHeight="1">
      <c r="BM30632" s="1025"/>
      <c r="BO30632" s="43"/>
    </row>
    <row r="30633" spans="65:67" ht="18.75" customHeight="1">
      <c r="BM30633" s="1025"/>
      <c r="BO30633" s="43"/>
    </row>
    <row r="30634" spans="65:67" ht="18.75" customHeight="1">
      <c r="BM30634" s="1025"/>
      <c r="BO30634" s="43"/>
    </row>
    <row r="30635" spans="65:67" ht="18.75" customHeight="1">
      <c r="BM30635" s="1025"/>
      <c r="BO30635" s="43"/>
    </row>
    <row r="30636" spans="65:67" ht="18.75" customHeight="1">
      <c r="BM30636" s="1025"/>
      <c r="BO30636" s="43"/>
    </row>
    <row r="30637" spans="65:67" ht="18.75" customHeight="1">
      <c r="BM30637" s="1025"/>
      <c r="BO30637" s="43"/>
    </row>
    <row r="30638" spans="65:67" ht="18.75" customHeight="1">
      <c r="BM30638" s="1025"/>
      <c r="BO30638" s="43"/>
    </row>
    <row r="30639" spans="65:67" ht="18.75" customHeight="1">
      <c r="BM30639" s="1025"/>
      <c r="BO30639" s="43"/>
    </row>
    <row r="30640" spans="65:67" ht="18.75" customHeight="1">
      <c r="BM30640" s="1025"/>
      <c r="BO30640" s="43"/>
    </row>
    <row r="30641" spans="65:67" ht="18.75" customHeight="1">
      <c r="BM30641" s="1025"/>
      <c r="BO30641" s="43"/>
    </row>
    <row r="30642" spans="65:67" ht="18.75" customHeight="1">
      <c r="BM30642" s="1025"/>
      <c r="BO30642" s="43"/>
    </row>
    <row r="30643" spans="65:67" ht="18.75" customHeight="1">
      <c r="BM30643" s="1025"/>
      <c r="BO30643" s="43"/>
    </row>
    <row r="30644" spans="65:67" ht="18.75" customHeight="1">
      <c r="BM30644" s="1025"/>
      <c r="BO30644" s="43"/>
    </row>
    <row r="30645" spans="65:67" ht="18.75" customHeight="1">
      <c r="BM30645" s="1025"/>
      <c r="BO30645" s="43"/>
    </row>
    <row r="30646" spans="65:67" ht="18.75" customHeight="1">
      <c r="BM30646" s="1025"/>
      <c r="BO30646" s="43"/>
    </row>
    <row r="30647" spans="65:67" ht="18.75" customHeight="1">
      <c r="BM30647" s="1025"/>
      <c r="BO30647" s="43"/>
    </row>
    <row r="30648" spans="65:67" ht="18.75" customHeight="1">
      <c r="BM30648" s="1025"/>
      <c r="BO30648" s="43"/>
    </row>
    <row r="30649" spans="65:67" ht="18.75" customHeight="1">
      <c r="BM30649" s="1025"/>
      <c r="BO30649" s="43"/>
    </row>
    <row r="30650" spans="65:67" ht="18.75" customHeight="1">
      <c r="BM30650" s="1025"/>
      <c r="BO30650" s="43"/>
    </row>
    <row r="30651" spans="65:67" ht="18.75" customHeight="1">
      <c r="BM30651" s="1025"/>
      <c r="BO30651" s="43"/>
    </row>
    <row r="30652" spans="65:67" ht="18.75" customHeight="1">
      <c r="BM30652" s="1025"/>
      <c r="BO30652" s="43"/>
    </row>
    <row r="30653" spans="65:67" ht="18.75" customHeight="1">
      <c r="BM30653" s="1025"/>
      <c r="BO30653" s="43"/>
    </row>
    <row r="30654" spans="65:67" ht="18.75" customHeight="1">
      <c r="BM30654" s="1025"/>
      <c r="BO30654" s="43"/>
    </row>
    <row r="30655" spans="65:67" ht="18.75" customHeight="1">
      <c r="BM30655" s="1025"/>
      <c r="BO30655" s="43"/>
    </row>
    <row r="30656" spans="65:67" ht="18.75" customHeight="1">
      <c r="BM30656" s="1025"/>
      <c r="BO30656" s="43"/>
    </row>
    <row r="30657" spans="65:67" ht="18.75" customHeight="1">
      <c r="BM30657" s="1025"/>
      <c r="BO30657" s="43"/>
    </row>
    <row r="30658" spans="65:67" ht="18.75" customHeight="1">
      <c r="BM30658" s="1025"/>
      <c r="BO30658" s="43"/>
    </row>
    <row r="30659" spans="65:67" ht="18.75" customHeight="1">
      <c r="BM30659" s="1025"/>
      <c r="BO30659" s="43"/>
    </row>
    <row r="30660" spans="65:67" ht="18.75" customHeight="1">
      <c r="BM30660" s="1025"/>
      <c r="BO30660" s="43"/>
    </row>
    <row r="30661" spans="65:67" ht="18.75" customHeight="1">
      <c r="BM30661" s="1025"/>
      <c r="BO30661" s="43"/>
    </row>
    <row r="30662" spans="65:67" ht="18.75" customHeight="1">
      <c r="BM30662" s="1025"/>
      <c r="BO30662" s="43"/>
    </row>
    <row r="30663" spans="65:67" ht="18.75" customHeight="1">
      <c r="BM30663" s="1025"/>
      <c r="BO30663" s="43"/>
    </row>
    <row r="30664" spans="65:67" ht="18.75" customHeight="1">
      <c r="BM30664" s="1025"/>
      <c r="BO30664" s="43"/>
    </row>
    <row r="30665" spans="65:67" ht="18.75" customHeight="1">
      <c r="BM30665" s="1025"/>
      <c r="BO30665" s="43"/>
    </row>
    <row r="30666" spans="65:67" ht="18.75" customHeight="1">
      <c r="BM30666" s="1025"/>
      <c r="BO30666" s="43"/>
    </row>
    <row r="30667" spans="65:67" ht="18.75" customHeight="1">
      <c r="BM30667" s="1025"/>
      <c r="BO30667" s="43"/>
    </row>
    <row r="30668" spans="65:67" ht="18.75" customHeight="1">
      <c r="BM30668" s="1025"/>
      <c r="BO30668" s="43"/>
    </row>
    <row r="30669" spans="65:67" ht="18.75" customHeight="1">
      <c r="BM30669" s="1025"/>
      <c r="BO30669" s="43"/>
    </row>
    <row r="30670" spans="65:67" ht="18.75" customHeight="1">
      <c r="BM30670" s="1025"/>
      <c r="BO30670" s="43"/>
    </row>
    <row r="30671" spans="65:67" ht="18.75" customHeight="1">
      <c r="BM30671" s="1025"/>
      <c r="BO30671" s="43"/>
    </row>
    <row r="30672" spans="65:67" ht="18.75" customHeight="1">
      <c r="BM30672" s="1025"/>
      <c r="BO30672" s="43"/>
    </row>
    <row r="30673" spans="65:67" ht="18.75" customHeight="1">
      <c r="BM30673" s="1025"/>
      <c r="BO30673" s="43"/>
    </row>
    <row r="30674" spans="65:67" ht="18.75" customHeight="1">
      <c r="BM30674" s="1025"/>
      <c r="BO30674" s="43"/>
    </row>
    <row r="30675" spans="65:67" ht="18.75" customHeight="1">
      <c r="BM30675" s="1025"/>
      <c r="BO30675" s="43"/>
    </row>
    <row r="30676" spans="65:67" ht="18.75" customHeight="1">
      <c r="BM30676" s="1025"/>
      <c r="BO30676" s="43"/>
    </row>
    <row r="30677" spans="65:67" ht="18.75" customHeight="1">
      <c r="BM30677" s="1025"/>
      <c r="BO30677" s="43"/>
    </row>
    <row r="30678" spans="65:67" ht="18.75" customHeight="1">
      <c r="BM30678" s="1025"/>
      <c r="BO30678" s="43"/>
    </row>
    <row r="30679" spans="65:67" ht="18.75" customHeight="1">
      <c r="BM30679" s="1025"/>
      <c r="BO30679" s="43"/>
    </row>
    <row r="30680" spans="65:67" ht="18.75" customHeight="1">
      <c r="BM30680" s="1025"/>
      <c r="BO30680" s="43"/>
    </row>
    <row r="30681" spans="65:67" ht="18.75" customHeight="1">
      <c r="BM30681" s="1025"/>
      <c r="BO30681" s="43"/>
    </row>
    <row r="30682" spans="65:67" ht="18.75" customHeight="1">
      <c r="BM30682" s="1025"/>
      <c r="BO30682" s="43"/>
    </row>
    <row r="30683" spans="65:67" ht="18.75" customHeight="1">
      <c r="BM30683" s="1025"/>
      <c r="BO30683" s="43"/>
    </row>
    <row r="30684" spans="65:67" ht="18.75" customHeight="1">
      <c r="BM30684" s="1025"/>
      <c r="BO30684" s="43"/>
    </row>
    <row r="30685" spans="65:67" ht="18.75" customHeight="1">
      <c r="BM30685" s="1025"/>
      <c r="BO30685" s="43"/>
    </row>
    <row r="30686" spans="65:67" ht="18.75" customHeight="1">
      <c r="BM30686" s="1025"/>
      <c r="BO30686" s="43"/>
    </row>
    <row r="30687" spans="65:67" ht="18.75" customHeight="1">
      <c r="BM30687" s="1025"/>
      <c r="BO30687" s="43"/>
    </row>
    <row r="30688" spans="65:67" ht="18.75" customHeight="1">
      <c r="BM30688" s="1025"/>
      <c r="BO30688" s="43"/>
    </row>
    <row r="30689" spans="65:67" ht="18.75" customHeight="1">
      <c r="BM30689" s="1025"/>
      <c r="BO30689" s="43"/>
    </row>
    <row r="30690" spans="65:67" ht="18.75" customHeight="1">
      <c r="BM30690" s="1025"/>
      <c r="BO30690" s="43"/>
    </row>
    <row r="30691" spans="65:67" ht="18.75" customHeight="1">
      <c r="BM30691" s="1025"/>
      <c r="BO30691" s="43"/>
    </row>
    <row r="30692" spans="65:67" ht="18.75" customHeight="1">
      <c r="BM30692" s="1025"/>
      <c r="BO30692" s="43"/>
    </row>
    <row r="30693" spans="65:67" ht="18.75" customHeight="1">
      <c r="BM30693" s="1025"/>
      <c r="BO30693" s="43"/>
    </row>
    <row r="30694" spans="65:67" ht="18.75" customHeight="1">
      <c r="BM30694" s="1025"/>
      <c r="BO30694" s="43"/>
    </row>
    <row r="30695" spans="65:67" ht="18.75" customHeight="1">
      <c r="BM30695" s="1025"/>
      <c r="BO30695" s="43"/>
    </row>
    <row r="30696" spans="65:67" ht="18.75" customHeight="1">
      <c r="BM30696" s="1025"/>
      <c r="BO30696" s="43"/>
    </row>
    <row r="30697" spans="65:67" ht="18.75" customHeight="1">
      <c r="BM30697" s="1025"/>
      <c r="BO30697" s="43"/>
    </row>
    <row r="30698" spans="65:67" ht="18.75" customHeight="1">
      <c r="BM30698" s="1025"/>
      <c r="BO30698" s="43"/>
    </row>
    <row r="30699" spans="65:67" ht="18.75" customHeight="1">
      <c r="BM30699" s="1025"/>
      <c r="BO30699" s="43"/>
    </row>
    <row r="30700" spans="65:67" ht="18.75" customHeight="1">
      <c r="BM30700" s="1025"/>
      <c r="BO30700" s="43"/>
    </row>
    <row r="30701" spans="65:67" ht="18.75" customHeight="1">
      <c r="BM30701" s="1025"/>
      <c r="BO30701" s="43"/>
    </row>
    <row r="30702" spans="65:67" ht="18.75" customHeight="1">
      <c r="BM30702" s="1025"/>
      <c r="BO30702" s="43"/>
    </row>
    <row r="30703" spans="65:67" ht="18.75" customHeight="1">
      <c r="BM30703" s="1025"/>
      <c r="BO30703" s="43"/>
    </row>
    <row r="30704" spans="65:67" ht="18.75" customHeight="1">
      <c r="BM30704" s="1025"/>
      <c r="BO30704" s="43"/>
    </row>
    <row r="30705" spans="65:67" ht="18.75" customHeight="1">
      <c r="BM30705" s="1025"/>
      <c r="BO30705" s="43"/>
    </row>
    <row r="30706" spans="65:67" ht="18.75" customHeight="1">
      <c r="BM30706" s="1025"/>
      <c r="BO30706" s="43"/>
    </row>
    <row r="30707" spans="65:67" ht="18.75" customHeight="1">
      <c r="BM30707" s="1025"/>
      <c r="BO30707" s="43"/>
    </row>
    <row r="30708" spans="65:67" ht="18.75" customHeight="1">
      <c r="BM30708" s="1025"/>
      <c r="BO30708" s="43"/>
    </row>
    <row r="30709" spans="65:67" ht="18.75" customHeight="1">
      <c r="BM30709" s="1025"/>
      <c r="BO30709" s="43"/>
    </row>
    <row r="30710" spans="65:67" ht="18.75" customHeight="1">
      <c r="BM30710" s="1025"/>
      <c r="BO30710" s="43"/>
    </row>
    <row r="30711" spans="65:67" ht="18.75" customHeight="1">
      <c r="BM30711" s="1025"/>
      <c r="BO30711" s="43"/>
    </row>
    <row r="30712" spans="65:67" ht="18.75" customHeight="1">
      <c r="BM30712" s="1025"/>
      <c r="BO30712" s="43"/>
    </row>
    <row r="30713" spans="65:67" ht="18.75" customHeight="1">
      <c r="BM30713" s="1025"/>
      <c r="BO30713" s="43"/>
    </row>
    <row r="30714" spans="65:67" ht="18.75" customHeight="1">
      <c r="BM30714" s="1025"/>
      <c r="BO30714" s="43"/>
    </row>
    <row r="30715" spans="65:67" ht="18.75" customHeight="1">
      <c r="BM30715" s="1025"/>
      <c r="BO30715" s="43"/>
    </row>
    <row r="30716" spans="65:67" ht="18.75" customHeight="1">
      <c r="BM30716" s="1025"/>
      <c r="BO30716" s="43"/>
    </row>
    <row r="30717" spans="65:67" ht="18.75" customHeight="1">
      <c r="BM30717" s="1025"/>
      <c r="BO30717" s="43"/>
    </row>
    <row r="30718" spans="65:67" ht="18.75" customHeight="1">
      <c r="BM30718" s="1025"/>
      <c r="BO30718" s="43"/>
    </row>
    <row r="30719" spans="65:67" ht="18.75" customHeight="1">
      <c r="BM30719" s="1025"/>
      <c r="BO30719" s="43"/>
    </row>
    <row r="30720" spans="65:67" ht="18.75" customHeight="1">
      <c r="BM30720" s="1025"/>
      <c r="BO30720" s="43"/>
    </row>
    <row r="30721" spans="65:67" ht="18.75" customHeight="1">
      <c r="BM30721" s="1025"/>
      <c r="BO30721" s="43"/>
    </row>
    <row r="30722" spans="65:67" ht="18.75" customHeight="1">
      <c r="BM30722" s="1025"/>
      <c r="BO30722" s="43"/>
    </row>
    <row r="30723" spans="65:67" ht="18.75" customHeight="1">
      <c r="BM30723" s="1025"/>
      <c r="BO30723" s="43"/>
    </row>
    <row r="30724" spans="65:67" ht="18.75" customHeight="1">
      <c r="BM30724" s="1025"/>
      <c r="BO30724" s="43"/>
    </row>
    <row r="30725" spans="65:67" ht="18.75" customHeight="1">
      <c r="BM30725" s="1025"/>
      <c r="BO30725" s="43"/>
    </row>
    <row r="30726" spans="65:67" ht="18.75" customHeight="1">
      <c r="BM30726" s="1025"/>
      <c r="BO30726" s="43"/>
    </row>
    <row r="30727" spans="65:67" ht="18.75" customHeight="1">
      <c r="BM30727" s="1025"/>
      <c r="BO30727" s="43"/>
    </row>
    <row r="30728" spans="65:67" ht="18.75" customHeight="1">
      <c r="BM30728" s="1025"/>
      <c r="BO30728" s="43"/>
    </row>
    <row r="30729" spans="65:67" ht="18.75" customHeight="1">
      <c r="BM30729" s="1025"/>
      <c r="BO30729" s="43"/>
    </row>
    <row r="30730" spans="65:67" ht="18.75" customHeight="1">
      <c r="BM30730" s="1025"/>
      <c r="BO30730" s="43"/>
    </row>
    <row r="30731" spans="65:67" ht="18.75" customHeight="1">
      <c r="BM30731" s="1025"/>
      <c r="BO30731" s="43"/>
    </row>
    <row r="30732" spans="65:67" ht="18.75" customHeight="1">
      <c r="BM30732" s="1025"/>
      <c r="BO30732" s="43"/>
    </row>
    <row r="30733" spans="65:67" ht="18.75" customHeight="1">
      <c r="BM30733" s="1025"/>
      <c r="BO30733" s="43"/>
    </row>
    <row r="30734" spans="65:67" ht="18.75" customHeight="1">
      <c r="BM30734" s="1025"/>
      <c r="BO30734" s="43"/>
    </row>
    <row r="30735" spans="65:67" ht="18.75" customHeight="1">
      <c r="BM30735" s="1025"/>
      <c r="BO30735" s="43"/>
    </row>
    <row r="30736" spans="65:67" ht="18.75" customHeight="1">
      <c r="BM30736" s="1025"/>
      <c r="BO30736" s="43"/>
    </row>
    <row r="30737" spans="65:67" ht="18.75" customHeight="1">
      <c r="BM30737" s="1025"/>
      <c r="BO30737" s="43"/>
    </row>
    <row r="30738" spans="65:67" ht="18.75" customHeight="1">
      <c r="BM30738" s="1025"/>
      <c r="BO30738" s="43"/>
    </row>
    <row r="30739" spans="65:67" ht="18.75" customHeight="1">
      <c r="BM30739" s="1025"/>
      <c r="BO30739" s="43"/>
    </row>
    <row r="30740" spans="65:67" ht="18.75" customHeight="1">
      <c r="BM30740" s="1025"/>
      <c r="BO30740" s="43"/>
    </row>
    <row r="30741" spans="65:67" ht="18.75" customHeight="1">
      <c r="BM30741" s="1025"/>
      <c r="BO30741" s="43"/>
    </row>
    <row r="30742" spans="65:67" ht="18.75" customHeight="1">
      <c r="BM30742" s="1025"/>
      <c r="BO30742" s="43"/>
    </row>
    <row r="30743" spans="65:67" ht="18.75" customHeight="1">
      <c r="BM30743" s="1025"/>
      <c r="BO30743" s="43"/>
    </row>
    <row r="30744" spans="65:67" ht="18.75" customHeight="1">
      <c r="BM30744" s="1025"/>
      <c r="BO30744" s="43"/>
    </row>
    <row r="30745" spans="65:67" ht="18.75" customHeight="1">
      <c r="BM30745" s="1025"/>
      <c r="BO30745" s="43"/>
    </row>
    <row r="30746" spans="65:67" ht="18.75" customHeight="1">
      <c r="BM30746" s="1025"/>
      <c r="BO30746" s="43"/>
    </row>
    <row r="30747" spans="65:67" ht="18.75" customHeight="1">
      <c r="BM30747" s="1025"/>
      <c r="BO30747" s="43"/>
    </row>
    <row r="30748" spans="65:67" ht="18.75" customHeight="1">
      <c r="BM30748" s="1025"/>
      <c r="BO30748" s="43"/>
    </row>
    <row r="30749" spans="65:67" ht="18.75" customHeight="1">
      <c r="BM30749" s="1025"/>
      <c r="BO30749" s="43"/>
    </row>
    <row r="30750" spans="65:67" ht="18.75" customHeight="1">
      <c r="BM30750" s="1025"/>
      <c r="BO30750" s="43"/>
    </row>
    <row r="30751" spans="65:67" ht="18.75" customHeight="1">
      <c r="BM30751" s="1025"/>
      <c r="BO30751" s="43"/>
    </row>
    <row r="30752" spans="65:67" ht="18.75" customHeight="1">
      <c r="BM30752" s="1025"/>
      <c r="BO30752" s="43"/>
    </row>
    <row r="30753" spans="65:67" ht="18.75" customHeight="1">
      <c r="BM30753" s="1025"/>
      <c r="BO30753" s="43"/>
    </row>
    <row r="30754" spans="65:67" ht="18.75" customHeight="1">
      <c r="BM30754" s="1025"/>
      <c r="BO30754" s="43"/>
    </row>
    <row r="30755" spans="65:67" ht="18.75" customHeight="1">
      <c r="BM30755" s="1025"/>
      <c r="BO30755" s="43"/>
    </row>
    <row r="30756" spans="65:67" ht="18.75" customHeight="1">
      <c r="BM30756" s="1025"/>
      <c r="BO30756" s="43"/>
    </row>
    <row r="30757" spans="65:67" ht="18.75" customHeight="1">
      <c r="BM30757" s="1025"/>
      <c r="BO30757" s="43"/>
    </row>
    <row r="30758" spans="65:67" ht="18.75" customHeight="1">
      <c r="BM30758" s="1025"/>
      <c r="BO30758" s="43"/>
    </row>
    <row r="30759" spans="65:67" ht="18.75" customHeight="1">
      <c r="BM30759" s="1025"/>
      <c r="BO30759" s="43"/>
    </row>
    <row r="30760" spans="65:67" ht="18.75" customHeight="1">
      <c r="BM30760" s="1025"/>
      <c r="BO30760" s="43"/>
    </row>
    <row r="30761" spans="65:67" ht="18.75" customHeight="1">
      <c r="BM30761" s="1025"/>
      <c r="BO30761" s="43"/>
    </row>
    <row r="30762" spans="65:67" ht="18.75" customHeight="1">
      <c r="BM30762" s="1025"/>
      <c r="BO30762" s="43"/>
    </row>
    <row r="30763" spans="65:67" ht="18.75" customHeight="1">
      <c r="BM30763" s="1025"/>
      <c r="BO30763" s="43"/>
    </row>
    <row r="30764" spans="65:67" ht="18.75" customHeight="1">
      <c r="BM30764" s="1025"/>
      <c r="BO30764" s="43"/>
    </row>
    <row r="30765" spans="65:67" ht="18.75" customHeight="1">
      <c r="BM30765" s="1025"/>
      <c r="BO30765" s="43"/>
    </row>
    <row r="30766" spans="65:67" ht="18.75" customHeight="1">
      <c r="BM30766" s="1025"/>
      <c r="BO30766" s="43"/>
    </row>
    <row r="30767" spans="65:67" ht="18.75" customHeight="1">
      <c r="BM30767" s="1025"/>
      <c r="BO30767" s="43"/>
    </row>
    <row r="30768" spans="65:67" ht="18.75" customHeight="1">
      <c r="BM30768" s="1025"/>
      <c r="BO30768" s="43"/>
    </row>
    <row r="30769" spans="65:67" ht="18.75" customHeight="1">
      <c r="BM30769" s="1025"/>
      <c r="BO30769" s="43"/>
    </row>
    <row r="30770" spans="65:67" ht="18.75" customHeight="1">
      <c r="BM30770" s="1025"/>
      <c r="BO30770" s="43"/>
    </row>
    <row r="30771" spans="65:67" ht="18.75" customHeight="1">
      <c r="BM30771" s="1025"/>
      <c r="BO30771" s="43"/>
    </row>
    <row r="30772" spans="65:67" ht="18.75" customHeight="1">
      <c r="BM30772" s="1025"/>
      <c r="BO30772" s="43"/>
    </row>
    <row r="30773" spans="65:67" ht="18.75" customHeight="1">
      <c r="BM30773" s="1025"/>
      <c r="BO30773" s="43"/>
    </row>
    <row r="30774" spans="65:67" ht="18.75" customHeight="1">
      <c r="BM30774" s="1025"/>
      <c r="BO30774" s="43"/>
    </row>
    <row r="30775" spans="65:67" ht="18.75" customHeight="1">
      <c r="BM30775" s="1025"/>
      <c r="BO30775" s="43"/>
    </row>
    <row r="30776" spans="65:67" ht="18.75" customHeight="1">
      <c r="BM30776" s="1025"/>
      <c r="BO30776" s="43"/>
    </row>
    <row r="30777" spans="65:67" ht="18.75" customHeight="1">
      <c r="BM30777" s="1025"/>
      <c r="BO30777" s="43"/>
    </row>
    <row r="30778" spans="65:67" ht="18.75" customHeight="1">
      <c r="BM30778" s="1025"/>
      <c r="BO30778" s="43"/>
    </row>
    <row r="30779" spans="65:67" ht="18.75" customHeight="1">
      <c r="BM30779" s="1025"/>
      <c r="BO30779" s="43"/>
    </row>
    <row r="30780" spans="65:67" ht="18.75" customHeight="1">
      <c r="BM30780" s="1025"/>
      <c r="BO30780" s="43"/>
    </row>
    <row r="30781" spans="65:67" ht="18.75" customHeight="1">
      <c r="BM30781" s="1025"/>
      <c r="BO30781" s="43"/>
    </row>
    <row r="30782" spans="65:67" ht="18.75" customHeight="1">
      <c r="BM30782" s="1025"/>
      <c r="BO30782" s="43"/>
    </row>
    <row r="30783" spans="65:67" ht="18.75" customHeight="1">
      <c r="BM30783" s="1025"/>
      <c r="BO30783" s="43"/>
    </row>
    <row r="30784" spans="65:67" ht="18.75" customHeight="1">
      <c r="BM30784" s="1025"/>
      <c r="BO30784" s="43"/>
    </row>
    <row r="30785" spans="65:67" ht="18.75" customHeight="1">
      <c r="BM30785" s="1025"/>
      <c r="BO30785" s="43"/>
    </row>
    <row r="30786" spans="65:67" ht="18.75" customHeight="1">
      <c r="BM30786" s="1025"/>
      <c r="BO30786" s="43"/>
    </row>
    <row r="30787" spans="65:67" ht="18.75" customHeight="1">
      <c r="BM30787" s="1025"/>
      <c r="BO30787" s="43"/>
    </row>
    <row r="30788" spans="65:67" ht="18.75" customHeight="1">
      <c r="BM30788" s="1025"/>
      <c r="BO30788" s="43"/>
    </row>
    <row r="30789" spans="65:67" ht="18.75" customHeight="1">
      <c r="BM30789" s="1025"/>
      <c r="BO30789" s="43"/>
    </row>
    <row r="30790" spans="65:67" ht="18.75" customHeight="1">
      <c r="BM30790" s="1025"/>
      <c r="BO30790" s="43"/>
    </row>
    <row r="30791" spans="65:67" ht="18.75" customHeight="1">
      <c r="BM30791" s="1025"/>
      <c r="BO30791" s="43"/>
    </row>
    <row r="30792" spans="65:67" ht="18.75" customHeight="1">
      <c r="BM30792" s="1025"/>
      <c r="BO30792" s="43"/>
    </row>
    <row r="30793" spans="65:67" ht="18.75" customHeight="1">
      <c r="BM30793" s="1025"/>
      <c r="BO30793" s="43"/>
    </row>
    <row r="30794" spans="65:67" ht="18.75" customHeight="1">
      <c r="BM30794" s="1025"/>
      <c r="BO30794" s="43"/>
    </row>
    <row r="30795" spans="65:67" ht="18.75" customHeight="1">
      <c r="BM30795" s="1025"/>
      <c r="BO30795" s="43"/>
    </row>
    <row r="30796" spans="65:67" ht="18.75" customHeight="1">
      <c r="BM30796" s="1025"/>
      <c r="BO30796" s="43"/>
    </row>
    <row r="30797" spans="65:67" ht="18.75" customHeight="1">
      <c r="BM30797" s="1025"/>
      <c r="BO30797" s="43"/>
    </row>
    <row r="30798" spans="65:67" ht="18.75" customHeight="1">
      <c r="BM30798" s="1025"/>
      <c r="BO30798" s="43"/>
    </row>
    <row r="30799" spans="65:67" ht="18.75" customHeight="1">
      <c r="BM30799" s="1025"/>
      <c r="BO30799" s="43"/>
    </row>
    <row r="30800" spans="65:67" ht="18.75" customHeight="1">
      <c r="BM30800" s="1025"/>
      <c r="BO30800" s="43"/>
    </row>
    <row r="30801" spans="65:67" ht="18.75" customHeight="1">
      <c r="BM30801" s="1025"/>
      <c r="BO30801" s="43"/>
    </row>
    <row r="30802" spans="65:67" ht="18.75" customHeight="1">
      <c r="BM30802" s="1025"/>
      <c r="BO30802" s="43"/>
    </row>
    <row r="30803" spans="65:67" ht="18.75" customHeight="1">
      <c r="BM30803" s="1025"/>
      <c r="BO30803" s="43"/>
    </row>
    <row r="30804" spans="65:67" ht="18.75" customHeight="1">
      <c r="BM30804" s="1025"/>
      <c r="BO30804" s="43"/>
    </row>
    <row r="30805" spans="65:67" ht="18.75" customHeight="1">
      <c r="BM30805" s="1025"/>
      <c r="BO30805" s="43"/>
    </row>
    <row r="30806" spans="65:67" ht="18.75" customHeight="1">
      <c r="BM30806" s="1025"/>
      <c r="BO30806" s="43"/>
    </row>
    <row r="30807" spans="65:67" ht="18.75" customHeight="1">
      <c r="BM30807" s="1025"/>
      <c r="BO30807" s="43"/>
    </row>
    <row r="30808" spans="65:67" ht="18.75" customHeight="1">
      <c r="BM30808" s="1025"/>
      <c r="BO30808" s="43"/>
    </row>
    <row r="30809" spans="65:67" ht="18.75" customHeight="1">
      <c r="BM30809" s="1025"/>
      <c r="BO30809" s="43"/>
    </row>
    <row r="30810" spans="65:67" ht="18.75" customHeight="1">
      <c r="BM30810" s="1025"/>
      <c r="BO30810" s="43"/>
    </row>
    <row r="30811" spans="65:67" ht="18.75" customHeight="1">
      <c r="BM30811" s="1025"/>
      <c r="BO30811" s="43"/>
    </row>
    <row r="30812" spans="65:67" ht="18.75" customHeight="1">
      <c r="BM30812" s="1025"/>
      <c r="BO30812" s="43"/>
    </row>
    <row r="30813" spans="65:67" ht="18.75" customHeight="1">
      <c r="BM30813" s="1025"/>
      <c r="BO30813" s="43"/>
    </row>
    <row r="30814" spans="65:67" ht="18.75" customHeight="1">
      <c r="BM30814" s="1025"/>
      <c r="BO30814" s="43"/>
    </row>
    <row r="30815" spans="65:67" ht="18.75" customHeight="1">
      <c r="BM30815" s="1025"/>
      <c r="BO30815" s="43"/>
    </row>
    <row r="30816" spans="65:67" ht="18.75" customHeight="1">
      <c r="BM30816" s="1025"/>
      <c r="BO30816" s="43"/>
    </row>
    <row r="30817" spans="65:67" ht="18.75" customHeight="1">
      <c r="BM30817" s="1025"/>
      <c r="BO30817" s="43"/>
    </row>
    <row r="30818" spans="65:67" ht="18.75" customHeight="1">
      <c r="BM30818" s="1025"/>
      <c r="BO30818" s="43"/>
    </row>
    <row r="30819" spans="65:67" ht="18.75" customHeight="1">
      <c r="BM30819" s="1025"/>
      <c r="BO30819" s="43"/>
    </row>
    <row r="30820" spans="65:67" ht="18.75" customHeight="1">
      <c r="BM30820" s="1025"/>
      <c r="BO30820" s="43"/>
    </row>
    <row r="30821" spans="65:67" ht="18.75" customHeight="1">
      <c r="BM30821" s="1025"/>
      <c r="BO30821" s="43"/>
    </row>
    <row r="30822" spans="65:67" ht="18.75" customHeight="1">
      <c r="BM30822" s="1025"/>
      <c r="BO30822" s="43"/>
    </row>
    <row r="30823" spans="65:67" ht="18.75" customHeight="1">
      <c r="BM30823" s="1025"/>
      <c r="BO30823" s="43"/>
    </row>
    <row r="30824" spans="65:67" ht="18.75" customHeight="1">
      <c r="BM30824" s="1025"/>
      <c r="BO30824" s="43"/>
    </row>
    <row r="30825" spans="65:67" ht="18.75" customHeight="1">
      <c r="BM30825" s="1025"/>
      <c r="BO30825" s="43"/>
    </row>
    <row r="30826" spans="65:67" ht="18.75" customHeight="1">
      <c r="BM30826" s="1025"/>
      <c r="BO30826" s="43"/>
    </row>
    <row r="30827" spans="65:67" ht="18.75" customHeight="1">
      <c r="BM30827" s="1025"/>
      <c r="BO30827" s="43"/>
    </row>
    <row r="30828" spans="65:67" ht="18.75" customHeight="1">
      <c r="BM30828" s="1025"/>
      <c r="BO30828" s="43"/>
    </row>
    <row r="30829" spans="65:67" ht="18.75" customHeight="1">
      <c r="BM30829" s="1025"/>
      <c r="BO30829" s="43"/>
    </row>
    <row r="30830" spans="65:67" ht="18.75" customHeight="1">
      <c r="BM30830" s="1025"/>
      <c r="BO30830" s="43"/>
    </row>
    <row r="30831" spans="65:67" ht="18.75" customHeight="1">
      <c r="BM30831" s="1025"/>
      <c r="BO30831" s="43"/>
    </row>
    <row r="30832" spans="65:67" ht="18.75" customHeight="1">
      <c r="BM30832" s="1025"/>
      <c r="BO30832" s="43"/>
    </row>
    <row r="30833" spans="65:67" ht="18.75" customHeight="1">
      <c r="BM30833" s="1025"/>
      <c r="BO30833" s="43"/>
    </row>
    <row r="30834" spans="65:67" ht="18.75" customHeight="1">
      <c r="BM30834" s="1025"/>
      <c r="BO30834" s="43"/>
    </row>
    <row r="30835" spans="65:67" ht="18.75" customHeight="1">
      <c r="BM30835" s="1025"/>
      <c r="BO30835" s="43"/>
    </row>
    <row r="30836" spans="65:67" ht="18.75" customHeight="1">
      <c r="BM30836" s="1025"/>
      <c r="BO30836" s="43"/>
    </row>
    <row r="30837" spans="65:67" ht="18.75" customHeight="1">
      <c r="BM30837" s="1025"/>
      <c r="BO30837" s="43"/>
    </row>
    <row r="30838" spans="65:67" ht="18.75" customHeight="1">
      <c r="BM30838" s="1025"/>
      <c r="BO30838" s="43"/>
    </row>
    <row r="30839" spans="65:67" ht="18.75" customHeight="1">
      <c r="BM30839" s="1025"/>
      <c r="BO30839" s="43"/>
    </row>
    <row r="30840" spans="65:67" ht="18.75" customHeight="1">
      <c r="BM30840" s="1025"/>
      <c r="BO30840" s="43"/>
    </row>
    <row r="30841" spans="65:67" ht="18.75" customHeight="1">
      <c r="BM30841" s="1025"/>
      <c r="BO30841" s="43"/>
    </row>
    <row r="30842" spans="65:67" ht="18.75" customHeight="1">
      <c r="BM30842" s="1025"/>
      <c r="BO30842" s="43"/>
    </row>
    <row r="30843" spans="65:67" ht="18.75" customHeight="1">
      <c r="BM30843" s="1025"/>
      <c r="BO30843" s="43"/>
    </row>
    <row r="30844" spans="65:67" ht="18.75" customHeight="1">
      <c r="BM30844" s="1025"/>
      <c r="BO30844" s="43"/>
    </row>
    <row r="30845" spans="65:67" ht="18.75" customHeight="1">
      <c r="BM30845" s="1025"/>
      <c r="BO30845" s="43"/>
    </row>
    <row r="30846" spans="65:67" ht="18.75" customHeight="1">
      <c r="BM30846" s="1025"/>
      <c r="BO30846" s="43"/>
    </row>
    <row r="30847" spans="65:67" ht="18.75" customHeight="1">
      <c r="BM30847" s="1025"/>
      <c r="BO30847" s="43"/>
    </row>
    <row r="30848" spans="65:67" ht="18.75" customHeight="1">
      <c r="BM30848" s="1025"/>
      <c r="BO30848" s="43"/>
    </row>
    <row r="30849" spans="65:67" ht="18.75" customHeight="1">
      <c r="BM30849" s="1025"/>
      <c r="BO30849" s="43"/>
    </row>
    <row r="30850" spans="65:67" ht="18.75" customHeight="1">
      <c r="BM30850" s="1025"/>
      <c r="BO30850" s="43"/>
    </row>
    <row r="30851" spans="65:67" ht="18.75" customHeight="1">
      <c r="BM30851" s="1025"/>
      <c r="BO30851" s="43"/>
    </row>
    <row r="30852" spans="65:67" ht="18.75" customHeight="1">
      <c r="BM30852" s="1025"/>
      <c r="BO30852" s="43"/>
    </row>
    <row r="30853" spans="65:67" ht="18.75" customHeight="1">
      <c r="BM30853" s="1025"/>
      <c r="BO30853" s="43"/>
    </row>
    <row r="30854" spans="65:67" ht="18.75" customHeight="1">
      <c r="BM30854" s="1025"/>
      <c r="BO30854" s="43"/>
    </row>
    <row r="30855" spans="65:67" ht="18.75" customHeight="1">
      <c r="BM30855" s="1025"/>
      <c r="BO30855" s="43"/>
    </row>
    <row r="30856" spans="65:67" ht="18.75" customHeight="1">
      <c r="BM30856" s="1025"/>
      <c r="BO30856" s="43"/>
    </row>
    <row r="30857" spans="65:67" ht="18.75" customHeight="1">
      <c r="BM30857" s="1025"/>
      <c r="BO30857" s="43"/>
    </row>
    <row r="30858" spans="65:67" ht="18.75" customHeight="1">
      <c r="BM30858" s="1025"/>
      <c r="BO30858" s="43"/>
    </row>
    <row r="30859" spans="65:67" ht="18.75" customHeight="1">
      <c r="BM30859" s="1025"/>
      <c r="BO30859" s="43"/>
    </row>
    <row r="30860" spans="65:67" ht="18.75" customHeight="1">
      <c r="BM30860" s="1025"/>
      <c r="BO30860" s="43"/>
    </row>
    <row r="30861" spans="65:67" ht="18.75" customHeight="1">
      <c r="BM30861" s="1025"/>
      <c r="BO30861" s="43"/>
    </row>
    <row r="30862" spans="65:67" ht="18.75" customHeight="1">
      <c r="BM30862" s="1025"/>
      <c r="BO30862" s="43"/>
    </row>
    <row r="30863" spans="65:67" ht="18.75" customHeight="1">
      <c r="BM30863" s="1025"/>
      <c r="BO30863" s="43"/>
    </row>
    <row r="30864" spans="65:67" ht="18.75" customHeight="1">
      <c r="BM30864" s="1025"/>
      <c r="BO30864" s="43"/>
    </row>
    <row r="30865" spans="65:67" ht="18.75" customHeight="1">
      <c r="BM30865" s="1025"/>
      <c r="BO30865" s="43"/>
    </row>
    <row r="30866" spans="65:67" ht="18.75" customHeight="1">
      <c r="BM30866" s="1025"/>
      <c r="BO30866" s="43"/>
    </row>
    <row r="30867" spans="65:67" ht="18.75" customHeight="1">
      <c r="BM30867" s="1025"/>
      <c r="BO30867" s="43"/>
    </row>
    <row r="30868" spans="65:67" ht="18.75" customHeight="1">
      <c r="BM30868" s="1025"/>
      <c r="BO30868" s="43"/>
    </row>
    <row r="30869" spans="65:67" ht="18.75" customHeight="1">
      <c r="BM30869" s="1025"/>
      <c r="BO30869" s="43"/>
    </row>
    <row r="30870" spans="65:67" ht="18.75" customHeight="1">
      <c r="BM30870" s="1025"/>
      <c r="BO30870" s="43"/>
    </row>
    <row r="30871" spans="65:67" ht="18.75" customHeight="1">
      <c r="BM30871" s="1025"/>
      <c r="BO30871" s="43"/>
    </row>
    <row r="30872" spans="65:67" ht="18.75" customHeight="1">
      <c r="BM30872" s="1025"/>
      <c r="BO30872" s="43"/>
    </row>
    <row r="30873" spans="65:67" ht="18.75" customHeight="1">
      <c r="BM30873" s="1025"/>
      <c r="BO30873" s="43"/>
    </row>
    <row r="30874" spans="65:67" ht="18.75" customHeight="1">
      <c r="BM30874" s="1025"/>
      <c r="BO30874" s="43"/>
    </row>
    <row r="30875" spans="65:67" ht="18.75" customHeight="1">
      <c r="BM30875" s="1025"/>
      <c r="BO30875" s="43"/>
    </row>
    <row r="30876" spans="65:67" ht="18.75" customHeight="1">
      <c r="BM30876" s="1025"/>
      <c r="BO30876" s="43"/>
    </row>
    <row r="30877" spans="65:67" ht="18.75" customHeight="1">
      <c r="BM30877" s="1025"/>
      <c r="BO30877" s="43"/>
    </row>
    <row r="30878" spans="65:67" ht="18.75" customHeight="1">
      <c r="BM30878" s="1025"/>
      <c r="BO30878" s="43"/>
    </row>
    <row r="30879" spans="65:67" ht="18.75" customHeight="1">
      <c r="BM30879" s="1025"/>
      <c r="BO30879" s="43"/>
    </row>
    <row r="30880" spans="65:67" ht="18.75" customHeight="1">
      <c r="BM30880" s="1025"/>
      <c r="BO30880" s="43"/>
    </row>
    <row r="30881" spans="65:67" ht="18.75" customHeight="1">
      <c r="BM30881" s="1025"/>
      <c r="BO30881" s="43"/>
    </row>
    <row r="30882" spans="65:67" ht="18.75" customHeight="1">
      <c r="BM30882" s="1025"/>
      <c r="BO30882" s="43"/>
    </row>
    <row r="30883" spans="65:67" ht="18.75" customHeight="1">
      <c r="BM30883" s="1025"/>
      <c r="BO30883" s="43"/>
    </row>
    <row r="30884" spans="65:67" ht="18.75" customHeight="1">
      <c r="BM30884" s="1025"/>
      <c r="BO30884" s="43"/>
    </row>
    <row r="30885" spans="65:67" ht="18.75" customHeight="1">
      <c r="BM30885" s="1025"/>
      <c r="BO30885" s="43"/>
    </row>
    <row r="30886" spans="65:67" ht="18.75" customHeight="1">
      <c r="BM30886" s="1025"/>
      <c r="BO30886" s="43"/>
    </row>
    <row r="30887" spans="65:67" ht="18.75" customHeight="1">
      <c r="BM30887" s="1025"/>
      <c r="BO30887" s="43"/>
    </row>
    <row r="30888" spans="65:67" ht="18.75" customHeight="1">
      <c r="BM30888" s="1025"/>
      <c r="BO30888" s="43"/>
    </row>
    <row r="30889" spans="65:67" ht="18.75" customHeight="1">
      <c r="BM30889" s="1025"/>
      <c r="BO30889" s="43"/>
    </row>
    <row r="30890" spans="65:67" ht="18.75" customHeight="1">
      <c r="BM30890" s="1025"/>
      <c r="BO30890" s="43"/>
    </row>
    <row r="30891" spans="65:67" ht="18.75" customHeight="1">
      <c r="BM30891" s="1025"/>
      <c r="BO30891" s="43"/>
    </row>
    <row r="30892" spans="65:67" ht="18.75" customHeight="1">
      <c r="BM30892" s="1025"/>
      <c r="BO30892" s="43"/>
    </row>
    <row r="30893" spans="65:67" ht="18.75" customHeight="1">
      <c r="BM30893" s="1025"/>
      <c r="BO30893" s="43"/>
    </row>
    <row r="30894" spans="65:67" ht="18.75" customHeight="1">
      <c r="BM30894" s="1025"/>
      <c r="BO30894" s="43"/>
    </row>
    <row r="30895" spans="65:67" ht="18.75" customHeight="1">
      <c r="BM30895" s="1025"/>
      <c r="BO30895" s="43"/>
    </row>
    <row r="30896" spans="65:67" ht="18.75" customHeight="1">
      <c r="BM30896" s="1025"/>
      <c r="BO30896" s="43"/>
    </row>
    <row r="30897" spans="65:67" ht="18.75" customHeight="1">
      <c r="BM30897" s="1025"/>
      <c r="BO30897" s="43"/>
    </row>
    <row r="30898" spans="65:67" ht="18.75" customHeight="1">
      <c r="BM30898" s="1025"/>
      <c r="BO30898" s="43"/>
    </row>
    <row r="30899" spans="65:67" ht="18.75" customHeight="1">
      <c r="BM30899" s="1025"/>
      <c r="BO30899" s="43"/>
    </row>
    <row r="30900" spans="65:67" ht="18.75" customHeight="1">
      <c r="BM30900" s="1025"/>
      <c r="BO30900" s="43"/>
    </row>
    <row r="30901" spans="65:67" ht="18.75" customHeight="1">
      <c r="BM30901" s="1025"/>
      <c r="BO30901" s="43"/>
    </row>
    <row r="30902" spans="65:67" ht="18.75" customHeight="1">
      <c r="BM30902" s="1025"/>
      <c r="BO30902" s="43"/>
    </row>
    <row r="30903" spans="65:67" ht="18.75" customHeight="1">
      <c r="BM30903" s="1025"/>
      <c r="BO30903" s="43"/>
    </row>
    <row r="30904" spans="65:67" ht="18.75" customHeight="1">
      <c r="BM30904" s="1025"/>
      <c r="BO30904" s="43"/>
    </row>
    <row r="30905" spans="65:67" ht="18.75" customHeight="1">
      <c r="BM30905" s="1025"/>
      <c r="BO30905" s="43"/>
    </row>
    <row r="30906" spans="65:67" ht="18.75" customHeight="1">
      <c r="BM30906" s="1025"/>
      <c r="BO30906" s="43"/>
    </row>
    <row r="30907" spans="65:67" ht="18.75" customHeight="1">
      <c r="BM30907" s="1025"/>
      <c r="BO30907" s="43"/>
    </row>
    <row r="30908" spans="65:67" ht="18.75" customHeight="1">
      <c r="BM30908" s="1025"/>
      <c r="BO30908" s="43"/>
    </row>
    <row r="30909" spans="65:67" ht="18.75" customHeight="1">
      <c r="BM30909" s="1025"/>
      <c r="BO30909" s="43"/>
    </row>
    <row r="30910" spans="65:67" ht="18.75" customHeight="1">
      <c r="BM30910" s="1025"/>
      <c r="BO30910" s="43"/>
    </row>
    <row r="30911" spans="65:67" ht="18.75" customHeight="1">
      <c r="BM30911" s="1025"/>
      <c r="BO30911" s="43"/>
    </row>
    <row r="30912" spans="65:67" ht="18.75" customHeight="1">
      <c r="BM30912" s="1025"/>
      <c r="BO30912" s="43"/>
    </row>
    <row r="30913" spans="65:67" ht="18.75" customHeight="1">
      <c r="BM30913" s="1025"/>
      <c r="BO30913" s="43"/>
    </row>
    <row r="30914" spans="65:67" ht="18.75" customHeight="1">
      <c r="BM30914" s="1025"/>
      <c r="BO30914" s="43"/>
    </row>
    <row r="30915" spans="65:67" ht="18.75" customHeight="1">
      <c r="BM30915" s="1025"/>
      <c r="BO30915" s="43"/>
    </row>
    <row r="30916" spans="65:67" ht="18.75" customHeight="1">
      <c r="BM30916" s="1025"/>
      <c r="BO30916" s="43"/>
    </row>
    <row r="30917" spans="65:67" ht="18.75" customHeight="1">
      <c r="BM30917" s="1025"/>
      <c r="BO30917" s="43"/>
    </row>
    <row r="30918" spans="65:67" ht="18.75" customHeight="1">
      <c r="BM30918" s="1025"/>
      <c r="BO30918" s="43"/>
    </row>
    <row r="30919" spans="65:67" ht="18.75" customHeight="1">
      <c r="BM30919" s="1025"/>
      <c r="BO30919" s="43"/>
    </row>
    <row r="30920" spans="65:67" ht="18.75" customHeight="1">
      <c r="BM30920" s="1025"/>
      <c r="BO30920" s="43"/>
    </row>
    <row r="30921" spans="65:67" ht="18.75" customHeight="1">
      <c r="BM30921" s="1025"/>
      <c r="BO30921" s="43"/>
    </row>
    <row r="30922" spans="65:67" ht="18.75" customHeight="1">
      <c r="BM30922" s="1025"/>
      <c r="BO30922" s="43"/>
    </row>
    <row r="30923" spans="65:67" ht="18.75" customHeight="1">
      <c r="BM30923" s="1025"/>
      <c r="BO30923" s="43"/>
    </row>
    <row r="30924" spans="65:67" ht="18.75" customHeight="1">
      <c r="BM30924" s="1025"/>
      <c r="BO30924" s="43"/>
    </row>
    <row r="30925" spans="65:67" ht="18.75" customHeight="1">
      <c r="BM30925" s="1025"/>
      <c r="BO30925" s="43"/>
    </row>
    <row r="30926" spans="65:67" ht="18.75" customHeight="1">
      <c r="BM30926" s="1025"/>
      <c r="BO30926" s="43"/>
    </row>
    <row r="30927" spans="65:67" ht="18.75" customHeight="1">
      <c r="BM30927" s="1025"/>
      <c r="BO30927" s="43"/>
    </row>
    <row r="30928" spans="65:67" ht="18.75" customHeight="1">
      <c r="BM30928" s="1025"/>
      <c r="BO30928" s="43"/>
    </row>
    <row r="30929" spans="65:67" ht="18.75" customHeight="1">
      <c r="BM30929" s="1025"/>
      <c r="BO30929" s="43"/>
    </row>
    <row r="30930" spans="65:67" ht="18.75" customHeight="1">
      <c r="BM30930" s="1025"/>
      <c r="BO30930" s="43"/>
    </row>
    <row r="30931" spans="65:67" ht="18.75" customHeight="1">
      <c r="BM30931" s="1025"/>
      <c r="BO30931" s="43"/>
    </row>
    <row r="30932" spans="65:67" ht="18.75" customHeight="1">
      <c r="BM30932" s="1025"/>
      <c r="BO30932" s="43"/>
    </row>
    <row r="30933" spans="65:67" ht="18.75" customHeight="1">
      <c r="BM30933" s="1025"/>
      <c r="BO30933" s="43"/>
    </row>
    <row r="30934" spans="65:67" ht="18.75" customHeight="1">
      <c r="BM30934" s="1025"/>
      <c r="BO30934" s="43"/>
    </row>
    <row r="30935" spans="65:67" ht="18.75" customHeight="1">
      <c r="BM30935" s="1025"/>
      <c r="BO30935" s="43"/>
    </row>
    <row r="30936" spans="65:67" ht="18.75" customHeight="1">
      <c r="BM30936" s="1025"/>
      <c r="BO30936" s="43"/>
    </row>
    <row r="30937" spans="65:67" ht="18.75" customHeight="1">
      <c r="BM30937" s="1025"/>
      <c r="BO30937" s="43"/>
    </row>
    <row r="30938" spans="65:67" ht="18.75" customHeight="1">
      <c r="BM30938" s="1025"/>
      <c r="BO30938" s="43"/>
    </row>
    <row r="30939" spans="65:67" ht="18.75" customHeight="1">
      <c r="BM30939" s="1025"/>
      <c r="BO30939" s="43"/>
    </row>
    <row r="30940" spans="65:67" ht="18.75" customHeight="1">
      <c r="BM30940" s="1025"/>
      <c r="BO30940" s="43"/>
    </row>
    <row r="30941" spans="65:67" ht="18.75" customHeight="1">
      <c r="BM30941" s="1025"/>
      <c r="BO30941" s="43"/>
    </row>
    <row r="30942" spans="65:67" ht="18.75" customHeight="1">
      <c r="BM30942" s="1025"/>
      <c r="BO30942" s="43"/>
    </row>
    <row r="30943" spans="65:67" ht="18.75" customHeight="1">
      <c r="BM30943" s="1025"/>
      <c r="BO30943" s="43"/>
    </row>
    <row r="30944" spans="65:67" ht="18.75" customHeight="1">
      <c r="BM30944" s="1025"/>
      <c r="BO30944" s="43"/>
    </row>
    <row r="30945" spans="65:67" ht="18.75" customHeight="1">
      <c r="BM30945" s="1025"/>
      <c r="BO30945" s="43"/>
    </row>
    <row r="30946" spans="65:67" ht="18.75" customHeight="1">
      <c r="BM30946" s="1025"/>
      <c r="BO30946" s="43"/>
    </row>
    <row r="30947" spans="65:67" ht="18.75" customHeight="1">
      <c r="BM30947" s="1025"/>
      <c r="BO30947" s="43"/>
    </row>
    <row r="30948" spans="65:67" ht="18.75" customHeight="1">
      <c r="BM30948" s="1025"/>
      <c r="BO30948" s="43"/>
    </row>
    <row r="30949" spans="65:67" ht="18.75" customHeight="1">
      <c r="BM30949" s="1025"/>
      <c r="BO30949" s="43"/>
    </row>
    <row r="30950" spans="65:67" ht="18.75" customHeight="1">
      <c r="BM30950" s="1025"/>
      <c r="BO30950" s="43"/>
    </row>
    <row r="30951" spans="65:67" ht="18.75" customHeight="1">
      <c r="BM30951" s="1025"/>
      <c r="BO30951" s="43"/>
    </row>
    <row r="30952" spans="65:67" ht="18.75" customHeight="1">
      <c r="BM30952" s="1025"/>
      <c r="BO30952" s="43"/>
    </row>
    <row r="30953" spans="65:67" ht="18.75" customHeight="1">
      <c r="BM30953" s="1025"/>
      <c r="BO30953" s="43"/>
    </row>
    <row r="30954" spans="65:67" ht="18.75" customHeight="1">
      <c r="BM30954" s="1025"/>
      <c r="BO30954" s="43"/>
    </row>
    <row r="30955" spans="65:67" ht="18.75" customHeight="1">
      <c r="BM30955" s="1025"/>
      <c r="BO30955" s="43"/>
    </row>
    <row r="30956" spans="65:67" ht="18.75" customHeight="1">
      <c r="BM30956" s="1025"/>
      <c r="BO30956" s="43"/>
    </row>
    <row r="30957" spans="65:67" ht="18.75" customHeight="1">
      <c r="BM30957" s="1025"/>
      <c r="BO30957" s="43"/>
    </row>
    <row r="30958" spans="65:67" ht="18.75" customHeight="1">
      <c r="BM30958" s="1025"/>
      <c r="BO30958" s="43"/>
    </row>
    <row r="30959" spans="65:67" ht="18.75" customHeight="1">
      <c r="BM30959" s="1025"/>
      <c r="BO30959" s="43"/>
    </row>
    <row r="30960" spans="65:67" ht="18.75" customHeight="1">
      <c r="BM30960" s="1025"/>
      <c r="BO30960" s="43"/>
    </row>
    <row r="30961" spans="65:67" ht="18.75" customHeight="1">
      <c r="BM30961" s="1025"/>
      <c r="BO30961" s="43"/>
    </row>
    <row r="30962" spans="65:67" ht="18.75" customHeight="1">
      <c r="BM30962" s="1025"/>
      <c r="BO30962" s="43"/>
    </row>
    <row r="30963" spans="65:67" ht="18.75" customHeight="1">
      <c r="BM30963" s="1025"/>
      <c r="BO30963" s="43"/>
    </row>
    <row r="30964" spans="65:67" ht="18.75" customHeight="1">
      <c r="BM30964" s="1025"/>
      <c r="BO30964" s="43"/>
    </row>
    <row r="30965" spans="65:67" ht="18.75" customHeight="1">
      <c r="BM30965" s="1025"/>
      <c r="BO30965" s="43"/>
    </row>
    <row r="30966" spans="65:67" ht="18.75" customHeight="1">
      <c r="BM30966" s="1025"/>
      <c r="BO30966" s="43"/>
    </row>
    <row r="30967" spans="65:67" ht="18.75" customHeight="1">
      <c r="BM30967" s="1025"/>
      <c r="BO30967" s="43"/>
    </row>
    <row r="30968" spans="65:67" ht="18.75" customHeight="1">
      <c r="BM30968" s="1025"/>
      <c r="BO30968" s="43"/>
    </row>
    <row r="30969" spans="65:67" ht="18.75" customHeight="1">
      <c r="BM30969" s="1025"/>
      <c r="BO30969" s="43"/>
    </row>
    <row r="30970" spans="65:67" ht="18.75" customHeight="1">
      <c r="BM30970" s="1025"/>
      <c r="BO30970" s="43"/>
    </row>
    <row r="30971" spans="65:67" ht="18.75" customHeight="1">
      <c r="BM30971" s="1025"/>
      <c r="BO30971" s="43"/>
    </row>
    <row r="30972" spans="65:67" ht="18.75" customHeight="1">
      <c r="BM30972" s="1025"/>
      <c r="BO30972" s="43"/>
    </row>
    <row r="30973" spans="65:67" ht="18.75" customHeight="1">
      <c r="BM30973" s="1025"/>
      <c r="BO30973" s="43"/>
    </row>
    <row r="30974" spans="65:67" ht="18.75" customHeight="1">
      <c r="BM30974" s="1025"/>
      <c r="BO30974" s="43"/>
    </row>
    <row r="30975" spans="65:67" ht="18.75" customHeight="1">
      <c r="BM30975" s="1025"/>
      <c r="BO30975" s="43"/>
    </row>
    <row r="30976" spans="65:67" ht="18.75" customHeight="1">
      <c r="BM30976" s="1025"/>
      <c r="BO30976" s="43"/>
    </row>
    <row r="30977" spans="65:67" ht="18.75" customHeight="1">
      <c r="BM30977" s="1025"/>
      <c r="BO30977" s="43"/>
    </row>
    <row r="30978" spans="65:67" ht="18.75" customHeight="1">
      <c r="BM30978" s="1025"/>
      <c r="BO30978" s="43"/>
    </row>
    <row r="30979" spans="65:67" ht="18.75" customHeight="1">
      <c r="BM30979" s="1025"/>
      <c r="BO30979" s="43"/>
    </row>
    <row r="30980" spans="65:67" ht="18.75" customHeight="1">
      <c r="BM30980" s="1025"/>
      <c r="BO30980" s="43"/>
    </row>
    <row r="30981" spans="65:67" ht="18.75" customHeight="1">
      <c r="BM30981" s="1025"/>
      <c r="BO30981" s="43"/>
    </row>
    <row r="30982" spans="65:67" ht="18.75" customHeight="1">
      <c r="BM30982" s="1025"/>
      <c r="BO30982" s="43"/>
    </row>
    <row r="30983" spans="65:67" ht="18.75" customHeight="1">
      <c r="BM30983" s="1025"/>
      <c r="BO30983" s="43"/>
    </row>
    <row r="30984" spans="65:67" ht="18.75" customHeight="1">
      <c r="BM30984" s="1025"/>
      <c r="BO30984" s="43"/>
    </row>
    <row r="30985" spans="65:67" ht="18.75" customHeight="1">
      <c r="BM30985" s="1025"/>
      <c r="BO30985" s="43"/>
    </row>
    <row r="30986" spans="65:67" ht="18.75" customHeight="1">
      <c r="BM30986" s="1025"/>
      <c r="BO30986" s="43"/>
    </row>
    <row r="30987" spans="65:67" ht="18.75" customHeight="1">
      <c r="BM30987" s="1025"/>
      <c r="BO30987" s="43"/>
    </row>
    <row r="30988" spans="65:67" ht="18.75" customHeight="1">
      <c r="BM30988" s="1025"/>
      <c r="BO30988" s="43"/>
    </row>
    <row r="30989" spans="65:67" ht="18.75" customHeight="1">
      <c r="BM30989" s="1025"/>
      <c r="BO30989" s="43"/>
    </row>
    <row r="30990" spans="65:67" ht="18.75" customHeight="1">
      <c r="BM30990" s="1025"/>
      <c r="BO30990" s="43"/>
    </row>
    <row r="30991" spans="65:67" ht="18.75" customHeight="1">
      <c r="BM30991" s="1025"/>
      <c r="BO30991" s="43"/>
    </row>
    <row r="30992" spans="65:67" ht="18.75" customHeight="1">
      <c r="BM30992" s="1025"/>
      <c r="BO30992" s="43"/>
    </row>
    <row r="30993" spans="65:67" ht="18.75" customHeight="1">
      <c r="BM30993" s="1025"/>
      <c r="BO30993" s="43"/>
    </row>
    <row r="30994" spans="65:67" ht="18.75" customHeight="1">
      <c r="BM30994" s="1025"/>
      <c r="BO30994" s="43"/>
    </row>
    <row r="30995" spans="65:67" ht="18.75" customHeight="1">
      <c r="BM30995" s="1025"/>
      <c r="BO30995" s="43"/>
    </row>
    <row r="30996" spans="65:67" ht="18.75" customHeight="1">
      <c r="BM30996" s="1025"/>
      <c r="BO30996" s="43"/>
    </row>
    <row r="30997" spans="65:67" ht="18.75" customHeight="1">
      <c r="BM30997" s="1025"/>
      <c r="BO30997" s="43"/>
    </row>
    <row r="30998" spans="65:67" ht="18.75" customHeight="1">
      <c r="BM30998" s="1025"/>
      <c r="BO30998" s="43"/>
    </row>
    <row r="30999" spans="65:67" ht="18.75" customHeight="1">
      <c r="BM30999" s="1025"/>
      <c r="BO30999" s="43"/>
    </row>
    <row r="31000" spans="65:67" ht="18.75" customHeight="1">
      <c r="BM31000" s="1025"/>
      <c r="BO31000" s="43"/>
    </row>
    <row r="31001" spans="65:67" ht="18.75" customHeight="1">
      <c r="BM31001" s="1025"/>
      <c r="BO31001" s="43"/>
    </row>
    <row r="31002" spans="65:67" ht="18.75" customHeight="1">
      <c r="BM31002" s="1025"/>
      <c r="BO31002" s="43"/>
    </row>
    <row r="31003" spans="65:67" ht="18.75" customHeight="1">
      <c r="BM31003" s="1025"/>
      <c r="BO31003" s="43"/>
    </row>
    <row r="31004" spans="65:67" ht="18.75" customHeight="1">
      <c r="BM31004" s="1025"/>
      <c r="BO31004" s="43"/>
    </row>
    <row r="31005" spans="65:67" ht="18.75" customHeight="1">
      <c r="BM31005" s="1025"/>
      <c r="BO31005" s="43"/>
    </row>
    <row r="31006" spans="65:67" ht="18.75" customHeight="1">
      <c r="BM31006" s="1025"/>
      <c r="BO31006" s="43"/>
    </row>
    <row r="31007" spans="65:67" ht="18.75" customHeight="1">
      <c r="BM31007" s="1025"/>
      <c r="BO31007" s="43"/>
    </row>
    <row r="31008" spans="65:67" ht="18.75" customHeight="1">
      <c r="BM31008" s="1025"/>
      <c r="BO31008" s="43"/>
    </row>
    <row r="31009" spans="65:67" ht="18.75" customHeight="1">
      <c r="BM31009" s="1025"/>
      <c r="BO31009" s="43"/>
    </row>
    <row r="31010" spans="65:67" ht="18.75" customHeight="1">
      <c r="BM31010" s="1025"/>
      <c r="BO31010" s="43"/>
    </row>
    <row r="31011" spans="65:67" ht="18.75" customHeight="1">
      <c r="BM31011" s="1025"/>
      <c r="BO31011" s="43"/>
    </row>
    <row r="31012" spans="65:67" ht="18.75" customHeight="1">
      <c r="BM31012" s="1025"/>
      <c r="BO31012" s="43"/>
    </row>
    <row r="31013" spans="65:67" ht="18.75" customHeight="1">
      <c r="BM31013" s="1025"/>
      <c r="BO31013" s="43"/>
    </row>
    <row r="31014" spans="65:67" ht="18.75" customHeight="1">
      <c r="BM31014" s="1025"/>
      <c r="BO31014" s="43"/>
    </row>
    <row r="31015" spans="65:67" ht="18.75" customHeight="1">
      <c r="BM31015" s="1025"/>
      <c r="BO31015" s="43"/>
    </row>
    <row r="31016" spans="65:67" ht="18.75" customHeight="1">
      <c r="BM31016" s="1025"/>
      <c r="BO31016" s="43"/>
    </row>
    <row r="31017" spans="65:67" ht="18.75" customHeight="1">
      <c r="BM31017" s="1025"/>
      <c r="BO31017" s="43"/>
    </row>
    <row r="31018" spans="65:67" ht="18.75" customHeight="1">
      <c r="BM31018" s="1025"/>
      <c r="BO31018" s="43"/>
    </row>
    <row r="31019" spans="65:67" ht="18.75" customHeight="1">
      <c r="BM31019" s="1025"/>
      <c r="BO31019" s="43"/>
    </row>
    <row r="31020" spans="65:67" ht="18.75" customHeight="1">
      <c r="BM31020" s="1025"/>
      <c r="BO31020" s="43"/>
    </row>
    <row r="31021" spans="65:67" ht="18.75" customHeight="1">
      <c r="BM31021" s="1025"/>
      <c r="BO31021" s="43"/>
    </row>
    <row r="31022" spans="65:67" ht="18.75" customHeight="1">
      <c r="BM31022" s="1025"/>
      <c r="BO31022" s="43"/>
    </row>
    <row r="31023" spans="65:67" ht="18.75" customHeight="1">
      <c r="BM31023" s="1025"/>
      <c r="BO31023" s="43"/>
    </row>
    <row r="31024" spans="65:67" ht="18.75" customHeight="1">
      <c r="BM31024" s="1025"/>
      <c r="BO31024" s="43"/>
    </row>
    <row r="31025" spans="65:67" ht="18.75" customHeight="1">
      <c r="BM31025" s="1025"/>
      <c r="BO31025" s="43"/>
    </row>
    <row r="31026" spans="65:67" ht="18.75" customHeight="1">
      <c r="BM31026" s="1025"/>
      <c r="BO31026" s="43"/>
    </row>
    <row r="31027" spans="65:67" ht="18.75" customHeight="1">
      <c r="BM31027" s="1025"/>
      <c r="BO31027" s="43"/>
    </row>
    <row r="31028" spans="65:67" ht="18.75" customHeight="1">
      <c r="BM31028" s="1025"/>
      <c r="BO31028" s="43"/>
    </row>
    <row r="31029" spans="65:67" ht="18.75" customHeight="1">
      <c r="BM31029" s="1025"/>
      <c r="BO31029" s="43"/>
    </row>
    <row r="31030" spans="65:67" ht="18.75" customHeight="1">
      <c r="BM31030" s="1025"/>
      <c r="BO31030" s="43"/>
    </row>
    <row r="31031" spans="65:67" ht="18.75" customHeight="1">
      <c r="BM31031" s="1025"/>
      <c r="BO31031" s="43"/>
    </row>
    <row r="31032" spans="65:67" ht="18.75" customHeight="1">
      <c r="BM31032" s="1025"/>
      <c r="BO31032" s="43"/>
    </row>
    <row r="31033" spans="65:67" ht="18.75" customHeight="1">
      <c r="BM31033" s="1025"/>
      <c r="BO31033" s="43"/>
    </row>
    <row r="31034" spans="65:67" ht="18.75" customHeight="1">
      <c r="BM31034" s="1025"/>
      <c r="BO31034" s="43"/>
    </row>
    <row r="31035" spans="65:67" ht="18.75" customHeight="1">
      <c r="BM31035" s="1025"/>
      <c r="BO31035" s="43"/>
    </row>
    <row r="31036" spans="65:67" ht="18.75" customHeight="1">
      <c r="BM31036" s="1025"/>
      <c r="BO31036" s="43"/>
    </row>
    <row r="31037" spans="65:67" ht="18.75" customHeight="1">
      <c r="BM31037" s="1025"/>
      <c r="BO31037" s="43"/>
    </row>
    <row r="31038" spans="65:67" ht="18.75" customHeight="1">
      <c r="BM31038" s="1025"/>
      <c r="BO31038" s="43"/>
    </row>
    <row r="31039" spans="65:67" ht="18.75" customHeight="1">
      <c r="BM31039" s="1025"/>
      <c r="BO31039" s="43"/>
    </row>
    <row r="31040" spans="65:67" ht="18.75" customHeight="1">
      <c r="BM31040" s="1025"/>
      <c r="BO31040" s="43"/>
    </row>
    <row r="31041" spans="65:67" ht="18.75" customHeight="1">
      <c r="BM31041" s="1025"/>
      <c r="BO31041" s="43"/>
    </row>
    <row r="31042" spans="65:67" ht="18.75" customHeight="1">
      <c r="BM31042" s="1025"/>
      <c r="BO31042" s="43"/>
    </row>
    <row r="31043" spans="65:67" ht="18.75" customHeight="1">
      <c r="BM31043" s="1025"/>
      <c r="BO31043" s="43"/>
    </row>
    <row r="31044" spans="65:67" ht="18.75" customHeight="1">
      <c r="BM31044" s="1025"/>
      <c r="BO31044" s="43"/>
    </row>
    <row r="31045" spans="65:67" ht="18.75" customHeight="1">
      <c r="BM31045" s="1025"/>
      <c r="BO31045" s="43"/>
    </row>
    <row r="31046" spans="65:67" ht="18.75" customHeight="1">
      <c r="BM31046" s="1025"/>
      <c r="BO31046" s="43"/>
    </row>
    <row r="31047" spans="65:67" ht="18.75" customHeight="1">
      <c r="BM31047" s="1025"/>
      <c r="BO31047" s="43"/>
    </row>
    <row r="31048" spans="65:67" ht="18.75" customHeight="1">
      <c r="BM31048" s="1025"/>
      <c r="BO31048" s="43"/>
    </row>
    <row r="31049" spans="65:67" ht="18.75" customHeight="1">
      <c r="BM31049" s="1025"/>
      <c r="BO31049" s="43"/>
    </row>
    <row r="31050" spans="65:67" ht="18.75" customHeight="1">
      <c r="BM31050" s="1025"/>
      <c r="BO31050" s="43"/>
    </row>
    <row r="31051" spans="65:67" ht="18.75" customHeight="1">
      <c r="BM31051" s="1025"/>
      <c r="BO31051" s="43"/>
    </row>
    <row r="31052" spans="65:67" ht="18.75" customHeight="1">
      <c r="BM31052" s="1025"/>
      <c r="BO31052" s="43"/>
    </row>
    <row r="31053" spans="65:67" ht="18.75" customHeight="1">
      <c r="BM31053" s="1025"/>
      <c r="BO31053" s="43"/>
    </row>
    <row r="31054" spans="65:67" ht="18.75" customHeight="1">
      <c r="BM31054" s="1025"/>
      <c r="BO31054" s="43"/>
    </row>
    <row r="31055" spans="65:67" ht="18.75" customHeight="1">
      <c r="BM31055" s="1025"/>
      <c r="BO31055" s="43"/>
    </row>
    <row r="31056" spans="65:67" ht="18.75" customHeight="1">
      <c r="BM31056" s="1025"/>
      <c r="BO31056" s="43"/>
    </row>
    <row r="31057" spans="65:67" ht="18.75" customHeight="1">
      <c r="BM31057" s="1025"/>
      <c r="BO31057" s="43"/>
    </row>
    <row r="31058" spans="65:67" ht="18.75" customHeight="1">
      <c r="BM31058" s="1025"/>
      <c r="BO31058" s="43"/>
    </row>
    <row r="31059" spans="65:67" ht="18.75" customHeight="1">
      <c r="BM31059" s="1025"/>
      <c r="BO31059" s="43"/>
    </row>
    <row r="31060" spans="65:67" ht="18.75" customHeight="1">
      <c r="BM31060" s="1025"/>
      <c r="BO31060" s="43"/>
    </row>
    <row r="31061" spans="65:67" ht="18.75" customHeight="1">
      <c r="BM31061" s="1025"/>
      <c r="BO31061" s="43"/>
    </row>
    <row r="31062" spans="65:67" ht="18.75" customHeight="1">
      <c r="BM31062" s="1025"/>
      <c r="BO31062" s="43"/>
    </row>
    <row r="31063" spans="65:67" ht="18.75" customHeight="1">
      <c r="BM31063" s="1025"/>
      <c r="BO31063" s="43"/>
    </row>
    <row r="31064" spans="65:67" ht="18.75" customHeight="1">
      <c r="BM31064" s="1025"/>
      <c r="BO31064" s="43"/>
    </row>
    <row r="31065" spans="65:67" ht="18.75" customHeight="1">
      <c r="BM31065" s="1025"/>
      <c r="BO31065" s="43"/>
    </row>
    <row r="31066" spans="65:67" ht="18.75" customHeight="1">
      <c r="BM31066" s="1025"/>
      <c r="BO31066" s="43"/>
    </row>
    <row r="31067" spans="65:67" ht="18.75" customHeight="1">
      <c r="BM31067" s="1025"/>
      <c r="BO31067" s="43"/>
    </row>
    <row r="31068" spans="65:67" ht="18.75" customHeight="1">
      <c r="BM31068" s="1025"/>
      <c r="BO31068" s="43"/>
    </row>
    <row r="31069" spans="65:67" ht="18.75" customHeight="1">
      <c r="BM31069" s="1025"/>
      <c r="BO31069" s="43"/>
    </row>
    <row r="31070" spans="65:67" ht="18.75" customHeight="1">
      <c r="BM31070" s="1025"/>
      <c r="BO31070" s="43"/>
    </row>
    <row r="31071" spans="65:67" ht="18.75" customHeight="1">
      <c r="BM31071" s="1025"/>
      <c r="BO31071" s="43"/>
    </row>
    <row r="31072" spans="65:67" ht="18.75" customHeight="1">
      <c r="BM31072" s="1025"/>
      <c r="BO31072" s="43"/>
    </row>
    <row r="31073" spans="65:67" ht="18.75" customHeight="1">
      <c r="BM31073" s="1025"/>
      <c r="BO31073" s="43"/>
    </row>
    <row r="31074" spans="65:67" ht="18.75" customHeight="1">
      <c r="BM31074" s="1025"/>
      <c r="BO31074" s="43"/>
    </row>
    <row r="31075" spans="65:67" ht="18.75" customHeight="1">
      <c r="BM31075" s="1025"/>
      <c r="BO31075" s="43"/>
    </row>
    <row r="31076" spans="65:67" ht="18.75" customHeight="1">
      <c r="BM31076" s="1025"/>
      <c r="BO31076" s="43"/>
    </row>
    <row r="31077" spans="65:67" ht="18.75" customHeight="1">
      <c r="BM31077" s="1025"/>
      <c r="BO31077" s="43"/>
    </row>
    <row r="31078" spans="65:67" ht="18.75" customHeight="1">
      <c r="BM31078" s="1025"/>
      <c r="BO31078" s="43"/>
    </row>
    <row r="31079" spans="65:67" ht="18.75" customHeight="1">
      <c r="BM31079" s="1025"/>
      <c r="BO31079" s="43"/>
    </row>
    <row r="31080" spans="65:67" ht="18.75" customHeight="1">
      <c r="BM31080" s="1025"/>
      <c r="BO31080" s="43"/>
    </row>
    <row r="31081" spans="65:67" ht="18.75" customHeight="1">
      <c r="BM31081" s="1025"/>
      <c r="BO31081" s="43"/>
    </row>
    <row r="31082" spans="65:67" ht="18.75" customHeight="1">
      <c r="BM31082" s="1025"/>
      <c r="BO31082" s="43"/>
    </row>
    <row r="31083" spans="65:67" ht="18.75" customHeight="1">
      <c r="BM31083" s="1025"/>
      <c r="BO31083" s="43"/>
    </row>
    <row r="31084" spans="65:67" ht="18.75" customHeight="1">
      <c r="BM31084" s="1025"/>
      <c r="BO31084" s="43"/>
    </row>
    <row r="31085" spans="65:67" ht="18.75" customHeight="1">
      <c r="BM31085" s="1025"/>
      <c r="BO31085" s="43"/>
    </row>
    <row r="31086" spans="65:67" ht="18.75" customHeight="1">
      <c r="BM31086" s="1025"/>
      <c r="BO31086" s="43"/>
    </row>
    <row r="31087" spans="65:67" ht="18.75" customHeight="1">
      <c r="BM31087" s="1025"/>
      <c r="BO31087" s="43"/>
    </row>
    <row r="31088" spans="65:67" ht="18.75" customHeight="1">
      <c r="BM31088" s="1025"/>
      <c r="BO31088" s="43"/>
    </row>
    <row r="31089" spans="65:67" ht="18.75" customHeight="1">
      <c r="BM31089" s="1025"/>
      <c r="BO31089" s="43"/>
    </row>
    <row r="31090" spans="65:67" ht="18.75" customHeight="1">
      <c r="BM31090" s="1025"/>
      <c r="BO31090" s="43"/>
    </row>
    <row r="31091" spans="65:67" ht="18.75" customHeight="1">
      <c r="BM31091" s="1025"/>
      <c r="BO31091" s="43"/>
    </row>
    <row r="31092" spans="65:67" ht="18.75" customHeight="1">
      <c r="BM31092" s="1025"/>
      <c r="BO31092" s="43"/>
    </row>
    <row r="31093" spans="65:67" ht="18.75" customHeight="1">
      <c r="BM31093" s="1025"/>
      <c r="BO31093" s="43"/>
    </row>
    <row r="31094" spans="65:67" ht="18.75" customHeight="1">
      <c r="BM31094" s="1025"/>
      <c r="BO31094" s="43"/>
    </row>
    <row r="31095" spans="65:67" ht="18.75" customHeight="1">
      <c r="BM31095" s="1025"/>
      <c r="BO31095" s="43"/>
    </row>
    <row r="31096" spans="65:67" ht="18.75" customHeight="1">
      <c r="BM31096" s="1025"/>
      <c r="BO31096" s="43"/>
    </row>
    <row r="31097" spans="65:67" ht="18.75" customHeight="1">
      <c r="BM31097" s="1025"/>
      <c r="BO31097" s="43"/>
    </row>
    <row r="31098" spans="65:67" ht="18.75" customHeight="1">
      <c r="BM31098" s="1025"/>
      <c r="BO31098" s="43"/>
    </row>
    <row r="31099" spans="65:67" ht="18.75" customHeight="1">
      <c r="BM31099" s="1025"/>
      <c r="BO31099" s="43"/>
    </row>
    <row r="31100" spans="65:67" ht="18.75" customHeight="1">
      <c r="BM31100" s="1025"/>
      <c r="BO31100" s="43"/>
    </row>
    <row r="31101" spans="65:67" ht="18.75" customHeight="1">
      <c r="BM31101" s="1025"/>
      <c r="BO31101" s="43"/>
    </row>
    <row r="31102" spans="65:67" ht="18.75" customHeight="1">
      <c r="BM31102" s="1025"/>
      <c r="BO31102" s="43"/>
    </row>
    <row r="31103" spans="65:67" ht="18.75" customHeight="1">
      <c r="BM31103" s="1025"/>
      <c r="BO31103" s="43"/>
    </row>
    <row r="31104" spans="65:67" ht="18.75" customHeight="1">
      <c r="BM31104" s="1025"/>
      <c r="BO31104" s="43"/>
    </row>
    <row r="31105" spans="65:67" ht="18.75" customHeight="1">
      <c r="BM31105" s="1025"/>
      <c r="BO31105" s="43"/>
    </row>
    <row r="31106" spans="65:67" ht="18.75" customHeight="1">
      <c r="BM31106" s="1025"/>
      <c r="BO31106" s="43"/>
    </row>
    <row r="31107" spans="65:67" ht="18.75" customHeight="1">
      <c r="BM31107" s="1025"/>
      <c r="BO31107" s="43"/>
    </row>
    <row r="31108" spans="65:67" ht="18.75" customHeight="1">
      <c r="BM31108" s="1025"/>
      <c r="BO31108" s="43"/>
    </row>
    <row r="31109" spans="65:67" ht="18.75" customHeight="1">
      <c r="BM31109" s="1025"/>
      <c r="BO31109" s="43"/>
    </row>
    <row r="31110" spans="65:67" ht="18.75" customHeight="1">
      <c r="BM31110" s="1025"/>
      <c r="BO31110" s="43"/>
    </row>
    <row r="31111" spans="65:67" ht="18.75" customHeight="1">
      <c r="BM31111" s="1025"/>
      <c r="BO31111" s="43"/>
    </row>
    <row r="31112" spans="65:67" ht="18.75" customHeight="1">
      <c r="BM31112" s="1025"/>
      <c r="BO31112" s="43"/>
    </row>
    <row r="31113" spans="65:67" ht="18.75" customHeight="1">
      <c r="BM31113" s="1025"/>
      <c r="BO31113" s="43"/>
    </row>
    <row r="31114" spans="65:67" ht="18.75" customHeight="1">
      <c r="BM31114" s="1025"/>
      <c r="BO31114" s="43"/>
    </row>
    <row r="31115" spans="65:67" ht="18.75" customHeight="1">
      <c r="BM31115" s="1025"/>
      <c r="BO31115" s="43"/>
    </row>
    <row r="31116" spans="65:67" ht="18.75" customHeight="1">
      <c r="BM31116" s="1025"/>
      <c r="BO31116" s="43"/>
    </row>
    <row r="31117" spans="65:67" ht="18.75" customHeight="1">
      <c r="BM31117" s="1025"/>
      <c r="BO31117" s="43"/>
    </row>
    <row r="31118" spans="65:67" ht="18.75" customHeight="1">
      <c r="BM31118" s="1025"/>
      <c r="BO31118" s="43"/>
    </row>
    <row r="31119" spans="65:67" ht="18.75" customHeight="1">
      <c r="BM31119" s="1025"/>
      <c r="BO31119" s="43"/>
    </row>
    <row r="31120" spans="65:67" ht="18.75" customHeight="1">
      <c r="BM31120" s="1025"/>
      <c r="BO31120" s="43"/>
    </row>
    <row r="31121" spans="65:67" ht="18.75" customHeight="1">
      <c r="BM31121" s="1025"/>
      <c r="BO31121" s="43"/>
    </row>
    <row r="31122" spans="65:67" ht="18.75" customHeight="1">
      <c r="BM31122" s="1025"/>
      <c r="BO31122" s="43"/>
    </row>
    <row r="31123" spans="65:67" ht="18.75" customHeight="1">
      <c r="BM31123" s="1025"/>
      <c r="BO31123" s="43"/>
    </row>
    <row r="31124" spans="65:67" ht="18.75" customHeight="1">
      <c r="BM31124" s="1025"/>
      <c r="BO31124" s="43"/>
    </row>
    <row r="31125" spans="65:67" ht="18.75" customHeight="1">
      <c r="BM31125" s="1025"/>
      <c r="BO31125" s="43"/>
    </row>
    <row r="31126" spans="65:67" ht="18.75" customHeight="1">
      <c r="BM31126" s="1025"/>
      <c r="BO31126" s="43"/>
    </row>
    <row r="31127" spans="65:67" ht="18.75" customHeight="1">
      <c r="BM31127" s="1025"/>
      <c r="BO31127" s="43"/>
    </row>
    <row r="31128" spans="65:67" ht="18.75" customHeight="1">
      <c r="BM31128" s="1025"/>
      <c r="BO31128" s="43"/>
    </row>
    <row r="31129" spans="65:67" ht="18.75" customHeight="1">
      <c r="BM31129" s="1025"/>
      <c r="BO31129" s="43"/>
    </row>
    <row r="31130" spans="65:67" ht="18.75" customHeight="1">
      <c r="BM31130" s="1025"/>
      <c r="BO31130" s="43"/>
    </row>
    <row r="31131" spans="65:67" ht="18.75" customHeight="1">
      <c r="BM31131" s="1025"/>
      <c r="BO31131" s="43"/>
    </row>
    <row r="31132" spans="65:67" ht="18.75" customHeight="1">
      <c r="BM31132" s="1025"/>
      <c r="BO31132" s="43"/>
    </row>
    <row r="31133" spans="65:67" ht="18.75" customHeight="1">
      <c r="BM31133" s="1025"/>
      <c r="BO31133" s="43"/>
    </row>
    <row r="31134" spans="65:67" ht="18.75" customHeight="1">
      <c r="BM31134" s="1025"/>
      <c r="BO31134" s="43"/>
    </row>
    <row r="31135" spans="65:67" ht="18.75" customHeight="1">
      <c r="BM31135" s="1025"/>
      <c r="BO31135" s="43"/>
    </row>
    <row r="31136" spans="65:67" ht="18.75" customHeight="1">
      <c r="BM31136" s="1025"/>
      <c r="BO31136" s="43"/>
    </row>
    <row r="31137" spans="65:67" ht="18.75" customHeight="1">
      <c r="BM31137" s="1025"/>
      <c r="BO31137" s="43"/>
    </row>
    <row r="31138" spans="65:67" ht="18.75" customHeight="1">
      <c r="BM31138" s="1025"/>
      <c r="BO31138" s="43"/>
    </row>
    <row r="31139" spans="65:67" ht="18.75" customHeight="1">
      <c r="BM31139" s="1025"/>
      <c r="BO31139" s="43"/>
    </row>
    <row r="31140" spans="65:67" ht="18.75" customHeight="1">
      <c r="BM31140" s="1025"/>
      <c r="BO31140" s="43"/>
    </row>
    <row r="31141" spans="65:67" ht="18.75" customHeight="1">
      <c r="BM31141" s="1025"/>
      <c r="BO31141" s="43"/>
    </row>
    <row r="31142" spans="65:67" ht="18.75" customHeight="1">
      <c r="BM31142" s="1025"/>
      <c r="BO31142" s="43"/>
    </row>
    <row r="31143" spans="65:67" ht="18.75" customHeight="1">
      <c r="BM31143" s="1025"/>
      <c r="BO31143" s="43"/>
    </row>
    <row r="31144" spans="65:67" ht="18.75" customHeight="1">
      <c r="BM31144" s="1025"/>
      <c r="BO31144" s="43"/>
    </row>
    <row r="31145" spans="65:67" ht="18.75" customHeight="1">
      <c r="BM31145" s="1025"/>
      <c r="BO31145" s="43"/>
    </row>
    <row r="31146" spans="65:67" ht="18.75" customHeight="1">
      <c r="BM31146" s="1025"/>
      <c r="BO31146" s="43"/>
    </row>
    <row r="31147" spans="65:67" ht="18.75" customHeight="1">
      <c r="BM31147" s="1025"/>
      <c r="BO31147" s="43"/>
    </row>
    <row r="31148" spans="65:67" ht="18.75" customHeight="1">
      <c r="BM31148" s="1025"/>
      <c r="BO31148" s="43"/>
    </row>
    <row r="31149" spans="65:67" ht="18.75" customHeight="1">
      <c r="BM31149" s="1025"/>
      <c r="BO31149" s="43"/>
    </row>
    <row r="31150" spans="65:67" ht="18.75" customHeight="1">
      <c r="BM31150" s="1025"/>
      <c r="BO31150" s="43"/>
    </row>
    <row r="31151" spans="65:67" ht="18.75" customHeight="1">
      <c r="BM31151" s="1025"/>
      <c r="BO31151" s="43"/>
    </row>
    <row r="31152" spans="65:67" ht="18.75" customHeight="1">
      <c r="BM31152" s="1025"/>
      <c r="BO31152" s="43"/>
    </row>
    <row r="31153" spans="65:67" ht="18.75" customHeight="1">
      <c r="BM31153" s="1025"/>
      <c r="BO31153" s="43"/>
    </row>
    <row r="31154" spans="65:67" ht="18.75" customHeight="1">
      <c r="BM31154" s="1025"/>
      <c r="BO31154" s="43"/>
    </row>
    <row r="31155" spans="65:67" ht="18.75" customHeight="1">
      <c r="BM31155" s="1025"/>
      <c r="BO31155" s="43"/>
    </row>
    <row r="31156" spans="65:67" ht="18.75" customHeight="1">
      <c r="BM31156" s="1025"/>
      <c r="BO31156" s="43"/>
    </row>
    <row r="31157" spans="65:67" ht="18.75" customHeight="1">
      <c r="BM31157" s="1025"/>
      <c r="BO31157" s="43"/>
    </row>
    <row r="31158" spans="65:67" ht="18.75" customHeight="1">
      <c r="BM31158" s="1025"/>
      <c r="BO31158" s="43"/>
    </row>
    <row r="31159" spans="65:67" ht="18.75" customHeight="1">
      <c r="BM31159" s="1025"/>
      <c r="BO31159" s="43"/>
    </row>
    <row r="31160" spans="65:67" ht="18.75" customHeight="1">
      <c r="BM31160" s="1025"/>
      <c r="BO31160" s="43"/>
    </row>
    <row r="31161" spans="65:67" ht="18.75" customHeight="1">
      <c r="BM31161" s="1025"/>
      <c r="BO31161" s="43"/>
    </row>
    <row r="31162" spans="65:67" ht="18.75" customHeight="1">
      <c r="BM31162" s="1025"/>
      <c r="BO31162" s="43"/>
    </row>
    <row r="31163" spans="65:67" ht="18.75" customHeight="1">
      <c r="BM31163" s="1025"/>
      <c r="BO31163" s="43"/>
    </row>
    <row r="31164" spans="65:67" ht="18.75" customHeight="1">
      <c r="BM31164" s="1025"/>
      <c r="BO31164" s="43"/>
    </row>
    <row r="31165" spans="65:67" ht="18.75" customHeight="1">
      <c r="BM31165" s="1025"/>
      <c r="BO31165" s="43"/>
    </row>
    <row r="31166" spans="65:67" ht="18.75" customHeight="1">
      <c r="BM31166" s="1025"/>
      <c r="BO31166" s="43"/>
    </row>
    <row r="31167" spans="65:67" ht="18.75" customHeight="1">
      <c r="BM31167" s="1025"/>
      <c r="BO31167" s="43"/>
    </row>
    <row r="31168" spans="65:67" ht="18.75" customHeight="1">
      <c r="BM31168" s="1025"/>
      <c r="BO31168" s="43"/>
    </row>
    <row r="31169" spans="65:67" ht="18.75" customHeight="1">
      <c r="BM31169" s="1025"/>
      <c r="BO31169" s="43"/>
    </row>
    <row r="31170" spans="65:67" ht="18.75" customHeight="1">
      <c r="BM31170" s="1025"/>
      <c r="BO31170" s="43"/>
    </row>
    <row r="31171" spans="65:67" ht="18.75" customHeight="1">
      <c r="BM31171" s="1025"/>
      <c r="BO31171" s="43"/>
    </row>
    <row r="31172" spans="65:67" ht="18.75" customHeight="1">
      <c r="BM31172" s="1025"/>
      <c r="BO31172" s="43"/>
    </row>
    <row r="31173" spans="65:67" ht="18.75" customHeight="1">
      <c r="BM31173" s="1025"/>
      <c r="BO31173" s="43"/>
    </row>
    <row r="31174" spans="65:67" ht="18.75" customHeight="1">
      <c r="BM31174" s="1025"/>
      <c r="BO31174" s="43"/>
    </row>
    <row r="31175" spans="65:67" ht="18.75" customHeight="1">
      <c r="BM31175" s="1025"/>
      <c r="BO31175" s="43"/>
    </row>
    <row r="31176" spans="65:67" ht="18.75" customHeight="1">
      <c r="BM31176" s="1025"/>
      <c r="BO31176" s="43"/>
    </row>
    <row r="31177" spans="65:67" ht="18.75" customHeight="1">
      <c r="BM31177" s="1025"/>
      <c r="BO31177" s="43"/>
    </row>
    <row r="31178" spans="65:67" ht="18.75" customHeight="1">
      <c r="BM31178" s="1025"/>
      <c r="BO31178" s="43"/>
    </row>
    <row r="31179" spans="65:67" ht="18.75" customHeight="1">
      <c r="BM31179" s="1025"/>
      <c r="BO31179" s="43"/>
    </row>
    <row r="31180" spans="65:67" ht="18.75" customHeight="1">
      <c r="BM31180" s="1025"/>
      <c r="BO31180" s="43"/>
    </row>
    <row r="31181" spans="65:67" ht="18.75" customHeight="1">
      <c r="BM31181" s="1025"/>
      <c r="BO31181" s="43"/>
    </row>
    <row r="31182" spans="65:67" ht="18.75" customHeight="1">
      <c r="BM31182" s="1025"/>
      <c r="BO31182" s="43"/>
    </row>
    <row r="31183" spans="65:67" ht="18.75" customHeight="1">
      <c r="BM31183" s="1025"/>
      <c r="BO31183" s="43"/>
    </row>
    <row r="31184" spans="65:67" ht="18.75" customHeight="1">
      <c r="BM31184" s="1025"/>
      <c r="BO31184" s="43"/>
    </row>
    <row r="31185" spans="65:67" ht="18.75" customHeight="1">
      <c r="BM31185" s="1025"/>
      <c r="BO31185" s="43"/>
    </row>
    <row r="31186" spans="65:67" ht="18.75" customHeight="1">
      <c r="BM31186" s="1025"/>
      <c r="BO31186" s="43"/>
    </row>
    <row r="31187" spans="65:67" ht="18.75" customHeight="1">
      <c r="BM31187" s="1025"/>
      <c r="BO31187" s="43"/>
    </row>
    <row r="31188" spans="65:67" ht="18.75" customHeight="1">
      <c r="BM31188" s="1025"/>
      <c r="BO31188" s="43"/>
    </row>
    <row r="31189" spans="65:67" ht="18.75" customHeight="1">
      <c r="BM31189" s="1025"/>
      <c r="BO31189" s="43"/>
    </row>
    <row r="31190" spans="65:67" ht="18.75" customHeight="1">
      <c r="BM31190" s="1025"/>
      <c r="BO31190" s="43"/>
    </row>
    <row r="31191" spans="65:67" ht="18.75" customHeight="1">
      <c r="BM31191" s="1025"/>
      <c r="BO31191" s="43"/>
    </row>
    <row r="31192" spans="65:67" ht="18.75" customHeight="1">
      <c r="BM31192" s="1025"/>
      <c r="BO31192" s="43"/>
    </row>
    <row r="31193" spans="65:67" ht="18.75" customHeight="1">
      <c r="BM31193" s="1025"/>
      <c r="BO31193" s="43"/>
    </row>
    <row r="31194" spans="65:67" ht="18.75" customHeight="1">
      <c r="BM31194" s="1025"/>
      <c r="BO31194" s="43"/>
    </row>
    <row r="31195" spans="65:67" ht="18.75" customHeight="1">
      <c r="BM31195" s="1025"/>
      <c r="BO31195" s="43"/>
    </row>
    <row r="31196" spans="65:67" ht="18.75" customHeight="1">
      <c r="BM31196" s="1025"/>
      <c r="BO31196" s="43"/>
    </row>
    <row r="31197" spans="65:67" ht="18.75" customHeight="1">
      <c r="BM31197" s="1025"/>
      <c r="BO31197" s="43"/>
    </row>
    <row r="31198" spans="65:67" ht="18.75" customHeight="1">
      <c r="BM31198" s="1025"/>
      <c r="BO31198" s="43"/>
    </row>
    <row r="31199" spans="65:67" ht="18.75" customHeight="1">
      <c r="BM31199" s="1025"/>
      <c r="BO31199" s="43"/>
    </row>
    <row r="31200" spans="65:67" ht="18.75" customHeight="1">
      <c r="BM31200" s="1025"/>
      <c r="BO31200" s="43"/>
    </row>
    <row r="31201" spans="65:67" ht="18.75" customHeight="1">
      <c r="BM31201" s="1025"/>
      <c r="BO31201" s="43"/>
    </row>
    <row r="31202" spans="65:67" ht="18.75" customHeight="1">
      <c r="BM31202" s="1025"/>
      <c r="BO31202" s="43"/>
    </row>
    <row r="31203" spans="65:67" ht="18.75" customHeight="1">
      <c r="BM31203" s="1025"/>
      <c r="BO31203" s="43"/>
    </row>
    <row r="31204" spans="65:67" ht="18.75" customHeight="1">
      <c r="BM31204" s="1025"/>
      <c r="BO31204" s="43"/>
    </row>
    <row r="31205" spans="65:67" ht="18.75" customHeight="1">
      <c r="BM31205" s="1025"/>
      <c r="BO31205" s="43"/>
    </row>
    <row r="31206" spans="65:67" ht="18.75" customHeight="1">
      <c r="BM31206" s="1025"/>
      <c r="BO31206" s="43"/>
    </row>
    <row r="31207" spans="65:67" ht="18.75" customHeight="1">
      <c r="BM31207" s="1025"/>
      <c r="BO31207" s="43"/>
    </row>
    <row r="31208" spans="65:67" ht="18.75" customHeight="1">
      <c r="BM31208" s="1025"/>
      <c r="BO31208" s="43"/>
    </row>
    <row r="31209" spans="65:67" ht="18.75" customHeight="1">
      <c r="BM31209" s="1025"/>
      <c r="BO31209" s="43"/>
    </row>
    <row r="31210" spans="65:67" ht="18.75" customHeight="1">
      <c r="BM31210" s="1025"/>
      <c r="BO31210" s="43"/>
    </row>
    <row r="31211" spans="65:67" ht="18.75" customHeight="1">
      <c r="BM31211" s="1025"/>
      <c r="BO31211" s="43"/>
    </row>
    <row r="31212" spans="65:67" ht="18.75" customHeight="1">
      <c r="BM31212" s="1025"/>
      <c r="BO31212" s="43"/>
    </row>
    <row r="31213" spans="65:67" ht="18.75" customHeight="1">
      <c r="BM31213" s="1025"/>
      <c r="BO31213" s="43"/>
    </row>
    <row r="31214" spans="65:67" ht="18.75" customHeight="1">
      <c r="BM31214" s="1025"/>
      <c r="BO31214" s="43"/>
    </row>
    <row r="31215" spans="65:67" ht="18.75" customHeight="1">
      <c r="BM31215" s="1025"/>
      <c r="BO31215" s="43"/>
    </row>
    <row r="31216" spans="65:67" ht="18.75" customHeight="1">
      <c r="BM31216" s="1025"/>
      <c r="BO31216" s="43"/>
    </row>
    <row r="31217" spans="65:67" ht="18.75" customHeight="1">
      <c r="BM31217" s="1025"/>
      <c r="BO31217" s="43"/>
    </row>
    <row r="31218" spans="65:67" ht="18.75" customHeight="1">
      <c r="BM31218" s="1025"/>
      <c r="BO31218" s="43"/>
    </row>
    <row r="31219" spans="65:67" ht="18.75" customHeight="1">
      <c r="BM31219" s="1025"/>
      <c r="BO31219" s="43"/>
    </row>
    <row r="31220" spans="65:67" ht="18.75" customHeight="1">
      <c r="BM31220" s="1025"/>
      <c r="BO31220" s="43"/>
    </row>
    <row r="31221" spans="65:67" ht="18.75" customHeight="1">
      <c r="BM31221" s="1025"/>
      <c r="BO31221" s="43"/>
    </row>
    <row r="31222" spans="65:67" ht="18.75" customHeight="1">
      <c r="BM31222" s="1025"/>
      <c r="BO31222" s="43"/>
    </row>
    <row r="31223" spans="65:67" ht="18.75" customHeight="1">
      <c r="BM31223" s="1025"/>
      <c r="BO31223" s="43"/>
    </row>
    <row r="31224" spans="65:67" ht="18.75" customHeight="1">
      <c r="BM31224" s="1025"/>
      <c r="BO31224" s="43"/>
    </row>
    <row r="31225" spans="65:67" ht="18.75" customHeight="1">
      <c r="BM31225" s="1025"/>
      <c r="BO31225" s="43"/>
    </row>
    <row r="31226" spans="65:67" ht="18.75" customHeight="1">
      <c r="BM31226" s="1025"/>
      <c r="BO31226" s="43"/>
    </row>
    <row r="31227" spans="65:67" ht="18.75" customHeight="1">
      <c r="BM31227" s="1025"/>
      <c r="BO31227" s="43"/>
    </row>
    <row r="31228" spans="65:67" ht="18.75" customHeight="1">
      <c r="BM31228" s="1025"/>
      <c r="BO31228" s="43"/>
    </row>
    <row r="31229" spans="65:67" ht="18.75" customHeight="1">
      <c r="BM31229" s="1025"/>
      <c r="BO31229" s="43"/>
    </row>
    <row r="31230" spans="65:67" ht="18.75" customHeight="1">
      <c r="BM31230" s="1025"/>
      <c r="BO31230" s="43"/>
    </row>
    <row r="31231" spans="65:67" ht="18.75" customHeight="1">
      <c r="BM31231" s="1025"/>
      <c r="BO31231" s="43"/>
    </row>
    <row r="31232" spans="65:67" ht="18.75" customHeight="1">
      <c r="BM31232" s="1025"/>
      <c r="BO31232" s="43"/>
    </row>
    <row r="31233" spans="65:67" ht="18.75" customHeight="1">
      <c r="BM31233" s="1025"/>
      <c r="BO31233" s="43"/>
    </row>
    <row r="31234" spans="65:67" ht="18.75" customHeight="1">
      <c r="BM31234" s="1025"/>
      <c r="BO31234" s="43"/>
    </row>
    <row r="31235" spans="65:67" ht="18.75" customHeight="1">
      <c r="BM31235" s="1025"/>
      <c r="BO31235" s="43"/>
    </row>
    <row r="31236" spans="65:67" ht="18.75" customHeight="1">
      <c r="BM31236" s="1025"/>
      <c r="BO31236" s="43"/>
    </row>
    <row r="31237" spans="65:67" ht="18.75" customHeight="1">
      <c r="BM31237" s="1025"/>
      <c r="BO31237" s="43"/>
    </row>
    <row r="31238" spans="65:67" ht="18.75" customHeight="1">
      <c r="BM31238" s="1025"/>
      <c r="BO31238" s="43"/>
    </row>
    <row r="31239" spans="65:67" ht="18.75" customHeight="1">
      <c r="BM31239" s="1025"/>
      <c r="BO31239" s="43"/>
    </row>
    <row r="31240" spans="65:67" ht="18.75" customHeight="1">
      <c r="BM31240" s="1025"/>
      <c r="BO31240" s="43"/>
    </row>
    <row r="31241" spans="65:67" ht="18.75" customHeight="1">
      <c r="BM31241" s="1025"/>
      <c r="BO31241" s="43"/>
    </row>
    <row r="31242" spans="65:67" ht="18.75" customHeight="1">
      <c r="BM31242" s="1025"/>
      <c r="BO31242" s="43"/>
    </row>
    <row r="31243" spans="65:67" ht="18.75" customHeight="1">
      <c r="BM31243" s="1025"/>
      <c r="BO31243" s="43"/>
    </row>
    <row r="31244" spans="65:67" ht="18.75" customHeight="1">
      <c r="BM31244" s="1025"/>
      <c r="BO31244" s="43"/>
    </row>
    <row r="31245" spans="65:67" ht="18.75" customHeight="1">
      <c r="BM31245" s="1025"/>
      <c r="BO31245" s="43"/>
    </row>
    <row r="31246" spans="65:67" ht="18.75" customHeight="1">
      <c r="BM31246" s="1025"/>
      <c r="BO31246" s="43"/>
    </row>
    <row r="31247" spans="65:67" ht="18.75" customHeight="1">
      <c r="BM31247" s="1025"/>
      <c r="BO31247" s="43"/>
    </row>
    <row r="31248" spans="65:67" ht="18.75" customHeight="1">
      <c r="BM31248" s="1025"/>
      <c r="BO31248" s="43"/>
    </row>
    <row r="31249" spans="65:67" ht="18.75" customHeight="1">
      <c r="BM31249" s="1025"/>
      <c r="BO31249" s="43"/>
    </row>
    <row r="31250" spans="65:67" ht="18.75" customHeight="1">
      <c r="BM31250" s="1025"/>
      <c r="BO31250" s="43"/>
    </row>
    <row r="31251" spans="65:67" ht="18.75" customHeight="1">
      <c r="BM31251" s="1025"/>
      <c r="BO31251" s="43"/>
    </row>
    <row r="31252" spans="65:67" ht="18.75" customHeight="1">
      <c r="BM31252" s="1025"/>
      <c r="BO31252" s="43"/>
    </row>
    <row r="31253" spans="65:67" ht="18.75" customHeight="1">
      <c r="BM31253" s="1025"/>
      <c r="BO31253" s="43"/>
    </row>
    <row r="31254" spans="65:67" ht="18.75" customHeight="1">
      <c r="BM31254" s="1025"/>
      <c r="BO31254" s="43"/>
    </row>
    <row r="31255" spans="65:67" ht="18.75" customHeight="1">
      <c r="BM31255" s="1025"/>
      <c r="BO31255" s="43"/>
    </row>
    <row r="31256" spans="65:67" ht="18.75" customHeight="1">
      <c r="BM31256" s="1025"/>
      <c r="BO31256" s="43"/>
    </row>
    <row r="31257" spans="65:67" ht="18.75" customHeight="1">
      <c r="BM31257" s="1025"/>
      <c r="BO31257" s="43"/>
    </row>
    <row r="31258" spans="65:67" ht="18.75" customHeight="1">
      <c r="BM31258" s="1025"/>
      <c r="BO31258" s="43"/>
    </row>
    <row r="31259" spans="65:67" ht="18.75" customHeight="1">
      <c r="BM31259" s="1025"/>
      <c r="BO31259" s="43"/>
    </row>
    <row r="31260" spans="65:67" ht="18.75" customHeight="1">
      <c r="BM31260" s="1025"/>
      <c r="BO31260" s="43"/>
    </row>
    <row r="31261" spans="65:67" ht="18.75" customHeight="1">
      <c r="BM31261" s="1025"/>
      <c r="BO31261" s="43"/>
    </row>
    <row r="31262" spans="65:67" ht="18.75" customHeight="1">
      <c r="BM31262" s="1025"/>
      <c r="BO31262" s="43"/>
    </row>
    <row r="31263" spans="65:67" ht="18.75" customHeight="1">
      <c r="BM31263" s="1025"/>
      <c r="BO31263" s="43"/>
    </row>
    <row r="31264" spans="65:67" ht="18.75" customHeight="1">
      <c r="BM31264" s="1025"/>
      <c r="BO31264" s="43"/>
    </row>
    <row r="31265" spans="65:67" ht="18.75" customHeight="1">
      <c r="BM31265" s="1025"/>
      <c r="BO31265" s="43"/>
    </row>
    <row r="31266" spans="65:67" ht="18.75" customHeight="1">
      <c r="BM31266" s="1025"/>
      <c r="BO31266" s="43"/>
    </row>
    <row r="31267" spans="65:67" ht="18.75" customHeight="1">
      <c r="BM31267" s="1025"/>
      <c r="BO31267" s="43"/>
    </row>
    <row r="31268" spans="65:67" ht="18.75" customHeight="1">
      <c r="BM31268" s="1025"/>
      <c r="BO31268" s="43"/>
    </row>
    <row r="31269" spans="65:67" ht="18.75" customHeight="1">
      <c r="BM31269" s="1025"/>
      <c r="BO31269" s="43"/>
    </row>
    <row r="31270" spans="65:67" ht="18.75" customHeight="1">
      <c r="BM31270" s="1025"/>
      <c r="BO31270" s="43"/>
    </row>
    <row r="31271" spans="65:67" ht="18.75" customHeight="1">
      <c r="BM31271" s="1025"/>
      <c r="BO31271" s="43"/>
    </row>
    <row r="31272" spans="65:67" ht="18.75" customHeight="1">
      <c r="BM31272" s="1025"/>
      <c r="BO31272" s="43"/>
    </row>
    <row r="31273" spans="65:67" ht="18.75" customHeight="1">
      <c r="BM31273" s="1025"/>
      <c r="BO31273" s="43"/>
    </row>
    <row r="31274" spans="65:67" ht="18.75" customHeight="1">
      <c r="BM31274" s="1025"/>
      <c r="BO31274" s="43"/>
    </row>
    <row r="31275" spans="65:67" ht="18.75" customHeight="1">
      <c r="BM31275" s="1025"/>
      <c r="BO31275" s="43"/>
    </row>
    <row r="31276" spans="65:67" ht="18.75" customHeight="1">
      <c r="BM31276" s="1025"/>
      <c r="BO31276" s="43"/>
    </row>
    <row r="31277" spans="65:67" ht="18.75" customHeight="1">
      <c r="BM31277" s="1025"/>
      <c r="BO31277" s="43"/>
    </row>
    <row r="31278" spans="65:67" ht="18.75" customHeight="1">
      <c r="BM31278" s="1025"/>
      <c r="BO31278" s="43"/>
    </row>
    <row r="31279" spans="65:67" ht="18.75" customHeight="1">
      <c r="BM31279" s="1025"/>
      <c r="BO31279" s="43"/>
    </row>
    <row r="31280" spans="65:67" ht="18.75" customHeight="1">
      <c r="BM31280" s="1025"/>
      <c r="BO31280" s="43"/>
    </row>
    <row r="31281" spans="65:67" ht="18.75" customHeight="1">
      <c r="BM31281" s="1025"/>
      <c r="BO31281" s="43"/>
    </row>
    <row r="31282" spans="65:67" ht="18.75" customHeight="1">
      <c r="BM31282" s="1025"/>
      <c r="BO31282" s="43"/>
    </row>
    <row r="31283" spans="65:67" ht="18.75" customHeight="1">
      <c r="BM31283" s="1025"/>
      <c r="BO31283" s="43"/>
    </row>
    <row r="31284" spans="65:67" ht="18.75" customHeight="1">
      <c r="BM31284" s="1025"/>
      <c r="BO31284" s="43"/>
    </row>
    <row r="31285" spans="65:67" ht="18.75" customHeight="1">
      <c r="BM31285" s="1025"/>
      <c r="BO31285" s="43"/>
    </row>
    <row r="31286" spans="65:67" ht="18.75" customHeight="1">
      <c r="BM31286" s="1025"/>
      <c r="BO31286" s="43"/>
    </row>
    <row r="31287" spans="65:67" ht="18.75" customHeight="1">
      <c r="BM31287" s="1025"/>
      <c r="BO31287" s="43"/>
    </row>
    <row r="31288" spans="65:67" ht="18.75" customHeight="1">
      <c r="BM31288" s="1025"/>
      <c r="BO31288" s="43"/>
    </row>
    <row r="31289" spans="65:67" ht="18.75" customHeight="1">
      <c r="BM31289" s="1025"/>
      <c r="BO31289" s="43"/>
    </row>
    <row r="31290" spans="65:67" ht="18.75" customHeight="1">
      <c r="BM31290" s="1025"/>
      <c r="BO31290" s="43"/>
    </row>
    <row r="31291" spans="65:67" ht="18.75" customHeight="1">
      <c r="BM31291" s="1025"/>
      <c r="BO31291" s="43"/>
    </row>
    <row r="31292" spans="65:67" ht="18.75" customHeight="1">
      <c r="BM31292" s="1025"/>
      <c r="BO31292" s="43"/>
    </row>
    <row r="31293" spans="65:67" ht="18.75" customHeight="1">
      <c r="BM31293" s="1025"/>
      <c r="BO31293" s="43"/>
    </row>
    <row r="31294" spans="65:67" ht="18.75" customHeight="1">
      <c r="BM31294" s="1025"/>
      <c r="BO31294" s="43"/>
    </row>
    <row r="31295" spans="65:67" ht="18.75" customHeight="1">
      <c r="BM31295" s="1025"/>
      <c r="BO31295" s="43"/>
    </row>
    <row r="31296" spans="65:67" ht="18.75" customHeight="1">
      <c r="BM31296" s="1025"/>
      <c r="BO31296" s="43"/>
    </row>
    <row r="31297" spans="65:67" ht="18.75" customHeight="1">
      <c r="BM31297" s="1025"/>
      <c r="BO31297" s="43"/>
    </row>
    <row r="31298" spans="65:67" ht="18.75" customHeight="1">
      <c r="BM31298" s="1025"/>
      <c r="BO31298" s="43"/>
    </row>
    <row r="31299" spans="65:67" ht="18.75" customHeight="1">
      <c r="BM31299" s="1025"/>
      <c r="BO31299" s="43"/>
    </row>
    <row r="31300" spans="65:67" ht="18.75" customHeight="1">
      <c r="BM31300" s="1025"/>
      <c r="BO31300" s="43"/>
    </row>
    <row r="31301" spans="65:67" ht="18.75" customHeight="1">
      <c r="BM31301" s="1025"/>
      <c r="BO31301" s="43"/>
    </row>
    <row r="31302" spans="65:67" ht="18.75" customHeight="1">
      <c r="BM31302" s="1025"/>
      <c r="BO31302" s="43"/>
    </row>
    <row r="31303" spans="65:67" ht="18.75" customHeight="1">
      <c r="BM31303" s="1025"/>
      <c r="BO31303" s="43"/>
    </row>
    <row r="31304" spans="65:67" ht="18.75" customHeight="1">
      <c r="BM31304" s="1025"/>
      <c r="BO31304" s="43"/>
    </row>
    <row r="31305" spans="65:67" ht="18.75" customHeight="1">
      <c r="BM31305" s="1025"/>
      <c r="BO31305" s="43"/>
    </row>
    <row r="31306" spans="65:67" ht="18.75" customHeight="1">
      <c r="BM31306" s="1025"/>
      <c r="BO31306" s="43"/>
    </row>
    <row r="31307" spans="65:67" ht="18.75" customHeight="1">
      <c r="BM31307" s="1025"/>
      <c r="BO31307" s="43"/>
    </row>
    <row r="31308" spans="65:67" ht="18.75" customHeight="1">
      <c r="BM31308" s="1025"/>
      <c r="BO31308" s="43"/>
    </row>
    <row r="31309" spans="65:67" ht="18.75" customHeight="1">
      <c r="BM31309" s="1025"/>
      <c r="BO31309" s="43"/>
    </row>
    <row r="31310" spans="65:67" ht="18.75" customHeight="1">
      <c r="BM31310" s="1025"/>
      <c r="BO31310" s="43"/>
    </row>
    <row r="31311" spans="65:67" ht="18.75" customHeight="1">
      <c r="BM31311" s="1025"/>
      <c r="BO31311" s="43"/>
    </row>
    <row r="31312" spans="65:67" ht="18.75" customHeight="1">
      <c r="BM31312" s="1025"/>
      <c r="BO31312" s="43"/>
    </row>
    <row r="31313" spans="65:67" ht="18.75" customHeight="1">
      <c r="BM31313" s="1025"/>
      <c r="BO31313" s="43"/>
    </row>
    <row r="31314" spans="65:67" ht="18.75" customHeight="1">
      <c r="BM31314" s="1025"/>
      <c r="BO31314" s="43"/>
    </row>
    <row r="31315" spans="65:67" ht="18.75" customHeight="1">
      <c r="BM31315" s="1025"/>
      <c r="BO31315" s="43"/>
    </row>
    <row r="31316" spans="65:67" ht="18.75" customHeight="1">
      <c r="BM31316" s="1025"/>
      <c r="BO31316" s="43"/>
    </row>
    <row r="31317" spans="65:67" ht="18.75" customHeight="1">
      <c r="BM31317" s="1025"/>
      <c r="BO31317" s="43"/>
    </row>
    <row r="31318" spans="65:67" ht="18.75" customHeight="1">
      <c r="BM31318" s="1025"/>
      <c r="BO31318" s="43"/>
    </row>
    <row r="31319" spans="65:67" ht="18.75" customHeight="1">
      <c r="BM31319" s="1025"/>
      <c r="BO31319" s="43"/>
    </row>
    <row r="31320" spans="65:67" ht="18.75" customHeight="1">
      <c r="BM31320" s="1025"/>
      <c r="BO31320" s="43"/>
    </row>
    <row r="31321" spans="65:67" ht="18.75" customHeight="1">
      <c r="BM31321" s="1025"/>
      <c r="BO31321" s="43"/>
    </row>
    <row r="31322" spans="65:67" ht="18.75" customHeight="1">
      <c r="BM31322" s="1025"/>
      <c r="BO31322" s="43"/>
    </row>
    <row r="31323" spans="65:67" ht="18.75" customHeight="1">
      <c r="BM31323" s="1025"/>
      <c r="BO31323" s="43"/>
    </row>
    <row r="31324" spans="65:67" ht="18.75" customHeight="1">
      <c r="BM31324" s="1025"/>
      <c r="BO31324" s="43"/>
    </row>
    <row r="31325" spans="65:67" ht="18.75" customHeight="1">
      <c r="BM31325" s="1025"/>
      <c r="BO31325" s="43"/>
    </row>
    <row r="31326" spans="65:67" ht="18.75" customHeight="1">
      <c r="BM31326" s="1025"/>
      <c r="BO31326" s="43"/>
    </row>
    <row r="31327" spans="65:67" ht="18.75" customHeight="1">
      <c r="BM31327" s="1025"/>
      <c r="BO31327" s="43"/>
    </row>
    <row r="31328" spans="65:67" ht="18.75" customHeight="1">
      <c r="BM31328" s="1025"/>
      <c r="BO31328" s="43"/>
    </row>
    <row r="31329" spans="65:67" ht="18.75" customHeight="1">
      <c r="BM31329" s="1025"/>
      <c r="BO31329" s="43"/>
    </row>
    <row r="31330" spans="65:67" ht="18.75" customHeight="1">
      <c r="BM31330" s="1025"/>
      <c r="BO31330" s="43"/>
    </row>
    <row r="31331" spans="65:67" ht="18.75" customHeight="1">
      <c r="BM31331" s="1025"/>
      <c r="BO31331" s="43"/>
    </row>
    <row r="31332" spans="65:67" ht="18.75" customHeight="1">
      <c r="BM31332" s="1025"/>
      <c r="BO31332" s="43"/>
    </row>
    <row r="31333" spans="65:67" ht="18.75" customHeight="1">
      <c r="BM31333" s="1025"/>
      <c r="BO31333" s="43"/>
    </row>
    <row r="31334" spans="65:67" ht="18.75" customHeight="1">
      <c r="BM31334" s="1025"/>
      <c r="BO31334" s="43"/>
    </row>
    <row r="31335" spans="65:67" ht="18.75" customHeight="1">
      <c r="BM31335" s="1025"/>
      <c r="BO31335" s="43"/>
    </row>
    <row r="31336" spans="65:67" ht="18.75" customHeight="1">
      <c r="BM31336" s="1025"/>
      <c r="BO31336" s="43"/>
    </row>
    <row r="31337" spans="65:67" ht="18.75" customHeight="1">
      <c r="BM31337" s="1025"/>
      <c r="BO31337" s="43"/>
    </row>
    <row r="31338" spans="65:67" ht="18.75" customHeight="1">
      <c r="BM31338" s="1025"/>
      <c r="BO31338" s="43"/>
    </row>
    <row r="31339" spans="65:67" ht="18.75" customHeight="1">
      <c r="BM31339" s="1025"/>
      <c r="BO31339" s="43"/>
    </row>
    <row r="31340" spans="65:67" ht="18.75" customHeight="1">
      <c r="BM31340" s="1025"/>
      <c r="BO31340" s="43"/>
    </row>
    <row r="31341" spans="65:67" ht="18.75" customHeight="1">
      <c r="BM31341" s="1025"/>
      <c r="BO31341" s="43"/>
    </row>
    <row r="31342" spans="65:67" ht="18.75" customHeight="1">
      <c r="BM31342" s="1025"/>
      <c r="BO31342" s="43"/>
    </row>
    <row r="31343" spans="65:67" ht="18.75" customHeight="1">
      <c r="BM31343" s="1025"/>
      <c r="BO31343" s="43"/>
    </row>
    <row r="31344" spans="65:67" ht="18.75" customHeight="1">
      <c r="BM31344" s="1025"/>
      <c r="BO31344" s="43"/>
    </row>
    <row r="31345" spans="65:67" ht="18.75" customHeight="1">
      <c r="BM31345" s="1025"/>
      <c r="BO31345" s="43"/>
    </row>
    <row r="31346" spans="65:67" ht="18.75" customHeight="1">
      <c r="BM31346" s="1025"/>
      <c r="BO31346" s="43"/>
    </row>
    <row r="31347" spans="65:67" ht="18.75" customHeight="1">
      <c r="BM31347" s="1025"/>
      <c r="BO31347" s="43"/>
    </row>
    <row r="31348" spans="65:67" ht="18.75" customHeight="1">
      <c r="BM31348" s="1025"/>
      <c r="BO31348" s="43"/>
    </row>
    <row r="31349" spans="65:67" ht="18.75" customHeight="1">
      <c r="BM31349" s="1025"/>
      <c r="BO31349" s="43"/>
    </row>
    <row r="31350" spans="65:67" ht="18.75" customHeight="1">
      <c r="BM31350" s="1025"/>
      <c r="BO31350" s="43"/>
    </row>
    <row r="31351" spans="65:67" ht="18.75" customHeight="1">
      <c r="BM31351" s="1025"/>
      <c r="BO31351" s="43"/>
    </row>
    <row r="31352" spans="65:67" ht="18.75" customHeight="1">
      <c r="BM31352" s="1025"/>
      <c r="BO31352" s="43"/>
    </row>
    <row r="31353" spans="65:67" ht="18.75" customHeight="1">
      <c r="BM31353" s="1025"/>
      <c r="BO31353" s="43"/>
    </row>
    <row r="31354" spans="65:67" ht="18.75" customHeight="1">
      <c r="BM31354" s="1025"/>
      <c r="BO31354" s="43"/>
    </row>
    <row r="31355" spans="65:67" ht="18.75" customHeight="1">
      <c r="BM31355" s="1025"/>
      <c r="BO31355" s="43"/>
    </row>
    <row r="31356" spans="65:67" ht="18.75" customHeight="1">
      <c r="BM31356" s="1025"/>
      <c r="BO31356" s="43"/>
    </row>
    <row r="31357" spans="65:67" ht="18.75" customHeight="1">
      <c r="BM31357" s="1025"/>
      <c r="BO31357" s="43"/>
    </row>
    <row r="31358" spans="65:67" ht="18.75" customHeight="1">
      <c r="BM31358" s="1025"/>
      <c r="BO31358" s="43"/>
    </row>
    <row r="31359" spans="65:67" ht="18.75" customHeight="1">
      <c r="BM31359" s="1025"/>
      <c r="BO31359" s="43"/>
    </row>
    <row r="31360" spans="65:67" ht="18.75" customHeight="1">
      <c r="BM31360" s="1025"/>
      <c r="BO31360" s="43"/>
    </row>
    <row r="31361" spans="65:67" ht="18.75" customHeight="1">
      <c r="BM31361" s="1025"/>
      <c r="BO31361" s="43"/>
    </row>
    <row r="31362" spans="65:67" ht="18.75" customHeight="1">
      <c r="BM31362" s="1025"/>
      <c r="BO31362" s="43"/>
    </row>
    <row r="31363" spans="65:67" ht="18.75" customHeight="1">
      <c r="BM31363" s="1025"/>
      <c r="BO31363" s="43"/>
    </row>
    <row r="31364" spans="65:67" ht="18.75" customHeight="1">
      <c r="BM31364" s="1025"/>
      <c r="BO31364" s="43"/>
    </row>
    <row r="31365" spans="65:67" ht="18.75" customHeight="1">
      <c r="BM31365" s="1025"/>
      <c r="BO31365" s="43"/>
    </row>
    <row r="31366" spans="65:67" ht="18.75" customHeight="1">
      <c r="BM31366" s="1025"/>
      <c r="BO31366" s="43"/>
    </row>
    <row r="31367" spans="65:67" ht="18.75" customHeight="1">
      <c r="BM31367" s="1025"/>
      <c r="BO31367" s="43"/>
    </row>
    <row r="31368" spans="65:67" ht="18.75" customHeight="1">
      <c r="BM31368" s="1025"/>
      <c r="BO31368" s="43"/>
    </row>
    <row r="31369" spans="65:67" ht="18.75" customHeight="1">
      <c r="BM31369" s="1025"/>
      <c r="BO31369" s="43"/>
    </row>
    <row r="31370" spans="65:67" ht="18.75" customHeight="1">
      <c r="BM31370" s="1025"/>
      <c r="BO31370" s="43"/>
    </row>
    <row r="31371" spans="65:67" ht="18.75" customHeight="1">
      <c r="BM31371" s="1025"/>
      <c r="BO31371" s="43"/>
    </row>
    <row r="31372" spans="65:67" ht="18.75" customHeight="1">
      <c r="BM31372" s="1025"/>
      <c r="BO31372" s="43"/>
    </row>
    <row r="31373" spans="65:67" ht="18.75" customHeight="1">
      <c r="BM31373" s="1025"/>
      <c r="BO31373" s="43"/>
    </row>
    <row r="31374" spans="65:67" ht="18.75" customHeight="1">
      <c r="BM31374" s="1025"/>
      <c r="BO31374" s="43"/>
    </row>
    <row r="31375" spans="65:67" ht="18.75" customHeight="1">
      <c r="BM31375" s="1025"/>
      <c r="BO31375" s="43"/>
    </row>
    <row r="31376" spans="65:67" ht="18.75" customHeight="1">
      <c r="BM31376" s="1025"/>
      <c r="BO31376" s="43"/>
    </row>
    <row r="31377" spans="65:67" ht="18.75" customHeight="1">
      <c r="BM31377" s="1025"/>
      <c r="BO31377" s="43"/>
    </row>
    <row r="31378" spans="65:67" ht="18.75" customHeight="1">
      <c r="BM31378" s="1025"/>
      <c r="BO31378" s="43"/>
    </row>
    <row r="31379" spans="65:67" ht="18.75" customHeight="1">
      <c r="BM31379" s="1025"/>
      <c r="BO31379" s="43"/>
    </row>
    <row r="31380" spans="65:67" ht="18.75" customHeight="1">
      <c r="BM31380" s="1025"/>
      <c r="BO31380" s="43"/>
    </row>
    <row r="31381" spans="65:67" ht="18.75" customHeight="1">
      <c r="BM31381" s="1025"/>
      <c r="BO31381" s="43"/>
    </row>
    <row r="31382" spans="65:67" ht="18.75" customHeight="1">
      <c r="BM31382" s="1025"/>
      <c r="BO31382" s="43"/>
    </row>
    <row r="31383" spans="65:67" ht="18.75" customHeight="1">
      <c r="BM31383" s="1025"/>
      <c r="BO31383" s="43"/>
    </row>
    <row r="31384" spans="65:67" ht="18.75" customHeight="1">
      <c r="BM31384" s="1025"/>
      <c r="BO31384" s="43"/>
    </row>
    <row r="31385" spans="65:67" ht="18.75" customHeight="1">
      <c r="BM31385" s="1025"/>
      <c r="BO31385" s="43"/>
    </row>
    <row r="31386" spans="65:67" ht="18.75" customHeight="1">
      <c r="BM31386" s="1025"/>
      <c r="BO31386" s="43"/>
    </row>
    <row r="31387" spans="65:67" ht="18.75" customHeight="1">
      <c r="BM31387" s="1025"/>
      <c r="BO31387" s="43"/>
    </row>
    <row r="31388" spans="65:67" ht="18.75" customHeight="1">
      <c r="BM31388" s="1025"/>
      <c r="BO31388" s="43"/>
    </row>
    <row r="31389" spans="65:67" ht="18.75" customHeight="1">
      <c r="BM31389" s="1025"/>
      <c r="BO31389" s="43"/>
    </row>
    <row r="31390" spans="65:67" ht="18.75" customHeight="1">
      <c r="BM31390" s="1025"/>
      <c r="BO31390" s="43"/>
    </row>
    <row r="31391" spans="65:67" ht="18.75" customHeight="1">
      <c r="BM31391" s="1025"/>
      <c r="BO31391" s="43"/>
    </row>
    <row r="31392" spans="65:67" ht="18.75" customHeight="1">
      <c r="BM31392" s="1025"/>
      <c r="BO31392" s="43"/>
    </row>
    <row r="31393" spans="65:67" ht="18.75" customHeight="1">
      <c r="BM31393" s="1025"/>
      <c r="BO31393" s="43"/>
    </row>
    <row r="31394" spans="65:67" ht="18.75" customHeight="1">
      <c r="BM31394" s="1025"/>
      <c r="BO31394" s="43"/>
    </row>
    <row r="31395" spans="65:67" ht="18.75" customHeight="1">
      <c r="BM31395" s="1025"/>
      <c r="BO31395" s="43"/>
    </row>
    <row r="31396" spans="65:67" ht="18.75" customHeight="1">
      <c r="BM31396" s="1025"/>
      <c r="BO31396" s="43"/>
    </row>
    <row r="31397" spans="65:67" ht="18.75" customHeight="1">
      <c r="BM31397" s="1025"/>
      <c r="BO31397" s="43"/>
    </row>
    <row r="31398" spans="65:67" ht="18.75" customHeight="1">
      <c r="BM31398" s="1025"/>
      <c r="BO31398" s="43"/>
    </row>
    <row r="31399" spans="65:67" ht="18.75" customHeight="1">
      <c r="BM31399" s="1025"/>
      <c r="BO31399" s="43"/>
    </row>
    <row r="31400" spans="65:67" ht="18.75" customHeight="1">
      <c r="BM31400" s="1025"/>
      <c r="BO31400" s="43"/>
    </row>
    <row r="31401" spans="65:67" ht="18.75" customHeight="1">
      <c r="BM31401" s="1025"/>
      <c r="BO31401" s="43"/>
    </row>
    <row r="31402" spans="65:67" ht="18.75" customHeight="1">
      <c r="BM31402" s="1025"/>
      <c r="BO31402" s="43"/>
    </row>
    <row r="31403" spans="65:67" ht="18.75" customHeight="1">
      <c r="BM31403" s="1025"/>
      <c r="BO31403" s="43"/>
    </row>
    <row r="31404" spans="65:67" ht="18.75" customHeight="1">
      <c r="BM31404" s="1025"/>
      <c r="BO31404" s="43"/>
    </row>
    <row r="31405" spans="65:67" ht="18.75" customHeight="1">
      <c r="BM31405" s="1025"/>
      <c r="BO31405" s="43"/>
    </row>
    <row r="31406" spans="65:67" ht="18.75" customHeight="1">
      <c r="BM31406" s="1025"/>
      <c r="BO31406" s="43"/>
    </row>
    <row r="31407" spans="65:67" ht="18.75" customHeight="1">
      <c r="BM31407" s="1025"/>
      <c r="BO31407" s="43"/>
    </row>
    <row r="31408" spans="65:67" ht="18.75" customHeight="1">
      <c r="BM31408" s="1025"/>
      <c r="BO31408" s="43"/>
    </row>
    <row r="31409" spans="65:67" ht="18.75" customHeight="1">
      <c r="BM31409" s="1025"/>
      <c r="BO31409" s="43"/>
    </row>
    <row r="31410" spans="65:67" ht="18.75" customHeight="1">
      <c r="BM31410" s="1025"/>
      <c r="BO31410" s="43"/>
    </row>
    <row r="31411" spans="65:67" ht="18.75" customHeight="1">
      <c r="BM31411" s="1025"/>
      <c r="BO31411" s="43"/>
    </row>
    <row r="31412" spans="65:67" ht="18.75" customHeight="1">
      <c r="BM31412" s="1025"/>
      <c r="BO31412" s="43"/>
    </row>
    <row r="31413" spans="65:67" ht="18.75" customHeight="1">
      <c r="BM31413" s="1025"/>
      <c r="BO31413" s="43"/>
    </row>
    <row r="31414" spans="65:67" ht="18.75" customHeight="1">
      <c r="BM31414" s="1025"/>
      <c r="BO31414" s="43"/>
    </row>
    <row r="31415" spans="65:67" ht="18.75" customHeight="1">
      <c r="BM31415" s="1025"/>
      <c r="BO31415" s="43"/>
    </row>
    <row r="31416" spans="65:67" ht="18.75" customHeight="1">
      <c r="BM31416" s="1025"/>
      <c r="BO31416" s="43"/>
    </row>
    <row r="31417" spans="65:67" ht="18.75" customHeight="1">
      <c r="BM31417" s="1025"/>
      <c r="BO31417" s="43"/>
    </row>
    <row r="31418" spans="65:67" ht="18.75" customHeight="1">
      <c r="BM31418" s="1025"/>
      <c r="BO31418" s="43"/>
    </row>
    <row r="31419" spans="65:67" ht="18.75" customHeight="1">
      <c r="BM31419" s="1025"/>
      <c r="BO31419" s="43"/>
    </row>
    <row r="31420" spans="65:67" ht="18.75" customHeight="1">
      <c r="BM31420" s="1025"/>
      <c r="BO31420" s="43"/>
    </row>
    <row r="31421" spans="65:67" ht="18.75" customHeight="1">
      <c r="BM31421" s="1025"/>
      <c r="BO31421" s="43"/>
    </row>
    <row r="31422" spans="65:67" ht="18.75" customHeight="1">
      <c r="BM31422" s="1025"/>
      <c r="BO31422" s="43"/>
    </row>
    <row r="31423" spans="65:67" ht="18.75" customHeight="1">
      <c r="BM31423" s="1025"/>
      <c r="BO31423" s="43"/>
    </row>
    <row r="31424" spans="65:67" ht="18.75" customHeight="1">
      <c r="BM31424" s="1025"/>
      <c r="BO31424" s="43"/>
    </row>
    <row r="31425" spans="65:67" ht="18.75" customHeight="1">
      <c r="BM31425" s="1025"/>
      <c r="BO31425" s="43"/>
    </row>
    <row r="31426" spans="65:67" ht="18.75" customHeight="1">
      <c r="BM31426" s="1025"/>
      <c r="BO31426" s="43"/>
    </row>
    <row r="31427" spans="65:67" ht="18.75" customHeight="1">
      <c r="BM31427" s="1025"/>
      <c r="BO31427" s="43"/>
    </row>
    <row r="31428" spans="65:67" ht="18.75" customHeight="1">
      <c r="BM31428" s="1025"/>
      <c r="BO31428" s="43"/>
    </row>
    <row r="31429" spans="65:67" ht="18.75" customHeight="1">
      <c r="BM31429" s="1025"/>
      <c r="BO31429" s="43"/>
    </row>
    <row r="31430" spans="65:67" ht="18.75" customHeight="1">
      <c r="BM31430" s="1025"/>
      <c r="BO31430" s="43"/>
    </row>
    <row r="31431" spans="65:67" ht="18.75" customHeight="1">
      <c r="BM31431" s="1025"/>
      <c r="BO31431" s="43"/>
    </row>
    <row r="31432" spans="65:67" ht="18.75" customHeight="1">
      <c r="BM31432" s="1025"/>
      <c r="BO31432" s="43"/>
    </row>
    <row r="31433" spans="65:67" ht="18.75" customHeight="1">
      <c r="BM31433" s="1025"/>
      <c r="BO31433" s="43"/>
    </row>
    <row r="31434" spans="65:67" ht="18.75" customHeight="1">
      <c r="BM31434" s="1025"/>
      <c r="BO31434" s="43"/>
    </row>
    <row r="31435" spans="65:67" ht="18.75" customHeight="1">
      <c r="BM31435" s="1025"/>
      <c r="BO31435" s="43"/>
    </row>
    <row r="31436" spans="65:67" ht="18.75" customHeight="1">
      <c r="BM31436" s="1025"/>
      <c r="BO31436" s="43"/>
    </row>
    <row r="31437" spans="65:67" ht="18.75" customHeight="1">
      <c r="BM31437" s="1025"/>
      <c r="BO31437" s="43"/>
    </row>
    <row r="31438" spans="65:67" ht="18.75" customHeight="1">
      <c r="BM31438" s="1025"/>
      <c r="BO31438" s="43"/>
    </row>
    <row r="31439" spans="65:67" ht="18.75" customHeight="1">
      <c r="BM31439" s="1025"/>
      <c r="BO31439" s="43"/>
    </row>
    <row r="31440" spans="65:67" ht="18.75" customHeight="1">
      <c r="BM31440" s="1025"/>
      <c r="BO31440" s="43"/>
    </row>
    <row r="31441" spans="65:67" ht="18.75" customHeight="1">
      <c r="BM31441" s="1025"/>
      <c r="BO31441" s="43"/>
    </row>
    <row r="31442" spans="65:67" ht="18.75" customHeight="1">
      <c r="BM31442" s="1025"/>
      <c r="BO31442" s="43"/>
    </row>
    <row r="31443" spans="65:67" ht="18.75" customHeight="1">
      <c r="BM31443" s="1025"/>
      <c r="BO31443" s="43"/>
    </row>
    <row r="31444" spans="65:67" ht="18.75" customHeight="1">
      <c r="BM31444" s="1025"/>
      <c r="BO31444" s="43"/>
    </row>
    <row r="31445" spans="65:67" ht="18.75" customHeight="1">
      <c r="BM31445" s="1025"/>
      <c r="BO31445" s="43"/>
    </row>
    <row r="31446" spans="65:67" ht="18.75" customHeight="1">
      <c r="BM31446" s="1025"/>
      <c r="BO31446" s="43"/>
    </row>
    <row r="31447" spans="65:67" ht="18.75" customHeight="1">
      <c r="BM31447" s="1025"/>
      <c r="BO31447" s="43"/>
    </row>
    <row r="31448" spans="65:67" ht="18.75" customHeight="1">
      <c r="BM31448" s="1025"/>
      <c r="BO31448" s="43"/>
    </row>
    <row r="31449" spans="65:67" ht="18.75" customHeight="1">
      <c r="BM31449" s="1025"/>
      <c r="BO31449" s="43"/>
    </row>
    <row r="31450" spans="65:67" ht="18.75" customHeight="1">
      <c r="BM31450" s="1025"/>
      <c r="BO31450" s="43"/>
    </row>
    <row r="31451" spans="65:67" ht="18.75" customHeight="1">
      <c r="BM31451" s="1025"/>
      <c r="BO31451" s="43"/>
    </row>
    <row r="31452" spans="65:67" ht="18.75" customHeight="1">
      <c r="BM31452" s="1025"/>
      <c r="BO31452" s="43"/>
    </row>
    <row r="31453" spans="65:67" ht="18.75" customHeight="1">
      <c r="BM31453" s="1025"/>
      <c r="BO31453" s="43"/>
    </row>
    <row r="31454" spans="65:67" ht="18.75" customHeight="1">
      <c r="BM31454" s="1025"/>
      <c r="BO31454" s="43"/>
    </row>
    <row r="31455" spans="65:67" ht="18.75" customHeight="1">
      <c r="BM31455" s="1025"/>
      <c r="BO31455" s="43"/>
    </row>
    <row r="31456" spans="65:67" ht="18.75" customHeight="1">
      <c r="BM31456" s="1025"/>
      <c r="BO31456" s="43"/>
    </row>
    <row r="31457" spans="65:67" ht="18.75" customHeight="1">
      <c r="BM31457" s="1025"/>
      <c r="BO31457" s="43"/>
    </row>
    <row r="31458" spans="65:67" ht="18.75" customHeight="1">
      <c r="BM31458" s="1025"/>
      <c r="BO31458" s="43"/>
    </row>
    <row r="31459" spans="65:67" ht="18.75" customHeight="1">
      <c r="BM31459" s="1025"/>
      <c r="BO31459" s="43"/>
    </row>
    <row r="31460" spans="65:67" ht="18.75" customHeight="1">
      <c r="BM31460" s="1025"/>
      <c r="BO31460" s="43"/>
    </row>
    <row r="31461" spans="65:67" ht="18.75" customHeight="1">
      <c r="BM31461" s="1025"/>
      <c r="BO31461" s="43"/>
    </row>
    <row r="31462" spans="65:67" ht="18.75" customHeight="1">
      <c r="BM31462" s="1025"/>
      <c r="BO31462" s="43"/>
    </row>
    <row r="31463" spans="65:67" ht="18.75" customHeight="1">
      <c r="BM31463" s="1025"/>
      <c r="BO31463" s="43"/>
    </row>
    <row r="31464" spans="65:67" ht="18.75" customHeight="1">
      <c r="BM31464" s="1025"/>
      <c r="BO31464" s="43"/>
    </row>
    <row r="31465" spans="65:67" ht="18.75" customHeight="1">
      <c r="BM31465" s="1025"/>
      <c r="BO31465" s="43"/>
    </row>
    <row r="31466" spans="65:67" ht="18.75" customHeight="1">
      <c r="BM31466" s="1025"/>
      <c r="BO31466" s="43"/>
    </row>
    <row r="31467" spans="65:67" ht="18.75" customHeight="1">
      <c r="BM31467" s="1025"/>
      <c r="BO31467" s="43"/>
    </row>
    <row r="31468" spans="65:67" ht="18.75" customHeight="1">
      <c r="BM31468" s="1025"/>
      <c r="BO31468" s="43"/>
    </row>
    <row r="31469" spans="65:67" ht="18.75" customHeight="1">
      <c r="BM31469" s="1025"/>
      <c r="BO31469" s="43"/>
    </row>
    <row r="31470" spans="65:67" ht="18.75" customHeight="1">
      <c r="BM31470" s="1025"/>
      <c r="BO31470" s="43"/>
    </row>
    <row r="31471" spans="65:67" ht="18.75" customHeight="1">
      <c r="BM31471" s="1025"/>
      <c r="BO31471" s="43"/>
    </row>
    <row r="31472" spans="65:67" ht="18.75" customHeight="1">
      <c r="BM31472" s="1025"/>
      <c r="BO31472" s="43"/>
    </row>
    <row r="31473" spans="65:67" ht="18.75" customHeight="1">
      <c r="BM31473" s="1025"/>
      <c r="BO31473" s="43"/>
    </row>
    <row r="31474" spans="65:67" ht="18.75" customHeight="1">
      <c r="BM31474" s="1025"/>
      <c r="BO31474" s="43"/>
    </row>
    <row r="31475" spans="65:67" ht="18.75" customHeight="1">
      <c r="BM31475" s="1025"/>
      <c r="BO31475" s="43"/>
    </row>
    <row r="31476" spans="65:67" ht="18.75" customHeight="1">
      <c r="BM31476" s="1025"/>
      <c r="BO31476" s="43"/>
    </row>
    <row r="31477" spans="65:67" ht="18.75" customHeight="1">
      <c r="BM31477" s="1025"/>
      <c r="BO31477" s="43"/>
    </row>
    <row r="31478" spans="65:67" ht="18.75" customHeight="1">
      <c r="BM31478" s="1025"/>
      <c r="BO31478" s="43"/>
    </row>
    <row r="31479" spans="65:67" ht="18.75" customHeight="1">
      <c r="BM31479" s="1025"/>
      <c r="BO31479" s="43"/>
    </row>
    <row r="31480" spans="65:67" ht="18.75" customHeight="1">
      <c r="BM31480" s="1025"/>
      <c r="BO31480" s="43"/>
    </row>
    <row r="31481" spans="65:67" ht="18.75" customHeight="1">
      <c r="BM31481" s="1025"/>
      <c r="BO31481" s="43"/>
    </row>
    <row r="31482" spans="65:67" ht="18.75" customHeight="1">
      <c r="BM31482" s="1025"/>
      <c r="BO31482" s="43"/>
    </row>
    <row r="31483" spans="65:67" ht="18.75" customHeight="1">
      <c r="BM31483" s="1025"/>
      <c r="BO31483" s="43"/>
    </row>
    <row r="31484" spans="65:67" ht="18.75" customHeight="1">
      <c r="BM31484" s="1025"/>
      <c r="BO31484" s="43"/>
    </row>
    <row r="31485" spans="65:67" ht="18.75" customHeight="1">
      <c r="BM31485" s="1025"/>
      <c r="BO31485" s="43"/>
    </row>
    <row r="31486" spans="65:67" ht="18.75" customHeight="1">
      <c r="BM31486" s="1025"/>
      <c r="BO31486" s="43"/>
    </row>
    <row r="31487" spans="65:67" ht="18.75" customHeight="1">
      <c r="BM31487" s="1025"/>
      <c r="BO31487" s="43"/>
    </row>
    <row r="31488" spans="65:67" ht="18.75" customHeight="1">
      <c r="BM31488" s="1025"/>
      <c r="BO31488" s="43"/>
    </row>
    <row r="31489" spans="65:67" ht="18.75" customHeight="1">
      <c r="BM31489" s="1025"/>
      <c r="BO31489" s="43"/>
    </row>
    <row r="31490" spans="65:67" ht="18.75" customHeight="1">
      <c r="BM31490" s="1025"/>
      <c r="BO31490" s="43"/>
    </row>
    <row r="31491" spans="65:67" ht="18.75" customHeight="1">
      <c r="BM31491" s="1025"/>
      <c r="BO31491" s="43"/>
    </row>
    <row r="31492" spans="65:67" ht="18.75" customHeight="1">
      <c r="BM31492" s="1025"/>
      <c r="BO31492" s="43"/>
    </row>
    <row r="31493" spans="65:67" ht="18.75" customHeight="1">
      <c r="BM31493" s="1025"/>
      <c r="BO31493" s="43"/>
    </row>
    <row r="31494" spans="65:67" ht="18.75" customHeight="1">
      <c r="BM31494" s="1025"/>
      <c r="BO31494" s="43"/>
    </row>
    <row r="31495" spans="65:67" ht="18.75" customHeight="1">
      <c r="BM31495" s="1025"/>
      <c r="BO31495" s="43"/>
    </row>
    <row r="31496" spans="65:67" ht="18.75" customHeight="1">
      <c r="BM31496" s="1025"/>
      <c r="BO31496" s="43"/>
    </row>
    <row r="31497" spans="65:67" ht="18.75" customHeight="1">
      <c r="BM31497" s="1025"/>
      <c r="BO31497" s="43"/>
    </row>
    <row r="31498" spans="65:67" ht="18.75" customHeight="1">
      <c r="BM31498" s="1025"/>
      <c r="BO31498" s="43"/>
    </row>
    <row r="31499" spans="65:67" ht="18.75" customHeight="1">
      <c r="BM31499" s="1025"/>
      <c r="BO31499" s="43"/>
    </row>
    <row r="31500" spans="65:67" ht="18.75" customHeight="1">
      <c r="BM31500" s="1025"/>
      <c r="BO31500" s="43"/>
    </row>
    <row r="31501" spans="65:67" ht="18.75" customHeight="1">
      <c r="BM31501" s="1025"/>
      <c r="BO31501" s="43"/>
    </row>
    <row r="31502" spans="65:67" ht="18.75" customHeight="1">
      <c r="BM31502" s="1025"/>
      <c r="BO31502" s="43"/>
    </row>
    <row r="31503" spans="65:67" ht="18.75" customHeight="1">
      <c r="BM31503" s="1025"/>
      <c r="BO31503" s="43"/>
    </row>
    <row r="31504" spans="65:67" ht="18.75" customHeight="1">
      <c r="BM31504" s="1025"/>
      <c r="BO31504" s="43"/>
    </row>
    <row r="31505" spans="65:67" ht="18.75" customHeight="1">
      <c r="BM31505" s="1025"/>
      <c r="BO31505" s="43"/>
    </row>
    <row r="31506" spans="65:67" ht="18.75" customHeight="1">
      <c r="BM31506" s="1025"/>
      <c r="BO31506" s="43"/>
    </row>
    <row r="31507" spans="65:67" ht="18.75" customHeight="1">
      <c r="BM31507" s="1025"/>
      <c r="BO31507" s="43"/>
    </row>
    <row r="31508" spans="65:67" ht="18.75" customHeight="1">
      <c r="BM31508" s="1025"/>
      <c r="BO31508" s="43"/>
    </row>
    <row r="31509" spans="65:67" ht="18.75" customHeight="1">
      <c r="BM31509" s="1025"/>
      <c r="BO31509" s="43"/>
    </row>
    <row r="31510" spans="65:67" ht="18.75" customHeight="1">
      <c r="BM31510" s="1025"/>
      <c r="BO31510" s="43"/>
    </row>
    <row r="31511" spans="65:67" ht="18.75" customHeight="1">
      <c r="BM31511" s="1025"/>
      <c r="BO31511" s="43"/>
    </row>
    <row r="31512" spans="65:67" ht="18.75" customHeight="1">
      <c r="BM31512" s="1025"/>
      <c r="BO31512" s="43"/>
    </row>
    <row r="31513" spans="65:67" ht="18.75" customHeight="1">
      <c r="BM31513" s="1025"/>
      <c r="BO31513" s="43"/>
    </row>
    <row r="31514" spans="65:67" ht="18.75" customHeight="1">
      <c r="BM31514" s="1025"/>
      <c r="BO31514" s="43"/>
    </row>
    <row r="31515" spans="65:67" ht="18.75" customHeight="1">
      <c r="BM31515" s="1025"/>
      <c r="BO31515" s="43"/>
    </row>
    <row r="31516" spans="65:67" ht="18.75" customHeight="1">
      <c r="BM31516" s="1025"/>
      <c r="BO31516" s="43"/>
    </row>
    <row r="31517" spans="65:67" ht="18.75" customHeight="1">
      <c r="BM31517" s="1025"/>
      <c r="BO31517" s="43"/>
    </row>
    <row r="31518" spans="65:67" ht="18.75" customHeight="1">
      <c r="BM31518" s="1025"/>
      <c r="BO31518" s="43"/>
    </row>
    <row r="31519" spans="65:67" ht="18.75" customHeight="1">
      <c r="BM31519" s="1025"/>
      <c r="BO31519" s="43"/>
    </row>
    <row r="31520" spans="65:67" ht="18.75" customHeight="1">
      <c r="BM31520" s="1025"/>
      <c r="BO31520" s="43"/>
    </row>
    <row r="31521" spans="65:67" ht="18.75" customHeight="1">
      <c r="BM31521" s="1025"/>
      <c r="BO31521" s="43"/>
    </row>
    <row r="31522" spans="65:67" ht="18.75" customHeight="1">
      <c r="BM31522" s="1025"/>
      <c r="BO31522" s="43"/>
    </row>
    <row r="31523" spans="65:67" ht="18.75" customHeight="1">
      <c r="BM31523" s="1025"/>
      <c r="BO31523" s="43"/>
    </row>
    <row r="31524" spans="65:67" ht="18.75" customHeight="1">
      <c r="BM31524" s="1025"/>
      <c r="BO31524" s="43"/>
    </row>
    <row r="31525" spans="65:67" ht="18.75" customHeight="1">
      <c r="BM31525" s="1025"/>
      <c r="BO31525" s="43"/>
    </row>
    <row r="31526" spans="65:67" ht="18.75" customHeight="1">
      <c r="BM31526" s="1025"/>
      <c r="BO31526" s="43"/>
    </row>
    <row r="31527" spans="65:67" ht="18.75" customHeight="1">
      <c r="BM31527" s="1025"/>
      <c r="BO31527" s="43"/>
    </row>
    <row r="31528" spans="65:67" ht="18.75" customHeight="1">
      <c r="BM31528" s="1025"/>
      <c r="BO31528" s="43"/>
    </row>
    <row r="31529" spans="65:67" ht="18.75" customHeight="1">
      <c r="BM31529" s="1025"/>
      <c r="BO31529" s="43"/>
    </row>
    <row r="31530" spans="65:67" ht="18.75" customHeight="1">
      <c r="BM31530" s="1025"/>
      <c r="BO31530" s="43"/>
    </row>
    <row r="31531" spans="65:67" ht="18.75" customHeight="1">
      <c r="BM31531" s="1025"/>
      <c r="BO31531" s="43"/>
    </row>
    <row r="31532" spans="65:67" ht="18.75" customHeight="1">
      <c r="BM31532" s="1025"/>
      <c r="BO31532" s="43"/>
    </row>
    <row r="31533" spans="65:67" ht="18.75" customHeight="1">
      <c r="BM31533" s="1025"/>
      <c r="BO31533" s="43"/>
    </row>
    <row r="31534" spans="65:67" ht="18.75" customHeight="1">
      <c r="BM31534" s="1025"/>
      <c r="BO31534" s="43"/>
    </row>
    <row r="31535" spans="65:67" ht="18.75" customHeight="1">
      <c r="BM31535" s="1025"/>
      <c r="BO31535" s="43"/>
    </row>
    <row r="31536" spans="65:67" ht="18.75" customHeight="1">
      <c r="BM31536" s="1025"/>
      <c r="BO31536" s="43"/>
    </row>
    <row r="31537" spans="65:67" ht="18.75" customHeight="1">
      <c r="BM31537" s="1025"/>
      <c r="BO31537" s="43"/>
    </row>
    <row r="31538" spans="65:67" ht="18.75" customHeight="1">
      <c r="BM31538" s="1025"/>
      <c r="BO31538" s="43"/>
    </row>
    <row r="31539" spans="65:67" ht="18.75" customHeight="1">
      <c r="BM31539" s="1025"/>
      <c r="BO31539" s="43"/>
    </row>
    <row r="31540" spans="65:67" ht="18.75" customHeight="1">
      <c r="BM31540" s="1025"/>
      <c r="BO31540" s="43"/>
    </row>
    <row r="31541" spans="65:67" ht="18.75" customHeight="1">
      <c r="BM31541" s="1025"/>
      <c r="BO31541" s="43"/>
    </row>
    <row r="31542" spans="65:67" ht="18.75" customHeight="1">
      <c r="BM31542" s="1025"/>
      <c r="BO31542" s="43"/>
    </row>
    <row r="31543" spans="65:67" ht="18.75" customHeight="1">
      <c r="BM31543" s="1025"/>
      <c r="BO31543" s="43"/>
    </row>
    <row r="31544" spans="65:67" ht="18.75" customHeight="1">
      <c r="BM31544" s="1025"/>
      <c r="BO31544" s="43"/>
    </row>
    <row r="31545" spans="65:67" ht="18.75" customHeight="1">
      <c r="BM31545" s="1025"/>
      <c r="BO31545" s="43"/>
    </row>
    <row r="31546" spans="65:67" ht="18.75" customHeight="1">
      <c r="BM31546" s="1025"/>
      <c r="BO31546" s="43"/>
    </row>
    <row r="31547" spans="65:67" ht="18.75" customHeight="1">
      <c r="BM31547" s="1025"/>
      <c r="BO31547" s="43"/>
    </row>
    <row r="31548" spans="65:67" ht="18.75" customHeight="1">
      <c r="BM31548" s="1025"/>
      <c r="BO31548" s="43"/>
    </row>
    <row r="31549" spans="65:67" ht="18.75" customHeight="1">
      <c r="BM31549" s="1025"/>
      <c r="BO31549" s="43"/>
    </row>
    <row r="31550" spans="65:67" ht="18.75" customHeight="1">
      <c r="BM31550" s="1025"/>
      <c r="BO31550" s="43"/>
    </row>
    <row r="31551" spans="65:67" ht="18.75" customHeight="1">
      <c r="BM31551" s="1025"/>
      <c r="BO31551" s="43"/>
    </row>
    <row r="31552" spans="65:67" ht="18.75" customHeight="1">
      <c r="BM31552" s="1025"/>
      <c r="BO31552" s="43"/>
    </row>
    <row r="31553" spans="65:67" ht="18.75" customHeight="1">
      <c r="BM31553" s="1025"/>
      <c r="BO31553" s="43"/>
    </row>
    <row r="31554" spans="65:67" ht="18.75" customHeight="1">
      <c r="BM31554" s="1025"/>
      <c r="BO31554" s="43"/>
    </row>
    <row r="31555" spans="65:67" ht="18.75" customHeight="1">
      <c r="BM31555" s="1025"/>
      <c r="BO31555" s="43"/>
    </row>
    <row r="31556" spans="65:67" ht="18.75" customHeight="1">
      <c r="BM31556" s="1025"/>
      <c r="BO31556" s="43"/>
    </row>
    <row r="31557" spans="65:67" ht="18.75" customHeight="1">
      <c r="BM31557" s="1025"/>
      <c r="BO31557" s="43"/>
    </row>
    <row r="31558" spans="65:67" ht="18.75" customHeight="1">
      <c r="BM31558" s="1025"/>
      <c r="BO31558" s="43"/>
    </row>
    <row r="31559" spans="65:67" ht="18.75" customHeight="1">
      <c r="BM31559" s="1025"/>
      <c r="BO31559" s="43"/>
    </row>
    <row r="31560" spans="65:67" ht="18.75" customHeight="1">
      <c r="BM31560" s="1025"/>
      <c r="BO31560" s="43"/>
    </row>
    <row r="31561" spans="65:67" ht="18.75" customHeight="1">
      <c r="BM31561" s="1025"/>
      <c r="BO31561" s="43"/>
    </row>
    <row r="31562" spans="65:67" ht="18.75" customHeight="1">
      <c r="BM31562" s="1025"/>
      <c r="BO31562" s="43"/>
    </row>
    <row r="31563" spans="65:67" ht="18.75" customHeight="1">
      <c r="BM31563" s="1025"/>
      <c r="BO31563" s="43"/>
    </row>
    <row r="31564" spans="65:67" ht="18.75" customHeight="1">
      <c r="BM31564" s="1025"/>
      <c r="BO31564" s="43"/>
    </row>
    <row r="31565" spans="65:67" ht="18.75" customHeight="1">
      <c r="BM31565" s="1025"/>
      <c r="BO31565" s="43"/>
    </row>
    <row r="31566" spans="65:67" ht="18.75" customHeight="1">
      <c r="BM31566" s="1025"/>
      <c r="BO31566" s="43"/>
    </row>
    <row r="31567" spans="65:67" ht="18.75" customHeight="1">
      <c r="BM31567" s="1025"/>
      <c r="BO31567" s="43"/>
    </row>
    <row r="31568" spans="65:67" ht="18.75" customHeight="1">
      <c r="BM31568" s="1025"/>
      <c r="BO31568" s="43"/>
    </row>
    <row r="31569" spans="65:67" ht="18.75" customHeight="1">
      <c r="BM31569" s="1025"/>
      <c r="BO31569" s="43"/>
    </row>
    <row r="31570" spans="65:67" ht="18.75" customHeight="1">
      <c r="BM31570" s="1025"/>
      <c r="BO31570" s="43"/>
    </row>
    <row r="31571" spans="65:67" ht="18.75" customHeight="1">
      <c r="BM31571" s="1025"/>
      <c r="BO31571" s="43"/>
    </row>
    <row r="31572" spans="65:67" ht="18.75" customHeight="1">
      <c r="BM31572" s="1025"/>
      <c r="BO31572" s="43"/>
    </row>
    <row r="31573" spans="65:67" ht="18.75" customHeight="1">
      <c r="BM31573" s="1025"/>
      <c r="BO31573" s="43"/>
    </row>
    <row r="31574" spans="65:67" ht="18.75" customHeight="1">
      <c r="BM31574" s="1025"/>
      <c r="BO31574" s="43"/>
    </row>
    <row r="31575" spans="65:67" ht="18.75" customHeight="1">
      <c r="BM31575" s="1025"/>
      <c r="BO31575" s="43"/>
    </row>
    <row r="31576" spans="65:67" ht="18.75" customHeight="1">
      <c r="BM31576" s="1025"/>
      <c r="BO31576" s="43"/>
    </row>
    <row r="31577" spans="65:67" ht="18.75" customHeight="1">
      <c r="BM31577" s="1025"/>
      <c r="BO31577" s="43"/>
    </row>
    <row r="31578" spans="65:67" ht="18.75" customHeight="1">
      <c r="BM31578" s="1025"/>
      <c r="BO31578" s="43"/>
    </row>
    <row r="31579" spans="65:67" ht="18.75" customHeight="1">
      <c r="BM31579" s="1025"/>
      <c r="BO31579" s="43"/>
    </row>
    <row r="31580" spans="65:67" ht="18.75" customHeight="1">
      <c r="BM31580" s="1025"/>
      <c r="BO31580" s="43"/>
    </row>
    <row r="31581" spans="65:67" ht="18.75" customHeight="1">
      <c r="BM31581" s="1025"/>
      <c r="BO31581" s="43"/>
    </row>
    <row r="31582" spans="65:67" ht="18.75" customHeight="1">
      <c r="BM31582" s="1025"/>
      <c r="BO31582" s="43"/>
    </row>
    <row r="31583" spans="65:67" ht="18.75" customHeight="1">
      <c r="BM31583" s="1025"/>
      <c r="BO31583" s="43"/>
    </row>
    <row r="31584" spans="65:67" ht="18.75" customHeight="1">
      <c r="BM31584" s="1025"/>
      <c r="BO31584" s="43"/>
    </row>
    <row r="31585" spans="65:67" ht="18.75" customHeight="1">
      <c r="BM31585" s="1025"/>
      <c r="BO31585" s="43"/>
    </row>
    <row r="31586" spans="65:67" ht="18.75" customHeight="1">
      <c r="BM31586" s="1025"/>
      <c r="BO31586" s="43"/>
    </row>
    <row r="31587" spans="65:67" ht="18.75" customHeight="1">
      <c r="BM31587" s="1025"/>
      <c r="BO31587" s="43"/>
    </row>
    <row r="31588" spans="65:67" ht="18.75" customHeight="1">
      <c r="BM31588" s="1025"/>
      <c r="BO31588" s="43"/>
    </row>
    <row r="31589" spans="65:67" ht="18.75" customHeight="1">
      <c r="BM31589" s="1025"/>
      <c r="BO31589" s="43"/>
    </row>
    <row r="31590" spans="65:67" ht="18.75" customHeight="1">
      <c r="BM31590" s="1025"/>
      <c r="BO31590" s="43"/>
    </row>
    <row r="31591" spans="65:67" ht="18.75" customHeight="1">
      <c r="BM31591" s="1025"/>
      <c r="BO31591" s="43"/>
    </row>
    <row r="31592" spans="65:67" ht="18.75" customHeight="1">
      <c r="BM31592" s="1025"/>
      <c r="BO31592" s="43"/>
    </row>
    <row r="31593" spans="65:67" ht="18.75" customHeight="1">
      <c r="BM31593" s="1025"/>
      <c r="BO31593" s="43"/>
    </row>
    <row r="31594" spans="65:67" ht="18.75" customHeight="1">
      <c r="BM31594" s="1025"/>
      <c r="BO31594" s="43"/>
    </row>
    <row r="31595" spans="65:67" ht="18.75" customHeight="1">
      <c r="BM31595" s="1025"/>
      <c r="BO31595" s="43"/>
    </row>
    <row r="31596" spans="65:67" ht="18.75" customHeight="1">
      <c r="BM31596" s="1025"/>
      <c r="BO31596" s="43"/>
    </row>
    <row r="31597" spans="65:67" ht="18.75" customHeight="1">
      <c r="BM31597" s="1025"/>
      <c r="BO31597" s="43"/>
    </row>
    <row r="31598" spans="65:67" ht="18.75" customHeight="1">
      <c r="BM31598" s="1025"/>
      <c r="BO31598" s="43"/>
    </row>
    <row r="31599" spans="65:67" ht="18.75" customHeight="1">
      <c r="BM31599" s="1025"/>
      <c r="BO31599" s="43"/>
    </row>
    <row r="31600" spans="65:67" ht="18.75" customHeight="1">
      <c r="BM31600" s="1025"/>
      <c r="BO31600" s="43"/>
    </row>
    <row r="31601" spans="65:67" ht="18.75" customHeight="1">
      <c r="BM31601" s="1025"/>
      <c r="BO31601" s="43"/>
    </row>
    <row r="31602" spans="65:67" ht="18.75" customHeight="1">
      <c r="BM31602" s="1025"/>
      <c r="BO31602" s="43"/>
    </row>
    <row r="31603" spans="65:67" ht="18.75" customHeight="1">
      <c r="BM31603" s="1025"/>
      <c r="BO31603" s="43"/>
    </row>
    <row r="31604" spans="65:67" ht="18.75" customHeight="1">
      <c r="BM31604" s="1025"/>
      <c r="BO31604" s="43"/>
    </row>
    <row r="31605" spans="65:67" ht="18.75" customHeight="1">
      <c r="BM31605" s="1025"/>
      <c r="BO31605" s="43"/>
    </row>
    <row r="31606" spans="65:67" ht="18.75" customHeight="1">
      <c r="BM31606" s="1025"/>
      <c r="BO31606" s="43"/>
    </row>
    <row r="31607" spans="65:67" ht="18.75" customHeight="1">
      <c r="BM31607" s="1025"/>
      <c r="BO31607" s="43"/>
    </row>
    <row r="31608" spans="65:67" ht="18.75" customHeight="1">
      <c r="BM31608" s="1025"/>
      <c r="BO31608" s="43"/>
    </row>
    <row r="31609" spans="65:67" ht="18.75" customHeight="1">
      <c r="BM31609" s="1025"/>
      <c r="BO31609" s="43"/>
    </row>
    <row r="31610" spans="65:67" ht="18.75" customHeight="1">
      <c r="BM31610" s="1025"/>
      <c r="BO31610" s="43"/>
    </row>
    <row r="31611" spans="65:67" ht="18.75" customHeight="1">
      <c r="BM31611" s="1025"/>
      <c r="BO31611" s="43"/>
    </row>
    <row r="31612" spans="65:67" ht="18.75" customHeight="1">
      <c r="BM31612" s="1025"/>
      <c r="BO31612" s="43"/>
    </row>
    <row r="31613" spans="65:67" ht="18.75" customHeight="1">
      <c r="BM31613" s="1025"/>
      <c r="BO31613" s="43"/>
    </row>
    <row r="31614" spans="65:67" ht="18.75" customHeight="1">
      <c r="BM31614" s="1025"/>
      <c r="BO31614" s="43"/>
    </row>
    <row r="31615" spans="65:67" ht="18.75" customHeight="1">
      <c r="BM31615" s="1025"/>
      <c r="BO31615" s="43"/>
    </row>
    <row r="31616" spans="65:67" ht="18.75" customHeight="1">
      <c r="BM31616" s="1025"/>
      <c r="BO31616" s="43"/>
    </row>
    <row r="31617" spans="65:67" ht="18.75" customHeight="1">
      <c r="BM31617" s="1025"/>
      <c r="BO31617" s="43"/>
    </row>
    <row r="31618" spans="65:67" ht="18.75" customHeight="1">
      <c r="BM31618" s="1025"/>
      <c r="BO31618" s="43"/>
    </row>
    <row r="31619" spans="65:67" ht="18.75" customHeight="1">
      <c r="BM31619" s="1025"/>
      <c r="BO31619" s="43"/>
    </row>
    <row r="31620" spans="65:67" ht="18.75" customHeight="1">
      <c r="BM31620" s="1025"/>
      <c r="BO31620" s="43"/>
    </row>
    <row r="31621" spans="65:67" ht="18.75" customHeight="1">
      <c r="BM31621" s="1025"/>
      <c r="BO31621" s="43"/>
    </row>
    <row r="31622" spans="65:67" ht="18.75" customHeight="1">
      <c r="BM31622" s="1025"/>
      <c r="BO31622" s="43"/>
    </row>
    <row r="31623" spans="65:67" ht="18.75" customHeight="1">
      <c r="BM31623" s="1025"/>
      <c r="BO31623" s="43"/>
    </row>
    <row r="31624" spans="65:67" ht="18.75" customHeight="1">
      <c r="BM31624" s="1025"/>
      <c r="BO31624" s="43"/>
    </row>
    <row r="31625" spans="65:67" ht="18.75" customHeight="1">
      <c r="BM31625" s="1025"/>
      <c r="BO31625" s="43"/>
    </row>
    <row r="31626" spans="65:67" ht="18.75" customHeight="1">
      <c r="BM31626" s="1025"/>
      <c r="BO31626" s="43"/>
    </row>
    <row r="31627" spans="65:67" ht="18.75" customHeight="1">
      <c r="BM31627" s="1025"/>
      <c r="BO31627" s="43"/>
    </row>
    <row r="31628" spans="65:67" ht="18.75" customHeight="1">
      <c r="BM31628" s="1025"/>
      <c r="BO31628" s="43"/>
    </row>
    <row r="31629" spans="65:67" ht="18.75" customHeight="1">
      <c r="BM31629" s="1025"/>
      <c r="BO31629" s="43"/>
    </row>
    <row r="31630" spans="65:67" ht="18.75" customHeight="1">
      <c r="BM31630" s="1025"/>
      <c r="BO31630" s="43"/>
    </row>
    <row r="31631" spans="65:67" ht="18.75" customHeight="1">
      <c r="BM31631" s="1025"/>
      <c r="BO31631" s="43"/>
    </row>
    <row r="31632" spans="65:67" ht="18.75" customHeight="1">
      <c r="BM31632" s="1025"/>
      <c r="BO31632" s="43"/>
    </row>
    <row r="31633" spans="65:67" ht="18.75" customHeight="1">
      <c r="BM31633" s="1025"/>
      <c r="BO31633" s="43"/>
    </row>
    <row r="31634" spans="65:67" ht="18.75" customHeight="1">
      <c r="BM31634" s="1025"/>
      <c r="BO31634" s="43"/>
    </row>
    <row r="31635" spans="65:67" ht="18.75" customHeight="1">
      <c r="BM31635" s="1025"/>
      <c r="BO31635" s="43"/>
    </row>
    <row r="31636" spans="65:67" ht="18.75" customHeight="1">
      <c r="BM31636" s="1025"/>
      <c r="BO31636" s="43"/>
    </row>
    <row r="31637" spans="65:67" ht="18.75" customHeight="1">
      <c r="BM31637" s="1025"/>
      <c r="BO31637" s="43"/>
    </row>
    <row r="31638" spans="65:67" ht="18.75" customHeight="1">
      <c r="BM31638" s="1025"/>
      <c r="BO31638" s="43"/>
    </row>
    <row r="31639" spans="65:67" ht="18.75" customHeight="1">
      <c r="BM31639" s="1025"/>
      <c r="BO31639" s="43"/>
    </row>
    <row r="31640" spans="65:67" ht="18.75" customHeight="1">
      <c r="BM31640" s="1025"/>
      <c r="BO31640" s="43"/>
    </row>
    <row r="31641" spans="65:67" ht="18.75" customHeight="1">
      <c r="BM31641" s="1025"/>
      <c r="BO31641" s="43"/>
    </row>
    <row r="31642" spans="65:67" ht="18.75" customHeight="1">
      <c r="BM31642" s="1025"/>
      <c r="BO31642" s="43"/>
    </row>
    <row r="31643" spans="65:67" ht="18.75" customHeight="1">
      <c r="BM31643" s="1025"/>
      <c r="BO31643" s="43"/>
    </row>
    <row r="31644" spans="65:67" ht="18.75" customHeight="1">
      <c r="BM31644" s="1025"/>
      <c r="BO31644" s="43"/>
    </row>
    <row r="31645" spans="65:67" ht="18.75" customHeight="1">
      <c r="BM31645" s="1025"/>
      <c r="BO31645" s="43"/>
    </row>
    <row r="31646" spans="65:67" ht="18.75" customHeight="1">
      <c r="BM31646" s="1025"/>
      <c r="BO31646" s="43"/>
    </row>
    <row r="31647" spans="65:67" ht="18.75" customHeight="1">
      <c r="BM31647" s="1025"/>
      <c r="BO31647" s="43"/>
    </row>
    <row r="31648" spans="65:67" ht="18.75" customHeight="1">
      <c r="BM31648" s="1025"/>
      <c r="BO31648" s="43"/>
    </row>
    <row r="31649" spans="65:67" ht="18.75" customHeight="1">
      <c r="BM31649" s="1025"/>
      <c r="BO31649" s="43"/>
    </row>
    <row r="31650" spans="65:67" ht="18.75" customHeight="1">
      <c r="BM31650" s="1025"/>
      <c r="BO31650" s="43"/>
    </row>
    <row r="31651" spans="65:67" ht="18.75" customHeight="1">
      <c r="BM31651" s="1025"/>
      <c r="BO31651" s="43"/>
    </row>
    <row r="31652" spans="65:67" ht="18.75" customHeight="1">
      <c r="BM31652" s="1025"/>
      <c r="BO31652" s="43"/>
    </row>
    <row r="31653" spans="65:67" ht="18.75" customHeight="1">
      <c r="BM31653" s="1025"/>
      <c r="BO31653" s="43"/>
    </row>
    <row r="31654" spans="65:67" ht="18.75" customHeight="1">
      <c r="BM31654" s="1025"/>
      <c r="BO31654" s="43"/>
    </row>
    <row r="31655" spans="65:67" ht="18.75" customHeight="1">
      <c r="BM31655" s="1025"/>
      <c r="BO31655" s="43"/>
    </row>
    <row r="31656" spans="65:67" ht="18.75" customHeight="1">
      <c r="BM31656" s="1025"/>
      <c r="BO31656" s="43"/>
    </row>
    <row r="31657" spans="65:67" ht="18.75" customHeight="1">
      <c r="BM31657" s="1025"/>
      <c r="BO31657" s="43"/>
    </row>
    <row r="31658" spans="65:67" ht="18.75" customHeight="1">
      <c r="BM31658" s="1025"/>
      <c r="BO31658" s="43"/>
    </row>
    <row r="31659" spans="65:67" ht="18.75" customHeight="1">
      <c r="BM31659" s="1025"/>
      <c r="BO31659" s="43"/>
    </row>
    <row r="31660" spans="65:67" ht="18.75" customHeight="1">
      <c r="BM31660" s="1025"/>
      <c r="BO31660" s="43"/>
    </row>
    <row r="31661" spans="65:67" ht="18.75" customHeight="1">
      <c r="BM31661" s="1025"/>
      <c r="BO31661" s="43"/>
    </row>
    <row r="31662" spans="65:67" ht="18.75" customHeight="1">
      <c r="BM31662" s="1025"/>
      <c r="BO31662" s="43"/>
    </row>
    <row r="31663" spans="65:67" ht="18.75" customHeight="1">
      <c r="BM31663" s="1025"/>
      <c r="BO31663" s="43"/>
    </row>
    <row r="31664" spans="65:67" ht="18.75" customHeight="1">
      <c r="BM31664" s="1025"/>
      <c r="BO31664" s="43"/>
    </row>
    <row r="31665" spans="65:67" ht="18.75" customHeight="1">
      <c r="BM31665" s="1025"/>
      <c r="BO31665" s="43"/>
    </row>
    <row r="31666" spans="65:67" ht="18.75" customHeight="1">
      <c r="BM31666" s="1025"/>
      <c r="BO31666" s="43"/>
    </row>
    <row r="31667" spans="65:67" ht="18.75" customHeight="1">
      <c r="BM31667" s="1025"/>
      <c r="BO31667" s="43"/>
    </row>
    <row r="31668" spans="65:67" ht="18.75" customHeight="1">
      <c r="BM31668" s="1025"/>
      <c r="BO31668" s="43"/>
    </row>
    <row r="31669" spans="65:67" ht="18.75" customHeight="1">
      <c r="BM31669" s="1025"/>
      <c r="BO31669" s="43"/>
    </row>
    <row r="31670" spans="65:67" ht="18.75" customHeight="1">
      <c r="BM31670" s="1025"/>
      <c r="BO31670" s="43"/>
    </row>
    <row r="31671" spans="65:67" ht="18.75" customHeight="1">
      <c r="BM31671" s="1025"/>
      <c r="BO31671" s="43"/>
    </row>
    <row r="31672" spans="65:67" ht="18.75" customHeight="1">
      <c r="BM31672" s="1025"/>
      <c r="BO31672" s="43"/>
    </row>
    <row r="31673" spans="65:67" ht="18.75" customHeight="1">
      <c r="BM31673" s="1025"/>
      <c r="BO31673" s="43"/>
    </row>
    <row r="31674" spans="65:67" ht="18.75" customHeight="1">
      <c r="BM31674" s="1025"/>
      <c r="BO31674" s="43"/>
    </row>
    <row r="31675" spans="65:67" ht="18.75" customHeight="1">
      <c r="BM31675" s="1025"/>
      <c r="BO31675" s="43"/>
    </row>
    <row r="31676" spans="65:67" ht="18.75" customHeight="1">
      <c r="BM31676" s="1025"/>
      <c r="BO31676" s="43"/>
    </row>
    <row r="31677" spans="65:67" ht="18.75" customHeight="1">
      <c r="BM31677" s="1025"/>
      <c r="BO31677" s="43"/>
    </row>
    <row r="31678" spans="65:67" ht="18.75" customHeight="1">
      <c r="BM31678" s="1025"/>
      <c r="BO31678" s="43"/>
    </row>
    <row r="31679" spans="65:67" ht="18.75" customHeight="1">
      <c r="BM31679" s="1025"/>
      <c r="BO31679" s="43"/>
    </row>
    <row r="31680" spans="65:67" ht="18.75" customHeight="1">
      <c r="BM31680" s="1025"/>
      <c r="BO31680" s="43"/>
    </row>
    <row r="31681" spans="65:67" ht="18.75" customHeight="1">
      <c r="BM31681" s="1025"/>
      <c r="BO31681" s="43"/>
    </row>
    <row r="31682" spans="65:67" ht="18.75" customHeight="1">
      <c r="BM31682" s="1025"/>
      <c r="BO31682" s="43"/>
    </row>
    <row r="31683" spans="65:67" ht="18.75" customHeight="1">
      <c r="BM31683" s="1025"/>
      <c r="BO31683" s="43"/>
    </row>
    <row r="31684" spans="65:67" ht="18.75" customHeight="1">
      <c r="BM31684" s="1025"/>
      <c r="BO31684" s="43"/>
    </row>
    <row r="31685" spans="65:67" ht="18.75" customHeight="1">
      <c r="BM31685" s="1025"/>
      <c r="BO31685" s="43"/>
    </row>
    <row r="31686" spans="65:67" ht="18.75" customHeight="1">
      <c r="BM31686" s="1025"/>
      <c r="BO31686" s="43"/>
    </row>
    <row r="31687" spans="65:67" ht="18.75" customHeight="1">
      <c r="BM31687" s="1025"/>
      <c r="BO31687" s="43"/>
    </row>
    <row r="31688" spans="65:67" ht="18.75" customHeight="1">
      <c r="BM31688" s="1025"/>
      <c r="BO31688" s="43"/>
    </row>
    <row r="31689" spans="65:67" ht="18.75" customHeight="1">
      <c r="BM31689" s="1025"/>
      <c r="BO31689" s="43"/>
    </row>
    <row r="31690" spans="65:67" ht="18.75" customHeight="1">
      <c r="BM31690" s="1025"/>
      <c r="BO31690" s="43"/>
    </row>
    <row r="31691" spans="65:67" ht="18.75" customHeight="1">
      <c r="BM31691" s="1025"/>
      <c r="BO31691" s="43"/>
    </row>
    <row r="31692" spans="65:67" ht="18.75" customHeight="1">
      <c r="BM31692" s="1025"/>
      <c r="BO31692" s="43"/>
    </row>
    <row r="31693" spans="65:67" ht="18.75" customHeight="1">
      <c r="BM31693" s="1025"/>
      <c r="BO31693" s="43"/>
    </row>
    <row r="31694" spans="65:67" ht="18.75" customHeight="1">
      <c r="BM31694" s="1025"/>
      <c r="BO31694" s="43"/>
    </row>
    <row r="31695" spans="65:67" ht="18.75" customHeight="1">
      <c r="BM31695" s="1025"/>
      <c r="BO31695" s="43"/>
    </row>
    <row r="31696" spans="65:67" ht="18.75" customHeight="1">
      <c r="BM31696" s="1025"/>
      <c r="BO31696" s="43"/>
    </row>
    <row r="31697" spans="65:67" ht="18.75" customHeight="1">
      <c r="BM31697" s="1025"/>
      <c r="BO31697" s="43"/>
    </row>
    <row r="31698" spans="65:67" ht="18.75" customHeight="1">
      <c r="BM31698" s="1025"/>
      <c r="BO31698" s="43"/>
    </row>
    <row r="31699" spans="65:67" ht="18.75" customHeight="1">
      <c r="BM31699" s="1025"/>
      <c r="BO31699" s="43"/>
    </row>
    <row r="31700" spans="65:67" ht="18.75" customHeight="1">
      <c r="BM31700" s="1025"/>
      <c r="BO31700" s="43"/>
    </row>
    <row r="31701" spans="65:67" ht="18.75" customHeight="1">
      <c r="BM31701" s="1025"/>
      <c r="BO31701" s="43"/>
    </row>
    <row r="31702" spans="65:67" ht="18.75" customHeight="1">
      <c r="BM31702" s="1025"/>
      <c r="BO31702" s="43"/>
    </row>
    <row r="31703" spans="65:67" ht="18.75" customHeight="1">
      <c r="BM31703" s="1025"/>
      <c r="BO31703" s="43"/>
    </row>
    <row r="31704" spans="65:67" ht="18.75" customHeight="1">
      <c r="BM31704" s="1025"/>
      <c r="BO31704" s="43"/>
    </row>
    <row r="31705" spans="65:67" ht="18.75" customHeight="1">
      <c r="BM31705" s="1025"/>
      <c r="BO31705" s="43"/>
    </row>
    <row r="31706" spans="65:67" ht="18.75" customHeight="1">
      <c r="BM31706" s="1025"/>
      <c r="BO31706" s="43"/>
    </row>
    <row r="31707" spans="65:67" ht="18.75" customHeight="1">
      <c r="BM31707" s="1025"/>
      <c r="BO31707" s="43"/>
    </row>
    <row r="31708" spans="65:67" ht="18.75" customHeight="1">
      <c r="BM31708" s="1025"/>
      <c r="BO31708" s="43"/>
    </row>
    <row r="31709" spans="65:67" ht="18.75" customHeight="1">
      <c r="BM31709" s="1025"/>
      <c r="BO31709" s="43"/>
    </row>
    <row r="31710" spans="65:67" ht="18.75" customHeight="1">
      <c r="BM31710" s="1025"/>
      <c r="BO31710" s="43"/>
    </row>
    <row r="31711" spans="65:67" ht="18.75" customHeight="1">
      <c r="BM31711" s="1025"/>
      <c r="BO31711" s="43"/>
    </row>
    <row r="31712" spans="65:67" ht="18.75" customHeight="1">
      <c r="BM31712" s="1025"/>
      <c r="BO31712" s="43"/>
    </row>
    <row r="31713" spans="65:67" ht="18.75" customHeight="1">
      <c r="BM31713" s="1025"/>
      <c r="BO31713" s="43"/>
    </row>
    <row r="31714" spans="65:67" ht="18.75" customHeight="1">
      <c r="BM31714" s="1025"/>
      <c r="BO31714" s="43"/>
    </row>
    <row r="31715" spans="65:67" ht="18.75" customHeight="1">
      <c r="BM31715" s="1025"/>
      <c r="BO31715" s="43"/>
    </row>
    <row r="31716" spans="65:67" ht="18.75" customHeight="1">
      <c r="BM31716" s="1025"/>
      <c r="BO31716" s="43"/>
    </row>
    <row r="31717" spans="65:67" ht="18.75" customHeight="1">
      <c r="BM31717" s="1025"/>
      <c r="BO31717" s="43"/>
    </row>
    <row r="31718" spans="65:67" ht="18.75" customHeight="1">
      <c r="BM31718" s="1025"/>
      <c r="BO31718" s="43"/>
    </row>
    <row r="31719" spans="65:67" ht="18.75" customHeight="1">
      <c r="BM31719" s="1025"/>
      <c r="BO31719" s="43"/>
    </row>
    <row r="31720" spans="65:67" ht="18.75" customHeight="1">
      <c r="BM31720" s="1025"/>
      <c r="BO31720" s="43"/>
    </row>
    <row r="31721" spans="65:67" ht="18.75" customHeight="1">
      <c r="BM31721" s="1025"/>
      <c r="BO31721" s="43"/>
    </row>
    <row r="31722" spans="65:67" ht="18.75" customHeight="1">
      <c r="BM31722" s="1025"/>
      <c r="BO31722" s="43"/>
    </row>
    <row r="31723" spans="65:67" ht="18.75" customHeight="1">
      <c r="BM31723" s="1025"/>
      <c r="BO31723" s="43"/>
    </row>
    <row r="31724" spans="65:67" ht="18.75" customHeight="1">
      <c r="BM31724" s="1025"/>
      <c r="BO31724" s="43"/>
    </row>
    <row r="31725" spans="65:67" ht="18.75" customHeight="1">
      <c r="BM31725" s="1025"/>
      <c r="BO31725" s="43"/>
    </row>
    <row r="31726" spans="65:67" ht="18.75" customHeight="1">
      <c r="BM31726" s="1025"/>
      <c r="BO31726" s="43"/>
    </row>
    <row r="31727" spans="65:67" ht="18.75" customHeight="1">
      <c r="BM31727" s="1025"/>
      <c r="BO31727" s="43"/>
    </row>
    <row r="31728" spans="65:67" ht="18.75" customHeight="1">
      <c r="BM31728" s="1025"/>
      <c r="BO31728" s="43"/>
    </row>
    <row r="31729" spans="65:67" ht="18.75" customHeight="1">
      <c r="BM31729" s="1025"/>
      <c r="BO31729" s="43"/>
    </row>
    <row r="31730" spans="65:67" ht="18.75" customHeight="1">
      <c r="BM31730" s="1025"/>
      <c r="BO31730" s="43"/>
    </row>
    <row r="31731" spans="65:67" ht="18.75" customHeight="1">
      <c r="BM31731" s="1025"/>
      <c r="BO31731" s="43"/>
    </row>
    <row r="31732" spans="65:67" ht="18.75" customHeight="1">
      <c r="BM31732" s="1025"/>
      <c r="BO31732" s="43"/>
    </row>
    <row r="31733" spans="65:67" ht="18.75" customHeight="1">
      <c r="BM31733" s="1025"/>
      <c r="BO31733" s="43"/>
    </row>
    <row r="31734" spans="65:67" ht="18.75" customHeight="1">
      <c r="BM31734" s="1025"/>
      <c r="BO31734" s="43"/>
    </row>
    <row r="31735" spans="65:67" ht="18.75" customHeight="1">
      <c r="BM31735" s="1025"/>
      <c r="BO31735" s="43"/>
    </row>
    <row r="31736" spans="65:67" ht="18.75" customHeight="1">
      <c r="BM31736" s="1025"/>
      <c r="BO31736" s="43"/>
    </row>
    <row r="31737" spans="65:67" ht="18.75" customHeight="1">
      <c r="BM31737" s="1025"/>
      <c r="BO31737" s="43"/>
    </row>
    <row r="31738" spans="65:67" ht="18.75" customHeight="1">
      <c r="BM31738" s="1025"/>
      <c r="BO31738" s="43"/>
    </row>
    <row r="31739" spans="65:67" ht="18.75" customHeight="1">
      <c r="BM31739" s="1025"/>
      <c r="BO31739" s="43"/>
    </row>
    <row r="31740" spans="65:67" ht="18.75" customHeight="1">
      <c r="BM31740" s="1025"/>
      <c r="BO31740" s="43"/>
    </row>
    <row r="31741" spans="65:67" ht="18.75" customHeight="1">
      <c r="BM31741" s="1025"/>
      <c r="BO31741" s="43"/>
    </row>
    <row r="31742" spans="65:67" ht="18.75" customHeight="1">
      <c r="BM31742" s="1025"/>
      <c r="BO31742" s="43"/>
    </row>
    <row r="31743" spans="65:67" ht="18.75" customHeight="1">
      <c r="BM31743" s="1025"/>
      <c r="BO31743" s="43"/>
    </row>
    <row r="31744" spans="65:67" ht="18.75" customHeight="1">
      <c r="BM31744" s="1025"/>
      <c r="BO31744" s="43"/>
    </row>
    <row r="31745" spans="65:67" ht="18.75" customHeight="1">
      <c r="BM31745" s="1025"/>
      <c r="BO31745" s="43"/>
    </row>
    <row r="31746" spans="65:67" ht="18.75" customHeight="1">
      <c r="BM31746" s="1025"/>
      <c r="BO31746" s="43"/>
    </row>
    <row r="31747" spans="65:67" ht="18.75" customHeight="1">
      <c r="BM31747" s="1025"/>
      <c r="BO31747" s="43"/>
    </row>
    <row r="31748" spans="65:67" ht="18.75" customHeight="1">
      <c r="BM31748" s="1025"/>
      <c r="BO31748" s="43"/>
    </row>
    <row r="31749" spans="65:67" ht="18.75" customHeight="1">
      <c r="BM31749" s="1025"/>
      <c r="BO31749" s="43"/>
    </row>
    <row r="31750" spans="65:67" ht="18.75" customHeight="1">
      <c r="BM31750" s="1025"/>
      <c r="BO31750" s="43"/>
    </row>
    <row r="31751" spans="65:67" ht="18.75" customHeight="1">
      <c r="BM31751" s="1025"/>
      <c r="BO31751" s="43"/>
    </row>
    <row r="31752" spans="65:67" ht="18.75" customHeight="1">
      <c r="BM31752" s="1025"/>
      <c r="BO31752" s="43"/>
    </row>
    <row r="31753" spans="65:67" ht="18.75" customHeight="1">
      <c r="BM31753" s="1025"/>
      <c r="BO31753" s="43"/>
    </row>
    <row r="31754" spans="65:67" ht="18.75" customHeight="1">
      <c r="BM31754" s="1025"/>
      <c r="BO31754" s="43"/>
    </row>
    <row r="31755" spans="65:67" ht="18.75" customHeight="1">
      <c r="BM31755" s="1025"/>
      <c r="BO31755" s="43"/>
    </row>
    <row r="31756" spans="65:67" ht="18.75" customHeight="1">
      <c r="BM31756" s="1025"/>
      <c r="BO31756" s="43"/>
    </row>
    <row r="31757" spans="65:67" ht="18.75" customHeight="1">
      <c r="BM31757" s="1025"/>
      <c r="BO31757" s="43"/>
    </row>
    <row r="31758" spans="65:67" ht="18.75" customHeight="1">
      <c r="BM31758" s="1025"/>
      <c r="BO31758" s="43"/>
    </row>
    <row r="31759" spans="65:67" ht="18.75" customHeight="1">
      <c r="BM31759" s="1025"/>
      <c r="BO31759" s="43"/>
    </row>
    <row r="31760" spans="65:67" ht="18.75" customHeight="1">
      <c r="BM31760" s="1025"/>
      <c r="BO31760" s="43"/>
    </row>
    <row r="31761" spans="65:67" ht="18.75" customHeight="1">
      <c r="BM31761" s="1025"/>
      <c r="BO31761" s="43"/>
    </row>
    <row r="31762" spans="65:67" ht="18.75" customHeight="1">
      <c r="BM31762" s="1025"/>
      <c r="BO31762" s="43"/>
    </row>
    <row r="31763" spans="65:67" ht="18.75" customHeight="1">
      <c r="BM31763" s="1025"/>
      <c r="BO31763" s="43"/>
    </row>
    <row r="31764" spans="65:67" ht="18.75" customHeight="1">
      <c r="BM31764" s="1025"/>
      <c r="BO31764" s="43"/>
    </row>
    <row r="31765" spans="65:67" ht="18.75" customHeight="1">
      <c r="BM31765" s="1025"/>
      <c r="BO31765" s="43"/>
    </row>
    <row r="31766" spans="65:67" ht="18.75" customHeight="1">
      <c r="BM31766" s="1025"/>
      <c r="BO31766" s="43"/>
    </row>
    <row r="31767" spans="65:67" ht="18.75" customHeight="1">
      <c r="BM31767" s="1025"/>
      <c r="BO31767" s="43"/>
    </row>
    <row r="31768" spans="65:67" ht="18.75" customHeight="1">
      <c r="BM31768" s="1025"/>
      <c r="BO31768" s="43"/>
    </row>
    <row r="31769" spans="65:67" ht="18.75" customHeight="1">
      <c r="BM31769" s="1025"/>
      <c r="BO31769" s="43"/>
    </row>
    <row r="31770" spans="65:67" ht="18.75" customHeight="1">
      <c r="BM31770" s="1025"/>
      <c r="BO31770" s="43"/>
    </row>
    <row r="31771" spans="65:67" ht="18.75" customHeight="1">
      <c r="BM31771" s="1025"/>
      <c r="BO31771" s="43"/>
    </row>
    <row r="31772" spans="65:67" ht="18.75" customHeight="1">
      <c r="BM31772" s="1025"/>
      <c r="BO31772" s="43"/>
    </row>
    <row r="31773" spans="65:67" ht="18.75" customHeight="1">
      <c r="BM31773" s="1025"/>
      <c r="BO31773" s="43"/>
    </row>
    <row r="31774" spans="65:67" ht="18.75" customHeight="1">
      <c r="BM31774" s="1025"/>
      <c r="BO31774" s="43"/>
    </row>
    <row r="31775" spans="65:67" ht="18.75" customHeight="1">
      <c r="BM31775" s="1025"/>
      <c r="BO31775" s="43"/>
    </row>
    <row r="31776" spans="65:67" ht="18.75" customHeight="1">
      <c r="BM31776" s="1025"/>
      <c r="BO31776" s="43"/>
    </row>
    <row r="31777" spans="65:67" ht="18.75" customHeight="1">
      <c r="BM31777" s="1025"/>
      <c r="BO31777" s="43"/>
    </row>
    <row r="31778" spans="65:67" ht="18.75" customHeight="1">
      <c r="BM31778" s="1025"/>
      <c r="BO31778" s="43"/>
    </row>
    <row r="31779" spans="65:67" ht="18.75" customHeight="1">
      <c r="BM31779" s="1025"/>
      <c r="BO31779" s="43"/>
    </row>
    <row r="31780" spans="65:67" ht="18.75" customHeight="1">
      <c r="BM31780" s="1025"/>
      <c r="BO31780" s="43"/>
    </row>
    <row r="31781" spans="65:67" ht="18.75" customHeight="1">
      <c r="BM31781" s="1025"/>
      <c r="BO31781" s="43"/>
    </row>
    <row r="31782" spans="65:67" ht="18.75" customHeight="1">
      <c r="BM31782" s="1025"/>
      <c r="BO31782" s="43"/>
    </row>
    <row r="31783" spans="65:67" ht="18.75" customHeight="1">
      <c r="BM31783" s="1025"/>
      <c r="BO31783" s="43"/>
    </row>
    <row r="31784" spans="65:67" ht="18.75" customHeight="1">
      <c r="BM31784" s="1025"/>
      <c r="BO31784" s="43"/>
    </row>
    <row r="31785" spans="65:67" ht="18.75" customHeight="1">
      <c r="BM31785" s="1025"/>
      <c r="BO31785" s="43"/>
    </row>
    <row r="31786" spans="65:67" ht="18.75" customHeight="1">
      <c r="BM31786" s="1025"/>
      <c r="BO31786" s="43"/>
    </row>
    <row r="31787" spans="65:67" ht="18.75" customHeight="1">
      <c r="BM31787" s="1025"/>
      <c r="BO31787" s="43"/>
    </row>
    <row r="31788" spans="65:67" ht="18.75" customHeight="1">
      <c r="BM31788" s="1025"/>
      <c r="BO31788" s="43"/>
    </row>
    <row r="31789" spans="65:67" ht="18.75" customHeight="1">
      <c r="BM31789" s="1025"/>
      <c r="BO31789" s="43"/>
    </row>
    <row r="31790" spans="65:67" ht="18.75" customHeight="1">
      <c r="BM31790" s="1025"/>
      <c r="BO31790" s="43"/>
    </row>
    <row r="31791" spans="65:67" ht="18.75" customHeight="1">
      <c r="BM31791" s="1025"/>
      <c r="BO31791" s="43"/>
    </row>
    <row r="31792" spans="65:67" ht="18.75" customHeight="1">
      <c r="BM31792" s="1025"/>
      <c r="BO31792" s="43"/>
    </row>
    <row r="31793" spans="65:67" ht="18.75" customHeight="1">
      <c r="BM31793" s="1025"/>
      <c r="BO31793" s="43"/>
    </row>
    <row r="31794" spans="65:67" ht="18.75" customHeight="1">
      <c r="BM31794" s="1025"/>
      <c r="BO31794" s="43"/>
    </row>
    <row r="31795" spans="65:67" ht="18.75" customHeight="1">
      <c r="BM31795" s="1025"/>
      <c r="BO31795" s="43"/>
    </row>
    <row r="31796" spans="65:67" ht="18.75" customHeight="1">
      <c r="BM31796" s="1025"/>
      <c r="BO31796" s="43"/>
    </row>
    <row r="31797" spans="65:67" ht="18.75" customHeight="1">
      <c r="BM31797" s="1025"/>
      <c r="BO31797" s="43"/>
    </row>
    <row r="31798" spans="65:67" ht="18.75" customHeight="1">
      <c r="BM31798" s="1025"/>
      <c r="BO31798" s="43"/>
    </row>
    <row r="31799" spans="65:67" ht="18.75" customHeight="1">
      <c r="BM31799" s="1025"/>
      <c r="BO31799" s="43"/>
    </row>
    <row r="31800" spans="65:67" ht="18.75" customHeight="1">
      <c r="BM31800" s="1025"/>
      <c r="BO31800" s="43"/>
    </row>
    <row r="31801" spans="65:67" ht="18.75" customHeight="1">
      <c r="BM31801" s="1025"/>
      <c r="BO31801" s="43"/>
    </row>
    <row r="31802" spans="65:67" ht="18.75" customHeight="1">
      <c r="BM31802" s="1025"/>
      <c r="BO31802" s="43"/>
    </row>
    <row r="31803" spans="65:67" ht="18.75" customHeight="1">
      <c r="BM31803" s="1025"/>
      <c r="BO31803" s="43"/>
    </row>
    <row r="31804" spans="65:67" ht="18.75" customHeight="1">
      <c r="BM31804" s="1025"/>
      <c r="BO31804" s="43"/>
    </row>
    <row r="31805" spans="65:67" ht="18.75" customHeight="1">
      <c r="BM31805" s="1025"/>
      <c r="BO31805" s="43"/>
    </row>
    <row r="31806" spans="65:67" ht="18.75" customHeight="1">
      <c r="BM31806" s="1025"/>
      <c r="BO31806" s="43"/>
    </row>
    <row r="31807" spans="65:67" ht="18.75" customHeight="1">
      <c r="BM31807" s="1025"/>
      <c r="BO31807" s="43"/>
    </row>
    <row r="31808" spans="65:67" ht="18.75" customHeight="1">
      <c r="BM31808" s="1025"/>
      <c r="BO31808" s="43"/>
    </row>
    <row r="31809" spans="65:67" ht="18.75" customHeight="1">
      <c r="BM31809" s="1025"/>
      <c r="BO31809" s="43"/>
    </row>
    <row r="31810" spans="65:67" ht="18.75" customHeight="1">
      <c r="BM31810" s="1025"/>
      <c r="BO31810" s="43"/>
    </row>
    <row r="31811" spans="65:67" ht="18.75" customHeight="1">
      <c r="BM31811" s="1025"/>
      <c r="BO31811" s="43"/>
    </row>
    <row r="31812" spans="65:67" ht="18.75" customHeight="1">
      <c r="BM31812" s="1025"/>
      <c r="BO31812" s="43"/>
    </row>
    <row r="31813" spans="65:67" ht="18.75" customHeight="1">
      <c r="BM31813" s="1025"/>
      <c r="BO31813" s="43"/>
    </row>
    <row r="31814" spans="65:67" ht="18.75" customHeight="1">
      <c r="BM31814" s="1025"/>
      <c r="BO31814" s="43"/>
    </row>
    <row r="31815" spans="65:67" ht="18.75" customHeight="1">
      <c r="BM31815" s="1025"/>
      <c r="BO31815" s="43"/>
    </row>
    <row r="31816" spans="65:67" ht="18.75" customHeight="1">
      <c r="BM31816" s="1025"/>
      <c r="BO31816" s="43"/>
    </row>
    <row r="31817" spans="65:67" ht="18.75" customHeight="1">
      <c r="BM31817" s="1025"/>
      <c r="BO31817" s="43"/>
    </row>
    <row r="31818" spans="65:67" ht="18.75" customHeight="1">
      <c r="BM31818" s="1025"/>
      <c r="BO31818" s="43"/>
    </row>
    <row r="31819" spans="65:67" ht="18.75" customHeight="1">
      <c r="BM31819" s="1025"/>
      <c r="BO31819" s="43"/>
    </row>
    <row r="31820" spans="65:67" ht="18.75" customHeight="1">
      <c r="BM31820" s="1025"/>
      <c r="BO31820" s="43"/>
    </row>
    <row r="31821" spans="65:67" ht="18.75" customHeight="1">
      <c r="BM31821" s="1025"/>
      <c r="BO31821" s="43"/>
    </row>
    <row r="31822" spans="65:67" ht="18.75" customHeight="1">
      <c r="BM31822" s="1025"/>
      <c r="BO31822" s="43"/>
    </row>
    <row r="31823" spans="65:67" ht="18.75" customHeight="1">
      <c r="BM31823" s="1025"/>
      <c r="BO31823" s="43"/>
    </row>
    <row r="31824" spans="65:67" ht="18.75" customHeight="1">
      <c r="BM31824" s="1025"/>
      <c r="BO31824" s="43"/>
    </row>
    <row r="31825" spans="65:67" ht="18.75" customHeight="1">
      <c r="BM31825" s="1025"/>
      <c r="BO31825" s="43"/>
    </row>
    <row r="31826" spans="65:67" ht="18.75" customHeight="1">
      <c r="BM31826" s="1025"/>
      <c r="BO31826" s="43"/>
    </row>
    <row r="31827" spans="65:67" ht="18.75" customHeight="1">
      <c r="BM31827" s="1025"/>
      <c r="BO31827" s="43"/>
    </row>
    <row r="31828" spans="65:67" ht="18.75" customHeight="1">
      <c r="BM31828" s="1025"/>
      <c r="BO31828" s="43"/>
    </row>
    <row r="31829" spans="65:67" ht="18.75" customHeight="1">
      <c r="BM31829" s="1025"/>
      <c r="BO31829" s="43"/>
    </row>
    <row r="31830" spans="65:67" ht="18.75" customHeight="1">
      <c r="BM31830" s="1025"/>
      <c r="BO31830" s="43"/>
    </row>
    <row r="31831" spans="65:67" ht="18.75" customHeight="1">
      <c r="BM31831" s="1025"/>
      <c r="BO31831" s="43"/>
    </row>
    <row r="31832" spans="65:67" ht="18.75" customHeight="1">
      <c r="BM31832" s="1025"/>
      <c r="BO31832" s="43"/>
    </row>
    <row r="31833" spans="65:67" ht="18.75" customHeight="1">
      <c r="BM31833" s="1025"/>
      <c r="BO31833" s="43"/>
    </row>
    <row r="31834" spans="65:67" ht="18.75" customHeight="1">
      <c r="BM31834" s="1025"/>
      <c r="BO31834" s="43"/>
    </row>
    <row r="31835" spans="65:67" ht="18.75" customHeight="1">
      <c r="BM31835" s="1025"/>
      <c r="BO31835" s="43"/>
    </row>
    <row r="31836" spans="65:67" ht="18.75" customHeight="1">
      <c r="BM31836" s="1025"/>
      <c r="BO31836" s="43"/>
    </row>
    <row r="31837" spans="65:67" ht="18.75" customHeight="1">
      <c r="BM31837" s="1025"/>
      <c r="BO31837" s="43"/>
    </row>
    <row r="31838" spans="65:67" ht="18.75" customHeight="1">
      <c r="BM31838" s="1025"/>
      <c r="BO31838" s="43"/>
    </row>
    <row r="31839" spans="65:67" ht="18.75" customHeight="1">
      <c r="BM31839" s="1025"/>
      <c r="BO31839" s="43"/>
    </row>
    <row r="31840" spans="65:67" ht="18.75" customHeight="1">
      <c r="BM31840" s="1025"/>
      <c r="BO31840" s="43"/>
    </row>
    <row r="31841" spans="65:67" ht="18.75" customHeight="1">
      <c r="BM31841" s="1025"/>
      <c r="BO31841" s="43"/>
    </row>
    <row r="31842" spans="65:67" ht="18.75" customHeight="1">
      <c r="BM31842" s="1025"/>
      <c r="BO31842" s="43"/>
    </row>
    <row r="31843" spans="65:67" ht="18.75" customHeight="1">
      <c r="BM31843" s="1025"/>
      <c r="BO31843" s="43"/>
    </row>
    <row r="31844" spans="65:67" ht="18.75" customHeight="1">
      <c r="BM31844" s="1025"/>
      <c r="BO31844" s="43"/>
    </row>
    <row r="31845" spans="65:67" ht="18.75" customHeight="1">
      <c r="BM31845" s="1025"/>
      <c r="BO31845" s="43"/>
    </row>
    <row r="31846" spans="65:67" ht="18.75" customHeight="1">
      <c r="BM31846" s="1025"/>
      <c r="BO31846" s="43"/>
    </row>
    <row r="31847" spans="65:67" ht="18.75" customHeight="1">
      <c r="BM31847" s="1025"/>
      <c r="BO31847" s="43"/>
    </row>
    <row r="31848" spans="65:67" ht="18.75" customHeight="1">
      <c r="BM31848" s="1025"/>
      <c r="BO31848" s="43"/>
    </row>
    <row r="31849" spans="65:67" ht="18.75" customHeight="1">
      <c r="BM31849" s="1025"/>
      <c r="BO31849" s="43"/>
    </row>
    <row r="31850" spans="65:67" ht="18.75" customHeight="1">
      <c r="BM31850" s="1025"/>
      <c r="BO31850" s="43"/>
    </row>
    <row r="31851" spans="65:67" ht="18.75" customHeight="1">
      <c r="BM31851" s="1025"/>
      <c r="BO31851" s="43"/>
    </row>
    <row r="31852" spans="65:67" ht="18.75" customHeight="1">
      <c r="BM31852" s="1025"/>
      <c r="BO31852" s="43"/>
    </row>
    <row r="31853" spans="65:67" ht="18.75" customHeight="1">
      <c r="BM31853" s="1025"/>
      <c r="BO31853" s="43"/>
    </row>
    <row r="31854" spans="65:67" ht="18.75" customHeight="1">
      <c r="BM31854" s="1025"/>
      <c r="BO31854" s="43"/>
    </row>
    <row r="31855" spans="65:67" ht="18.75" customHeight="1">
      <c r="BM31855" s="1025"/>
      <c r="BO31855" s="43"/>
    </row>
    <row r="31856" spans="65:67" ht="18.75" customHeight="1">
      <c r="BM31856" s="1025"/>
      <c r="BO31856" s="43"/>
    </row>
    <row r="31857" spans="65:67" ht="18.75" customHeight="1">
      <c r="BM31857" s="1025"/>
      <c r="BO31857" s="43"/>
    </row>
    <row r="31858" spans="65:67" ht="18.75" customHeight="1">
      <c r="BM31858" s="1025"/>
      <c r="BO31858" s="43"/>
    </row>
    <row r="31859" spans="65:67" ht="18.75" customHeight="1">
      <c r="BM31859" s="1025"/>
      <c r="BO31859" s="43"/>
    </row>
    <row r="31860" spans="65:67" ht="18.75" customHeight="1">
      <c r="BM31860" s="1025"/>
      <c r="BO31860" s="43"/>
    </row>
    <row r="31861" spans="65:67" ht="18.75" customHeight="1">
      <c r="BM31861" s="1025"/>
      <c r="BO31861" s="43"/>
    </row>
    <row r="31862" spans="65:67" ht="18.75" customHeight="1">
      <c r="BM31862" s="1025"/>
      <c r="BO31862" s="43"/>
    </row>
    <row r="31863" spans="65:67" ht="18.75" customHeight="1">
      <c r="BM31863" s="1025"/>
      <c r="BO31863" s="43"/>
    </row>
    <row r="31864" spans="65:67" ht="18.75" customHeight="1">
      <c r="BM31864" s="1025"/>
      <c r="BO31864" s="43"/>
    </row>
    <row r="31865" spans="65:67" ht="18.75" customHeight="1">
      <c r="BM31865" s="1025"/>
      <c r="BO31865" s="43"/>
    </row>
    <row r="31866" spans="65:67" ht="18.75" customHeight="1">
      <c r="BM31866" s="1025"/>
      <c r="BO31866" s="43"/>
    </row>
    <row r="31867" spans="65:67" ht="18.75" customHeight="1">
      <c r="BM31867" s="1025"/>
      <c r="BO31867" s="43"/>
    </row>
    <row r="31868" spans="65:67" ht="18.75" customHeight="1">
      <c r="BM31868" s="1025"/>
      <c r="BO31868" s="43"/>
    </row>
    <row r="31869" spans="65:67" ht="18.75" customHeight="1">
      <c r="BM31869" s="1025"/>
      <c r="BO31869" s="43"/>
    </row>
    <row r="31870" spans="65:67" ht="18.75" customHeight="1">
      <c r="BM31870" s="1025"/>
      <c r="BO31870" s="43"/>
    </row>
    <row r="31871" spans="65:67" ht="18.75" customHeight="1">
      <c r="BM31871" s="1025"/>
      <c r="BO31871" s="43"/>
    </row>
    <row r="31872" spans="65:67" ht="18.75" customHeight="1">
      <c r="BM31872" s="1025"/>
      <c r="BO31872" s="43"/>
    </row>
    <row r="31873" spans="65:67" ht="18.75" customHeight="1">
      <c r="BM31873" s="1025"/>
      <c r="BO31873" s="43"/>
    </row>
    <row r="31874" spans="65:67" ht="18.75" customHeight="1">
      <c r="BM31874" s="1025"/>
      <c r="BO31874" s="43"/>
    </row>
    <row r="31875" spans="65:67" ht="18.75" customHeight="1">
      <c r="BM31875" s="1025"/>
      <c r="BO31875" s="43"/>
    </row>
    <row r="31876" spans="65:67" ht="18.75" customHeight="1">
      <c r="BM31876" s="1025"/>
      <c r="BO31876" s="43"/>
    </row>
    <row r="31877" spans="65:67" ht="18.75" customHeight="1">
      <c r="BM31877" s="1025"/>
      <c r="BO31877" s="43"/>
    </row>
    <row r="31878" spans="65:67" ht="18.75" customHeight="1">
      <c r="BM31878" s="1025"/>
      <c r="BO31878" s="43"/>
    </row>
    <row r="31879" spans="65:67" ht="18.75" customHeight="1">
      <c r="BM31879" s="1025"/>
      <c r="BO31879" s="43"/>
    </row>
    <row r="31880" spans="65:67" ht="18.75" customHeight="1">
      <c r="BM31880" s="1025"/>
      <c r="BO31880" s="43"/>
    </row>
    <row r="31881" spans="65:67" ht="18.75" customHeight="1">
      <c r="BM31881" s="1025"/>
      <c r="BO31881" s="43"/>
    </row>
    <row r="31882" spans="65:67" ht="18.75" customHeight="1">
      <c r="BM31882" s="1025"/>
      <c r="BO31882" s="43"/>
    </row>
    <row r="31883" spans="65:67" ht="18.75" customHeight="1">
      <c r="BM31883" s="1025"/>
      <c r="BO31883" s="43"/>
    </row>
    <row r="31884" spans="65:67" ht="18.75" customHeight="1">
      <c r="BM31884" s="1025"/>
      <c r="BO31884" s="43"/>
    </row>
    <row r="31885" spans="65:67" ht="18.75" customHeight="1">
      <c r="BM31885" s="1025"/>
      <c r="BO31885" s="43"/>
    </row>
    <row r="31886" spans="65:67" ht="18.75" customHeight="1">
      <c r="BM31886" s="1025"/>
      <c r="BO31886" s="43"/>
    </row>
    <row r="31887" spans="65:67" ht="18.75" customHeight="1">
      <c r="BM31887" s="1025"/>
      <c r="BO31887" s="43"/>
    </row>
    <row r="31888" spans="65:67" ht="18.75" customHeight="1">
      <c r="BM31888" s="1025"/>
      <c r="BO31888" s="43"/>
    </row>
    <row r="31889" spans="65:67" ht="18.75" customHeight="1">
      <c r="BM31889" s="1025"/>
      <c r="BO31889" s="43"/>
    </row>
    <row r="31890" spans="65:67" ht="18.75" customHeight="1">
      <c r="BM31890" s="1025"/>
      <c r="BO31890" s="43"/>
    </row>
    <row r="31891" spans="65:67" ht="18.75" customHeight="1">
      <c r="BM31891" s="1025"/>
      <c r="BO31891" s="43"/>
    </row>
    <row r="31892" spans="65:67" ht="18.75" customHeight="1">
      <c r="BM31892" s="1025"/>
      <c r="BO31892" s="43"/>
    </row>
    <row r="31893" spans="65:67" ht="18.75" customHeight="1">
      <c r="BM31893" s="1025"/>
      <c r="BO31893" s="43"/>
    </row>
    <row r="31894" spans="65:67" ht="18.75" customHeight="1">
      <c r="BM31894" s="1025"/>
      <c r="BO31894" s="43"/>
    </row>
    <row r="31895" spans="65:67" ht="18.75" customHeight="1">
      <c r="BM31895" s="1025"/>
      <c r="BO31895" s="43"/>
    </row>
    <row r="31896" spans="65:67" ht="18.75" customHeight="1">
      <c r="BM31896" s="1025"/>
      <c r="BO31896" s="43"/>
    </row>
    <row r="31897" spans="65:67" ht="18.75" customHeight="1">
      <c r="BM31897" s="1025"/>
      <c r="BO31897" s="43"/>
    </row>
    <row r="31898" spans="65:67" ht="18.75" customHeight="1">
      <c r="BM31898" s="1025"/>
      <c r="BO31898" s="43"/>
    </row>
    <row r="31899" spans="65:67" ht="18.75" customHeight="1">
      <c r="BM31899" s="1025"/>
      <c r="BO31899" s="43"/>
    </row>
    <row r="31900" spans="65:67" ht="18.75" customHeight="1">
      <c r="BM31900" s="1025"/>
      <c r="BO31900" s="43"/>
    </row>
    <row r="31901" spans="65:67" ht="18.75" customHeight="1">
      <c r="BM31901" s="1025"/>
      <c r="BO31901" s="43"/>
    </row>
    <row r="31902" spans="65:67" ht="18.75" customHeight="1">
      <c r="BM31902" s="1025"/>
      <c r="BO31902" s="43"/>
    </row>
    <row r="31903" spans="65:67" ht="18.75" customHeight="1">
      <c r="BM31903" s="1025"/>
      <c r="BO31903" s="43"/>
    </row>
    <row r="31904" spans="65:67" ht="18.75" customHeight="1">
      <c r="BM31904" s="1025"/>
      <c r="BO31904" s="43"/>
    </row>
    <row r="31905" spans="65:67" ht="18.75" customHeight="1">
      <c r="BM31905" s="1025"/>
      <c r="BO31905" s="43"/>
    </row>
    <row r="31906" spans="65:67" ht="18.75" customHeight="1">
      <c r="BM31906" s="1025"/>
      <c r="BO31906" s="43"/>
    </row>
    <row r="31907" spans="65:67" ht="18.75" customHeight="1">
      <c r="BM31907" s="1025"/>
      <c r="BO31907" s="43"/>
    </row>
    <row r="31908" spans="65:67" ht="18.75" customHeight="1">
      <c r="BM31908" s="1025"/>
      <c r="BO31908" s="43"/>
    </row>
    <row r="31909" spans="65:67" ht="18.75" customHeight="1">
      <c r="BM31909" s="1025"/>
      <c r="BO31909" s="43"/>
    </row>
    <row r="31910" spans="65:67" ht="18.75" customHeight="1">
      <c r="BM31910" s="1025"/>
      <c r="BO31910" s="43"/>
    </row>
    <row r="31911" spans="65:67" ht="18.75" customHeight="1">
      <c r="BM31911" s="1025"/>
      <c r="BO31911" s="43"/>
    </row>
    <row r="31912" spans="65:67" ht="18.75" customHeight="1">
      <c r="BM31912" s="1025"/>
      <c r="BO31912" s="43"/>
    </row>
    <row r="31913" spans="65:67" ht="18.75" customHeight="1">
      <c r="BM31913" s="1025"/>
      <c r="BO31913" s="43"/>
    </row>
    <row r="31914" spans="65:67" ht="18.75" customHeight="1">
      <c r="BM31914" s="1025"/>
      <c r="BO31914" s="43"/>
    </row>
    <row r="31915" spans="65:67" ht="18.75" customHeight="1">
      <c r="BM31915" s="1025"/>
      <c r="BO31915" s="43"/>
    </row>
    <row r="31916" spans="65:67" ht="18.75" customHeight="1">
      <c r="BM31916" s="1025"/>
      <c r="BO31916" s="43"/>
    </row>
    <row r="31917" spans="65:67" ht="18.75" customHeight="1">
      <c r="BM31917" s="1025"/>
      <c r="BO31917" s="43"/>
    </row>
    <row r="31918" spans="65:67" ht="18.75" customHeight="1">
      <c r="BM31918" s="1025"/>
      <c r="BO31918" s="43"/>
    </row>
    <row r="31919" spans="65:67" ht="18.75" customHeight="1">
      <c r="BM31919" s="1025"/>
      <c r="BO31919" s="43"/>
    </row>
    <row r="31920" spans="65:67" ht="18.75" customHeight="1">
      <c r="BM31920" s="1025"/>
      <c r="BO31920" s="43"/>
    </row>
    <row r="31921" spans="65:67" ht="18.75" customHeight="1">
      <c r="BM31921" s="1025"/>
      <c r="BO31921" s="43"/>
    </row>
    <row r="31922" spans="65:67" ht="18.75" customHeight="1">
      <c r="BM31922" s="1025"/>
      <c r="BO31922" s="43"/>
    </row>
    <row r="31923" spans="65:67" ht="18.75" customHeight="1">
      <c r="BM31923" s="1025"/>
      <c r="BO31923" s="43"/>
    </row>
    <row r="31924" spans="65:67" ht="18.75" customHeight="1">
      <c r="BM31924" s="1025"/>
      <c r="BO31924" s="43"/>
    </row>
    <row r="31925" spans="65:67" ht="18.75" customHeight="1">
      <c r="BM31925" s="1025"/>
      <c r="BO31925" s="43"/>
    </row>
    <row r="31926" spans="65:67" ht="18.75" customHeight="1">
      <c r="BM31926" s="1025"/>
      <c r="BO31926" s="43"/>
    </row>
    <row r="31927" spans="65:67" ht="18.75" customHeight="1">
      <c r="BM31927" s="1025"/>
      <c r="BO31927" s="43"/>
    </row>
    <row r="31928" spans="65:67" ht="18.75" customHeight="1">
      <c r="BM31928" s="1025"/>
      <c r="BO31928" s="43"/>
    </row>
    <row r="31929" spans="65:67" ht="18.75" customHeight="1">
      <c r="BM31929" s="1025"/>
      <c r="BO31929" s="43"/>
    </row>
    <row r="31930" spans="65:67" ht="18.75" customHeight="1">
      <c r="BM31930" s="1025"/>
      <c r="BO31930" s="43"/>
    </row>
    <row r="31931" spans="65:67" ht="18.75" customHeight="1">
      <c r="BM31931" s="1025"/>
      <c r="BO31931" s="43"/>
    </row>
    <row r="31932" spans="65:67" ht="18.75" customHeight="1">
      <c r="BM31932" s="1025"/>
      <c r="BO31932" s="43"/>
    </row>
    <row r="31933" spans="65:67" ht="18.75" customHeight="1">
      <c r="BM31933" s="1025"/>
      <c r="BO31933" s="43"/>
    </row>
    <row r="31934" spans="65:67" ht="18.75" customHeight="1">
      <c r="BM31934" s="1025"/>
      <c r="BO31934" s="43"/>
    </row>
    <row r="31935" spans="65:67" ht="18.75" customHeight="1">
      <c r="BM31935" s="1025"/>
      <c r="BO31935" s="43"/>
    </row>
    <row r="31936" spans="65:67" ht="18.75" customHeight="1">
      <c r="BM31936" s="1025"/>
      <c r="BO31936" s="43"/>
    </row>
    <row r="31937" spans="65:67" ht="18.75" customHeight="1">
      <c r="BM31937" s="1025"/>
      <c r="BO31937" s="43"/>
    </row>
    <row r="31938" spans="65:67" ht="18.75" customHeight="1">
      <c r="BM31938" s="1025"/>
      <c r="BO31938" s="43"/>
    </row>
    <row r="31939" spans="65:67" ht="18.75" customHeight="1">
      <c r="BM31939" s="1025"/>
      <c r="BO31939" s="43"/>
    </row>
    <row r="31940" spans="65:67" ht="18.75" customHeight="1">
      <c r="BM31940" s="1025"/>
      <c r="BO31940" s="43"/>
    </row>
    <row r="31941" spans="65:67" ht="18.75" customHeight="1">
      <c r="BM31941" s="1025"/>
      <c r="BO31941" s="43"/>
    </row>
    <row r="31942" spans="65:67" ht="18.75" customHeight="1">
      <c r="BM31942" s="1025"/>
      <c r="BO31942" s="43"/>
    </row>
    <row r="31943" spans="65:67" ht="18.75" customHeight="1">
      <c r="BM31943" s="1025"/>
      <c r="BO31943" s="43"/>
    </row>
    <row r="31944" spans="65:67" ht="18.75" customHeight="1">
      <c r="BM31944" s="1025"/>
      <c r="BO31944" s="43"/>
    </row>
    <row r="31945" spans="65:67" ht="18.75" customHeight="1">
      <c r="BM31945" s="1025"/>
      <c r="BO31945" s="43"/>
    </row>
    <row r="31946" spans="65:67" ht="18.75" customHeight="1">
      <c r="BM31946" s="1025"/>
      <c r="BO31946" s="43"/>
    </row>
    <row r="31947" spans="65:67" ht="18.75" customHeight="1">
      <c r="BM31947" s="1025"/>
      <c r="BO31947" s="43"/>
    </row>
    <row r="31948" spans="65:67" ht="18.75" customHeight="1">
      <c r="BM31948" s="1025"/>
      <c r="BO31948" s="43"/>
    </row>
    <row r="31949" spans="65:67" ht="18.75" customHeight="1">
      <c r="BM31949" s="1025"/>
      <c r="BO31949" s="43"/>
    </row>
    <row r="31950" spans="65:67" ht="18.75" customHeight="1">
      <c r="BM31950" s="1025"/>
      <c r="BO31950" s="43"/>
    </row>
    <row r="31951" spans="65:67" ht="18.75" customHeight="1">
      <c r="BM31951" s="1025"/>
      <c r="BO31951" s="43"/>
    </row>
    <row r="31952" spans="65:67" ht="18.75" customHeight="1">
      <c r="BM31952" s="1025"/>
      <c r="BO31952" s="43"/>
    </row>
    <row r="31953" spans="65:67" ht="18.75" customHeight="1">
      <c r="BM31953" s="1025"/>
      <c r="BO31953" s="43"/>
    </row>
    <row r="31954" spans="65:67" ht="18.75" customHeight="1">
      <c r="BM31954" s="1025"/>
      <c r="BO31954" s="43"/>
    </row>
    <row r="31955" spans="65:67" ht="18.75" customHeight="1">
      <c r="BM31955" s="1025"/>
      <c r="BO31955" s="43"/>
    </row>
    <row r="31956" spans="65:67" ht="18.75" customHeight="1">
      <c r="BM31956" s="1025"/>
      <c r="BO31956" s="43"/>
    </row>
    <row r="31957" spans="65:67" ht="18.75" customHeight="1">
      <c r="BM31957" s="1025"/>
      <c r="BO31957" s="43"/>
    </row>
    <row r="31958" spans="65:67" ht="18.75" customHeight="1">
      <c r="BM31958" s="1025"/>
      <c r="BO31958" s="43"/>
    </row>
    <row r="31959" spans="65:67" ht="18.75" customHeight="1">
      <c r="BM31959" s="1025"/>
      <c r="BO31959" s="43"/>
    </row>
    <row r="31960" spans="65:67" ht="18.75" customHeight="1">
      <c r="BM31960" s="1025"/>
      <c r="BO31960" s="43"/>
    </row>
    <row r="31961" spans="65:67" ht="18.75" customHeight="1">
      <c r="BM31961" s="1025"/>
      <c r="BO31961" s="43"/>
    </row>
    <row r="31962" spans="65:67" ht="18.75" customHeight="1">
      <c r="BM31962" s="1025"/>
      <c r="BO31962" s="43"/>
    </row>
    <row r="31963" spans="65:67" ht="18.75" customHeight="1">
      <c r="BM31963" s="1025"/>
      <c r="BO31963" s="43"/>
    </row>
    <row r="31964" spans="65:67" ht="18.75" customHeight="1">
      <c r="BM31964" s="1025"/>
      <c r="BO31964" s="43"/>
    </row>
    <row r="31965" spans="65:67" ht="18.75" customHeight="1">
      <c r="BM31965" s="1025"/>
      <c r="BO31965" s="43"/>
    </row>
    <row r="31966" spans="65:67" ht="18.75" customHeight="1">
      <c r="BM31966" s="1025"/>
      <c r="BO31966" s="43"/>
    </row>
    <row r="31967" spans="65:67" ht="18.75" customHeight="1">
      <c r="BM31967" s="1025"/>
      <c r="BO31967" s="43"/>
    </row>
    <row r="31968" spans="65:67" ht="18.75" customHeight="1">
      <c r="BM31968" s="1025"/>
      <c r="BO31968" s="43"/>
    </row>
    <row r="31969" spans="65:67" ht="18.75" customHeight="1">
      <c r="BM31969" s="1025"/>
      <c r="BO31969" s="43"/>
    </row>
    <row r="31970" spans="65:67" ht="18.75" customHeight="1">
      <c r="BM31970" s="1025"/>
      <c r="BO31970" s="43"/>
    </row>
    <row r="31971" spans="65:67" ht="18.75" customHeight="1">
      <c r="BM31971" s="1025"/>
      <c r="BO31971" s="43"/>
    </row>
    <row r="31972" spans="65:67" ht="18.75" customHeight="1">
      <c r="BM31972" s="1025"/>
      <c r="BO31972" s="43"/>
    </row>
    <row r="31973" spans="65:67" ht="18.75" customHeight="1">
      <c r="BM31973" s="1025"/>
      <c r="BO31973" s="43"/>
    </row>
    <row r="31974" spans="65:67" ht="18.75" customHeight="1">
      <c r="BM31974" s="1025"/>
      <c r="BO31974" s="43"/>
    </row>
    <row r="31975" spans="65:67" ht="18.75" customHeight="1">
      <c r="BM31975" s="1025"/>
      <c r="BO31975" s="43"/>
    </row>
    <row r="31976" spans="65:67" ht="18.75" customHeight="1">
      <c r="BM31976" s="1025"/>
      <c r="BO31976" s="43"/>
    </row>
    <row r="31977" spans="65:67" ht="18.75" customHeight="1">
      <c r="BM31977" s="1025"/>
      <c r="BO31977" s="43"/>
    </row>
    <row r="31978" spans="65:67" ht="18.75" customHeight="1">
      <c r="BM31978" s="1025"/>
      <c r="BO31978" s="43"/>
    </row>
    <row r="31979" spans="65:67" ht="18.75" customHeight="1">
      <c r="BM31979" s="1025"/>
      <c r="BO31979" s="43"/>
    </row>
    <row r="31980" spans="65:67" ht="18.75" customHeight="1">
      <c r="BM31980" s="1025"/>
      <c r="BO31980" s="43"/>
    </row>
    <row r="31981" spans="65:67" ht="18.75" customHeight="1">
      <c r="BM31981" s="1025"/>
      <c r="BO31981" s="43"/>
    </row>
    <row r="31982" spans="65:67" ht="18.75" customHeight="1">
      <c r="BM31982" s="1025"/>
      <c r="BO31982" s="43"/>
    </row>
    <row r="31983" spans="65:67" ht="18.75" customHeight="1">
      <c r="BM31983" s="1025"/>
      <c r="BO31983" s="43"/>
    </row>
    <row r="31984" spans="65:67" ht="18.75" customHeight="1">
      <c r="BM31984" s="1025"/>
      <c r="BO31984" s="43"/>
    </row>
    <row r="31985" spans="65:67" ht="18.75" customHeight="1">
      <c r="BM31985" s="1025"/>
      <c r="BO31985" s="43"/>
    </row>
    <row r="31986" spans="65:67" ht="18.75" customHeight="1">
      <c r="BM31986" s="1025"/>
      <c r="BO31986" s="43"/>
    </row>
    <row r="31987" spans="65:67" ht="18.75" customHeight="1">
      <c r="BM31987" s="1025"/>
      <c r="BO31987" s="43"/>
    </row>
    <row r="31988" spans="65:67" ht="18.75" customHeight="1">
      <c r="BM31988" s="1025"/>
      <c r="BO31988" s="43"/>
    </row>
    <row r="31989" spans="65:67" ht="18.75" customHeight="1">
      <c r="BM31989" s="1025"/>
      <c r="BO31989" s="43"/>
    </row>
    <row r="31990" spans="65:67" ht="18.75" customHeight="1">
      <c r="BM31990" s="1025"/>
      <c r="BO31990" s="43"/>
    </row>
    <row r="31991" spans="65:67" ht="18.75" customHeight="1">
      <c r="BM31991" s="1025"/>
      <c r="BO31991" s="43"/>
    </row>
    <row r="31992" spans="65:67" ht="18.75" customHeight="1">
      <c r="BM31992" s="1025"/>
      <c r="BO31992" s="43"/>
    </row>
    <row r="31993" spans="65:67" ht="18.75" customHeight="1">
      <c r="BM31993" s="1025"/>
      <c r="BO31993" s="43"/>
    </row>
    <row r="31994" spans="65:67" ht="18.75" customHeight="1">
      <c r="BM31994" s="1025"/>
      <c r="BO31994" s="43"/>
    </row>
    <row r="31995" spans="65:67" ht="18.75" customHeight="1">
      <c r="BM31995" s="1025"/>
      <c r="BO31995" s="43"/>
    </row>
    <row r="31996" spans="65:67" ht="18.75" customHeight="1">
      <c r="BM31996" s="1025"/>
      <c r="BO31996" s="43"/>
    </row>
    <row r="31997" spans="65:67" ht="18.75" customHeight="1">
      <c r="BM31997" s="1025"/>
      <c r="BO31997" s="43"/>
    </row>
    <row r="31998" spans="65:67" ht="18.75" customHeight="1">
      <c r="BM31998" s="1025"/>
      <c r="BO31998" s="43"/>
    </row>
    <row r="31999" spans="65:67" ht="18.75" customHeight="1">
      <c r="BM31999" s="1025"/>
      <c r="BO31999" s="43"/>
    </row>
    <row r="32000" spans="65:67" ht="18.75" customHeight="1">
      <c r="BM32000" s="1025"/>
      <c r="BO32000" s="43"/>
    </row>
    <row r="32001" spans="65:67" ht="18.75" customHeight="1">
      <c r="BM32001" s="1025"/>
      <c r="BO32001" s="43"/>
    </row>
    <row r="32002" spans="65:67" ht="18.75" customHeight="1">
      <c r="BM32002" s="1025"/>
      <c r="BO32002" s="43"/>
    </row>
    <row r="32003" spans="65:67" ht="18.75" customHeight="1">
      <c r="BM32003" s="1025"/>
      <c r="BO32003" s="43"/>
    </row>
    <row r="32004" spans="65:67" ht="18.75" customHeight="1">
      <c r="BM32004" s="1025"/>
      <c r="BO32004" s="43"/>
    </row>
    <row r="32005" spans="65:67" ht="18.75" customHeight="1">
      <c r="BM32005" s="1025"/>
      <c r="BO32005" s="43"/>
    </row>
    <row r="32006" spans="65:67" ht="18.75" customHeight="1">
      <c r="BM32006" s="1025"/>
      <c r="BO32006" s="43"/>
    </row>
    <row r="32007" spans="65:67" ht="18.75" customHeight="1">
      <c r="BM32007" s="1025"/>
      <c r="BO32007" s="43"/>
    </row>
    <row r="32008" spans="65:67" ht="18.75" customHeight="1">
      <c r="BM32008" s="1025"/>
      <c r="BO32008" s="43"/>
    </row>
    <row r="32009" spans="65:67" ht="18.75" customHeight="1">
      <c r="BM32009" s="1025"/>
      <c r="BO32009" s="43"/>
    </row>
    <row r="32010" spans="65:67" ht="18.75" customHeight="1">
      <c r="BM32010" s="1025"/>
      <c r="BO32010" s="43"/>
    </row>
    <row r="32011" spans="65:67" ht="18.75" customHeight="1">
      <c r="BM32011" s="1025"/>
      <c r="BO32011" s="43"/>
    </row>
    <row r="32012" spans="65:67" ht="18.75" customHeight="1">
      <c r="BM32012" s="1025"/>
      <c r="BO32012" s="43"/>
    </row>
    <row r="32013" spans="65:67" ht="18.75" customHeight="1">
      <c r="BM32013" s="1025"/>
      <c r="BO32013" s="43"/>
    </row>
    <row r="32014" spans="65:67" ht="18.75" customHeight="1">
      <c r="BM32014" s="1025"/>
      <c r="BO32014" s="43"/>
    </row>
    <row r="32015" spans="65:67" ht="18.75" customHeight="1">
      <c r="BM32015" s="1025"/>
      <c r="BO32015" s="43"/>
    </row>
    <row r="32016" spans="65:67" ht="18.75" customHeight="1">
      <c r="BM32016" s="1025"/>
      <c r="BO32016" s="43"/>
    </row>
    <row r="32017" spans="65:67" ht="18.75" customHeight="1">
      <c r="BM32017" s="1025"/>
      <c r="BO32017" s="43"/>
    </row>
    <row r="32018" spans="65:67" ht="18.75" customHeight="1">
      <c r="BM32018" s="1025"/>
      <c r="BO32018" s="43"/>
    </row>
    <row r="32019" spans="65:67" ht="18.75" customHeight="1">
      <c r="BM32019" s="1025"/>
      <c r="BO32019" s="43"/>
    </row>
    <row r="32020" spans="65:67" ht="18.75" customHeight="1">
      <c r="BM32020" s="1025"/>
      <c r="BO32020" s="43"/>
    </row>
    <row r="32021" spans="65:67" ht="18.75" customHeight="1">
      <c r="BM32021" s="1025"/>
      <c r="BO32021" s="43"/>
    </row>
    <row r="32022" spans="65:67" ht="18.75" customHeight="1">
      <c r="BM32022" s="1025"/>
      <c r="BO32022" s="43"/>
    </row>
    <row r="32023" spans="65:67" ht="18.75" customHeight="1">
      <c r="BM32023" s="1025"/>
      <c r="BO32023" s="43"/>
    </row>
    <row r="32024" spans="65:67" ht="18.75" customHeight="1">
      <c r="BM32024" s="1025"/>
      <c r="BO32024" s="43"/>
    </row>
    <row r="32025" spans="65:67" ht="18.75" customHeight="1">
      <c r="BM32025" s="1025"/>
      <c r="BO32025" s="43"/>
    </row>
    <row r="32026" spans="65:67" ht="18.75" customHeight="1">
      <c r="BM32026" s="1025"/>
      <c r="BO32026" s="43"/>
    </row>
    <row r="32027" spans="65:67" ht="18.75" customHeight="1">
      <c r="BM32027" s="1025"/>
      <c r="BO32027" s="43"/>
    </row>
    <row r="32028" spans="65:67" ht="18.75" customHeight="1">
      <c r="BM32028" s="1025"/>
      <c r="BO32028" s="43"/>
    </row>
    <row r="32029" spans="65:67" ht="18.75" customHeight="1">
      <c r="BM32029" s="1025"/>
      <c r="BO32029" s="43"/>
    </row>
    <row r="32030" spans="65:67" ht="18.75" customHeight="1">
      <c r="BM32030" s="1025"/>
      <c r="BO32030" s="43"/>
    </row>
    <row r="32031" spans="65:67" ht="18.75" customHeight="1">
      <c r="BM32031" s="1025"/>
      <c r="BO32031" s="43"/>
    </row>
    <row r="32032" spans="65:67" ht="18.75" customHeight="1">
      <c r="BM32032" s="1025"/>
      <c r="BO32032" s="43"/>
    </row>
    <row r="32033" spans="65:67" ht="18.75" customHeight="1">
      <c r="BM32033" s="1025"/>
      <c r="BO32033" s="43"/>
    </row>
    <row r="32034" spans="65:67" ht="18.75" customHeight="1">
      <c r="BM32034" s="1025"/>
      <c r="BO32034" s="43"/>
    </row>
    <row r="32035" spans="65:67" ht="18.75" customHeight="1">
      <c r="BM32035" s="1025"/>
      <c r="BO32035" s="43"/>
    </row>
    <row r="32036" spans="65:67" ht="18.75" customHeight="1">
      <c r="BM32036" s="1025"/>
      <c r="BO32036" s="43"/>
    </row>
    <row r="32037" spans="65:67" ht="18.75" customHeight="1">
      <c r="BM32037" s="1025"/>
      <c r="BO32037" s="43"/>
    </row>
    <row r="32038" spans="65:67" ht="18.75" customHeight="1">
      <c r="BM32038" s="1025"/>
      <c r="BO32038" s="43"/>
    </row>
    <row r="32039" spans="65:67" ht="18.75" customHeight="1">
      <c r="BM32039" s="1025"/>
      <c r="BO32039" s="43"/>
    </row>
    <row r="32040" spans="65:67" ht="18.75" customHeight="1">
      <c r="BM32040" s="1025"/>
      <c r="BO32040" s="43"/>
    </row>
    <row r="32041" spans="65:67" ht="18.75" customHeight="1">
      <c r="BM32041" s="1025"/>
      <c r="BO32041" s="43"/>
    </row>
    <row r="32042" spans="65:67" ht="18.75" customHeight="1">
      <c r="BM32042" s="1025"/>
      <c r="BO32042" s="43"/>
    </row>
    <row r="32043" spans="65:67" ht="18.75" customHeight="1">
      <c r="BM32043" s="1025"/>
      <c r="BO32043" s="43"/>
    </row>
    <row r="32044" spans="65:67" ht="18.75" customHeight="1">
      <c r="BM32044" s="1025"/>
      <c r="BO32044" s="43"/>
    </row>
    <row r="32045" spans="65:67" ht="18.75" customHeight="1">
      <c r="BM32045" s="1025"/>
      <c r="BO32045" s="43"/>
    </row>
    <row r="32046" spans="65:67" ht="18.75" customHeight="1">
      <c r="BM32046" s="1025"/>
      <c r="BO32046" s="43"/>
    </row>
    <row r="32047" spans="65:67" ht="18.75" customHeight="1">
      <c r="BM32047" s="1025"/>
      <c r="BO32047" s="43"/>
    </row>
    <row r="32048" spans="65:67" ht="18.75" customHeight="1">
      <c r="BM32048" s="1025"/>
      <c r="BO32048" s="43"/>
    </row>
    <row r="32049" spans="65:67" ht="18.75" customHeight="1">
      <c r="BM32049" s="1025"/>
      <c r="BO32049" s="43"/>
    </row>
    <row r="32050" spans="65:67" ht="18.75" customHeight="1">
      <c r="BM32050" s="1025"/>
      <c r="BO32050" s="43"/>
    </row>
    <row r="32051" spans="65:67" ht="18.75" customHeight="1">
      <c r="BM32051" s="1025"/>
      <c r="BO32051" s="43"/>
    </row>
    <row r="32052" spans="65:67" ht="18.75" customHeight="1">
      <c r="BM32052" s="1025"/>
      <c r="BO32052" s="43"/>
    </row>
    <row r="32053" spans="65:67" ht="18.75" customHeight="1">
      <c r="BM32053" s="1025"/>
      <c r="BO32053" s="43"/>
    </row>
    <row r="32054" spans="65:67" ht="18.75" customHeight="1">
      <c r="BM32054" s="1025"/>
      <c r="BO32054" s="43"/>
    </row>
    <row r="32055" spans="65:67" ht="18.75" customHeight="1">
      <c r="BM32055" s="1025"/>
      <c r="BO32055" s="43"/>
    </row>
    <row r="32056" spans="65:67" ht="18.75" customHeight="1">
      <c r="BM32056" s="1025"/>
      <c r="BO32056" s="43"/>
    </row>
    <row r="32057" spans="65:67" ht="18.75" customHeight="1">
      <c r="BM32057" s="1025"/>
      <c r="BO32057" s="43"/>
    </row>
    <row r="32058" spans="65:67" ht="18.75" customHeight="1">
      <c r="BM32058" s="1025"/>
      <c r="BO32058" s="43"/>
    </row>
    <row r="32059" spans="65:67" ht="18.75" customHeight="1">
      <c r="BM32059" s="1025"/>
      <c r="BO32059" s="43"/>
    </row>
    <row r="32060" spans="65:67" ht="18.75" customHeight="1">
      <c r="BM32060" s="1025"/>
      <c r="BO32060" s="43"/>
    </row>
    <row r="32061" spans="65:67" ht="18.75" customHeight="1">
      <c r="BM32061" s="1025"/>
      <c r="BO32061" s="43"/>
    </row>
    <row r="32062" spans="65:67" ht="18.75" customHeight="1">
      <c r="BM32062" s="1025"/>
      <c r="BO32062" s="43"/>
    </row>
    <row r="32063" spans="65:67" ht="18.75" customHeight="1">
      <c r="BM32063" s="1025"/>
      <c r="BO32063" s="43"/>
    </row>
    <row r="32064" spans="65:67" ht="18.75" customHeight="1">
      <c r="BM32064" s="1025"/>
      <c r="BO32064" s="43"/>
    </row>
    <row r="32065" spans="65:67" ht="18.75" customHeight="1">
      <c r="BM32065" s="1025"/>
      <c r="BO32065" s="43"/>
    </row>
    <row r="32066" spans="65:67" ht="18.75" customHeight="1">
      <c r="BM32066" s="1025"/>
      <c r="BO32066" s="43"/>
    </row>
    <row r="32067" spans="65:67" ht="18.75" customHeight="1">
      <c r="BM32067" s="1025"/>
      <c r="BO32067" s="43"/>
    </row>
    <row r="32068" spans="65:67" ht="18.75" customHeight="1">
      <c r="BM32068" s="1025"/>
      <c r="BO32068" s="43"/>
    </row>
    <row r="32069" spans="65:67" ht="18.75" customHeight="1">
      <c r="BM32069" s="1025"/>
      <c r="BO32069" s="43"/>
    </row>
    <row r="32070" spans="65:67" ht="18.75" customHeight="1">
      <c r="BM32070" s="1025"/>
      <c r="BO32070" s="43"/>
    </row>
    <row r="32071" spans="65:67" ht="18.75" customHeight="1">
      <c r="BM32071" s="1025"/>
      <c r="BO32071" s="43"/>
    </row>
    <row r="32072" spans="65:67" ht="18.75" customHeight="1">
      <c r="BM32072" s="1025"/>
      <c r="BO32072" s="43"/>
    </row>
    <row r="32073" spans="65:67" ht="18.75" customHeight="1">
      <c r="BM32073" s="1025"/>
      <c r="BO32073" s="43"/>
    </row>
    <row r="32074" spans="65:67" ht="18.75" customHeight="1">
      <c r="BM32074" s="1025"/>
      <c r="BO32074" s="43"/>
    </row>
    <row r="32075" spans="65:67" ht="18.75" customHeight="1">
      <c r="BM32075" s="1025"/>
      <c r="BO32075" s="43"/>
    </row>
    <row r="32076" spans="65:67" ht="18.75" customHeight="1">
      <c r="BM32076" s="1025"/>
      <c r="BO32076" s="43"/>
    </row>
    <row r="32077" spans="65:67" ht="18.75" customHeight="1">
      <c r="BM32077" s="1025"/>
      <c r="BO32077" s="43"/>
    </row>
    <row r="32078" spans="65:67" ht="18.75" customHeight="1">
      <c r="BM32078" s="1025"/>
      <c r="BO32078" s="43"/>
    </row>
    <row r="32079" spans="65:67" ht="18.75" customHeight="1">
      <c r="BM32079" s="1025"/>
      <c r="BO32079" s="43"/>
    </row>
    <row r="32080" spans="65:67" ht="18.75" customHeight="1">
      <c r="BM32080" s="1025"/>
      <c r="BO32080" s="43"/>
    </row>
    <row r="32081" spans="65:67" ht="18.75" customHeight="1">
      <c r="BM32081" s="1025"/>
      <c r="BO32081" s="43"/>
    </row>
    <row r="32082" spans="65:67" ht="18.75" customHeight="1">
      <c r="BM32082" s="1025"/>
      <c r="BO32082" s="43"/>
    </row>
    <row r="32083" spans="65:67" ht="18.75" customHeight="1">
      <c r="BM32083" s="1025"/>
      <c r="BO32083" s="43"/>
    </row>
    <row r="32084" spans="65:67" ht="18.75" customHeight="1">
      <c r="BM32084" s="1025"/>
      <c r="BO32084" s="43"/>
    </row>
    <row r="32085" spans="65:67" ht="18.75" customHeight="1">
      <c r="BM32085" s="1025"/>
      <c r="BO32085" s="43"/>
    </row>
    <row r="32086" spans="65:67" ht="18.75" customHeight="1">
      <c r="BM32086" s="1025"/>
      <c r="BO32086" s="43"/>
    </row>
    <row r="32087" spans="65:67" ht="18.75" customHeight="1">
      <c r="BM32087" s="1025"/>
      <c r="BO32087" s="43"/>
    </row>
    <row r="32088" spans="65:67" ht="18.75" customHeight="1">
      <c r="BM32088" s="1025"/>
      <c r="BO32088" s="43"/>
    </row>
    <row r="32089" spans="65:67" ht="18.75" customHeight="1">
      <c r="BM32089" s="1025"/>
      <c r="BO32089" s="43"/>
    </row>
    <row r="32090" spans="65:67" ht="18.75" customHeight="1">
      <c r="BM32090" s="1025"/>
      <c r="BO32090" s="43"/>
    </row>
    <row r="32091" spans="65:67" ht="18.75" customHeight="1">
      <c r="BM32091" s="1025"/>
      <c r="BO32091" s="43"/>
    </row>
    <row r="32092" spans="65:67" ht="18.75" customHeight="1">
      <c r="BM32092" s="1025"/>
      <c r="BO32092" s="43"/>
    </row>
    <row r="32093" spans="65:67" ht="18.75" customHeight="1">
      <c r="BM32093" s="1025"/>
      <c r="BO32093" s="43"/>
    </row>
    <row r="32094" spans="65:67" ht="18.75" customHeight="1">
      <c r="BM32094" s="1025"/>
      <c r="BO32094" s="43"/>
    </row>
    <row r="32095" spans="65:67" ht="18.75" customHeight="1">
      <c r="BM32095" s="1025"/>
      <c r="BO32095" s="43"/>
    </row>
    <row r="32096" spans="65:67" ht="18.75" customHeight="1">
      <c r="BM32096" s="1025"/>
      <c r="BO32096" s="43"/>
    </row>
    <row r="32097" spans="65:67" ht="18.75" customHeight="1">
      <c r="BM32097" s="1025"/>
      <c r="BO32097" s="43"/>
    </row>
    <row r="32098" spans="65:67" ht="18.75" customHeight="1">
      <c r="BM32098" s="1025"/>
      <c r="BO32098" s="43"/>
    </row>
    <row r="32099" spans="65:67" ht="18.75" customHeight="1">
      <c r="BM32099" s="1025"/>
      <c r="BO32099" s="43"/>
    </row>
    <row r="32100" spans="65:67" ht="18.75" customHeight="1">
      <c r="BM32100" s="1025"/>
      <c r="BO32100" s="43"/>
    </row>
    <row r="32101" spans="65:67" ht="18.75" customHeight="1">
      <c r="BM32101" s="1025"/>
      <c r="BO32101" s="43"/>
    </row>
    <row r="32102" spans="65:67" ht="18.75" customHeight="1">
      <c r="BM32102" s="1025"/>
      <c r="BO32102" s="43"/>
    </row>
    <row r="32103" spans="65:67" ht="18.75" customHeight="1">
      <c r="BM32103" s="1025"/>
      <c r="BO32103" s="43"/>
    </row>
    <row r="32104" spans="65:67" ht="18.75" customHeight="1">
      <c r="BM32104" s="1025"/>
      <c r="BO32104" s="43"/>
    </row>
    <row r="32105" spans="65:67" ht="18.75" customHeight="1">
      <c r="BM32105" s="1025"/>
      <c r="BO32105" s="43"/>
    </row>
    <row r="32106" spans="65:67" ht="18.75" customHeight="1">
      <c r="BM32106" s="1025"/>
      <c r="BO32106" s="43"/>
    </row>
    <row r="32107" spans="65:67" ht="18.75" customHeight="1">
      <c r="BM32107" s="1025"/>
      <c r="BO32107" s="43"/>
    </row>
    <row r="32108" spans="65:67" ht="18.75" customHeight="1">
      <c r="BM32108" s="1025"/>
      <c r="BO32108" s="43"/>
    </row>
    <row r="32109" spans="65:67" ht="18.75" customHeight="1">
      <c r="BM32109" s="1025"/>
      <c r="BO32109" s="43"/>
    </row>
    <row r="32110" spans="65:67" ht="18.75" customHeight="1">
      <c r="BM32110" s="1025"/>
      <c r="BO32110" s="43"/>
    </row>
    <row r="32111" spans="65:67" ht="18.75" customHeight="1">
      <c r="BM32111" s="1025"/>
      <c r="BO32111" s="43"/>
    </row>
    <row r="32112" spans="65:67" ht="18.75" customHeight="1">
      <c r="BM32112" s="1025"/>
      <c r="BO32112" s="43"/>
    </row>
    <row r="32113" spans="65:67" ht="18.75" customHeight="1">
      <c r="BM32113" s="1025"/>
      <c r="BO32113" s="43"/>
    </row>
    <row r="32114" spans="65:67" ht="18.75" customHeight="1">
      <c r="BM32114" s="1025"/>
      <c r="BO32114" s="43"/>
    </row>
    <row r="32115" spans="65:67" ht="18.75" customHeight="1">
      <c r="BM32115" s="1025"/>
      <c r="BO32115" s="43"/>
    </row>
    <row r="32116" spans="65:67" ht="18.75" customHeight="1">
      <c r="BM32116" s="1025"/>
      <c r="BO32116" s="43"/>
    </row>
    <row r="32117" spans="65:67" ht="18.75" customHeight="1">
      <c r="BM32117" s="1025"/>
      <c r="BO32117" s="43"/>
    </row>
    <row r="32118" spans="65:67" ht="18.75" customHeight="1">
      <c r="BM32118" s="1025"/>
      <c r="BO32118" s="43"/>
    </row>
    <row r="32119" spans="65:67" ht="18.75" customHeight="1">
      <c r="BM32119" s="1025"/>
      <c r="BO32119" s="43"/>
    </row>
    <row r="32120" spans="65:67" ht="18.75" customHeight="1">
      <c r="BM32120" s="1025"/>
      <c r="BO32120" s="43"/>
    </row>
    <row r="32121" spans="65:67" ht="18.75" customHeight="1">
      <c r="BM32121" s="1025"/>
      <c r="BO32121" s="43"/>
    </row>
    <row r="32122" spans="65:67" ht="18.75" customHeight="1">
      <c r="BM32122" s="1025"/>
      <c r="BO32122" s="43"/>
    </row>
    <row r="32123" spans="65:67" ht="18.75" customHeight="1">
      <c r="BM32123" s="1025"/>
      <c r="BO32123" s="43"/>
    </row>
    <row r="32124" spans="65:67" ht="18.75" customHeight="1">
      <c r="BM32124" s="1025"/>
      <c r="BO32124" s="43"/>
    </row>
    <row r="32125" spans="65:67" ht="18.75" customHeight="1">
      <c r="BM32125" s="1025"/>
      <c r="BO32125" s="43"/>
    </row>
    <row r="32126" spans="65:67" ht="18.75" customHeight="1">
      <c r="BM32126" s="1025"/>
      <c r="BO32126" s="43"/>
    </row>
    <row r="32127" spans="65:67" ht="18.75" customHeight="1">
      <c r="BM32127" s="1025"/>
      <c r="BO32127" s="43"/>
    </row>
    <row r="32128" spans="65:67" ht="18.75" customHeight="1">
      <c r="BM32128" s="1025"/>
      <c r="BO32128" s="43"/>
    </row>
    <row r="32129" spans="65:67" ht="18.75" customHeight="1">
      <c r="BM32129" s="1025"/>
      <c r="BO32129" s="43"/>
    </row>
    <row r="32130" spans="65:67" ht="18.75" customHeight="1">
      <c r="BM32130" s="1025"/>
      <c r="BO32130" s="43"/>
    </row>
    <row r="32131" spans="65:67" ht="18.75" customHeight="1">
      <c r="BM32131" s="1025"/>
      <c r="BO32131" s="43"/>
    </row>
    <row r="32132" spans="65:67" ht="18.75" customHeight="1">
      <c r="BM32132" s="1025"/>
      <c r="BO32132" s="43"/>
    </row>
    <row r="32133" spans="65:67" ht="18.75" customHeight="1">
      <c r="BM32133" s="1025"/>
      <c r="BO32133" s="43"/>
    </row>
    <row r="32134" spans="65:67" ht="18.75" customHeight="1">
      <c r="BM32134" s="1025"/>
      <c r="BO32134" s="43"/>
    </row>
    <row r="32135" spans="65:67" ht="18.75" customHeight="1">
      <c r="BM32135" s="1025"/>
      <c r="BO32135" s="43"/>
    </row>
    <row r="32136" spans="65:67" ht="18.75" customHeight="1">
      <c r="BM32136" s="1025"/>
      <c r="BO32136" s="43"/>
    </row>
    <row r="32137" spans="65:67" ht="18.75" customHeight="1">
      <c r="BM32137" s="1025"/>
      <c r="BO32137" s="43"/>
    </row>
    <row r="32138" spans="65:67" ht="18.75" customHeight="1">
      <c r="BM32138" s="1025"/>
      <c r="BO32138" s="43"/>
    </row>
    <row r="32139" spans="65:67" ht="18.75" customHeight="1">
      <c r="BM32139" s="1025"/>
      <c r="BO32139" s="43"/>
    </row>
    <row r="32140" spans="65:67" ht="18.75" customHeight="1">
      <c r="BM32140" s="1025"/>
      <c r="BO32140" s="43"/>
    </row>
    <row r="32141" spans="65:67" ht="18.75" customHeight="1">
      <c r="BM32141" s="1025"/>
      <c r="BO32141" s="43"/>
    </row>
    <row r="32142" spans="65:67" ht="18.75" customHeight="1">
      <c r="BM32142" s="1025"/>
      <c r="BO32142" s="43"/>
    </row>
    <row r="32143" spans="65:67" ht="18.75" customHeight="1">
      <c r="BM32143" s="1025"/>
      <c r="BO32143" s="43"/>
    </row>
    <row r="32144" spans="65:67" ht="18.75" customHeight="1">
      <c r="BM32144" s="1025"/>
      <c r="BO32144" s="43"/>
    </row>
    <row r="32145" spans="65:67" ht="18.75" customHeight="1">
      <c r="BM32145" s="1025"/>
      <c r="BO32145" s="43"/>
    </row>
    <row r="32146" spans="65:67" ht="18.75" customHeight="1">
      <c r="BM32146" s="1025"/>
      <c r="BO32146" s="43"/>
    </row>
    <row r="32147" spans="65:67" ht="18.75" customHeight="1">
      <c r="BM32147" s="1025"/>
      <c r="BO32147" s="43"/>
    </row>
    <row r="32148" spans="65:67" ht="18.75" customHeight="1">
      <c r="BM32148" s="1025"/>
      <c r="BO32148" s="43"/>
    </row>
    <row r="32149" spans="65:67" ht="18.75" customHeight="1">
      <c r="BM32149" s="1025"/>
      <c r="BO32149" s="43"/>
    </row>
    <row r="32150" spans="65:67" ht="18.75" customHeight="1">
      <c r="BM32150" s="1025"/>
      <c r="BO32150" s="43"/>
    </row>
    <row r="32151" spans="65:67" ht="18.75" customHeight="1">
      <c r="BM32151" s="1025"/>
      <c r="BO32151" s="43"/>
    </row>
    <row r="32152" spans="65:67" ht="18.75" customHeight="1">
      <c r="BM32152" s="1025"/>
      <c r="BO32152" s="43"/>
    </row>
    <row r="32153" spans="65:67" ht="18.75" customHeight="1">
      <c r="BM32153" s="1025"/>
      <c r="BO32153" s="43"/>
    </row>
    <row r="32154" spans="65:67" ht="18.75" customHeight="1">
      <c r="BM32154" s="1025"/>
      <c r="BO32154" s="43"/>
    </row>
    <row r="32155" spans="65:67" ht="18.75" customHeight="1">
      <c r="BM32155" s="1025"/>
      <c r="BO32155" s="43"/>
    </row>
    <row r="32156" spans="65:67" ht="18.75" customHeight="1">
      <c r="BM32156" s="1025"/>
      <c r="BO32156" s="43"/>
    </row>
    <row r="32157" spans="65:67" ht="18.75" customHeight="1">
      <c r="BM32157" s="1025"/>
      <c r="BO32157" s="43"/>
    </row>
    <row r="32158" spans="65:67" ht="18.75" customHeight="1">
      <c r="BM32158" s="1025"/>
      <c r="BO32158" s="43"/>
    </row>
    <row r="32159" spans="65:67" ht="18.75" customHeight="1">
      <c r="BM32159" s="1025"/>
      <c r="BO32159" s="43"/>
    </row>
    <row r="32160" spans="65:67" ht="18.75" customHeight="1">
      <c r="BM32160" s="1025"/>
      <c r="BO32160" s="43"/>
    </row>
    <row r="32161" spans="65:67" ht="18.75" customHeight="1">
      <c r="BM32161" s="1025"/>
      <c r="BO32161" s="43"/>
    </row>
    <row r="32162" spans="65:67" ht="18.75" customHeight="1">
      <c r="BM32162" s="1025"/>
      <c r="BO32162" s="43"/>
    </row>
    <row r="32163" spans="65:67" ht="18.75" customHeight="1">
      <c r="BM32163" s="1025"/>
      <c r="BO32163" s="43"/>
    </row>
    <row r="32164" spans="65:67" ht="18.75" customHeight="1">
      <c r="BM32164" s="1025"/>
      <c r="BO32164" s="43"/>
    </row>
    <row r="32165" spans="65:67" ht="18.75" customHeight="1">
      <c r="BM32165" s="1025"/>
      <c r="BO32165" s="43"/>
    </row>
    <row r="32166" spans="65:67" ht="18.75" customHeight="1">
      <c r="BM32166" s="1025"/>
      <c r="BO32166" s="43"/>
    </row>
    <row r="32167" spans="65:67" ht="18.75" customHeight="1">
      <c r="BM32167" s="1025"/>
      <c r="BO32167" s="43"/>
    </row>
    <row r="32168" spans="65:67" ht="18.75" customHeight="1">
      <c r="BM32168" s="1025"/>
      <c r="BO32168" s="43"/>
    </row>
    <row r="32169" spans="65:67" ht="18.75" customHeight="1">
      <c r="BM32169" s="1025"/>
      <c r="BO32169" s="43"/>
    </row>
    <row r="32170" spans="65:67" ht="18.75" customHeight="1">
      <c r="BM32170" s="1025"/>
      <c r="BO32170" s="43"/>
    </row>
    <row r="32171" spans="65:67" ht="18.75" customHeight="1">
      <c r="BM32171" s="1025"/>
      <c r="BO32171" s="43"/>
    </row>
    <row r="32172" spans="65:67" ht="18.75" customHeight="1">
      <c r="BM32172" s="1025"/>
      <c r="BO32172" s="43"/>
    </row>
    <row r="32173" spans="65:67" ht="18.75" customHeight="1">
      <c r="BM32173" s="1025"/>
      <c r="BO32173" s="43"/>
    </row>
    <row r="32174" spans="65:67" ht="18.75" customHeight="1">
      <c r="BM32174" s="1025"/>
      <c r="BO32174" s="43"/>
    </row>
    <row r="32175" spans="65:67" ht="18.75" customHeight="1">
      <c r="BM32175" s="1025"/>
      <c r="BO32175" s="43"/>
    </row>
    <row r="32176" spans="65:67" ht="18.75" customHeight="1">
      <c r="BM32176" s="1025"/>
      <c r="BO32176" s="43"/>
    </row>
    <row r="32177" spans="65:67" ht="18.75" customHeight="1">
      <c r="BM32177" s="1025"/>
      <c r="BO32177" s="43"/>
    </row>
    <row r="32178" spans="65:67" ht="18.75" customHeight="1">
      <c r="BM32178" s="1025"/>
      <c r="BO32178" s="43"/>
    </row>
    <row r="32179" spans="65:67" ht="18.75" customHeight="1">
      <c r="BM32179" s="1025"/>
      <c r="BO32179" s="43"/>
    </row>
    <row r="32180" spans="65:67" ht="18.75" customHeight="1">
      <c r="BM32180" s="1025"/>
      <c r="BO32180" s="43"/>
    </row>
    <row r="32181" spans="65:67" ht="18.75" customHeight="1">
      <c r="BM32181" s="1025"/>
      <c r="BO32181" s="43"/>
    </row>
    <row r="32182" spans="65:67" ht="18.75" customHeight="1">
      <c r="BM32182" s="1025"/>
      <c r="BO32182" s="43"/>
    </row>
    <row r="32183" spans="65:67" ht="18.75" customHeight="1">
      <c r="BM32183" s="1025"/>
      <c r="BO32183" s="43"/>
    </row>
    <row r="32184" spans="65:67" ht="18.75" customHeight="1">
      <c r="BM32184" s="1025"/>
      <c r="BO32184" s="43"/>
    </row>
    <row r="32185" spans="65:67" ht="18.75" customHeight="1">
      <c r="BM32185" s="1025"/>
      <c r="BO32185" s="43"/>
    </row>
    <row r="32186" spans="65:67" ht="18.75" customHeight="1">
      <c r="BM32186" s="1025"/>
      <c r="BO32186" s="43"/>
    </row>
    <row r="32187" spans="65:67" ht="18.75" customHeight="1">
      <c r="BM32187" s="1025"/>
      <c r="BO32187" s="43"/>
    </row>
    <row r="32188" spans="65:67" ht="18.75" customHeight="1">
      <c r="BM32188" s="1025"/>
      <c r="BO32188" s="43"/>
    </row>
    <row r="32189" spans="65:67" ht="18.75" customHeight="1">
      <c r="BM32189" s="1025"/>
      <c r="BO32189" s="43"/>
    </row>
    <row r="32190" spans="65:67" ht="18.75" customHeight="1">
      <c r="BM32190" s="1025"/>
      <c r="BO32190" s="43"/>
    </row>
    <row r="32191" spans="65:67" ht="18.75" customHeight="1">
      <c r="BM32191" s="1025"/>
      <c r="BO32191" s="43"/>
    </row>
    <row r="32192" spans="65:67" ht="18.75" customHeight="1">
      <c r="BM32192" s="1025"/>
      <c r="BO32192" s="43"/>
    </row>
    <row r="32193" spans="65:67" ht="18.75" customHeight="1">
      <c r="BM32193" s="1025"/>
      <c r="BO32193" s="43"/>
    </row>
    <row r="32194" spans="65:67" ht="18.75" customHeight="1">
      <c r="BM32194" s="1025"/>
      <c r="BO32194" s="43"/>
    </row>
    <row r="32195" spans="65:67" ht="18.75" customHeight="1">
      <c r="BM32195" s="1025"/>
      <c r="BO32195" s="43"/>
    </row>
    <row r="32196" spans="65:67" ht="18.75" customHeight="1">
      <c r="BM32196" s="1025"/>
      <c r="BO32196" s="43"/>
    </row>
    <row r="32197" spans="65:67" ht="18.75" customHeight="1">
      <c r="BM32197" s="1025"/>
      <c r="BO32197" s="43"/>
    </row>
    <row r="32198" spans="65:67" ht="18.75" customHeight="1">
      <c r="BM32198" s="1025"/>
      <c r="BO32198" s="43"/>
    </row>
    <row r="32199" spans="65:67" ht="18.75" customHeight="1">
      <c r="BM32199" s="1025"/>
      <c r="BO32199" s="43"/>
    </row>
    <row r="32200" spans="65:67" ht="18.75" customHeight="1">
      <c r="BM32200" s="1025"/>
      <c r="BO32200" s="43"/>
    </row>
    <row r="32201" spans="65:67" ht="18.75" customHeight="1">
      <c r="BM32201" s="1025"/>
      <c r="BO32201" s="43"/>
    </row>
    <row r="32202" spans="65:67" ht="18.75" customHeight="1">
      <c r="BM32202" s="1025"/>
      <c r="BO32202" s="43"/>
    </row>
    <row r="32203" spans="65:67" ht="18.75" customHeight="1">
      <c r="BM32203" s="1025"/>
      <c r="BO32203" s="43"/>
    </row>
    <row r="32204" spans="65:67" ht="18.75" customHeight="1">
      <c r="BM32204" s="1025"/>
      <c r="BO32204" s="43"/>
    </row>
    <row r="32205" spans="65:67" ht="18.75" customHeight="1">
      <c r="BM32205" s="1025"/>
      <c r="BO32205" s="43"/>
    </row>
    <row r="32206" spans="65:67" ht="18.75" customHeight="1">
      <c r="BM32206" s="1025"/>
      <c r="BO32206" s="43"/>
    </row>
    <row r="32207" spans="65:67" ht="18.75" customHeight="1">
      <c r="BM32207" s="1025"/>
      <c r="BO32207" s="43"/>
    </row>
    <row r="32208" spans="65:67" ht="18.75" customHeight="1">
      <c r="BM32208" s="1025"/>
      <c r="BO32208" s="43"/>
    </row>
    <row r="32209" spans="65:67" ht="18.75" customHeight="1">
      <c r="BM32209" s="1025"/>
      <c r="BO32209" s="43"/>
    </row>
    <row r="32210" spans="65:67" ht="18.75" customHeight="1">
      <c r="BM32210" s="1025"/>
      <c r="BO32210" s="43"/>
    </row>
    <row r="32211" spans="65:67" ht="18.75" customHeight="1">
      <c r="BM32211" s="1025"/>
      <c r="BO32211" s="43"/>
    </row>
    <row r="32212" spans="65:67" ht="18.75" customHeight="1">
      <c r="BM32212" s="1025"/>
      <c r="BO32212" s="43"/>
    </row>
    <row r="32213" spans="65:67" ht="18.75" customHeight="1">
      <c r="BM32213" s="1025"/>
      <c r="BO32213" s="43"/>
    </row>
    <row r="32214" spans="65:67" ht="18.75" customHeight="1">
      <c r="BM32214" s="1025"/>
      <c r="BO32214" s="43"/>
    </row>
    <row r="32215" spans="65:67" ht="18.75" customHeight="1">
      <c r="BM32215" s="1025"/>
      <c r="BO32215" s="43"/>
    </row>
    <row r="32216" spans="65:67" ht="18.75" customHeight="1">
      <c r="BM32216" s="1025"/>
      <c r="BO32216" s="43"/>
    </row>
    <row r="32217" spans="65:67" ht="18.75" customHeight="1">
      <c r="BM32217" s="1025"/>
      <c r="BO32217" s="43"/>
    </row>
    <row r="32218" spans="65:67" ht="18.75" customHeight="1">
      <c r="BM32218" s="1025"/>
      <c r="BO32218" s="43"/>
    </row>
    <row r="32219" spans="65:67" ht="18.75" customHeight="1">
      <c r="BM32219" s="1025"/>
      <c r="BO32219" s="43"/>
    </row>
    <row r="32220" spans="65:67" ht="18.75" customHeight="1">
      <c r="BM32220" s="1025"/>
      <c r="BO32220" s="43"/>
    </row>
    <row r="32221" spans="65:67" ht="18.75" customHeight="1">
      <c r="BM32221" s="1025"/>
      <c r="BO32221" s="43"/>
    </row>
    <row r="32222" spans="65:67" ht="18.75" customHeight="1">
      <c r="BM32222" s="1025"/>
      <c r="BO32222" s="43"/>
    </row>
    <row r="32223" spans="65:67" ht="18.75" customHeight="1">
      <c r="BM32223" s="1025"/>
      <c r="BO32223" s="43"/>
    </row>
    <row r="32224" spans="65:67" ht="18.75" customHeight="1">
      <c r="BM32224" s="1025"/>
      <c r="BO32224" s="43"/>
    </row>
    <row r="32225" spans="65:67" ht="18.75" customHeight="1">
      <c r="BM32225" s="1025"/>
      <c r="BO32225" s="43"/>
    </row>
    <row r="32226" spans="65:67" ht="18.75" customHeight="1">
      <c r="BM32226" s="1025"/>
      <c r="BO32226" s="43"/>
    </row>
    <row r="32227" spans="65:67" ht="18.75" customHeight="1">
      <c r="BM32227" s="1025"/>
      <c r="BO32227" s="43"/>
    </row>
    <row r="32228" spans="65:67" ht="18.75" customHeight="1">
      <c r="BM32228" s="1025"/>
      <c r="BO32228" s="43"/>
    </row>
    <row r="32229" spans="65:67" ht="18.75" customHeight="1">
      <c r="BM32229" s="1025"/>
      <c r="BO32229" s="43"/>
    </row>
    <row r="32230" spans="65:67" ht="18.75" customHeight="1">
      <c r="BM32230" s="1025"/>
      <c r="BO32230" s="43"/>
    </row>
    <row r="32231" spans="65:67" ht="18.75" customHeight="1">
      <c r="BM32231" s="1025"/>
      <c r="BO32231" s="43"/>
    </row>
    <row r="32232" spans="65:67" ht="18.75" customHeight="1">
      <c r="BM32232" s="1025"/>
      <c r="BO32232" s="43"/>
    </row>
    <row r="32233" spans="65:67" ht="18.75" customHeight="1">
      <c r="BM32233" s="1025"/>
      <c r="BO32233" s="43"/>
    </row>
    <row r="32234" spans="65:67" ht="18.75" customHeight="1">
      <c r="BM32234" s="1025"/>
      <c r="BO32234" s="43"/>
    </row>
    <row r="32235" spans="65:67" ht="18.75" customHeight="1">
      <c r="BM32235" s="1025"/>
      <c r="BO32235" s="43"/>
    </row>
    <row r="32236" spans="65:67" ht="18.75" customHeight="1">
      <c r="BM32236" s="1025"/>
      <c r="BO32236" s="43"/>
    </row>
    <row r="32237" spans="65:67" ht="18.75" customHeight="1">
      <c r="BM32237" s="1025"/>
      <c r="BO32237" s="43"/>
    </row>
    <row r="32238" spans="65:67" ht="18.75" customHeight="1">
      <c r="BM32238" s="1025"/>
      <c r="BO32238" s="43"/>
    </row>
    <row r="32239" spans="65:67" ht="18.75" customHeight="1">
      <c r="BM32239" s="1025"/>
      <c r="BO32239" s="43"/>
    </row>
    <row r="32240" spans="65:67" ht="18.75" customHeight="1">
      <c r="BM32240" s="1025"/>
      <c r="BO32240" s="43"/>
    </row>
    <row r="32241" spans="65:67" ht="18.75" customHeight="1">
      <c r="BM32241" s="1025"/>
      <c r="BO32241" s="43"/>
    </row>
    <row r="32242" spans="65:67" ht="18.75" customHeight="1">
      <c r="BM32242" s="1025"/>
      <c r="BO32242" s="43"/>
    </row>
    <row r="32243" spans="65:67" ht="18.75" customHeight="1">
      <c r="BM32243" s="1025"/>
      <c r="BO32243" s="43"/>
    </row>
    <row r="32244" spans="65:67" ht="18.75" customHeight="1">
      <c r="BM32244" s="1025"/>
      <c r="BO32244" s="43"/>
    </row>
    <row r="32245" spans="65:67" ht="18.75" customHeight="1">
      <c r="BM32245" s="1025"/>
      <c r="BO32245" s="43"/>
    </row>
    <row r="32246" spans="65:67" ht="18.75" customHeight="1">
      <c r="BM32246" s="1025"/>
      <c r="BO32246" s="43"/>
    </row>
    <row r="32247" spans="65:67" ht="18.75" customHeight="1">
      <c r="BM32247" s="1025"/>
      <c r="BO32247" s="43"/>
    </row>
    <row r="32248" spans="65:67" ht="18.75" customHeight="1">
      <c r="BM32248" s="1025"/>
      <c r="BO32248" s="43"/>
    </row>
    <row r="32249" spans="65:67" ht="18.75" customHeight="1">
      <c r="BM32249" s="1025"/>
      <c r="BO32249" s="43"/>
    </row>
    <row r="32250" spans="65:67" ht="18.75" customHeight="1">
      <c r="BM32250" s="1025"/>
      <c r="BO32250" s="43"/>
    </row>
    <row r="32251" spans="65:67" ht="18.75" customHeight="1">
      <c r="BM32251" s="1025"/>
      <c r="BO32251" s="43"/>
    </row>
    <row r="32252" spans="65:67" ht="18.75" customHeight="1">
      <c r="BM32252" s="1025"/>
      <c r="BO32252" s="43"/>
    </row>
    <row r="32253" spans="65:67" ht="18.75" customHeight="1">
      <c r="BM32253" s="1025"/>
      <c r="BO32253" s="43"/>
    </row>
    <row r="32254" spans="65:67" ht="18.75" customHeight="1">
      <c r="BM32254" s="1025"/>
      <c r="BO32254" s="43"/>
    </row>
    <row r="32255" spans="65:67" ht="18.75" customHeight="1">
      <c r="BM32255" s="1025"/>
      <c r="BO32255" s="43"/>
    </row>
    <row r="32256" spans="65:67" ht="18.75" customHeight="1">
      <c r="BM32256" s="1025"/>
      <c r="BO32256" s="43"/>
    </row>
    <row r="32257" spans="65:67" ht="18.75" customHeight="1">
      <c r="BM32257" s="1025"/>
      <c r="BO32257" s="43"/>
    </row>
    <row r="32258" spans="65:67" ht="18.75" customHeight="1">
      <c r="BM32258" s="1025"/>
      <c r="BO32258" s="43"/>
    </row>
    <row r="32259" spans="65:67" ht="18.75" customHeight="1">
      <c r="BM32259" s="1025"/>
      <c r="BO32259" s="43"/>
    </row>
    <row r="32260" spans="65:67" ht="18.75" customHeight="1">
      <c r="BM32260" s="1025"/>
      <c r="BO32260" s="43"/>
    </row>
    <row r="32261" spans="65:67" ht="18.75" customHeight="1">
      <c r="BM32261" s="1025"/>
      <c r="BO32261" s="43"/>
    </row>
    <row r="32262" spans="65:67" ht="18.75" customHeight="1">
      <c r="BM32262" s="1025"/>
      <c r="BO32262" s="43"/>
    </row>
    <row r="32263" spans="65:67" ht="18.75" customHeight="1">
      <c r="BM32263" s="1025"/>
      <c r="BO32263" s="43"/>
    </row>
    <row r="32264" spans="65:67" ht="18.75" customHeight="1">
      <c r="BM32264" s="1025"/>
      <c r="BO32264" s="43"/>
    </row>
    <row r="32265" spans="65:67" ht="18.75" customHeight="1">
      <c r="BM32265" s="1025"/>
      <c r="BO32265" s="43"/>
    </row>
    <row r="32266" spans="65:67" ht="18.75" customHeight="1">
      <c r="BM32266" s="1025"/>
      <c r="BO32266" s="43"/>
    </row>
    <row r="32267" spans="65:67" ht="18.75" customHeight="1">
      <c r="BM32267" s="1025"/>
      <c r="BO32267" s="43"/>
    </row>
    <row r="32268" spans="65:67" ht="18.75" customHeight="1">
      <c r="BM32268" s="1025"/>
      <c r="BO32268" s="43"/>
    </row>
    <row r="32269" spans="65:67" ht="18.75" customHeight="1">
      <c r="BM32269" s="1025"/>
      <c r="BO32269" s="43"/>
    </row>
    <row r="32270" spans="65:67" ht="18.75" customHeight="1">
      <c r="BM32270" s="1025"/>
      <c r="BO32270" s="43"/>
    </row>
    <row r="32271" spans="65:67" ht="18.75" customHeight="1">
      <c r="BM32271" s="1025"/>
      <c r="BO32271" s="43"/>
    </row>
    <row r="32272" spans="65:67" ht="18.75" customHeight="1">
      <c r="BM32272" s="1025"/>
      <c r="BO32272" s="43"/>
    </row>
    <row r="32273" spans="65:67" ht="18.75" customHeight="1">
      <c r="BM32273" s="1025"/>
      <c r="BO32273" s="43"/>
    </row>
    <row r="32274" spans="65:67" ht="18.75" customHeight="1">
      <c r="BM32274" s="1025"/>
      <c r="BO32274" s="43"/>
    </row>
    <row r="32275" spans="65:67" ht="18.75" customHeight="1">
      <c r="BM32275" s="1025"/>
      <c r="BO32275" s="43"/>
    </row>
    <row r="32276" spans="65:67" ht="18.75" customHeight="1">
      <c r="BM32276" s="1025"/>
      <c r="BO32276" s="43"/>
    </row>
    <row r="32277" spans="65:67" ht="18.75" customHeight="1">
      <c r="BM32277" s="1025"/>
      <c r="BO32277" s="43"/>
    </row>
    <row r="32278" spans="65:67" ht="18.75" customHeight="1">
      <c r="BM32278" s="1025"/>
      <c r="BO32278" s="43"/>
    </row>
    <row r="32279" spans="65:67" ht="18.75" customHeight="1">
      <c r="BM32279" s="1025"/>
      <c r="BO32279" s="43"/>
    </row>
    <row r="32280" spans="65:67" ht="18.75" customHeight="1">
      <c r="BM32280" s="1025"/>
      <c r="BO32280" s="43"/>
    </row>
    <row r="32281" spans="65:67" ht="18.75" customHeight="1">
      <c r="BM32281" s="1025"/>
      <c r="BO32281" s="43"/>
    </row>
    <row r="32282" spans="65:67" ht="18.75" customHeight="1">
      <c r="BM32282" s="1025"/>
      <c r="BO32282" s="43"/>
    </row>
    <row r="32283" spans="65:67" ht="18.75" customHeight="1">
      <c r="BM32283" s="1025"/>
      <c r="BO32283" s="43"/>
    </row>
    <row r="32284" spans="65:67" ht="18.75" customHeight="1">
      <c r="BM32284" s="1025"/>
      <c r="BO32284" s="43"/>
    </row>
    <row r="32285" spans="65:67" ht="18.75" customHeight="1">
      <c r="BM32285" s="1025"/>
      <c r="BO32285" s="43"/>
    </row>
    <row r="32286" spans="65:67" ht="18.75" customHeight="1">
      <c r="BM32286" s="1025"/>
      <c r="BO32286" s="43"/>
    </row>
    <row r="32287" spans="65:67" ht="18.75" customHeight="1">
      <c r="BM32287" s="1025"/>
      <c r="BO32287" s="43"/>
    </row>
    <row r="32288" spans="65:67" ht="18.75" customHeight="1">
      <c r="BM32288" s="1025"/>
      <c r="BO32288" s="43"/>
    </row>
    <row r="32289" spans="65:67" ht="18.75" customHeight="1">
      <c r="BM32289" s="1025"/>
      <c r="BO32289" s="43"/>
    </row>
    <row r="32290" spans="65:67" ht="18.75" customHeight="1">
      <c r="BM32290" s="1025"/>
      <c r="BO32290" s="43"/>
    </row>
    <row r="32291" spans="65:67" ht="18.75" customHeight="1">
      <c r="BM32291" s="1025"/>
      <c r="BO32291" s="43"/>
    </row>
    <row r="32292" spans="65:67" ht="18.75" customHeight="1">
      <c r="BM32292" s="1025"/>
      <c r="BO32292" s="43"/>
    </row>
    <row r="32293" spans="65:67" ht="18.75" customHeight="1">
      <c r="BM32293" s="1025"/>
      <c r="BO32293" s="43"/>
    </row>
    <row r="32294" spans="65:67" ht="18.75" customHeight="1">
      <c r="BM32294" s="1025"/>
      <c r="BO32294" s="43"/>
    </row>
    <row r="32295" spans="65:67" ht="18.75" customHeight="1">
      <c r="BM32295" s="1025"/>
      <c r="BO32295" s="43"/>
    </row>
    <row r="32296" spans="65:67" ht="18.75" customHeight="1">
      <c r="BM32296" s="1025"/>
      <c r="BO32296" s="43"/>
    </row>
    <row r="32297" spans="65:67" ht="18.75" customHeight="1">
      <c r="BM32297" s="1025"/>
      <c r="BO32297" s="43"/>
    </row>
    <row r="32298" spans="65:67" ht="18.75" customHeight="1">
      <c r="BM32298" s="1025"/>
      <c r="BO32298" s="43"/>
    </row>
    <row r="32299" spans="65:67" ht="18.75" customHeight="1">
      <c r="BM32299" s="1025"/>
      <c r="BO32299" s="43"/>
    </row>
    <row r="32300" spans="65:67" ht="18.75" customHeight="1">
      <c r="BM32300" s="1025"/>
      <c r="BO32300" s="43"/>
    </row>
    <row r="32301" spans="65:67" ht="18.75" customHeight="1">
      <c r="BM32301" s="1025"/>
      <c r="BO32301" s="43"/>
    </row>
    <row r="32302" spans="65:67" ht="18.75" customHeight="1">
      <c r="BM32302" s="1025"/>
      <c r="BO32302" s="43"/>
    </row>
    <row r="32303" spans="65:67" ht="18.75" customHeight="1">
      <c r="BM32303" s="1025"/>
      <c r="BO32303" s="43"/>
    </row>
    <row r="32304" spans="65:67" ht="18.75" customHeight="1">
      <c r="BM32304" s="1025"/>
      <c r="BO32304" s="43"/>
    </row>
    <row r="32305" spans="65:67" ht="18.75" customHeight="1">
      <c r="BM32305" s="1025"/>
      <c r="BO32305" s="43"/>
    </row>
    <row r="32306" spans="65:67" ht="18.75" customHeight="1">
      <c r="BM32306" s="1025"/>
      <c r="BO32306" s="43"/>
    </row>
    <row r="32307" spans="65:67" ht="18.75" customHeight="1">
      <c r="BM32307" s="1025"/>
      <c r="BO32307" s="43"/>
    </row>
    <row r="32308" spans="65:67" ht="18.75" customHeight="1">
      <c r="BM32308" s="1025"/>
      <c r="BO32308" s="43"/>
    </row>
    <row r="32309" spans="65:67" ht="18.75" customHeight="1">
      <c r="BM32309" s="1025"/>
      <c r="BO32309" s="43"/>
    </row>
    <row r="32310" spans="65:67" ht="18.75" customHeight="1">
      <c r="BM32310" s="1025"/>
      <c r="BO32310" s="43"/>
    </row>
    <row r="32311" spans="65:67" ht="18.75" customHeight="1">
      <c r="BM32311" s="1025"/>
      <c r="BO32311" s="43"/>
    </row>
    <row r="32312" spans="65:67" ht="18.75" customHeight="1">
      <c r="BM32312" s="1025"/>
      <c r="BO32312" s="43"/>
    </row>
    <row r="32313" spans="65:67" ht="18.75" customHeight="1">
      <c r="BM32313" s="1025"/>
      <c r="BO32313" s="43"/>
    </row>
    <row r="32314" spans="65:67" ht="18.75" customHeight="1">
      <c r="BM32314" s="1025"/>
      <c r="BO32314" s="43"/>
    </row>
    <row r="32315" spans="65:67" ht="18.75" customHeight="1">
      <c r="BM32315" s="1025"/>
      <c r="BO32315" s="43"/>
    </row>
    <row r="32316" spans="65:67" ht="18.75" customHeight="1">
      <c r="BM32316" s="1025"/>
      <c r="BO32316" s="43"/>
    </row>
    <row r="32317" spans="65:67" ht="18.75" customHeight="1">
      <c r="BM32317" s="1025"/>
      <c r="BO32317" s="43"/>
    </row>
    <row r="32318" spans="65:67" ht="18.75" customHeight="1">
      <c r="BM32318" s="1025"/>
      <c r="BO32318" s="43"/>
    </row>
    <row r="32319" spans="65:67" ht="18.75" customHeight="1">
      <c r="BM32319" s="1025"/>
      <c r="BO32319" s="43"/>
    </row>
    <row r="32320" spans="65:67" ht="18.75" customHeight="1">
      <c r="BM32320" s="1025"/>
      <c r="BO32320" s="43"/>
    </row>
    <row r="32321" spans="65:67" ht="18.75" customHeight="1">
      <c r="BM32321" s="1025"/>
      <c r="BO32321" s="43"/>
    </row>
    <row r="32322" spans="65:67" ht="18.75" customHeight="1">
      <c r="BM32322" s="1025"/>
      <c r="BO32322" s="43"/>
    </row>
    <row r="32323" spans="65:67" ht="18.75" customHeight="1">
      <c r="BM32323" s="1025"/>
      <c r="BO32323" s="43"/>
    </row>
    <row r="32324" spans="65:67" ht="18.75" customHeight="1">
      <c r="BM32324" s="1025"/>
      <c r="BO32324" s="43"/>
    </row>
    <row r="32325" spans="65:67" ht="18.75" customHeight="1">
      <c r="BM32325" s="1025"/>
      <c r="BO32325" s="43"/>
    </row>
    <row r="32326" spans="65:67" ht="18.75" customHeight="1">
      <c r="BM32326" s="1025"/>
      <c r="BO32326" s="43"/>
    </row>
    <row r="32327" spans="65:67" ht="18.75" customHeight="1">
      <c r="BM32327" s="1025"/>
      <c r="BO32327" s="43"/>
    </row>
    <row r="32328" spans="65:67" ht="18.75" customHeight="1">
      <c r="BM32328" s="1025"/>
      <c r="BO32328" s="43"/>
    </row>
    <row r="32329" spans="65:67" ht="18.75" customHeight="1">
      <c r="BM32329" s="1025"/>
      <c r="BO32329" s="43"/>
    </row>
    <row r="32330" spans="65:67" ht="18.75" customHeight="1">
      <c r="BM32330" s="1025"/>
      <c r="BO32330" s="43"/>
    </row>
    <row r="32331" spans="65:67" ht="18.75" customHeight="1">
      <c r="BM32331" s="1025"/>
      <c r="BO32331" s="43"/>
    </row>
    <row r="32332" spans="65:67" ht="18.75" customHeight="1">
      <c r="BM32332" s="1025"/>
      <c r="BO32332" s="43"/>
    </row>
    <row r="32333" spans="65:67" ht="18.75" customHeight="1">
      <c r="BM32333" s="1025"/>
      <c r="BO32333" s="43"/>
    </row>
    <row r="32334" spans="65:67" ht="18.75" customHeight="1">
      <c r="BM32334" s="1025"/>
      <c r="BO32334" s="43"/>
    </row>
    <row r="32335" spans="65:67" ht="18.75" customHeight="1">
      <c r="BM32335" s="1025"/>
      <c r="BO32335" s="43"/>
    </row>
    <row r="32336" spans="65:67" ht="18.75" customHeight="1">
      <c r="BM32336" s="1025"/>
      <c r="BO32336" s="43"/>
    </row>
    <row r="32337" spans="65:67" ht="18.75" customHeight="1">
      <c r="BM32337" s="1025"/>
      <c r="BO32337" s="43"/>
    </row>
    <row r="32338" spans="65:67" ht="18.75" customHeight="1">
      <c r="BM32338" s="1025"/>
      <c r="BO32338" s="43"/>
    </row>
    <row r="32339" spans="65:67" ht="18.75" customHeight="1">
      <c r="BM32339" s="1025"/>
      <c r="BO32339" s="43"/>
    </row>
    <row r="32340" spans="65:67" ht="18.75" customHeight="1">
      <c r="BM32340" s="1025"/>
      <c r="BO32340" s="43"/>
    </row>
    <row r="32341" spans="65:67" ht="18.75" customHeight="1">
      <c r="BM32341" s="1025"/>
      <c r="BO32341" s="43"/>
    </row>
    <row r="32342" spans="65:67" ht="18.75" customHeight="1">
      <c r="BM32342" s="1025"/>
      <c r="BO32342" s="43"/>
    </row>
    <row r="32343" spans="65:67" ht="18.75" customHeight="1">
      <c r="BM32343" s="1025"/>
      <c r="BO32343" s="43"/>
    </row>
    <row r="32344" spans="65:67" ht="18.75" customHeight="1">
      <c r="BM32344" s="1025"/>
      <c r="BO32344" s="43"/>
    </row>
    <row r="32345" spans="65:67" ht="18.75" customHeight="1">
      <c r="BM32345" s="1025"/>
      <c r="BO32345" s="43"/>
    </row>
    <row r="32346" spans="65:67" ht="18.75" customHeight="1">
      <c r="BM32346" s="1025"/>
      <c r="BO32346" s="43"/>
    </row>
    <row r="32347" spans="65:67" ht="18.75" customHeight="1">
      <c r="BM32347" s="1025"/>
      <c r="BO32347" s="43"/>
    </row>
    <row r="32348" spans="65:67" ht="18.75" customHeight="1">
      <c r="BM32348" s="1025"/>
      <c r="BO32348" s="43"/>
    </row>
    <row r="32349" spans="65:67" ht="18.75" customHeight="1">
      <c r="BM32349" s="1025"/>
      <c r="BO32349" s="43"/>
    </row>
    <row r="32350" spans="65:67" ht="18.75" customHeight="1">
      <c r="BM32350" s="1025"/>
      <c r="BO32350" s="43"/>
    </row>
    <row r="32351" spans="65:67" ht="18.75" customHeight="1">
      <c r="BM32351" s="1025"/>
      <c r="BO32351" s="43"/>
    </row>
    <row r="32352" spans="65:67" ht="18.75" customHeight="1">
      <c r="BM32352" s="1025"/>
      <c r="BO32352" s="43"/>
    </row>
    <row r="32353" spans="65:67" ht="18.75" customHeight="1">
      <c r="BM32353" s="1025"/>
      <c r="BO32353" s="43"/>
    </row>
    <row r="32354" spans="65:67" ht="18.75" customHeight="1">
      <c r="BM32354" s="1025"/>
      <c r="BO32354" s="43"/>
    </row>
    <row r="32355" spans="65:67" ht="18.75" customHeight="1">
      <c r="BM32355" s="1025"/>
      <c r="BO32355" s="43"/>
    </row>
    <row r="32356" spans="65:67" ht="18.75" customHeight="1">
      <c r="BM32356" s="1025"/>
      <c r="BO32356" s="43"/>
    </row>
    <row r="32357" spans="65:67" ht="18.75" customHeight="1">
      <c r="BM32357" s="1025"/>
      <c r="BO32357" s="43"/>
    </row>
    <row r="32358" spans="65:67" ht="18.75" customHeight="1">
      <c r="BM32358" s="1025"/>
      <c r="BO32358" s="43"/>
    </row>
    <row r="32359" spans="65:67" ht="18.75" customHeight="1">
      <c r="BM32359" s="1025"/>
      <c r="BO32359" s="43"/>
    </row>
    <row r="32360" spans="65:67" ht="18.75" customHeight="1">
      <c r="BM32360" s="1025"/>
      <c r="BO32360" s="43"/>
    </row>
    <row r="32361" spans="65:67" ht="18.75" customHeight="1">
      <c r="BM32361" s="1025"/>
      <c r="BO32361" s="43"/>
    </row>
    <row r="32362" spans="65:67" ht="18.75" customHeight="1">
      <c r="BM32362" s="1025"/>
      <c r="BO32362" s="43"/>
    </row>
    <row r="32363" spans="65:67" ht="18.75" customHeight="1">
      <c r="BM32363" s="1025"/>
      <c r="BO32363" s="43"/>
    </row>
    <row r="32364" spans="65:67" ht="18.75" customHeight="1">
      <c r="BM32364" s="1025"/>
      <c r="BO32364" s="43"/>
    </row>
    <row r="32365" spans="65:67" ht="18.75" customHeight="1">
      <c r="BM32365" s="1025"/>
      <c r="BO32365" s="43"/>
    </row>
    <row r="32366" spans="65:67" ht="18.75" customHeight="1">
      <c r="BM32366" s="1025"/>
      <c r="BO32366" s="43"/>
    </row>
    <row r="32367" spans="65:67" ht="18.75" customHeight="1">
      <c r="BM32367" s="1025"/>
      <c r="BO32367" s="43"/>
    </row>
    <row r="32368" spans="65:67" ht="18.75" customHeight="1">
      <c r="BM32368" s="1025"/>
      <c r="BO32368" s="43"/>
    </row>
    <row r="32369" spans="65:67" ht="18.75" customHeight="1">
      <c r="BM32369" s="1025"/>
      <c r="BO32369" s="43"/>
    </row>
    <row r="32370" spans="65:67" ht="18.75" customHeight="1">
      <c r="BM32370" s="1025"/>
      <c r="BO32370" s="43"/>
    </row>
    <row r="32371" spans="65:67" ht="18.75" customHeight="1">
      <c r="BM32371" s="1025"/>
      <c r="BO32371" s="43"/>
    </row>
    <row r="32372" spans="65:67" ht="18.75" customHeight="1">
      <c r="BM32372" s="1025"/>
      <c r="BO32372" s="43"/>
    </row>
    <row r="32373" spans="65:67" ht="18.75" customHeight="1">
      <c r="BM32373" s="1025"/>
      <c r="BO32373" s="43"/>
    </row>
    <row r="32374" spans="65:67" ht="18.75" customHeight="1">
      <c r="BM32374" s="1025"/>
      <c r="BO32374" s="43"/>
    </row>
    <row r="32375" spans="65:67" ht="18.75" customHeight="1">
      <c r="BM32375" s="1025"/>
      <c r="BO32375" s="43"/>
    </row>
    <row r="32376" spans="65:67" ht="18.75" customHeight="1">
      <c r="BM32376" s="1025"/>
      <c r="BO32376" s="43"/>
    </row>
    <row r="32377" spans="65:67" ht="18.75" customHeight="1">
      <c r="BM32377" s="1025"/>
      <c r="BO32377" s="43"/>
    </row>
    <row r="32378" spans="65:67" ht="18.75" customHeight="1">
      <c r="BM32378" s="1025"/>
      <c r="BO32378" s="43"/>
    </row>
    <row r="32379" spans="65:67" ht="18.75" customHeight="1">
      <c r="BM32379" s="1025"/>
      <c r="BO32379" s="43"/>
    </row>
    <row r="32380" spans="65:67" ht="18.75" customHeight="1">
      <c r="BM32380" s="1025"/>
      <c r="BO32380" s="43"/>
    </row>
    <row r="32381" spans="65:67" ht="18.75" customHeight="1">
      <c r="BM32381" s="1025"/>
      <c r="BO32381" s="43"/>
    </row>
    <row r="32382" spans="65:67" ht="18.75" customHeight="1">
      <c r="BM32382" s="1025"/>
      <c r="BO32382" s="43"/>
    </row>
    <row r="32383" spans="65:67" ht="18.75" customHeight="1">
      <c r="BM32383" s="1025"/>
      <c r="BO32383" s="43"/>
    </row>
    <row r="32384" spans="65:67" ht="18.75" customHeight="1">
      <c r="BM32384" s="1025"/>
      <c r="BO32384" s="43"/>
    </row>
    <row r="32385" spans="65:67" ht="18.75" customHeight="1">
      <c r="BM32385" s="1025"/>
      <c r="BO32385" s="43"/>
    </row>
    <row r="32386" spans="65:67" ht="18.75" customHeight="1">
      <c r="BM32386" s="1025"/>
      <c r="BO32386" s="43"/>
    </row>
    <row r="32387" spans="65:67" ht="18.75" customHeight="1">
      <c r="BM32387" s="1025"/>
      <c r="BO32387" s="43"/>
    </row>
    <row r="32388" spans="65:67" ht="18.75" customHeight="1">
      <c r="BM32388" s="1025"/>
      <c r="BO32388" s="43"/>
    </row>
    <row r="32389" spans="65:67" ht="18.75" customHeight="1">
      <c r="BM32389" s="1025"/>
      <c r="BO32389" s="43"/>
    </row>
    <row r="32390" spans="65:67" ht="18.75" customHeight="1">
      <c r="BM32390" s="1025"/>
      <c r="BO32390" s="43"/>
    </row>
    <row r="32391" spans="65:67" ht="18.75" customHeight="1">
      <c r="BM32391" s="1025"/>
      <c r="BO32391" s="43"/>
    </row>
    <row r="32392" spans="65:67" ht="18.75" customHeight="1">
      <c r="BM32392" s="1025"/>
      <c r="BO32392" s="43"/>
    </row>
    <row r="32393" spans="65:67" ht="18.75" customHeight="1">
      <c r="BM32393" s="1025"/>
      <c r="BO32393" s="43"/>
    </row>
    <row r="32394" spans="65:67" ht="18.75" customHeight="1">
      <c r="BM32394" s="1025"/>
      <c r="BO32394" s="43"/>
    </row>
    <row r="32395" spans="65:67" ht="18.75" customHeight="1">
      <c r="BM32395" s="1025"/>
      <c r="BO32395" s="43"/>
    </row>
    <row r="32396" spans="65:67" ht="18.75" customHeight="1">
      <c r="BM32396" s="1025"/>
      <c r="BO32396" s="43"/>
    </row>
    <row r="32397" spans="65:67" ht="18.75" customHeight="1">
      <c r="BM32397" s="1025"/>
      <c r="BO32397" s="43"/>
    </row>
    <row r="32398" spans="65:67" ht="18.75" customHeight="1">
      <c r="BM32398" s="1025"/>
      <c r="BO32398" s="43"/>
    </row>
    <row r="32399" spans="65:67" ht="18.75" customHeight="1">
      <c r="BM32399" s="1025"/>
      <c r="BO32399" s="43"/>
    </row>
    <row r="32400" spans="65:67" ht="18.75" customHeight="1">
      <c r="BM32400" s="1025"/>
      <c r="BO32400" s="43"/>
    </row>
    <row r="32401" spans="65:67" ht="18.75" customHeight="1">
      <c r="BM32401" s="1025"/>
      <c r="BO32401" s="43"/>
    </row>
    <row r="32402" spans="65:67" ht="18.75" customHeight="1">
      <c r="BM32402" s="1025"/>
      <c r="BO32402" s="43"/>
    </row>
    <row r="32403" spans="65:67" ht="18.75" customHeight="1">
      <c r="BM32403" s="1025"/>
      <c r="BO32403" s="43"/>
    </row>
    <row r="32404" spans="65:67" ht="18.75" customHeight="1">
      <c r="BM32404" s="1025"/>
      <c r="BO32404" s="43"/>
    </row>
    <row r="32405" spans="65:67" ht="18.75" customHeight="1">
      <c r="BM32405" s="1025"/>
      <c r="BO32405" s="43"/>
    </row>
    <row r="32406" spans="65:67" ht="18.75" customHeight="1">
      <c r="BM32406" s="1025"/>
      <c r="BO32406" s="43"/>
    </row>
    <row r="32407" spans="65:67" ht="18.75" customHeight="1">
      <c r="BM32407" s="1025"/>
      <c r="BO32407" s="43"/>
    </row>
    <row r="32408" spans="65:67" ht="18.75" customHeight="1">
      <c r="BM32408" s="1025"/>
      <c r="BO32408" s="43"/>
    </row>
    <row r="32409" spans="65:67" ht="18.75" customHeight="1">
      <c r="BM32409" s="1025"/>
      <c r="BO32409" s="43"/>
    </row>
    <row r="32410" spans="65:67" ht="18.75" customHeight="1">
      <c r="BM32410" s="1025"/>
      <c r="BO32410" s="43"/>
    </row>
    <row r="32411" spans="65:67" ht="18.75" customHeight="1">
      <c r="BM32411" s="1025"/>
      <c r="BO32411" s="43"/>
    </row>
    <row r="32412" spans="65:67" ht="18.75" customHeight="1">
      <c r="BM32412" s="1025"/>
      <c r="BO32412" s="43"/>
    </row>
    <row r="32413" spans="65:67" ht="18.75" customHeight="1">
      <c r="BM32413" s="1025"/>
      <c r="BO32413" s="43"/>
    </row>
    <row r="32414" spans="65:67" ht="18.75" customHeight="1">
      <c r="BM32414" s="1025"/>
      <c r="BO32414" s="43"/>
    </row>
    <row r="32415" spans="65:67" ht="18.75" customHeight="1">
      <c r="BM32415" s="1025"/>
      <c r="BO32415" s="43"/>
    </row>
    <row r="32416" spans="65:67" ht="18.75" customHeight="1">
      <c r="BM32416" s="1025"/>
      <c r="BO32416" s="43"/>
    </row>
    <row r="32417" spans="65:67" ht="18.75" customHeight="1">
      <c r="BM32417" s="1025"/>
      <c r="BO32417" s="43"/>
    </row>
    <row r="32418" spans="65:67" ht="18.75" customHeight="1">
      <c r="BM32418" s="1025"/>
      <c r="BO32418" s="43"/>
    </row>
    <row r="32419" spans="65:67" ht="18.75" customHeight="1">
      <c r="BM32419" s="1025"/>
      <c r="BO32419" s="43"/>
    </row>
    <row r="32420" spans="65:67" ht="18.75" customHeight="1">
      <c r="BM32420" s="1025"/>
      <c r="BO32420" s="43"/>
    </row>
    <row r="32421" spans="65:67" ht="18.75" customHeight="1">
      <c r="BM32421" s="1025"/>
      <c r="BO32421" s="43"/>
    </row>
    <row r="32422" spans="65:67" ht="18.75" customHeight="1">
      <c r="BM32422" s="1025"/>
      <c r="BO32422" s="43"/>
    </row>
    <row r="32423" spans="65:67" ht="18.75" customHeight="1">
      <c r="BM32423" s="1025"/>
      <c r="BO32423" s="43"/>
    </row>
    <row r="32424" spans="65:67" ht="18.75" customHeight="1">
      <c r="BM32424" s="1025"/>
      <c r="BO32424" s="43"/>
    </row>
    <row r="32425" spans="65:67" ht="18.75" customHeight="1">
      <c r="BM32425" s="1025"/>
      <c r="BO32425" s="43"/>
    </row>
    <row r="32426" spans="65:67" ht="18.75" customHeight="1">
      <c r="BM32426" s="1025"/>
      <c r="BO32426" s="43"/>
    </row>
    <row r="32427" spans="65:67" ht="18.75" customHeight="1">
      <c r="BM32427" s="1025"/>
      <c r="BO32427" s="43"/>
    </row>
    <row r="32428" spans="65:67" ht="18.75" customHeight="1">
      <c r="BM32428" s="1025"/>
      <c r="BO32428" s="43"/>
    </row>
    <row r="32429" spans="65:67" ht="18.75" customHeight="1">
      <c r="BM32429" s="1025"/>
      <c r="BO32429" s="43"/>
    </row>
    <row r="32430" spans="65:67" ht="18.75" customHeight="1">
      <c r="BM32430" s="1025"/>
      <c r="BO32430" s="43"/>
    </row>
    <row r="32431" spans="65:67" ht="18.75" customHeight="1">
      <c r="BM32431" s="1025"/>
      <c r="BO32431" s="43"/>
    </row>
    <row r="32432" spans="65:67" ht="18.75" customHeight="1">
      <c r="BM32432" s="1025"/>
      <c r="BO32432" s="43"/>
    </row>
    <row r="32433" spans="65:67" ht="18.75" customHeight="1">
      <c r="BM32433" s="1025"/>
      <c r="BO32433" s="43"/>
    </row>
    <row r="32434" spans="65:67" ht="18.75" customHeight="1">
      <c r="BM32434" s="1025"/>
      <c r="BO32434" s="43"/>
    </row>
    <row r="32435" spans="65:67" ht="18.75" customHeight="1">
      <c r="BM32435" s="1025"/>
      <c r="BO32435" s="43"/>
    </row>
    <row r="32436" spans="65:67" ht="18.75" customHeight="1">
      <c r="BM32436" s="1025"/>
      <c r="BO32436" s="43"/>
    </row>
    <row r="32437" spans="65:67" ht="18.75" customHeight="1">
      <c r="BM32437" s="1025"/>
      <c r="BO32437" s="43"/>
    </row>
    <row r="32438" spans="65:67" ht="18.75" customHeight="1">
      <c r="BM32438" s="1025"/>
      <c r="BO32438" s="43"/>
    </row>
    <row r="32439" spans="65:67" ht="18.75" customHeight="1">
      <c r="BM32439" s="1025"/>
      <c r="BO32439" s="43"/>
    </row>
    <row r="32440" spans="65:67" ht="18.75" customHeight="1">
      <c r="BM32440" s="1025"/>
      <c r="BO32440" s="43"/>
    </row>
    <row r="32441" spans="65:67" ht="18.75" customHeight="1">
      <c r="BM32441" s="1025"/>
      <c r="BO32441" s="43"/>
    </row>
    <row r="32442" spans="65:67" ht="18.75" customHeight="1">
      <c r="BM32442" s="1025"/>
      <c r="BO32442" s="43"/>
    </row>
    <row r="32443" spans="65:67" ht="18.75" customHeight="1">
      <c r="BM32443" s="1025"/>
      <c r="BO32443" s="43"/>
    </row>
    <row r="32444" spans="65:67" ht="18.75" customHeight="1">
      <c r="BM32444" s="1025"/>
      <c r="BO32444" s="43"/>
    </row>
    <row r="32445" spans="65:67" ht="18.75" customHeight="1">
      <c r="BM32445" s="1025"/>
      <c r="BO32445" s="43"/>
    </row>
    <row r="32446" spans="65:67" ht="18.75" customHeight="1">
      <c r="BM32446" s="1025"/>
      <c r="BO32446" s="43"/>
    </row>
    <row r="32447" spans="65:67" ht="18.75" customHeight="1">
      <c r="BM32447" s="1025"/>
      <c r="BO32447" s="43"/>
    </row>
    <row r="32448" spans="65:67" ht="18.75" customHeight="1">
      <c r="BM32448" s="1025"/>
      <c r="BO32448" s="43"/>
    </row>
    <row r="32449" spans="65:67" ht="18.75" customHeight="1">
      <c r="BM32449" s="1025"/>
      <c r="BO32449" s="43"/>
    </row>
    <row r="32450" spans="65:67" ht="18.75" customHeight="1">
      <c r="BM32450" s="1025"/>
      <c r="BO32450" s="43"/>
    </row>
    <row r="32451" spans="65:67" ht="18.75" customHeight="1">
      <c r="BM32451" s="1025"/>
      <c r="BO32451" s="43"/>
    </row>
    <row r="32452" spans="65:67" ht="18.75" customHeight="1">
      <c r="BM32452" s="1025"/>
      <c r="BO32452" s="43"/>
    </row>
    <row r="32453" spans="65:67" ht="18.75" customHeight="1">
      <c r="BM32453" s="1025"/>
      <c r="BO32453" s="43"/>
    </row>
    <row r="32454" spans="65:67" ht="18.75" customHeight="1">
      <c r="BM32454" s="1025"/>
      <c r="BO32454" s="43"/>
    </row>
    <row r="32455" spans="65:67" ht="18.75" customHeight="1">
      <c r="BM32455" s="1025"/>
      <c r="BO32455" s="43"/>
    </row>
    <row r="32456" spans="65:67" ht="18.75" customHeight="1">
      <c r="BM32456" s="1025"/>
      <c r="BO32456" s="43"/>
    </row>
    <row r="32457" spans="65:67" ht="18.75" customHeight="1">
      <c r="BM32457" s="1025"/>
      <c r="BO32457" s="43"/>
    </row>
    <row r="32458" spans="65:67" ht="18.75" customHeight="1">
      <c r="BM32458" s="1025"/>
      <c r="BO32458" s="43"/>
    </row>
    <row r="32459" spans="65:67" ht="18.75" customHeight="1">
      <c r="BM32459" s="1025"/>
      <c r="BO32459" s="43"/>
    </row>
    <row r="32460" spans="65:67" ht="18.75" customHeight="1">
      <c r="BM32460" s="1025"/>
      <c r="BO32460" s="43"/>
    </row>
    <row r="32461" spans="65:67" ht="18.75" customHeight="1">
      <c r="BM32461" s="1025"/>
      <c r="BO32461" s="43"/>
    </row>
    <row r="32462" spans="65:67" ht="18.75" customHeight="1">
      <c r="BM32462" s="1025"/>
      <c r="BO32462" s="43"/>
    </row>
    <row r="32463" spans="65:67" ht="18.75" customHeight="1">
      <c r="BM32463" s="1025"/>
      <c r="BO32463" s="43"/>
    </row>
    <row r="32464" spans="65:67" ht="18.75" customHeight="1">
      <c r="BM32464" s="1025"/>
      <c r="BO32464" s="43"/>
    </row>
    <row r="32465" spans="65:67" ht="18.75" customHeight="1">
      <c r="BM32465" s="1025"/>
      <c r="BO32465" s="43"/>
    </row>
    <row r="32466" spans="65:67" ht="18.75" customHeight="1">
      <c r="BM32466" s="1025"/>
      <c r="BO32466" s="43"/>
    </row>
    <row r="32467" spans="65:67" ht="18.75" customHeight="1">
      <c r="BM32467" s="1025"/>
      <c r="BO32467" s="43"/>
    </row>
    <row r="32468" spans="65:67" ht="18.75" customHeight="1">
      <c r="BM32468" s="1025"/>
      <c r="BO32468" s="43"/>
    </row>
    <row r="32469" spans="65:67" ht="18.75" customHeight="1">
      <c r="BM32469" s="1025"/>
      <c r="BO32469" s="43"/>
    </row>
    <row r="32470" spans="65:67" ht="18.75" customHeight="1">
      <c r="BM32470" s="1025"/>
      <c r="BO32470" s="43"/>
    </row>
    <row r="32471" spans="65:67" ht="18.75" customHeight="1">
      <c r="BM32471" s="1025"/>
      <c r="BO32471" s="43"/>
    </row>
    <row r="32472" spans="65:67" ht="18.75" customHeight="1">
      <c r="BM32472" s="1025"/>
      <c r="BO32472" s="43"/>
    </row>
    <row r="32473" spans="65:67" ht="18.75" customHeight="1">
      <c r="BM32473" s="1025"/>
      <c r="BO32473" s="43"/>
    </row>
    <row r="32474" spans="65:67" ht="18.75" customHeight="1">
      <c r="BM32474" s="1025"/>
      <c r="BO32474" s="43"/>
    </row>
    <row r="32475" spans="65:67" ht="18.75" customHeight="1">
      <c r="BM32475" s="1025"/>
      <c r="BO32475" s="43"/>
    </row>
    <row r="32476" spans="65:67" ht="18.75" customHeight="1">
      <c r="BM32476" s="1025"/>
      <c r="BO32476" s="43"/>
    </row>
    <row r="32477" spans="65:67" ht="18.75" customHeight="1">
      <c r="BM32477" s="1025"/>
      <c r="BO32477" s="43"/>
    </row>
    <row r="32478" spans="65:67" ht="18.75" customHeight="1">
      <c r="BM32478" s="1025"/>
      <c r="BO32478" s="43"/>
    </row>
    <row r="32479" spans="65:67" ht="18.75" customHeight="1">
      <c r="BM32479" s="1025"/>
      <c r="BO32479" s="43"/>
    </row>
    <row r="32480" spans="65:67" ht="18.75" customHeight="1">
      <c r="BM32480" s="1025"/>
      <c r="BO32480" s="43"/>
    </row>
    <row r="32481" spans="65:67" ht="18.75" customHeight="1">
      <c r="BM32481" s="1025"/>
      <c r="BO32481" s="43"/>
    </row>
    <row r="32482" spans="65:67" ht="18.75" customHeight="1">
      <c r="BM32482" s="1025"/>
      <c r="BO32482" s="43"/>
    </row>
    <row r="32483" spans="65:67" ht="18.75" customHeight="1">
      <c r="BM32483" s="1025"/>
      <c r="BO32483" s="43"/>
    </row>
    <row r="32484" spans="65:67" ht="18.75" customHeight="1">
      <c r="BM32484" s="1025"/>
      <c r="BO32484" s="43"/>
    </row>
    <row r="32485" spans="65:67" ht="18.75" customHeight="1">
      <c r="BM32485" s="1025"/>
      <c r="BO32485" s="43"/>
    </row>
    <row r="32486" spans="65:67" ht="18.75" customHeight="1">
      <c r="BM32486" s="1025"/>
      <c r="BO32486" s="43"/>
    </row>
    <row r="32487" spans="65:67" ht="18.75" customHeight="1">
      <c r="BM32487" s="1025"/>
      <c r="BO32487" s="43"/>
    </row>
    <row r="32488" spans="65:67" ht="18.75" customHeight="1">
      <c r="BM32488" s="1025"/>
      <c r="BO32488" s="43"/>
    </row>
    <row r="32489" spans="65:67" ht="18.75" customHeight="1">
      <c r="BM32489" s="1025"/>
      <c r="BO32489" s="43"/>
    </row>
    <row r="32490" spans="65:67" ht="18.75" customHeight="1">
      <c r="BM32490" s="1025"/>
      <c r="BO32490" s="43"/>
    </row>
    <row r="32491" spans="65:67" ht="18.75" customHeight="1">
      <c r="BM32491" s="1025"/>
      <c r="BO32491" s="43"/>
    </row>
    <row r="32492" spans="65:67" ht="18.75" customHeight="1">
      <c r="BM32492" s="1025"/>
      <c r="BO32492" s="43"/>
    </row>
    <row r="32493" spans="65:67" ht="18.75" customHeight="1">
      <c r="BM32493" s="1025"/>
      <c r="BO32493" s="43"/>
    </row>
    <row r="32494" spans="65:67" ht="18.75" customHeight="1">
      <c r="BM32494" s="1025"/>
      <c r="BO32494" s="43"/>
    </row>
    <row r="32495" spans="65:67" ht="18.75" customHeight="1">
      <c r="BM32495" s="1025"/>
      <c r="BO32495" s="43"/>
    </row>
    <row r="32496" spans="65:67" ht="18.75" customHeight="1">
      <c r="BM32496" s="1025"/>
      <c r="BO32496" s="43"/>
    </row>
    <row r="32497" spans="65:67" ht="18.75" customHeight="1">
      <c r="BM32497" s="1025"/>
      <c r="BO32497" s="43"/>
    </row>
    <row r="32498" spans="65:67" ht="18.75" customHeight="1">
      <c r="BM32498" s="1025"/>
      <c r="BO32498" s="43"/>
    </row>
    <row r="32499" spans="65:67" ht="18.75" customHeight="1">
      <c r="BM32499" s="1025"/>
      <c r="BO32499" s="43"/>
    </row>
    <row r="32500" spans="65:67" ht="18.75" customHeight="1">
      <c r="BM32500" s="1025"/>
      <c r="BO32500" s="43"/>
    </row>
    <row r="32501" spans="65:67" ht="18.75" customHeight="1">
      <c r="BM32501" s="1025"/>
      <c r="BO32501" s="43"/>
    </row>
    <row r="32502" spans="65:67" ht="18.75" customHeight="1">
      <c r="BM32502" s="1025"/>
      <c r="BO32502" s="43"/>
    </row>
    <row r="32503" spans="65:67" ht="18.75" customHeight="1">
      <c r="BM32503" s="1025"/>
      <c r="BO32503" s="43"/>
    </row>
    <row r="32504" spans="65:67" ht="18.75" customHeight="1">
      <c r="BM32504" s="1025"/>
      <c r="BO32504" s="43"/>
    </row>
    <row r="32505" spans="65:67" ht="18.75" customHeight="1">
      <c r="BM32505" s="1025"/>
      <c r="BO32505" s="43"/>
    </row>
    <row r="32506" spans="65:67" ht="18.75" customHeight="1">
      <c r="BM32506" s="1025"/>
      <c r="BO32506" s="43"/>
    </row>
    <row r="32507" spans="65:67" ht="18.75" customHeight="1">
      <c r="BM32507" s="1025"/>
      <c r="BO32507" s="43"/>
    </row>
    <row r="32508" spans="65:67" ht="18.75" customHeight="1">
      <c r="BM32508" s="1025"/>
      <c r="BO32508" s="43"/>
    </row>
    <row r="32509" spans="65:67" ht="18.75" customHeight="1">
      <c r="BM32509" s="1025"/>
      <c r="BO32509" s="43"/>
    </row>
    <row r="32510" spans="65:67" ht="18.75" customHeight="1">
      <c r="BM32510" s="1025"/>
      <c r="BO32510" s="43"/>
    </row>
    <row r="32511" spans="65:67" ht="18.75" customHeight="1">
      <c r="BM32511" s="1025"/>
      <c r="BO32511" s="43"/>
    </row>
    <row r="32512" spans="65:67" ht="18.75" customHeight="1">
      <c r="BM32512" s="1025"/>
      <c r="BO32512" s="43"/>
    </row>
    <row r="32513" spans="65:67" ht="18.75" customHeight="1">
      <c r="BM32513" s="1025"/>
      <c r="BO32513" s="43"/>
    </row>
    <row r="32514" spans="65:67" ht="18.75" customHeight="1">
      <c r="BM32514" s="1025"/>
      <c r="BO32514" s="43"/>
    </row>
    <row r="32515" spans="65:67" ht="18.75" customHeight="1">
      <c r="BM32515" s="1025"/>
      <c r="BO32515" s="43"/>
    </row>
    <row r="32516" spans="65:67" ht="18.75" customHeight="1">
      <c r="BM32516" s="1025"/>
      <c r="BO32516" s="43"/>
    </row>
    <row r="32517" spans="65:67" ht="18.75" customHeight="1">
      <c r="BM32517" s="1025"/>
      <c r="BO32517" s="43"/>
    </row>
    <row r="32518" spans="65:67" ht="18.75" customHeight="1">
      <c r="BM32518" s="1025"/>
      <c r="BO32518" s="43"/>
    </row>
    <row r="32519" spans="65:67" ht="18.75" customHeight="1">
      <c r="BM32519" s="1025"/>
      <c r="BO32519" s="43"/>
    </row>
    <row r="32520" spans="65:67" ht="18.75" customHeight="1">
      <c r="BM32520" s="1025"/>
      <c r="BO32520" s="43"/>
    </row>
    <row r="32521" spans="65:67" ht="18.75" customHeight="1">
      <c r="BM32521" s="1025"/>
      <c r="BO32521" s="43"/>
    </row>
    <row r="32522" spans="65:67" ht="18.75" customHeight="1">
      <c r="BM32522" s="1025"/>
      <c r="BO32522" s="43"/>
    </row>
    <row r="32523" spans="65:67" ht="18.75" customHeight="1">
      <c r="BM32523" s="1025"/>
      <c r="BO32523" s="43"/>
    </row>
    <row r="32524" spans="65:67" ht="18.75" customHeight="1">
      <c r="BM32524" s="1025"/>
      <c r="BO32524" s="43"/>
    </row>
    <row r="32525" spans="65:67" ht="18.75" customHeight="1">
      <c r="BM32525" s="1025"/>
      <c r="BO32525" s="43"/>
    </row>
    <row r="32526" spans="65:67" ht="18.75" customHeight="1">
      <c r="BM32526" s="1025"/>
      <c r="BO32526" s="43"/>
    </row>
    <row r="32527" spans="65:67" ht="18.75" customHeight="1">
      <c r="BM32527" s="1025"/>
      <c r="BO32527" s="43"/>
    </row>
    <row r="32528" spans="65:67" ht="18.75" customHeight="1">
      <c r="BM32528" s="1025"/>
      <c r="BO32528" s="43"/>
    </row>
    <row r="32529" spans="65:67" ht="18.75" customHeight="1">
      <c r="BM32529" s="1025"/>
      <c r="BO32529" s="43"/>
    </row>
    <row r="32530" spans="65:67" ht="18.75" customHeight="1">
      <c r="BM32530" s="1025"/>
      <c r="BO32530" s="43"/>
    </row>
    <row r="32531" spans="65:67" ht="18.75" customHeight="1">
      <c r="BM32531" s="1025"/>
      <c r="BO32531" s="43"/>
    </row>
    <row r="32532" spans="65:67" ht="18.75" customHeight="1">
      <c r="BM32532" s="1025"/>
      <c r="BO32532" s="43"/>
    </row>
    <row r="32533" spans="65:67" ht="18.75" customHeight="1">
      <c r="BM32533" s="1025"/>
      <c r="BO32533" s="43"/>
    </row>
    <row r="32534" spans="65:67" ht="18.75" customHeight="1">
      <c r="BM32534" s="1025"/>
      <c r="BO32534" s="43"/>
    </row>
    <row r="32535" spans="65:67" ht="18.75" customHeight="1">
      <c r="BM32535" s="1025"/>
      <c r="BO32535" s="43"/>
    </row>
    <row r="32536" spans="65:67" ht="18.75" customHeight="1">
      <c r="BM32536" s="1025"/>
      <c r="BO32536" s="43"/>
    </row>
    <row r="32537" spans="65:67" ht="18.75" customHeight="1">
      <c r="BM32537" s="1025"/>
      <c r="BO32537" s="43"/>
    </row>
    <row r="32538" spans="65:67" ht="18.75" customHeight="1">
      <c r="BM32538" s="1025"/>
      <c r="BO32538" s="43"/>
    </row>
    <row r="32539" spans="65:67" ht="18.75" customHeight="1">
      <c r="BM32539" s="1025"/>
      <c r="BO32539" s="43"/>
    </row>
    <row r="32540" spans="65:67" ht="18.75" customHeight="1">
      <c r="BM32540" s="1025"/>
      <c r="BO32540" s="43"/>
    </row>
    <row r="32541" spans="65:67" ht="18.75" customHeight="1">
      <c r="BM32541" s="1025"/>
      <c r="BO32541" s="43"/>
    </row>
    <row r="32542" spans="65:67" ht="18.75" customHeight="1">
      <c r="BM32542" s="1025"/>
      <c r="BO32542" s="43"/>
    </row>
    <row r="32543" spans="65:67" ht="18.75" customHeight="1">
      <c r="BM32543" s="1025"/>
      <c r="BO32543" s="43"/>
    </row>
    <row r="32544" spans="65:67" ht="18.75" customHeight="1">
      <c r="BM32544" s="1025"/>
      <c r="BO32544" s="43"/>
    </row>
    <row r="32545" spans="65:67" ht="18.75" customHeight="1">
      <c r="BM32545" s="1025"/>
      <c r="BO32545" s="43"/>
    </row>
    <row r="32546" spans="65:67" ht="18.75" customHeight="1">
      <c r="BM32546" s="1025"/>
      <c r="BO32546" s="43"/>
    </row>
    <row r="32547" spans="65:67" ht="18.75" customHeight="1">
      <c r="BM32547" s="1025"/>
      <c r="BO32547" s="43"/>
    </row>
    <row r="32548" spans="65:67" ht="18.75" customHeight="1">
      <c r="BM32548" s="1025"/>
      <c r="BO32548" s="43"/>
    </row>
    <row r="32549" spans="65:67" ht="18.75" customHeight="1">
      <c r="BM32549" s="1025"/>
      <c r="BO32549" s="43"/>
    </row>
    <row r="32550" spans="65:67" ht="18.75" customHeight="1">
      <c r="BM32550" s="1025"/>
      <c r="BO32550" s="43"/>
    </row>
    <row r="32551" spans="65:67" ht="18.75" customHeight="1">
      <c r="BM32551" s="1025"/>
      <c r="BO32551" s="43"/>
    </row>
    <row r="32552" spans="65:67" ht="18.75" customHeight="1">
      <c r="BM32552" s="1025"/>
      <c r="BO32552" s="43"/>
    </row>
    <row r="32553" spans="65:67" ht="18.75" customHeight="1">
      <c r="BM32553" s="1025"/>
      <c r="BO32553" s="43"/>
    </row>
    <row r="32554" spans="65:67" ht="18.75" customHeight="1">
      <c r="BM32554" s="1025"/>
      <c r="BO32554" s="43"/>
    </row>
    <row r="32555" spans="65:67" ht="18.75" customHeight="1">
      <c r="BM32555" s="1025"/>
      <c r="BO32555" s="43"/>
    </row>
    <row r="32556" spans="65:67" ht="18.75" customHeight="1">
      <c r="BM32556" s="1025"/>
      <c r="BO32556" s="43"/>
    </row>
    <row r="32557" spans="65:67" ht="18.75" customHeight="1">
      <c r="BM32557" s="1025"/>
      <c r="BO32557" s="43"/>
    </row>
    <row r="32558" spans="65:67" ht="18.75" customHeight="1">
      <c r="BM32558" s="1025"/>
      <c r="BO32558" s="43"/>
    </row>
    <row r="32559" spans="65:67" ht="18.75" customHeight="1">
      <c r="BM32559" s="1025"/>
      <c r="BO32559" s="43"/>
    </row>
    <row r="32560" spans="65:67" ht="18.75" customHeight="1">
      <c r="BM32560" s="1025"/>
      <c r="BO32560" s="43"/>
    </row>
    <row r="32561" spans="65:67" ht="18.75" customHeight="1">
      <c r="BM32561" s="1025"/>
      <c r="BO32561" s="43"/>
    </row>
    <row r="32562" spans="65:67" ht="18.75" customHeight="1">
      <c r="BM32562" s="1025"/>
      <c r="BO32562" s="43"/>
    </row>
    <row r="32563" spans="65:67" ht="18.75" customHeight="1">
      <c r="BM32563" s="1025"/>
      <c r="BO32563" s="43"/>
    </row>
    <row r="32564" spans="65:67" ht="18.75" customHeight="1">
      <c r="BM32564" s="1025"/>
      <c r="BO32564" s="43"/>
    </row>
    <row r="32565" spans="65:67" ht="18.75" customHeight="1">
      <c r="BM32565" s="1025"/>
      <c r="BO32565" s="43"/>
    </row>
    <row r="32566" spans="65:67" ht="18.75" customHeight="1">
      <c r="BM32566" s="1025"/>
      <c r="BO32566" s="43"/>
    </row>
    <row r="32567" spans="65:67" ht="18.75" customHeight="1">
      <c r="BM32567" s="1025"/>
      <c r="BO32567" s="43"/>
    </row>
    <row r="32568" spans="65:67" ht="18.75" customHeight="1">
      <c r="BM32568" s="1025"/>
      <c r="BO32568" s="43"/>
    </row>
    <row r="32569" spans="65:67" ht="18.75" customHeight="1">
      <c r="BM32569" s="1025"/>
      <c r="BO32569" s="43"/>
    </row>
    <row r="32570" spans="65:67" ht="18.75" customHeight="1">
      <c r="BM32570" s="1025"/>
      <c r="BO32570" s="43"/>
    </row>
    <row r="32571" spans="65:67" ht="18.75" customHeight="1">
      <c r="BM32571" s="1025"/>
      <c r="BO32571" s="43"/>
    </row>
    <row r="32572" spans="65:67" ht="18.75" customHeight="1">
      <c r="BM32572" s="1025"/>
      <c r="BO32572" s="43"/>
    </row>
    <row r="32573" spans="65:67" ht="18.75" customHeight="1">
      <c r="BM32573" s="1025"/>
      <c r="BO32573" s="43"/>
    </row>
    <row r="32574" spans="65:67" ht="18.75" customHeight="1">
      <c r="BM32574" s="1025"/>
      <c r="BO32574" s="43"/>
    </row>
    <row r="32575" spans="65:67" ht="18.75" customHeight="1">
      <c r="BM32575" s="1025"/>
      <c r="BO32575" s="43"/>
    </row>
    <row r="32576" spans="65:67" ht="18.75" customHeight="1">
      <c r="BM32576" s="1025"/>
      <c r="BO32576" s="43"/>
    </row>
    <row r="32577" spans="65:67" ht="18.75" customHeight="1">
      <c r="BM32577" s="1025"/>
      <c r="BO32577" s="43"/>
    </row>
    <row r="32578" spans="65:67" ht="18.75" customHeight="1">
      <c r="BM32578" s="1025"/>
      <c r="BO32578" s="43"/>
    </row>
    <row r="32579" spans="65:67" ht="18.75" customHeight="1">
      <c r="BM32579" s="1025"/>
      <c r="BO32579" s="43"/>
    </row>
    <row r="32580" spans="65:67" ht="18.75" customHeight="1">
      <c r="BM32580" s="1025"/>
      <c r="BO32580" s="43"/>
    </row>
    <row r="32581" spans="65:67" ht="18.75" customHeight="1">
      <c r="BM32581" s="1025"/>
      <c r="BO32581" s="43"/>
    </row>
    <row r="32582" spans="65:67" ht="18.75" customHeight="1">
      <c r="BM32582" s="1025"/>
      <c r="BO32582" s="43"/>
    </row>
    <row r="32583" spans="65:67" ht="18.75" customHeight="1">
      <c r="BM32583" s="1025"/>
      <c r="BO32583" s="43"/>
    </row>
    <row r="32584" spans="65:67" ht="18.75" customHeight="1">
      <c r="BM32584" s="1025"/>
      <c r="BO32584" s="43"/>
    </row>
    <row r="32585" spans="65:67" ht="18.75" customHeight="1">
      <c r="BM32585" s="1025"/>
      <c r="BO32585" s="43"/>
    </row>
    <row r="32586" spans="65:67" ht="18.75" customHeight="1">
      <c r="BM32586" s="1025"/>
      <c r="BO32586" s="43"/>
    </row>
    <row r="32587" spans="65:67" ht="18.75" customHeight="1">
      <c r="BM32587" s="1025"/>
      <c r="BO32587" s="43"/>
    </row>
    <row r="32588" spans="65:67" ht="18.75" customHeight="1">
      <c r="BM32588" s="1025"/>
      <c r="BO32588" s="43"/>
    </row>
    <row r="32589" spans="65:67" ht="18.75" customHeight="1">
      <c r="BM32589" s="1025"/>
      <c r="BO32589" s="43"/>
    </row>
    <row r="32590" spans="65:67" ht="18.75" customHeight="1">
      <c r="BM32590" s="1025"/>
      <c r="BO32590" s="43"/>
    </row>
    <row r="32591" spans="65:67" ht="18.75" customHeight="1">
      <c r="BM32591" s="1025"/>
      <c r="BO32591" s="43"/>
    </row>
    <row r="32592" spans="65:67" ht="18.75" customHeight="1">
      <c r="BM32592" s="1025"/>
      <c r="BO32592" s="43"/>
    </row>
    <row r="32593" spans="65:67" ht="18.75" customHeight="1">
      <c r="BM32593" s="1025"/>
      <c r="BO32593" s="43"/>
    </row>
    <row r="32594" spans="65:67" ht="18.75" customHeight="1">
      <c r="BM32594" s="1025"/>
      <c r="BO32594" s="43"/>
    </row>
    <row r="32595" spans="65:67" ht="18.75" customHeight="1">
      <c r="BM32595" s="1025"/>
      <c r="BO32595" s="43"/>
    </row>
    <row r="32596" spans="65:67" ht="18.75" customHeight="1">
      <c r="BM32596" s="1025"/>
      <c r="BO32596" s="43"/>
    </row>
    <row r="32597" spans="65:67" ht="18.75" customHeight="1">
      <c r="BM32597" s="1025"/>
      <c r="BO32597" s="43"/>
    </row>
    <row r="32598" spans="65:67" ht="18.75" customHeight="1">
      <c r="BM32598" s="1025"/>
      <c r="BO32598" s="43"/>
    </row>
    <row r="32599" spans="65:67" ht="18.75" customHeight="1">
      <c r="BM32599" s="1025"/>
      <c r="BO32599" s="43"/>
    </row>
    <row r="32600" spans="65:67" ht="18.75" customHeight="1">
      <c r="BM32600" s="1025"/>
      <c r="BO32600" s="43"/>
    </row>
    <row r="32601" spans="65:67" ht="18.75" customHeight="1">
      <c r="BM32601" s="1025"/>
      <c r="BO32601" s="43"/>
    </row>
    <row r="32602" spans="65:67" ht="18.75" customHeight="1">
      <c r="BM32602" s="1025"/>
      <c r="BO32602" s="43"/>
    </row>
    <row r="32603" spans="65:67" ht="18.75" customHeight="1">
      <c r="BM32603" s="1025"/>
      <c r="BO32603" s="43"/>
    </row>
    <row r="32604" spans="65:67" ht="18.75" customHeight="1">
      <c r="BM32604" s="1025"/>
      <c r="BO32604" s="43"/>
    </row>
    <row r="32605" spans="65:67" ht="18.75" customHeight="1">
      <c r="BM32605" s="1025"/>
      <c r="BO32605" s="43"/>
    </row>
    <row r="32606" spans="65:67" ht="18.75" customHeight="1">
      <c r="BM32606" s="1025"/>
      <c r="BO32606" s="43"/>
    </row>
    <row r="32607" spans="65:67" ht="18.75" customHeight="1">
      <c r="BM32607" s="1025"/>
      <c r="BO32607" s="43"/>
    </row>
    <row r="32608" spans="65:67" ht="18.75" customHeight="1">
      <c r="BM32608" s="1025"/>
      <c r="BO32608" s="43"/>
    </row>
    <row r="32609" spans="65:67" ht="18.75" customHeight="1">
      <c r="BM32609" s="1025"/>
      <c r="BO32609" s="43"/>
    </row>
    <row r="32610" spans="65:67" ht="18.75" customHeight="1">
      <c r="BM32610" s="1025"/>
      <c r="BO32610" s="43"/>
    </row>
    <row r="32611" spans="65:67" ht="18.75" customHeight="1">
      <c r="BM32611" s="1025"/>
      <c r="BO32611" s="43"/>
    </row>
    <row r="32612" spans="65:67" ht="18.75" customHeight="1">
      <c r="BM32612" s="1025"/>
      <c r="BO32612" s="43"/>
    </row>
    <row r="32613" spans="65:67" ht="18.75" customHeight="1">
      <c r="BM32613" s="1025"/>
      <c r="BO32613" s="43"/>
    </row>
    <row r="32614" spans="65:67" ht="18.75" customHeight="1">
      <c r="BM32614" s="1025"/>
      <c r="BO32614" s="43"/>
    </row>
    <row r="32615" spans="65:67" ht="18.75" customHeight="1">
      <c r="BM32615" s="1025"/>
      <c r="BO32615" s="43"/>
    </row>
    <row r="32616" spans="65:67" ht="18.75" customHeight="1">
      <c r="BM32616" s="1025"/>
      <c r="BO32616" s="43"/>
    </row>
    <row r="32617" spans="65:67" ht="18.75" customHeight="1">
      <c r="BM32617" s="1025"/>
      <c r="BO32617" s="43"/>
    </row>
    <row r="32618" spans="65:67" ht="18.75" customHeight="1">
      <c r="BM32618" s="1025"/>
      <c r="BO32618" s="43"/>
    </row>
    <row r="32619" spans="65:67" ht="18.75" customHeight="1">
      <c r="BM32619" s="1025"/>
      <c r="BO32619" s="43"/>
    </row>
    <row r="32620" spans="65:67" ht="18.75" customHeight="1">
      <c r="BM32620" s="1025"/>
      <c r="BO32620" s="43"/>
    </row>
    <row r="32621" spans="65:67" ht="18.75" customHeight="1">
      <c r="BM32621" s="1025"/>
      <c r="BO32621" s="43"/>
    </row>
    <row r="32622" spans="65:67" ht="18.75" customHeight="1">
      <c r="BM32622" s="1025"/>
      <c r="BO32622" s="43"/>
    </row>
    <row r="32623" spans="65:67" ht="18.75" customHeight="1">
      <c r="BM32623" s="1025"/>
      <c r="BO32623" s="43"/>
    </row>
    <row r="32624" spans="65:67" ht="18.75" customHeight="1">
      <c r="BM32624" s="1025"/>
      <c r="BO32624" s="43"/>
    </row>
    <row r="32625" spans="65:67" ht="18.75" customHeight="1">
      <c r="BM32625" s="1025"/>
      <c r="BO32625" s="43"/>
    </row>
    <row r="32626" spans="65:67" ht="18.75" customHeight="1">
      <c r="BM32626" s="1025"/>
      <c r="BO32626" s="43"/>
    </row>
    <row r="32627" spans="65:67" ht="18.75" customHeight="1">
      <c r="BM32627" s="1025"/>
      <c r="BO32627" s="43"/>
    </row>
    <row r="32628" spans="65:67" ht="18.75" customHeight="1">
      <c r="BM32628" s="1025"/>
      <c r="BO32628" s="43"/>
    </row>
    <row r="32629" spans="65:67" ht="18.75" customHeight="1">
      <c r="BM32629" s="1025"/>
      <c r="BO32629" s="43"/>
    </row>
    <row r="32630" spans="65:67" ht="18.75" customHeight="1">
      <c r="BM32630" s="1025"/>
      <c r="BO32630" s="43"/>
    </row>
    <row r="32631" spans="65:67" ht="18.75" customHeight="1">
      <c r="BM32631" s="1025"/>
      <c r="BO32631" s="43"/>
    </row>
    <row r="32632" spans="65:67" ht="18.75" customHeight="1">
      <c r="BM32632" s="1025"/>
      <c r="BO32632" s="43"/>
    </row>
    <row r="32633" spans="65:67" ht="18.75" customHeight="1">
      <c r="BM32633" s="1025"/>
      <c r="BO32633" s="43"/>
    </row>
    <row r="32634" spans="65:67" ht="18.75" customHeight="1">
      <c r="BM32634" s="1025"/>
      <c r="BO32634" s="43"/>
    </row>
    <row r="32635" spans="65:67" ht="18.75" customHeight="1">
      <c r="BM32635" s="1025"/>
      <c r="BO32635" s="43"/>
    </row>
    <row r="32636" spans="65:67" ht="18.75" customHeight="1">
      <c r="BM32636" s="1025"/>
      <c r="BO32636" s="43"/>
    </row>
    <row r="32637" spans="65:67" ht="18.75" customHeight="1">
      <c r="BM32637" s="1025"/>
      <c r="BO32637" s="43"/>
    </row>
    <row r="32638" spans="65:67" ht="18.75" customHeight="1">
      <c r="BM32638" s="1025"/>
      <c r="BO32638" s="43"/>
    </row>
    <row r="32639" spans="65:67" ht="18.75" customHeight="1">
      <c r="BM32639" s="1025"/>
      <c r="BO32639" s="43"/>
    </row>
    <row r="32640" spans="65:67" ht="18.75" customHeight="1">
      <c r="BM32640" s="1025"/>
      <c r="BO32640" s="43"/>
    </row>
    <row r="32641" spans="65:67" ht="18.75" customHeight="1">
      <c r="BM32641" s="1025"/>
      <c r="BO32641" s="43"/>
    </row>
    <row r="32642" spans="65:67" ht="18.75" customHeight="1">
      <c r="BM32642" s="1025"/>
      <c r="BO32642" s="43"/>
    </row>
    <row r="32643" spans="65:67" ht="18.75" customHeight="1">
      <c r="BM32643" s="1025"/>
      <c r="BO32643" s="43"/>
    </row>
    <row r="32644" spans="65:67" ht="18.75" customHeight="1">
      <c r="BM32644" s="1025"/>
      <c r="BO32644" s="43"/>
    </row>
    <row r="32645" spans="65:67" ht="18.75" customHeight="1">
      <c r="BM32645" s="1025"/>
      <c r="BO32645" s="43"/>
    </row>
    <row r="32646" spans="65:67" ht="18.75" customHeight="1">
      <c r="BM32646" s="1025"/>
      <c r="BO32646" s="43"/>
    </row>
    <row r="32647" spans="65:67" ht="18.75" customHeight="1">
      <c r="BM32647" s="1025"/>
      <c r="BO32647" s="43"/>
    </row>
    <row r="32648" spans="65:67" ht="18.75" customHeight="1">
      <c r="BM32648" s="1025"/>
      <c r="BO32648" s="43"/>
    </row>
    <row r="32649" spans="65:67" ht="18.75" customHeight="1">
      <c r="BM32649" s="1025"/>
      <c r="BO32649" s="43"/>
    </row>
    <row r="32650" spans="65:67" ht="18.75" customHeight="1">
      <c r="BM32650" s="1025"/>
      <c r="BO32650" s="43"/>
    </row>
    <row r="32651" spans="65:67" ht="18.75" customHeight="1">
      <c r="BM32651" s="1025"/>
      <c r="BO32651" s="43"/>
    </row>
    <row r="32652" spans="65:67" ht="18.75" customHeight="1">
      <c r="BM32652" s="1025"/>
      <c r="BO32652" s="43"/>
    </row>
    <row r="32653" spans="65:67" ht="18.75" customHeight="1">
      <c r="BM32653" s="1025"/>
      <c r="BO32653" s="43"/>
    </row>
    <row r="32654" spans="65:67" ht="18.75" customHeight="1">
      <c r="BM32654" s="1025"/>
      <c r="BO32654" s="43"/>
    </row>
    <row r="32655" spans="65:67" ht="18.75" customHeight="1">
      <c r="BM32655" s="1025"/>
      <c r="BO32655" s="43"/>
    </row>
    <row r="32656" spans="65:67" ht="18.75" customHeight="1">
      <c r="BM32656" s="1025"/>
      <c r="BO32656" s="43"/>
    </row>
    <row r="32657" spans="65:67" ht="18.75" customHeight="1">
      <c r="BM32657" s="1025"/>
      <c r="BO32657" s="43"/>
    </row>
    <row r="32658" spans="65:67" ht="18.75" customHeight="1">
      <c r="BM32658" s="1025"/>
      <c r="BO32658" s="43"/>
    </row>
    <row r="32659" spans="65:67" ht="18.75" customHeight="1">
      <c r="BM32659" s="1025"/>
      <c r="BO32659" s="43"/>
    </row>
    <row r="32660" spans="65:67" ht="18.75" customHeight="1">
      <c r="BM32660" s="1025"/>
      <c r="BO32660" s="43"/>
    </row>
    <row r="32661" spans="65:67" ht="18.75" customHeight="1">
      <c r="BM32661" s="1025"/>
      <c r="BO32661" s="43"/>
    </row>
    <row r="32662" spans="65:67" ht="18.75" customHeight="1">
      <c r="BM32662" s="1025"/>
      <c r="BO32662" s="43"/>
    </row>
    <row r="32663" spans="65:67" ht="18.75" customHeight="1">
      <c r="BM32663" s="1025"/>
      <c r="BO32663" s="43"/>
    </row>
    <row r="32664" spans="65:67" ht="18.75" customHeight="1">
      <c r="BM32664" s="1025"/>
      <c r="BO32664" s="43"/>
    </row>
    <row r="32665" spans="65:67" ht="18.75" customHeight="1">
      <c r="BM32665" s="1025"/>
      <c r="BO32665" s="43"/>
    </row>
    <row r="32666" spans="65:67" ht="18.75" customHeight="1">
      <c r="BM32666" s="1025"/>
      <c r="BO32666" s="43"/>
    </row>
    <row r="32667" spans="65:67" ht="18.75" customHeight="1">
      <c r="BM32667" s="1025"/>
      <c r="BO32667" s="43"/>
    </row>
    <row r="32668" spans="65:67" ht="18.75" customHeight="1">
      <c r="BM32668" s="1025"/>
      <c r="BO32668" s="43"/>
    </row>
    <row r="32669" spans="65:67" ht="18.75" customHeight="1">
      <c r="BM32669" s="1025"/>
      <c r="BO32669" s="43"/>
    </row>
    <row r="32670" spans="65:67" ht="18.75" customHeight="1">
      <c r="BM32670" s="1025"/>
      <c r="BO32670" s="43"/>
    </row>
    <row r="32671" spans="65:67" ht="18.75" customHeight="1">
      <c r="BM32671" s="1025"/>
      <c r="BO32671" s="43"/>
    </row>
    <row r="32672" spans="65:67" ht="18.75" customHeight="1">
      <c r="BM32672" s="1025"/>
      <c r="BO32672" s="43"/>
    </row>
    <row r="32673" spans="65:67" ht="18.75" customHeight="1">
      <c r="BM32673" s="1025"/>
      <c r="BO32673" s="43"/>
    </row>
    <row r="32674" spans="65:67" ht="18.75" customHeight="1">
      <c r="BM32674" s="1025"/>
      <c r="BO32674" s="43"/>
    </row>
    <row r="32675" spans="65:67" ht="18.75" customHeight="1">
      <c r="BM32675" s="1025"/>
      <c r="BO32675" s="43"/>
    </row>
    <row r="32676" spans="65:67" ht="18.75" customHeight="1">
      <c r="BM32676" s="1025"/>
      <c r="BO32676" s="43"/>
    </row>
    <row r="32677" spans="65:67" ht="18.75" customHeight="1">
      <c r="BM32677" s="1025"/>
      <c r="BO32677" s="43"/>
    </row>
    <row r="32678" spans="65:67" ht="18.75" customHeight="1">
      <c r="BM32678" s="1025"/>
      <c r="BO32678" s="43"/>
    </row>
    <row r="32679" spans="65:67" ht="18.75" customHeight="1">
      <c r="BM32679" s="1025"/>
      <c r="BO32679" s="43"/>
    </row>
    <row r="32680" spans="65:67" ht="18.75" customHeight="1">
      <c r="BM32680" s="1025"/>
      <c r="BO32680" s="43"/>
    </row>
    <row r="32681" spans="65:67" ht="18.75" customHeight="1">
      <c r="BM32681" s="1025"/>
      <c r="BO32681" s="43"/>
    </row>
    <row r="32682" spans="65:67" ht="18.75" customHeight="1">
      <c r="BM32682" s="1025"/>
      <c r="BO32682" s="43"/>
    </row>
    <row r="32683" spans="65:67" ht="18.75" customHeight="1">
      <c r="BM32683" s="1025"/>
      <c r="BO32683" s="43"/>
    </row>
    <row r="32684" spans="65:67" ht="18.75" customHeight="1">
      <c r="BM32684" s="1025"/>
      <c r="BO32684" s="43"/>
    </row>
    <row r="32685" spans="65:67" ht="18.75" customHeight="1">
      <c r="BM32685" s="1025"/>
      <c r="BO32685" s="43"/>
    </row>
    <row r="32686" spans="65:67" ht="18.75" customHeight="1">
      <c r="BM32686" s="1025"/>
      <c r="BO32686" s="43"/>
    </row>
    <row r="32687" spans="65:67" ht="18.75" customHeight="1">
      <c r="BM32687" s="1025"/>
      <c r="BO32687" s="43"/>
    </row>
    <row r="32688" spans="65:67" ht="18.75" customHeight="1">
      <c r="BM32688" s="1025"/>
      <c r="BO32688" s="43"/>
    </row>
    <row r="32689" spans="65:67" ht="18.75" customHeight="1">
      <c r="BM32689" s="1025"/>
      <c r="BO32689" s="43"/>
    </row>
    <row r="32690" spans="65:67" ht="18.75" customHeight="1">
      <c r="BM32690" s="1025"/>
      <c r="BO32690" s="43"/>
    </row>
    <row r="32691" spans="65:67" ht="18.75" customHeight="1">
      <c r="BM32691" s="1025"/>
      <c r="BO32691" s="43"/>
    </row>
    <row r="32692" spans="65:67" ht="18.75" customHeight="1">
      <c r="BM32692" s="1025"/>
      <c r="BO32692" s="43"/>
    </row>
    <row r="32693" spans="65:67" ht="18.75" customHeight="1">
      <c r="BM32693" s="1025"/>
      <c r="BO32693" s="43"/>
    </row>
    <row r="32694" spans="65:67" ht="18.75" customHeight="1">
      <c r="BM32694" s="1025"/>
      <c r="BO32694" s="43"/>
    </row>
    <row r="32695" spans="65:67" ht="18.75" customHeight="1">
      <c r="BM32695" s="1025"/>
      <c r="BO32695" s="43"/>
    </row>
    <row r="32696" spans="65:67" ht="18.75" customHeight="1">
      <c r="BM32696" s="1025"/>
      <c r="BO32696" s="43"/>
    </row>
    <row r="32697" spans="65:67" ht="18.75" customHeight="1">
      <c r="BM32697" s="1025"/>
      <c r="BO32697" s="43"/>
    </row>
    <row r="32698" spans="65:67" ht="18.75" customHeight="1">
      <c r="BM32698" s="1025"/>
      <c r="BO32698" s="43"/>
    </row>
    <row r="32699" spans="65:67" ht="18.75" customHeight="1">
      <c r="BM32699" s="1025"/>
      <c r="BO32699" s="43"/>
    </row>
    <row r="32700" spans="65:67" ht="18.75" customHeight="1">
      <c r="BM32700" s="1025"/>
      <c r="BO32700" s="43"/>
    </row>
    <row r="32701" spans="65:67" ht="18.75" customHeight="1">
      <c r="BM32701" s="1025"/>
      <c r="BO32701" s="43"/>
    </row>
    <row r="32702" spans="65:67" ht="18.75" customHeight="1">
      <c r="BM32702" s="1025"/>
      <c r="BO32702" s="43"/>
    </row>
    <row r="32703" spans="65:67" ht="18.75" customHeight="1">
      <c r="BM32703" s="1025"/>
      <c r="BO32703" s="43"/>
    </row>
    <row r="32704" spans="65:67" ht="18.75" customHeight="1">
      <c r="BM32704" s="1025"/>
      <c r="BO32704" s="43"/>
    </row>
    <row r="32705" spans="65:67" ht="18.75" customHeight="1">
      <c r="BM32705" s="1025"/>
      <c r="BO32705" s="43"/>
    </row>
    <row r="32706" spans="65:67" ht="18.75" customHeight="1">
      <c r="BM32706" s="1025"/>
      <c r="BO32706" s="43"/>
    </row>
    <row r="32707" spans="65:67" ht="18.75" customHeight="1">
      <c r="BM32707" s="1025"/>
      <c r="BO32707" s="43"/>
    </row>
    <row r="32708" spans="65:67" ht="18.75" customHeight="1">
      <c r="BM32708" s="1025"/>
      <c r="BO32708" s="43"/>
    </row>
    <row r="32709" spans="65:67" ht="18.75" customHeight="1">
      <c r="BM32709" s="1025"/>
      <c r="BO32709" s="43"/>
    </row>
    <row r="32710" spans="65:67" ht="18.75" customHeight="1">
      <c r="BM32710" s="1025"/>
      <c r="BO32710" s="43"/>
    </row>
    <row r="32711" spans="65:67" ht="18.75" customHeight="1">
      <c r="BM32711" s="1025"/>
      <c r="BO32711" s="43"/>
    </row>
    <row r="32712" spans="65:67" ht="18.75" customHeight="1">
      <c r="BM32712" s="1025"/>
      <c r="BO32712" s="43"/>
    </row>
    <row r="32713" spans="65:67" ht="18.75" customHeight="1">
      <c r="BM32713" s="1025"/>
      <c r="BO32713" s="43"/>
    </row>
    <row r="32714" spans="65:67" ht="18.75" customHeight="1">
      <c r="BM32714" s="1025"/>
      <c r="BO32714" s="43"/>
    </row>
    <row r="32715" spans="65:67" ht="18.75" customHeight="1">
      <c r="BM32715" s="1025"/>
      <c r="BO32715" s="43"/>
    </row>
    <row r="32716" spans="65:67" ht="18.75" customHeight="1">
      <c r="BM32716" s="1025"/>
      <c r="BO32716" s="43"/>
    </row>
    <row r="32717" spans="65:67" ht="18.75" customHeight="1">
      <c r="BM32717" s="1025"/>
      <c r="BO32717" s="43"/>
    </row>
    <row r="32718" spans="65:67" ht="18.75" customHeight="1">
      <c r="BM32718" s="1025"/>
      <c r="BO32718" s="43"/>
    </row>
    <row r="32719" spans="65:67" ht="18.75" customHeight="1">
      <c r="BM32719" s="1025"/>
      <c r="BO32719" s="43"/>
    </row>
    <row r="32720" spans="65:67" ht="18.75" customHeight="1">
      <c r="BM32720" s="1025"/>
      <c r="BO32720" s="43"/>
    </row>
    <row r="32721" spans="65:67" ht="18.75" customHeight="1">
      <c r="BM32721" s="1025"/>
      <c r="BO32721" s="43"/>
    </row>
    <row r="32722" spans="65:67" ht="18.75" customHeight="1">
      <c r="BM32722" s="1025"/>
      <c r="BO32722" s="43"/>
    </row>
    <row r="32723" spans="65:67" ht="18.75" customHeight="1">
      <c r="BM32723" s="1025"/>
      <c r="BO32723" s="43"/>
    </row>
    <row r="32724" spans="65:67" ht="18.75" customHeight="1">
      <c r="BM32724" s="1025"/>
      <c r="BO32724" s="43"/>
    </row>
    <row r="32725" spans="65:67" ht="18.75" customHeight="1">
      <c r="BM32725" s="1025"/>
      <c r="BO32725" s="43"/>
    </row>
    <row r="32726" spans="65:67" ht="18.75" customHeight="1">
      <c r="BM32726" s="1025"/>
      <c r="BO32726" s="43"/>
    </row>
    <row r="32727" spans="65:67" ht="18.75" customHeight="1">
      <c r="BM32727" s="1025"/>
      <c r="BO32727" s="43"/>
    </row>
    <row r="32728" spans="65:67" ht="18.75" customHeight="1">
      <c r="BM32728" s="1025"/>
      <c r="BO32728" s="43"/>
    </row>
    <row r="32729" spans="65:67" ht="18.75" customHeight="1">
      <c r="BM32729" s="1025"/>
      <c r="BO32729" s="43"/>
    </row>
    <row r="32730" spans="65:67" ht="18.75" customHeight="1">
      <c r="BM32730" s="1025"/>
      <c r="BO32730" s="43"/>
    </row>
    <row r="32731" spans="65:67" ht="18.75" customHeight="1">
      <c r="BM32731" s="1025"/>
      <c r="BO32731" s="43"/>
    </row>
    <row r="32732" spans="65:67" ht="18.75" customHeight="1">
      <c r="BM32732" s="1025"/>
      <c r="BO32732" s="43"/>
    </row>
    <row r="32733" spans="65:67" ht="18.75" customHeight="1">
      <c r="BM32733" s="1025"/>
      <c r="BO32733" s="43"/>
    </row>
    <row r="32734" spans="65:67" ht="18.75" customHeight="1">
      <c r="BM32734" s="1025"/>
      <c r="BO32734" s="43"/>
    </row>
    <row r="32735" spans="65:67" ht="18.75" customHeight="1">
      <c r="BM32735" s="1025"/>
      <c r="BO32735" s="43"/>
    </row>
    <row r="32736" spans="65:67" ht="18.75" customHeight="1">
      <c r="BM32736" s="1025"/>
      <c r="BO32736" s="43"/>
    </row>
    <row r="32737" spans="65:67" ht="18.75" customHeight="1">
      <c r="BM32737" s="1025"/>
      <c r="BO32737" s="43"/>
    </row>
    <row r="32738" spans="65:67" ht="18.75" customHeight="1">
      <c r="BM32738" s="1025"/>
      <c r="BO32738" s="43"/>
    </row>
    <row r="32739" spans="65:67" ht="18.75" customHeight="1">
      <c r="BM32739" s="1025"/>
      <c r="BO32739" s="43"/>
    </row>
    <row r="32740" spans="65:67" ht="18.75" customHeight="1">
      <c r="BM32740" s="1025"/>
      <c r="BO32740" s="43"/>
    </row>
    <row r="32741" spans="65:67" ht="18.75" customHeight="1">
      <c r="BM32741" s="1025"/>
      <c r="BO32741" s="43"/>
    </row>
    <row r="32742" spans="65:67" ht="18.75" customHeight="1">
      <c r="BM32742" s="1025"/>
      <c r="BO32742" s="43"/>
    </row>
    <row r="32743" spans="65:67" ht="18.75" customHeight="1">
      <c r="BM32743" s="1025"/>
      <c r="BO32743" s="43"/>
    </row>
    <row r="32744" spans="65:67" ht="18.75" customHeight="1">
      <c r="BM32744" s="1025"/>
      <c r="BO32744" s="43"/>
    </row>
    <row r="32745" spans="65:67" ht="18.75" customHeight="1">
      <c r="BM32745" s="1025"/>
      <c r="BO32745" s="43"/>
    </row>
    <row r="32746" spans="65:67" ht="18.75" customHeight="1">
      <c r="BM32746" s="1025"/>
      <c r="BO32746" s="43"/>
    </row>
    <row r="32747" spans="65:67" ht="18.75" customHeight="1">
      <c r="BM32747" s="1025"/>
      <c r="BO32747" s="43"/>
    </row>
    <row r="32748" spans="65:67" ht="18.75" customHeight="1">
      <c r="BM32748" s="1025"/>
      <c r="BO32748" s="43"/>
    </row>
    <row r="32749" spans="65:67" ht="18.75" customHeight="1">
      <c r="BM32749" s="1025"/>
      <c r="BO32749" s="43"/>
    </row>
    <row r="32750" spans="65:67" ht="18.75" customHeight="1">
      <c r="BM32750" s="1025"/>
      <c r="BO32750" s="43"/>
    </row>
    <row r="32751" spans="65:67" ht="18.75" customHeight="1">
      <c r="BM32751" s="1025"/>
      <c r="BO32751" s="43"/>
    </row>
    <row r="32752" spans="65:67" ht="18.75" customHeight="1">
      <c r="BM32752" s="1025"/>
      <c r="BO32752" s="43"/>
    </row>
    <row r="32753" spans="65:67" ht="18.75" customHeight="1">
      <c r="BM32753" s="1025"/>
      <c r="BO32753" s="43"/>
    </row>
    <row r="32754" spans="65:67" ht="18.75" customHeight="1">
      <c r="BM32754" s="1025"/>
      <c r="BO32754" s="43"/>
    </row>
    <row r="32755" spans="65:67" ht="18.75" customHeight="1">
      <c r="BM32755" s="1025"/>
      <c r="BO32755" s="43"/>
    </row>
    <row r="32756" spans="65:67" ht="18.75" customHeight="1">
      <c r="BM32756" s="1025"/>
      <c r="BO32756" s="43"/>
    </row>
    <row r="32757" spans="65:67" ht="18.75" customHeight="1">
      <c r="BM32757" s="1025"/>
      <c r="BO32757" s="43"/>
    </row>
    <row r="32758" spans="65:67" ht="18.75" customHeight="1">
      <c r="BM32758" s="1025"/>
      <c r="BO32758" s="43"/>
    </row>
    <row r="32759" spans="65:67" ht="18.75" customHeight="1">
      <c r="BM32759" s="1025"/>
      <c r="BO32759" s="43"/>
    </row>
    <row r="32760" spans="65:67" ht="18.75" customHeight="1">
      <c r="BM32760" s="1025"/>
      <c r="BO32760" s="43"/>
    </row>
    <row r="32761" spans="65:67" ht="18.75" customHeight="1">
      <c r="BM32761" s="1025"/>
      <c r="BO32761" s="43"/>
    </row>
    <row r="32762" spans="65:67" ht="18.75" customHeight="1">
      <c r="BM32762" s="1025"/>
      <c r="BO32762" s="43"/>
    </row>
    <row r="32763" spans="65:67" ht="18.75" customHeight="1">
      <c r="BM32763" s="1025"/>
      <c r="BO32763" s="43"/>
    </row>
    <row r="32764" spans="65:67" ht="18.75" customHeight="1">
      <c r="BM32764" s="1025"/>
      <c r="BO32764" s="43"/>
    </row>
    <row r="32765" spans="65:67" ht="18.75" customHeight="1">
      <c r="BM32765" s="1025"/>
      <c r="BO32765" s="43"/>
    </row>
    <row r="32766" spans="65:67" ht="18.75" customHeight="1">
      <c r="BM32766" s="1025"/>
      <c r="BO32766" s="43"/>
    </row>
    <row r="32767" spans="65:67" ht="18.75" customHeight="1">
      <c r="BM32767" s="1025"/>
      <c r="BO32767" s="43"/>
    </row>
    <row r="32768" spans="65:67" ht="18.75" customHeight="1">
      <c r="BM32768" s="1025"/>
      <c r="BO32768" s="43"/>
    </row>
    <row r="32769" spans="65:67" ht="18.75" customHeight="1">
      <c r="BM32769" s="1025"/>
      <c r="BO32769" s="43"/>
    </row>
    <row r="32770" spans="65:67" ht="18.75" customHeight="1">
      <c r="BM32770" s="1025"/>
      <c r="BO32770" s="43"/>
    </row>
    <row r="32771" spans="65:67" ht="18.75" customHeight="1">
      <c r="BM32771" s="1025"/>
      <c r="BO32771" s="43"/>
    </row>
    <row r="32772" spans="65:67" ht="18.75" customHeight="1">
      <c r="BM32772" s="1025"/>
      <c r="BO32772" s="43"/>
    </row>
    <row r="32773" spans="65:67" ht="18.75" customHeight="1">
      <c r="BM32773" s="1025"/>
      <c r="BO32773" s="43"/>
    </row>
    <row r="32774" spans="65:67" ht="18.75" customHeight="1">
      <c r="BM32774" s="1025"/>
      <c r="BO32774" s="43"/>
    </row>
    <row r="32775" spans="65:67" ht="18.75" customHeight="1">
      <c r="BM32775" s="1025"/>
      <c r="BO32775" s="43"/>
    </row>
    <row r="32776" spans="65:67" ht="18.75" customHeight="1">
      <c r="BM32776" s="1025"/>
      <c r="BO32776" s="43"/>
    </row>
    <row r="32777" spans="65:67" ht="18.75" customHeight="1">
      <c r="BM32777" s="1025"/>
      <c r="BO32777" s="43"/>
    </row>
    <row r="32778" spans="65:67" ht="18.75" customHeight="1">
      <c r="BM32778" s="1025"/>
      <c r="BO32778" s="43"/>
    </row>
    <row r="32779" spans="65:67" ht="18.75" customHeight="1">
      <c r="BM32779" s="1025"/>
      <c r="BO32779" s="43"/>
    </row>
    <row r="32780" spans="65:67" ht="18.75" customHeight="1">
      <c r="BM32780" s="1025"/>
      <c r="BO32780" s="43"/>
    </row>
    <row r="32781" spans="65:67" ht="18.75" customHeight="1">
      <c r="BM32781" s="1025"/>
      <c r="BO32781" s="43"/>
    </row>
    <row r="32782" spans="65:67" ht="18.75" customHeight="1">
      <c r="BM32782" s="1025"/>
      <c r="BO32782" s="43"/>
    </row>
    <row r="32783" spans="65:67" ht="18.75" customHeight="1">
      <c r="BM32783" s="1025"/>
      <c r="BO32783" s="43"/>
    </row>
    <row r="32784" spans="65:67" ht="18.75" customHeight="1">
      <c r="BM32784" s="1025"/>
      <c r="BO32784" s="43"/>
    </row>
    <row r="32785" spans="65:67" ht="18.75" customHeight="1">
      <c r="BM32785" s="1025"/>
      <c r="BO32785" s="43"/>
    </row>
    <row r="32786" spans="65:67" ht="18.75" customHeight="1">
      <c r="BM32786" s="1025"/>
      <c r="BO32786" s="43"/>
    </row>
    <row r="32787" spans="65:67" ht="18.75" customHeight="1">
      <c r="BM32787" s="1025"/>
      <c r="BO32787" s="43"/>
    </row>
    <row r="32788" spans="65:67" ht="18.75" customHeight="1">
      <c r="BM32788" s="1025"/>
      <c r="BO32788" s="43"/>
    </row>
    <row r="32789" spans="65:67" ht="18.75" customHeight="1">
      <c r="BM32789" s="1025"/>
      <c r="BO32789" s="43"/>
    </row>
    <row r="32790" spans="65:67" ht="18.75" customHeight="1">
      <c r="BM32790" s="1025"/>
      <c r="BO32790" s="43"/>
    </row>
    <row r="32791" spans="65:67" ht="18.75" customHeight="1">
      <c r="BM32791" s="1025"/>
      <c r="BO32791" s="43"/>
    </row>
    <row r="32792" spans="65:67" ht="18.75" customHeight="1">
      <c r="BM32792" s="1025"/>
      <c r="BO32792" s="43"/>
    </row>
    <row r="32793" spans="65:67" ht="18.75" customHeight="1">
      <c r="BM32793" s="1025"/>
      <c r="BO32793" s="43"/>
    </row>
    <row r="32794" spans="65:67" ht="18.75" customHeight="1">
      <c r="BM32794" s="1025"/>
      <c r="BO32794" s="43"/>
    </row>
    <row r="32795" spans="65:67" ht="18.75" customHeight="1">
      <c r="BM32795" s="1025"/>
      <c r="BO32795" s="43"/>
    </row>
    <row r="32796" spans="65:67" ht="18.75" customHeight="1">
      <c r="BM32796" s="1025"/>
      <c r="BO32796" s="43"/>
    </row>
    <row r="32797" spans="65:67" ht="18.75" customHeight="1">
      <c r="BM32797" s="1025"/>
      <c r="BO32797" s="43"/>
    </row>
    <row r="32798" spans="65:67" ht="18.75" customHeight="1">
      <c r="BM32798" s="1025"/>
      <c r="BO32798" s="43"/>
    </row>
    <row r="32799" spans="65:67" ht="18.75" customHeight="1">
      <c r="BM32799" s="1025"/>
      <c r="BO32799" s="43"/>
    </row>
    <row r="32800" spans="65:67" ht="18.75" customHeight="1">
      <c r="BM32800" s="1025"/>
      <c r="BO32800" s="43"/>
    </row>
    <row r="32801" spans="65:67" ht="18.75" customHeight="1">
      <c r="BM32801" s="1025"/>
      <c r="BO32801" s="43"/>
    </row>
    <row r="32802" spans="65:67" ht="18.75" customHeight="1">
      <c r="BM32802" s="1025"/>
      <c r="BO32802" s="43"/>
    </row>
    <row r="32803" spans="65:67" ht="18.75" customHeight="1">
      <c r="BM32803" s="1025"/>
      <c r="BO32803" s="43"/>
    </row>
    <row r="32804" spans="65:67" ht="18.75" customHeight="1">
      <c r="BM32804" s="1025"/>
      <c r="BO32804" s="43"/>
    </row>
    <row r="32805" spans="65:67" ht="18.75" customHeight="1">
      <c r="BM32805" s="1025"/>
      <c r="BO32805" s="43"/>
    </row>
    <row r="32806" spans="65:67" ht="18.75" customHeight="1">
      <c r="BM32806" s="1025"/>
      <c r="BO32806" s="43"/>
    </row>
    <row r="32807" spans="65:67" ht="18.75" customHeight="1">
      <c r="BM32807" s="1025"/>
      <c r="BO32807" s="43"/>
    </row>
    <row r="32808" spans="65:67" ht="18.75" customHeight="1">
      <c r="BM32808" s="1025"/>
      <c r="BO32808" s="43"/>
    </row>
    <row r="32809" spans="65:67" ht="18.75" customHeight="1">
      <c r="BM32809" s="1025"/>
      <c r="BO32809" s="43"/>
    </row>
    <row r="32810" spans="65:67" ht="18.75" customHeight="1">
      <c r="BM32810" s="1025"/>
      <c r="BO32810" s="43"/>
    </row>
    <row r="32811" spans="65:67" ht="18.75" customHeight="1">
      <c r="BM32811" s="1025"/>
      <c r="BO32811" s="43"/>
    </row>
    <row r="32812" spans="65:67" ht="18.75" customHeight="1">
      <c r="BM32812" s="1025"/>
      <c r="BO32812" s="43"/>
    </row>
    <row r="32813" spans="65:67" ht="18.75" customHeight="1">
      <c r="BM32813" s="1025"/>
      <c r="BO32813" s="43"/>
    </row>
    <row r="32814" spans="65:67" ht="18.75" customHeight="1">
      <c r="BM32814" s="1025"/>
      <c r="BO32814" s="43"/>
    </row>
    <row r="32815" spans="65:67" ht="18.75" customHeight="1">
      <c r="BM32815" s="1025"/>
      <c r="BO32815" s="43"/>
    </row>
    <row r="32816" spans="65:67" ht="18.75" customHeight="1">
      <c r="BM32816" s="1025"/>
      <c r="BO32816" s="43"/>
    </row>
    <row r="32817" spans="65:67" ht="18.75" customHeight="1">
      <c r="BM32817" s="1025"/>
      <c r="BO32817" s="43"/>
    </row>
    <row r="32818" spans="65:67" ht="18.75" customHeight="1">
      <c r="BM32818" s="1025"/>
      <c r="BO32818" s="43"/>
    </row>
    <row r="32819" spans="65:67" ht="18.75" customHeight="1">
      <c r="BM32819" s="1025"/>
      <c r="BO32819" s="43"/>
    </row>
    <row r="32820" spans="65:67" ht="18.75" customHeight="1">
      <c r="BM32820" s="1025"/>
      <c r="BO32820" s="43"/>
    </row>
    <row r="32821" spans="65:67" ht="18.75" customHeight="1">
      <c r="BM32821" s="1025"/>
      <c r="BO32821" s="43"/>
    </row>
    <row r="32822" spans="65:67" ht="18.75" customHeight="1">
      <c r="BM32822" s="1025"/>
      <c r="BO32822" s="43"/>
    </row>
    <row r="32823" spans="65:67" ht="18.75" customHeight="1">
      <c r="BM32823" s="1025"/>
      <c r="BO32823" s="43"/>
    </row>
    <row r="32824" spans="65:67" ht="18.75" customHeight="1">
      <c r="BM32824" s="1025"/>
      <c r="BO32824" s="43"/>
    </row>
    <row r="32825" spans="65:67" ht="18.75" customHeight="1">
      <c r="BM32825" s="1025"/>
      <c r="BO32825" s="43"/>
    </row>
    <row r="32826" spans="65:67" ht="18.75" customHeight="1">
      <c r="BM32826" s="1025"/>
      <c r="BO32826" s="43"/>
    </row>
    <row r="32827" spans="65:67" ht="18.75" customHeight="1">
      <c r="BM32827" s="1025"/>
      <c r="BO32827" s="43"/>
    </row>
    <row r="32828" spans="65:67" ht="18.75" customHeight="1">
      <c r="BM32828" s="1025"/>
      <c r="BO32828" s="43"/>
    </row>
    <row r="32829" spans="65:67" ht="18.75" customHeight="1">
      <c r="BM32829" s="1025"/>
      <c r="BO32829" s="43"/>
    </row>
    <row r="32830" spans="65:67" ht="18.75" customHeight="1">
      <c r="BM32830" s="1025"/>
      <c r="BO32830" s="43"/>
    </row>
    <row r="32831" spans="65:67" ht="18.75" customHeight="1">
      <c r="BM32831" s="1025"/>
      <c r="BO32831" s="43"/>
    </row>
    <row r="32832" spans="65:67" ht="18.75" customHeight="1">
      <c r="BM32832" s="1025"/>
      <c r="BO32832" s="43"/>
    </row>
    <row r="32833" spans="65:67" ht="18.75" customHeight="1">
      <c r="BM32833" s="1025"/>
      <c r="BO32833" s="43"/>
    </row>
    <row r="32834" spans="65:67" ht="18.75" customHeight="1">
      <c r="BM32834" s="1025"/>
      <c r="BO32834" s="43"/>
    </row>
    <row r="32835" spans="65:67" ht="18.75" customHeight="1">
      <c r="BM32835" s="1025"/>
      <c r="BO32835" s="43"/>
    </row>
    <row r="32836" spans="65:67" ht="18.75" customHeight="1">
      <c r="BM32836" s="1025"/>
      <c r="BO32836" s="43"/>
    </row>
    <row r="32837" spans="65:67" ht="18.75" customHeight="1">
      <c r="BM32837" s="1025"/>
      <c r="BO32837" s="43"/>
    </row>
    <row r="32838" spans="65:67" ht="18.75" customHeight="1">
      <c r="BM32838" s="1025"/>
      <c r="BO32838" s="43"/>
    </row>
    <row r="32839" spans="65:67" ht="18.75" customHeight="1">
      <c r="BM32839" s="1025"/>
      <c r="BO32839" s="43"/>
    </row>
    <row r="32840" spans="65:67" ht="18.75" customHeight="1">
      <c r="BM32840" s="1025"/>
      <c r="BO32840" s="43"/>
    </row>
    <row r="32841" spans="65:67" ht="18.75" customHeight="1">
      <c r="BM32841" s="1025"/>
      <c r="BO32841" s="43"/>
    </row>
    <row r="32842" spans="65:67" ht="18.75" customHeight="1">
      <c r="BM32842" s="1025"/>
      <c r="BO32842" s="43"/>
    </row>
    <row r="32843" spans="65:67" ht="18.75" customHeight="1">
      <c r="BM32843" s="1025"/>
      <c r="BO32843" s="43"/>
    </row>
    <row r="32844" spans="65:67" ht="18.75" customHeight="1">
      <c r="BM32844" s="1025"/>
      <c r="BO32844" s="43"/>
    </row>
    <row r="32845" spans="65:67" ht="18.75" customHeight="1">
      <c r="BM32845" s="1025"/>
      <c r="BO32845" s="43"/>
    </row>
    <row r="32846" spans="65:67" ht="18.75" customHeight="1">
      <c r="BM32846" s="1025"/>
      <c r="BO32846" s="43"/>
    </row>
    <row r="32847" spans="65:67" ht="18.75" customHeight="1">
      <c r="BM32847" s="1025"/>
      <c r="BO32847" s="43"/>
    </row>
    <row r="32848" spans="65:67" ht="18.75" customHeight="1">
      <c r="BM32848" s="1025"/>
      <c r="BO32848" s="43"/>
    </row>
    <row r="32849" spans="65:67" ht="18.75" customHeight="1">
      <c r="BM32849" s="1025"/>
      <c r="BO32849" s="43"/>
    </row>
    <row r="32850" spans="65:67" ht="18.75" customHeight="1">
      <c r="BM32850" s="1025"/>
      <c r="BO32850" s="43"/>
    </row>
    <row r="32851" spans="65:67" ht="18.75" customHeight="1">
      <c r="BM32851" s="1025"/>
      <c r="BO32851" s="43"/>
    </row>
    <row r="32852" spans="65:67" ht="18.75" customHeight="1">
      <c r="BM32852" s="1025"/>
      <c r="BO32852" s="43"/>
    </row>
    <row r="32853" spans="65:67" ht="18.75" customHeight="1">
      <c r="BM32853" s="1025"/>
      <c r="BO32853" s="43"/>
    </row>
    <row r="32854" spans="65:67" ht="18.75" customHeight="1">
      <c r="BM32854" s="1025"/>
      <c r="BO32854" s="43"/>
    </row>
    <row r="32855" spans="65:67" ht="18.75" customHeight="1">
      <c r="BM32855" s="1025"/>
      <c r="BO32855" s="43"/>
    </row>
    <row r="32856" spans="65:67" ht="18.75" customHeight="1">
      <c r="BM32856" s="1025"/>
      <c r="BO32856" s="43"/>
    </row>
    <row r="32857" spans="65:67" ht="18.75" customHeight="1">
      <c r="BM32857" s="1025"/>
      <c r="BO32857" s="43"/>
    </row>
    <row r="32858" spans="65:67" ht="18.75" customHeight="1">
      <c r="BM32858" s="1025"/>
      <c r="BO32858" s="43"/>
    </row>
    <row r="32859" spans="65:67" ht="18.75" customHeight="1">
      <c r="BM32859" s="1025"/>
      <c r="BO32859" s="43"/>
    </row>
    <row r="32860" spans="65:67" ht="18.75" customHeight="1">
      <c r="BM32860" s="1025"/>
      <c r="BO32860" s="43"/>
    </row>
    <row r="32861" spans="65:67" ht="18.75" customHeight="1">
      <c r="BM32861" s="1025"/>
      <c r="BO32861" s="43"/>
    </row>
    <row r="32862" spans="65:67" ht="18.75" customHeight="1">
      <c r="BM32862" s="1025"/>
      <c r="BO32862" s="43"/>
    </row>
    <row r="32863" spans="65:67" ht="18.75" customHeight="1">
      <c r="BM32863" s="1025"/>
      <c r="BO32863" s="43"/>
    </row>
    <row r="32864" spans="65:67" ht="18.75" customHeight="1">
      <c r="BM32864" s="1025"/>
      <c r="BO32864" s="43"/>
    </row>
    <row r="32865" spans="65:67" ht="18.75" customHeight="1">
      <c r="BM32865" s="1025"/>
      <c r="BO32865" s="43"/>
    </row>
    <row r="32866" spans="65:67" ht="18.75" customHeight="1">
      <c r="BM32866" s="1025"/>
      <c r="BO32866" s="43"/>
    </row>
    <row r="32867" spans="65:67" ht="18.75" customHeight="1">
      <c r="BM32867" s="1025"/>
      <c r="BO32867" s="43"/>
    </row>
    <row r="32868" spans="65:67" ht="18.75" customHeight="1">
      <c r="BM32868" s="1025"/>
      <c r="BO32868" s="43"/>
    </row>
    <row r="32869" spans="65:67" ht="18.75" customHeight="1">
      <c r="BM32869" s="1025"/>
      <c r="BO32869" s="43"/>
    </row>
    <row r="32870" spans="65:67" ht="18.75" customHeight="1">
      <c r="BM32870" s="1025"/>
      <c r="BO32870" s="43"/>
    </row>
    <row r="32871" spans="65:67" ht="18.75" customHeight="1">
      <c r="BM32871" s="1025"/>
      <c r="BO32871" s="43"/>
    </row>
    <row r="32872" spans="65:67" ht="18.75" customHeight="1">
      <c r="BM32872" s="1025"/>
      <c r="BO32872" s="43"/>
    </row>
    <row r="32873" spans="65:67" ht="18.75" customHeight="1">
      <c r="BM32873" s="1025"/>
      <c r="BO32873" s="43"/>
    </row>
    <row r="32874" spans="65:67" ht="18.75" customHeight="1">
      <c r="BM32874" s="1025"/>
      <c r="BO32874" s="43"/>
    </row>
    <row r="32875" spans="65:67" ht="18.75" customHeight="1">
      <c r="BM32875" s="1025"/>
      <c r="BO32875" s="43"/>
    </row>
    <row r="32876" spans="65:67" ht="18.75" customHeight="1">
      <c r="BM32876" s="1025"/>
      <c r="BO32876" s="43"/>
    </row>
    <row r="32877" spans="65:67" ht="18.75" customHeight="1">
      <c r="BM32877" s="1025"/>
      <c r="BO32877" s="43"/>
    </row>
    <row r="32878" spans="65:67" ht="18.75" customHeight="1">
      <c r="BM32878" s="1025"/>
      <c r="BO32878" s="43"/>
    </row>
    <row r="32879" spans="65:67" ht="18.75" customHeight="1">
      <c r="BM32879" s="1025"/>
      <c r="BO32879" s="43"/>
    </row>
    <row r="32880" spans="65:67" ht="18.75" customHeight="1">
      <c r="BM32880" s="1025"/>
      <c r="BO32880" s="43"/>
    </row>
    <row r="32881" spans="65:67" ht="18.75" customHeight="1">
      <c r="BM32881" s="1025"/>
      <c r="BO32881" s="43"/>
    </row>
    <row r="32882" spans="65:67" ht="18.75" customHeight="1">
      <c r="BM32882" s="1025"/>
      <c r="BO32882" s="43"/>
    </row>
    <row r="32883" spans="65:67" ht="18.75" customHeight="1">
      <c r="BM32883" s="1025"/>
      <c r="BO32883" s="43"/>
    </row>
    <row r="32884" spans="65:67" ht="18.75" customHeight="1">
      <c r="BM32884" s="1025"/>
      <c r="BO32884" s="43"/>
    </row>
    <row r="32885" spans="65:67" ht="18.75" customHeight="1">
      <c r="BM32885" s="1025"/>
      <c r="BO32885" s="43"/>
    </row>
    <row r="32886" spans="65:67" ht="18.75" customHeight="1">
      <c r="BM32886" s="1025"/>
      <c r="BO32886" s="43"/>
    </row>
    <row r="32887" spans="65:67" ht="18.75" customHeight="1">
      <c r="BM32887" s="1025"/>
      <c r="BO32887" s="43"/>
    </row>
    <row r="32888" spans="65:67" ht="18.75" customHeight="1">
      <c r="BM32888" s="1025"/>
      <c r="BO32888" s="43"/>
    </row>
    <row r="32889" spans="65:67" ht="18.75" customHeight="1">
      <c r="BM32889" s="1025"/>
      <c r="BO32889" s="43"/>
    </row>
    <row r="32890" spans="65:67" ht="18.75" customHeight="1">
      <c r="BM32890" s="1025"/>
      <c r="BO32890" s="43"/>
    </row>
    <row r="32891" spans="65:67" ht="18.75" customHeight="1">
      <c r="BM32891" s="1025"/>
      <c r="BO32891" s="43"/>
    </row>
    <row r="32892" spans="65:67" ht="18.75" customHeight="1">
      <c r="BM32892" s="1025"/>
      <c r="BO32892" s="43"/>
    </row>
    <row r="32893" spans="65:67" ht="18.75" customHeight="1">
      <c r="BM32893" s="1025"/>
      <c r="BO32893" s="43"/>
    </row>
    <row r="32894" spans="65:67" ht="18.75" customHeight="1">
      <c r="BM32894" s="1025"/>
      <c r="BO32894" s="43"/>
    </row>
    <row r="32895" spans="65:67" ht="18.75" customHeight="1">
      <c r="BM32895" s="1025"/>
      <c r="BO32895" s="43"/>
    </row>
    <row r="32896" spans="65:67" ht="18.75" customHeight="1">
      <c r="BM32896" s="1025"/>
      <c r="BO32896" s="43"/>
    </row>
    <row r="32897" spans="65:67" ht="18.75" customHeight="1">
      <c r="BM32897" s="1025"/>
      <c r="BO32897" s="43"/>
    </row>
    <row r="32898" spans="65:67" ht="18.75" customHeight="1">
      <c r="BM32898" s="1025"/>
      <c r="BO32898" s="43"/>
    </row>
    <row r="32899" spans="65:67" ht="18.75" customHeight="1">
      <c r="BM32899" s="1025"/>
      <c r="BO32899" s="43"/>
    </row>
    <row r="32900" spans="65:67" ht="18.75" customHeight="1">
      <c r="BM32900" s="1025"/>
      <c r="BO32900" s="43"/>
    </row>
    <row r="32901" spans="65:67" ht="18.75" customHeight="1">
      <c r="BM32901" s="1025"/>
      <c r="BO32901" s="43"/>
    </row>
    <row r="32902" spans="65:67" ht="18.75" customHeight="1">
      <c r="BM32902" s="1025"/>
      <c r="BO32902" s="43"/>
    </row>
    <row r="32903" spans="65:67" ht="18.75" customHeight="1">
      <c r="BM32903" s="1025"/>
      <c r="BO32903" s="43"/>
    </row>
    <row r="32904" spans="65:67" ht="18.75" customHeight="1">
      <c r="BM32904" s="1025"/>
      <c r="BO32904" s="43"/>
    </row>
    <row r="32905" spans="65:67" ht="18.75" customHeight="1">
      <c r="BM32905" s="1025"/>
      <c r="BO32905" s="43"/>
    </row>
    <row r="32906" spans="65:67" ht="18.75" customHeight="1">
      <c r="BM32906" s="1025"/>
      <c r="BO32906" s="43"/>
    </row>
    <row r="32907" spans="65:67" ht="18.75" customHeight="1">
      <c r="BM32907" s="1025"/>
      <c r="BO32907" s="43"/>
    </row>
    <row r="32908" spans="65:67" ht="18.75" customHeight="1">
      <c r="BM32908" s="1025"/>
      <c r="BO32908" s="43"/>
    </row>
    <row r="32909" spans="65:67" ht="18.75" customHeight="1">
      <c r="BM32909" s="1025"/>
      <c r="BO32909" s="43"/>
    </row>
    <row r="32910" spans="65:67" ht="18.75" customHeight="1">
      <c r="BM32910" s="1025"/>
      <c r="BO32910" s="43"/>
    </row>
    <row r="32911" spans="65:67" ht="18.75" customHeight="1">
      <c r="BM32911" s="1025"/>
      <c r="BO32911" s="43"/>
    </row>
    <row r="32912" spans="65:67" ht="18.75" customHeight="1">
      <c r="BM32912" s="1025"/>
      <c r="BO32912" s="43"/>
    </row>
    <row r="32913" spans="65:67" ht="18.75" customHeight="1">
      <c r="BM32913" s="1025"/>
      <c r="BO32913" s="43"/>
    </row>
    <row r="32914" spans="65:67" ht="18.75" customHeight="1">
      <c r="BM32914" s="1025"/>
      <c r="BO32914" s="43"/>
    </row>
    <row r="32915" spans="65:67" ht="18.75" customHeight="1">
      <c r="BM32915" s="1025"/>
      <c r="BO32915" s="43"/>
    </row>
    <row r="32916" spans="65:67" ht="18.75" customHeight="1">
      <c r="BM32916" s="1025"/>
      <c r="BO32916" s="43"/>
    </row>
    <row r="32917" spans="65:67" ht="18.75" customHeight="1">
      <c r="BM32917" s="1025"/>
      <c r="BO32917" s="43"/>
    </row>
    <row r="32918" spans="65:67" ht="18.75" customHeight="1">
      <c r="BM32918" s="1025"/>
      <c r="BO32918" s="43"/>
    </row>
    <row r="32919" spans="65:67" ht="18.75" customHeight="1">
      <c r="BM32919" s="1025"/>
      <c r="BO32919" s="43"/>
    </row>
    <row r="32920" spans="65:67" ht="18.75" customHeight="1">
      <c r="BM32920" s="1025"/>
      <c r="BO32920" s="43"/>
    </row>
    <row r="32921" spans="65:67" ht="18.75" customHeight="1">
      <c r="BM32921" s="1025"/>
      <c r="BO32921" s="43"/>
    </row>
    <row r="32922" spans="65:67" ht="18.75" customHeight="1">
      <c r="BM32922" s="1025"/>
      <c r="BO32922" s="43"/>
    </row>
    <row r="32923" spans="65:67" ht="18.75" customHeight="1">
      <c r="BM32923" s="1025"/>
      <c r="BO32923" s="43"/>
    </row>
    <row r="32924" spans="65:67" ht="18.75" customHeight="1">
      <c r="BM32924" s="1025"/>
      <c r="BO32924" s="43"/>
    </row>
    <row r="32925" spans="65:67" ht="18.75" customHeight="1">
      <c r="BM32925" s="1025"/>
      <c r="BO32925" s="43"/>
    </row>
    <row r="32926" spans="65:67" ht="18.75" customHeight="1">
      <c r="BM32926" s="1025"/>
      <c r="BO32926" s="43"/>
    </row>
    <row r="32927" spans="65:67" ht="18.75" customHeight="1">
      <c r="BM32927" s="1025"/>
      <c r="BO32927" s="43"/>
    </row>
    <row r="32928" spans="65:67" ht="18.75" customHeight="1">
      <c r="BM32928" s="1025"/>
      <c r="BO32928" s="43"/>
    </row>
    <row r="32929" spans="65:67" ht="18.75" customHeight="1">
      <c r="BM32929" s="1025"/>
      <c r="BO32929" s="43"/>
    </row>
    <row r="32930" spans="65:67" ht="18.75" customHeight="1">
      <c r="BM32930" s="1025"/>
      <c r="BO32930" s="43"/>
    </row>
    <row r="32931" spans="65:67" ht="18.75" customHeight="1">
      <c r="BM32931" s="1025"/>
      <c r="BO32931" s="43"/>
    </row>
    <row r="32932" spans="65:67" ht="18.75" customHeight="1">
      <c r="BM32932" s="1025"/>
      <c r="BO32932" s="43"/>
    </row>
    <row r="32933" spans="65:67" ht="18.75" customHeight="1">
      <c r="BM32933" s="1025"/>
      <c r="BO32933" s="43"/>
    </row>
    <row r="32934" spans="65:67" ht="18.75" customHeight="1">
      <c r="BM32934" s="1025"/>
      <c r="BO32934" s="43"/>
    </row>
    <row r="32935" spans="65:67" ht="18.75" customHeight="1">
      <c r="BM32935" s="1025"/>
      <c r="BO32935" s="43"/>
    </row>
    <row r="32936" spans="65:67" ht="18.75" customHeight="1">
      <c r="BM32936" s="1025"/>
      <c r="BO32936" s="43"/>
    </row>
    <row r="32937" spans="65:67" ht="18.75" customHeight="1">
      <c r="BM32937" s="1025"/>
      <c r="BO32937" s="43"/>
    </row>
    <row r="32938" spans="65:67" ht="18.75" customHeight="1">
      <c r="BM32938" s="1025"/>
      <c r="BO32938" s="43"/>
    </row>
    <row r="32939" spans="65:67" ht="18.75" customHeight="1">
      <c r="BM32939" s="1025"/>
      <c r="BO32939" s="43"/>
    </row>
    <row r="32940" spans="65:67" ht="18.75" customHeight="1">
      <c r="BM32940" s="1025"/>
      <c r="BO32940" s="43"/>
    </row>
    <row r="32941" spans="65:67" ht="18.75" customHeight="1">
      <c r="BM32941" s="1025"/>
      <c r="BO32941" s="43"/>
    </row>
    <row r="32942" spans="65:67" ht="18.75" customHeight="1">
      <c r="BM32942" s="1025"/>
      <c r="BO32942" s="43"/>
    </row>
    <row r="32943" spans="65:67" ht="18.75" customHeight="1">
      <c r="BM32943" s="1025"/>
      <c r="BO32943" s="43"/>
    </row>
    <row r="32944" spans="65:67" ht="18.75" customHeight="1">
      <c r="BM32944" s="1025"/>
      <c r="BO32944" s="43"/>
    </row>
    <row r="32945" spans="65:67" ht="18.75" customHeight="1">
      <c r="BM32945" s="1025"/>
      <c r="BO32945" s="43"/>
    </row>
    <row r="32946" spans="65:67" ht="18.75" customHeight="1">
      <c r="BM32946" s="1025"/>
      <c r="BO32946" s="43"/>
    </row>
    <row r="32947" spans="65:67" ht="18.75" customHeight="1">
      <c r="BM32947" s="1025"/>
      <c r="BO32947" s="43"/>
    </row>
    <row r="32948" spans="65:67" ht="18.75" customHeight="1">
      <c r="BM32948" s="1025"/>
      <c r="BO32948" s="43"/>
    </row>
    <row r="32949" spans="65:67" ht="18.75" customHeight="1">
      <c r="BM32949" s="1025"/>
      <c r="BO32949" s="43"/>
    </row>
    <row r="32950" spans="65:67" ht="18.75" customHeight="1">
      <c r="BM32950" s="1025"/>
      <c r="BO32950" s="43"/>
    </row>
    <row r="32951" spans="65:67" ht="18.75" customHeight="1">
      <c r="BM32951" s="1025"/>
      <c r="BO32951" s="43"/>
    </row>
    <row r="32952" spans="65:67" ht="18.75" customHeight="1">
      <c r="BM32952" s="1025"/>
      <c r="BO32952" s="43"/>
    </row>
    <row r="32953" spans="65:67" ht="18.75" customHeight="1">
      <c r="BM32953" s="1025"/>
      <c r="BO32953" s="43"/>
    </row>
    <row r="32954" spans="65:67" ht="18.75" customHeight="1">
      <c r="BM32954" s="1025"/>
      <c r="BO32954" s="43"/>
    </row>
    <row r="32955" spans="65:67" ht="18.75" customHeight="1">
      <c r="BM32955" s="1025"/>
      <c r="BO32955" s="43"/>
    </row>
    <row r="32956" spans="65:67" ht="18.75" customHeight="1">
      <c r="BM32956" s="1025"/>
      <c r="BO32956" s="43"/>
    </row>
    <row r="32957" spans="65:67" ht="18.75" customHeight="1">
      <c r="BM32957" s="1025"/>
      <c r="BO32957" s="43"/>
    </row>
    <row r="32958" spans="65:67" ht="18.75" customHeight="1">
      <c r="BM32958" s="1025"/>
      <c r="BO32958" s="43"/>
    </row>
    <row r="32959" spans="65:67" ht="18.75" customHeight="1">
      <c r="BM32959" s="1025"/>
      <c r="BO32959" s="43"/>
    </row>
    <row r="32960" spans="65:67" ht="18.75" customHeight="1">
      <c r="BM32960" s="1025"/>
      <c r="BO32960" s="43"/>
    </row>
    <row r="32961" spans="65:67" ht="18.75" customHeight="1">
      <c r="BM32961" s="1025"/>
      <c r="BO32961" s="43"/>
    </row>
    <row r="32962" spans="65:67" ht="18.75" customHeight="1">
      <c r="BM32962" s="1025"/>
      <c r="BO32962" s="43"/>
    </row>
    <row r="32963" spans="65:67" ht="18.75" customHeight="1">
      <c r="BM32963" s="1025"/>
      <c r="BO32963" s="43"/>
    </row>
    <row r="32964" spans="65:67" ht="18.75" customHeight="1">
      <c r="BM32964" s="1025"/>
      <c r="BO32964" s="43"/>
    </row>
    <row r="32965" spans="65:67" ht="18.75" customHeight="1">
      <c r="BM32965" s="1025"/>
      <c r="BO32965" s="43"/>
    </row>
    <row r="32966" spans="65:67" ht="18.75" customHeight="1">
      <c r="BM32966" s="1025"/>
      <c r="BO32966" s="43"/>
    </row>
    <row r="32967" spans="65:67" ht="18.75" customHeight="1">
      <c r="BM32967" s="1025"/>
      <c r="BO32967" s="43"/>
    </row>
    <row r="32968" spans="65:67" ht="18.75" customHeight="1">
      <c r="BM32968" s="1025"/>
      <c r="BO32968" s="43"/>
    </row>
    <row r="32969" spans="65:67" ht="18.75" customHeight="1">
      <c r="BM32969" s="1025"/>
      <c r="BO32969" s="43"/>
    </row>
    <row r="32970" spans="65:67" ht="18.75" customHeight="1">
      <c r="BM32970" s="1025"/>
      <c r="BO32970" s="43"/>
    </row>
    <row r="32971" spans="65:67" ht="18.75" customHeight="1">
      <c r="BM32971" s="1025"/>
      <c r="BO32971" s="43"/>
    </row>
    <row r="32972" spans="65:67" ht="18.75" customHeight="1">
      <c r="BM32972" s="1025"/>
      <c r="BO32972" s="43"/>
    </row>
    <row r="32973" spans="65:67" ht="18.75" customHeight="1">
      <c r="BM32973" s="1025"/>
      <c r="BO32973" s="43"/>
    </row>
    <row r="32974" spans="65:67" ht="18.75" customHeight="1">
      <c r="BM32974" s="1025"/>
      <c r="BO32974" s="43"/>
    </row>
    <row r="32975" spans="65:67" ht="18.75" customHeight="1">
      <c r="BM32975" s="1025"/>
      <c r="BO32975" s="43"/>
    </row>
    <row r="32976" spans="65:67" ht="18.75" customHeight="1">
      <c r="BM32976" s="1025"/>
      <c r="BO32976" s="43"/>
    </row>
    <row r="32977" spans="65:67" ht="18.75" customHeight="1">
      <c r="BM32977" s="1025"/>
      <c r="BO32977" s="43"/>
    </row>
    <row r="32978" spans="65:67" ht="18.75" customHeight="1">
      <c r="BM32978" s="1025"/>
      <c r="BO32978" s="43"/>
    </row>
    <row r="32979" spans="65:67" ht="18.75" customHeight="1">
      <c r="BM32979" s="1025"/>
      <c r="BO32979" s="43"/>
    </row>
    <row r="32980" spans="65:67" ht="18.75" customHeight="1">
      <c r="BM32980" s="1025"/>
      <c r="BO32980" s="43"/>
    </row>
    <row r="32981" spans="65:67" ht="18.75" customHeight="1">
      <c r="BM32981" s="1025"/>
      <c r="BO32981" s="43"/>
    </row>
    <row r="32982" spans="65:67" ht="18.75" customHeight="1">
      <c r="BM32982" s="1025"/>
      <c r="BO32982" s="43"/>
    </row>
    <row r="32983" spans="65:67" ht="18.75" customHeight="1">
      <c r="BM32983" s="1025"/>
      <c r="BO32983" s="43"/>
    </row>
    <row r="32984" spans="65:67" ht="18.75" customHeight="1">
      <c r="BM32984" s="1025"/>
      <c r="BO32984" s="43"/>
    </row>
    <row r="32985" spans="65:67" ht="18.75" customHeight="1">
      <c r="BM32985" s="1025"/>
      <c r="BO32985" s="43"/>
    </row>
    <row r="32986" spans="65:67" ht="18.75" customHeight="1">
      <c r="BM32986" s="1025"/>
      <c r="BO32986" s="43"/>
    </row>
    <row r="32987" spans="65:67" ht="18.75" customHeight="1">
      <c r="BM32987" s="1025"/>
      <c r="BO32987" s="43"/>
    </row>
    <row r="32988" spans="65:67" ht="18.75" customHeight="1">
      <c r="BM32988" s="1025"/>
      <c r="BO32988" s="43"/>
    </row>
    <row r="32989" spans="65:67" ht="18.75" customHeight="1">
      <c r="BM32989" s="1025"/>
      <c r="BO32989" s="43"/>
    </row>
    <row r="32990" spans="65:67" ht="18.75" customHeight="1">
      <c r="BM32990" s="1025"/>
      <c r="BO32990" s="43"/>
    </row>
    <row r="32991" spans="65:67" ht="18.75" customHeight="1">
      <c r="BM32991" s="1025"/>
      <c r="BO32991" s="43"/>
    </row>
    <row r="32992" spans="65:67" ht="18.75" customHeight="1">
      <c r="BM32992" s="1025"/>
      <c r="BO32992" s="43"/>
    </row>
    <row r="32993" spans="65:67" ht="18.75" customHeight="1">
      <c r="BM32993" s="1025"/>
      <c r="BO32993" s="43"/>
    </row>
    <row r="32994" spans="65:67" ht="18.75" customHeight="1">
      <c r="BM32994" s="1025"/>
      <c r="BO32994" s="43"/>
    </row>
    <row r="32995" spans="65:67" ht="18.75" customHeight="1">
      <c r="BM32995" s="1025"/>
      <c r="BO32995" s="43"/>
    </row>
    <row r="32996" spans="65:67" ht="18.75" customHeight="1">
      <c r="BM32996" s="1025"/>
      <c r="BO32996" s="43"/>
    </row>
    <row r="32997" spans="65:67" ht="18.75" customHeight="1">
      <c r="BM32997" s="1025"/>
      <c r="BO32997" s="43"/>
    </row>
    <row r="32998" spans="65:67" ht="18.75" customHeight="1">
      <c r="BM32998" s="1025"/>
      <c r="BO32998" s="43"/>
    </row>
    <row r="32999" spans="65:67" ht="18.75" customHeight="1">
      <c r="BM32999" s="1025"/>
      <c r="BO32999" s="43"/>
    </row>
    <row r="33000" spans="65:67" ht="18.75" customHeight="1">
      <c r="BM33000" s="1025"/>
      <c r="BO33000" s="43"/>
    </row>
    <row r="33001" spans="65:67" ht="18.75" customHeight="1">
      <c r="BM33001" s="1025"/>
      <c r="BO33001" s="43"/>
    </row>
    <row r="33002" spans="65:67" ht="18.75" customHeight="1">
      <c r="BM33002" s="1025"/>
      <c r="BO33002" s="43"/>
    </row>
    <row r="33003" spans="65:67" ht="18.75" customHeight="1">
      <c r="BM33003" s="1025"/>
      <c r="BO33003" s="43"/>
    </row>
    <row r="33004" spans="65:67" ht="18.75" customHeight="1">
      <c r="BM33004" s="1025"/>
      <c r="BO33004" s="43"/>
    </row>
    <row r="33005" spans="65:67" ht="18.75" customHeight="1">
      <c r="BM33005" s="1025"/>
      <c r="BO33005" s="43"/>
    </row>
    <row r="33006" spans="65:67" ht="18.75" customHeight="1">
      <c r="BM33006" s="1025"/>
      <c r="BO33006" s="43"/>
    </row>
    <row r="33007" spans="65:67" ht="18.75" customHeight="1">
      <c r="BM33007" s="1025"/>
      <c r="BO33007" s="43"/>
    </row>
    <row r="33008" spans="65:67" ht="18.75" customHeight="1">
      <c r="BM33008" s="1025"/>
      <c r="BO33008" s="43"/>
    </row>
    <row r="33009" spans="65:67" ht="18.75" customHeight="1">
      <c r="BM33009" s="1025"/>
      <c r="BO33009" s="43"/>
    </row>
    <row r="33010" spans="65:67" ht="18.75" customHeight="1">
      <c r="BM33010" s="1025"/>
      <c r="BO33010" s="43"/>
    </row>
    <row r="33011" spans="65:67" ht="18.75" customHeight="1">
      <c r="BM33011" s="1025"/>
      <c r="BO33011" s="43"/>
    </row>
    <row r="33012" spans="65:67" ht="18.75" customHeight="1">
      <c r="BM33012" s="1025"/>
      <c r="BO33012" s="43"/>
    </row>
    <row r="33013" spans="65:67" ht="18.75" customHeight="1">
      <c r="BM33013" s="1025"/>
      <c r="BO33013" s="43"/>
    </row>
    <row r="33014" spans="65:67" ht="18.75" customHeight="1">
      <c r="BM33014" s="1025"/>
      <c r="BO33014" s="43"/>
    </row>
    <row r="33015" spans="65:67" ht="18.75" customHeight="1">
      <c r="BM33015" s="1025"/>
      <c r="BO33015" s="43"/>
    </row>
    <row r="33016" spans="65:67" ht="18.75" customHeight="1">
      <c r="BM33016" s="1025"/>
      <c r="BO33016" s="43"/>
    </row>
    <row r="33017" spans="65:67" ht="18.75" customHeight="1">
      <c r="BM33017" s="1025"/>
      <c r="BO33017" s="43"/>
    </row>
    <row r="33018" spans="65:67" ht="18.75" customHeight="1">
      <c r="BM33018" s="1025"/>
      <c r="BO33018" s="43"/>
    </row>
    <row r="33019" spans="65:67" ht="18.75" customHeight="1">
      <c r="BM33019" s="1025"/>
      <c r="BO33019" s="43"/>
    </row>
    <row r="33020" spans="65:67" ht="18.75" customHeight="1">
      <c r="BM33020" s="1025"/>
      <c r="BO33020" s="43"/>
    </row>
    <row r="33021" spans="65:67" ht="18.75" customHeight="1">
      <c r="BM33021" s="1025"/>
      <c r="BO33021" s="43"/>
    </row>
    <row r="33022" spans="65:67" ht="18.75" customHeight="1">
      <c r="BM33022" s="1025"/>
      <c r="BO33022" s="43"/>
    </row>
    <row r="33023" spans="65:67" ht="18.75" customHeight="1">
      <c r="BM33023" s="1025"/>
      <c r="BO33023" s="43"/>
    </row>
    <row r="33024" spans="65:67" ht="18.75" customHeight="1">
      <c r="BM33024" s="1025"/>
      <c r="BO33024" s="43"/>
    </row>
    <row r="33025" spans="65:67" ht="18.75" customHeight="1">
      <c r="BM33025" s="1025"/>
      <c r="BO33025" s="43"/>
    </row>
    <row r="33026" spans="65:67" ht="18.75" customHeight="1">
      <c r="BM33026" s="1025"/>
      <c r="BO33026" s="43"/>
    </row>
    <row r="33027" spans="65:67" ht="18.75" customHeight="1">
      <c r="BM33027" s="1025"/>
      <c r="BO33027" s="43"/>
    </row>
    <row r="33028" spans="65:67" ht="18.75" customHeight="1">
      <c r="BM33028" s="1025"/>
      <c r="BO33028" s="43"/>
    </row>
    <row r="33029" spans="65:67" ht="18.75" customHeight="1">
      <c r="BM33029" s="1025"/>
      <c r="BO33029" s="43"/>
    </row>
    <row r="33030" spans="65:67" ht="18.75" customHeight="1">
      <c r="BM33030" s="1025"/>
      <c r="BO33030" s="43"/>
    </row>
    <row r="33031" spans="65:67" ht="18.75" customHeight="1">
      <c r="BM33031" s="1025"/>
      <c r="BO33031" s="43"/>
    </row>
    <row r="33032" spans="65:67" ht="18.75" customHeight="1">
      <c r="BM33032" s="1025"/>
      <c r="BO33032" s="43"/>
    </row>
    <row r="33033" spans="65:67" ht="18.75" customHeight="1">
      <c r="BM33033" s="1025"/>
      <c r="BO33033" s="43"/>
    </row>
    <row r="33034" spans="65:67" ht="18.75" customHeight="1">
      <c r="BM33034" s="1025"/>
      <c r="BO33034" s="43"/>
    </row>
    <row r="33035" spans="65:67" ht="18.75" customHeight="1">
      <c r="BM33035" s="1025"/>
      <c r="BO33035" s="43"/>
    </row>
    <row r="33036" spans="65:67" ht="18.75" customHeight="1">
      <c r="BM33036" s="1025"/>
      <c r="BO33036" s="43"/>
    </row>
    <row r="33037" spans="65:67" ht="18.75" customHeight="1">
      <c r="BM33037" s="1025"/>
      <c r="BO33037" s="43"/>
    </row>
    <row r="33038" spans="65:67" ht="18.75" customHeight="1">
      <c r="BM33038" s="1025"/>
      <c r="BO33038" s="43"/>
    </row>
    <row r="33039" spans="65:67" ht="18.75" customHeight="1">
      <c r="BM33039" s="1025"/>
      <c r="BO33039" s="43"/>
    </row>
    <row r="33040" spans="65:67" ht="18.75" customHeight="1">
      <c r="BM33040" s="1025"/>
      <c r="BO33040" s="43"/>
    </row>
    <row r="33041" spans="65:67" ht="18.75" customHeight="1">
      <c r="BM33041" s="1025"/>
      <c r="BO33041" s="43"/>
    </row>
    <row r="33042" spans="65:67" ht="18.75" customHeight="1">
      <c r="BM33042" s="1025"/>
      <c r="BO33042" s="43"/>
    </row>
    <row r="33043" spans="65:67" ht="18.75" customHeight="1">
      <c r="BM33043" s="1025"/>
      <c r="BO33043" s="43"/>
    </row>
    <row r="33044" spans="65:67" ht="18.75" customHeight="1">
      <c r="BM33044" s="1025"/>
      <c r="BO33044" s="43"/>
    </row>
    <row r="33045" spans="65:67" ht="18.75" customHeight="1">
      <c r="BM33045" s="1025"/>
      <c r="BO33045" s="43"/>
    </row>
    <row r="33046" spans="65:67" ht="18.75" customHeight="1">
      <c r="BM33046" s="1025"/>
      <c r="BO33046" s="43"/>
    </row>
    <row r="33047" spans="65:67" ht="18.75" customHeight="1">
      <c r="BM33047" s="1025"/>
      <c r="BO33047" s="43"/>
    </row>
    <row r="33048" spans="65:67" ht="18.75" customHeight="1">
      <c r="BM33048" s="1025"/>
      <c r="BO33048" s="43"/>
    </row>
    <row r="33049" spans="65:67" ht="18.75" customHeight="1">
      <c r="BM33049" s="1025"/>
      <c r="BO33049" s="43"/>
    </row>
    <row r="33050" spans="65:67" ht="18.75" customHeight="1">
      <c r="BM33050" s="1025"/>
      <c r="BO33050" s="43"/>
    </row>
    <row r="33051" spans="65:67" ht="18.75" customHeight="1">
      <c r="BM33051" s="1025"/>
      <c r="BO33051" s="43"/>
    </row>
    <row r="33052" spans="65:67" ht="18.75" customHeight="1">
      <c r="BM33052" s="1025"/>
      <c r="BO33052" s="43"/>
    </row>
    <row r="33053" spans="65:67" ht="18.75" customHeight="1">
      <c r="BM33053" s="1025"/>
      <c r="BO33053" s="43"/>
    </row>
    <row r="33054" spans="65:67" ht="18.75" customHeight="1">
      <c r="BM33054" s="1025"/>
      <c r="BO33054" s="43"/>
    </row>
    <row r="33055" spans="65:67" ht="18.75" customHeight="1">
      <c r="BM33055" s="1025"/>
      <c r="BO33055" s="43"/>
    </row>
    <row r="33056" spans="65:67" ht="18.75" customHeight="1">
      <c r="BM33056" s="1025"/>
      <c r="BO33056" s="43"/>
    </row>
    <row r="33057" spans="65:67" ht="18.75" customHeight="1">
      <c r="BM33057" s="1025"/>
      <c r="BO33057" s="43"/>
    </row>
    <row r="33058" spans="65:67" ht="18.75" customHeight="1">
      <c r="BM33058" s="1025"/>
      <c r="BO33058" s="43"/>
    </row>
    <row r="33059" spans="65:67" ht="18.75" customHeight="1">
      <c r="BM33059" s="1025"/>
      <c r="BO33059" s="43"/>
    </row>
    <row r="33060" spans="65:67" ht="18.75" customHeight="1">
      <c r="BM33060" s="1025"/>
      <c r="BO33060" s="43"/>
    </row>
    <row r="33061" spans="65:67" ht="18.75" customHeight="1">
      <c r="BM33061" s="1025"/>
      <c r="BO33061" s="43"/>
    </row>
    <row r="33062" spans="65:67" ht="18.75" customHeight="1">
      <c r="BM33062" s="1025"/>
      <c r="BO33062" s="43"/>
    </row>
    <row r="33063" spans="65:67" ht="18.75" customHeight="1">
      <c r="BM33063" s="1025"/>
      <c r="BO33063" s="43"/>
    </row>
    <row r="33064" spans="65:67" ht="18.75" customHeight="1">
      <c r="BM33064" s="1025"/>
      <c r="BO33064" s="43"/>
    </row>
    <row r="33065" spans="65:67" ht="18.75" customHeight="1">
      <c r="BM33065" s="1025"/>
      <c r="BO33065" s="43"/>
    </row>
    <row r="33066" spans="65:67" ht="18.75" customHeight="1">
      <c r="BM33066" s="1025"/>
      <c r="BO33066" s="43"/>
    </row>
    <row r="33067" spans="65:67" ht="18.75" customHeight="1">
      <c r="BM33067" s="1025"/>
      <c r="BO33067" s="43"/>
    </row>
    <row r="33068" spans="65:67" ht="18.75" customHeight="1">
      <c r="BM33068" s="1025"/>
      <c r="BO33068" s="43"/>
    </row>
    <row r="33069" spans="65:67" ht="18.75" customHeight="1">
      <c r="BM33069" s="1025"/>
      <c r="BO33069" s="43"/>
    </row>
    <row r="33070" spans="65:67" ht="18.75" customHeight="1">
      <c r="BM33070" s="1025"/>
      <c r="BO33070" s="43"/>
    </row>
    <row r="33071" spans="65:67" ht="18.75" customHeight="1">
      <c r="BM33071" s="1025"/>
      <c r="BO33071" s="43"/>
    </row>
    <row r="33072" spans="65:67" ht="18.75" customHeight="1">
      <c r="BM33072" s="1025"/>
      <c r="BO33072" s="43"/>
    </row>
    <row r="33073" spans="65:67" ht="18.75" customHeight="1">
      <c r="BM33073" s="1025"/>
      <c r="BO33073" s="43"/>
    </row>
    <row r="33074" spans="65:67" ht="18.75" customHeight="1">
      <c r="BM33074" s="1025"/>
      <c r="BO33074" s="43"/>
    </row>
    <row r="33075" spans="65:67" ht="18.75" customHeight="1">
      <c r="BM33075" s="1025"/>
      <c r="BO33075" s="43"/>
    </row>
    <row r="33076" spans="65:67" ht="18.75" customHeight="1">
      <c r="BM33076" s="1025"/>
      <c r="BO33076" s="43"/>
    </row>
    <row r="33077" spans="65:67" ht="18.75" customHeight="1">
      <c r="BM33077" s="1025"/>
      <c r="BO33077" s="43"/>
    </row>
    <row r="33078" spans="65:67" ht="18.75" customHeight="1">
      <c r="BM33078" s="1025"/>
      <c r="BO33078" s="43"/>
    </row>
    <row r="33079" spans="65:67" ht="18.75" customHeight="1">
      <c r="BM33079" s="1025"/>
      <c r="BO33079" s="43"/>
    </row>
    <row r="33080" spans="65:67" ht="18.75" customHeight="1">
      <c r="BM33080" s="1025"/>
      <c r="BO33080" s="43"/>
    </row>
    <row r="33081" spans="65:67" ht="18.75" customHeight="1">
      <c r="BM33081" s="1025"/>
      <c r="BO33081" s="43"/>
    </row>
    <row r="33082" spans="65:67" ht="18.75" customHeight="1">
      <c r="BM33082" s="1025"/>
      <c r="BO33082" s="43"/>
    </row>
    <row r="33083" spans="65:67" ht="18.75" customHeight="1">
      <c r="BM33083" s="1025"/>
      <c r="BO33083" s="43"/>
    </row>
    <row r="33084" spans="65:67" ht="18.75" customHeight="1">
      <c r="BM33084" s="1025"/>
      <c r="BO33084" s="43"/>
    </row>
    <row r="33085" spans="65:67" ht="18.75" customHeight="1">
      <c r="BM33085" s="1025"/>
      <c r="BO33085" s="43"/>
    </row>
    <row r="33086" spans="65:67" ht="18.75" customHeight="1">
      <c r="BM33086" s="1025"/>
      <c r="BO33086" s="43"/>
    </row>
    <row r="33087" spans="65:67" ht="18.75" customHeight="1">
      <c r="BM33087" s="1025"/>
      <c r="BO33087" s="43"/>
    </row>
    <row r="33088" spans="65:67" ht="18.75" customHeight="1">
      <c r="BM33088" s="1025"/>
      <c r="BO33088" s="43"/>
    </row>
    <row r="33089" spans="65:67" ht="18.75" customHeight="1">
      <c r="BM33089" s="1025"/>
      <c r="BO33089" s="43"/>
    </row>
    <row r="33090" spans="65:67" ht="18.75" customHeight="1">
      <c r="BM33090" s="1025"/>
      <c r="BO33090" s="43"/>
    </row>
    <row r="33091" spans="65:67" ht="18.75" customHeight="1">
      <c r="BM33091" s="1025"/>
      <c r="BO33091" s="43"/>
    </row>
    <row r="33092" spans="65:67" ht="18.75" customHeight="1">
      <c r="BM33092" s="1025"/>
      <c r="BO33092" s="43"/>
    </row>
    <row r="33093" spans="65:67" ht="18.75" customHeight="1">
      <c r="BM33093" s="1025"/>
      <c r="BO33093" s="43"/>
    </row>
    <row r="33094" spans="65:67" ht="18.75" customHeight="1">
      <c r="BM33094" s="1025"/>
      <c r="BO33094" s="43"/>
    </row>
    <row r="33095" spans="65:67" ht="18.75" customHeight="1">
      <c r="BM33095" s="1025"/>
      <c r="BO33095" s="43"/>
    </row>
    <row r="33096" spans="65:67" ht="18.75" customHeight="1">
      <c r="BM33096" s="1025"/>
      <c r="BO33096" s="43"/>
    </row>
    <row r="33097" spans="65:67" ht="18.75" customHeight="1">
      <c r="BM33097" s="1025"/>
      <c r="BO33097" s="43"/>
    </row>
    <row r="33098" spans="65:67" ht="18.75" customHeight="1">
      <c r="BM33098" s="1025"/>
      <c r="BO33098" s="43"/>
    </row>
    <row r="33099" spans="65:67" ht="18.75" customHeight="1">
      <c r="BM33099" s="1025"/>
      <c r="BO33099" s="43"/>
    </row>
    <row r="33100" spans="65:67" ht="18.75" customHeight="1">
      <c r="BM33100" s="1025"/>
      <c r="BO33100" s="43"/>
    </row>
    <row r="33101" spans="65:67" ht="18.75" customHeight="1">
      <c r="BM33101" s="1025"/>
      <c r="BO33101" s="43"/>
    </row>
    <row r="33102" spans="65:67" ht="18.75" customHeight="1">
      <c r="BM33102" s="1025"/>
      <c r="BO33102" s="43"/>
    </row>
    <row r="33103" spans="65:67" ht="18.75" customHeight="1">
      <c r="BM33103" s="1025"/>
      <c r="BO33103" s="43"/>
    </row>
    <row r="33104" spans="65:67" ht="18.75" customHeight="1">
      <c r="BM33104" s="1025"/>
      <c r="BO33104" s="43"/>
    </row>
    <row r="33105" spans="65:67" ht="18.75" customHeight="1">
      <c r="BM33105" s="1025"/>
      <c r="BO33105" s="43"/>
    </row>
    <row r="33106" spans="65:67" ht="18.75" customHeight="1">
      <c r="BM33106" s="1025"/>
      <c r="BO33106" s="43"/>
    </row>
    <row r="33107" spans="65:67" ht="18.75" customHeight="1">
      <c r="BM33107" s="1025"/>
      <c r="BO33107" s="43"/>
    </row>
    <row r="33108" spans="65:67" ht="18.75" customHeight="1">
      <c r="BM33108" s="1025"/>
      <c r="BO33108" s="43"/>
    </row>
    <row r="33109" spans="65:67" ht="18.75" customHeight="1">
      <c r="BM33109" s="1025"/>
      <c r="BO33109" s="43"/>
    </row>
    <row r="33110" spans="65:67" ht="18.75" customHeight="1">
      <c r="BM33110" s="1025"/>
      <c r="BO33110" s="43"/>
    </row>
    <row r="33111" spans="65:67" ht="18.75" customHeight="1">
      <c r="BM33111" s="1025"/>
      <c r="BO33111" s="43"/>
    </row>
    <row r="33112" spans="65:67" ht="18.75" customHeight="1">
      <c r="BM33112" s="1025"/>
      <c r="BO33112" s="43"/>
    </row>
    <row r="33113" spans="65:67" ht="18.75" customHeight="1">
      <c r="BM33113" s="1025"/>
      <c r="BO33113" s="43"/>
    </row>
    <row r="33114" spans="65:67" ht="18.75" customHeight="1">
      <c r="BM33114" s="1025"/>
      <c r="BO33114" s="43"/>
    </row>
    <row r="33115" spans="65:67" ht="18.75" customHeight="1">
      <c r="BM33115" s="1025"/>
      <c r="BO33115" s="43"/>
    </row>
    <row r="33116" spans="65:67" ht="18.75" customHeight="1">
      <c r="BM33116" s="1025"/>
      <c r="BO33116" s="43"/>
    </row>
    <row r="33117" spans="65:67" ht="18.75" customHeight="1">
      <c r="BM33117" s="1025"/>
      <c r="BO33117" s="43"/>
    </row>
    <row r="33118" spans="65:67" ht="18.75" customHeight="1">
      <c r="BM33118" s="1025"/>
      <c r="BO33118" s="43"/>
    </row>
    <row r="33119" spans="65:67" ht="18.75" customHeight="1">
      <c r="BM33119" s="1025"/>
      <c r="BO33119" s="43"/>
    </row>
    <row r="33120" spans="65:67" ht="18.75" customHeight="1">
      <c r="BM33120" s="1025"/>
      <c r="BO33120" s="43"/>
    </row>
    <row r="33121" spans="65:67" ht="18.75" customHeight="1">
      <c r="BM33121" s="1025"/>
      <c r="BO33121" s="43"/>
    </row>
    <row r="33122" spans="65:67" ht="18.75" customHeight="1">
      <c r="BM33122" s="1025"/>
      <c r="BO33122" s="43"/>
    </row>
    <row r="33123" spans="65:67" ht="18.75" customHeight="1">
      <c r="BM33123" s="1025"/>
      <c r="BO33123" s="43"/>
    </row>
    <row r="33124" spans="65:67" ht="18.75" customHeight="1">
      <c r="BM33124" s="1025"/>
      <c r="BO33124" s="43"/>
    </row>
    <row r="33125" spans="65:67" ht="18.75" customHeight="1">
      <c r="BM33125" s="1025"/>
      <c r="BO33125" s="43"/>
    </row>
    <row r="33126" spans="65:67" ht="18.75" customHeight="1">
      <c r="BM33126" s="1025"/>
      <c r="BO33126" s="43"/>
    </row>
    <row r="33127" spans="65:67" ht="18.75" customHeight="1">
      <c r="BM33127" s="1025"/>
      <c r="BO33127" s="43"/>
    </row>
    <row r="33128" spans="65:67" ht="18.75" customHeight="1">
      <c r="BM33128" s="1025"/>
      <c r="BO33128" s="43"/>
    </row>
    <row r="33129" spans="65:67" ht="18.75" customHeight="1">
      <c r="BM33129" s="1025"/>
      <c r="BO33129" s="43"/>
    </row>
    <row r="33130" spans="65:67" ht="18.75" customHeight="1">
      <c r="BM33130" s="1025"/>
      <c r="BO33130" s="43"/>
    </row>
    <row r="33131" spans="65:67" ht="18.75" customHeight="1">
      <c r="BM33131" s="1025"/>
      <c r="BO33131" s="43"/>
    </row>
    <row r="33132" spans="65:67" ht="18.75" customHeight="1">
      <c r="BM33132" s="1025"/>
      <c r="BO33132" s="43"/>
    </row>
    <row r="33133" spans="65:67" ht="18.75" customHeight="1">
      <c r="BM33133" s="1025"/>
      <c r="BO33133" s="43"/>
    </row>
    <row r="33134" spans="65:67" ht="18.75" customHeight="1">
      <c r="BM33134" s="1025"/>
      <c r="BO33134" s="43"/>
    </row>
    <row r="33135" spans="65:67" ht="18.75" customHeight="1">
      <c r="BM33135" s="1025"/>
      <c r="BO33135" s="43"/>
    </row>
    <row r="33136" spans="65:67" ht="18.75" customHeight="1">
      <c r="BM33136" s="1025"/>
      <c r="BO33136" s="43"/>
    </row>
    <row r="33137" spans="65:67" ht="18.75" customHeight="1">
      <c r="BM33137" s="1025"/>
      <c r="BO33137" s="43"/>
    </row>
    <row r="33138" spans="65:67" ht="18.75" customHeight="1">
      <c r="BM33138" s="1025"/>
      <c r="BO33138" s="43"/>
    </row>
    <row r="33139" spans="65:67" ht="18.75" customHeight="1">
      <c r="BM33139" s="1025"/>
      <c r="BO33139" s="43"/>
    </row>
    <row r="33140" spans="65:67" ht="18.75" customHeight="1">
      <c r="BM33140" s="1025"/>
      <c r="BO33140" s="43"/>
    </row>
    <row r="33141" spans="65:67" ht="18.75" customHeight="1">
      <c r="BM33141" s="1025"/>
      <c r="BO33141" s="43"/>
    </row>
    <row r="33142" spans="65:67" ht="18.75" customHeight="1">
      <c r="BM33142" s="1025"/>
      <c r="BO33142" s="43"/>
    </row>
    <row r="33143" spans="65:67" ht="18.75" customHeight="1">
      <c r="BM33143" s="1025"/>
      <c r="BO33143" s="43"/>
    </row>
    <row r="33144" spans="65:67" ht="18.75" customHeight="1">
      <c r="BM33144" s="1025"/>
      <c r="BO33144" s="43"/>
    </row>
    <row r="33145" spans="65:67" ht="18.75" customHeight="1">
      <c r="BM33145" s="1025"/>
      <c r="BO33145" s="43"/>
    </row>
    <row r="33146" spans="65:67" ht="18.75" customHeight="1">
      <c r="BM33146" s="1025"/>
      <c r="BO33146" s="43"/>
    </row>
    <row r="33147" spans="65:67" ht="18.75" customHeight="1">
      <c r="BM33147" s="1025"/>
      <c r="BO33147" s="43"/>
    </row>
    <row r="33148" spans="65:67" ht="18.75" customHeight="1">
      <c r="BM33148" s="1025"/>
      <c r="BO33148" s="43"/>
    </row>
    <row r="33149" spans="65:67" ht="18.75" customHeight="1">
      <c r="BM33149" s="1025"/>
      <c r="BO33149" s="43"/>
    </row>
    <row r="33150" spans="65:67" ht="18.75" customHeight="1">
      <c r="BM33150" s="1025"/>
      <c r="BO33150" s="43"/>
    </row>
    <row r="33151" spans="65:67" ht="18.75" customHeight="1">
      <c r="BM33151" s="1025"/>
      <c r="BO33151" s="43"/>
    </row>
    <row r="33152" spans="65:67" ht="18.75" customHeight="1">
      <c r="BM33152" s="1025"/>
      <c r="BO33152" s="43"/>
    </row>
    <row r="33153" spans="65:67" ht="18.75" customHeight="1">
      <c r="BM33153" s="1025"/>
      <c r="BO33153" s="43"/>
    </row>
    <row r="33154" spans="65:67" ht="18.75" customHeight="1">
      <c r="BM33154" s="1025"/>
      <c r="BO33154" s="43"/>
    </row>
    <row r="33155" spans="65:67" ht="18.75" customHeight="1">
      <c r="BM33155" s="1025"/>
      <c r="BO33155" s="43"/>
    </row>
    <row r="33156" spans="65:67" ht="18.75" customHeight="1">
      <c r="BM33156" s="1025"/>
      <c r="BO33156" s="43"/>
    </row>
    <row r="33157" spans="65:67" ht="18.75" customHeight="1">
      <c r="BM33157" s="1025"/>
      <c r="BO33157" s="43"/>
    </row>
    <row r="33158" spans="65:67" ht="18.75" customHeight="1">
      <c r="BM33158" s="1025"/>
      <c r="BO33158" s="43"/>
    </row>
    <row r="33159" spans="65:67" ht="18.75" customHeight="1">
      <c r="BM33159" s="1025"/>
      <c r="BO33159" s="43"/>
    </row>
    <row r="33160" spans="65:67" ht="18.75" customHeight="1">
      <c r="BM33160" s="1025"/>
      <c r="BO33160" s="43"/>
    </row>
    <row r="33161" spans="65:67" ht="18.75" customHeight="1">
      <c r="BM33161" s="1025"/>
      <c r="BO33161" s="43"/>
    </row>
    <row r="33162" spans="65:67" ht="18.75" customHeight="1">
      <c r="BM33162" s="1025"/>
      <c r="BO33162" s="43"/>
    </row>
    <row r="33163" spans="65:67" ht="18.75" customHeight="1">
      <c r="BM33163" s="1025"/>
      <c r="BO33163" s="43"/>
    </row>
    <row r="33164" spans="65:67" ht="18.75" customHeight="1">
      <c r="BM33164" s="1025"/>
      <c r="BO33164" s="43"/>
    </row>
    <row r="33165" spans="65:67" ht="18.75" customHeight="1">
      <c r="BM33165" s="1025"/>
      <c r="BO33165" s="43"/>
    </row>
    <row r="33166" spans="65:67" ht="18.75" customHeight="1">
      <c r="BM33166" s="1025"/>
      <c r="BO33166" s="43"/>
    </row>
    <row r="33167" spans="65:67" ht="18.75" customHeight="1">
      <c r="BM33167" s="1025"/>
      <c r="BO33167" s="43"/>
    </row>
    <row r="33168" spans="65:67" ht="18.75" customHeight="1">
      <c r="BM33168" s="1025"/>
      <c r="BO33168" s="43"/>
    </row>
    <row r="33169" spans="65:67" ht="18.75" customHeight="1">
      <c r="BM33169" s="1025"/>
      <c r="BO33169" s="43"/>
    </row>
    <row r="33170" spans="65:67" ht="18.75" customHeight="1">
      <c r="BM33170" s="1025"/>
      <c r="BO33170" s="43"/>
    </row>
    <row r="33171" spans="65:67" ht="18.75" customHeight="1">
      <c r="BM33171" s="1025"/>
      <c r="BO33171" s="43"/>
    </row>
    <row r="33172" spans="65:67" ht="18.75" customHeight="1">
      <c r="BM33172" s="1025"/>
      <c r="BO33172" s="43"/>
    </row>
    <row r="33173" spans="65:67" ht="18.75" customHeight="1">
      <c r="BM33173" s="1025"/>
      <c r="BO33173" s="43"/>
    </row>
    <row r="33174" spans="65:67" ht="18.75" customHeight="1">
      <c r="BM33174" s="1025"/>
      <c r="BO33174" s="43"/>
    </row>
    <row r="33175" spans="65:67" ht="18.75" customHeight="1">
      <c r="BM33175" s="1025"/>
      <c r="BO33175" s="43"/>
    </row>
    <row r="33176" spans="65:67" ht="18.75" customHeight="1">
      <c r="BM33176" s="1025"/>
      <c r="BO33176" s="43"/>
    </row>
    <row r="33177" spans="65:67" ht="18.75" customHeight="1">
      <c r="BM33177" s="1025"/>
      <c r="BO33177" s="43"/>
    </row>
    <row r="33178" spans="65:67" ht="18.75" customHeight="1">
      <c r="BM33178" s="1025"/>
      <c r="BO33178" s="43"/>
    </row>
    <row r="33179" spans="65:67" ht="18.75" customHeight="1">
      <c r="BM33179" s="1025"/>
      <c r="BO33179" s="43"/>
    </row>
    <row r="33180" spans="65:67" ht="18.75" customHeight="1">
      <c r="BM33180" s="1025"/>
      <c r="BO33180" s="43"/>
    </row>
    <row r="33181" spans="65:67" ht="18.75" customHeight="1">
      <c r="BM33181" s="1025"/>
      <c r="BO33181" s="43"/>
    </row>
    <row r="33182" spans="65:67" ht="18.75" customHeight="1">
      <c r="BM33182" s="1025"/>
      <c r="BO33182" s="43"/>
    </row>
    <row r="33183" spans="65:67" ht="18.75" customHeight="1">
      <c r="BM33183" s="1025"/>
      <c r="BO33183" s="43"/>
    </row>
    <row r="33184" spans="65:67" ht="18.75" customHeight="1">
      <c r="BM33184" s="1025"/>
      <c r="BO33184" s="43"/>
    </row>
    <row r="33185" spans="65:67" ht="18.75" customHeight="1">
      <c r="BM33185" s="1025"/>
      <c r="BO33185" s="43"/>
    </row>
    <row r="33186" spans="65:67" ht="18.75" customHeight="1">
      <c r="BM33186" s="1025"/>
      <c r="BO33186" s="43"/>
    </row>
    <row r="33187" spans="65:67" ht="18.75" customHeight="1">
      <c r="BM33187" s="1025"/>
      <c r="BO33187" s="43"/>
    </row>
    <row r="33188" spans="65:67" ht="18.75" customHeight="1">
      <c r="BM33188" s="1025"/>
      <c r="BO33188" s="43"/>
    </row>
    <row r="33189" spans="65:67" ht="18.75" customHeight="1">
      <c r="BM33189" s="1025"/>
      <c r="BO33189" s="43"/>
    </row>
    <row r="33190" spans="65:67" ht="18.75" customHeight="1">
      <c r="BM33190" s="1025"/>
      <c r="BO33190" s="43"/>
    </row>
    <row r="33191" spans="65:67" ht="18.75" customHeight="1">
      <c r="BM33191" s="1025"/>
      <c r="BO33191" s="43"/>
    </row>
    <row r="33192" spans="65:67" ht="18.75" customHeight="1">
      <c r="BM33192" s="1025"/>
      <c r="BO33192" s="43"/>
    </row>
    <row r="33193" spans="65:67" ht="18.75" customHeight="1">
      <c r="BM33193" s="1025"/>
      <c r="BO33193" s="43"/>
    </row>
    <row r="33194" spans="65:67" ht="18.75" customHeight="1">
      <c r="BM33194" s="1025"/>
      <c r="BO33194" s="43"/>
    </row>
    <row r="33195" spans="65:67" ht="18.75" customHeight="1">
      <c r="BM33195" s="1025"/>
      <c r="BO33195" s="43"/>
    </row>
    <row r="33196" spans="65:67" ht="18.75" customHeight="1">
      <c r="BM33196" s="1025"/>
      <c r="BO33196" s="43"/>
    </row>
    <row r="33197" spans="65:67" ht="18.75" customHeight="1">
      <c r="BM33197" s="1025"/>
      <c r="BO33197" s="43"/>
    </row>
    <row r="33198" spans="65:67" ht="18.75" customHeight="1">
      <c r="BM33198" s="1025"/>
      <c r="BO33198" s="43"/>
    </row>
    <row r="33199" spans="65:67" ht="18.75" customHeight="1">
      <c r="BM33199" s="1025"/>
      <c r="BO33199" s="43"/>
    </row>
    <row r="33200" spans="65:67" ht="18.75" customHeight="1">
      <c r="BM33200" s="1025"/>
      <c r="BO33200" s="43"/>
    </row>
    <row r="33201" spans="65:67" ht="18.75" customHeight="1">
      <c r="BM33201" s="1025"/>
      <c r="BO33201" s="43"/>
    </row>
    <row r="33202" spans="65:67" ht="18.75" customHeight="1">
      <c r="BM33202" s="1025"/>
      <c r="BO33202" s="43"/>
    </row>
    <row r="33203" spans="65:67" ht="18.75" customHeight="1">
      <c r="BM33203" s="1025"/>
      <c r="BO33203" s="43"/>
    </row>
    <row r="33204" spans="65:67" ht="18.75" customHeight="1">
      <c r="BM33204" s="1025"/>
      <c r="BO33204" s="43"/>
    </row>
    <row r="33205" spans="65:67" ht="18.75" customHeight="1">
      <c r="BM33205" s="1025"/>
      <c r="BO33205" s="43"/>
    </row>
    <row r="33206" spans="65:67" ht="18.75" customHeight="1">
      <c r="BM33206" s="1025"/>
      <c r="BO33206" s="43"/>
    </row>
    <row r="33207" spans="65:67" ht="18.75" customHeight="1">
      <c r="BM33207" s="1025"/>
      <c r="BO33207" s="43"/>
    </row>
    <row r="33208" spans="65:67" ht="18.75" customHeight="1">
      <c r="BM33208" s="1025"/>
      <c r="BO33208" s="43"/>
    </row>
    <row r="33209" spans="65:67" ht="18.75" customHeight="1">
      <c r="BM33209" s="1025"/>
      <c r="BO33209" s="43"/>
    </row>
    <row r="33210" spans="65:67" ht="18.75" customHeight="1">
      <c r="BM33210" s="1025"/>
      <c r="BO33210" s="43"/>
    </row>
    <row r="33211" spans="65:67" ht="18.75" customHeight="1">
      <c r="BM33211" s="1025"/>
      <c r="BO33211" s="43"/>
    </row>
    <row r="33212" spans="65:67" ht="18.75" customHeight="1">
      <c r="BM33212" s="1025"/>
      <c r="BO33212" s="43"/>
    </row>
    <row r="33213" spans="65:67" ht="18.75" customHeight="1">
      <c r="BM33213" s="1025"/>
      <c r="BO33213" s="43"/>
    </row>
    <row r="33214" spans="65:67" ht="18.75" customHeight="1">
      <c r="BM33214" s="1025"/>
      <c r="BO33214" s="43"/>
    </row>
    <row r="33215" spans="65:67" ht="18.75" customHeight="1">
      <c r="BM33215" s="1025"/>
      <c r="BO33215" s="43"/>
    </row>
    <row r="33216" spans="65:67" ht="18.75" customHeight="1">
      <c r="BM33216" s="1025"/>
      <c r="BO33216" s="43"/>
    </row>
    <row r="33217" spans="65:67" ht="18.75" customHeight="1">
      <c r="BM33217" s="1025"/>
      <c r="BO33217" s="43"/>
    </row>
    <row r="33218" spans="65:67" ht="18.75" customHeight="1">
      <c r="BM33218" s="1025"/>
      <c r="BO33218" s="43"/>
    </row>
    <row r="33219" spans="65:67" ht="18.75" customHeight="1">
      <c r="BM33219" s="1025"/>
      <c r="BO33219" s="43"/>
    </row>
    <row r="33220" spans="65:67" ht="18.75" customHeight="1">
      <c r="BM33220" s="1025"/>
      <c r="BO33220" s="43"/>
    </row>
    <row r="33221" spans="65:67" ht="18.75" customHeight="1">
      <c r="BM33221" s="1025"/>
      <c r="BO33221" s="43"/>
    </row>
    <row r="33222" spans="65:67" ht="18.75" customHeight="1">
      <c r="BM33222" s="1025"/>
      <c r="BO33222" s="43"/>
    </row>
    <row r="33223" spans="65:67" ht="18.75" customHeight="1">
      <c r="BM33223" s="1025"/>
      <c r="BO33223" s="43"/>
    </row>
    <row r="33224" spans="65:67" ht="18.75" customHeight="1">
      <c r="BM33224" s="1025"/>
      <c r="BO33224" s="43"/>
    </row>
    <row r="33225" spans="65:67" ht="18.75" customHeight="1">
      <c r="BM33225" s="1025"/>
      <c r="BO33225" s="43"/>
    </row>
    <row r="33226" spans="65:67" ht="18.75" customHeight="1">
      <c r="BM33226" s="1025"/>
      <c r="BO33226" s="43"/>
    </row>
    <row r="33227" spans="65:67" ht="18.75" customHeight="1">
      <c r="BM33227" s="1025"/>
      <c r="BO33227" s="43"/>
    </row>
    <row r="33228" spans="65:67" ht="18.75" customHeight="1">
      <c r="BM33228" s="1025"/>
      <c r="BO33228" s="43"/>
    </row>
    <row r="33229" spans="65:67" ht="18.75" customHeight="1">
      <c r="BM33229" s="1025"/>
      <c r="BO33229" s="43"/>
    </row>
    <row r="33230" spans="65:67" ht="18.75" customHeight="1">
      <c r="BM33230" s="1025"/>
      <c r="BO33230" s="43"/>
    </row>
    <row r="33231" spans="65:67" ht="18.75" customHeight="1">
      <c r="BM33231" s="1025"/>
      <c r="BO33231" s="43"/>
    </row>
    <row r="33232" spans="65:67" ht="18.75" customHeight="1">
      <c r="BM33232" s="1025"/>
      <c r="BO33232" s="43"/>
    </row>
    <row r="33233" spans="65:67" ht="18.75" customHeight="1">
      <c r="BM33233" s="1025"/>
      <c r="BO33233" s="43"/>
    </row>
    <row r="33234" spans="65:67" ht="18.75" customHeight="1">
      <c r="BM33234" s="1025"/>
      <c r="BO33234" s="43"/>
    </row>
    <row r="33235" spans="65:67" ht="18.75" customHeight="1">
      <c r="BM33235" s="1025"/>
      <c r="BO33235" s="43"/>
    </row>
    <row r="33236" spans="65:67" ht="18.75" customHeight="1">
      <c r="BM33236" s="1025"/>
      <c r="BO33236" s="43"/>
    </row>
    <row r="33237" spans="65:67" ht="18.75" customHeight="1">
      <c r="BM33237" s="1025"/>
      <c r="BO33237" s="43"/>
    </row>
    <row r="33238" spans="65:67" ht="18.75" customHeight="1">
      <c r="BM33238" s="1025"/>
      <c r="BO33238" s="43"/>
    </row>
    <row r="33239" spans="65:67" ht="18.75" customHeight="1">
      <c r="BM33239" s="1025"/>
      <c r="BO33239" s="43"/>
    </row>
    <row r="33240" spans="65:67" ht="18.75" customHeight="1">
      <c r="BM33240" s="1025"/>
      <c r="BO33240" s="43"/>
    </row>
    <row r="33241" spans="65:67" ht="18.75" customHeight="1">
      <c r="BM33241" s="1025"/>
      <c r="BO33241" s="43"/>
    </row>
    <row r="33242" spans="65:67" ht="18.75" customHeight="1">
      <c r="BM33242" s="1025"/>
      <c r="BO33242" s="43"/>
    </row>
    <row r="33243" spans="65:67" ht="18.75" customHeight="1">
      <c r="BM33243" s="1025"/>
      <c r="BO33243" s="43"/>
    </row>
    <row r="33244" spans="65:67" ht="18.75" customHeight="1">
      <c r="BM33244" s="1025"/>
      <c r="BO33244" s="43"/>
    </row>
    <row r="33245" spans="65:67" ht="18.75" customHeight="1">
      <c r="BM33245" s="1025"/>
      <c r="BO33245" s="43"/>
    </row>
    <row r="33246" spans="65:67" ht="18.75" customHeight="1">
      <c r="BM33246" s="1025"/>
      <c r="BO33246" s="43"/>
    </row>
    <row r="33247" spans="65:67" ht="18.75" customHeight="1">
      <c r="BM33247" s="1025"/>
      <c r="BO33247" s="43"/>
    </row>
    <row r="33248" spans="65:67" ht="18.75" customHeight="1">
      <c r="BM33248" s="1025"/>
      <c r="BO33248" s="43"/>
    </row>
    <row r="33249" spans="65:67" ht="18.75" customHeight="1">
      <c r="BM33249" s="1025"/>
      <c r="BO33249" s="43"/>
    </row>
    <row r="33250" spans="65:67" ht="18.75" customHeight="1">
      <c r="BM33250" s="1025"/>
      <c r="BO33250" s="43"/>
    </row>
    <row r="33251" spans="65:67" ht="18.75" customHeight="1">
      <c r="BM33251" s="1025"/>
      <c r="BO33251" s="43"/>
    </row>
    <row r="33252" spans="65:67" ht="18.75" customHeight="1">
      <c r="BM33252" s="1025"/>
      <c r="BO33252" s="43"/>
    </row>
    <row r="33253" spans="65:67" ht="18.75" customHeight="1">
      <c r="BM33253" s="1025"/>
      <c r="BO33253" s="43"/>
    </row>
    <row r="33254" spans="65:67" ht="18.75" customHeight="1">
      <c r="BM33254" s="1025"/>
      <c r="BO33254" s="43"/>
    </row>
    <row r="33255" spans="65:67" ht="18.75" customHeight="1">
      <c r="BM33255" s="1025"/>
      <c r="BO33255" s="43"/>
    </row>
    <row r="33256" spans="65:67" ht="18.75" customHeight="1">
      <c r="BM33256" s="1025"/>
      <c r="BO33256" s="43"/>
    </row>
    <row r="33257" spans="65:67" ht="18.75" customHeight="1">
      <c r="BM33257" s="1025"/>
      <c r="BO33257" s="43"/>
    </row>
    <row r="33258" spans="65:67" ht="18.75" customHeight="1">
      <c r="BM33258" s="1025"/>
      <c r="BO33258" s="43"/>
    </row>
    <row r="33259" spans="65:67" ht="18.75" customHeight="1">
      <c r="BM33259" s="1025"/>
      <c r="BO33259" s="43"/>
    </row>
    <row r="33260" spans="65:67" ht="18.75" customHeight="1">
      <c r="BM33260" s="1025"/>
      <c r="BO33260" s="43"/>
    </row>
    <row r="33261" spans="65:67" ht="18.75" customHeight="1">
      <c r="BM33261" s="1025"/>
      <c r="BO33261" s="43"/>
    </row>
    <row r="33262" spans="65:67" ht="18.75" customHeight="1">
      <c r="BM33262" s="1025"/>
      <c r="BO33262" s="43"/>
    </row>
    <row r="33263" spans="65:67" ht="18.75" customHeight="1">
      <c r="BM33263" s="1025"/>
      <c r="BO33263" s="43"/>
    </row>
    <row r="33264" spans="65:67" ht="18.75" customHeight="1">
      <c r="BM33264" s="1025"/>
      <c r="BO33264" s="43"/>
    </row>
    <row r="33265" spans="65:67" ht="18.75" customHeight="1">
      <c r="BM33265" s="1025"/>
      <c r="BO33265" s="43"/>
    </row>
    <row r="33266" spans="65:67" ht="18.75" customHeight="1">
      <c r="BM33266" s="1025"/>
      <c r="BO33266" s="43"/>
    </row>
    <row r="33267" spans="65:67" ht="18.75" customHeight="1">
      <c r="BM33267" s="1025"/>
      <c r="BO33267" s="43"/>
    </row>
    <row r="33268" spans="65:67" ht="18.75" customHeight="1">
      <c r="BM33268" s="1025"/>
      <c r="BO33268" s="43"/>
    </row>
    <row r="33269" spans="65:67" ht="18.75" customHeight="1">
      <c r="BM33269" s="1025"/>
      <c r="BO33269" s="43"/>
    </row>
    <row r="33270" spans="65:67" ht="18.75" customHeight="1">
      <c r="BM33270" s="1025"/>
      <c r="BO33270" s="43"/>
    </row>
    <row r="33271" spans="65:67" ht="18.75" customHeight="1">
      <c r="BM33271" s="1025"/>
      <c r="BO33271" s="43"/>
    </row>
    <row r="33272" spans="65:67" ht="18.75" customHeight="1">
      <c r="BM33272" s="1025"/>
      <c r="BO33272" s="43"/>
    </row>
    <row r="33273" spans="65:67" ht="18.75" customHeight="1">
      <c r="BM33273" s="1025"/>
      <c r="BO33273" s="43"/>
    </row>
    <row r="33274" spans="65:67" ht="18.75" customHeight="1">
      <c r="BM33274" s="1025"/>
      <c r="BO33274" s="43"/>
    </row>
    <row r="33275" spans="65:67" ht="18.75" customHeight="1">
      <c r="BM33275" s="1025"/>
      <c r="BO33275" s="43"/>
    </row>
    <row r="33276" spans="65:67" ht="18.75" customHeight="1">
      <c r="BM33276" s="1025"/>
      <c r="BO33276" s="43"/>
    </row>
    <row r="33277" spans="65:67" ht="18.75" customHeight="1">
      <c r="BM33277" s="1025"/>
      <c r="BO33277" s="43"/>
    </row>
    <row r="33278" spans="65:67" ht="18.75" customHeight="1">
      <c r="BM33278" s="1025"/>
      <c r="BO33278" s="43"/>
    </row>
    <row r="33279" spans="65:67" ht="18.75" customHeight="1">
      <c r="BM33279" s="1025"/>
      <c r="BO33279" s="43"/>
    </row>
    <row r="33280" spans="65:67" ht="18.75" customHeight="1">
      <c r="BM33280" s="1025"/>
      <c r="BO33280" s="43"/>
    </row>
    <row r="33281" spans="65:67" ht="18.75" customHeight="1">
      <c r="BM33281" s="1025"/>
      <c r="BO33281" s="43"/>
    </row>
    <row r="33282" spans="65:67" ht="18.75" customHeight="1">
      <c r="BM33282" s="1025"/>
      <c r="BO33282" s="43"/>
    </row>
    <row r="33283" spans="65:67" ht="18.75" customHeight="1">
      <c r="BM33283" s="1025"/>
      <c r="BO33283" s="43"/>
    </row>
    <row r="33284" spans="65:67" ht="18.75" customHeight="1">
      <c r="BM33284" s="1025"/>
      <c r="BO33284" s="43"/>
    </row>
    <row r="33285" spans="65:67" ht="18.75" customHeight="1">
      <c r="BM33285" s="1025"/>
      <c r="BO33285" s="43"/>
    </row>
    <row r="33286" spans="65:67" ht="18.75" customHeight="1">
      <c r="BM33286" s="1025"/>
      <c r="BO33286" s="43"/>
    </row>
    <row r="33287" spans="65:67" ht="18.75" customHeight="1">
      <c r="BM33287" s="1025"/>
      <c r="BO33287" s="43"/>
    </row>
    <row r="33288" spans="65:67" ht="18.75" customHeight="1">
      <c r="BM33288" s="1025"/>
      <c r="BO33288" s="43"/>
    </row>
    <row r="33289" spans="65:67" ht="18.75" customHeight="1">
      <c r="BM33289" s="1025"/>
      <c r="BO33289" s="43"/>
    </row>
    <row r="33290" spans="65:67" ht="18.75" customHeight="1">
      <c r="BM33290" s="1025"/>
      <c r="BO33290" s="43"/>
    </row>
    <row r="33291" spans="65:67" ht="18.75" customHeight="1">
      <c r="BM33291" s="1025"/>
      <c r="BO33291" s="43"/>
    </row>
    <row r="33292" spans="65:67" ht="18.75" customHeight="1">
      <c r="BM33292" s="1025"/>
      <c r="BO33292" s="43"/>
    </row>
    <row r="33293" spans="65:67" ht="18.75" customHeight="1">
      <c r="BM33293" s="1025"/>
      <c r="BO33293" s="43"/>
    </row>
    <row r="33294" spans="65:67" ht="18.75" customHeight="1">
      <c r="BM33294" s="1025"/>
      <c r="BO33294" s="43"/>
    </row>
    <row r="33295" spans="65:67" ht="18.75" customHeight="1">
      <c r="BM33295" s="1025"/>
      <c r="BO33295" s="43"/>
    </row>
    <row r="33296" spans="65:67" ht="18.75" customHeight="1">
      <c r="BM33296" s="1025"/>
      <c r="BO33296" s="43"/>
    </row>
    <row r="33297" spans="65:67" ht="18.75" customHeight="1">
      <c r="BM33297" s="1025"/>
      <c r="BO33297" s="43"/>
    </row>
    <row r="33298" spans="65:67" ht="18.75" customHeight="1">
      <c r="BM33298" s="1025"/>
      <c r="BO33298" s="43"/>
    </row>
    <row r="33299" spans="65:67" ht="18.75" customHeight="1">
      <c r="BM33299" s="1025"/>
      <c r="BO33299" s="43"/>
    </row>
    <row r="33300" spans="65:67" ht="18.75" customHeight="1">
      <c r="BM33300" s="1025"/>
      <c r="BO33300" s="43"/>
    </row>
    <row r="33301" spans="65:67" ht="18.75" customHeight="1">
      <c r="BM33301" s="1025"/>
      <c r="BO33301" s="43"/>
    </row>
    <row r="33302" spans="65:67" ht="18.75" customHeight="1">
      <c r="BM33302" s="1025"/>
      <c r="BO33302" s="43"/>
    </row>
    <row r="33303" spans="65:67" ht="18.75" customHeight="1">
      <c r="BM33303" s="1025"/>
      <c r="BO33303" s="43"/>
    </row>
    <row r="33304" spans="65:67" ht="18.75" customHeight="1">
      <c r="BM33304" s="1025"/>
      <c r="BO33304" s="43"/>
    </row>
    <row r="33305" spans="65:67" ht="18.75" customHeight="1">
      <c r="BM33305" s="1025"/>
      <c r="BO33305" s="43"/>
    </row>
    <row r="33306" spans="65:67" ht="18.75" customHeight="1">
      <c r="BM33306" s="1025"/>
      <c r="BO33306" s="43"/>
    </row>
    <row r="33307" spans="65:67" ht="18.75" customHeight="1">
      <c r="BM33307" s="1025"/>
      <c r="BO33307" s="43"/>
    </row>
    <row r="33308" spans="65:67" ht="18.75" customHeight="1">
      <c r="BM33308" s="1025"/>
      <c r="BO33308" s="43"/>
    </row>
    <row r="33309" spans="65:67" ht="18.75" customHeight="1">
      <c r="BM33309" s="1025"/>
      <c r="BO33309" s="43"/>
    </row>
    <row r="33310" spans="65:67" ht="18.75" customHeight="1">
      <c r="BM33310" s="1025"/>
      <c r="BO33310" s="43"/>
    </row>
    <row r="33311" spans="65:67" ht="18.75" customHeight="1">
      <c r="BM33311" s="1025"/>
      <c r="BO33311" s="43"/>
    </row>
    <row r="33312" spans="65:67" ht="18.75" customHeight="1">
      <c r="BM33312" s="1025"/>
      <c r="BO33312" s="43"/>
    </row>
    <row r="33313" spans="65:67" ht="18.75" customHeight="1">
      <c r="BM33313" s="1025"/>
      <c r="BO33313" s="43"/>
    </row>
    <row r="33314" spans="65:67" ht="18.75" customHeight="1">
      <c r="BM33314" s="1025"/>
      <c r="BO33314" s="43"/>
    </row>
    <row r="33315" spans="65:67" ht="18.75" customHeight="1">
      <c r="BM33315" s="1025"/>
      <c r="BO33315" s="43"/>
    </row>
    <row r="33316" spans="65:67" ht="18.75" customHeight="1">
      <c r="BM33316" s="1025"/>
      <c r="BO33316" s="43"/>
    </row>
    <row r="33317" spans="65:67" ht="18.75" customHeight="1">
      <c r="BM33317" s="1025"/>
      <c r="BO33317" s="43"/>
    </row>
    <row r="33318" spans="65:67" ht="18.75" customHeight="1">
      <c r="BM33318" s="1025"/>
      <c r="BO33318" s="43"/>
    </row>
    <row r="33319" spans="65:67" ht="18.75" customHeight="1">
      <c r="BM33319" s="1025"/>
      <c r="BO33319" s="43"/>
    </row>
    <row r="33320" spans="65:67" ht="18.75" customHeight="1">
      <c r="BM33320" s="1025"/>
      <c r="BO33320" s="43"/>
    </row>
    <row r="33321" spans="65:67" ht="18.75" customHeight="1">
      <c r="BM33321" s="1025"/>
      <c r="BO33321" s="43"/>
    </row>
    <row r="33322" spans="65:67" ht="18.75" customHeight="1">
      <c r="BM33322" s="1025"/>
      <c r="BO33322" s="43"/>
    </row>
    <row r="33323" spans="65:67" ht="18.75" customHeight="1">
      <c r="BM33323" s="1025"/>
      <c r="BO33323" s="43"/>
    </row>
    <row r="33324" spans="65:67" ht="18.75" customHeight="1">
      <c r="BM33324" s="1025"/>
      <c r="BO33324" s="43"/>
    </row>
    <row r="33325" spans="65:67" ht="18.75" customHeight="1">
      <c r="BM33325" s="1025"/>
      <c r="BO33325" s="43"/>
    </row>
    <row r="33326" spans="65:67" ht="18.75" customHeight="1">
      <c r="BM33326" s="1025"/>
      <c r="BO33326" s="43"/>
    </row>
    <row r="33327" spans="65:67" ht="18.75" customHeight="1">
      <c r="BM33327" s="1025"/>
      <c r="BO33327" s="43"/>
    </row>
    <row r="33328" spans="65:67" ht="18.75" customHeight="1">
      <c r="BM33328" s="1025"/>
      <c r="BO33328" s="43"/>
    </row>
    <row r="33329" spans="65:67" ht="18.75" customHeight="1">
      <c r="BM33329" s="1025"/>
      <c r="BO33329" s="43"/>
    </row>
    <row r="33330" spans="65:67" ht="18.75" customHeight="1">
      <c r="BM33330" s="1025"/>
      <c r="BO33330" s="43"/>
    </row>
    <row r="33331" spans="65:67" ht="18.75" customHeight="1">
      <c r="BM33331" s="1025"/>
      <c r="BO33331" s="43"/>
    </row>
    <row r="33332" spans="65:67" ht="18.75" customHeight="1">
      <c r="BM33332" s="1025"/>
      <c r="BO33332" s="43"/>
    </row>
    <row r="33333" spans="65:67" ht="18.75" customHeight="1">
      <c r="BM33333" s="1025"/>
      <c r="BO33333" s="43"/>
    </row>
    <row r="33334" spans="65:67" ht="18.75" customHeight="1">
      <c r="BM33334" s="1025"/>
      <c r="BO33334" s="43"/>
    </row>
    <row r="33335" spans="65:67" ht="18.75" customHeight="1">
      <c r="BM33335" s="1025"/>
      <c r="BO33335" s="43"/>
    </row>
    <row r="33336" spans="65:67" ht="18.75" customHeight="1">
      <c r="BM33336" s="1025"/>
      <c r="BO33336" s="43"/>
    </row>
    <row r="33337" spans="65:67" ht="18.75" customHeight="1">
      <c r="BM33337" s="1025"/>
      <c r="BO33337" s="43"/>
    </row>
    <row r="33338" spans="65:67" ht="18.75" customHeight="1">
      <c r="BM33338" s="1025"/>
      <c r="BO33338" s="43"/>
    </row>
    <row r="33339" spans="65:67" ht="18.75" customHeight="1">
      <c r="BM33339" s="1025"/>
      <c r="BO33339" s="43"/>
    </row>
    <row r="33340" spans="65:67" ht="18.75" customHeight="1">
      <c r="BM33340" s="1025"/>
      <c r="BO33340" s="43"/>
    </row>
    <row r="33341" spans="65:67" ht="18.75" customHeight="1">
      <c r="BM33341" s="1025"/>
      <c r="BO33341" s="43"/>
    </row>
    <row r="33342" spans="65:67" ht="18.75" customHeight="1">
      <c r="BM33342" s="1025"/>
      <c r="BO33342" s="43"/>
    </row>
    <row r="33343" spans="65:67" ht="18.75" customHeight="1">
      <c r="BM33343" s="1025"/>
      <c r="BO33343" s="43"/>
    </row>
    <row r="33344" spans="65:67" ht="18.75" customHeight="1">
      <c r="BM33344" s="1025"/>
      <c r="BO33344" s="43"/>
    </row>
    <row r="33345" spans="65:67" ht="18.75" customHeight="1">
      <c r="BM33345" s="1025"/>
      <c r="BO33345" s="43"/>
    </row>
    <row r="33346" spans="65:67" ht="18.75" customHeight="1">
      <c r="BM33346" s="1025"/>
      <c r="BO33346" s="43"/>
    </row>
    <row r="33347" spans="65:67" ht="18.75" customHeight="1">
      <c r="BM33347" s="1025"/>
      <c r="BO33347" s="43"/>
    </row>
    <row r="33348" spans="65:67" ht="18.75" customHeight="1">
      <c r="BM33348" s="1025"/>
      <c r="BO33348" s="43"/>
    </row>
    <row r="33349" spans="65:67" ht="18.75" customHeight="1">
      <c r="BM33349" s="1025"/>
      <c r="BO33349" s="43"/>
    </row>
    <row r="33350" spans="65:67" ht="18.75" customHeight="1">
      <c r="BM33350" s="1025"/>
      <c r="BO33350" s="43"/>
    </row>
    <row r="33351" spans="65:67" ht="18.75" customHeight="1">
      <c r="BM33351" s="1025"/>
      <c r="BO33351" s="43"/>
    </row>
    <row r="33352" spans="65:67" ht="18.75" customHeight="1">
      <c r="BM33352" s="1025"/>
      <c r="BO33352" s="43"/>
    </row>
    <row r="33353" spans="65:67" ht="18.75" customHeight="1">
      <c r="BM33353" s="1025"/>
      <c r="BO33353" s="43"/>
    </row>
    <row r="33354" spans="65:67" ht="18.75" customHeight="1">
      <c r="BM33354" s="1025"/>
      <c r="BO33354" s="43"/>
    </row>
    <row r="33355" spans="65:67" ht="18.75" customHeight="1">
      <c r="BM33355" s="1025"/>
      <c r="BO33355" s="43"/>
    </row>
    <row r="33356" spans="65:67" ht="18.75" customHeight="1">
      <c r="BM33356" s="1025"/>
      <c r="BO33356" s="43"/>
    </row>
    <row r="33357" spans="65:67" ht="18.75" customHeight="1">
      <c r="BM33357" s="1025"/>
      <c r="BO33357" s="43"/>
    </row>
    <row r="33358" spans="65:67" ht="18.75" customHeight="1">
      <c r="BM33358" s="1025"/>
      <c r="BO33358" s="43"/>
    </row>
    <row r="33359" spans="65:67" ht="18.75" customHeight="1">
      <c r="BM33359" s="1025"/>
      <c r="BO33359" s="43"/>
    </row>
    <row r="33360" spans="65:67" ht="18.75" customHeight="1">
      <c r="BM33360" s="1025"/>
      <c r="BO33360" s="43"/>
    </row>
    <row r="33361" spans="65:67" ht="18.75" customHeight="1">
      <c r="BM33361" s="1025"/>
      <c r="BO33361" s="43"/>
    </row>
    <row r="33362" spans="65:67" ht="18.75" customHeight="1">
      <c r="BM33362" s="1025"/>
      <c r="BO33362" s="43"/>
    </row>
    <row r="33363" spans="65:67" ht="18.75" customHeight="1">
      <c r="BM33363" s="1025"/>
      <c r="BO33363" s="43"/>
    </row>
    <row r="33364" spans="65:67" ht="18.75" customHeight="1">
      <c r="BM33364" s="1025"/>
      <c r="BO33364" s="43"/>
    </row>
    <row r="33365" spans="65:67" ht="18.75" customHeight="1">
      <c r="BM33365" s="1025"/>
      <c r="BO33365" s="43"/>
    </row>
    <row r="33366" spans="65:67" ht="18.75" customHeight="1">
      <c r="BM33366" s="1025"/>
      <c r="BO33366" s="43"/>
    </row>
    <row r="33367" spans="65:67" ht="18.75" customHeight="1">
      <c r="BM33367" s="1025"/>
      <c r="BO33367" s="43"/>
    </row>
    <row r="33368" spans="65:67" ht="18.75" customHeight="1">
      <c r="BM33368" s="1025"/>
      <c r="BO33368" s="43"/>
    </row>
    <row r="33369" spans="65:67" ht="18.75" customHeight="1">
      <c r="BM33369" s="1025"/>
      <c r="BO33369" s="43"/>
    </row>
    <row r="33370" spans="65:67" ht="18.75" customHeight="1">
      <c r="BM33370" s="1025"/>
      <c r="BO33370" s="43"/>
    </row>
    <row r="33371" spans="65:67" ht="18.75" customHeight="1">
      <c r="BM33371" s="1025"/>
      <c r="BO33371" s="43"/>
    </row>
    <row r="33372" spans="65:67" ht="18.75" customHeight="1">
      <c r="BM33372" s="1025"/>
      <c r="BO33372" s="43"/>
    </row>
    <row r="33373" spans="65:67" ht="18.75" customHeight="1">
      <c r="BM33373" s="1025"/>
      <c r="BO33373" s="43"/>
    </row>
    <row r="33374" spans="65:67" ht="18.75" customHeight="1">
      <c r="BM33374" s="1025"/>
      <c r="BO33374" s="43"/>
    </row>
    <row r="33375" spans="65:67" ht="18.75" customHeight="1">
      <c r="BM33375" s="1025"/>
      <c r="BO33375" s="43"/>
    </row>
    <row r="33376" spans="65:67" ht="18.75" customHeight="1">
      <c r="BM33376" s="1025"/>
      <c r="BO33376" s="43"/>
    </row>
    <row r="33377" spans="65:67" ht="18.75" customHeight="1">
      <c r="BM33377" s="1025"/>
      <c r="BO33377" s="43"/>
    </row>
    <row r="33378" spans="65:67" ht="18.75" customHeight="1">
      <c r="BM33378" s="1025"/>
      <c r="BO33378" s="43"/>
    </row>
    <row r="33379" spans="65:67" ht="18.75" customHeight="1">
      <c r="BM33379" s="1025"/>
      <c r="BO33379" s="43"/>
    </row>
    <row r="33380" spans="65:67" ht="18.75" customHeight="1">
      <c r="BM33380" s="1025"/>
      <c r="BO33380" s="43"/>
    </row>
    <row r="33381" spans="65:67" ht="18.75" customHeight="1">
      <c r="BM33381" s="1025"/>
      <c r="BO33381" s="43"/>
    </row>
    <row r="33382" spans="65:67" ht="18.75" customHeight="1">
      <c r="BM33382" s="1025"/>
      <c r="BO33382" s="43"/>
    </row>
    <row r="33383" spans="65:67" ht="18.75" customHeight="1">
      <c r="BM33383" s="1025"/>
      <c r="BO33383" s="43"/>
    </row>
    <row r="33384" spans="65:67" ht="18.75" customHeight="1">
      <c r="BM33384" s="1025"/>
      <c r="BO33384" s="43"/>
    </row>
    <row r="33385" spans="65:67" ht="18.75" customHeight="1">
      <c r="BM33385" s="1025"/>
      <c r="BO33385" s="43"/>
    </row>
    <row r="33386" spans="65:67" ht="18.75" customHeight="1">
      <c r="BM33386" s="1025"/>
      <c r="BO33386" s="43"/>
    </row>
    <row r="33387" spans="65:67" ht="18.75" customHeight="1">
      <c r="BM33387" s="1025"/>
      <c r="BO33387" s="43"/>
    </row>
    <row r="33388" spans="65:67" ht="18.75" customHeight="1">
      <c r="BM33388" s="1025"/>
      <c r="BO33388" s="43"/>
    </row>
    <row r="33389" spans="65:67" ht="18.75" customHeight="1">
      <c r="BM33389" s="1025"/>
      <c r="BO33389" s="43"/>
    </row>
    <row r="33390" spans="65:67" ht="18.75" customHeight="1">
      <c r="BM33390" s="1025"/>
      <c r="BO33390" s="43"/>
    </row>
    <row r="33391" spans="65:67" ht="18.75" customHeight="1">
      <c r="BM33391" s="1025"/>
      <c r="BO33391" s="43"/>
    </row>
    <row r="33392" spans="65:67" ht="18.75" customHeight="1">
      <c r="BM33392" s="1025"/>
      <c r="BO33392" s="43"/>
    </row>
    <row r="33393" spans="65:67" ht="18.75" customHeight="1">
      <c r="BM33393" s="1025"/>
      <c r="BO33393" s="43"/>
    </row>
    <row r="33394" spans="65:67" ht="18.75" customHeight="1">
      <c r="BM33394" s="1025"/>
      <c r="BO33394" s="43"/>
    </row>
    <row r="33395" spans="65:67" ht="18.75" customHeight="1">
      <c r="BM33395" s="1025"/>
      <c r="BO33395" s="43"/>
    </row>
    <row r="33396" spans="65:67" ht="18.75" customHeight="1">
      <c r="BM33396" s="1025"/>
      <c r="BO33396" s="43"/>
    </row>
    <row r="33397" spans="65:67" ht="18.75" customHeight="1">
      <c r="BM33397" s="1025"/>
      <c r="BO33397" s="43"/>
    </row>
    <row r="33398" spans="65:67" ht="18.75" customHeight="1">
      <c r="BM33398" s="1025"/>
      <c r="BO33398" s="43"/>
    </row>
    <row r="33399" spans="65:67" ht="18.75" customHeight="1">
      <c r="BM33399" s="1025"/>
      <c r="BO33399" s="43"/>
    </row>
    <row r="33400" spans="65:67" ht="18.75" customHeight="1">
      <c r="BM33400" s="1025"/>
      <c r="BO33400" s="43"/>
    </row>
    <row r="33401" spans="65:67" ht="18.75" customHeight="1">
      <c r="BM33401" s="1025"/>
      <c r="BO33401" s="43"/>
    </row>
    <row r="33402" spans="65:67" ht="18.75" customHeight="1">
      <c r="BM33402" s="1025"/>
      <c r="BO33402" s="43"/>
    </row>
    <row r="33403" spans="65:67" ht="18.75" customHeight="1">
      <c r="BM33403" s="1025"/>
      <c r="BO33403" s="43"/>
    </row>
    <row r="33404" spans="65:67" ht="18.75" customHeight="1">
      <c r="BM33404" s="1025"/>
      <c r="BO33404" s="43"/>
    </row>
    <row r="33405" spans="65:67" ht="18.75" customHeight="1">
      <c r="BM33405" s="1025"/>
      <c r="BO33405" s="43"/>
    </row>
    <row r="33406" spans="65:67" ht="18.75" customHeight="1">
      <c r="BM33406" s="1025"/>
      <c r="BO33406" s="43"/>
    </row>
    <row r="33407" spans="65:67" ht="18.75" customHeight="1">
      <c r="BM33407" s="1025"/>
      <c r="BO33407" s="43"/>
    </row>
    <row r="33408" spans="65:67" ht="18.75" customHeight="1">
      <c r="BM33408" s="1025"/>
      <c r="BO33408" s="43"/>
    </row>
    <row r="33409" spans="65:67" ht="18.75" customHeight="1">
      <c r="BM33409" s="1025"/>
      <c r="BO33409" s="43"/>
    </row>
    <row r="33410" spans="65:67" ht="18.75" customHeight="1">
      <c r="BM33410" s="1025"/>
      <c r="BO33410" s="43"/>
    </row>
    <row r="33411" spans="65:67" ht="18.75" customHeight="1">
      <c r="BM33411" s="1025"/>
      <c r="BO33411" s="43"/>
    </row>
    <row r="33412" spans="65:67" ht="18.75" customHeight="1">
      <c r="BM33412" s="1025"/>
      <c r="BO33412" s="43"/>
    </row>
    <row r="33413" spans="65:67" ht="18.75" customHeight="1">
      <c r="BM33413" s="1025"/>
      <c r="BO33413" s="43"/>
    </row>
    <row r="33414" spans="65:67" ht="18.75" customHeight="1">
      <c r="BM33414" s="1025"/>
      <c r="BO33414" s="43"/>
    </row>
    <row r="33415" spans="65:67" ht="18.75" customHeight="1">
      <c r="BM33415" s="1025"/>
      <c r="BO33415" s="43"/>
    </row>
    <row r="33416" spans="65:67" ht="18.75" customHeight="1">
      <c r="BM33416" s="1025"/>
      <c r="BO33416" s="43"/>
    </row>
    <row r="33417" spans="65:67" ht="18.75" customHeight="1">
      <c r="BM33417" s="1025"/>
      <c r="BO33417" s="43"/>
    </row>
    <row r="33418" spans="65:67" ht="18.75" customHeight="1">
      <c r="BM33418" s="1025"/>
      <c r="BO33418" s="43"/>
    </row>
    <row r="33419" spans="65:67" ht="18.75" customHeight="1">
      <c r="BM33419" s="1025"/>
      <c r="BO33419" s="43"/>
    </row>
    <row r="33420" spans="65:67" ht="18.75" customHeight="1">
      <c r="BM33420" s="1025"/>
      <c r="BO33420" s="43"/>
    </row>
    <row r="33421" spans="65:67" ht="18.75" customHeight="1">
      <c r="BM33421" s="1025"/>
      <c r="BO33421" s="43"/>
    </row>
    <row r="33422" spans="65:67" ht="18.75" customHeight="1">
      <c r="BM33422" s="1025"/>
      <c r="BO33422" s="43"/>
    </row>
    <row r="33423" spans="65:67" ht="18.75" customHeight="1">
      <c r="BM33423" s="1025"/>
      <c r="BO33423" s="43"/>
    </row>
    <row r="33424" spans="65:67" ht="18.75" customHeight="1">
      <c r="BM33424" s="1025"/>
      <c r="BO33424" s="43"/>
    </row>
    <row r="33425" spans="65:67" ht="18.75" customHeight="1">
      <c r="BM33425" s="1025"/>
      <c r="BO33425" s="43"/>
    </row>
    <row r="33426" spans="65:67" ht="18.75" customHeight="1">
      <c r="BM33426" s="1025"/>
      <c r="BO33426" s="43"/>
    </row>
    <row r="33427" spans="65:67" ht="18.75" customHeight="1">
      <c r="BM33427" s="1025"/>
      <c r="BO33427" s="43"/>
    </row>
    <row r="33428" spans="65:67" ht="18.75" customHeight="1">
      <c r="BM33428" s="1025"/>
      <c r="BO33428" s="43"/>
    </row>
    <row r="33429" spans="65:67" ht="18.75" customHeight="1">
      <c r="BM33429" s="1025"/>
      <c r="BO33429" s="43"/>
    </row>
    <row r="33430" spans="65:67" ht="18.75" customHeight="1">
      <c r="BM33430" s="1025"/>
      <c r="BO33430" s="43"/>
    </row>
    <row r="33431" spans="65:67" ht="18.75" customHeight="1">
      <c r="BM33431" s="1025"/>
      <c r="BO33431" s="43"/>
    </row>
    <row r="33432" spans="65:67" ht="18.75" customHeight="1">
      <c r="BM33432" s="1025"/>
      <c r="BO33432" s="43"/>
    </row>
    <row r="33433" spans="65:67" ht="18.75" customHeight="1">
      <c r="BM33433" s="1025"/>
      <c r="BO33433" s="43"/>
    </row>
    <row r="33434" spans="65:67" ht="18.75" customHeight="1">
      <c r="BM33434" s="1025"/>
      <c r="BO33434" s="43"/>
    </row>
    <row r="33435" spans="65:67" ht="18.75" customHeight="1">
      <c r="BM33435" s="1025"/>
      <c r="BO33435" s="43"/>
    </row>
    <row r="33436" spans="65:67" ht="18.75" customHeight="1">
      <c r="BM33436" s="1025"/>
      <c r="BO33436" s="43"/>
    </row>
    <row r="33437" spans="65:67" ht="18.75" customHeight="1">
      <c r="BM33437" s="1025"/>
      <c r="BO33437" s="43"/>
    </row>
    <row r="33438" spans="65:67" ht="18.75" customHeight="1">
      <c r="BM33438" s="1025"/>
      <c r="BO33438" s="43"/>
    </row>
    <row r="33439" spans="65:67" ht="18.75" customHeight="1">
      <c r="BM33439" s="1025"/>
      <c r="BO33439" s="43"/>
    </row>
    <row r="33440" spans="65:67" ht="18.75" customHeight="1">
      <c r="BM33440" s="1025"/>
      <c r="BO33440" s="43"/>
    </row>
    <row r="33441" spans="65:67" ht="18.75" customHeight="1">
      <c r="BM33441" s="1025"/>
      <c r="BO33441" s="43"/>
    </row>
    <row r="33442" spans="65:67" ht="18.75" customHeight="1">
      <c r="BM33442" s="1025"/>
      <c r="BO33442" s="43"/>
    </row>
    <row r="33443" spans="65:67" ht="18.75" customHeight="1">
      <c r="BM33443" s="1025"/>
      <c r="BO33443" s="43"/>
    </row>
    <row r="33444" spans="65:67" ht="18.75" customHeight="1">
      <c r="BM33444" s="1025"/>
      <c r="BO33444" s="43"/>
    </row>
    <row r="33445" spans="65:67" ht="18.75" customHeight="1">
      <c r="BM33445" s="1025"/>
      <c r="BO33445" s="43"/>
    </row>
    <row r="33446" spans="65:67" ht="18.75" customHeight="1">
      <c r="BM33446" s="1025"/>
      <c r="BO33446" s="43"/>
    </row>
    <row r="33447" spans="65:67" ht="18.75" customHeight="1">
      <c r="BM33447" s="1025"/>
      <c r="BO33447" s="43"/>
    </row>
    <row r="33448" spans="65:67" ht="18.75" customHeight="1">
      <c r="BM33448" s="1025"/>
      <c r="BO33448" s="43"/>
    </row>
    <row r="33449" spans="65:67" ht="18.75" customHeight="1">
      <c r="BM33449" s="1025"/>
      <c r="BO33449" s="43"/>
    </row>
    <row r="33450" spans="65:67" ht="18.75" customHeight="1">
      <c r="BM33450" s="1025"/>
      <c r="BO33450" s="43"/>
    </row>
    <row r="33451" spans="65:67" ht="18.75" customHeight="1">
      <c r="BM33451" s="1025"/>
      <c r="BO33451" s="43"/>
    </row>
    <row r="33452" spans="65:67" ht="18.75" customHeight="1">
      <c r="BM33452" s="1025"/>
      <c r="BO33452" s="43"/>
    </row>
    <row r="33453" spans="65:67" ht="18.75" customHeight="1">
      <c r="BM33453" s="1025"/>
      <c r="BO33453" s="43"/>
    </row>
    <row r="33454" spans="65:67" ht="18.75" customHeight="1">
      <c r="BM33454" s="1025"/>
      <c r="BO33454" s="43"/>
    </row>
    <row r="33455" spans="65:67" ht="18.75" customHeight="1">
      <c r="BM33455" s="1025"/>
      <c r="BO33455" s="43"/>
    </row>
    <row r="33456" spans="65:67" ht="18.75" customHeight="1">
      <c r="BM33456" s="1025"/>
      <c r="BO33456" s="43"/>
    </row>
    <row r="33457" spans="65:67" ht="18.75" customHeight="1">
      <c r="BM33457" s="1025"/>
      <c r="BO33457" s="43"/>
    </row>
    <row r="33458" spans="65:67" ht="18.75" customHeight="1">
      <c r="BM33458" s="1025"/>
      <c r="BO33458" s="43"/>
    </row>
    <row r="33459" spans="65:67" ht="18.75" customHeight="1">
      <c r="BM33459" s="1025"/>
      <c r="BO33459" s="43"/>
    </row>
    <row r="33460" spans="65:67" ht="18.75" customHeight="1">
      <c r="BM33460" s="1025"/>
      <c r="BO33460" s="43"/>
    </row>
    <row r="33461" spans="65:67" ht="18.75" customHeight="1">
      <c r="BM33461" s="1025"/>
      <c r="BO33461" s="43"/>
    </row>
    <row r="33462" spans="65:67" ht="18.75" customHeight="1">
      <c r="BM33462" s="1025"/>
      <c r="BO33462" s="43"/>
    </row>
    <row r="33463" spans="65:67" ht="18.75" customHeight="1">
      <c r="BM33463" s="1025"/>
      <c r="BO33463" s="43"/>
    </row>
    <row r="33464" spans="65:67" ht="18.75" customHeight="1">
      <c r="BM33464" s="1025"/>
      <c r="BO33464" s="43"/>
    </row>
    <row r="33465" spans="65:67" ht="18.75" customHeight="1">
      <c r="BM33465" s="1025"/>
      <c r="BO33465" s="43"/>
    </row>
    <row r="33466" spans="65:67" ht="18.75" customHeight="1">
      <c r="BM33466" s="1025"/>
      <c r="BO33466" s="43"/>
    </row>
    <row r="33467" spans="65:67" ht="18.75" customHeight="1">
      <c r="BM33467" s="1025"/>
      <c r="BO33467" s="43"/>
    </row>
    <row r="33468" spans="65:67" ht="18.75" customHeight="1">
      <c r="BM33468" s="1025"/>
      <c r="BO33468" s="43"/>
    </row>
    <row r="33469" spans="65:67" ht="18.75" customHeight="1">
      <c r="BM33469" s="1025"/>
      <c r="BO33469" s="43"/>
    </row>
    <row r="33470" spans="65:67" ht="18.75" customHeight="1">
      <c r="BM33470" s="1025"/>
      <c r="BO33470" s="43"/>
    </row>
    <row r="33471" spans="65:67" ht="18.75" customHeight="1">
      <c r="BM33471" s="1025"/>
      <c r="BO33471" s="43"/>
    </row>
    <row r="33472" spans="65:67" ht="18.75" customHeight="1">
      <c r="BM33472" s="1025"/>
      <c r="BO33472" s="43"/>
    </row>
    <row r="33473" spans="65:67" ht="18.75" customHeight="1">
      <c r="BM33473" s="1025"/>
      <c r="BO33473" s="43"/>
    </row>
    <row r="33474" spans="65:67" ht="18.75" customHeight="1">
      <c r="BM33474" s="1025"/>
      <c r="BO33474" s="43"/>
    </row>
    <row r="33475" spans="65:67" ht="18.75" customHeight="1">
      <c r="BM33475" s="1025"/>
      <c r="BO33475" s="43"/>
    </row>
    <row r="33476" spans="65:67" ht="18.75" customHeight="1">
      <c r="BM33476" s="1025"/>
      <c r="BO33476" s="43"/>
    </row>
    <row r="33477" spans="65:67" ht="18.75" customHeight="1">
      <c r="BM33477" s="1025"/>
      <c r="BO33477" s="43"/>
    </row>
    <row r="33478" spans="65:67" ht="18.75" customHeight="1">
      <c r="BM33478" s="1025"/>
      <c r="BO33478" s="43"/>
    </row>
    <row r="33479" spans="65:67" ht="18.75" customHeight="1">
      <c r="BM33479" s="1025"/>
      <c r="BO33479" s="43"/>
    </row>
    <row r="33480" spans="65:67" ht="18.75" customHeight="1">
      <c r="BM33480" s="1025"/>
      <c r="BO33480" s="43"/>
    </row>
    <row r="33481" spans="65:67" ht="18.75" customHeight="1">
      <c r="BM33481" s="1025"/>
      <c r="BO33481" s="43"/>
    </row>
    <row r="33482" spans="65:67" ht="18.75" customHeight="1">
      <c r="BM33482" s="1025"/>
      <c r="BO33482" s="43"/>
    </row>
    <row r="33483" spans="65:67" ht="18.75" customHeight="1">
      <c r="BM33483" s="1025"/>
      <c r="BO33483" s="43"/>
    </row>
    <row r="33484" spans="65:67" ht="18.75" customHeight="1">
      <c r="BM33484" s="1025"/>
      <c r="BO33484" s="43"/>
    </row>
    <row r="33485" spans="65:67" ht="18.75" customHeight="1">
      <c r="BM33485" s="1025"/>
      <c r="BO33485" s="43"/>
    </row>
    <row r="33486" spans="65:67" ht="18.75" customHeight="1">
      <c r="BM33486" s="1025"/>
      <c r="BO33486" s="43"/>
    </row>
    <row r="33487" spans="65:67" ht="18.75" customHeight="1">
      <c r="BM33487" s="1025"/>
      <c r="BO33487" s="43"/>
    </row>
    <row r="33488" spans="65:67" ht="18.75" customHeight="1">
      <c r="BM33488" s="1025"/>
      <c r="BO33488" s="43"/>
    </row>
    <row r="33489" spans="65:67" ht="18.75" customHeight="1">
      <c r="BM33489" s="1025"/>
      <c r="BO33489" s="43"/>
    </row>
    <row r="33490" spans="65:67" ht="18.75" customHeight="1">
      <c r="BM33490" s="1025"/>
      <c r="BO33490" s="43"/>
    </row>
    <row r="33491" spans="65:67" ht="18.75" customHeight="1">
      <c r="BM33491" s="1025"/>
      <c r="BO33491" s="43"/>
    </row>
    <row r="33492" spans="65:67" ht="18.75" customHeight="1">
      <c r="BM33492" s="1025"/>
      <c r="BO33492" s="43"/>
    </row>
    <row r="33493" spans="65:67" ht="18.75" customHeight="1">
      <c r="BM33493" s="1025"/>
      <c r="BO33493" s="43"/>
    </row>
    <row r="33494" spans="65:67" ht="18.75" customHeight="1">
      <c r="BM33494" s="1025"/>
      <c r="BO33494" s="43"/>
    </row>
    <row r="33495" spans="65:67" ht="18.75" customHeight="1">
      <c r="BM33495" s="1025"/>
      <c r="BO33495" s="43"/>
    </row>
    <row r="33496" spans="65:67" ht="18.75" customHeight="1">
      <c r="BM33496" s="1025"/>
      <c r="BO33496" s="43"/>
    </row>
    <row r="33497" spans="65:67" ht="18.75" customHeight="1">
      <c r="BM33497" s="1025"/>
      <c r="BO33497" s="43"/>
    </row>
    <row r="33498" spans="65:67" ht="18.75" customHeight="1">
      <c r="BM33498" s="1025"/>
      <c r="BO33498" s="43"/>
    </row>
    <row r="33499" spans="65:67" ht="18.75" customHeight="1">
      <c r="BM33499" s="1025"/>
      <c r="BO33499" s="43"/>
    </row>
    <row r="33500" spans="65:67" ht="18.75" customHeight="1">
      <c r="BM33500" s="1025"/>
      <c r="BO33500" s="43"/>
    </row>
    <row r="33501" spans="65:67" ht="18.75" customHeight="1">
      <c r="BM33501" s="1025"/>
      <c r="BO33501" s="43"/>
    </row>
    <row r="33502" spans="65:67" ht="18.75" customHeight="1">
      <c r="BM33502" s="1025"/>
      <c r="BO33502" s="43"/>
    </row>
    <row r="33503" spans="65:67" ht="18.75" customHeight="1">
      <c r="BM33503" s="1025"/>
      <c r="BO33503" s="43"/>
    </row>
    <row r="33504" spans="65:67" ht="18.75" customHeight="1">
      <c r="BM33504" s="1025"/>
      <c r="BO33504" s="43"/>
    </row>
    <row r="33505" spans="65:67" ht="18.75" customHeight="1">
      <c r="BM33505" s="1025"/>
      <c r="BO33505" s="43"/>
    </row>
    <row r="33506" spans="65:67" ht="18.75" customHeight="1">
      <c r="BM33506" s="1025"/>
      <c r="BO33506" s="43"/>
    </row>
    <row r="33507" spans="65:67" ht="18.75" customHeight="1">
      <c r="BM33507" s="1025"/>
      <c r="BO33507" s="43"/>
    </row>
    <row r="33508" spans="65:67" ht="18.75" customHeight="1">
      <c r="BM33508" s="1025"/>
      <c r="BO33508" s="43"/>
    </row>
    <row r="33509" spans="65:67" ht="18.75" customHeight="1">
      <c r="BM33509" s="1025"/>
      <c r="BO33509" s="43"/>
    </row>
    <row r="33510" spans="65:67" ht="18.75" customHeight="1">
      <c r="BM33510" s="1025"/>
      <c r="BO33510" s="43"/>
    </row>
    <row r="33511" spans="65:67" ht="18.75" customHeight="1">
      <c r="BM33511" s="1025"/>
      <c r="BO33511" s="43"/>
    </row>
    <row r="33512" spans="65:67" ht="18.75" customHeight="1">
      <c r="BM33512" s="1025"/>
      <c r="BO33512" s="43"/>
    </row>
    <row r="33513" spans="65:67" ht="18.75" customHeight="1">
      <c r="BM33513" s="1025"/>
      <c r="BO33513" s="43"/>
    </row>
    <row r="33514" spans="65:67" ht="18.75" customHeight="1">
      <c r="BM33514" s="1025"/>
      <c r="BO33514" s="43"/>
    </row>
    <row r="33515" spans="65:67" ht="18.75" customHeight="1">
      <c r="BM33515" s="1025"/>
      <c r="BO33515" s="43"/>
    </row>
    <row r="33516" spans="65:67" ht="18.75" customHeight="1">
      <c r="BM33516" s="1025"/>
      <c r="BO33516" s="43"/>
    </row>
    <row r="33517" spans="65:67" ht="18.75" customHeight="1">
      <c r="BM33517" s="1025"/>
      <c r="BO33517" s="43"/>
    </row>
    <row r="33518" spans="65:67" ht="18.75" customHeight="1">
      <c r="BM33518" s="1025"/>
      <c r="BO33518" s="43"/>
    </row>
    <row r="33519" spans="65:67" ht="18.75" customHeight="1">
      <c r="BM33519" s="1025"/>
      <c r="BO33519" s="43"/>
    </row>
    <row r="33520" spans="65:67" ht="18.75" customHeight="1">
      <c r="BM33520" s="1025"/>
      <c r="BO33520" s="43"/>
    </row>
    <row r="33521" spans="65:67" ht="18.75" customHeight="1">
      <c r="BM33521" s="1025"/>
      <c r="BO33521" s="43"/>
    </row>
    <row r="33522" spans="65:67" ht="18.75" customHeight="1">
      <c r="BM33522" s="1025"/>
      <c r="BO33522" s="43"/>
    </row>
    <row r="33523" spans="65:67" ht="18.75" customHeight="1">
      <c r="BM33523" s="1025"/>
      <c r="BO33523" s="43"/>
    </row>
    <row r="33524" spans="65:67" ht="18.75" customHeight="1">
      <c r="BM33524" s="1025"/>
      <c r="BO33524" s="43"/>
    </row>
    <row r="33525" spans="65:67" ht="18.75" customHeight="1">
      <c r="BM33525" s="1025"/>
      <c r="BO33525" s="43"/>
    </row>
    <row r="33526" spans="65:67" ht="18.75" customHeight="1">
      <c r="BM33526" s="1025"/>
      <c r="BO33526" s="43"/>
    </row>
    <row r="33527" spans="65:67" ht="18.75" customHeight="1">
      <c r="BM33527" s="1025"/>
      <c r="BO33527" s="43"/>
    </row>
    <row r="33528" spans="65:67" ht="18.75" customHeight="1">
      <c r="BM33528" s="1025"/>
      <c r="BO33528" s="43"/>
    </row>
    <row r="33529" spans="65:67" ht="18.75" customHeight="1">
      <c r="BM33529" s="1025"/>
      <c r="BO33529" s="43"/>
    </row>
    <row r="33530" spans="65:67" ht="18.75" customHeight="1">
      <c r="BM33530" s="1025"/>
      <c r="BO33530" s="43"/>
    </row>
    <row r="33531" spans="65:67" ht="18.75" customHeight="1">
      <c r="BM33531" s="1025"/>
      <c r="BO33531" s="43"/>
    </row>
    <row r="33532" spans="65:67" ht="18.75" customHeight="1">
      <c r="BM33532" s="1025"/>
      <c r="BO33532" s="43"/>
    </row>
    <row r="33533" spans="65:67" ht="18.75" customHeight="1">
      <c r="BM33533" s="1025"/>
      <c r="BO33533" s="43"/>
    </row>
    <row r="33534" spans="65:67" ht="18.75" customHeight="1">
      <c r="BM33534" s="1025"/>
      <c r="BO33534" s="43"/>
    </row>
    <row r="33535" spans="65:67" ht="18.75" customHeight="1">
      <c r="BM33535" s="1025"/>
      <c r="BO33535" s="43"/>
    </row>
    <row r="33536" spans="65:67" ht="18.75" customHeight="1">
      <c r="BM33536" s="1025"/>
      <c r="BO33536" s="43"/>
    </row>
    <row r="33537" spans="65:67" ht="18.75" customHeight="1">
      <c r="BM33537" s="1025"/>
      <c r="BO33537" s="43"/>
    </row>
    <row r="33538" spans="65:67" ht="18.75" customHeight="1">
      <c r="BM33538" s="1025"/>
      <c r="BO33538" s="43"/>
    </row>
    <row r="33539" spans="65:67" ht="18.75" customHeight="1">
      <c r="BM33539" s="1025"/>
      <c r="BO33539" s="43"/>
    </row>
    <row r="33540" spans="65:67" ht="18.75" customHeight="1">
      <c r="BM33540" s="1025"/>
      <c r="BO33540" s="43"/>
    </row>
    <row r="33541" spans="65:67" ht="18.75" customHeight="1">
      <c r="BM33541" s="1025"/>
      <c r="BO33541" s="43"/>
    </row>
    <row r="33542" spans="65:67" ht="18.75" customHeight="1">
      <c r="BM33542" s="1025"/>
      <c r="BO33542" s="43"/>
    </row>
    <row r="33543" spans="65:67" ht="18.75" customHeight="1">
      <c r="BM33543" s="1025"/>
      <c r="BO33543" s="43"/>
    </row>
    <row r="33544" spans="65:67" ht="18.75" customHeight="1">
      <c r="BM33544" s="1025"/>
      <c r="BO33544" s="43"/>
    </row>
    <row r="33545" spans="65:67" ht="18.75" customHeight="1">
      <c r="BM33545" s="1025"/>
      <c r="BO33545" s="43"/>
    </row>
    <row r="33546" spans="65:67" ht="18.75" customHeight="1">
      <c r="BM33546" s="1025"/>
      <c r="BO33546" s="43"/>
    </row>
    <row r="33547" spans="65:67" ht="18.75" customHeight="1">
      <c r="BM33547" s="1025"/>
      <c r="BO33547" s="43"/>
    </row>
    <row r="33548" spans="65:67" ht="18.75" customHeight="1">
      <c r="BM33548" s="1025"/>
      <c r="BO33548" s="43"/>
    </row>
    <row r="33549" spans="65:67" ht="18.75" customHeight="1">
      <c r="BM33549" s="1025"/>
      <c r="BO33549" s="43"/>
    </row>
    <row r="33550" spans="65:67" ht="18.75" customHeight="1">
      <c r="BM33550" s="1025"/>
      <c r="BO33550" s="43"/>
    </row>
    <row r="33551" spans="65:67" ht="18.75" customHeight="1">
      <c r="BM33551" s="1025"/>
      <c r="BO33551" s="43"/>
    </row>
    <row r="33552" spans="65:67" ht="18.75" customHeight="1">
      <c r="BM33552" s="1025"/>
      <c r="BO33552" s="43"/>
    </row>
    <row r="33553" spans="65:67" ht="18.75" customHeight="1">
      <c r="BM33553" s="1025"/>
      <c r="BO33553" s="43"/>
    </row>
    <row r="33554" spans="65:67" ht="18.75" customHeight="1">
      <c r="BM33554" s="1025"/>
      <c r="BO33554" s="43"/>
    </row>
    <row r="33555" spans="65:67" ht="18.75" customHeight="1">
      <c r="BM33555" s="1025"/>
      <c r="BO33555" s="43"/>
    </row>
    <row r="33556" spans="65:67" ht="18.75" customHeight="1">
      <c r="BM33556" s="1025"/>
      <c r="BO33556" s="43"/>
    </row>
    <row r="33557" spans="65:67" ht="18.75" customHeight="1">
      <c r="BM33557" s="1025"/>
      <c r="BO33557" s="43"/>
    </row>
    <row r="33558" spans="65:67" ht="18.75" customHeight="1">
      <c r="BM33558" s="1025"/>
      <c r="BO33558" s="43"/>
    </row>
    <row r="33559" spans="65:67" ht="18.75" customHeight="1">
      <c r="BM33559" s="1025"/>
      <c r="BO33559" s="43"/>
    </row>
    <row r="33560" spans="65:67" ht="18.75" customHeight="1">
      <c r="BM33560" s="1025"/>
      <c r="BO33560" s="43"/>
    </row>
    <row r="33561" spans="65:67" ht="18.75" customHeight="1">
      <c r="BM33561" s="1025"/>
      <c r="BO33561" s="43"/>
    </row>
    <row r="33562" spans="65:67" ht="18.75" customHeight="1">
      <c r="BM33562" s="1025"/>
      <c r="BO33562" s="43"/>
    </row>
    <row r="33563" spans="65:67" ht="18.75" customHeight="1">
      <c r="BM33563" s="1025"/>
      <c r="BO33563" s="43"/>
    </row>
    <row r="33564" spans="65:67" ht="18.75" customHeight="1">
      <c r="BM33564" s="1025"/>
      <c r="BO33564" s="43"/>
    </row>
    <row r="33565" spans="65:67" ht="18.75" customHeight="1">
      <c r="BM33565" s="1025"/>
      <c r="BO33565" s="43"/>
    </row>
    <row r="33566" spans="65:67" ht="18.75" customHeight="1">
      <c r="BM33566" s="1025"/>
      <c r="BO33566" s="43"/>
    </row>
    <row r="33567" spans="65:67" ht="18.75" customHeight="1">
      <c r="BM33567" s="1025"/>
      <c r="BO33567" s="43"/>
    </row>
    <row r="33568" spans="65:67" ht="18.75" customHeight="1">
      <c r="BM33568" s="1025"/>
      <c r="BO33568" s="43"/>
    </row>
    <row r="33569" spans="65:67" ht="18.75" customHeight="1">
      <c r="BM33569" s="1025"/>
      <c r="BO33569" s="43"/>
    </row>
    <row r="33570" spans="65:67" ht="18.75" customHeight="1">
      <c r="BM33570" s="1025"/>
      <c r="BO33570" s="43"/>
    </row>
    <row r="33571" spans="65:67" ht="18.75" customHeight="1">
      <c r="BM33571" s="1025"/>
      <c r="BO33571" s="43"/>
    </row>
    <row r="33572" spans="65:67" ht="18.75" customHeight="1">
      <c r="BM33572" s="1025"/>
      <c r="BO33572" s="43"/>
    </row>
    <row r="33573" spans="65:67" ht="18.75" customHeight="1">
      <c r="BM33573" s="1025"/>
      <c r="BO33573" s="43"/>
    </row>
    <row r="33574" spans="65:67" ht="18.75" customHeight="1">
      <c r="BM33574" s="1025"/>
      <c r="BO33574" s="43"/>
    </row>
    <row r="33575" spans="65:67" ht="18.75" customHeight="1">
      <c r="BM33575" s="1025"/>
      <c r="BO33575" s="43"/>
    </row>
    <row r="33576" spans="65:67" ht="18.75" customHeight="1">
      <c r="BM33576" s="1025"/>
      <c r="BO33576" s="43"/>
    </row>
    <row r="33577" spans="65:67" ht="18.75" customHeight="1">
      <c r="BM33577" s="1025"/>
      <c r="BO33577" s="43"/>
    </row>
    <row r="33578" spans="65:67" ht="18.75" customHeight="1">
      <c r="BM33578" s="1025"/>
      <c r="BO33578" s="43"/>
    </row>
    <row r="33579" spans="65:67" ht="18.75" customHeight="1">
      <c r="BM33579" s="1025"/>
      <c r="BO33579" s="43"/>
    </row>
    <row r="33580" spans="65:67" ht="18.75" customHeight="1">
      <c r="BM33580" s="1025"/>
      <c r="BO33580" s="43"/>
    </row>
    <row r="33581" spans="65:67" ht="18.75" customHeight="1">
      <c r="BM33581" s="1025"/>
      <c r="BO33581" s="43"/>
    </row>
    <row r="33582" spans="65:67" ht="18.75" customHeight="1">
      <c r="BM33582" s="1025"/>
      <c r="BO33582" s="43"/>
    </row>
    <row r="33583" spans="65:67" ht="18.75" customHeight="1">
      <c r="BM33583" s="1025"/>
      <c r="BO33583" s="43"/>
    </row>
    <row r="33584" spans="65:67" ht="18.75" customHeight="1">
      <c r="BM33584" s="1025"/>
      <c r="BO33584" s="43"/>
    </row>
    <row r="33585" spans="65:67" ht="18.75" customHeight="1">
      <c r="BM33585" s="1025"/>
      <c r="BO33585" s="43"/>
    </row>
    <row r="33586" spans="65:67" ht="18.75" customHeight="1">
      <c r="BM33586" s="1025"/>
      <c r="BO33586" s="43"/>
    </row>
    <row r="33587" spans="65:67" ht="18.75" customHeight="1">
      <c r="BM33587" s="1025"/>
      <c r="BO33587" s="43"/>
    </row>
    <row r="33588" spans="65:67" ht="18.75" customHeight="1">
      <c r="BM33588" s="1025"/>
      <c r="BO33588" s="43"/>
    </row>
    <row r="33589" spans="65:67" ht="18.75" customHeight="1">
      <c r="BM33589" s="1025"/>
      <c r="BO33589" s="43"/>
    </row>
    <row r="33590" spans="65:67" ht="18.75" customHeight="1">
      <c r="BM33590" s="1025"/>
      <c r="BO33590" s="43"/>
    </row>
    <row r="33591" spans="65:67" ht="18.75" customHeight="1">
      <c r="BM33591" s="1025"/>
      <c r="BO33591" s="43"/>
    </row>
    <row r="33592" spans="65:67" ht="18.75" customHeight="1">
      <c r="BM33592" s="1025"/>
      <c r="BO33592" s="43"/>
    </row>
    <row r="33593" spans="65:67" ht="18.75" customHeight="1">
      <c r="BM33593" s="1025"/>
      <c r="BO33593" s="43"/>
    </row>
    <row r="33594" spans="65:67" ht="18.75" customHeight="1">
      <c r="BM33594" s="1025"/>
      <c r="BO33594" s="43"/>
    </row>
    <row r="33595" spans="65:67" ht="18.75" customHeight="1">
      <c r="BM33595" s="1025"/>
      <c r="BO33595" s="43"/>
    </row>
    <row r="33596" spans="65:67" ht="18.75" customHeight="1">
      <c r="BM33596" s="1025"/>
      <c r="BO33596" s="43"/>
    </row>
    <row r="33597" spans="65:67" ht="18.75" customHeight="1">
      <c r="BM33597" s="1025"/>
      <c r="BO33597" s="43"/>
    </row>
    <row r="33598" spans="65:67" ht="18.75" customHeight="1">
      <c r="BM33598" s="1025"/>
      <c r="BO33598" s="43"/>
    </row>
    <row r="33599" spans="65:67" ht="18.75" customHeight="1">
      <c r="BM33599" s="1025"/>
      <c r="BO33599" s="43"/>
    </row>
    <row r="33600" spans="65:67" ht="18.75" customHeight="1">
      <c r="BM33600" s="1025"/>
      <c r="BO33600" s="43"/>
    </row>
    <row r="33601" spans="65:67" ht="18.75" customHeight="1">
      <c r="BM33601" s="1025"/>
      <c r="BO33601" s="43"/>
    </row>
    <row r="33602" spans="65:67" ht="18.75" customHeight="1">
      <c r="BM33602" s="1025"/>
      <c r="BO33602" s="43"/>
    </row>
    <row r="33603" spans="65:67" ht="18.75" customHeight="1">
      <c r="BM33603" s="1025"/>
      <c r="BO33603" s="43"/>
    </row>
    <row r="33604" spans="65:67" ht="18.75" customHeight="1">
      <c r="BM33604" s="1025"/>
      <c r="BO33604" s="43"/>
    </row>
    <row r="33605" spans="65:67" ht="18.75" customHeight="1">
      <c r="BM33605" s="1025"/>
      <c r="BO33605" s="43"/>
    </row>
    <row r="33606" spans="65:67" ht="18.75" customHeight="1">
      <c r="BM33606" s="1025"/>
      <c r="BO33606" s="43"/>
    </row>
    <row r="33607" spans="65:67" ht="18.75" customHeight="1">
      <c r="BM33607" s="1025"/>
      <c r="BO33607" s="43"/>
    </row>
    <row r="33608" spans="65:67" ht="18.75" customHeight="1">
      <c r="BM33608" s="1025"/>
      <c r="BO33608" s="43"/>
    </row>
    <row r="33609" spans="65:67" ht="18.75" customHeight="1">
      <c r="BM33609" s="1025"/>
      <c r="BO33609" s="43"/>
    </row>
    <row r="33610" spans="65:67" ht="18.75" customHeight="1">
      <c r="BM33610" s="1025"/>
      <c r="BO33610" s="43"/>
    </row>
    <row r="33611" spans="65:67" ht="18.75" customHeight="1">
      <c r="BM33611" s="1025"/>
      <c r="BO33611" s="43"/>
    </row>
    <row r="33612" spans="65:67" ht="18.75" customHeight="1">
      <c r="BM33612" s="1025"/>
      <c r="BO33612" s="43"/>
    </row>
    <row r="33613" spans="65:67" ht="18.75" customHeight="1">
      <c r="BM33613" s="1025"/>
      <c r="BO33613" s="43"/>
    </row>
    <row r="33614" spans="65:67" ht="18.75" customHeight="1">
      <c r="BM33614" s="1025"/>
      <c r="BO33614" s="43"/>
    </row>
    <row r="33615" spans="65:67" ht="18.75" customHeight="1">
      <c r="BM33615" s="1025"/>
      <c r="BO33615" s="43"/>
    </row>
    <row r="33616" spans="65:67" ht="18.75" customHeight="1">
      <c r="BM33616" s="1025"/>
      <c r="BO33616" s="43"/>
    </row>
    <row r="33617" spans="65:67" ht="18.75" customHeight="1">
      <c r="BM33617" s="1025"/>
      <c r="BO33617" s="43"/>
    </row>
    <row r="33618" spans="65:67" ht="18.75" customHeight="1">
      <c r="BM33618" s="1025"/>
      <c r="BO33618" s="43"/>
    </row>
    <row r="33619" spans="65:67" ht="18.75" customHeight="1">
      <c r="BM33619" s="1025"/>
      <c r="BO33619" s="43"/>
    </row>
    <row r="33620" spans="65:67" ht="18.75" customHeight="1">
      <c r="BM33620" s="1025"/>
      <c r="BO33620" s="43"/>
    </row>
    <row r="33621" spans="65:67" ht="18.75" customHeight="1">
      <c r="BM33621" s="1025"/>
      <c r="BO33621" s="43"/>
    </row>
    <row r="33622" spans="65:67" ht="18.75" customHeight="1">
      <c r="BM33622" s="1025"/>
      <c r="BO33622" s="43"/>
    </row>
    <row r="33623" spans="65:67" ht="18.75" customHeight="1">
      <c r="BM33623" s="1025"/>
      <c r="BO33623" s="43"/>
    </row>
    <row r="33624" spans="65:67" ht="18.75" customHeight="1">
      <c r="BM33624" s="1025"/>
      <c r="BO33624" s="43"/>
    </row>
    <row r="33625" spans="65:67" ht="18.75" customHeight="1">
      <c r="BM33625" s="1025"/>
      <c r="BO33625" s="43"/>
    </row>
    <row r="33626" spans="65:67" ht="18.75" customHeight="1">
      <c r="BM33626" s="1025"/>
      <c r="BO33626" s="43"/>
    </row>
    <row r="33627" spans="65:67" ht="18.75" customHeight="1">
      <c r="BM33627" s="1025"/>
      <c r="BO33627" s="43"/>
    </row>
    <row r="33628" spans="65:67" ht="18.75" customHeight="1">
      <c r="BM33628" s="1025"/>
      <c r="BO33628" s="43"/>
    </row>
    <row r="33629" spans="65:67" ht="18.75" customHeight="1">
      <c r="BM33629" s="1025"/>
      <c r="BO33629" s="43"/>
    </row>
    <row r="33630" spans="65:67" ht="18.75" customHeight="1">
      <c r="BM33630" s="1025"/>
      <c r="BO33630" s="43"/>
    </row>
    <row r="33631" spans="65:67" ht="18.75" customHeight="1">
      <c r="BM33631" s="1025"/>
      <c r="BO33631" s="43"/>
    </row>
    <row r="33632" spans="65:67" ht="18.75" customHeight="1">
      <c r="BM33632" s="1025"/>
      <c r="BO33632" s="43"/>
    </row>
    <row r="33633" spans="65:67" ht="18.75" customHeight="1">
      <c r="BM33633" s="1025"/>
      <c r="BO33633" s="43"/>
    </row>
    <row r="33634" spans="65:67" ht="18.75" customHeight="1">
      <c r="BM33634" s="1025"/>
      <c r="BO33634" s="43"/>
    </row>
    <row r="33635" spans="65:67" ht="18.75" customHeight="1">
      <c r="BM33635" s="1025"/>
      <c r="BO33635" s="43"/>
    </row>
    <row r="33636" spans="65:67" ht="18.75" customHeight="1">
      <c r="BM33636" s="1025"/>
      <c r="BO33636" s="43"/>
    </row>
    <row r="33637" spans="65:67" ht="18.75" customHeight="1">
      <c r="BM33637" s="1025"/>
      <c r="BO33637" s="43"/>
    </row>
    <row r="33638" spans="65:67" ht="18.75" customHeight="1">
      <c r="BM33638" s="1025"/>
      <c r="BO33638" s="43"/>
    </row>
    <row r="33639" spans="65:67" ht="18.75" customHeight="1">
      <c r="BM33639" s="1025"/>
      <c r="BO33639" s="43"/>
    </row>
    <row r="33640" spans="65:67" ht="18.75" customHeight="1">
      <c r="BM33640" s="1025"/>
      <c r="BO33640" s="43"/>
    </row>
    <row r="33641" spans="65:67" ht="18.75" customHeight="1">
      <c r="BM33641" s="1025"/>
      <c r="BO33641" s="43"/>
    </row>
    <row r="33642" spans="65:67" ht="18.75" customHeight="1">
      <c r="BM33642" s="1025"/>
      <c r="BO33642" s="43"/>
    </row>
    <row r="33643" spans="65:67" ht="18.75" customHeight="1">
      <c r="BM33643" s="1025"/>
      <c r="BO33643" s="43"/>
    </row>
    <row r="33644" spans="65:67" ht="18.75" customHeight="1">
      <c r="BM33644" s="1025"/>
      <c r="BO33644" s="43"/>
    </row>
    <row r="33645" spans="65:67" ht="18.75" customHeight="1">
      <c r="BM33645" s="1025"/>
      <c r="BO33645" s="43"/>
    </row>
    <row r="33646" spans="65:67" ht="18.75" customHeight="1">
      <c r="BM33646" s="1025"/>
      <c r="BO33646" s="43"/>
    </row>
    <row r="33647" spans="65:67" ht="18.75" customHeight="1">
      <c r="BM33647" s="1025"/>
      <c r="BO33647" s="43"/>
    </row>
    <row r="33648" spans="65:67" ht="18.75" customHeight="1">
      <c r="BM33648" s="1025"/>
      <c r="BO33648" s="43"/>
    </row>
    <row r="33649" spans="65:67" ht="18.75" customHeight="1">
      <c r="BM33649" s="1025"/>
      <c r="BO33649" s="43"/>
    </row>
    <row r="33650" spans="65:67" ht="18.75" customHeight="1">
      <c r="BM33650" s="1025"/>
      <c r="BO33650" s="43"/>
    </row>
    <row r="33651" spans="65:67" ht="18.75" customHeight="1">
      <c r="BM33651" s="1025"/>
      <c r="BO33651" s="43"/>
    </row>
    <row r="33652" spans="65:67" ht="18.75" customHeight="1">
      <c r="BM33652" s="1025"/>
      <c r="BO33652" s="43"/>
    </row>
    <row r="33653" spans="65:67" ht="18.75" customHeight="1">
      <c r="BM33653" s="1025"/>
      <c r="BO33653" s="43"/>
    </row>
    <row r="33654" spans="65:67" ht="18.75" customHeight="1">
      <c r="BM33654" s="1025"/>
      <c r="BO33654" s="43"/>
    </row>
    <row r="33655" spans="65:67" ht="18.75" customHeight="1">
      <c r="BM33655" s="1025"/>
      <c r="BO33655" s="43"/>
    </row>
    <row r="33656" spans="65:67" ht="18.75" customHeight="1">
      <c r="BM33656" s="1025"/>
      <c r="BO33656" s="43"/>
    </row>
    <row r="33657" spans="65:67" ht="18.75" customHeight="1">
      <c r="BM33657" s="1025"/>
      <c r="BO33657" s="43"/>
    </row>
    <row r="33658" spans="65:67" ht="18.75" customHeight="1">
      <c r="BM33658" s="1025"/>
      <c r="BO33658" s="43"/>
    </row>
    <row r="33659" spans="65:67" ht="18.75" customHeight="1">
      <c r="BM33659" s="1025"/>
      <c r="BO33659" s="43"/>
    </row>
    <row r="33660" spans="65:67" ht="18.75" customHeight="1">
      <c r="BM33660" s="1025"/>
      <c r="BO33660" s="43"/>
    </row>
    <row r="33661" spans="65:67" ht="18.75" customHeight="1">
      <c r="BM33661" s="1025"/>
      <c r="BO33661" s="43"/>
    </row>
    <row r="33662" spans="65:67" ht="18.75" customHeight="1">
      <c r="BM33662" s="1025"/>
      <c r="BO33662" s="43"/>
    </row>
    <row r="33663" spans="65:67" ht="18.75" customHeight="1">
      <c r="BM33663" s="1025"/>
      <c r="BO33663" s="43"/>
    </row>
    <row r="33664" spans="65:67" ht="18.75" customHeight="1">
      <c r="BM33664" s="1025"/>
      <c r="BO33664" s="43"/>
    </row>
    <row r="33665" spans="65:67" ht="18.75" customHeight="1">
      <c r="BM33665" s="1025"/>
      <c r="BO33665" s="43"/>
    </row>
    <row r="33666" spans="65:67" ht="18.75" customHeight="1">
      <c r="BM33666" s="1025"/>
      <c r="BO33666" s="43"/>
    </row>
    <row r="33667" spans="65:67" ht="18.75" customHeight="1">
      <c r="BM33667" s="1025"/>
      <c r="BO33667" s="43"/>
    </row>
    <row r="33668" spans="65:67" ht="18.75" customHeight="1">
      <c r="BM33668" s="1025"/>
      <c r="BO33668" s="43"/>
    </row>
    <row r="33669" spans="65:67" ht="18.75" customHeight="1">
      <c r="BM33669" s="1025"/>
      <c r="BO33669" s="43"/>
    </row>
    <row r="33670" spans="65:67" ht="18.75" customHeight="1">
      <c r="BM33670" s="1025"/>
      <c r="BO33670" s="43"/>
    </row>
    <row r="33671" spans="65:67" ht="18.75" customHeight="1">
      <c r="BM33671" s="1025"/>
      <c r="BO33671" s="43"/>
    </row>
    <row r="33672" spans="65:67" ht="18.75" customHeight="1">
      <c r="BM33672" s="1025"/>
      <c r="BO33672" s="43"/>
    </row>
    <row r="33673" spans="65:67" ht="18.75" customHeight="1">
      <c r="BM33673" s="1025"/>
      <c r="BO33673" s="43"/>
    </row>
    <row r="33674" spans="65:67" ht="18.75" customHeight="1">
      <c r="BM33674" s="1025"/>
      <c r="BO33674" s="43"/>
    </row>
    <row r="33675" spans="65:67" ht="18.75" customHeight="1">
      <c r="BM33675" s="1025"/>
      <c r="BO33675" s="43"/>
    </row>
    <row r="33676" spans="65:67" ht="18.75" customHeight="1">
      <c r="BM33676" s="1025"/>
      <c r="BO33676" s="43"/>
    </row>
    <row r="33677" spans="65:67" ht="18.75" customHeight="1">
      <c r="BM33677" s="1025"/>
      <c r="BO33677" s="43"/>
    </row>
    <row r="33678" spans="65:67" ht="18.75" customHeight="1">
      <c r="BM33678" s="1025"/>
      <c r="BO33678" s="43"/>
    </row>
    <row r="33679" spans="65:67" ht="18.75" customHeight="1">
      <c r="BM33679" s="1025"/>
      <c r="BO33679" s="43"/>
    </row>
    <row r="33680" spans="65:67" ht="18.75" customHeight="1">
      <c r="BM33680" s="1025"/>
      <c r="BO33680" s="43"/>
    </row>
    <row r="33681" spans="65:67" ht="18.75" customHeight="1">
      <c r="BM33681" s="1025"/>
      <c r="BO33681" s="43"/>
    </row>
    <row r="33682" spans="65:67" ht="18.75" customHeight="1">
      <c r="BM33682" s="1025"/>
      <c r="BO33682" s="43"/>
    </row>
    <row r="33683" spans="65:67" ht="18.75" customHeight="1">
      <c r="BM33683" s="1025"/>
      <c r="BO33683" s="43"/>
    </row>
    <row r="33684" spans="65:67" ht="18.75" customHeight="1">
      <c r="BM33684" s="1025"/>
      <c r="BO33684" s="43"/>
    </row>
    <row r="33685" spans="65:67" ht="18.75" customHeight="1">
      <c r="BM33685" s="1025"/>
      <c r="BO33685" s="43"/>
    </row>
    <row r="33686" spans="65:67" ht="18.75" customHeight="1">
      <c r="BM33686" s="1025"/>
      <c r="BO33686" s="43"/>
    </row>
    <row r="33687" spans="65:67" ht="18.75" customHeight="1">
      <c r="BM33687" s="1025"/>
      <c r="BO33687" s="43"/>
    </row>
    <row r="33688" spans="65:67" ht="18.75" customHeight="1">
      <c r="BM33688" s="1025"/>
      <c r="BO33688" s="43"/>
    </row>
    <row r="33689" spans="65:67" ht="18.75" customHeight="1">
      <c r="BM33689" s="1025"/>
      <c r="BO33689" s="43"/>
    </row>
    <row r="33690" spans="65:67" ht="18.75" customHeight="1">
      <c r="BM33690" s="1025"/>
      <c r="BO33690" s="43"/>
    </row>
    <row r="33691" spans="65:67" ht="18.75" customHeight="1">
      <c r="BM33691" s="1025"/>
      <c r="BO33691" s="43"/>
    </row>
    <row r="33692" spans="65:67" ht="18.75" customHeight="1">
      <c r="BM33692" s="1025"/>
      <c r="BO33692" s="43"/>
    </row>
    <row r="33693" spans="65:67" ht="18.75" customHeight="1">
      <c r="BM33693" s="1025"/>
      <c r="BO33693" s="43"/>
    </row>
    <row r="33694" spans="65:67" ht="18.75" customHeight="1">
      <c r="BM33694" s="1025"/>
      <c r="BO33694" s="43"/>
    </row>
    <row r="33695" spans="65:67" ht="18.75" customHeight="1">
      <c r="BM33695" s="1025"/>
      <c r="BO33695" s="43"/>
    </row>
    <row r="33696" spans="65:67" ht="18.75" customHeight="1">
      <c r="BM33696" s="1025"/>
      <c r="BO33696" s="43"/>
    </row>
    <row r="33697" spans="65:67" ht="18.75" customHeight="1">
      <c r="BM33697" s="1025"/>
      <c r="BO33697" s="43"/>
    </row>
    <row r="33698" spans="65:67" ht="18.75" customHeight="1">
      <c r="BM33698" s="1025"/>
      <c r="BO33698" s="43"/>
    </row>
    <row r="33699" spans="65:67" ht="18.75" customHeight="1">
      <c r="BM33699" s="1025"/>
      <c r="BO33699" s="43"/>
    </row>
    <row r="33700" spans="65:67" ht="18.75" customHeight="1">
      <c r="BM33700" s="1025"/>
      <c r="BO33700" s="43"/>
    </row>
    <row r="33701" spans="65:67" ht="18.75" customHeight="1">
      <c r="BM33701" s="1025"/>
      <c r="BO33701" s="43"/>
    </row>
    <row r="33702" spans="65:67" ht="18.75" customHeight="1">
      <c r="BM33702" s="1025"/>
      <c r="BO33702" s="43"/>
    </row>
    <row r="33703" spans="65:67" ht="18.75" customHeight="1">
      <c r="BM33703" s="1025"/>
      <c r="BO33703" s="43"/>
    </row>
    <row r="33704" spans="65:67" ht="18.75" customHeight="1">
      <c r="BM33704" s="1025"/>
      <c r="BO33704" s="43"/>
    </row>
    <row r="33705" spans="65:67" ht="18.75" customHeight="1">
      <c r="BM33705" s="1025"/>
      <c r="BO33705" s="43"/>
    </row>
    <row r="33706" spans="65:67" ht="18.75" customHeight="1">
      <c r="BM33706" s="1025"/>
      <c r="BO33706" s="43"/>
    </row>
    <row r="33707" spans="65:67" ht="18.75" customHeight="1">
      <c r="BM33707" s="1025"/>
      <c r="BO33707" s="43"/>
    </row>
    <row r="33708" spans="65:67" ht="18.75" customHeight="1">
      <c r="BM33708" s="1025"/>
      <c r="BO33708" s="43"/>
    </row>
    <row r="33709" spans="65:67" ht="18.75" customHeight="1">
      <c r="BM33709" s="1025"/>
      <c r="BO33709" s="43"/>
    </row>
    <row r="33710" spans="65:67" ht="18.75" customHeight="1">
      <c r="BM33710" s="1025"/>
      <c r="BO33710" s="43"/>
    </row>
    <row r="33711" spans="65:67" ht="18.75" customHeight="1">
      <c r="BM33711" s="1025"/>
      <c r="BO33711" s="43"/>
    </row>
    <row r="33712" spans="65:67" ht="18.75" customHeight="1">
      <c r="BM33712" s="1025"/>
      <c r="BO33712" s="43"/>
    </row>
    <row r="33713" spans="65:67" ht="18.75" customHeight="1">
      <c r="BM33713" s="1025"/>
      <c r="BO33713" s="43"/>
    </row>
    <row r="33714" spans="65:67" ht="18.75" customHeight="1">
      <c r="BM33714" s="1025"/>
      <c r="BO33714" s="43"/>
    </row>
    <row r="33715" spans="65:67" ht="18.75" customHeight="1">
      <c r="BM33715" s="1025"/>
      <c r="BO33715" s="43"/>
    </row>
    <row r="33716" spans="65:67" ht="18.75" customHeight="1">
      <c r="BM33716" s="1025"/>
      <c r="BO33716" s="43"/>
    </row>
    <row r="33717" spans="65:67" ht="18.75" customHeight="1">
      <c r="BM33717" s="1025"/>
      <c r="BO33717" s="43"/>
    </row>
    <row r="33718" spans="65:67" ht="18.75" customHeight="1">
      <c r="BM33718" s="1025"/>
      <c r="BO33718" s="43"/>
    </row>
    <row r="33719" spans="65:67" ht="18.75" customHeight="1">
      <c r="BM33719" s="1025"/>
      <c r="BO33719" s="43"/>
    </row>
    <row r="33720" spans="65:67" ht="18.75" customHeight="1">
      <c r="BM33720" s="1025"/>
      <c r="BO33720" s="43"/>
    </row>
    <row r="33721" spans="65:67" ht="18.75" customHeight="1">
      <c r="BM33721" s="1025"/>
      <c r="BO33721" s="43"/>
    </row>
    <row r="33722" spans="65:67" ht="18.75" customHeight="1">
      <c r="BM33722" s="1025"/>
      <c r="BO33722" s="43"/>
    </row>
    <row r="33723" spans="65:67" ht="18.75" customHeight="1">
      <c r="BM33723" s="1025"/>
      <c r="BO33723" s="43"/>
    </row>
    <row r="33724" spans="65:67" ht="18.75" customHeight="1">
      <c r="BM33724" s="1025"/>
      <c r="BO33724" s="43"/>
    </row>
    <row r="33725" spans="65:67" ht="18.75" customHeight="1">
      <c r="BM33725" s="1025"/>
      <c r="BO33725" s="43"/>
    </row>
    <row r="33726" spans="65:67" ht="18.75" customHeight="1">
      <c r="BM33726" s="1025"/>
      <c r="BO33726" s="43"/>
    </row>
    <row r="33727" spans="65:67" ht="18.75" customHeight="1">
      <c r="BM33727" s="1025"/>
      <c r="BO33727" s="43"/>
    </row>
    <row r="33728" spans="65:67" ht="18.75" customHeight="1">
      <c r="BM33728" s="1025"/>
      <c r="BO33728" s="43"/>
    </row>
    <row r="33729" spans="65:67" ht="18.75" customHeight="1">
      <c r="BM33729" s="1025"/>
      <c r="BO33729" s="43"/>
    </row>
    <row r="33730" spans="65:67" ht="18.75" customHeight="1">
      <c r="BM33730" s="1025"/>
      <c r="BO33730" s="43"/>
    </row>
    <row r="33731" spans="65:67" ht="18.75" customHeight="1">
      <c r="BM33731" s="1025"/>
      <c r="BO33731" s="43"/>
    </row>
    <row r="33732" spans="65:67" ht="18.75" customHeight="1">
      <c r="BM33732" s="1025"/>
      <c r="BO33732" s="43"/>
    </row>
    <row r="33733" spans="65:67" ht="18.75" customHeight="1">
      <c r="BM33733" s="1025"/>
      <c r="BO33733" s="43"/>
    </row>
    <row r="33734" spans="65:67" ht="18.75" customHeight="1">
      <c r="BM33734" s="1025"/>
      <c r="BO33734" s="43"/>
    </row>
    <row r="33735" spans="65:67" ht="18.75" customHeight="1">
      <c r="BM33735" s="1025"/>
      <c r="BO33735" s="43"/>
    </row>
    <row r="33736" spans="65:67" ht="18.75" customHeight="1">
      <c r="BM33736" s="1025"/>
      <c r="BO33736" s="43"/>
    </row>
    <row r="33737" spans="65:67" ht="18.75" customHeight="1">
      <c r="BM33737" s="1025"/>
      <c r="BO33737" s="43"/>
    </row>
    <row r="33738" spans="65:67" ht="18.75" customHeight="1">
      <c r="BM33738" s="1025"/>
      <c r="BO33738" s="43"/>
    </row>
    <row r="33739" spans="65:67" ht="18.75" customHeight="1">
      <c r="BM33739" s="1025"/>
      <c r="BO33739" s="43"/>
    </row>
    <row r="33740" spans="65:67" ht="18.75" customHeight="1">
      <c r="BM33740" s="1025"/>
      <c r="BO33740" s="43"/>
    </row>
    <row r="33741" spans="65:67" ht="18.75" customHeight="1">
      <c r="BM33741" s="1025"/>
      <c r="BO33741" s="43"/>
    </row>
    <row r="33742" spans="65:67" ht="18.75" customHeight="1">
      <c r="BM33742" s="1025"/>
      <c r="BO33742" s="43"/>
    </row>
    <row r="33743" spans="65:67" ht="18.75" customHeight="1">
      <c r="BM33743" s="1025"/>
      <c r="BO33743" s="43"/>
    </row>
    <row r="33744" spans="65:67" ht="18.75" customHeight="1">
      <c r="BM33744" s="1025"/>
      <c r="BO33744" s="43"/>
    </row>
    <row r="33745" spans="65:67" ht="18.75" customHeight="1">
      <c r="BM33745" s="1025"/>
      <c r="BO33745" s="43"/>
    </row>
    <row r="33746" spans="65:67" ht="18.75" customHeight="1">
      <c r="BM33746" s="1025"/>
      <c r="BO33746" s="43"/>
    </row>
    <row r="33747" spans="65:67" ht="18.75" customHeight="1">
      <c r="BM33747" s="1025"/>
      <c r="BO33747" s="43"/>
    </row>
    <row r="33748" spans="65:67" ht="18.75" customHeight="1">
      <c r="BM33748" s="1025"/>
      <c r="BO33748" s="43"/>
    </row>
    <row r="33749" spans="65:67" ht="18.75" customHeight="1">
      <c r="BM33749" s="1025"/>
      <c r="BO33749" s="43"/>
    </row>
    <row r="33750" spans="65:67" ht="18.75" customHeight="1">
      <c r="BM33750" s="1025"/>
      <c r="BO33750" s="43"/>
    </row>
    <row r="33751" spans="65:67" ht="18.75" customHeight="1">
      <c r="BM33751" s="1025"/>
      <c r="BO33751" s="43"/>
    </row>
    <row r="33752" spans="65:67" ht="18.75" customHeight="1">
      <c r="BM33752" s="1025"/>
      <c r="BO33752" s="43"/>
    </row>
    <row r="33753" spans="65:67" ht="18.75" customHeight="1">
      <c r="BM33753" s="1025"/>
      <c r="BO33753" s="43"/>
    </row>
    <row r="33754" spans="65:67" ht="18.75" customHeight="1">
      <c r="BM33754" s="1025"/>
      <c r="BO33754" s="43"/>
    </row>
    <row r="33755" spans="65:67" ht="18.75" customHeight="1">
      <c r="BM33755" s="1025"/>
      <c r="BO33755" s="43"/>
    </row>
    <row r="33756" spans="65:67" ht="18.75" customHeight="1">
      <c r="BM33756" s="1025"/>
      <c r="BO33756" s="43"/>
    </row>
    <row r="33757" spans="65:67" ht="18.75" customHeight="1">
      <c r="BM33757" s="1025"/>
      <c r="BO33757" s="43"/>
    </row>
    <row r="33758" spans="65:67" ht="18.75" customHeight="1">
      <c r="BM33758" s="1025"/>
      <c r="BO33758" s="43"/>
    </row>
    <row r="33759" spans="65:67" ht="18.75" customHeight="1">
      <c r="BM33759" s="1025"/>
      <c r="BO33759" s="43"/>
    </row>
    <row r="33760" spans="65:67" ht="18.75" customHeight="1">
      <c r="BM33760" s="1025"/>
      <c r="BO33760" s="43"/>
    </row>
    <row r="33761" spans="65:67" ht="18.75" customHeight="1">
      <c r="BM33761" s="1025"/>
      <c r="BO33761" s="43"/>
    </row>
    <row r="33762" spans="65:67" ht="18.75" customHeight="1">
      <c r="BM33762" s="1025"/>
      <c r="BO33762" s="43"/>
    </row>
    <row r="33763" spans="65:67" ht="18.75" customHeight="1">
      <c r="BM33763" s="1025"/>
      <c r="BO33763" s="43"/>
    </row>
    <row r="33764" spans="65:67" ht="18.75" customHeight="1">
      <c r="BM33764" s="1025"/>
      <c r="BO33764" s="43"/>
    </row>
    <row r="33765" spans="65:67" ht="18.75" customHeight="1">
      <c r="BM33765" s="1025"/>
      <c r="BO33765" s="43"/>
    </row>
    <row r="33766" spans="65:67" ht="18.75" customHeight="1">
      <c r="BM33766" s="1025"/>
      <c r="BO33766" s="43"/>
    </row>
    <row r="33767" spans="65:67" ht="18.75" customHeight="1">
      <c r="BM33767" s="1025"/>
      <c r="BO33767" s="43"/>
    </row>
    <row r="33768" spans="65:67" ht="18.75" customHeight="1">
      <c r="BM33768" s="1025"/>
      <c r="BO33768" s="43"/>
    </row>
    <row r="33769" spans="65:67" ht="18.75" customHeight="1">
      <c r="BM33769" s="1025"/>
      <c r="BO33769" s="43"/>
    </row>
    <row r="33770" spans="65:67" ht="18.75" customHeight="1">
      <c r="BM33770" s="1025"/>
      <c r="BO33770" s="43"/>
    </row>
    <row r="33771" spans="65:67" ht="18.75" customHeight="1">
      <c r="BM33771" s="1025"/>
      <c r="BO33771" s="43"/>
    </row>
    <row r="33772" spans="65:67" ht="18.75" customHeight="1">
      <c r="BM33772" s="1025"/>
      <c r="BO33772" s="43"/>
    </row>
    <row r="33773" spans="65:67" ht="18.75" customHeight="1">
      <c r="BM33773" s="1025"/>
      <c r="BO33773" s="43"/>
    </row>
    <row r="33774" spans="65:67" ht="18.75" customHeight="1">
      <c r="BM33774" s="1025"/>
      <c r="BO33774" s="43"/>
    </row>
    <row r="33775" spans="65:67" ht="18.75" customHeight="1">
      <c r="BM33775" s="1025"/>
      <c r="BO33775" s="43"/>
    </row>
    <row r="33776" spans="65:67" ht="18.75" customHeight="1">
      <c r="BM33776" s="1025"/>
      <c r="BO33776" s="43"/>
    </row>
    <row r="33777" spans="65:67" ht="18.75" customHeight="1">
      <c r="BM33777" s="1025"/>
      <c r="BO33777" s="43"/>
    </row>
    <row r="33778" spans="65:67" ht="18.75" customHeight="1">
      <c r="BM33778" s="1025"/>
      <c r="BO33778" s="43"/>
    </row>
    <row r="33779" spans="65:67" ht="18.75" customHeight="1">
      <c r="BM33779" s="1025"/>
      <c r="BO33779" s="43"/>
    </row>
    <row r="33780" spans="65:67" ht="18.75" customHeight="1">
      <c r="BM33780" s="1025"/>
      <c r="BO33780" s="43"/>
    </row>
    <row r="33781" spans="65:67" ht="18.75" customHeight="1">
      <c r="BM33781" s="1025"/>
      <c r="BO33781" s="43"/>
    </row>
    <row r="33782" spans="65:67" ht="18.75" customHeight="1">
      <c r="BM33782" s="1025"/>
      <c r="BO33782" s="43"/>
    </row>
    <row r="33783" spans="65:67" ht="18.75" customHeight="1">
      <c r="BM33783" s="1025"/>
      <c r="BO33783" s="43"/>
    </row>
    <row r="33784" spans="65:67" ht="18.75" customHeight="1">
      <c r="BM33784" s="1025"/>
      <c r="BO33784" s="43"/>
    </row>
    <row r="33785" spans="65:67" ht="18.75" customHeight="1">
      <c r="BM33785" s="1025"/>
      <c r="BO33785" s="43"/>
    </row>
    <row r="33786" spans="65:67" ht="18.75" customHeight="1">
      <c r="BM33786" s="1025"/>
      <c r="BO33786" s="43"/>
    </row>
    <row r="33787" spans="65:67" ht="18.75" customHeight="1">
      <c r="BM33787" s="1025"/>
      <c r="BO33787" s="43"/>
    </row>
    <row r="33788" spans="65:67" ht="18.75" customHeight="1">
      <c r="BM33788" s="1025"/>
      <c r="BO33788" s="43"/>
    </row>
    <row r="33789" spans="65:67" ht="18.75" customHeight="1">
      <c r="BM33789" s="1025"/>
      <c r="BO33789" s="43"/>
    </row>
    <row r="33790" spans="65:67" ht="18.75" customHeight="1">
      <c r="BM33790" s="1025"/>
      <c r="BO33790" s="43"/>
    </row>
    <row r="33791" spans="65:67" ht="18.75" customHeight="1">
      <c r="BM33791" s="1025"/>
      <c r="BO33791" s="43"/>
    </row>
    <row r="33792" spans="65:67" ht="18.75" customHeight="1">
      <c r="BM33792" s="1025"/>
      <c r="BO33792" s="43"/>
    </row>
    <row r="33793" spans="65:67" ht="18.75" customHeight="1">
      <c r="BM33793" s="1025"/>
      <c r="BO33793" s="43"/>
    </row>
    <row r="33794" spans="65:67" ht="18.75" customHeight="1">
      <c r="BM33794" s="1025"/>
      <c r="BO33794" s="43"/>
    </row>
    <row r="33795" spans="65:67" ht="18.75" customHeight="1">
      <c r="BM33795" s="1025"/>
      <c r="BO33795" s="43"/>
    </row>
    <row r="33796" spans="65:67" ht="18.75" customHeight="1">
      <c r="BM33796" s="1025"/>
      <c r="BO33796" s="43"/>
    </row>
    <row r="33797" spans="65:67" ht="18.75" customHeight="1">
      <c r="BM33797" s="1025"/>
      <c r="BO33797" s="43"/>
    </row>
    <row r="33798" spans="65:67" ht="18.75" customHeight="1">
      <c r="BM33798" s="1025"/>
      <c r="BO33798" s="43"/>
    </row>
    <row r="33799" spans="65:67" ht="18.75" customHeight="1">
      <c r="BM33799" s="1025"/>
      <c r="BO33799" s="43"/>
    </row>
    <row r="33800" spans="65:67" ht="18.75" customHeight="1">
      <c r="BM33800" s="1025"/>
      <c r="BO33800" s="43"/>
    </row>
    <row r="33801" spans="65:67" ht="18.75" customHeight="1">
      <c r="BM33801" s="1025"/>
      <c r="BO33801" s="43"/>
    </row>
    <row r="33802" spans="65:67" ht="18.75" customHeight="1">
      <c r="BM33802" s="1025"/>
      <c r="BO33802" s="43"/>
    </row>
    <row r="33803" spans="65:67" ht="18.75" customHeight="1">
      <c r="BM33803" s="1025"/>
      <c r="BO33803" s="43"/>
    </row>
    <row r="33804" spans="65:67" ht="18.75" customHeight="1">
      <c r="BM33804" s="1025"/>
      <c r="BO33804" s="43"/>
    </row>
    <row r="33805" spans="65:67" ht="18.75" customHeight="1">
      <c r="BM33805" s="1025"/>
      <c r="BO33805" s="43"/>
    </row>
    <row r="33806" spans="65:67" ht="18.75" customHeight="1">
      <c r="BM33806" s="1025"/>
      <c r="BO33806" s="43"/>
    </row>
    <row r="33807" spans="65:67" ht="18.75" customHeight="1">
      <c r="BM33807" s="1025"/>
      <c r="BO33807" s="43"/>
    </row>
    <row r="33808" spans="65:67" ht="18.75" customHeight="1">
      <c r="BM33808" s="1025"/>
      <c r="BO33808" s="43"/>
    </row>
    <row r="33809" spans="65:67" ht="18.75" customHeight="1">
      <c r="BM33809" s="1025"/>
      <c r="BO33809" s="43"/>
    </row>
    <row r="33810" spans="65:67" ht="18.75" customHeight="1">
      <c r="BM33810" s="1025"/>
      <c r="BO33810" s="43"/>
    </row>
    <row r="33811" spans="65:67" ht="18.75" customHeight="1">
      <c r="BM33811" s="1025"/>
      <c r="BO33811" s="43"/>
    </row>
    <row r="33812" spans="65:67" ht="18.75" customHeight="1">
      <c r="BM33812" s="1025"/>
      <c r="BO33812" s="43"/>
    </row>
    <row r="33813" spans="65:67" ht="18.75" customHeight="1">
      <c r="BM33813" s="1025"/>
      <c r="BO33813" s="43"/>
    </row>
    <row r="33814" spans="65:67" ht="18.75" customHeight="1">
      <c r="BM33814" s="1025"/>
      <c r="BO33814" s="43"/>
    </row>
    <row r="33815" spans="65:67" ht="18.75" customHeight="1">
      <c r="BM33815" s="1025"/>
      <c r="BO33815" s="43"/>
    </row>
    <row r="33816" spans="65:67" ht="18.75" customHeight="1">
      <c r="BM33816" s="1025"/>
      <c r="BO33816" s="43"/>
    </row>
    <row r="33817" spans="65:67" ht="18.75" customHeight="1">
      <c r="BM33817" s="1025"/>
      <c r="BO33817" s="43"/>
    </row>
    <row r="33818" spans="65:67" ht="18.75" customHeight="1">
      <c r="BM33818" s="1025"/>
      <c r="BO33818" s="43"/>
    </row>
    <row r="33819" spans="65:67" ht="18.75" customHeight="1">
      <c r="BM33819" s="1025"/>
      <c r="BO33819" s="43"/>
    </row>
    <row r="33820" spans="65:67" ht="18.75" customHeight="1">
      <c r="BM33820" s="1025"/>
      <c r="BO33820" s="43"/>
    </row>
    <row r="33821" spans="65:67" ht="18.75" customHeight="1">
      <c r="BM33821" s="1025"/>
      <c r="BO33821" s="43"/>
    </row>
    <row r="33822" spans="65:67" ht="18.75" customHeight="1">
      <c r="BM33822" s="1025"/>
      <c r="BO33822" s="43"/>
    </row>
    <row r="33823" spans="65:67" ht="18.75" customHeight="1">
      <c r="BM33823" s="1025"/>
      <c r="BO33823" s="43"/>
    </row>
    <row r="33824" spans="65:67" ht="18.75" customHeight="1">
      <c r="BM33824" s="1025"/>
      <c r="BO33824" s="43"/>
    </row>
    <row r="33825" spans="65:67" ht="18.75" customHeight="1">
      <c r="BM33825" s="1025"/>
      <c r="BO33825" s="43"/>
    </row>
    <row r="33826" spans="65:67" ht="18.75" customHeight="1">
      <c r="BM33826" s="1025"/>
      <c r="BO33826" s="43"/>
    </row>
    <row r="33827" spans="65:67" ht="18.75" customHeight="1">
      <c r="BM33827" s="1025"/>
      <c r="BO33827" s="43"/>
    </row>
    <row r="33828" spans="65:67" ht="18.75" customHeight="1">
      <c r="BM33828" s="1025"/>
      <c r="BO33828" s="43"/>
    </row>
    <row r="33829" spans="65:67" ht="18.75" customHeight="1">
      <c r="BM33829" s="1025"/>
      <c r="BO33829" s="43"/>
    </row>
    <row r="33830" spans="65:67" ht="18.75" customHeight="1">
      <c r="BM33830" s="1025"/>
      <c r="BO33830" s="43"/>
    </row>
    <row r="33831" spans="65:67" ht="18.75" customHeight="1">
      <c r="BM33831" s="1025"/>
      <c r="BO33831" s="43"/>
    </row>
    <row r="33832" spans="65:67" ht="18.75" customHeight="1">
      <c r="BM33832" s="1025"/>
      <c r="BO33832" s="43"/>
    </row>
    <row r="33833" spans="65:67" ht="18.75" customHeight="1">
      <c r="BM33833" s="1025"/>
      <c r="BO33833" s="43"/>
    </row>
    <row r="33834" spans="65:67" ht="18.75" customHeight="1">
      <c r="BM33834" s="1025"/>
      <c r="BO33834" s="43"/>
    </row>
    <row r="33835" spans="65:67" ht="18.75" customHeight="1">
      <c r="BM33835" s="1025"/>
      <c r="BO33835" s="43"/>
    </row>
    <row r="33836" spans="65:67" ht="18.75" customHeight="1">
      <c r="BM33836" s="1025"/>
      <c r="BO33836" s="43"/>
    </row>
    <row r="33837" spans="65:67" ht="18.75" customHeight="1">
      <c r="BM33837" s="1025"/>
      <c r="BO33837" s="43"/>
    </row>
    <row r="33838" spans="65:67" ht="18.75" customHeight="1">
      <c r="BM33838" s="1025"/>
      <c r="BO33838" s="43"/>
    </row>
    <row r="33839" spans="65:67" ht="18.75" customHeight="1">
      <c r="BM33839" s="1025"/>
      <c r="BO33839" s="43"/>
    </row>
    <row r="33840" spans="65:67" ht="18.75" customHeight="1">
      <c r="BM33840" s="1025"/>
      <c r="BO33840" s="43"/>
    </row>
    <row r="33841" spans="65:67" ht="18.75" customHeight="1">
      <c r="BM33841" s="1025"/>
      <c r="BO33841" s="43"/>
    </row>
    <row r="33842" spans="65:67" ht="18.75" customHeight="1">
      <c r="BM33842" s="1025"/>
      <c r="BO33842" s="43"/>
    </row>
    <row r="33843" spans="65:67" ht="18.75" customHeight="1">
      <c r="BM33843" s="1025"/>
      <c r="BO33843" s="43"/>
    </row>
    <row r="33844" spans="65:67" ht="18.75" customHeight="1">
      <c r="BM33844" s="1025"/>
      <c r="BO33844" s="43"/>
    </row>
    <row r="33845" spans="65:67" ht="18.75" customHeight="1">
      <c r="BM33845" s="1025"/>
      <c r="BO33845" s="43"/>
    </row>
    <row r="33846" spans="65:67" ht="18.75" customHeight="1">
      <c r="BM33846" s="1025"/>
      <c r="BO33846" s="43"/>
    </row>
    <row r="33847" spans="65:67" ht="18.75" customHeight="1">
      <c r="BM33847" s="1025"/>
      <c r="BO33847" s="43"/>
    </row>
    <row r="33848" spans="65:67" ht="18.75" customHeight="1">
      <c r="BM33848" s="1025"/>
      <c r="BO33848" s="43"/>
    </row>
    <row r="33849" spans="65:67" ht="18.75" customHeight="1">
      <c r="BM33849" s="1025"/>
      <c r="BO33849" s="43"/>
    </row>
    <row r="33850" spans="65:67" ht="18.75" customHeight="1">
      <c r="BM33850" s="1025"/>
      <c r="BO33850" s="43"/>
    </row>
    <row r="33851" spans="65:67" ht="18.75" customHeight="1">
      <c r="BM33851" s="1025"/>
      <c r="BO33851" s="43"/>
    </row>
    <row r="33852" spans="65:67" ht="18.75" customHeight="1">
      <c r="BM33852" s="1025"/>
      <c r="BO33852" s="43"/>
    </row>
    <row r="33853" spans="65:67" ht="18.75" customHeight="1">
      <c r="BM33853" s="1025"/>
      <c r="BO33853" s="43"/>
    </row>
    <row r="33854" spans="65:67" ht="18.75" customHeight="1">
      <c r="BM33854" s="1025"/>
      <c r="BO33854" s="43"/>
    </row>
    <row r="33855" spans="65:67" ht="18.75" customHeight="1">
      <c r="BM33855" s="1025"/>
      <c r="BO33855" s="43"/>
    </row>
    <row r="33856" spans="65:67" ht="18.75" customHeight="1">
      <c r="BM33856" s="1025"/>
      <c r="BO33856" s="43"/>
    </row>
    <row r="33857" spans="65:67" ht="18.75" customHeight="1">
      <c r="BM33857" s="1025"/>
      <c r="BO33857" s="43"/>
    </row>
    <row r="33858" spans="65:67" ht="18.75" customHeight="1">
      <c r="BM33858" s="1025"/>
      <c r="BO33858" s="43"/>
    </row>
    <row r="33859" spans="65:67" ht="18.75" customHeight="1">
      <c r="BM33859" s="1025"/>
      <c r="BO33859" s="43"/>
    </row>
    <row r="33860" spans="65:67" ht="18.75" customHeight="1">
      <c r="BM33860" s="1025"/>
      <c r="BO33860" s="43"/>
    </row>
    <row r="33861" spans="65:67" ht="18.75" customHeight="1">
      <c r="BM33861" s="1025"/>
      <c r="BO33861" s="43"/>
    </row>
    <row r="33862" spans="65:67" ht="18.75" customHeight="1">
      <c r="BM33862" s="1025"/>
      <c r="BO33862" s="43"/>
    </row>
    <row r="33863" spans="65:67" ht="18.75" customHeight="1">
      <c r="BM33863" s="1025"/>
      <c r="BO33863" s="43"/>
    </row>
    <row r="33864" spans="65:67" ht="18.75" customHeight="1">
      <c r="BM33864" s="1025"/>
      <c r="BO33864" s="43"/>
    </row>
    <row r="33865" spans="65:67" ht="18.75" customHeight="1">
      <c r="BM33865" s="1025"/>
      <c r="BO33865" s="43"/>
    </row>
    <row r="33866" spans="65:67" ht="18.75" customHeight="1">
      <c r="BM33866" s="1025"/>
      <c r="BO33866" s="43"/>
    </row>
    <row r="33867" spans="65:67" ht="18.75" customHeight="1">
      <c r="BM33867" s="1025"/>
      <c r="BO33867" s="43"/>
    </row>
    <row r="33868" spans="65:67" ht="18.75" customHeight="1">
      <c r="BM33868" s="1025"/>
      <c r="BO33868" s="43"/>
    </row>
    <row r="33869" spans="65:67" ht="18.75" customHeight="1">
      <c r="BM33869" s="1025"/>
      <c r="BO33869" s="43"/>
    </row>
    <row r="33870" spans="65:67" ht="18.75" customHeight="1">
      <c r="BM33870" s="1025"/>
      <c r="BO33870" s="43"/>
    </row>
    <row r="33871" spans="65:67" ht="18.75" customHeight="1">
      <c r="BM33871" s="1025"/>
      <c r="BO33871" s="43"/>
    </row>
    <row r="33872" spans="65:67" ht="18.75" customHeight="1">
      <c r="BM33872" s="1025"/>
      <c r="BO33872" s="43"/>
    </row>
    <row r="33873" spans="65:67" ht="18.75" customHeight="1">
      <c r="BM33873" s="1025"/>
      <c r="BO33873" s="43"/>
    </row>
    <row r="33874" spans="65:67" ht="18.75" customHeight="1">
      <c r="BM33874" s="1025"/>
      <c r="BO33874" s="43"/>
    </row>
    <row r="33875" spans="65:67" ht="18.75" customHeight="1">
      <c r="BM33875" s="1025"/>
      <c r="BO33875" s="43"/>
    </row>
    <row r="33876" spans="65:67" ht="18.75" customHeight="1">
      <c r="BM33876" s="1025"/>
      <c r="BO33876" s="43"/>
    </row>
    <row r="33877" spans="65:67" ht="18.75" customHeight="1">
      <c r="BM33877" s="1025"/>
      <c r="BO33877" s="43"/>
    </row>
    <row r="33878" spans="65:67" ht="18.75" customHeight="1">
      <c r="BM33878" s="1025"/>
      <c r="BO33878" s="43"/>
    </row>
    <row r="33879" spans="65:67" ht="18.75" customHeight="1">
      <c r="BM33879" s="1025"/>
      <c r="BO33879" s="43"/>
    </row>
    <row r="33880" spans="65:67" ht="18.75" customHeight="1">
      <c r="BM33880" s="1025"/>
      <c r="BO33880" s="43"/>
    </row>
    <row r="33881" spans="65:67" ht="18.75" customHeight="1">
      <c r="BM33881" s="1025"/>
      <c r="BO33881" s="43"/>
    </row>
    <row r="33882" spans="65:67" ht="18.75" customHeight="1">
      <c r="BM33882" s="1025"/>
      <c r="BO33882" s="43"/>
    </row>
    <row r="33883" spans="65:67" ht="18.75" customHeight="1">
      <c r="BM33883" s="1025"/>
      <c r="BO33883" s="43"/>
    </row>
    <row r="33884" spans="65:67" ht="18.75" customHeight="1">
      <c r="BM33884" s="1025"/>
      <c r="BO33884" s="43"/>
    </row>
    <row r="33885" spans="65:67" ht="18.75" customHeight="1">
      <c r="BM33885" s="1025"/>
      <c r="BO33885" s="43"/>
    </row>
    <row r="33886" spans="65:67" ht="18.75" customHeight="1">
      <c r="BM33886" s="1025"/>
      <c r="BO33886" s="43"/>
    </row>
    <row r="33887" spans="65:67" ht="18.75" customHeight="1">
      <c r="BM33887" s="1025"/>
      <c r="BO33887" s="43"/>
    </row>
    <row r="33888" spans="65:67" ht="18.75" customHeight="1">
      <c r="BM33888" s="1025"/>
      <c r="BO33888" s="43"/>
    </row>
    <row r="33889" spans="65:67" ht="18.75" customHeight="1">
      <c r="BM33889" s="1025"/>
      <c r="BO33889" s="43"/>
    </row>
    <row r="33890" spans="65:67" ht="18.75" customHeight="1">
      <c r="BM33890" s="1025"/>
      <c r="BO33890" s="43"/>
    </row>
    <row r="33891" spans="65:67" ht="18.75" customHeight="1">
      <c r="BM33891" s="1025"/>
      <c r="BO33891" s="43"/>
    </row>
    <row r="33892" spans="65:67" ht="18.75" customHeight="1">
      <c r="BM33892" s="1025"/>
      <c r="BO33892" s="43"/>
    </row>
    <row r="33893" spans="65:67" ht="18.75" customHeight="1">
      <c r="BM33893" s="1025"/>
      <c r="BO33893" s="43"/>
    </row>
    <row r="33894" spans="65:67" ht="18.75" customHeight="1">
      <c r="BM33894" s="1025"/>
      <c r="BO33894" s="43"/>
    </row>
    <row r="33895" spans="65:67" ht="18.75" customHeight="1">
      <c r="BM33895" s="1025"/>
      <c r="BO33895" s="43"/>
    </row>
    <row r="33896" spans="65:67" ht="18.75" customHeight="1">
      <c r="BM33896" s="1025"/>
      <c r="BO33896" s="43"/>
    </row>
    <row r="33897" spans="65:67" ht="18.75" customHeight="1">
      <c r="BM33897" s="1025"/>
      <c r="BO33897" s="43"/>
    </row>
    <row r="33898" spans="65:67" ht="18.75" customHeight="1">
      <c r="BM33898" s="1025"/>
      <c r="BO33898" s="43"/>
    </row>
    <row r="33899" spans="65:67" ht="18.75" customHeight="1">
      <c r="BM33899" s="1025"/>
      <c r="BO33899" s="43"/>
    </row>
    <row r="33900" spans="65:67" ht="18.75" customHeight="1">
      <c r="BM33900" s="1025"/>
      <c r="BO33900" s="43"/>
    </row>
    <row r="33901" spans="65:67" ht="18.75" customHeight="1">
      <c r="BM33901" s="1025"/>
      <c r="BO33901" s="43"/>
    </row>
    <row r="33902" spans="65:67" ht="18.75" customHeight="1">
      <c r="BM33902" s="1025"/>
      <c r="BO33902" s="43"/>
    </row>
    <row r="33903" spans="65:67" ht="18.75" customHeight="1">
      <c r="BM33903" s="1025"/>
      <c r="BO33903" s="43"/>
    </row>
    <row r="33904" spans="65:67" ht="18.75" customHeight="1">
      <c r="BM33904" s="1025"/>
      <c r="BO33904" s="43"/>
    </row>
    <row r="33905" spans="65:67" ht="18.75" customHeight="1">
      <c r="BM33905" s="1025"/>
      <c r="BO33905" s="43"/>
    </row>
    <row r="33906" spans="65:67" ht="18.75" customHeight="1">
      <c r="BM33906" s="1025"/>
      <c r="BO33906" s="43"/>
    </row>
    <row r="33907" spans="65:67" ht="18.75" customHeight="1">
      <c r="BM33907" s="1025"/>
      <c r="BO33907" s="43"/>
    </row>
    <row r="33908" spans="65:67" ht="18.75" customHeight="1">
      <c r="BM33908" s="1025"/>
      <c r="BO33908" s="43"/>
    </row>
    <row r="33909" spans="65:67" ht="18.75" customHeight="1">
      <c r="BM33909" s="1025"/>
      <c r="BO33909" s="43"/>
    </row>
    <row r="33910" spans="65:67" ht="18.75" customHeight="1">
      <c r="BM33910" s="1025"/>
      <c r="BO33910" s="43"/>
    </row>
    <row r="33911" spans="65:67" ht="18.75" customHeight="1">
      <c r="BM33911" s="1025"/>
      <c r="BO33911" s="43"/>
    </row>
    <row r="33912" spans="65:67" ht="18.75" customHeight="1">
      <c r="BM33912" s="1025"/>
      <c r="BO33912" s="43"/>
    </row>
    <row r="33913" spans="65:67" ht="18.75" customHeight="1">
      <c r="BM33913" s="1025"/>
      <c r="BO33913" s="43"/>
    </row>
    <row r="33914" spans="65:67" ht="18.75" customHeight="1">
      <c r="BM33914" s="1025"/>
      <c r="BO33914" s="43"/>
    </row>
    <row r="33915" spans="65:67" ht="18.75" customHeight="1">
      <c r="BM33915" s="1025"/>
      <c r="BO33915" s="43"/>
    </row>
    <row r="33916" spans="65:67" ht="18.75" customHeight="1">
      <c r="BM33916" s="1025"/>
      <c r="BO33916" s="43"/>
    </row>
    <row r="33917" spans="65:67" ht="18.75" customHeight="1">
      <c r="BM33917" s="1025"/>
      <c r="BO33917" s="43"/>
    </row>
    <row r="33918" spans="65:67" ht="18.75" customHeight="1">
      <c r="BM33918" s="1025"/>
      <c r="BO33918" s="43"/>
    </row>
    <row r="33919" spans="65:67" ht="18.75" customHeight="1">
      <c r="BM33919" s="1025"/>
      <c r="BO33919" s="43"/>
    </row>
    <row r="33920" spans="65:67" ht="18.75" customHeight="1">
      <c r="BM33920" s="1025"/>
      <c r="BO33920" s="43"/>
    </row>
    <row r="33921" spans="65:67" ht="18.75" customHeight="1">
      <c r="BM33921" s="1025"/>
      <c r="BO33921" s="43"/>
    </row>
    <row r="33922" spans="65:67" ht="18.75" customHeight="1">
      <c r="BM33922" s="1025"/>
      <c r="BO33922" s="43"/>
    </row>
    <row r="33923" spans="65:67" ht="18.75" customHeight="1">
      <c r="BM33923" s="1025"/>
      <c r="BO33923" s="43"/>
    </row>
    <row r="33924" spans="65:67" ht="18.75" customHeight="1">
      <c r="BM33924" s="1025"/>
      <c r="BO33924" s="43"/>
    </row>
    <row r="33925" spans="65:67" ht="18.75" customHeight="1">
      <c r="BM33925" s="1025"/>
      <c r="BO33925" s="43"/>
    </row>
    <row r="33926" spans="65:67" ht="18.75" customHeight="1">
      <c r="BM33926" s="1025"/>
      <c r="BO33926" s="43"/>
    </row>
    <row r="33927" spans="65:67" ht="18.75" customHeight="1">
      <c r="BM33927" s="1025"/>
      <c r="BO33927" s="43"/>
    </row>
    <row r="33928" spans="65:67" ht="18.75" customHeight="1">
      <c r="BM33928" s="1025"/>
      <c r="BO33928" s="43"/>
    </row>
    <row r="33929" spans="65:67" ht="18.75" customHeight="1">
      <c r="BM33929" s="1025"/>
      <c r="BO33929" s="43"/>
    </row>
    <row r="33930" spans="65:67" ht="18.75" customHeight="1">
      <c r="BM33930" s="1025"/>
      <c r="BO33930" s="43"/>
    </row>
    <row r="33931" spans="65:67" ht="18.75" customHeight="1">
      <c r="BM33931" s="1025"/>
      <c r="BO33931" s="43"/>
    </row>
    <row r="33932" spans="65:67" ht="18.75" customHeight="1">
      <c r="BM33932" s="1025"/>
      <c r="BO33932" s="43"/>
    </row>
    <row r="33933" spans="65:67" ht="18.75" customHeight="1">
      <c r="BM33933" s="1025"/>
      <c r="BO33933" s="43"/>
    </row>
    <row r="33934" spans="65:67" ht="18.75" customHeight="1">
      <c r="BM33934" s="1025"/>
      <c r="BO33934" s="43"/>
    </row>
    <row r="33935" spans="65:67" ht="18.75" customHeight="1">
      <c r="BM33935" s="1025"/>
      <c r="BO33935" s="43"/>
    </row>
    <row r="33936" spans="65:67" ht="18.75" customHeight="1">
      <c r="BM33936" s="1025"/>
      <c r="BO33936" s="43"/>
    </row>
    <row r="33937" spans="65:67" ht="18.75" customHeight="1">
      <c r="BM33937" s="1025"/>
      <c r="BO33937" s="43"/>
    </row>
    <row r="33938" spans="65:67" ht="18.75" customHeight="1">
      <c r="BM33938" s="1025"/>
      <c r="BO33938" s="43"/>
    </row>
    <row r="33939" spans="65:67" ht="18.75" customHeight="1">
      <c r="BM33939" s="1025"/>
      <c r="BO33939" s="43"/>
    </row>
    <row r="33940" spans="65:67" ht="18.75" customHeight="1">
      <c r="BM33940" s="1025"/>
      <c r="BO33940" s="43"/>
    </row>
    <row r="33941" spans="65:67" ht="18.75" customHeight="1">
      <c r="BM33941" s="1025"/>
      <c r="BO33941" s="43"/>
    </row>
    <row r="33942" spans="65:67" ht="18.75" customHeight="1">
      <c r="BM33942" s="1025"/>
      <c r="BO33942" s="43"/>
    </row>
    <row r="33943" spans="65:67" ht="18.75" customHeight="1">
      <c r="BM33943" s="1025"/>
      <c r="BO33943" s="43"/>
    </row>
    <row r="33944" spans="65:67" ht="18.75" customHeight="1">
      <c r="BM33944" s="1025"/>
      <c r="BO33944" s="43"/>
    </row>
    <row r="33945" spans="65:67" ht="18.75" customHeight="1">
      <c r="BM33945" s="1025"/>
      <c r="BO33945" s="43"/>
    </row>
    <row r="33946" spans="65:67" ht="18.75" customHeight="1">
      <c r="BM33946" s="1025"/>
      <c r="BO33946" s="43"/>
    </row>
    <row r="33947" spans="65:67" ht="18.75" customHeight="1">
      <c r="BM33947" s="1025"/>
      <c r="BO33947" s="43"/>
    </row>
    <row r="33948" spans="65:67" ht="18.75" customHeight="1">
      <c r="BM33948" s="1025"/>
      <c r="BO33948" s="43"/>
    </row>
    <row r="33949" spans="65:67" ht="18.75" customHeight="1">
      <c r="BM33949" s="1025"/>
      <c r="BO33949" s="43"/>
    </row>
    <row r="33950" spans="65:67" ht="18.75" customHeight="1">
      <c r="BM33950" s="1025"/>
      <c r="BO33950" s="43"/>
    </row>
    <row r="33951" spans="65:67" ht="18.75" customHeight="1">
      <c r="BM33951" s="1025"/>
      <c r="BO33951" s="43"/>
    </row>
    <row r="33952" spans="65:67" ht="18.75" customHeight="1">
      <c r="BM33952" s="1025"/>
      <c r="BO33952" s="43"/>
    </row>
    <row r="33953" spans="65:67" ht="18.75" customHeight="1">
      <c r="BM33953" s="1025"/>
      <c r="BO33953" s="43"/>
    </row>
    <row r="33954" spans="65:67" ht="18.75" customHeight="1">
      <c r="BM33954" s="1025"/>
      <c r="BO33954" s="43"/>
    </row>
    <row r="33955" spans="65:67" ht="18.75" customHeight="1">
      <c r="BM33955" s="1025"/>
      <c r="BO33955" s="43"/>
    </row>
    <row r="33956" spans="65:67" ht="18.75" customHeight="1">
      <c r="BM33956" s="1025"/>
      <c r="BO33956" s="43"/>
    </row>
    <row r="33957" spans="65:67" ht="18.75" customHeight="1">
      <c r="BM33957" s="1025"/>
      <c r="BO33957" s="43"/>
    </row>
    <row r="33958" spans="65:67" ht="18.75" customHeight="1">
      <c r="BM33958" s="1025"/>
      <c r="BO33958" s="43"/>
    </row>
    <row r="33959" spans="65:67" ht="18.75" customHeight="1">
      <c r="BM33959" s="1025"/>
      <c r="BO33959" s="43"/>
    </row>
    <row r="33960" spans="65:67" ht="18.75" customHeight="1">
      <c r="BM33960" s="1025"/>
      <c r="BO33960" s="43"/>
    </row>
    <row r="33961" spans="65:67" ht="18.75" customHeight="1">
      <c r="BM33961" s="1025"/>
      <c r="BO33961" s="43"/>
    </row>
    <row r="33962" spans="65:67" ht="18.75" customHeight="1">
      <c r="BM33962" s="1025"/>
      <c r="BO33962" s="43"/>
    </row>
    <row r="33963" spans="65:67" ht="18.75" customHeight="1">
      <c r="BM33963" s="1025"/>
      <c r="BO33963" s="43"/>
    </row>
    <row r="33964" spans="65:67" ht="18.75" customHeight="1">
      <c r="BM33964" s="1025"/>
      <c r="BO33964" s="43"/>
    </row>
    <row r="33965" spans="65:67" ht="18.75" customHeight="1">
      <c r="BM33965" s="1025"/>
      <c r="BO33965" s="43"/>
    </row>
    <row r="33966" spans="65:67" ht="18.75" customHeight="1">
      <c r="BM33966" s="1025"/>
      <c r="BO33966" s="43"/>
    </row>
    <row r="33967" spans="65:67" ht="18.75" customHeight="1">
      <c r="BM33967" s="1025"/>
      <c r="BO33967" s="43"/>
    </row>
    <row r="33968" spans="65:67" ht="18.75" customHeight="1">
      <c r="BM33968" s="1025"/>
      <c r="BO33968" s="43"/>
    </row>
    <row r="33969" spans="65:67" ht="18.75" customHeight="1">
      <c r="BM33969" s="1025"/>
      <c r="BO33969" s="43"/>
    </row>
    <row r="33970" spans="65:67" ht="18.75" customHeight="1">
      <c r="BM33970" s="1025"/>
      <c r="BO33970" s="43"/>
    </row>
    <row r="33971" spans="65:67" ht="18.75" customHeight="1">
      <c r="BM33971" s="1025"/>
      <c r="BO33971" s="43"/>
    </row>
    <row r="33972" spans="65:67" ht="18.75" customHeight="1">
      <c r="BM33972" s="1025"/>
      <c r="BO33972" s="43"/>
    </row>
    <row r="33973" spans="65:67" ht="18.75" customHeight="1">
      <c r="BM33973" s="1025"/>
      <c r="BO33973" s="43"/>
    </row>
    <row r="33974" spans="65:67" ht="18.75" customHeight="1">
      <c r="BM33974" s="1025"/>
      <c r="BO33974" s="43"/>
    </row>
    <row r="33975" spans="65:67" ht="18.75" customHeight="1">
      <c r="BM33975" s="1025"/>
      <c r="BO33975" s="43"/>
    </row>
    <row r="33976" spans="65:67" ht="18.75" customHeight="1">
      <c r="BM33976" s="1025"/>
      <c r="BO33976" s="43"/>
    </row>
    <row r="33977" spans="65:67" ht="18.75" customHeight="1">
      <c r="BM33977" s="1025"/>
      <c r="BO33977" s="43"/>
    </row>
    <row r="33978" spans="65:67" ht="18.75" customHeight="1">
      <c r="BM33978" s="1025"/>
      <c r="BO33978" s="43"/>
    </row>
    <row r="33979" spans="65:67" ht="18.75" customHeight="1">
      <c r="BM33979" s="1025"/>
      <c r="BO33979" s="43"/>
    </row>
    <row r="33980" spans="65:67" ht="18.75" customHeight="1">
      <c r="BM33980" s="1025"/>
      <c r="BO33980" s="43"/>
    </row>
    <row r="33981" spans="65:67" ht="18.75" customHeight="1">
      <c r="BM33981" s="1025"/>
      <c r="BO33981" s="43"/>
    </row>
    <row r="33982" spans="65:67" ht="18.75" customHeight="1">
      <c r="BM33982" s="1025"/>
      <c r="BO33982" s="43"/>
    </row>
    <row r="33983" spans="65:67" ht="18.75" customHeight="1">
      <c r="BM33983" s="1025"/>
      <c r="BO33983" s="43"/>
    </row>
    <row r="33984" spans="65:67" ht="18.75" customHeight="1">
      <c r="BM33984" s="1025"/>
      <c r="BO33984" s="43"/>
    </row>
    <row r="33985" spans="65:67" ht="18.75" customHeight="1">
      <c r="BM33985" s="1025"/>
      <c r="BO33985" s="43"/>
    </row>
    <row r="33986" spans="65:67" ht="18.75" customHeight="1">
      <c r="BM33986" s="1025"/>
      <c r="BO33986" s="43"/>
    </row>
    <row r="33987" spans="65:67" ht="18.75" customHeight="1">
      <c r="BM33987" s="1025"/>
      <c r="BO33987" s="43"/>
    </row>
    <row r="33988" spans="65:67" ht="18.75" customHeight="1">
      <c r="BM33988" s="1025"/>
      <c r="BO33988" s="43"/>
    </row>
    <row r="33989" spans="65:67" ht="18.75" customHeight="1">
      <c r="BM33989" s="1025"/>
      <c r="BO33989" s="43"/>
    </row>
    <row r="33990" spans="65:67" ht="18.75" customHeight="1">
      <c r="BM33990" s="1025"/>
      <c r="BO33990" s="43"/>
    </row>
    <row r="33991" spans="65:67" ht="18.75" customHeight="1">
      <c r="BM33991" s="1025"/>
      <c r="BO33991" s="43"/>
    </row>
    <row r="33992" spans="65:67" ht="18.75" customHeight="1">
      <c r="BM33992" s="1025"/>
      <c r="BO33992" s="43"/>
    </row>
    <row r="33993" spans="65:67" ht="18.75" customHeight="1">
      <c r="BM33993" s="1025"/>
      <c r="BO33993" s="43"/>
    </row>
    <row r="33994" spans="65:67" ht="18.75" customHeight="1">
      <c r="BM33994" s="1025"/>
      <c r="BO33994" s="43"/>
    </row>
    <row r="33995" spans="65:67" ht="18.75" customHeight="1">
      <c r="BM33995" s="1025"/>
      <c r="BO33995" s="43"/>
    </row>
    <row r="33996" spans="65:67" ht="18.75" customHeight="1">
      <c r="BM33996" s="1025"/>
      <c r="BO33996" s="43"/>
    </row>
    <row r="33997" spans="65:67" ht="18.75" customHeight="1">
      <c r="BM33997" s="1025"/>
      <c r="BO33997" s="43"/>
    </row>
    <row r="33998" spans="65:67" ht="18.75" customHeight="1">
      <c r="BM33998" s="1025"/>
      <c r="BO33998" s="43"/>
    </row>
    <row r="33999" spans="65:67" ht="18.75" customHeight="1">
      <c r="BM33999" s="1025"/>
      <c r="BO33999" s="43"/>
    </row>
    <row r="34000" spans="65:67" ht="18.75" customHeight="1">
      <c r="BM34000" s="1025"/>
      <c r="BO34000" s="43"/>
    </row>
    <row r="34001" spans="65:67" ht="18.75" customHeight="1">
      <c r="BM34001" s="1025"/>
      <c r="BO34001" s="43"/>
    </row>
    <row r="34002" spans="65:67" ht="18.75" customHeight="1">
      <c r="BM34002" s="1025"/>
      <c r="BO34002" s="43"/>
    </row>
    <row r="34003" spans="65:67" ht="18.75" customHeight="1">
      <c r="BM34003" s="1025"/>
      <c r="BO34003" s="43"/>
    </row>
    <row r="34004" spans="65:67" ht="18.75" customHeight="1">
      <c r="BM34004" s="1025"/>
      <c r="BO34004" s="43"/>
    </row>
    <row r="34005" spans="65:67" ht="18.75" customHeight="1">
      <c r="BM34005" s="1025"/>
      <c r="BO34005" s="43"/>
    </row>
    <row r="34006" spans="65:67" ht="18.75" customHeight="1">
      <c r="BM34006" s="1025"/>
      <c r="BO34006" s="43"/>
    </row>
    <row r="34007" spans="65:67" ht="18.75" customHeight="1">
      <c r="BM34007" s="1025"/>
      <c r="BO34007" s="43"/>
    </row>
    <row r="34008" spans="65:67" ht="18.75" customHeight="1">
      <c r="BM34008" s="1025"/>
      <c r="BO34008" s="43"/>
    </row>
    <row r="34009" spans="65:67" ht="18.75" customHeight="1">
      <c r="BM34009" s="1025"/>
      <c r="BO34009" s="43"/>
    </row>
    <row r="34010" spans="65:67" ht="18.75" customHeight="1">
      <c r="BM34010" s="1025"/>
      <c r="BO34010" s="43"/>
    </row>
    <row r="34011" spans="65:67" ht="18.75" customHeight="1">
      <c r="BM34011" s="1025"/>
      <c r="BO34011" s="43"/>
    </row>
    <row r="34012" spans="65:67" ht="18.75" customHeight="1">
      <c r="BM34012" s="1025"/>
      <c r="BO34012" s="43"/>
    </row>
    <row r="34013" spans="65:67" ht="18.75" customHeight="1">
      <c r="BM34013" s="1025"/>
      <c r="BO34013" s="43"/>
    </row>
    <row r="34014" spans="65:67" ht="18.75" customHeight="1">
      <c r="BM34014" s="1025"/>
      <c r="BO34014" s="43"/>
    </row>
    <row r="34015" spans="65:67" ht="18.75" customHeight="1">
      <c r="BM34015" s="1025"/>
      <c r="BO34015" s="43"/>
    </row>
    <row r="34016" spans="65:67" ht="18.75" customHeight="1">
      <c r="BM34016" s="1025"/>
      <c r="BO34016" s="43"/>
    </row>
    <row r="34017" spans="65:67" ht="18.75" customHeight="1">
      <c r="BM34017" s="1025"/>
      <c r="BO34017" s="43"/>
    </row>
    <row r="34018" spans="65:67" ht="18.75" customHeight="1">
      <c r="BM34018" s="1025"/>
      <c r="BO34018" s="43"/>
    </row>
    <row r="34019" spans="65:67" ht="18.75" customHeight="1">
      <c r="BM34019" s="1025"/>
      <c r="BO34019" s="43"/>
    </row>
    <row r="34020" spans="65:67" ht="18.75" customHeight="1">
      <c r="BM34020" s="1025"/>
      <c r="BO34020" s="43"/>
    </row>
    <row r="34021" spans="65:67" ht="18.75" customHeight="1">
      <c r="BM34021" s="1025"/>
      <c r="BO34021" s="43"/>
    </row>
    <row r="34022" spans="65:67" ht="18.75" customHeight="1">
      <c r="BM34022" s="1025"/>
      <c r="BO34022" s="43"/>
    </row>
    <row r="34023" spans="65:67" ht="18.75" customHeight="1">
      <c r="BM34023" s="1025"/>
      <c r="BO34023" s="43"/>
    </row>
    <row r="34024" spans="65:67" ht="18.75" customHeight="1">
      <c r="BM34024" s="1025"/>
      <c r="BO34024" s="43"/>
    </row>
    <row r="34025" spans="65:67" ht="18.75" customHeight="1">
      <c r="BM34025" s="1025"/>
      <c r="BO34025" s="43"/>
    </row>
    <row r="34026" spans="65:67" ht="18.75" customHeight="1">
      <c r="BM34026" s="1025"/>
      <c r="BO34026" s="43"/>
    </row>
    <row r="34027" spans="65:67" ht="18.75" customHeight="1">
      <c r="BM34027" s="1025"/>
      <c r="BO34027" s="43"/>
    </row>
    <row r="34028" spans="65:67" ht="18.75" customHeight="1">
      <c r="BM34028" s="1025"/>
      <c r="BO34028" s="43"/>
    </row>
    <row r="34029" spans="65:67" ht="18.75" customHeight="1">
      <c r="BM34029" s="1025"/>
      <c r="BO34029" s="43"/>
    </row>
    <row r="34030" spans="65:67" ht="18.75" customHeight="1">
      <c r="BM34030" s="1025"/>
      <c r="BO34030" s="43"/>
    </row>
    <row r="34031" spans="65:67" ht="18.75" customHeight="1">
      <c r="BM34031" s="1025"/>
      <c r="BO34031" s="43"/>
    </row>
    <row r="34032" spans="65:67" ht="18.75" customHeight="1">
      <c r="BM34032" s="1025"/>
      <c r="BO34032" s="43"/>
    </row>
    <row r="34033" spans="65:67" ht="18.75" customHeight="1">
      <c r="BM34033" s="1025"/>
      <c r="BO34033" s="43"/>
    </row>
    <row r="34034" spans="65:67" ht="18.75" customHeight="1">
      <c r="BM34034" s="1025"/>
      <c r="BO34034" s="43"/>
    </row>
    <row r="34035" spans="65:67" ht="18.75" customHeight="1">
      <c r="BM34035" s="1025"/>
      <c r="BO34035" s="43"/>
    </row>
    <row r="34036" spans="65:67" ht="18.75" customHeight="1">
      <c r="BM34036" s="1025"/>
      <c r="BO34036" s="43"/>
    </row>
    <row r="34037" spans="65:67" ht="18.75" customHeight="1">
      <c r="BM34037" s="1025"/>
      <c r="BO34037" s="43"/>
    </row>
    <row r="34038" spans="65:67" ht="18.75" customHeight="1">
      <c r="BM34038" s="1025"/>
      <c r="BO34038" s="43"/>
    </row>
    <row r="34039" spans="65:67" ht="18.75" customHeight="1">
      <c r="BM34039" s="1025"/>
      <c r="BO34039" s="43"/>
    </row>
    <row r="34040" spans="65:67" ht="18.75" customHeight="1">
      <c r="BM34040" s="1025"/>
      <c r="BO34040" s="43"/>
    </row>
    <row r="34041" spans="65:67" ht="18.75" customHeight="1">
      <c r="BM34041" s="1025"/>
      <c r="BO34041" s="43"/>
    </row>
    <row r="34042" spans="65:67" ht="18.75" customHeight="1">
      <c r="BM34042" s="1025"/>
      <c r="BO34042" s="43"/>
    </row>
    <row r="34043" spans="65:67" ht="18.75" customHeight="1">
      <c r="BM34043" s="1025"/>
      <c r="BO34043" s="43"/>
    </row>
    <row r="34044" spans="65:67" ht="18.75" customHeight="1">
      <c r="BM34044" s="1025"/>
      <c r="BO34044" s="43"/>
    </row>
    <row r="34045" spans="65:67" ht="18.75" customHeight="1">
      <c r="BM34045" s="1025"/>
      <c r="BO34045" s="43"/>
    </row>
    <row r="34046" spans="65:67" ht="18.75" customHeight="1">
      <c r="BM34046" s="1025"/>
      <c r="BO34046" s="43"/>
    </row>
    <row r="34047" spans="65:67" ht="18.75" customHeight="1">
      <c r="BM34047" s="1025"/>
      <c r="BO34047" s="43"/>
    </row>
    <row r="34048" spans="65:67" ht="18.75" customHeight="1">
      <c r="BM34048" s="1025"/>
      <c r="BO34048" s="43"/>
    </row>
    <row r="34049" spans="65:67" ht="18.75" customHeight="1">
      <c r="BM34049" s="1025"/>
      <c r="BO34049" s="43"/>
    </row>
    <row r="34050" spans="65:67" ht="18.75" customHeight="1">
      <c r="BM34050" s="1025"/>
      <c r="BO34050" s="43"/>
    </row>
    <row r="34051" spans="65:67" ht="18.75" customHeight="1">
      <c r="BM34051" s="1025"/>
      <c r="BO34051" s="43"/>
    </row>
    <row r="34052" spans="65:67" ht="18.75" customHeight="1">
      <c r="BM34052" s="1025"/>
      <c r="BO34052" s="43"/>
    </row>
    <row r="34053" spans="65:67" ht="18.75" customHeight="1">
      <c r="BM34053" s="1025"/>
      <c r="BO34053" s="43"/>
    </row>
    <row r="34054" spans="65:67" ht="18.75" customHeight="1">
      <c r="BM34054" s="1025"/>
      <c r="BO34054" s="43"/>
    </row>
    <row r="34055" spans="65:67" ht="18.75" customHeight="1">
      <c r="BM34055" s="1025"/>
      <c r="BO34055" s="43"/>
    </row>
    <row r="34056" spans="65:67" ht="18.75" customHeight="1">
      <c r="BM34056" s="1025"/>
      <c r="BO34056" s="43"/>
    </row>
    <row r="34057" spans="65:67" ht="18.75" customHeight="1">
      <c r="BM34057" s="1025"/>
      <c r="BO34057" s="43"/>
    </row>
    <row r="34058" spans="65:67" ht="18.75" customHeight="1">
      <c r="BM34058" s="1025"/>
      <c r="BO34058" s="43"/>
    </row>
    <row r="34059" spans="65:67" ht="18.75" customHeight="1">
      <c r="BM34059" s="1025"/>
      <c r="BO34059" s="43"/>
    </row>
    <row r="34060" spans="65:67" ht="18.75" customHeight="1">
      <c r="BM34060" s="1025"/>
      <c r="BO34060" s="43"/>
    </row>
    <row r="34061" spans="65:67" ht="18.75" customHeight="1">
      <c r="BM34061" s="1025"/>
      <c r="BO34061" s="43"/>
    </row>
    <row r="34062" spans="65:67" ht="18.75" customHeight="1">
      <c r="BM34062" s="1025"/>
      <c r="BO34062" s="43"/>
    </row>
    <row r="34063" spans="65:67" ht="18.75" customHeight="1">
      <c r="BM34063" s="1025"/>
      <c r="BO34063" s="43"/>
    </row>
    <row r="34064" spans="65:67" ht="18.75" customHeight="1">
      <c r="BM34064" s="1025"/>
      <c r="BO34064" s="43"/>
    </row>
    <row r="34065" spans="65:67" ht="18.75" customHeight="1">
      <c r="BM34065" s="1025"/>
      <c r="BO34065" s="43"/>
    </row>
    <row r="34066" spans="65:67" ht="18.75" customHeight="1">
      <c r="BM34066" s="1025"/>
      <c r="BO34066" s="43"/>
    </row>
    <row r="34067" spans="65:67" ht="18.75" customHeight="1">
      <c r="BM34067" s="1025"/>
      <c r="BO34067" s="43"/>
    </row>
    <row r="34068" spans="65:67" ht="18.75" customHeight="1">
      <c r="BM34068" s="1025"/>
      <c r="BO34068" s="43"/>
    </row>
    <row r="34069" spans="65:67" ht="18.75" customHeight="1">
      <c r="BM34069" s="1025"/>
      <c r="BO34069" s="43"/>
    </row>
    <row r="34070" spans="65:67" ht="18.75" customHeight="1">
      <c r="BM34070" s="1025"/>
      <c r="BO34070" s="43"/>
    </row>
    <row r="34071" spans="65:67" ht="18.75" customHeight="1">
      <c r="BM34071" s="1025"/>
      <c r="BO34071" s="43"/>
    </row>
    <row r="34072" spans="65:67" ht="18.75" customHeight="1">
      <c r="BM34072" s="1025"/>
      <c r="BO34072" s="43"/>
    </row>
    <row r="34073" spans="65:67" ht="18.75" customHeight="1">
      <c r="BM34073" s="1025"/>
      <c r="BO34073" s="43"/>
    </row>
    <row r="34074" spans="65:67" ht="18.75" customHeight="1">
      <c r="BM34074" s="1025"/>
      <c r="BO34074" s="43"/>
    </row>
    <row r="34075" spans="65:67" ht="18.75" customHeight="1">
      <c r="BM34075" s="1025"/>
      <c r="BO34075" s="43"/>
    </row>
    <row r="34076" spans="65:67" ht="18.75" customHeight="1">
      <c r="BM34076" s="1025"/>
      <c r="BO34076" s="43"/>
    </row>
    <row r="34077" spans="65:67" ht="18.75" customHeight="1">
      <c r="BM34077" s="1025"/>
      <c r="BO34077" s="43"/>
    </row>
    <row r="34078" spans="65:67" ht="18.75" customHeight="1">
      <c r="BM34078" s="1025"/>
      <c r="BO34078" s="43"/>
    </row>
    <row r="34079" spans="65:67" ht="18.75" customHeight="1">
      <c r="BM34079" s="1025"/>
      <c r="BO34079" s="43"/>
    </row>
    <row r="34080" spans="65:67" ht="18.75" customHeight="1">
      <c r="BM34080" s="1025"/>
      <c r="BO34080" s="43"/>
    </row>
    <row r="34081" spans="65:67" ht="18.75" customHeight="1">
      <c r="BM34081" s="1025"/>
      <c r="BO34081" s="43"/>
    </row>
    <row r="34082" spans="65:67" ht="18.75" customHeight="1">
      <c r="BM34082" s="1025"/>
      <c r="BO34082" s="43"/>
    </row>
    <row r="34083" spans="65:67" ht="18.75" customHeight="1">
      <c r="BM34083" s="1025"/>
      <c r="BO34083" s="43"/>
    </row>
    <row r="34084" spans="65:67" ht="18.75" customHeight="1">
      <c r="BM34084" s="1025"/>
      <c r="BO34084" s="43"/>
    </row>
    <row r="34085" spans="65:67" ht="18.75" customHeight="1">
      <c r="BM34085" s="1025"/>
      <c r="BO34085" s="43"/>
    </row>
    <row r="34086" spans="65:67" ht="18.75" customHeight="1">
      <c r="BM34086" s="1025"/>
      <c r="BO34086" s="43"/>
    </row>
    <row r="34087" spans="65:67" ht="18.75" customHeight="1">
      <c r="BM34087" s="1025"/>
      <c r="BO34087" s="43"/>
    </row>
    <row r="34088" spans="65:67" ht="18.75" customHeight="1">
      <c r="BM34088" s="1025"/>
      <c r="BO34088" s="43"/>
    </row>
    <row r="34089" spans="65:67" ht="18.75" customHeight="1">
      <c r="BM34089" s="1025"/>
      <c r="BO34089" s="43"/>
    </row>
    <row r="34090" spans="65:67" ht="18.75" customHeight="1">
      <c r="BM34090" s="1025"/>
      <c r="BO34090" s="43"/>
    </row>
    <row r="34091" spans="65:67" ht="18.75" customHeight="1">
      <c r="BM34091" s="1025"/>
      <c r="BO34091" s="43"/>
    </row>
    <row r="34092" spans="65:67" ht="18.75" customHeight="1">
      <c r="BM34092" s="1025"/>
      <c r="BO34092" s="43"/>
    </row>
    <row r="34093" spans="65:67" ht="18.75" customHeight="1">
      <c r="BM34093" s="1025"/>
      <c r="BO34093" s="43"/>
    </row>
    <row r="34094" spans="65:67" ht="18.75" customHeight="1">
      <c r="BM34094" s="1025"/>
      <c r="BO34094" s="43"/>
    </row>
    <row r="34095" spans="65:67" ht="18.75" customHeight="1">
      <c r="BM34095" s="1025"/>
      <c r="BO34095" s="43"/>
    </row>
    <row r="34096" spans="65:67" ht="18.75" customHeight="1">
      <c r="BM34096" s="1025"/>
      <c r="BO34096" s="43"/>
    </row>
    <row r="34097" spans="65:67" ht="18.75" customHeight="1">
      <c r="BM34097" s="1025"/>
      <c r="BO34097" s="43"/>
    </row>
    <row r="34098" spans="65:67" ht="18.75" customHeight="1">
      <c r="BM34098" s="1025"/>
      <c r="BO34098" s="43"/>
    </row>
    <row r="34099" spans="65:67" ht="18.75" customHeight="1">
      <c r="BM34099" s="1025"/>
      <c r="BO34099" s="43"/>
    </row>
    <row r="34100" spans="65:67" ht="18.75" customHeight="1">
      <c r="BM34100" s="1025"/>
      <c r="BO34100" s="43"/>
    </row>
    <row r="34101" spans="65:67" ht="18.75" customHeight="1">
      <c r="BM34101" s="1025"/>
      <c r="BO34101" s="43"/>
    </row>
    <row r="34102" spans="65:67" ht="18.75" customHeight="1">
      <c r="BM34102" s="1025"/>
      <c r="BO34102" s="43"/>
    </row>
    <row r="34103" spans="65:67" ht="18.75" customHeight="1">
      <c r="BM34103" s="1025"/>
      <c r="BO34103" s="43"/>
    </row>
    <row r="34104" spans="65:67" ht="18.75" customHeight="1">
      <c r="BM34104" s="1025"/>
      <c r="BO34104" s="43"/>
    </row>
    <row r="34105" spans="65:67" ht="18.75" customHeight="1">
      <c r="BM34105" s="1025"/>
      <c r="BO34105" s="43"/>
    </row>
    <row r="34106" spans="65:67" ht="18.75" customHeight="1">
      <c r="BM34106" s="1025"/>
      <c r="BO34106" s="43"/>
    </row>
    <row r="34107" spans="65:67" ht="18.75" customHeight="1">
      <c r="BM34107" s="1025"/>
      <c r="BO34107" s="43"/>
    </row>
    <row r="34108" spans="65:67" ht="18.75" customHeight="1">
      <c r="BM34108" s="1025"/>
      <c r="BO34108" s="43"/>
    </row>
    <row r="34109" spans="65:67" ht="18.75" customHeight="1">
      <c r="BM34109" s="1025"/>
      <c r="BO34109" s="43"/>
    </row>
    <row r="34110" spans="65:67" ht="18.75" customHeight="1">
      <c r="BM34110" s="1025"/>
      <c r="BO34110" s="43"/>
    </row>
    <row r="34111" spans="65:67" ht="18.75" customHeight="1">
      <c r="BM34111" s="1025"/>
      <c r="BO34111" s="43"/>
    </row>
    <row r="34112" spans="65:67" ht="18.75" customHeight="1">
      <c r="BM34112" s="1025"/>
      <c r="BO34112" s="43"/>
    </row>
    <row r="34113" spans="65:67" ht="18.75" customHeight="1">
      <c r="BM34113" s="1025"/>
      <c r="BO34113" s="43"/>
    </row>
    <row r="34114" spans="65:67" ht="18.75" customHeight="1">
      <c r="BM34114" s="1025"/>
      <c r="BO34114" s="43"/>
    </row>
    <row r="34115" spans="65:67" ht="18.75" customHeight="1">
      <c r="BM34115" s="1025"/>
      <c r="BO34115" s="43"/>
    </row>
    <row r="34116" spans="65:67" ht="18.75" customHeight="1">
      <c r="BM34116" s="1025"/>
      <c r="BO34116" s="43"/>
    </row>
    <row r="34117" spans="65:67" ht="18.75" customHeight="1">
      <c r="BM34117" s="1025"/>
      <c r="BO34117" s="43"/>
    </row>
    <row r="34118" spans="65:67" ht="18.75" customHeight="1">
      <c r="BM34118" s="1025"/>
      <c r="BO34118" s="43"/>
    </row>
    <row r="34119" spans="65:67" ht="18.75" customHeight="1">
      <c r="BM34119" s="1025"/>
      <c r="BO34119" s="43"/>
    </row>
    <row r="34120" spans="65:67" ht="18.75" customHeight="1">
      <c r="BM34120" s="1025"/>
      <c r="BO34120" s="43"/>
    </row>
    <row r="34121" spans="65:67" ht="18.75" customHeight="1">
      <c r="BM34121" s="1025"/>
      <c r="BO34121" s="43"/>
    </row>
    <row r="34122" spans="65:67" ht="18.75" customHeight="1">
      <c r="BM34122" s="1025"/>
      <c r="BO34122" s="43"/>
    </row>
    <row r="34123" spans="65:67" ht="18.75" customHeight="1">
      <c r="BM34123" s="1025"/>
      <c r="BO34123" s="43"/>
    </row>
    <row r="34124" spans="65:67" ht="18.75" customHeight="1">
      <c r="BM34124" s="1025"/>
      <c r="BO34124" s="43"/>
    </row>
    <row r="34125" spans="65:67" ht="18.75" customHeight="1">
      <c r="BM34125" s="1025"/>
      <c r="BO34125" s="43"/>
    </row>
    <row r="34126" spans="65:67" ht="18.75" customHeight="1">
      <c r="BM34126" s="1025"/>
      <c r="BO34126" s="43"/>
    </row>
    <row r="34127" spans="65:67" ht="18.75" customHeight="1">
      <c r="BM34127" s="1025"/>
      <c r="BO34127" s="43"/>
    </row>
    <row r="34128" spans="65:67" ht="18.75" customHeight="1">
      <c r="BM34128" s="1025"/>
      <c r="BO34128" s="43"/>
    </row>
    <row r="34129" spans="65:67" ht="18.75" customHeight="1">
      <c r="BM34129" s="1025"/>
      <c r="BO34129" s="43"/>
    </row>
    <row r="34130" spans="65:67" ht="18.75" customHeight="1">
      <c r="BM34130" s="1025"/>
      <c r="BO34130" s="43"/>
    </row>
    <row r="34131" spans="65:67" ht="18.75" customHeight="1">
      <c r="BM34131" s="1025"/>
      <c r="BO34131" s="43"/>
    </row>
    <row r="34132" spans="65:67" ht="18.75" customHeight="1">
      <c r="BM34132" s="1025"/>
      <c r="BO34132" s="43"/>
    </row>
    <row r="34133" spans="65:67" ht="18.75" customHeight="1">
      <c r="BM34133" s="1025"/>
      <c r="BO34133" s="43"/>
    </row>
    <row r="34134" spans="65:67" ht="18.75" customHeight="1">
      <c r="BM34134" s="1025"/>
      <c r="BO34134" s="43"/>
    </row>
    <row r="34135" spans="65:67" ht="18.75" customHeight="1">
      <c r="BM34135" s="1025"/>
      <c r="BO34135" s="43"/>
    </row>
    <row r="34136" spans="65:67" ht="18.75" customHeight="1">
      <c r="BM34136" s="1025"/>
      <c r="BO34136" s="43"/>
    </row>
    <row r="34137" spans="65:67" ht="18.75" customHeight="1">
      <c r="BM34137" s="1025"/>
      <c r="BO34137" s="43"/>
    </row>
    <row r="34138" spans="65:67" ht="18.75" customHeight="1">
      <c r="BM34138" s="1025"/>
      <c r="BO34138" s="43"/>
    </row>
    <row r="34139" spans="65:67" ht="18.75" customHeight="1">
      <c r="BM34139" s="1025"/>
      <c r="BO34139" s="43"/>
    </row>
    <row r="34140" spans="65:67" ht="18.75" customHeight="1">
      <c r="BM34140" s="1025"/>
      <c r="BO34140" s="43"/>
    </row>
    <row r="34141" spans="65:67" ht="18.75" customHeight="1">
      <c r="BM34141" s="1025"/>
      <c r="BO34141" s="43"/>
    </row>
    <row r="34142" spans="65:67" ht="18.75" customHeight="1">
      <c r="BM34142" s="1025"/>
      <c r="BO34142" s="43"/>
    </row>
    <row r="34143" spans="65:67" ht="18.75" customHeight="1">
      <c r="BM34143" s="1025"/>
      <c r="BO34143" s="43"/>
    </row>
    <row r="34144" spans="65:67" ht="18.75" customHeight="1">
      <c r="BM34144" s="1025"/>
      <c r="BO34144" s="43"/>
    </row>
    <row r="34145" spans="65:67" ht="18.75" customHeight="1">
      <c r="BM34145" s="1025"/>
      <c r="BO34145" s="43"/>
    </row>
    <row r="34146" spans="65:67" ht="18.75" customHeight="1">
      <c r="BM34146" s="1025"/>
      <c r="BO34146" s="43"/>
    </row>
    <row r="34147" spans="65:67" ht="18.75" customHeight="1">
      <c r="BM34147" s="1025"/>
      <c r="BO34147" s="43"/>
    </row>
    <row r="34148" spans="65:67" ht="18.75" customHeight="1">
      <c r="BM34148" s="1025"/>
      <c r="BO34148" s="43"/>
    </row>
    <row r="34149" spans="65:67" ht="18.75" customHeight="1">
      <c r="BM34149" s="1025"/>
      <c r="BO34149" s="43"/>
    </row>
    <row r="34150" spans="65:67" ht="18.75" customHeight="1">
      <c r="BM34150" s="1025"/>
      <c r="BO34150" s="43"/>
    </row>
    <row r="34151" spans="65:67" ht="18.75" customHeight="1">
      <c r="BM34151" s="1025"/>
      <c r="BO34151" s="43"/>
    </row>
    <row r="34152" spans="65:67" ht="18.75" customHeight="1">
      <c r="BM34152" s="1025"/>
      <c r="BO34152" s="43"/>
    </row>
    <row r="34153" spans="65:67" ht="18.75" customHeight="1">
      <c r="BM34153" s="1025"/>
      <c r="BO34153" s="43"/>
    </row>
    <row r="34154" spans="65:67" ht="18.75" customHeight="1">
      <c r="BM34154" s="1025"/>
      <c r="BO34154" s="43"/>
    </row>
    <row r="34155" spans="65:67" ht="18.75" customHeight="1">
      <c r="BM34155" s="1025"/>
      <c r="BO34155" s="43"/>
    </row>
    <row r="34156" spans="65:67" ht="18.75" customHeight="1">
      <c r="BM34156" s="1025"/>
      <c r="BO34156" s="43"/>
    </row>
    <row r="34157" spans="65:67" ht="18.75" customHeight="1">
      <c r="BM34157" s="1025"/>
      <c r="BO34157" s="43"/>
    </row>
    <row r="34158" spans="65:67" ht="18.75" customHeight="1">
      <c r="BM34158" s="1025"/>
      <c r="BO34158" s="43"/>
    </row>
    <row r="34159" spans="65:67" ht="18.75" customHeight="1">
      <c r="BM34159" s="1025"/>
      <c r="BO34159" s="43"/>
    </row>
    <row r="34160" spans="65:67" ht="18.75" customHeight="1">
      <c r="BM34160" s="1025"/>
      <c r="BO34160" s="43"/>
    </row>
    <row r="34161" spans="65:67" ht="18.75" customHeight="1">
      <c r="BM34161" s="1025"/>
      <c r="BO34161" s="43"/>
    </row>
    <row r="34162" spans="65:67" ht="18.75" customHeight="1">
      <c r="BM34162" s="1025"/>
      <c r="BO34162" s="43"/>
    </row>
    <row r="34163" spans="65:67" ht="18.75" customHeight="1">
      <c r="BM34163" s="1025"/>
      <c r="BO34163" s="43"/>
    </row>
    <row r="34164" spans="65:67" ht="18.75" customHeight="1">
      <c r="BM34164" s="1025"/>
      <c r="BO34164" s="43"/>
    </row>
    <row r="34165" spans="65:67" ht="18.75" customHeight="1">
      <c r="BM34165" s="1025"/>
      <c r="BO34165" s="43"/>
    </row>
    <row r="34166" spans="65:67" ht="18.75" customHeight="1">
      <c r="BM34166" s="1025"/>
      <c r="BO34166" s="43"/>
    </row>
    <row r="34167" spans="65:67" ht="18.75" customHeight="1">
      <c r="BM34167" s="1025"/>
      <c r="BO34167" s="43"/>
    </row>
    <row r="34168" spans="65:67" ht="18.75" customHeight="1">
      <c r="BM34168" s="1025"/>
      <c r="BO34168" s="43"/>
    </row>
    <row r="34169" spans="65:67" ht="18.75" customHeight="1">
      <c r="BM34169" s="1025"/>
      <c r="BO34169" s="43"/>
    </row>
    <row r="34170" spans="65:67" ht="18.75" customHeight="1">
      <c r="BM34170" s="1025"/>
      <c r="BO34170" s="43"/>
    </row>
    <row r="34171" spans="65:67" ht="18.75" customHeight="1">
      <c r="BM34171" s="1025"/>
      <c r="BO34171" s="43"/>
    </row>
    <row r="34172" spans="65:67" ht="18.75" customHeight="1">
      <c r="BM34172" s="1025"/>
      <c r="BO34172" s="43"/>
    </row>
    <row r="34173" spans="65:67" ht="18.75" customHeight="1">
      <c r="BM34173" s="1025"/>
      <c r="BO34173" s="43"/>
    </row>
    <row r="34174" spans="65:67" ht="18.75" customHeight="1">
      <c r="BM34174" s="1025"/>
      <c r="BO34174" s="43"/>
    </row>
    <row r="34175" spans="65:67" ht="18.75" customHeight="1">
      <c r="BM34175" s="1025"/>
      <c r="BO34175" s="43"/>
    </row>
    <row r="34176" spans="65:67" ht="18.75" customHeight="1">
      <c r="BM34176" s="1025"/>
      <c r="BO34176" s="43"/>
    </row>
    <row r="34177" spans="65:67" ht="18.75" customHeight="1">
      <c r="BM34177" s="1025"/>
      <c r="BO34177" s="43"/>
    </row>
    <row r="34178" spans="65:67" ht="18.75" customHeight="1">
      <c r="BM34178" s="1025"/>
      <c r="BO34178" s="43"/>
    </row>
    <row r="34179" spans="65:67" ht="18.75" customHeight="1">
      <c r="BM34179" s="1025"/>
      <c r="BO34179" s="43"/>
    </row>
    <row r="34180" spans="65:67" ht="18.75" customHeight="1">
      <c r="BM34180" s="1025"/>
      <c r="BO34180" s="43"/>
    </row>
    <row r="34181" spans="65:67" ht="18.75" customHeight="1">
      <c r="BM34181" s="1025"/>
      <c r="BO34181" s="43"/>
    </row>
    <row r="34182" spans="65:67" ht="18.75" customHeight="1">
      <c r="BM34182" s="1025"/>
      <c r="BO34182" s="43"/>
    </row>
    <row r="34183" spans="65:67" ht="18.75" customHeight="1">
      <c r="BM34183" s="1025"/>
      <c r="BO34183" s="43"/>
    </row>
    <row r="34184" spans="65:67" ht="18.75" customHeight="1">
      <c r="BM34184" s="1025"/>
      <c r="BO34184" s="43"/>
    </row>
    <row r="34185" spans="65:67" ht="18.75" customHeight="1">
      <c r="BM34185" s="1025"/>
      <c r="BO34185" s="43"/>
    </row>
    <row r="34186" spans="65:67" ht="18.75" customHeight="1">
      <c r="BM34186" s="1025"/>
      <c r="BO34186" s="43"/>
    </row>
    <row r="34187" spans="65:67" ht="18.75" customHeight="1">
      <c r="BM34187" s="1025"/>
      <c r="BO34187" s="43"/>
    </row>
    <row r="34188" spans="65:67" ht="18.75" customHeight="1">
      <c r="BM34188" s="1025"/>
      <c r="BO34188" s="43"/>
    </row>
    <row r="34189" spans="65:67" ht="18.75" customHeight="1">
      <c r="BM34189" s="1025"/>
      <c r="BO34189" s="43"/>
    </row>
    <row r="34190" spans="65:67" ht="18.75" customHeight="1">
      <c r="BM34190" s="1025"/>
      <c r="BO34190" s="43"/>
    </row>
    <row r="34191" spans="65:67" ht="18.75" customHeight="1">
      <c r="BM34191" s="1025"/>
      <c r="BO34191" s="43"/>
    </row>
    <row r="34192" spans="65:67" ht="18.75" customHeight="1">
      <c r="BM34192" s="1025"/>
      <c r="BO34192" s="43"/>
    </row>
    <row r="34193" spans="65:67" ht="18.75" customHeight="1">
      <c r="BM34193" s="1025"/>
      <c r="BO34193" s="43"/>
    </row>
    <row r="34194" spans="65:67" ht="18.75" customHeight="1">
      <c r="BM34194" s="1025"/>
      <c r="BO34194" s="43"/>
    </row>
    <row r="34195" spans="65:67" ht="18.75" customHeight="1">
      <c r="BM34195" s="1025"/>
      <c r="BO34195" s="43"/>
    </row>
    <row r="34196" spans="65:67" ht="18.75" customHeight="1">
      <c r="BM34196" s="1025"/>
      <c r="BO34196" s="43"/>
    </row>
    <row r="34197" spans="65:67" ht="18.75" customHeight="1">
      <c r="BM34197" s="1025"/>
      <c r="BO34197" s="43"/>
    </row>
    <row r="34198" spans="65:67" ht="18.75" customHeight="1">
      <c r="BM34198" s="1025"/>
      <c r="BO34198" s="43"/>
    </row>
    <row r="34199" spans="65:67" ht="18.75" customHeight="1">
      <c r="BM34199" s="1025"/>
      <c r="BO34199" s="43"/>
    </row>
    <row r="34200" spans="65:67" ht="18.75" customHeight="1">
      <c r="BM34200" s="1025"/>
      <c r="BO34200" s="43"/>
    </row>
    <row r="34201" spans="65:67" ht="18.75" customHeight="1">
      <c r="BM34201" s="1025"/>
      <c r="BO34201" s="43"/>
    </row>
    <row r="34202" spans="65:67" ht="18.75" customHeight="1">
      <c r="BM34202" s="1025"/>
      <c r="BO34202" s="43"/>
    </row>
    <row r="34203" spans="65:67" ht="18.75" customHeight="1">
      <c r="BM34203" s="1025"/>
      <c r="BO34203" s="43"/>
    </row>
    <row r="34204" spans="65:67" ht="18.75" customHeight="1">
      <c r="BM34204" s="1025"/>
      <c r="BO34204" s="43"/>
    </row>
    <row r="34205" spans="65:67" ht="18.75" customHeight="1">
      <c r="BM34205" s="1025"/>
      <c r="BO34205" s="43"/>
    </row>
    <row r="34206" spans="65:67" ht="18.75" customHeight="1">
      <c r="BM34206" s="1025"/>
      <c r="BO34206" s="43"/>
    </row>
    <row r="34207" spans="65:67" ht="18.75" customHeight="1">
      <c r="BM34207" s="1025"/>
      <c r="BO34207" s="43"/>
    </row>
    <row r="34208" spans="65:67" ht="18.75" customHeight="1">
      <c r="BM34208" s="1025"/>
      <c r="BO34208" s="43"/>
    </row>
    <row r="34209" spans="65:67" ht="18.75" customHeight="1">
      <c r="BM34209" s="1025"/>
      <c r="BO34209" s="43"/>
    </row>
    <row r="34210" spans="65:67" ht="18.75" customHeight="1">
      <c r="BM34210" s="1025"/>
      <c r="BO34210" s="43"/>
    </row>
    <row r="34211" spans="65:67" ht="18.75" customHeight="1">
      <c r="BM34211" s="1025"/>
      <c r="BO34211" s="43"/>
    </row>
    <row r="34212" spans="65:67" ht="18.75" customHeight="1">
      <c r="BM34212" s="1025"/>
      <c r="BO34212" s="43"/>
    </row>
    <row r="34213" spans="65:67" ht="18.75" customHeight="1">
      <c r="BM34213" s="1025"/>
      <c r="BO34213" s="43"/>
    </row>
    <row r="34214" spans="65:67" ht="18.75" customHeight="1">
      <c r="BM34214" s="1025"/>
      <c r="BO34214" s="43"/>
    </row>
    <row r="34215" spans="65:67" ht="18.75" customHeight="1">
      <c r="BM34215" s="1025"/>
      <c r="BO34215" s="43"/>
    </row>
    <row r="34216" spans="65:67" ht="18.75" customHeight="1">
      <c r="BM34216" s="1025"/>
      <c r="BO34216" s="43"/>
    </row>
    <row r="34217" spans="65:67" ht="18.75" customHeight="1">
      <c r="BM34217" s="1025"/>
      <c r="BO34217" s="43"/>
    </row>
    <row r="34218" spans="65:67" ht="18.75" customHeight="1">
      <c r="BM34218" s="1025"/>
      <c r="BO34218" s="43"/>
    </row>
    <row r="34219" spans="65:67" ht="18.75" customHeight="1">
      <c r="BM34219" s="1025"/>
      <c r="BO34219" s="43"/>
    </row>
    <row r="34220" spans="65:67" ht="18.75" customHeight="1">
      <c r="BM34220" s="1025"/>
      <c r="BO34220" s="43"/>
    </row>
    <row r="34221" spans="65:67" ht="18.75" customHeight="1">
      <c r="BM34221" s="1025"/>
      <c r="BO34221" s="43"/>
    </row>
    <row r="34222" spans="65:67" ht="18.75" customHeight="1">
      <c r="BM34222" s="1025"/>
      <c r="BO34222" s="43"/>
    </row>
    <row r="34223" spans="65:67" ht="18.75" customHeight="1">
      <c r="BM34223" s="1025"/>
      <c r="BO34223" s="43"/>
    </row>
    <row r="34224" spans="65:67" ht="18.75" customHeight="1">
      <c r="BM34224" s="1025"/>
      <c r="BO34224" s="43"/>
    </row>
    <row r="34225" spans="65:67" ht="18.75" customHeight="1">
      <c r="BM34225" s="1025"/>
      <c r="BO34225" s="43"/>
    </row>
    <row r="34226" spans="65:67" ht="18.75" customHeight="1">
      <c r="BM34226" s="1025"/>
      <c r="BO34226" s="43"/>
    </row>
    <row r="34227" spans="65:67" ht="18.75" customHeight="1">
      <c r="BM34227" s="1025"/>
      <c r="BO34227" s="43"/>
    </row>
    <row r="34228" spans="65:67" ht="18.75" customHeight="1">
      <c r="BM34228" s="1025"/>
      <c r="BO34228" s="43"/>
    </row>
    <row r="34229" spans="65:67" ht="18.75" customHeight="1">
      <c r="BM34229" s="1025"/>
      <c r="BO34229" s="43"/>
    </row>
    <row r="34230" spans="65:67" ht="18.75" customHeight="1">
      <c r="BM34230" s="1025"/>
      <c r="BO34230" s="43"/>
    </row>
    <row r="34231" spans="65:67" ht="18.75" customHeight="1">
      <c r="BM34231" s="1025"/>
      <c r="BO34231" s="43"/>
    </row>
    <row r="34232" spans="65:67" ht="18.75" customHeight="1">
      <c r="BM34232" s="1025"/>
      <c r="BO34232" s="43"/>
    </row>
    <row r="34233" spans="65:67" ht="18.75" customHeight="1">
      <c r="BM34233" s="1025"/>
      <c r="BO34233" s="43"/>
    </row>
    <row r="34234" spans="65:67" ht="18.75" customHeight="1">
      <c r="BM34234" s="1025"/>
      <c r="BO34234" s="43"/>
    </row>
    <row r="34235" spans="65:67" ht="18.75" customHeight="1">
      <c r="BM34235" s="1025"/>
      <c r="BO34235" s="43"/>
    </row>
    <row r="34236" spans="65:67" ht="18.75" customHeight="1">
      <c r="BM34236" s="1025"/>
      <c r="BO34236" s="43"/>
    </row>
    <row r="34237" spans="65:67" ht="18.75" customHeight="1">
      <c r="BM34237" s="1025"/>
      <c r="BO34237" s="43"/>
    </row>
    <row r="34238" spans="65:67" ht="18.75" customHeight="1">
      <c r="BM34238" s="1025"/>
      <c r="BO34238" s="43"/>
    </row>
    <row r="34239" spans="65:67" ht="18.75" customHeight="1">
      <c r="BM34239" s="1025"/>
      <c r="BO34239" s="43"/>
    </row>
    <row r="34240" spans="65:67" ht="18.75" customHeight="1">
      <c r="BM34240" s="1025"/>
      <c r="BO34240" s="43"/>
    </row>
    <row r="34241" spans="65:67" ht="18.75" customHeight="1">
      <c r="BM34241" s="1025"/>
      <c r="BO34241" s="43"/>
    </row>
    <row r="34242" spans="65:67" ht="18.75" customHeight="1">
      <c r="BM34242" s="1025"/>
      <c r="BO34242" s="43"/>
    </row>
    <row r="34243" spans="65:67" ht="18.75" customHeight="1">
      <c r="BM34243" s="1025"/>
      <c r="BO34243" s="43"/>
    </row>
    <row r="34244" spans="65:67" ht="18.75" customHeight="1">
      <c r="BM34244" s="1025"/>
      <c r="BO34244" s="43"/>
    </row>
    <row r="34245" spans="65:67" ht="18.75" customHeight="1">
      <c r="BM34245" s="1025"/>
      <c r="BO34245" s="43"/>
    </row>
    <row r="34246" spans="65:67" ht="18.75" customHeight="1">
      <c r="BM34246" s="1025"/>
      <c r="BO34246" s="43"/>
    </row>
    <row r="34247" spans="65:67" ht="18.75" customHeight="1">
      <c r="BM34247" s="1025"/>
      <c r="BO34247" s="43"/>
    </row>
    <row r="34248" spans="65:67" ht="18.75" customHeight="1">
      <c r="BM34248" s="1025"/>
      <c r="BO34248" s="43"/>
    </row>
    <row r="34249" spans="65:67" ht="18.75" customHeight="1">
      <c r="BM34249" s="1025"/>
      <c r="BO34249" s="43"/>
    </row>
    <row r="34250" spans="65:67" ht="18.75" customHeight="1">
      <c r="BM34250" s="1025"/>
      <c r="BO34250" s="43"/>
    </row>
    <row r="34251" spans="65:67" ht="18.75" customHeight="1">
      <c r="BM34251" s="1025"/>
      <c r="BO34251" s="43"/>
    </row>
    <row r="34252" spans="65:67" ht="18.75" customHeight="1">
      <c r="BM34252" s="1025"/>
      <c r="BO34252" s="43"/>
    </row>
    <row r="34253" spans="65:67" ht="18.75" customHeight="1">
      <c r="BM34253" s="1025"/>
      <c r="BO34253" s="43"/>
    </row>
    <row r="34254" spans="65:67" ht="18.75" customHeight="1">
      <c r="BM34254" s="1025"/>
      <c r="BO34254" s="43"/>
    </row>
    <row r="34255" spans="65:67" ht="18.75" customHeight="1">
      <c r="BM34255" s="1025"/>
      <c r="BO34255" s="43"/>
    </row>
    <row r="34256" spans="65:67" ht="18.75" customHeight="1">
      <c r="BM34256" s="1025"/>
      <c r="BO34256" s="43"/>
    </row>
    <row r="34257" spans="65:67" ht="18.75" customHeight="1">
      <c r="BM34257" s="1025"/>
      <c r="BO34257" s="43"/>
    </row>
    <row r="34258" spans="65:67" ht="18.75" customHeight="1">
      <c r="BM34258" s="1025"/>
      <c r="BO34258" s="43"/>
    </row>
    <row r="34259" spans="65:67" ht="18.75" customHeight="1">
      <c r="BM34259" s="1025"/>
      <c r="BO34259" s="43"/>
    </row>
    <row r="34260" spans="65:67" ht="18.75" customHeight="1">
      <c r="BM34260" s="1025"/>
      <c r="BO34260" s="43"/>
    </row>
    <row r="34261" spans="65:67" ht="18.75" customHeight="1">
      <c r="BM34261" s="1025"/>
      <c r="BO34261" s="43"/>
    </row>
    <row r="34262" spans="65:67" ht="18.75" customHeight="1">
      <c r="BM34262" s="1025"/>
      <c r="BO34262" s="43"/>
    </row>
    <row r="34263" spans="65:67" ht="18.75" customHeight="1">
      <c r="BM34263" s="1025"/>
      <c r="BO34263" s="43"/>
    </row>
    <row r="34264" spans="65:67" ht="18.75" customHeight="1">
      <c r="BM34264" s="1025"/>
      <c r="BO34264" s="43"/>
    </row>
    <row r="34265" spans="65:67" ht="18.75" customHeight="1">
      <c r="BM34265" s="1025"/>
      <c r="BO34265" s="43"/>
    </row>
    <row r="34266" spans="65:67" ht="18.75" customHeight="1">
      <c r="BM34266" s="1025"/>
      <c r="BO34266" s="43"/>
    </row>
    <row r="34267" spans="65:67" ht="18.75" customHeight="1">
      <c r="BM34267" s="1025"/>
      <c r="BO34267" s="43"/>
    </row>
    <row r="34268" spans="65:67" ht="18.75" customHeight="1">
      <c r="BM34268" s="1025"/>
      <c r="BO34268" s="43"/>
    </row>
    <row r="34269" spans="65:67" ht="18.75" customHeight="1">
      <c r="BM34269" s="1025"/>
      <c r="BO34269" s="43"/>
    </row>
    <row r="34270" spans="65:67" ht="18.75" customHeight="1">
      <c r="BM34270" s="1025"/>
      <c r="BO34270" s="43"/>
    </row>
    <row r="34271" spans="65:67" ht="18.75" customHeight="1">
      <c r="BM34271" s="1025"/>
      <c r="BO34271" s="43"/>
    </row>
    <row r="34272" spans="65:67" ht="18.75" customHeight="1">
      <c r="BM34272" s="1025"/>
      <c r="BO34272" s="43"/>
    </row>
    <row r="34273" spans="65:67" ht="18.75" customHeight="1">
      <c r="BM34273" s="1025"/>
      <c r="BO34273" s="43"/>
    </row>
    <row r="34274" spans="65:67" ht="18.75" customHeight="1">
      <c r="BM34274" s="1025"/>
      <c r="BO34274" s="43"/>
    </row>
    <row r="34275" spans="65:67" ht="18.75" customHeight="1">
      <c r="BM34275" s="1025"/>
      <c r="BO34275" s="43"/>
    </row>
    <row r="34276" spans="65:67" ht="18.75" customHeight="1">
      <c r="BM34276" s="1025"/>
      <c r="BO34276" s="43"/>
    </row>
    <row r="34277" spans="65:67" ht="18.75" customHeight="1">
      <c r="BM34277" s="1025"/>
      <c r="BO34277" s="43"/>
    </row>
    <row r="34278" spans="65:67" ht="18.75" customHeight="1">
      <c r="BM34278" s="1025"/>
      <c r="BO34278" s="43"/>
    </row>
    <row r="34279" spans="65:67" ht="18.75" customHeight="1">
      <c r="BM34279" s="1025"/>
      <c r="BO34279" s="43"/>
    </row>
    <row r="34280" spans="65:67" ht="18.75" customHeight="1">
      <c r="BM34280" s="1025"/>
      <c r="BO34280" s="43"/>
    </row>
    <row r="34281" spans="65:67" ht="18.75" customHeight="1">
      <c r="BM34281" s="1025"/>
      <c r="BO34281" s="43"/>
    </row>
    <row r="34282" spans="65:67" ht="18.75" customHeight="1">
      <c r="BM34282" s="1025"/>
      <c r="BO34282" s="43"/>
    </row>
    <row r="34283" spans="65:67" ht="18.75" customHeight="1">
      <c r="BM34283" s="1025"/>
      <c r="BO34283" s="43"/>
    </row>
    <row r="34284" spans="65:67" ht="18.75" customHeight="1">
      <c r="BM34284" s="1025"/>
      <c r="BO34284" s="43"/>
    </row>
    <row r="34285" spans="65:67" ht="18.75" customHeight="1">
      <c r="BM34285" s="1025"/>
      <c r="BO34285" s="43"/>
    </row>
    <row r="34286" spans="65:67" ht="18.75" customHeight="1">
      <c r="BM34286" s="1025"/>
      <c r="BO34286" s="43"/>
    </row>
    <row r="34287" spans="65:67" ht="18.75" customHeight="1">
      <c r="BM34287" s="1025"/>
      <c r="BO34287" s="43"/>
    </row>
    <row r="34288" spans="65:67" ht="18.75" customHeight="1">
      <c r="BM34288" s="1025"/>
      <c r="BO34288" s="43"/>
    </row>
    <row r="34289" spans="65:67" ht="18.75" customHeight="1">
      <c r="BM34289" s="1025"/>
      <c r="BO34289" s="43"/>
    </row>
    <row r="34290" spans="65:67" ht="18.75" customHeight="1">
      <c r="BM34290" s="1025"/>
      <c r="BO34290" s="43"/>
    </row>
    <row r="34291" spans="65:67" ht="18.75" customHeight="1">
      <c r="BM34291" s="1025"/>
      <c r="BO34291" s="43"/>
    </row>
    <row r="34292" spans="65:67" ht="18.75" customHeight="1">
      <c r="BM34292" s="1025"/>
      <c r="BO34292" s="43"/>
    </row>
    <row r="34293" spans="65:67" ht="18.75" customHeight="1">
      <c r="BM34293" s="1025"/>
      <c r="BO34293" s="43"/>
    </row>
    <row r="34294" spans="65:67" ht="18.75" customHeight="1">
      <c r="BM34294" s="1025"/>
      <c r="BO34294" s="43"/>
    </row>
    <row r="34295" spans="65:67" ht="18.75" customHeight="1">
      <c r="BM34295" s="1025"/>
      <c r="BO34295" s="43"/>
    </row>
    <row r="34296" spans="65:67" ht="18.75" customHeight="1">
      <c r="BM34296" s="1025"/>
      <c r="BO34296" s="43"/>
    </row>
    <row r="34297" spans="65:67" ht="18.75" customHeight="1">
      <c r="BM34297" s="1025"/>
      <c r="BO34297" s="43"/>
    </row>
    <row r="34298" spans="65:67" ht="18.75" customHeight="1">
      <c r="BM34298" s="1025"/>
      <c r="BO34298" s="43"/>
    </row>
    <row r="34299" spans="65:67" ht="18.75" customHeight="1">
      <c r="BM34299" s="1025"/>
      <c r="BO34299" s="43"/>
    </row>
    <row r="34300" spans="65:67" ht="18.75" customHeight="1">
      <c r="BM34300" s="1025"/>
      <c r="BO34300" s="43"/>
    </row>
    <row r="34301" spans="65:67" ht="18.75" customHeight="1">
      <c r="BM34301" s="1025"/>
      <c r="BO34301" s="43"/>
    </row>
    <row r="34302" spans="65:67" ht="18.75" customHeight="1">
      <c r="BM34302" s="1025"/>
      <c r="BO34302" s="43"/>
    </row>
    <row r="34303" spans="65:67" ht="18.75" customHeight="1">
      <c r="BM34303" s="1025"/>
      <c r="BO34303" s="43"/>
    </row>
    <row r="34304" spans="65:67" ht="18.75" customHeight="1">
      <c r="BM34304" s="1025"/>
      <c r="BO34304" s="43"/>
    </row>
    <row r="34305" spans="65:67" ht="18.75" customHeight="1">
      <c r="BM34305" s="1025"/>
      <c r="BO34305" s="43"/>
    </row>
    <row r="34306" spans="65:67" ht="18.75" customHeight="1">
      <c r="BM34306" s="1025"/>
      <c r="BO34306" s="43"/>
    </row>
    <row r="34307" spans="65:67" ht="18.75" customHeight="1">
      <c r="BM34307" s="1025"/>
      <c r="BO34307" s="43"/>
    </row>
    <row r="34308" spans="65:67" ht="18.75" customHeight="1">
      <c r="BM34308" s="1025"/>
      <c r="BO34308" s="43"/>
    </row>
    <row r="34309" spans="65:67" ht="18.75" customHeight="1">
      <c r="BM34309" s="1025"/>
      <c r="BO34309" s="43"/>
    </row>
    <row r="34310" spans="65:67" ht="18.75" customHeight="1">
      <c r="BM34310" s="1025"/>
      <c r="BO34310" s="43"/>
    </row>
    <row r="34311" spans="65:67" ht="18.75" customHeight="1">
      <c r="BM34311" s="1025"/>
      <c r="BO34311" s="43"/>
    </row>
    <row r="34312" spans="65:67" ht="18.75" customHeight="1">
      <c r="BM34312" s="1025"/>
      <c r="BO34312" s="43"/>
    </row>
    <row r="34313" spans="65:67" ht="18.75" customHeight="1">
      <c r="BM34313" s="1025"/>
      <c r="BO34313" s="43"/>
    </row>
    <row r="34314" spans="65:67" ht="18.75" customHeight="1">
      <c r="BM34314" s="1025"/>
      <c r="BO34314" s="43"/>
    </row>
    <row r="34315" spans="65:67" ht="18.75" customHeight="1">
      <c r="BM34315" s="1025"/>
      <c r="BO34315" s="43"/>
    </row>
    <row r="34316" spans="65:67" ht="18.75" customHeight="1">
      <c r="BM34316" s="1025"/>
      <c r="BO34316" s="43"/>
    </row>
    <row r="34317" spans="65:67" ht="18.75" customHeight="1">
      <c r="BM34317" s="1025"/>
      <c r="BO34317" s="43"/>
    </row>
    <row r="34318" spans="65:67" ht="18.75" customHeight="1">
      <c r="BM34318" s="1025"/>
      <c r="BO34318" s="43"/>
    </row>
    <row r="34319" spans="65:67" ht="18.75" customHeight="1">
      <c r="BM34319" s="1025"/>
      <c r="BO34319" s="43"/>
    </row>
    <row r="34320" spans="65:67" ht="18.75" customHeight="1">
      <c r="BM34320" s="1025"/>
      <c r="BO34320" s="43"/>
    </row>
    <row r="34321" spans="65:67" ht="18.75" customHeight="1">
      <c r="BM34321" s="1025"/>
      <c r="BO34321" s="43"/>
    </row>
    <row r="34322" spans="65:67" ht="18.75" customHeight="1">
      <c r="BM34322" s="1025"/>
      <c r="BO34322" s="43"/>
    </row>
    <row r="34323" spans="65:67" ht="18.75" customHeight="1">
      <c r="BM34323" s="1025"/>
      <c r="BO34323" s="43"/>
    </row>
    <row r="34324" spans="65:67" ht="18.75" customHeight="1">
      <c r="BM34324" s="1025"/>
      <c r="BO34324" s="43"/>
    </row>
    <row r="34325" spans="65:67" ht="18.75" customHeight="1">
      <c r="BM34325" s="1025"/>
      <c r="BO34325" s="43"/>
    </row>
    <row r="34326" spans="65:67" ht="18.75" customHeight="1">
      <c r="BM34326" s="1025"/>
      <c r="BO34326" s="43"/>
    </row>
    <row r="34327" spans="65:67" ht="18.75" customHeight="1">
      <c r="BM34327" s="1025"/>
      <c r="BO34327" s="43"/>
    </row>
    <row r="34328" spans="65:67" ht="18.75" customHeight="1">
      <c r="BM34328" s="1025"/>
      <c r="BO34328" s="43"/>
    </row>
    <row r="34329" spans="65:67" ht="18.75" customHeight="1">
      <c r="BM34329" s="1025"/>
      <c r="BO34329" s="43"/>
    </row>
    <row r="34330" spans="65:67" ht="18.75" customHeight="1">
      <c r="BM34330" s="1025"/>
      <c r="BO34330" s="43"/>
    </row>
    <row r="34331" spans="65:67" ht="18.75" customHeight="1">
      <c r="BM34331" s="1025"/>
      <c r="BO34331" s="43"/>
    </row>
    <row r="34332" spans="65:67" ht="18.75" customHeight="1">
      <c r="BM34332" s="1025"/>
      <c r="BO34332" s="43"/>
    </row>
    <row r="34333" spans="65:67" ht="18.75" customHeight="1">
      <c r="BM34333" s="1025"/>
      <c r="BO34333" s="43"/>
    </row>
    <row r="34334" spans="65:67" ht="18.75" customHeight="1">
      <c r="BM34334" s="1025"/>
      <c r="BO34334" s="43"/>
    </row>
    <row r="34335" spans="65:67" ht="18.75" customHeight="1">
      <c r="BM34335" s="1025"/>
      <c r="BO34335" s="43"/>
    </row>
    <row r="34336" spans="65:67" ht="18.75" customHeight="1">
      <c r="BM34336" s="1025"/>
      <c r="BO34336" s="43"/>
    </row>
    <row r="34337" spans="65:67" ht="18.75" customHeight="1">
      <c r="BM34337" s="1025"/>
      <c r="BO34337" s="43"/>
    </row>
    <row r="34338" spans="65:67" ht="18.75" customHeight="1">
      <c r="BM34338" s="1025"/>
      <c r="BO34338" s="43"/>
    </row>
    <row r="34339" spans="65:67" ht="18.75" customHeight="1">
      <c r="BM34339" s="1025"/>
      <c r="BO34339" s="43"/>
    </row>
    <row r="34340" spans="65:67" ht="18.75" customHeight="1">
      <c r="BM34340" s="1025"/>
      <c r="BO34340" s="43"/>
    </row>
    <row r="34341" spans="65:67" ht="18.75" customHeight="1">
      <c r="BM34341" s="1025"/>
      <c r="BO34341" s="43"/>
    </row>
    <row r="34342" spans="65:67" ht="18.75" customHeight="1">
      <c r="BM34342" s="1025"/>
      <c r="BO34342" s="43"/>
    </row>
    <row r="34343" spans="65:67" ht="18.75" customHeight="1">
      <c r="BM34343" s="1025"/>
      <c r="BO34343" s="43"/>
    </row>
    <row r="34344" spans="65:67" ht="18.75" customHeight="1">
      <c r="BM34344" s="1025"/>
      <c r="BO34344" s="43"/>
    </row>
    <row r="34345" spans="65:67" ht="18.75" customHeight="1">
      <c r="BM34345" s="1025"/>
      <c r="BO34345" s="43"/>
    </row>
    <row r="34346" spans="65:67" ht="18.75" customHeight="1">
      <c r="BM34346" s="1025"/>
      <c r="BO34346" s="43"/>
    </row>
    <row r="34347" spans="65:67" ht="18.75" customHeight="1">
      <c r="BM34347" s="1025"/>
      <c r="BO34347" s="43"/>
    </row>
    <row r="34348" spans="65:67" ht="18.75" customHeight="1">
      <c r="BM34348" s="1025"/>
      <c r="BO34348" s="43"/>
    </row>
    <row r="34349" spans="65:67" ht="18.75" customHeight="1">
      <c r="BM34349" s="1025"/>
      <c r="BO34349" s="43"/>
    </row>
    <row r="34350" spans="65:67" ht="18.75" customHeight="1">
      <c r="BM34350" s="1025"/>
      <c r="BO34350" s="43"/>
    </row>
    <row r="34351" spans="65:67" ht="18.75" customHeight="1">
      <c r="BM34351" s="1025"/>
      <c r="BO34351" s="43"/>
    </row>
    <row r="34352" spans="65:67" ht="18.75" customHeight="1">
      <c r="BM34352" s="1025"/>
      <c r="BO34352" s="43"/>
    </row>
    <row r="34353" spans="65:67" ht="18.75" customHeight="1">
      <c r="BM34353" s="1025"/>
      <c r="BO34353" s="43"/>
    </row>
    <row r="34354" spans="65:67" ht="18.75" customHeight="1">
      <c r="BM34354" s="1025"/>
      <c r="BO34354" s="43"/>
    </row>
    <row r="34355" spans="65:67" ht="18.75" customHeight="1">
      <c r="BM34355" s="1025"/>
      <c r="BO34355" s="43"/>
    </row>
    <row r="34356" spans="65:67" ht="18.75" customHeight="1">
      <c r="BM34356" s="1025"/>
      <c r="BO34356" s="43"/>
    </row>
    <row r="34357" spans="65:67" ht="18.75" customHeight="1">
      <c r="BM34357" s="1025"/>
      <c r="BO34357" s="43"/>
    </row>
    <row r="34358" spans="65:67" ht="18.75" customHeight="1">
      <c r="BM34358" s="1025"/>
      <c r="BO34358" s="43"/>
    </row>
    <row r="34359" spans="65:67" ht="18.75" customHeight="1">
      <c r="BM34359" s="1025"/>
      <c r="BO34359" s="43"/>
    </row>
    <row r="34360" spans="65:67" ht="18.75" customHeight="1">
      <c r="BM34360" s="1025"/>
      <c r="BO34360" s="43"/>
    </row>
    <row r="34361" spans="65:67" ht="18.75" customHeight="1">
      <c r="BM34361" s="1025"/>
      <c r="BO34361" s="43"/>
    </row>
    <row r="34362" spans="65:67" ht="18.75" customHeight="1">
      <c r="BM34362" s="1025"/>
      <c r="BO34362" s="43"/>
    </row>
    <row r="34363" spans="65:67" ht="18.75" customHeight="1">
      <c r="BM34363" s="1025"/>
      <c r="BO34363" s="43"/>
    </row>
    <row r="34364" spans="65:67" ht="18.75" customHeight="1">
      <c r="BM34364" s="1025"/>
      <c r="BO34364" s="43"/>
    </row>
    <row r="34365" spans="65:67" ht="18.75" customHeight="1">
      <c r="BM34365" s="1025"/>
      <c r="BO34365" s="43"/>
    </row>
    <row r="34366" spans="65:67" ht="18.75" customHeight="1">
      <c r="BM34366" s="1025"/>
      <c r="BO34366" s="43"/>
    </row>
    <row r="34367" spans="65:67" ht="18.75" customHeight="1">
      <c r="BM34367" s="1025"/>
      <c r="BO34367" s="43"/>
    </row>
    <row r="34368" spans="65:67" ht="18.75" customHeight="1">
      <c r="BM34368" s="1025"/>
      <c r="BO34368" s="43"/>
    </row>
    <row r="34369" spans="65:67" ht="18.75" customHeight="1">
      <c r="BM34369" s="1025"/>
      <c r="BO34369" s="43"/>
    </row>
    <row r="34370" spans="65:67" ht="18.75" customHeight="1">
      <c r="BM34370" s="1025"/>
      <c r="BO34370" s="43"/>
    </row>
    <row r="34371" spans="65:67" ht="18.75" customHeight="1">
      <c r="BM34371" s="1025"/>
      <c r="BO34371" s="43"/>
    </row>
    <row r="34372" spans="65:67" ht="18.75" customHeight="1">
      <c r="BM34372" s="1025"/>
      <c r="BO34372" s="43"/>
    </row>
    <row r="34373" spans="65:67" ht="18.75" customHeight="1">
      <c r="BM34373" s="1025"/>
      <c r="BO34373" s="43"/>
    </row>
    <row r="34374" spans="65:67" ht="18.75" customHeight="1">
      <c r="BM34374" s="1025"/>
      <c r="BO34374" s="43"/>
    </row>
    <row r="34375" spans="65:67" ht="18.75" customHeight="1">
      <c r="BM34375" s="1025"/>
      <c r="BO34375" s="43"/>
    </row>
    <row r="34376" spans="65:67" ht="18.75" customHeight="1">
      <c r="BM34376" s="1025"/>
      <c r="BO34376" s="43"/>
    </row>
    <row r="34377" spans="65:67" ht="18.75" customHeight="1">
      <c r="BM34377" s="1025"/>
      <c r="BO34377" s="43"/>
    </row>
    <row r="34378" spans="65:67" ht="18.75" customHeight="1">
      <c r="BM34378" s="1025"/>
      <c r="BO34378" s="43"/>
    </row>
    <row r="34379" spans="65:67" ht="18.75" customHeight="1">
      <c r="BM34379" s="1025"/>
      <c r="BO34379" s="43"/>
    </row>
    <row r="34380" spans="65:67" ht="18.75" customHeight="1">
      <c r="BM34380" s="1025"/>
      <c r="BO34380" s="43"/>
    </row>
    <row r="34381" spans="65:67" ht="18.75" customHeight="1">
      <c r="BM34381" s="1025"/>
      <c r="BO34381" s="43"/>
    </row>
    <row r="34382" spans="65:67" ht="18.75" customHeight="1">
      <c r="BM34382" s="1025"/>
      <c r="BO34382" s="43"/>
    </row>
    <row r="34383" spans="65:67" ht="18.75" customHeight="1">
      <c r="BM34383" s="1025"/>
      <c r="BO34383" s="43"/>
    </row>
    <row r="34384" spans="65:67" ht="18.75" customHeight="1">
      <c r="BM34384" s="1025"/>
      <c r="BO34384" s="43"/>
    </row>
    <row r="34385" spans="65:67" ht="18.75" customHeight="1">
      <c r="BM34385" s="1025"/>
      <c r="BO34385" s="43"/>
    </row>
    <row r="34386" spans="65:67" ht="18.75" customHeight="1">
      <c r="BM34386" s="1025"/>
      <c r="BO34386" s="43"/>
    </row>
    <row r="34387" spans="65:67" ht="18.75" customHeight="1">
      <c r="BM34387" s="1025"/>
      <c r="BO34387" s="43"/>
    </row>
    <row r="34388" spans="65:67" ht="18.75" customHeight="1">
      <c r="BM34388" s="1025"/>
      <c r="BO34388" s="43"/>
    </row>
    <row r="34389" spans="65:67" ht="18.75" customHeight="1">
      <c r="BM34389" s="1025"/>
      <c r="BO34389" s="43"/>
    </row>
    <row r="34390" spans="65:67" ht="18.75" customHeight="1">
      <c r="BM34390" s="1025"/>
      <c r="BO34390" s="43"/>
    </row>
    <row r="34391" spans="65:67" ht="18.75" customHeight="1">
      <c r="BM34391" s="1025"/>
      <c r="BO34391" s="43"/>
    </row>
    <row r="34392" spans="65:67" ht="18.75" customHeight="1">
      <c r="BM34392" s="1025"/>
      <c r="BO34392" s="43"/>
    </row>
    <row r="34393" spans="65:67" ht="18.75" customHeight="1">
      <c r="BM34393" s="1025"/>
      <c r="BO34393" s="43"/>
    </row>
    <row r="34394" spans="65:67" ht="18.75" customHeight="1">
      <c r="BM34394" s="1025"/>
      <c r="BO34394" s="43"/>
    </row>
    <row r="34395" spans="65:67" ht="18.75" customHeight="1">
      <c r="BM34395" s="1025"/>
      <c r="BO34395" s="43"/>
    </row>
    <row r="34396" spans="65:67" ht="18.75" customHeight="1">
      <c r="BM34396" s="1025"/>
      <c r="BO34396" s="43"/>
    </row>
    <row r="34397" spans="65:67" ht="18.75" customHeight="1">
      <c r="BM34397" s="1025"/>
      <c r="BO34397" s="43"/>
    </row>
    <row r="34398" spans="65:67" ht="18.75" customHeight="1">
      <c r="BM34398" s="1025"/>
      <c r="BO34398" s="43"/>
    </row>
    <row r="34399" spans="65:67" ht="18.75" customHeight="1">
      <c r="BM34399" s="1025"/>
      <c r="BO34399" s="43"/>
    </row>
    <row r="34400" spans="65:67" ht="18.75" customHeight="1">
      <c r="BM34400" s="1025"/>
      <c r="BO34400" s="43"/>
    </row>
    <row r="34401" spans="65:67" ht="18.75" customHeight="1">
      <c r="BM34401" s="1025"/>
      <c r="BO34401" s="43"/>
    </row>
    <row r="34402" spans="65:67" ht="18.75" customHeight="1">
      <c r="BM34402" s="1025"/>
      <c r="BO34402" s="43"/>
    </row>
    <row r="34403" spans="65:67" ht="18.75" customHeight="1">
      <c r="BM34403" s="1025"/>
      <c r="BO34403" s="43"/>
    </row>
    <row r="34404" spans="65:67" ht="18.75" customHeight="1">
      <c r="BM34404" s="1025"/>
      <c r="BO34404" s="43"/>
    </row>
    <row r="34405" spans="65:67" ht="18.75" customHeight="1">
      <c r="BM34405" s="1025"/>
      <c r="BO34405" s="43"/>
    </row>
    <row r="34406" spans="65:67" ht="18.75" customHeight="1">
      <c r="BM34406" s="1025"/>
      <c r="BO34406" s="43"/>
    </row>
    <row r="34407" spans="65:67" ht="18.75" customHeight="1">
      <c r="BM34407" s="1025"/>
      <c r="BO34407" s="43"/>
    </row>
    <row r="34408" spans="65:67" ht="18.75" customHeight="1">
      <c r="BM34408" s="1025"/>
      <c r="BO34408" s="43"/>
    </row>
    <row r="34409" spans="65:67" ht="18.75" customHeight="1">
      <c r="BM34409" s="1025"/>
      <c r="BO34409" s="43"/>
    </row>
    <row r="34410" spans="65:67" ht="18.75" customHeight="1">
      <c r="BM34410" s="1025"/>
      <c r="BO34410" s="43"/>
    </row>
    <row r="34411" spans="65:67" ht="18.75" customHeight="1">
      <c r="BM34411" s="1025"/>
      <c r="BO34411" s="43"/>
    </row>
    <row r="34412" spans="65:67" ht="18.75" customHeight="1">
      <c r="BM34412" s="1025"/>
      <c r="BO34412" s="43"/>
    </row>
    <row r="34413" spans="65:67" ht="18.75" customHeight="1">
      <c r="BM34413" s="1025"/>
      <c r="BO34413" s="43"/>
    </row>
    <row r="34414" spans="65:67" ht="18.75" customHeight="1">
      <c r="BM34414" s="1025"/>
      <c r="BO34414" s="43"/>
    </row>
    <row r="34415" spans="65:67" ht="18.75" customHeight="1">
      <c r="BM34415" s="1025"/>
      <c r="BO34415" s="43"/>
    </row>
    <row r="34416" spans="65:67" ht="18.75" customHeight="1">
      <c r="BM34416" s="1025"/>
      <c r="BO34416" s="43"/>
    </row>
    <row r="34417" spans="65:67" ht="18.75" customHeight="1">
      <c r="BM34417" s="1025"/>
      <c r="BO34417" s="43"/>
    </row>
    <row r="34418" spans="65:67" ht="18.75" customHeight="1">
      <c r="BM34418" s="1025"/>
      <c r="BO34418" s="43"/>
    </row>
    <row r="34419" spans="65:67" ht="18.75" customHeight="1">
      <c r="BM34419" s="1025"/>
      <c r="BO34419" s="43"/>
    </row>
    <row r="34420" spans="65:67" ht="18.75" customHeight="1">
      <c r="BM34420" s="1025"/>
      <c r="BO34420" s="43"/>
    </row>
    <row r="34421" spans="65:67" ht="18.75" customHeight="1">
      <c r="BM34421" s="1025"/>
      <c r="BO34421" s="43"/>
    </row>
    <row r="34422" spans="65:67" ht="18.75" customHeight="1">
      <c r="BM34422" s="1025"/>
      <c r="BO34422" s="43"/>
    </row>
    <row r="34423" spans="65:67" ht="18.75" customHeight="1">
      <c r="BM34423" s="1025"/>
      <c r="BO34423" s="43"/>
    </row>
    <row r="34424" spans="65:67" ht="18.75" customHeight="1">
      <c r="BM34424" s="1025"/>
      <c r="BO34424" s="43"/>
    </row>
    <row r="34425" spans="65:67" ht="18.75" customHeight="1">
      <c r="BM34425" s="1025"/>
      <c r="BO34425" s="43"/>
    </row>
    <row r="34426" spans="65:67" ht="18.75" customHeight="1">
      <c r="BM34426" s="1025"/>
      <c r="BO34426" s="43"/>
    </row>
    <row r="34427" spans="65:67" ht="18.75" customHeight="1">
      <c r="BM34427" s="1025"/>
      <c r="BO34427" s="43"/>
    </row>
    <row r="34428" spans="65:67" ht="18.75" customHeight="1">
      <c r="BM34428" s="1025"/>
      <c r="BO34428" s="43"/>
    </row>
    <row r="34429" spans="65:67" ht="18.75" customHeight="1">
      <c r="BM34429" s="1025"/>
      <c r="BO34429" s="43"/>
    </row>
    <row r="34430" spans="65:67" ht="18.75" customHeight="1">
      <c r="BM34430" s="1025"/>
      <c r="BO34430" s="43"/>
    </row>
    <row r="34431" spans="65:67" ht="18.75" customHeight="1">
      <c r="BM34431" s="1025"/>
      <c r="BO34431" s="43"/>
    </row>
    <row r="34432" spans="65:67" ht="18.75" customHeight="1">
      <c r="BM34432" s="1025"/>
      <c r="BO34432" s="43"/>
    </row>
    <row r="34433" spans="65:67" ht="18.75" customHeight="1">
      <c r="BM34433" s="1025"/>
      <c r="BO34433" s="43"/>
    </row>
    <row r="34434" spans="65:67" ht="18.75" customHeight="1">
      <c r="BM34434" s="1025"/>
      <c r="BO34434" s="43"/>
    </row>
    <row r="34435" spans="65:67" ht="18.75" customHeight="1">
      <c r="BM34435" s="1025"/>
      <c r="BO34435" s="43"/>
    </row>
    <row r="34436" spans="65:67" ht="18.75" customHeight="1">
      <c r="BM34436" s="1025"/>
      <c r="BO34436" s="43"/>
    </row>
    <row r="34437" spans="65:67" ht="18.75" customHeight="1">
      <c r="BM34437" s="1025"/>
      <c r="BO34437" s="43"/>
    </row>
    <row r="34438" spans="65:67" ht="18.75" customHeight="1">
      <c r="BM34438" s="1025"/>
      <c r="BO34438" s="43"/>
    </row>
    <row r="34439" spans="65:67" ht="18.75" customHeight="1">
      <c r="BM34439" s="1025"/>
      <c r="BO34439" s="43"/>
    </row>
    <row r="34440" spans="65:67" ht="18.75" customHeight="1">
      <c r="BM34440" s="1025"/>
      <c r="BO34440" s="43"/>
    </row>
    <row r="34441" spans="65:67" ht="18.75" customHeight="1">
      <c r="BM34441" s="1025"/>
      <c r="BO34441" s="43"/>
    </row>
    <row r="34442" spans="65:67" ht="18.75" customHeight="1">
      <c r="BM34442" s="1025"/>
      <c r="BO34442" s="43"/>
    </row>
    <row r="34443" spans="65:67" ht="18.75" customHeight="1">
      <c r="BM34443" s="1025"/>
      <c r="BO34443" s="43"/>
    </row>
    <row r="34444" spans="65:67" ht="18.75" customHeight="1">
      <c r="BM34444" s="1025"/>
      <c r="BO34444" s="43"/>
    </row>
    <row r="34445" spans="65:67" ht="18.75" customHeight="1">
      <c r="BM34445" s="1025"/>
      <c r="BO34445" s="43"/>
    </row>
    <row r="34446" spans="65:67" ht="18.75" customHeight="1">
      <c r="BM34446" s="1025"/>
      <c r="BO34446" s="43"/>
    </row>
    <row r="34447" spans="65:67" ht="18.75" customHeight="1">
      <c r="BM34447" s="1025"/>
      <c r="BO34447" s="43"/>
    </row>
    <row r="34448" spans="65:67" ht="18.75" customHeight="1">
      <c r="BM34448" s="1025"/>
      <c r="BO34448" s="43"/>
    </row>
    <row r="34449" spans="65:67" ht="18.75" customHeight="1">
      <c r="BM34449" s="1025"/>
      <c r="BO34449" s="43"/>
    </row>
    <row r="34450" spans="65:67" ht="18.75" customHeight="1">
      <c r="BM34450" s="1025"/>
      <c r="BO34450" s="43"/>
    </row>
    <row r="34451" spans="65:67" ht="18.75" customHeight="1">
      <c r="BM34451" s="1025"/>
      <c r="BO34451" s="43"/>
    </row>
    <row r="34452" spans="65:67" ht="18.75" customHeight="1">
      <c r="BM34452" s="1025"/>
      <c r="BO34452" s="43"/>
    </row>
    <row r="34453" spans="65:67" ht="18.75" customHeight="1">
      <c r="BM34453" s="1025"/>
      <c r="BO34453" s="43"/>
    </row>
    <row r="34454" spans="65:67" ht="18.75" customHeight="1">
      <c r="BM34454" s="1025"/>
      <c r="BO34454" s="43"/>
    </row>
    <row r="34455" spans="65:67" ht="18.75" customHeight="1">
      <c r="BM34455" s="1025"/>
      <c r="BO34455" s="43"/>
    </row>
    <row r="34456" spans="65:67" ht="18.75" customHeight="1">
      <c r="BM34456" s="1025"/>
      <c r="BO34456" s="43"/>
    </row>
    <row r="34457" spans="65:67" ht="18.75" customHeight="1">
      <c r="BM34457" s="1025"/>
      <c r="BO34457" s="43"/>
    </row>
    <row r="34458" spans="65:67" ht="18.75" customHeight="1">
      <c r="BM34458" s="1025"/>
      <c r="BO34458" s="43"/>
    </row>
    <row r="34459" spans="65:67" ht="18.75" customHeight="1">
      <c r="BM34459" s="1025"/>
      <c r="BO34459" s="43"/>
    </row>
    <row r="34460" spans="65:67" ht="18.75" customHeight="1">
      <c r="BM34460" s="1025"/>
      <c r="BO34460" s="43"/>
    </row>
    <row r="34461" spans="65:67" ht="18.75" customHeight="1">
      <c r="BM34461" s="1025"/>
      <c r="BO34461" s="43"/>
    </row>
    <row r="34462" spans="65:67" ht="18.75" customHeight="1">
      <c r="BM34462" s="1025"/>
      <c r="BO34462" s="43"/>
    </row>
    <row r="34463" spans="65:67" ht="18.75" customHeight="1">
      <c r="BM34463" s="1025"/>
      <c r="BO34463" s="43"/>
    </row>
    <row r="34464" spans="65:67" ht="18.75" customHeight="1">
      <c r="BM34464" s="1025"/>
      <c r="BO34464" s="43"/>
    </row>
    <row r="34465" spans="65:67" ht="18.75" customHeight="1">
      <c r="BM34465" s="1025"/>
      <c r="BO34465" s="43"/>
    </row>
    <row r="34466" spans="65:67" ht="18.75" customHeight="1">
      <c r="BM34466" s="1025"/>
      <c r="BO34466" s="43"/>
    </row>
    <row r="34467" spans="65:67" ht="18.75" customHeight="1">
      <c r="BM34467" s="1025"/>
      <c r="BO34467" s="43"/>
    </row>
    <row r="34468" spans="65:67" ht="18.75" customHeight="1">
      <c r="BM34468" s="1025"/>
      <c r="BO34468" s="43"/>
    </row>
    <row r="34469" spans="65:67" ht="18.75" customHeight="1">
      <c r="BM34469" s="1025"/>
      <c r="BO34469" s="43"/>
    </row>
    <row r="34470" spans="65:67" ht="18.75" customHeight="1">
      <c r="BM34470" s="1025"/>
      <c r="BO34470" s="43"/>
    </row>
    <row r="34471" spans="65:67" ht="18.75" customHeight="1">
      <c r="BM34471" s="1025"/>
      <c r="BO34471" s="43"/>
    </row>
    <row r="34472" spans="65:67" ht="18.75" customHeight="1">
      <c r="BM34472" s="1025"/>
      <c r="BO34472" s="43"/>
    </row>
    <row r="34473" spans="65:67" ht="18.75" customHeight="1">
      <c r="BM34473" s="1025"/>
      <c r="BO34473" s="43"/>
    </row>
    <row r="34474" spans="65:67" ht="18.75" customHeight="1">
      <c r="BM34474" s="1025"/>
      <c r="BO34474" s="43"/>
    </row>
    <row r="34475" spans="65:67" ht="18.75" customHeight="1">
      <c r="BM34475" s="1025"/>
      <c r="BO34475" s="43"/>
    </row>
    <row r="34476" spans="65:67" ht="18.75" customHeight="1">
      <c r="BM34476" s="1025"/>
      <c r="BO34476" s="43"/>
    </row>
    <row r="34477" spans="65:67" ht="18.75" customHeight="1">
      <c r="BM34477" s="1025"/>
      <c r="BO34477" s="43"/>
    </row>
    <row r="34478" spans="65:67" ht="18.75" customHeight="1">
      <c r="BM34478" s="1025"/>
      <c r="BO34478" s="43"/>
    </row>
    <row r="34479" spans="65:67" ht="18.75" customHeight="1">
      <c r="BM34479" s="1025"/>
      <c r="BO34479" s="43"/>
    </row>
    <row r="34480" spans="65:67" ht="18.75" customHeight="1">
      <c r="BM34480" s="1025"/>
      <c r="BO34480" s="43"/>
    </row>
    <row r="34481" spans="65:67" ht="18.75" customHeight="1">
      <c r="BM34481" s="1025"/>
      <c r="BO34481" s="43"/>
    </row>
    <row r="34482" spans="65:67" ht="18.75" customHeight="1">
      <c r="BM34482" s="1025"/>
      <c r="BO34482" s="43"/>
    </row>
    <row r="34483" spans="65:67" ht="18.75" customHeight="1">
      <c r="BM34483" s="1025"/>
      <c r="BO34483" s="43"/>
    </row>
    <row r="34484" spans="65:67" ht="18.75" customHeight="1">
      <c r="BM34484" s="1025"/>
      <c r="BO34484" s="43"/>
    </row>
    <row r="34485" spans="65:67" ht="18.75" customHeight="1">
      <c r="BM34485" s="1025"/>
      <c r="BO34485" s="43"/>
    </row>
    <row r="34486" spans="65:67" ht="18.75" customHeight="1">
      <c r="BM34486" s="1025"/>
      <c r="BO34486" s="43"/>
    </row>
    <row r="34487" spans="65:67" ht="18.75" customHeight="1">
      <c r="BM34487" s="1025"/>
      <c r="BO34487" s="43"/>
    </row>
    <row r="34488" spans="65:67" ht="18.75" customHeight="1">
      <c r="BM34488" s="1025"/>
      <c r="BO34488" s="43"/>
    </row>
    <row r="34489" spans="65:67" ht="18.75" customHeight="1">
      <c r="BM34489" s="1025"/>
      <c r="BO34489" s="43"/>
    </row>
    <row r="34490" spans="65:67" ht="18.75" customHeight="1">
      <c r="BM34490" s="1025"/>
      <c r="BO34490" s="43"/>
    </row>
    <row r="34491" spans="65:67" ht="18.75" customHeight="1">
      <c r="BM34491" s="1025"/>
      <c r="BO34491" s="43"/>
    </row>
    <row r="34492" spans="65:67" ht="18.75" customHeight="1">
      <c r="BM34492" s="1025"/>
      <c r="BO34492" s="43"/>
    </row>
    <row r="34493" spans="65:67" ht="18.75" customHeight="1">
      <c r="BM34493" s="1025"/>
      <c r="BO34493" s="43"/>
    </row>
    <row r="34494" spans="65:67" ht="18.75" customHeight="1">
      <c r="BM34494" s="1025"/>
      <c r="BO34494" s="43"/>
    </row>
    <row r="34495" spans="65:67" ht="18.75" customHeight="1">
      <c r="BM34495" s="1025"/>
      <c r="BO34495" s="43"/>
    </row>
    <row r="34496" spans="65:67" ht="18.75" customHeight="1">
      <c r="BM34496" s="1025"/>
      <c r="BO34496" s="43"/>
    </row>
    <row r="34497" spans="65:67" ht="18.75" customHeight="1">
      <c r="BM34497" s="1025"/>
      <c r="BO34497" s="43"/>
    </row>
    <row r="34498" spans="65:67" ht="18.75" customHeight="1">
      <c r="BM34498" s="1025"/>
      <c r="BO34498" s="43"/>
    </row>
    <row r="34499" spans="65:67" ht="18.75" customHeight="1">
      <c r="BM34499" s="1025"/>
      <c r="BO34499" s="43"/>
    </row>
    <row r="34500" spans="65:67" ht="18.75" customHeight="1">
      <c r="BM34500" s="1025"/>
      <c r="BO34500" s="43"/>
    </row>
    <row r="34501" spans="65:67" ht="18.75" customHeight="1">
      <c r="BM34501" s="1025"/>
      <c r="BO34501" s="43"/>
    </row>
    <row r="34502" spans="65:67" ht="18.75" customHeight="1">
      <c r="BM34502" s="1025"/>
      <c r="BO34502" s="43"/>
    </row>
    <row r="34503" spans="65:67" ht="18.75" customHeight="1">
      <c r="BM34503" s="1025"/>
      <c r="BO34503" s="43"/>
    </row>
    <row r="34504" spans="65:67" ht="18.75" customHeight="1">
      <c r="BM34504" s="1025"/>
      <c r="BO34504" s="43"/>
    </row>
    <row r="34505" spans="65:67" ht="18.75" customHeight="1">
      <c r="BM34505" s="1025"/>
      <c r="BO34505" s="43"/>
    </row>
    <row r="34506" spans="65:67" ht="18.75" customHeight="1">
      <c r="BM34506" s="1025"/>
      <c r="BO34506" s="43"/>
    </row>
    <row r="34507" spans="65:67" ht="18.75" customHeight="1">
      <c r="BM34507" s="1025"/>
      <c r="BO34507" s="43"/>
    </row>
    <row r="34508" spans="65:67" ht="18.75" customHeight="1">
      <c r="BM34508" s="1025"/>
      <c r="BO34508" s="43"/>
    </row>
    <row r="34509" spans="65:67" ht="18.75" customHeight="1">
      <c r="BM34509" s="1025"/>
      <c r="BO34509" s="43"/>
    </row>
    <row r="34510" spans="65:67" ht="18.75" customHeight="1">
      <c r="BM34510" s="1025"/>
      <c r="BO34510" s="43"/>
    </row>
    <row r="34511" spans="65:67" ht="18.75" customHeight="1">
      <c r="BM34511" s="1025"/>
      <c r="BO34511" s="43"/>
    </row>
    <row r="34512" spans="65:67" ht="18.75" customHeight="1">
      <c r="BM34512" s="1025"/>
      <c r="BO34512" s="43"/>
    </row>
    <row r="34513" spans="65:67" ht="18.75" customHeight="1">
      <c r="BM34513" s="1025"/>
      <c r="BO34513" s="43"/>
    </row>
    <row r="34514" spans="65:67" ht="18.75" customHeight="1">
      <c r="BM34514" s="1025"/>
      <c r="BO34514" s="43"/>
    </row>
    <row r="34515" spans="65:67" ht="18.75" customHeight="1">
      <c r="BM34515" s="1025"/>
      <c r="BO34515" s="43"/>
    </row>
    <row r="34516" spans="65:67" ht="18.75" customHeight="1">
      <c r="BM34516" s="1025"/>
      <c r="BO34516" s="43"/>
    </row>
    <row r="34517" spans="65:67" ht="18.75" customHeight="1">
      <c r="BM34517" s="1025"/>
      <c r="BO34517" s="43"/>
    </row>
    <row r="34518" spans="65:67" ht="18.75" customHeight="1">
      <c r="BM34518" s="1025"/>
      <c r="BO34518" s="43"/>
    </row>
    <row r="34519" spans="65:67" ht="18.75" customHeight="1">
      <c r="BM34519" s="1025"/>
      <c r="BO34519" s="43"/>
    </row>
    <row r="34520" spans="65:67" ht="18.75" customHeight="1">
      <c r="BM34520" s="1025"/>
      <c r="BO34520" s="43"/>
    </row>
    <row r="34521" spans="65:67" ht="18.75" customHeight="1">
      <c r="BM34521" s="1025"/>
      <c r="BO34521" s="43"/>
    </row>
    <row r="34522" spans="65:67" ht="18.75" customHeight="1">
      <c r="BM34522" s="1025"/>
      <c r="BO34522" s="43"/>
    </row>
    <row r="34523" spans="65:67" ht="18.75" customHeight="1">
      <c r="BM34523" s="1025"/>
      <c r="BO34523" s="43"/>
    </row>
    <row r="34524" spans="65:67" ht="18.75" customHeight="1">
      <c r="BM34524" s="1025"/>
      <c r="BO34524" s="43"/>
    </row>
    <row r="34525" spans="65:67" ht="18.75" customHeight="1">
      <c r="BM34525" s="1025"/>
      <c r="BO34525" s="43"/>
    </row>
    <row r="34526" spans="65:67" ht="18.75" customHeight="1">
      <c r="BM34526" s="1025"/>
      <c r="BO34526" s="43"/>
    </row>
    <row r="34527" spans="65:67" ht="18.75" customHeight="1">
      <c r="BM34527" s="1025"/>
      <c r="BO34527" s="43"/>
    </row>
    <row r="34528" spans="65:67" ht="18.75" customHeight="1">
      <c r="BM34528" s="1025"/>
      <c r="BO34528" s="43"/>
    </row>
    <row r="34529" spans="65:67" ht="18.75" customHeight="1">
      <c r="BM34529" s="1025"/>
      <c r="BO34529" s="43"/>
    </row>
    <row r="34530" spans="65:67" ht="18.75" customHeight="1">
      <c r="BM34530" s="1025"/>
      <c r="BO34530" s="43"/>
    </row>
    <row r="34531" spans="65:67" ht="18.75" customHeight="1">
      <c r="BM34531" s="1025"/>
      <c r="BO34531" s="43"/>
    </row>
    <row r="34532" spans="65:67" ht="18.75" customHeight="1">
      <c r="BM34532" s="1025"/>
      <c r="BO34532" s="43"/>
    </row>
    <row r="34533" spans="65:67" ht="18.75" customHeight="1">
      <c r="BM34533" s="1025"/>
      <c r="BO34533" s="43"/>
    </row>
    <row r="34534" spans="65:67" ht="18.75" customHeight="1">
      <c r="BM34534" s="1025"/>
      <c r="BO34534" s="43"/>
    </row>
    <row r="34535" spans="65:67" ht="18.75" customHeight="1">
      <c r="BM34535" s="1025"/>
      <c r="BO34535" s="43"/>
    </row>
    <row r="34536" spans="65:67" ht="18.75" customHeight="1">
      <c r="BM34536" s="1025"/>
      <c r="BO34536" s="43"/>
    </row>
    <row r="34537" spans="65:67" ht="18.75" customHeight="1">
      <c r="BM34537" s="1025"/>
      <c r="BO34537" s="43"/>
    </row>
    <row r="34538" spans="65:67" ht="18.75" customHeight="1">
      <c r="BM34538" s="1025"/>
      <c r="BO34538" s="43"/>
    </row>
    <row r="34539" spans="65:67" ht="18.75" customHeight="1">
      <c r="BM34539" s="1025"/>
      <c r="BO34539" s="43"/>
    </row>
    <row r="34540" spans="65:67" ht="18.75" customHeight="1">
      <c r="BM34540" s="1025"/>
      <c r="BO34540" s="43"/>
    </row>
    <row r="34541" spans="65:67" ht="18.75" customHeight="1">
      <c r="BM34541" s="1025"/>
      <c r="BO34541" s="43"/>
    </row>
    <row r="34542" spans="65:67" ht="18.75" customHeight="1">
      <c r="BM34542" s="1025"/>
      <c r="BO34542" s="43"/>
    </row>
    <row r="34543" spans="65:67" ht="18.75" customHeight="1">
      <c r="BM34543" s="1025"/>
      <c r="BO34543" s="43"/>
    </row>
    <row r="34544" spans="65:67" ht="18.75" customHeight="1">
      <c r="BM34544" s="1025"/>
      <c r="BO34544" s="43"/>
    </row>
    <row r="34545" spans="65:67" ht="18.75" customHeight="1">
      <c r="BM34545" s="1025"/>
      <c r="BO34545" s="43"/>
    </row>
    <row r="34546" spans="65:67" ht="18.75" customHeight="1">
      <c r="BM34546" s="1025"/>
      <c r="BO34546" s="43"/>
    </row>
    <row r="34547" spans="65:67" ht="18.75" customHeight="1">
      <c r="BM34547" s="1025"/>
      <c r="BO34547" s="43"/>
    </row>
    <row r="34548" spans="65:67" ht="18.75" customHeight="1">
      <c r="BM34548" s="1025"/>
      <c r="BO34548" s="43"/>
    </row>
    <row r="34549" spans="65:67" ht="18.75" customHeight="1">
      <c r="BM34549" s="1025"/>
      <c r="BO34549" s="43"/>
    </row>
    <row r="34550" spans="65:67" ht="18.75" customHeight="1">
      <c r="BM34550" s="1025"/>
      <c r="BO34550" s="43"/>
    </row>
    <row r="34551" spans="65:67" ht="18.75" customHeight="1">
      <c r="BM34551" s="1025"/>
      <c r="BO34551" s="43"/>
    </row>
    <row r="34552" spans="65:67" ht="18.75" customHeight="1">
      <c r="BM34552" s="1025"/>
      <c r="BO34552" s="43"/>
    </row>
    <row r="34553" spans="65:67" ht="18.75" customHeight="1">
      <c r="BM34553" s="1025"/>
      <c r="BO34553" s="43"/>
    </row>
    <row r="34554" spans="65:67" ht="18.75" customHeight="1">
      <c r="BM34554" s="1025"/>
      <c r="BO34554" s="43"/>
    </row>
    <row r="34555" spans="65:67" ht="18.75" customHeight="1">
      <c r="BM34555" s="1025"/>
      <c r="BO34555" s="43"/>
    </row>
    <row r="34556" spans="65:67" ht="18.75" customHeight="1">
      <c r="BM34556" s="1025"/>
      <c r="BO34556" s="43"/>
    </row>
    <row r="34557" spans="65:67" ht="18.75" customHeight="1">
      <c r="BM34557" s="1025"/>
      <c r="BO34557" s="43"/>
    </row>
    <row r="34558" spans="65:67" ht="18.75" customHeight="1">
      <c r="BM34558" s="1025"/>
      <c r="BO34558" s="43"/>
    </row>
    <row r="34559" spans="65:67" ht="18.75" customHeight="1">
      <c r="BM34559" s="1025"/>
      <c r="BO34559" s="43"/>
    </row>
    <row r="34560" spans="65:67" ht="18.75" customHeight="1">
      <c r="BM34560" s="1025"/>
      <c r="BO34560" s="43"/>
    </row>
    <row r="34561" spans="65:67" ht="18.75" customHeight="1">
      <c r="BM34561" s="1025"/>
      <c r="BO34561" s="43"/>
    </row>
    <row r="34562" spans="65:67" ht="18.75" customHeight="1">
      <c r="BM34562" s="1025"/>
      <c r="BO34562" s="43"/>
    </row>
    <row r="34563" spans="65:67" ht="18.75" customHeight="1">
      <c r="BM34563" s="1025"/>
      <c r="BO34563" s="43"/>
    </row>
    <row r="34564" spans="65:67" ht="18.75" customHeight="1">
      <c r="BM34564" s="1025"/>
      <c r="BO34564" s="43"/>
    </row>
    <row r="34565" spans="65:67" ht="18.75" customHeight="1">
      <c r="BM34565" s="1025"/>
      <c r="BO34565" s="43"/>
    </row>
    <row r="34566" spans="65:67" ht="18.75" customHeight="1">
      <c r="BM34566" s="1025"/>
      <c r="BO34566" s="43"/>
    </row>
    <row r="34567" spans="65:67" ht="18.75" customHeight="1">
      <c r="BM34567" s="1025"/>
      <c r="BO34567" s="43"/>
    </row>
    <row r="34568" spans="65:67" ht="18.75" customHeight="1">
      <c r="BM34568" s="1025"/>
      <c r="BO34568" s="43"/>
    </row>
    <row r="34569" spans="65:67" ht="18.75" customHeight="1">
      <c r="BM34569" s="1025"/>
      <c r="BO34569" s="43"/>
    </row>
    <row r="34570" spans="65:67" ht="18.75" customHeight="1">
      <c r="BM34570" s="1025"/>
      <c r="BO34570" s="43"/>
    </row>
    <row r="34571" spans="65:67" ht="18.75" customHeight="1">
      <c r="BM34571" s="1025"/>
      <c r="BO34571" s="43"/>
    </row>
    <row r="34572" spans="65:67" ht="18.75" customHeight="1">
      <c r="BM34572" s="1025"/>
      <c r="BO34572" s="43"/>
    </row>
    <row r="34573" spans="65:67" ht="18.75" customHeight="1">
      <c r="BM34573" s="1025"/>
      <c r="BO34573" s="43"/>
    </row>
    <row r="34574" spans="65:67" ht="18.75" customHeight="1">
      <c r="BM34574" s="1025"/>
      <c r="BO34574" s="43"/>
    </row>
    <row r="34575" spans="65:67" ht="18.75" customHeight="1">
      <c r="BM34575" s="1025"/>
      <c r="BO34575" s="43"/>
    </row>
    <row r="34576" spans="65:67" ht="18.75" customHeight="1">
      <c r="BM34576" s="1025"/>
      <c r="BO34576" s="43"/>
    </row>
    <row r="34577" spans="65:67" ht="18.75" customHeight="1">
      <c r="BM34577" s="1025"/>
      <c r="BO34577" s="43"/>
    </row>
    <row r="34578" spans="65:67" ht="18.75" customHeight="1">
      <c r="BM34578" s="1025"/>
      <c r="BO34578" s="43"/>
    </row>
    <row r="34579" spans="65:67" ht="18.75" customHeight="1">
      <c r="BM34579" s="1025"/>
      <c r="BO34579" s="43"/>
    </row>
    <row r="34580" spans="65:67" ht="18.75" customHeight="1">
      <c r="BM34580" s="1025"/>
      <c r="BO34580" s="43"/>
    </row>
    <row r="34581" spans="65:67" ht="18.75" customHeight="1">
      <c r="BM34581" s="1025"/>
      <c r="BO34581" s="43"/>
    </row>
    <row r="34582" spans="65:67" ht="18.75" customHeight="1">
      <c r="BM34582" s="1025"/>
      <c r="BO34582" s="43"/>
    </row>
    <row r="34583" spans="65:67" ht="18.75" customHeight="1">
      <c r="BM34583" s="1025"/>
      <c r="BO34583" s="43"/>
    </row>
    <row r="34584" spans="65:67" ht="18.75" customHeight="1">
      <c r="BM34584" s="1025"/>
      <c r="BO34584" s="43"/>
    </row>
    <row r="34585" spans="65:67" ht="18.75" customHeight="1">
      <c r="BM34585" s="1025"/>
      <c r="BO34585" s="43"/>
    </row>
    <row r="34586" spans="65:67" ht="18.75" customHeight="1">
      <c r="BM34586" s="1025"/>
      <c r="BO34586" s="43"/>
    </row>
    <row r="34587" spans="65:67" ht="18.75" customHeight="1">
      <c r="BM34587" s="1025"/>
      <c r="BO34587" s="43"/>
    </row>
    <row r="34588" spans="65:67" ht="18.75" customHeight="1">
      <c r="BM34588" s="1025"/>
      <c r="BO34588" s="43"/>
    </row>
    <row r="34589" spans="65:67" ht="18.75" customHeight="1">
      <c r="BM34589" s="1025"/>
      <c r="BO34589" s="43"/>
    </row>
    <row r="34590" spans="65:67" ht="18.75" customHeight="1">
      <c r="BM34590" s="1025"/>
      <c r="BO34590" s="43"/>
    </row>
    <row r="34591" spans="65:67" ht="18.75" customHeight="1">
      <c r="BM34591" s="1025"/>
      <c r="BO34591" s="43"/>
    </row>
    <row r="34592" spans="65:67" ht="18.75" customHeight="1">
      <c r="BM34592" s="1025"/>
      <c r="BO34592" s="43"/>
    </row>
    <row r="34593" spans="65:67" ht="18.75" customHeight="1">
      <c r="BM34593" s="1025"/>
      <c r="BO34593" s="43"/>
    </row>
    <row r="34594" spans="65:67" ht="18.75" customHeight="1">
      <c r="BM34594" s="1025"/>
      <c r="BO34594" s="43"/>
    </row>
    <row r="34595" spans="65:67" ht="18.75" customHeight="1">
      <c r="BM34595" s="1025"/>
      <c r="BO34595" s="43"/>
    </row>
    <row r="34596" spans="65:67" ht="18.75" customHeight="1">
      <c r="BM34596" s="1025"/>
      <c r="BO34596" s="43"/>
    </row>
    <row r="34597" spans="65:67" ht="18.75" customHeight="1">
      <c r="BM34597" s="1025"/>
      <c r="BO34597" s="43"/>
    </row>
    <row r="34598" spans="65:67" ht="18.75" customHeight="1">
      <c r="BM34598" s="1025"/>
      <c r="BO34598" s="43"/>
    </row>
    <row r="34599" spans="65:67" ht="18.75" customHeight="1">
      <c r="BM34599" s="1025"/>
      <c r="BO34599" s="43"/>
    </row>
    <row r="34600" spans="65:67" ht="18.75" customHeight="1">
      <c r="BM34600" s="1025"/>
      <c r="BO34600" s="43"/>
    </row>
    <row r="34601" spans="65:67" ht="18.75" customHeight="1">
      <c r="BM34601" s="1025"/>
      <c r="BO34601" s="43"/>
    </row>
    <row r="34602" spans="65:67" ht="18.75" customHeight="1">
      <c r="BM34602" s="1025"/>
      <c r="BO34602" s="43"/>
    </row>
    <row r="34603" spans="65:67" ht="18.75" customHeight="1">
      <c r="BM34603" s="1025"/>
      <c r="BO34603" s="43"/>
    </row>
    <row r="34604" spans="65:67" ht="18.75" customHeight="1">
      <c r="BM34604" s="1025"/>
      <c r="BO34604" s="43"/>
    </row>
    <row r="34605" spans="65:67" ht="18.75" customHeight="1">
      <c r="BM34605" s="1025"/>
      <c r="BO34605" s="43"/>
    </row>
    <row r="34606" spans="65:67" ht="18.75" customHeight="1">
      <c r="BM34606" s="1025"/>
      <c r="BO34606" s="43"/>
    </row>
    <row r="34607" spans="65:67" ht="18.75" customHeight="1">
      <c r="BM34607" s="1025"/>
      <c r="BO34607" s="43"/>
    </row>
    <row r="34608" spans="65:67" ht="18.75" customHeight="1">
      <c r="BM34608" s="1025"/>
      <c r="BO34608" s="43"/>
    </row>
    <row r="34609" spans="65:67" ht="18.75" customHeight="1">
      <c r="BM34609" s="1025"/>
      <c r="BO34609" s="43"/>
    </row>
    <row r="34610" spans="65:67" ht="18.75" customHeight="1">
      <c r="BM34610" s="1025"/>
      <c r="BO34610" s="43"/>
    </row>
    <row r="34611" spans="65:67" ht="18.75" customHeight="1">
      <c r="BM34611" s="1025"/>
      <c r="BO34611" s="43"/>
    </row>
    <row r="34612" spans="65:67" ht="18.75" customHeight="1">
      <c r="BM34612" s="1025"/>
      <c r="BO34612" s="43"/>
    </row>
    <row r="34613" spans="65:67" ht="18.75" customHeight="1">
      <c r="BM34613" s="1025"/>
      <c r="BO34613" s="43"/>
    </row>
    <row r="34614" spans="65:67" ht="18.75" customHeight="1">
      <c r="BM34614" s="1025"/>
      <c r="BO34614" s="43"/>
    </row>
    <row r="34615" spans="65:67" ht="18.75" customHeight="1">
      <c r="BM34615" s="1025"/>
      <c r="BO34615" s="43"/>
    </row>
    <row r="34616" spans="65:67" ht="18.75" customHeight="1">
      <c r="BM34616" s="1025"/>
      <c r="BO34616" s="43"/>
    </row>
    <row r="34617" spans="65:67" ht="18.75" customHeight="1">
      <c r="BM34617" s="1025"/>
      <c r="BO34617" s="43"/>
    </row>
    <row r="34618" spans="65:67" ht="18.75" customHeight="1">
      <c r="BM34618" s="1025"/>
      <c r="BO34618" s="43"/>
    </row>
    <row r="34619" spans="65:67" ht="18.75" customHeight="1">
      <c r="BM34619" s="1025"/>
      <c r="BO34619" s="43"/>
    </row>
    <row r="34620" spans="65:67" ht="18.75" customHeight="1">
      <c r="BM34620" s="1025"/>
      <c r="BO34620" s="43"/>
    </row>
    <row r="34621" spans="65:67" ht="18.75" customHeight="1">
      <c r="BM34621" s="1025"/>
      <c r="BO34621" s="43"/>
    </row>
    <row r="34622" spans="65:67" ht="18.75" customHeight="1">
      <c r="BM34622" s="1025"/>
      <c r="BO34622" s="43"/>
    </row>
    <row r="34623" spans="65:67" ht="18.75" customHeight="1">
      <c r="BM34623" s="1025"/>
      <c r="BO34623" s="43"/>
    </row>
    <row r="34624" spans="65:67" ht="18.75" customHeight="1">
      <c r="BM34624" s="1025"/>
      <c r="BO34624" s="43"/>
    </row>
    <row r="34625" spans="65:67" ht="18.75" customHeight="1">
      <c r="BM34625" s="1025"/>
      <c r="BO34625" s="43"/>
    </row>
    <row r="34626" spans="65:67" ht="18.75" customHeight="1">
      <c r="BM34626" s="1025"/>
      <c r="BO34626" s="43"/>
    </row>
    <row r="34627" spans="65:67" ht="18.75" customHeight="1">
      <c r="BM34627" s="1025"/>
      <c r="BO34627" s="43"/>
    </row>
    <row r="34628" spans="65:67" ht="18.75" customHeight="1">
      <c r="BM34628" s="1025"/>
      <c r="BO34628" s="43"/>
    </row>
    <row r="34629" spans="65:67" ht="18.75" customHeight="1">
      <c r="BM34629" s="1025"/>
      <c r="BO34629" s="43"/>
    </row>
    <row r="34630" spans="65:67" ht="18.75" customHeight="1">
      <c r="BM34630" s="1025"/>
      <c r="BO34630" s="43"/>
    </row>
    <row r="34631" spans="65:67" ht="18.75" customHeight="1">
      <c r="BM34631" s="1025"/>
      <c r="BO34631" s="43"/>
    </row>
    <row r="34632" spans="65:67" ht="18.75" customHeight="1">
      <c r="BM34632" s="1025"/>
      <c r="BO34632" s="43"/>
    </row>
    <row r="34633" spans="65:67" ht="18.75" customHeight="1">
      <c r="BM34633" s="1025"/>
      <c r="BO34633" s="43"/>
    </row>
    <row r="34634" spans="65:67" ht="18.75" customHeight="1">
      <c r="BM34634" s="1025"/>
      <c r="BO34634" s="43"/>
    </row>
    <row r="34635" spans="65:67" ht="18.75" customHeight="1">
      <c r="BM34635" s="1025"/>
      <c r="BO34635" s="43"/>
    </row>
    <row r="34636" spans="65:67" ht="18.75" customHeight="1">
      <c r="BM34636" s="1025"/>
      <c r="BO34636" s="43"/>
    </row>
    <row r="34637" spans="65:67" ht="18.75" customHeight="1">
      <c r="BM34637" s="1025"/>
      <c r="BO34637" s="43"/>
    </row>
    <row r="34638" spans="65:67" ht="18.75" customHeight="1">
      <c r="BM34638" s="1025"/>
      <c r="BO34638" s="43"/>
    </row>
    <row r="34639" spans="65:67" ht="18.75" customHeight="1">
      <c r="BM34639" s="1025"/>
      <c r="BO34639" s="43"/>
    </row>
    <row r="34640" spans="65:67" ht="18.75" customHeight="1">
      <c r="BM34640" s="1025"/>
      <c r="BO34640" s="43"/>
    </row>
    <row r="34641" spans="65:67" ht="18.75" customHeight="1">
      <c r="BM34641" s="1025"/>
      <c r="BO34641" s="43"/>
    </row>
    <row r="34642" spans="65:67" ht="18.75" customHeight="1">
      <c r="BM34642" s="1025"/>
      <c r="BO34642" s="43"/>
    </row>
    <row r="34643" spans="65:67" ht="18.75" customHeight="1">
      <c r="BM34643" s="1025"/>
      <c r="BO34643" s="43"/>
    </row>
    <row r="34644" spans="65:67" ht="18.75" customHeight="1">
      <c r="BM34644" s="1025"/>
      <c r="BO34644" s="43"/>
    </row>
    <row r="34645" spans="65:67" ht="18.75" customHeight="1">
      <c r="BM34645" s="1025"/>
      <c r="BO34645" s="43"/>
    </row>
    <row r="34646" spans="65:67" ht="18.75" customHeight="1">
      <c r="BM34646" s="1025"/>
      <c r="BO34646" s="43"/>
    </row>
    <row r="34647" spans="65:67" ht="18.75" customHeight="1">
      <c r="BM34647" s="1025"/>
      <c r="BO34647" s="43"/>
    </row>
    <row r="34648" spans="65:67" ht="18.75" customHeight="1">
      <c r="BM34648" s="1025"/>
      <c r="BO34648" s="43"/>
    </row>
    <row r="34649" spans="65:67" ht="18.75" customHeight="1">
      <c r="BM34649" s="1025"/>
      <c r="BO34649" s="43"/>
    </row>
    <row r="34650" spans="65:67" ht="18.75" customHeight="1">
      <c r="BM34650" s="1025"/>
      <c r="BO34650" s="43"/>
    </row>
    <row r="34651" spans="65:67" ht="18.75" customHeight="1">
      <c r="BM34651" s="1025"/>
      <c r="BO34651" s="43"/>
    </row>
    <row r="34652" spans="65:67" ht="18.75" customHeight="1">
      <c r="BM34652" s="1025"/>
      <c r="BO34652" s="43"/>
    </row>
    <row r="34653" spans="65:67" ht="18.75" customHeight="1">
      <c r="BM34653" s="1025"/>
      <c r="BO34653" s="43"/>
    </row>
    <row r="34654" spans="65:67" ht="18.75" customHeight="1">
      <c r="BM34654" s="1025"/>
      <c r="BO34654" s="43"/>
    </row>
    <row r="34655" spans="65:67" ht="18.75" customHeight="1">
      <c r="BM34655" s="1025"/>
      <c r="BO34655" s="43"/>
    </row>
    <row r="34656" spans="65:67" ht="18.75" customHeight="1">
      <c r="BM34656" s="1025"/>
      <c r="BO34656" s="43"/>
    </row>
    <row r="34657" spans="65:67" ht="18.75" customHeight="1">
      <c r="BM34657" s="1025"/>
      <c r="BO34657" s="43"/>
    </row>
    <row r="34658" spans="65:67" ht="18.75" customHeight="1">
      <c r="BM34658" s="1025"/>
      <c r="BO34658" s="43"/>
    </row>
    <row r="34659" spans="65:67" ht="18.75" customHeight="1">
      <c r="BM34659" s="1025"/>
      <c r="BO34659" s="43"/>
    </row>
    <row r="34660" spans="65:67" ht="18.75" customHeight="1">
      <c r="BM34660" s="1025"/>
      <c r="BO34660" s="43"/>
    </row>
    <row r="34661" spans="65:67" ht="18.75" customHeight="1">
      <c r="BM34661" s="1025"/>
      <c r="BO34661" s="43"/>
    </row>
    <row r="34662" spans="65:67" ht="18.75" customHeight="1">
      <c r="BM34662" s="1025"/>
      <c r="BO34662" s="43"/>
    </row>
    <row r="34663" spans="65:67" ht="18.75" customHeight="1">
      <c r="BM34663" s="1025"/>
      <c r="BO34663" s="43"/>
    </row>
    <row r="34664" spans="65:67" ht="18.75" customHeight="1">
      <c r="BM34664" s="1025"/>
      <c r="BO34664" s="43"/>
    </row>
    <row r="34665" spans="65:67" ht="18.75" customHeight="1">
      <c r="BM34665" s="1025"/>
      <c r="BO34665" s="43"/>
    </row>
    <row r="34666" spans="65:67" ht="18.75" customHeight="1">
      <c r="BM34666" s="1025"/>
      <c r="BO34666" s="43"/>
    </row>
    <row r="34667" spans="65:67" ht="18.75" customHeight="1">
      <c r="BM34667" s="1025"/>
      <c r="BO34667" s="43"/>
    </row>
    <row r="34668" spans="65:67" ht="18.75" customHeight="1">
      <c r="BM34668" s="1025"/>
      <c r="BO34668" s="43"/>
    </row>
    <row r="34669" spans="65:67" ht="18.75" customHeight="1">
      <c r="BM34669" s="1025"/>
      <c r="BO34669" s="43"/>
    </row>
    <row r="34670" spans="65:67" ht="18.75" customHeight="1">
      <c r="BM34670" s="1025"/>
      <c r="BO34670" s="43"/>
    </row>
    <row r="34671" spans="65:67" ht="18.75" customHeight="1">
      <c r="BM34671" s="1025"/>
      <c r="BO34671" s="43"/>
    </row>
    <row r="34672" spans="65:67" ht="18.75" customHeight="1">
      <c r="BM34672" s="1025"/>
      <c r="BO34672" s="43"/>
    </row>
    <row r="34673" spans="65:67" ht="18.75" customHeight="1">
      <c r="BM34673" s="1025"/>
      <c r="BO34673" s="43"/>
    </row>
    <row r="34674" spans="65:67" ht="18.75" customHeight="1">
      <c r="BM34674" s="1025"/>
      <c r="BO34674" s="43"/>
    </row>
    <row r="34675" spans="65:67" ht="18.75" customHeight="1">
      <c r="BM34675" s="1025"/>
      <c r="BO34675" s="43"/>
    </row>
    <row r="34676" spans="65:67" ht="18.75" customHeight="1">
      <c r="BM34676" s="1025"/>
      <c r="BO34676" s="43"/>
    </row>
    <row r="34677" spans="65:67" ht="18.75" customHeight="1">
      <c r="BM34677" s="1025"/>
      <c r="BO34677" s="43"/>
    </row>
    <row r="34678" spans="65:67" ht="18.75" customHeight="1">
      <c r="BM34678" s="1025"/>
      <c r="BO34678" s="43"/>
    </row>
    <row r="34679" spans="65:67" ht="18.75" customHeight="1">
      <c r="BM34679" s="1025"/>
      <c r="BO34679" s="43"/>
    </row>
    <row r="34680" spans="65:67" ht="18.75" customHeight="1">
      <c r="BM34680" s="1025"/>
      <c r="BO34680" s="43"/>
    </row>
    <row r="34681" spans="65:67" ht="18.75" customHeight="1">
      <c r="BM34681" s="1025"/>
      <c r="BO34681" s="43"/>
    </row>
    <row r="34682" spans="65:67" ht="18.75" customHeight="1">
      <c r="BM34682" s="1025"/>
      <c r="BO34682" s="43"/>
    </row>
    <row r="34683" spans="65:67" ht="18.75" customHeight="1">
      <c r="BM34683" s="1025"/>
      <c r="BO34683" s="43"/>
    </row>
    <row r="34684" spans="65:67" ht="18.75" customHeight="1">
      <c r="BM34684" s="1025"/>
      <c r="BO34684" s="43"/>
    </row>
    <row r="34685" spans="65:67" ht="18.75" customHeight="1">
      <c r="BM34685" s="1025"/>
      <c r="BO34685" s="43"/>
    </row>
    <row r="34686" spans="65:67" ht="18.75" customHeight="1">
      <c r="BM34686" s="1025"/>
      <c r="BO34686" s="43"/>
    </row>
    <row r="34687" spans="65:67" ht="18.75" customHeight="1">
      <c r="BM34687" s="1025"/>
      <c r="BO34687" s="43"/>
    </row>
    <row r="34688" spans="65:67" ht="18.75" customHeight="1">
      <c r="BM34688" s="1025"/>
      <c r="BO34688" s="43"/>
    </row>
    <row r="34689" spans="65:67" ht="18.75" customHeight="1">
      <c r="BM34689" s="1025"/>
      <c r="BO34689" s="43"/>
    </row>
    <row r="34690" spans="65:67" ht="18.75" customHeight="1">
      <c r="BM34690" s="1025"/>
      <c r="BO34690" s="43"/>
    </row>
    <row r="34691" spans="65:67" ht="18.75" customHeight="1">
      <c r="BM34691" s="1025"/>
      <c r="BO34691" s="43"/>
    </row>
    <row r="34692" spans="65:67" ht="18.75" customHeight="1">
      <c r="BM34692" s="1025"/>
      <c r="BO34692" s="43"/>
    </row>
    <row r="34693" spans="65:67" ht="18.75" customHeight="1">
      <c r="BM34693" s="1025"/>
      <c r="BO34693" s="43"/>
    </row>
    <row r="34694" spans="65:67" ht="18.75" customHeight="1">
      <c r="BM34694" s="1025"/>
      <c r="BO34694" s="43"/>
    </row>
    <row r="34695" spans="65:67" ht="18.75" customHeight="1">
      <c r="BM34695" s="1025"/>
      <c r="BO34695" s="43"/>
    </row>
    <row r="34696" spans="65:67" ht="18.75" customHeight="1">
      <c r="BM34696" s="1025"/>
      <c r="BO34696" s="43"/>
    </row>
    <row r="34697" spans="65:67" ht="18.75" customHeight="1">
      <c r="BM34697" s="1025"/>
      <c r="BO34697" s="43"/>
    </row>
    <row r="34698" spans="65:67" ht="18.75" customHeight="1">
      <c r="BM34698" s="1025"/>
      <c r="BO34698" s="43"/>
    </row>
    <row r="34699" spans="65:67" ht="18.75" customHeight="1">
      <c r="BM34699" s="1025"/>
      <c r="BO34699" s="43"/>
    </row>
    <row r="34700" spans="65:67" ht="18.75" customHeight="1">
      <c r="BM34700" s="1025"/>
      <c r="BO34700" s="43"/>
    </row>
    <row r="34701" spans="65:67" ht="18.75" customHeight="1">
      <c r="BM34701" s="1025"/>
      <c r="BO34701" s="43"/>
    </row>
    <row r="34702" spans="65:67" ht="18.75" customHeight="1">
      <c r="BM34702" s="1025"/>
      <c r="BO34702" s="43"/>
    </row>
    <row r="34703" spans="65:67" ht="18.75" customHeight="1">
      <c r="BM34703" s="1025"/>
      <c r="BO34703" s="43"/>
    </row>
    <row r="34704" spans="65:67" ht="18.75" customHeight="1">
      <c r="BM34704" s="1025"/>
      <c r="BO34704" s="43"/>
    </row>
    <row r="34705" spans="65:67" ht="18.75" customHeight="1">
      <c r="BM34705" s="1025"/>
      <c r="BO34705" s="43"/>
    </row>
    <row r="34706" spans="65:67" ht="18.75" customHeight="1">
      <c r="BM34706" s="1025"/>
      <c r="BO34706" s="43"/>
    </row>
    <row r="34707" spans="65:67" ht="18.75" customHeight="1">
      <c r="BM34707" s="1025"/>
      <c r="BO34707" s="43"/>
    </row>
    <row r="34708" spans="65:67" ht="18.75" customHeight="1">
      <c r="BM34708" s="1025"/>
      <c r="BO34708" s="43"/>
    </row>
    <row r="34709" spans="65:67" ht="18.75" customHeight="1">
      <c r="BM34709" s="1025"/>
      <c r="BO34709" s="43"/>
    </row>
    <row r="34710" spans="65:67" ht="18.75" customHeight="1">
      <c r="BM34710" s="1025"/>
      <c r="BO34710" s="43"/>
    </row>
    <row r="34711" spans="65:67" ht="18.75" customHeight="1">
      <c r="BM34711" s="1025"/>
      <c r="BO34711" s="43"/>
    </row>
    <row r="34712" spans="65:67" ht="18.75" customHeight="1">
      <c r="BM34712" s="1025"/>
      <c r="BO34712" s="43"/>
    </row>
    <row r="34713" spans="65:67" ht="18.75" customHeight="1">
      <c r="BM34713" s="1025"/>
      <c r="BO34713" s="43"/>
    </row>
    <row r="34714" spans="65:67" ht="18.75" customHeight="1">
      <c r="BM34714" s="1025"/>
      <c r="BO34714" s="43"/>
    </row>
    <row r="34715" spans="65:67" ht="18.75" customHeight="1">
      <c r="BM34715" s="1025"/>
      <c r="BO34715" s="43"/>
    </row>
    <row r="34716" spans="65:67" ht="18.75" customHeight="1">
      <c r="BM34716" s="1025"/>
      <c r="BO34716" s="43"/>
    </row>
    <row r="34717" spans="65:67" ht="18.75" customHeight="1">
      <c r="BM34717" s="1025"/>
      <c r="BO34717" s="43"/>
    </row>
    <row r="34718" spans="65:67" ht="18.75" customHeight="1">
      <c r="BM34718" s="1025"/>
      <c r="BO34718" s="43"/>
    </row>
    <row r="34719" spans="65:67" ht="18.75" customHeight="1">
      <c r="BM34719" s="1025"/>
      <c r="BO34719" s="43"/>
    </row>
    <row r="34720" spans="65:67" ht="18.75" customHeight="1">
      <c r="BM34720" s="1025"/>
      <c r="BO34720" s="43"/>
    </row>
    <row r="34721" spans="65:67" ht="18.75" customHeight="1">
      <c r="BM34721" s="1025"/>
      <c r="BO34721" s="43"/>
    </row>
    <row r="34722" spans="65:67" ht="18.75" customHeight="1">
      <c r="BM34722" s="1025"/>
      <c r="BO34722" s="43"/>
    </row>
    <row r="34723" spans="65:67" ht="18.75" customHeight="1">
      <c r="BM34723" s="1025"/>
      <c r="BO34723" s="43"/>
    </row>
    <row r="34724" spans="65:67" ht="18.75" customHeight="1">
      <c r="BM34724" s="1025"/>
      <c r="BO34724" s="43"/>
    </row>
    <row r="34725" spans="65:67" ht="18.75" customHeight="1">
      <c r="BM34725" s="1025"/>
      <c r="BO34725" s="43"/>
    </row>
    <row r="34726" spans="65:67" ht="18.75" customHeight="1">
      <c r="BM34726" s="1025"/>
      <c r="BO34726" s="43"/>
    </row>
    <row r="34727" spans="65:67" ht="18.75" customHeight="1">
      <c r="BM34727" s="1025"/>
      <c r="BO34727" s="43"/>
    </row>
    <row r="34728" spans="65:67" ht="18.75" customHeight="1">
      <c r="BM34728" s="1025"/>
      <c r="BO34728" s="43"/>
    </row>
    <row r="34729" spans="65:67" ht="18.75" customHeight="1">
      <c r="BM34729" s="1025"/>
      <c r="BO34729" s="43"/>
    </row>
    <row r="34730" spans="65:67" ht="18.75" customHeight="1">
      <c r="BM34730" s="1025"/>
      <c r="BO34730" s="43"/>
    </row>
    <row r="34731" spans="65:67" ht="18.75" customHeight="1">
      <c r="BM34731" s="1025"/>
      <c r="BO34731" s="43"/>
    </row>
    <row r="34732" spans="65:67" ht="18.75" customHeight="1">
      <c r="BM34732" s="1025"/>
      <c r="BO34732" s="43"/>
    </row>
    <row r="34733" spans="65:67" ht="18.75" customHeight="1">
      <c r="BM34733" s="1025"/>
      <c r="BO34733" s="43"/>
    </row>
    <row r="34734" spans="65:67" ht="18.75" customHeight="1">
      <c r="BM34734" s="1025"/>
      <c r="BO34734" s="43"/>
    </row>
    <row r="34735" spans="65:67" ht="18.75" customHeight="1">
      <c r="BM34735" s="1025"/>
      <c r="BO34735" s="43"/>
    </row>
    <row r="34736" spans="65:67" ht="18.75" customHeight="1">
      <c r="BM34736" s="1025"/>
      <c r="BO34736" s="43"/>
    </row>
    <row r="34737" spans="65:67" ht="18.75" customHeight="1">
      <c r="BM34737" s="1025"/>
      <c r="BO34737" s="43"/>
    </row>
    <row r="34738" spans="65:67" ht="18.75" customHeight="1">
      <c r="BM34738" s="1025"/>
      <c r="BO34738" s="43"/>
    </row>
    <row r="34739" spans="65:67" ht="18.75" customHeight="1">
      <c r="BM34739" s="1025"/>
      <c r="BO34739" s="43"/>
    </row>
    <row r="34740" spans="65:67" ht="18.75" customHeight="1">
      <c r="BM34740" s="1025"/>
      <c r="BO34740" s="43"/>
    </row>
    <row r="34741" spans="65:67" ht="18.75" customHeight="1">
      <c r="BM34741" s="1025"/>
      <c r="BO34741" s="43"/>
    </row>
    <row r="34742" spans="65:67" ht="18.75" customHeight="1">
      <c r="BM34742" s="1025"/>
      <c r="BO34742" s="43"/>
    </row>
    <row r="34743" spans="65:67" ht="18.75" customHeight="1">
      <c r="BM34743" s="1025"/>
      <c r="BO34743" s="43"/>
    </row>
    <row r="34744" spans="65:67" ht="18.75" customHeight="1">
      <c r="BM34744" s="1025"/>
      <c r="BO34744" s="43"/>
    </row>
    <row r="34745" spans="65:67" ht="18.75" customHeight="1">
      <c r="BM34745" s="1025"/>
      <c r="BO34745" s="43"/>
    </row>
    <row r="34746" spans="65:67" ht="18.75" customHeight="1">
      <c r="BM34746" s="1025"/>
      <c r="BO34746" s="43"/>
    </row>
    <row r="34747" spans="65:67" ht="18.75" customHeight="1">
      <c r="BM34747" s="1025"/>
      <c r="BO34747" s="43"/>
    </row>
    <row r="34748" spans="65:67" ht="18.75" customHeight="1">
      <c r="BM34748" s="1025"/>
      <c r="BO34748" s="43"/>
    </row>
    <row r="34749" spans="65:67" ht="18.75" customHeight="1">
      <c r="BM34749" s="1025"/>
      <c r="BO34749" s="43"/>
    </row>
    <row r="34750" spans="65:67" ht="18.75" customHeight="1">
      <c r="BM34750" s="1025"/>
      <c r="BO34750" s="43"/>
    </row>
    <row r="34751" spans="65:67" ht="18.75" customHeight="1">
      <c r="BM34751" s="1025"/>
      <c r="BO34751" s="43"/>
    </row>
    <row r="34752" spans="65:67" ht="18.75" customHeight="1">
      <c r="BM34752" s="1025"/>
      <c r="BO34752" s="43"/>
    </row>
    <row r="34753" spans="65:67" ht="18.75" customHeight="1">
      <c r="BM34753" s="1025"/>
      <c r="BO34753" s="43"/>
    </row>
    <row r="34754" spans="65:67" ht="18.75" customHeight="1">
      <c r="BM34754" s="1025"/>
      <c r="BO34754" s="43"/>
    </row>
    <row r="34755" spans="65:67" ht="18.75" customHeight="1">
      <c r="BM34755" s="1025"/>
      <c r="BO34755" s="43"/>
    </row>
    <row r="34756" spans="65:67" ht="18.75" customHeight="1">
      <c r="BM34756" s="1025"/>
      <c r="BO34756" s="43"/>
    </row>
    <row r="34757" spans="65:67" ht="18.75" customHeight="1">
      <c r="BM34757" s="1025"/>
      <c r="BO34757" s="43"/>
    </row>
    <row r="34758" spans="65:67" ht="18.75" customHeight="1">
      <c r="BM34758" s="1025"/>
      <c r="BO34758" s="43"/>
    </row>
    <row r="34759" spans="65:67" ht="18.75" customHeight="1">
      <c r="BM34759" s="1025"/>
      <c r="BO34759" s="43"/>
    </row>
    <row r="34760" spans="65:67" ht="18.75" customHeight="1">
      <c r="BM34760" s="1025"/>
      <c r="BO34760" s="43"/>
    </row>
    <row r="34761" spans="65:67" ht="18.75" customHeight="1">
      <c r="BM34761" s="1025"/>
      <c r="BO34761" s="43"/>
    </row>
    <row r="34762" spans="65:67" ht="18.75" customHeight="1">
      <c r="BM34762" s="1025"/>
      <c r="BO34762" s="43"/>
    </row>
    <row r="34763" spans="65:67" ht="18.75" customHeight="1">
      <c r="BM34763" s="1025"/>
      <c r="BO34763" s="43"/>
    </row>
    <row r="34764" spans="65:67" ht="18.75" customHeight="1">
      <c r="BM34764" s="1025"/>
      <c r="BO34764" s="43"/>
    </row>
    <row r="34765" spans="65:67" ht="18.75" customHeight="1">
      <c r="BM34765" s="1025"/>
      <c r="BO34765" s="43"/>
    </row>
    <row r="34766" spans="65:67" ht="18.75" customHeight="1">
      <c r="BM34766" s="1025"/>
      <c r="BO34766" s="43"/>
    </row>
    <row r="34767" spans="65:67" ht="18.75" customHeight="1">
      <c r="BM34767" s="1025"/>
      <c r="BO34767" s="43"/>
    </row>
    <row r="34768" spans="65:67" ht="18.75" customHeight="1">
      <c r="BM34768" s="1025"/>
      <c r="BO34768" s="43"/>
    </row>
    <row r="34769" spans="65:67" ht="18.75" customHeight="1">
      <c r="BM34769" s="1025"/>
      <c r="BO34769" s="43"/>
    </row>
    <row r="34770" spans="65:67" ht="18.75" customHeight="1">
      <c r="BM34770" s="1025"/>
      <c r="BO34770" s="43"/>
    </row>
    <row r="34771" spans="65:67" ht="18.75" customHeight="1">
      <c r="BM34771" s="1025"/>
      <c r="BO34771" s="43"/>
    </row>
    <row r="34772" spans="65:67" ht="18.75" customHeight="1">
      <c r="BM34772" s="1025"/>
      <c r="BO34772" s="43"/>
    </row>
    <row r="34773" spans="65:67" ht="18.75" customHeight="1">
      <c r="BM34773" s="1025"/>
      <c r="BO34773" s="43"/>
    </row>
    <row r="34774" spans="65:67" ht="18.75" customHeight="1">
      <c r="BM34774" s="1025"/>
      <c r="BO34774" s="43"/>
    </row>
    <row r="34775" spans="65:67" ht="18.75" customHeight="1">
      <c r="BM34775" s="1025"/>
      <c r="BO34775" s="43"/>
    </row>
    <row r="34776" spans="65:67" ht="18.75" customHeight="1">
      <c r="BM34776" s="1025"/>
      <c r="BO34776" s="43"/>
    </row>
    <row r="34777" spans="65:67" ht="18.75" customHeight="1">
      <c r="BM34777" s="1025"/>
      <c r="BO34777" s="43"/>
    </row>
    <row r="34778" spans="65:67" ht="18.75" customHeight="1">
      <c r="BM34778" s="1025"/>
      <c r="BO34778" s="43"/>
    </row>
    <row r="34779" spans="65:67" ht="18.75" customHeight="1">
      <c r="BM34779" s="1025"/>
      <c r="BO34779" s="43"/>
    </row>
    <row r="34780" spans="65:67" ht="18.75" customHeight="1">
      <c r="BM34780" s="1025"/>
      <c r="BO34780" s="43"/>
    </row>
    <row r="34781" spans="65:67" ht="18.75" customHeight="1">
      <c r="BM34781" s="1025"/>
      <c r="BO34781" s="43"/>
    </row>
    <row r="34782" spans="65:67" ht="18.75" customHeight="1">
      <c r="BM34782" s="1025"/>
      <c r="BO34782" s="43"/>
    </row>
    <row r="34783" spans="65:67" ht="18.75" customHeight="1">
      <c r="BM34783" s="1025"/>
      <c r="BO34783" s="43"/>
    </row>
    <row r="34784" spans="65:67" ht="18.75" customHeight="1">
      <c r="BM34784" s="1025"/>
      <c r="BO34784" s="43"/>
    </row>
    <row r="34785" spans="65:67" ht="18.75" customHeight="1">
      <c r="BM34785" s="1025"/>
      <c r="BO34785" s="43"/>
    </row>
    <row r="34786" spans="65:67" ht="18.75" customHeight="1">
      <c r="BM34786" s="1025"/>
      <c r="BO34786" s="43"/>
    </row>
    <row r="34787" spans="65:67" ht="18.75" customHeight="1">
      <c r="BM34787" s="1025"/>
      <c r="BO34787" s="43"/>
    </row>
    <row r="34788" spans="65:67" ht="18.75" customHeight="1">
      <c r="BM34788" s="1025"/>
      <c r="BO34788" s="43"/>
    </row>
    <row r="34789" spans="65:67" ht="18.75" customHeight="1">
      <c r="BM34789" s="1025"/>
      <c r="BO34789" s="43"/>
    </row>
    <row r="34790" spans="65:67" ht="18.75" customHeight="1">
      <c r="BM34790" s="1025"/>
      <c r="BO34790" s="43"/>
    </row>
    <row r="34791" spans="65:67" ht="18.75" customHeight="1">
      <c r="BM34791" s="1025"/>
      <c r="BO34791" s="43"/>
    </row>
    <row r="34792" spans="65:67" ht="18.75" customHeight="1">
      <c r="BM34792" s="1025"/>
      <c r="BO34792" s="43"/>
    </row>
    <row r="34793" spans="65:67" ht="18.75" customHeight="1">
      <c r="BM34793" s="1025"/>
      <c r="BO34793" s="43"/>
    </row>
    <row r="34794" spans="65:67" ht="18.75" customHeight="1">
      <c r="BM34794" s="1025"/>
      <c r="BO34794" s="43"/>
    </row>
    <row r="34795" spans="65:67" ht="18.75" customHeight="1">
      <c r="BM34795" s="1025"/>
      <c r="BO34795" s="43"/>
    </row>
    <row r="34796" spans="65:67" ht="18.75" customHeight="1">
      <c r="BM34796" s="1025"/>
      <c r="BO34796" s="43"/>
    </row>
    <row r="34797" spans="65:67" ht="18.75" customHeight="1">
      <c r="BM34797" s="1025"/>
      <c r="BO34797" s="43"/>
    </row>
    <row r="34798" spans="65:67" ht="18.75" customHeight="1">
      <c r="BM34798" s="1025"/>
      <c r="BO34798" s="43"/>
    </row>
    <row r="34799" spans="65:67" ht="18.75" customHeight="1">
      <c r="BM34799" s="1025"/>
      <c r="BO34799" s="43"/>
    </row>
    <row r="34800" spans="65:67" ht="18.75" customHeight="1">
      <c r="BM34800" s="1025"/>
      <c r="BO34800" s="43"/>
    </row>
    <row r="34801" spans="65:67" ht="18.75" customHeight="1">
      <c r="BM34801" s="1025"/>
      <c r="BO34801" s="43"/>
    </row>
    <row r="34802" spans="65:67" ht="18.75" customHeight="1">
      <c r="BM34802" s="1025"/>
      <c r="BO34802" s="43"/>
    </row>
    <row r="34803" spans="65:67" ht="18.75" customHeight="1">
      <c r="BM34803" s="1025"/>
      <c r="BO34803" s="43"/>
    </row>
    <row r="34804" spans="65:67" ht="18.75" customHeight="1">
      <c r="BM34804" s="1025"/>
      <c r="BO34804" s="43"/>
    </row>
    <row r="34805" spans="65:67" ht="18.75" customHeight="1">
      <c r="BM34805" s="1025"/>
      <c r="BO34805" s="43"/>
    </row>
    <row r="34806" spans="65:67" ht="18.75" customHeight="1">
      <c r="BM34806" s="1025"/>
      <c r="BO34806" s="43"/>
    </row>
    <row r="34807" spans="65:67" ht="18.75" customHeight="1">
      <c r="BM34807" s="1025"/>
      <c r="BO34807" s="43"/>
    </row>
    <row r="34808" spans="65:67" ht="18.75" customHeight="1">
      <c r="BM34808" s="1025"/>
      <c r="BO34808" s="43"/>
    </row>
    <row r="34809" spans="65:67" ht="18.75" customHeight="1">
      <c r="BM34809" s="1025"/>
      <c r="BO34809" s="43"/>
    </row>
    <row r="34810" spans="65:67" ht="18.75" customHeight="1">
      <c r="BM34810" s="1025"/>
      <c r="BO34810" s="43"/>
    </row>
    <row r="34811" spans="65:67" ht="18.75" customHeight="1">
      <c r="BM34811" s="1025"/>
      <c r="BO34811" s="43"/>
    </row>
    <row r="34812" spans="65:67" ht="18.75" customHeight="1">
      <c r="BM34812" s="1025"/>
      <c r="BO34812" s="43"/>
    </row>
    <row r="34813" spans="65:67" ht="18.75" customHeight="1">
      <c r="BM34813" s="1025"/>
      <c r="BO34813" s="43"/>
    </row>
    <row r="34814" spans="65:67" ht="18.75" customHeight="1">
      <c r="BM34814" s="1025"/>
      <c r="BO34814" s="43"/>
    </row>
    <row r="34815" spans="65:67" ht="18.75" customHeight="1">
      <c r="BM34815" s="1025"/>
      <c r="BO34815" s="43"/>
    </row>
    <row r="34816" spans="65:67" ht="18.75" customHeight="1">
      <c r="BM34816" s="1025"/>
      <c r="BO34816" s="43"/>
    </row>
    <row r="34817" spans="65:67" ht="18.75" customHeight="1">
      <c r="BM34817" s="1025"/>
      <c r="BO34817" s="43"/>
    </row>
    <row r="34818" spans="65:67" ht="18.75" customHeight="1">
      <c r="BM34818" s="1025"/>
      <c r="BO34818" s="43"/>
    </row>
    <row r="34819" spans="65:67" ht="18.75" customHeight="1">
      <c r="BM34819" s="1025"/>
      <c r="BO34819" s="43"/>
    </row>
    <row r="34820" spans="65:67" ht="18.75" customHeight="1">
      <c r="BM34820" s="1025"/>
      <c r="BO34820" s="43"/>
    </row>
    <row r="34821" spans="65:67" ht="18.75" customHeight="1">
      <c r="BM34821" s="1025"/>
      <c r="BO34821" s="43"/>
    </row>
    <row r="34822" spans="65:67" ht="18.75" customHeight="1">
      <c r="BM34822" s="1025"/>
      <c r="BO34822" s="43"/>
    </row>
    <row r="34823" spans="65:67" ht="18.75" customHeight="1">
      <c r="BM34823" s="1025"/>
      <c r="BO34823" s="43"/>
    </row>
    <row r="34824" spans="65:67" ht="18.75" customHeight="1">
      <c r="BM34824" s="1025"/>
      <c r="BO34824" s="43"/>
    </row>
    <row r="34825" spans="65:67" ht="18.75" customHeight="1">
      <c r="BM34825" s="1025"/>
      <c r="BO34825" s="43"/>
    </row>
    <row r="34826" spans="65:67" ht="18.75" customHeight="1">
      <c r="BM34826" s="1025"/>
      <c r="BO34826" s="43"/>
    </row>
    <row r="34827" spans="65:67" ht="18.75" customHeight="1">
      <c r="BM34827" s="1025"/>
      <c r="BO34827" s="43"/>
    </row>
    <row r="34828" spans="65:67" ht="18.75" customHeight="1">
      <c r="BM34828" s="1025"/>
      <c r="BO34828" s="43"/>
    </row>
    <row r="34829" spans="65:67" ht="18.75" customHeight="1">
      <c r="BM34829" s="1025"/>
      <c r="BO34829" s="43"/>
    </row>
    <row r="34830" spans="65:67" ht="18.75" customHeight="1">
      <c r="BM34830" s="1025"/>
      <c r="BO34830" s="43"/>
    </row>
    <row r="34831" spans="65:67" ht="18.75" customHeight="1">
      <c r="BM34831" s="1025"/>
      <c r="BO34831" s="43"/>
    </row>
    <row r="34832" spans="65:67" ht="18.75" customHeight="1">
      <c r="BM34832" s="1025"/>
      <c r="BO34832" s="43"/>
    </row>
    <row r="34833" spans="65:67" ht="18.75" customHeight="1">
      <c r="BM34833" s="1025"/>
      <c r="BO34833" s="43"/>
    </row>
    <row r="34834" spans="65:67" ht="18.75" customHeight="1">
      <c r="BM34834" s="1025"/>
      <c r="BO34834" s="43"/>
    </row>
    <row r="34835" spans="65:67" ht="18.75" customHeight="1">
      <c r="BM34835" s="1025"/>
      <c r="BO34835" s="43"/>
    </row>
    <row r="34836" spans="65:67" ht="18.75" customHeight="1">
      <c r="BM34836" s="1025"/>
      <c r="BO34836" s="43"/>
    </row>
    <row r="34837" spans="65:67" ht="18.75" customHeight="1">
      <c r="BM34837" s="1025"/>
      <c r="BO34837" s="43"/>
    </row>
    <row r="34838" spans="65:67" ht="18.75" customHeight="1">
      <c r="BM34838" s="1025"/>
      <c r="BO34838" s="43"/>
    </row>
    <row r="34839" spans="65:67" ht="18.75" customHeight="1">
      <c r="BM34839" s="1025"/>
      <c r="BO34839" s="43"/>
    </row>
    <row r="34840" spans="65:67" ht="18.75" customHeight="1">
      <c r="BM34840" s="1025"/>
      <c r="BO34840" s="43"/>
    </row>
    <row r="34841" spans="65:67" ht="18.75" customHeight="1">
      <c r="BM34841" s="1025"/>
      <c r="BO34841" s="43"/>
    </row>
    <row r="34842" spans="65:67" ht="18.75" customHeight="1">
      <c r="BM34842" s="1025"/>
      <c r="BO34842" s="43"/>
    </row>
    <row r="34843" spans="65:67" ht="18.75" customHeight="1">
      <c r="BM34843" s="1025"/>
      <c r="BO34843" s="43"/>
    </row>
    <row r="34844" spans="65:67" ht="18.75" customHeight="1">
      <c r="BM34844" s="1025"/>
      <c r="BO34844" s="43"/>
    </row>
    <row r="34845" spans="65:67" ht="18.75" customHeight="1">
      <c r="BM34845" s="1025"/>
      <c r="BO34845" s="43"/>
    </row>
    <row r="34846" spans="65:67" ht="18.75" customHeight="1">
      <c r="BM34846" s="1025"/>
      <c r="BO34846" s="43"/>
    </row>
    <row r="34847" spans="65:67" ht="18.75" customHeight="1">
      <c r="BM34847" s="1025"/>
      <c r="BO34847" s="43"/>
    </row>
    <row r="34848" spans="65:67" ht="18.75" customHeight="1">
      <c r="BM34848" s="1025"/>
      <c r="BO34848" s="43"/>
    </row>
    <row r="34849" spans="65:67" ht="18.75" customHeight="1">
      <c r="BM34849" s="1025"/>
      <c r="BO34849" s="43"/>
    </row>
    <row r="34850" spans="65:67" ht="18.75" customHeight="1">
      <c r="BM34850" s="1025"/>
      <c r="BO34850" s="43"/>
    </row>
    <row r="34851" spans="65:67" ht="18.75" customHeight="1">
      <c r="BM34851" s="1025"/>
      <c r="BO34851" s="43"/>
    </row>
    <row r="34852" spans="65:67" ht="18.75" customHeight="1">
      <c r="BM34852" s="1025"/>
      <c r="BO34852" s="43"/>
    </row>
    <row r="34853" spans="65:67" ht="18.75" customHeight="1">
      <c r="BM34853" s="1025"/>
      <c r="BO34853" s="43"/>
    </row>
    <row r="34854" spans="65:67" ht="18.75" customHeight="1">
      <c r="BM34854" s="1025"/>
      <c r="BO34854" s="43"/>
    </row>
    <row r="34855" spans="65:67" ht="18.75" customHeight="1">
      <c r="BM34855" s="1025"/>
      <c r="BO34855" s="43"/>
    </row>
    <row r="34856" spans="65:67" ht="18.75" customHeight="1">
      <c r="BM34856" s="1025"/>
      <c r="BO34856" s="43"/>
    </row>
    <row r="34857" spans="65:67" ht="18.75" customHeight="1">
      <c r="BM34857" s="1025"/>
      <c r="BO34857" s="43"/>
    </row>
    <row r="34858" spans="65:67" ht="18.75" customHeight="1">
      <c r="BM34858" s="1025"/>
      <c r="BO34858" s="43"/>
    </row>
    <row r="34859" spans="65:67" ht="18.75" customHeight="1">
      <c r="BM34859" s="1025"/>
      <c r="BO34859" s="43"/>
    </row>
    <row r="34860" spans="65:67" ht="18.75" customHeight="1">
      <c r="BM34860" s="1025"/>
      <c r="BO34860" s="43"/>
    </row>
    <row r="34861" spans="65:67" ht="18.75" customHeight="1">
      <c r="BM34861" s="1025"/>
      <c r="BO34861" s="43"/>
    </row>
    <row r="34862" spans="65:67" ht="18.75" customHeight="1">
      <c r="BM34862" s="1025"/>
      <c r="BO34862" s="43"/>
    </row>
    <row r="34863" spans="65:67" ht="18.75" customHeight="1">
      <c r="BM34863" s="1025"/>
      <c r="BO34863" s="43"/>
    </row>
    <row r="34864" spans="65:67" ht="18.75" customHeight="1">
      <c r="BM34864" s="1025"/>
      <c r="BO34864" s="43"/>
    </row>
    <row r="34865" spans="65:67" ht="18.75" customHeight="1">
      <c r="BM34865" s="1025"/>
      <c r="BO34865" s="43"/>
    </row>
    <row r="34866" spans="65:67" ht="18.75" customHeight="1">
      <c r="BM34866" s="1025"/>
      <c r="BO34866" s="43"/>
    </row>
    <row r="34867" spans="65:67" ht="18.75" customHeight="1">
      <c r="BM34867" s="1025"/>
      <c r="BO34867" s="43"/>
    </row>
    <row r="34868" spans="65:67" ht="18.75" customHeight="1">
      <c r="BM34868" s="1025"/>
      <c r="BO34868" s="43"/>
    </row>
    <row r="34869" spans="65:67" ht="18.75" customHeight="1">
      <c r="BM34869" s="1025"/>
      <c r="BO34869" s="43"/>
    </row>
    <row r="34870" spans="65:67" ht="18.75" customHeight="1">
      <c r="BM34870" s="1025"/>
      <c r="BO34870" s="43"/>
    </row>
    <row r="34871" spans="65:67" ht="18.75" customHeight="1">
      <c r="BM34871" s="1025"/>
      <c r="BO34871" s="43"/>
    </row>
    <row r="34872" spans="65:67" ht="18.75" customHeight="1">
      <c r="BM34872" s="1025"/>
      <c r="BO34872" s="43"/>
    </row>
    <row r="34873" spans="65:67" ht="18.75" customHeight="1">
      <c r="BM34873" s="1025"/>
      <c r="BO34873" s="43"/>
    </row>
    <row r="34874" spans="65:67" ht="18.75" customHeight="1">
      <c r="BM34874" s="1025"/>
      <c r="BO34874" s="43"/>
    </row>
    <row r="34875" spans="65:67" ht="18.75" customHeight="1">
      <c r="BM34875" s="1025"/>
      <c r="BO34875" s="43"/>
    </row>
    <row r="34876" spans="65:67" ht="18.75" customHeight="1">
      <c r="BM34876" s="1025"/>
      <c r="BO34876" s="43"/>
    </row>
    <row r="34877" spans="65:67" ht="18.75" customHeight="1">
      <c r="BM34877" s="1025"/>
      <c r="BO34877" s="43"/>
    </row>
    <row r="34878" spans="65:67" ht="18.75" customHeight="1">
      <c r="BM34878" s="1025"/>
      <c r="BO34878" s="43"/>
    </row>
    <row r="34879" spans="65:67" ht="18.75" customHeight="1">
      <c r="BM34879" s="1025"/>
      <c r="BO34879" s="43"/>
    </row>
    <row r="34880" spans="65:67" ht="18.75" customHeight="1">
      <c r="BM34880" s="1025"/>
      <c r="BO34880" s="43"/>
    </row>
    <row r="34881" spans="65:67" ht="18.75" customHeight="1">
      <c r="BM34881" s="1025"/>
      <c r="BO34881" s="43"/>
    </row>
    <row r="34882" spans="65:67" ht="18.75" customHeight="1">
      <c r="BM34882" s="1025"/>
      <c r="BO34882" s="43"/>
    </row>
    <row r="34883" spans="65:67" ht="18.75" customHeight="1">
      <c r="BM34883" s="1025"/>
      <c r="BO34883" s="43"/>
    </row>
    <row r="34884" spans="65:67" ht="18.75" customHeight="1">
      <c r="BM34884" s="1025"/>
      <c r="BO34884" s="43"/>
    </row>
    <row r="34885" spans="65:67" ht="18.75" customHeight="1">
      <c r="BM34885" s="1025"/>
      <c r="BO34885" s="43"/>
    </row>
    <row r="34886" spans="65:67" ht="18.75" customHeight="1">
      <c r="BM34886" s="1025"/>
      <c r="BO34886" s="43"/>
    </row>
    <row r="34887" spans="65:67" ht="18.75" customHeight="1">
      <c r="BM34887" s="1025"/>
      <c r="BO34887" s="43"/>
    </row>
    <row r="34888" spans="65:67" ht="18.75" customHeight="1">
      <c r="BM34888" s="1025"/>
      <c r="BO34888" s="43"/>
    </row>
    <row r="34889" spans="65:67" ht="18.75" customHeight="1">
      <c r="BM34889" s="1025"/>
      <c r="BO34889" s="43"/>
    </row>
    <row r="34890" spans="65:67" ht="18.75" customHeight="1">
      <c r="BM34890" s="1025"/>
      <c r="BO34890" s="43"/>
    </row>
    <row r="34891" spans="65:67" ht="18.75" customHeight="1">
      <c r="BM34891" s="1025"/>
      <c r="BO34891" s="43"/>
    </row>
    <row r="34892" spans="65:67" ht="18.75" customHeight="1">
      <c r="BM34892" s="1025"/>
      <c r="BO34892" s="43"/>
    </row>
    <row r="34893" spans="65:67" ht="18.75" customHeight="1">
      <c r="BM34893" s="1025"/>
      <c r="BO34893" s="43"/>
    </row>
    <row r="34894" spans="65:67" ht="18.75" customHeight="1">
      <c r="BM34894" s="1025"/>
      <c r="BO34894" s="43"/>
    </row>
    <row r="34895" spans="65:67" ht="18.75" customHeight="1">
      <c r="BM34895" s="1025"/>
      <c r="BO34895" s="43"/>
    </row>
    <row r="34896" spans="65:67" ht="18.75" customHeight="1">
      <c r="BM34896" s="1025"/>
      <c r="BO34896" s="43"/>
    </row>
    <row r="34897" spans="65:67" ht="18.75" customHeight="1">
      <c r="BM34897" s="1025"/>
      <c r="BO34897" s="43"/>
    </row>
    <row r="34898" spans="65:67" ht="18.75" customHeight="1">
      <c r="BM34898" s="1025"/>
      <c r="BO34898" s="43"/>
    </row>
    <row r="34899" spans="65:67" ht="18.75" customHeight="1">
      <c r="BM34899" s="1025"/>
      <c r="BO34899" s="43"/>
    </row>
    <row r="34900" spans="65:67" ht="18.75" customHeight="1">
      <c r="BM34900" s="1025"/>
      <c r="BO34900" s="43"/>
    </row>
    <row r="34901" spans="65:67" ht="18.75" customHeight="1">
      <c r="BM34901" s="1025"/>
      <c r="BO34901" s="43"/>
    </row>
    <row r="34902" spans="65:67" ht="18.75" customHeight="1">
      <c r="BM34902" s="1025"/>
      <c r="BO34902" s="43"/>
    </row>
    <row r="34903" spans="65:67" ht="18.75" customHeight="1">
      <c r="BM34903" s="1025"/>
      <c r="BO34903" s="43"/>
    </row>
    <row r="34904" spans="65:67" ht="18.75" customHeight="1">
      <c r="BM34904" s="1025"/>
      <c r="BO34904" s="43"/>
    </row>
    <row r="34905" spans="65:67" ht="18.75" customHeight="1">
      <c r="BM34905" s="1025"/>
      <c r="BO34905" s="43"/>
    </row>
    <row r="34906" spans="65:67" ht="18.75" customHeight="1">
      <c r="BM34906" s="1025"/>
      <c r="BO34906" s="43"/>
    </row>
    <row r="34907" spans="65:67" ht="18.75" customHeight="1">
      <c r="BM34907" s="1025"/>
      <c r="BO34907" s="43"/>
    </row>
    <row r="34908" spans="65:67" ht="18.75" customHeight="1">
      <c r="BM34908" s="1025"/>
      <c r="BO34908" s="43"/>
    </row>
    <row r="34909" spans="65:67" ht="18.75" customHeight="1">
      <c r="BM34909" s="1025"/>
      <c r="BO34909" s="43"/>
    </row>
    <row r="34910" spans="65:67" ht="18.75" customHeight="1">
      <c r="BM34910" s="1025"/>
      <c r="BO34910" s="43"/>
    </row>
    <row r="34911" spans="65:67" ht="18.75" customHeight="1">
      <c r="BM34911" s="1025"/>
      <c r="BO34911" s="43"/>
    </row>
    <row r="34912" spans="65:67" ht="18.75" customHeight="1">
      <c r="BM34912" s="1025"/>
      <c r="BO34912" s="43"/>
    </row>
    <row r="34913" spans="65:67" ht="18.75" customHeight="1">
      <c r="BM34913" s="1025"/>
      <c r="BO34913" s="43"/>
    </row>
    <row r="34914" spans="65:67" ht="18.75" customHeight="1">
      <c r="BM34914" s="1025"/>
      <c r="BO34914" s="43"/>
    </row>
    <row r="34915" spans="65:67" ht="18.75" customHeight="1">
      <c r="BM34915" s="1025"/>
      <c r="BO34915" s="43"/>
    </row>
    <row r="34916" spans="65:67" ht="18.75" customHeight="1">
      <c r="BM34916" s="1025"/>
      <c r="BO34916" s="43"/>
    </row>
    <row r="34917" spans="65:67" ht="18.75" customHeight="1">
      <c r="BM34917" s="1025"/>
      <c r="BO34917" s="43"/>
    </row>
    <row r="34918" spans="65:67" ht="18.75" customHeight="1">
      <c r="BM34918" s="1025"/>
      <c r="BO34918" s="43"/>
    </row>
    <row r="34919" spans="65:67" ht="18.75" customHeight="1">
      <c r="BM34919" s="1025"/>
      <c r="BO34919" s="43"/>
    </row>
    <row r="34920" spans="65:67" ht="18.75" customHeight="1">
      <c r="BM34920" s="1025"/>
      <c r="BO34920" s="43"/>
    </row>
    <row r="34921" spans="65:67" ht="18.75" customHeight="1">
      <c r="BM34921" s="1025"/>
      <c r="BO34921" s="43"/>
    </row>
    <row r="34922" spans="65:67" ht="18.75" customHeight="1">
      <c r="BM34922" s="1025"/>
      <c r="BO34922" s="43"/>
    </row>
    <row r="34923" spans="65:67" ht="18.75" customHeight="1">
      <c r="BM34923" s="1025"/>
      <c r="BO34923" s="43"/>
    </row>
    <row r="34924" spans="65:67" ht="18.75" customHeight="1">
      <c r="BM34924" s="1025"/>
      <c r="BO34924" s="43"/>
    </row>
    <row r="34925" spans="65:67" ht="18.75" customHeight="1">
      <c r="BM34925" s="1025"/>
      <c r="BO34925" s="43"/>
    </row>
    <row r="34926" spans="65:67" ht="18.75" customHeight="1">
      <c r="BM34926" s="1025"/>
      <c r="BO34926" s="43"/>
    </row>
    <row r="34927" spans="65:67" ht="18.75" customHeight="1">
      <c r="BM34927" s="1025"/>
      <c r="BO34927" s="43"/>
    </row>
    <row r="34928" spans="65:67" ht="18.75" customHeight="1">
      <c r="BM34928" s="1025"/>
      <c r="BO34928" s="43"/>
    </row>
    <row r="34929" spans="65:67" ht="18.75" customHeight="1">
      <c r="BM34929" s="1025"/>
      <c r="BO34929" s="43"/>
    </row>
    <row r="34930" spans="65:67" ht="18.75" customHeight="1">
      <c r="BM34930" s="1025"/>
      <c r="BO34930" s="43"/>
    </row>
    <row r="34931" spans="65:67" ht="18.75" customHeight="1">
      <c r="BM34931" s="1025"/>
      <c r="BO34931" s="43"/>
    </row>
    <row r="34932" spans="65:67" ht="18.75" customHeight="1">
      <c r="BM34932" s="1025"/>
      <c r="BO34932" s="43"/>
    </row>
    <row r="34933" spans="65:67" ht="18.75" customHeight="1">
      <c r="BM34933" s="1025"/>
      <c r="BO34933" s="43"/>
    </row>
    <row r="34934" spans="65:67" ht="18.75" customHeight="1">
      <c r="BM34934" s="1025"/>
      <c r="BO34934" s="43"/>
    </row>
    <row r="34935" spans="65:67" ht="18.75" customHeight="1">
      <c r="BM34935" s="1025"/>
      <c r="BO34935" s="43"/>
    </row>
    <row r="34936" spans="65:67" ht="18.75" customHeight="1">
      <c r="BM34936" s="1025"/>
      <c r="BO34936" s="43"/>
    </row>
    <row r="34937" spans="65:67" ht="18.75" customHeight="1">
      <c r="BM34937" s="1025"/>
      <c r="BO34937" s="43"/>
    </row>
    <row r="34938" spans="65:67" ht="18.75" customHeight="1">
      <c r="BM34938" s="1025"/>
      <c r="BO34938" s="43"/>
    </row>
    <row r="34939" spans="65:67" ht="18.75" customHeight="1">
      <c r="BM34939" s="1025"/>
      <c r="BO34939" s="43"/>
    </row>
    <row r="34940" spans="65:67" ht="18.75" customHeight="1">
      <c r="BM34940" s="1025"/>
      <c r="BO34940" s="43"/>
    </row>
    <row r="34941" spans="65:67" ht="18.75" customHeight="1">
      <c r="BM34941" s="1025"/>
      <c r="BO34941" s="43"/>
    </row>
    <row r="34942" spans="65:67" ht="18.75" customHeight="1">
      <c r="BM34942" s="1025"/>
      <c r="BO34942" s="43"/>
    </row>
    <row r="34943" spans="65:67" ht="18.75" customHeight="1">
      <c r="BM34943" s="1025"/>
      <c r="BO34943" s="43"/>
    </row>
    <row r="34944" spans="65:67" ht="18.75" customHeight="1">
      <c r="BM34944" s="1025"/>
      <c r="BO34944" s="43"/>
    </row>
    <row r="34945" spans="65:67" ht="18.75" customHeight="1">
      <c r="BM34945" s="1025"/>
      <c r="BO34945" s="43"/>
    </row>
    <row r="34946" spans="65:67" ht="18.75" customHeight="1">
      <c r="BM34946" s="1025"/>
      <c r="BO34946" s="43"/>
    </row>
    <row r="34947" spans="65:67" ht="18.75" customHeight="1">
      <c r="BM34947" s="1025"/>
      <c r="BO34947" s="43"/>
    </row>
    <row r="34948" spans="65:67" ht="18.75" customHeight="1">
      <c r="BM34948" s="1025"/>
      <c r="BO34948" s="43"/>
    </row>
    <row r="34949" spans="65:67" ht="18.75" customHeight="1">
      <c r="BM34949" s="1025"/>
      <c r="BO34949" s="43"/>
    </row>
    <row r="34950" spans="65:67" ht="18.75" customHeight="1">
      <c r="BM34950" s="1025"/>
      <c r="BO34950" s="43"/>
    </row>
    <row r="34951" spans="65:67" ht="18.75" customHeight="1">
      <c r="BM34951" s="1025"/>
      <c r="BO34951" s="43"/>
    </row>
    <row r="34952" spans="65:67" ht="18.75" customHeight="1">
      <c r="BM34952" s="1025"/>
      <c r="BO34952" s="43"/>
    </row>
    <row r="34953" spans="65:67" ht="18.75" customHeight="1">
      <c r="BM34953" s="1025"/>
      <c r="BO34953" s="43"/>
    </row>
    <row r="34954" spans="65:67" ht="18.75" customHeight="1">
      <c r="BM34954" s="1025"/>
      <c r="BO34954" s="43"/>
    </row>
    <row r="34955" spans="65:67" ht="18.75" customHeight="1">
      <c r="BM34955" s="1025"/>
      <c r="BO34955" s="43"/>
    </row>
    <row r="34956" spans="65:67" ht="18.75" customHeight="1">
      <c r="BM34956" s="1025"/>
      <c r="BO34956" s="43"/>
    </row>
    <row r="34957" spans="65:67" ht="18.75" customHeight="1">
      <c r="BM34957" s="1025"/>
      <c r="BO34957" s="43"/>
    </row>
    <row r="34958" spans="65:67" ht="18.75" customHeight="1">
      <c r="BM34958" s="1025"/>
      <c r="BO34958" s="43"/>
    </row>
    <row r="34959" spans="65:67" ht="18.75" customHeight="1">
      <c r="BM34959" s="1025"/>
      <c r="BO34959" s="43"/>
    </row>
    <row r="34960" spans="65:67" ht="18.75" customHeight="1">
      <c r="BM34960" s="1025"/>
      <c r="BO34960" s="43"/>
    </row>
    <row r="34961" spans="65:67" ht="18.75" customHeight="1">
      <c r="BM34961" s="1025"/>
      <c r="BO34961" s="43"/>
    </row>
    <row r="34962" spans="65:67" ht="18.75" customHeight="1">
      <c r="BM34962" s="1025"/>
      <c r="BO34962" s="43"/>
    </row>
    <row r="34963" spans="65:67" ht="18.75" customHeight="1">
      <c r="BM34963" s="1025"/>
      <c r="BO34963" s="43"/>
    </row>
    <row r="34964" spans="65:67" ht="18.75" customHeight="1">
      <c r="BM34964" s="1025"/>
      <c r="BO34964" s="43"/>
    </row>
    <row r="34965" spans="65:67" ht="18.75" customHeight="1">
      <c r="BM34965" s="1025"/>
      <c r="BO34965" s="43"/>
    </row>
    <row r="34966" spans="65:67" ht="18.75" customHeight="1">
      <c r="BM34966" s="1025"/>
      <c r="BO34966" s="43"/>
    </row>
    <row r="34967" spans="65:67" ht="18.75" customHeight="1">
      <c r="BM34967" s="1025"/>
      <c r="BO34967" s="43"/>
    </row>
    <row r="34968" spans="65:67" ht="18.75" customHeight="1">
      <c r="BM34968" s="1025"/>
      <c r="BO34968" s="43"/>
    </row>
    <row r="34969" spans="65:67" ht="18.75" customHeight="1">
      <c r="BM34969" s="1025"/>
      <c r="BO34969" s="43"/>
    </row>
    <row r="34970" spans="65:67" ht="18.75" customHeight="1">
      <c r="BM34970" s="1025"/>
      <c r="BO34970" s="43"/>
    </row>
    <row r="34971" spans="65:67" ht="18.75" customHeight="1">
      <c r="BM34971" s="1025"/>
      <c r="BO34971" s="43"/>
    </row>
    <row r="34972" spans="65:67" ht="18.75" customHeight="1">
      <c r="BM34972" s="1025"/>
      <c r="BO34972" s="43"/>
    </row>
    <row r="34973" spans="65:67" ht="18.75" customHeight="1">
      <c r="BM34973" s="1025"/>
      <c r="BO34973" s="43"/>
    </row>
    <row r="34974" spans="65:67" ht="18.75" customHeight="1">
      <c r="BM34974" s="1025"/>
      <c r="BO34974" s="43"/>
    </row>
    <row r="34975" spans="65:67" ht="18.75" customHeight="1">
      <c r="BM34975" s="1025"/>
      <c r="BO34975" s="43"/>
    </row>
    <row r="34976" spans="65:67" ht="18.75" customHeight="1">
      <c r="BM34976" s="1025"/>
      <c r="BO34976" s="43"/>
    </row>
    <row r="34977" spans="65:67" ht="18.75" customHeight="1">
      <c r="BM34977" s="1025"/>
      <c r="BO34977" s="43"/>
    </row>
    <row r="34978" spans="65:67" ht="18.75" customHeight="1">
      <c r="BM34978" s="1025"/>
      <c r="BO34978" s="43"/>
    </row>
    <row r="34979" spans="65:67" ht="18.75" customHeight="1">
      <c r="BM34979" s="1025"/>
      <c r="BO34979" s="43"/>
    </row>
    <row r="34980" spans="65:67" ht="18.75" customHeight="1">
      <c r="BM34980" s="1025"/>
      <c r="BO34980" s="43"/>
    </row>
    <row r="34981" spans="65:67" ht="18.75" customHeight="1">
      <c r="BM34981" s="1025"/>
      <c r="BO34981" s="43"/>
    </row>
    <row r="34982" spans="65:67" ht="18.75" customHeight="1">
      <c r="BM34982" s="1025"/>
      <c r="BO34982" s="43"/>
    </row>
    <row r="34983" spans="65:67" ht="18.75" customHeight="1">
      <c r="BM34983" s="1025"/>
      <c r="BO34983" s="43"/>
    </row>
    <row r="34984" spans="65:67" ht="18.75" customHeight="1">
      <c r="BM34984" s="1025"/>
      <c r="BO34984" s="43"/>
    </row>
    <row r="34985" spans="65:67" ht="18.75" customHeight="1">
      <c r="BM34985" s="1025"/>
      <c r="BO34985" s="43"/>
    </row>
    <row r="34986" spans="65:67" ht="18.75" customHeight="1">
      <c r="BM34986" s="1025"/>
      <c r="BO34986" s="43"/>
    </row>
    <row r="34987" spans="65:67" ht="18.75" customHeight="1">
      <c r="BM34987" s="1025"/>
      <c r="BO34987" s="43"/>
    </row>
    <row r="34988" spans="65:67" ht="18.75" customHeight="1">
      <c r="BM34988" s="1025"/>
      <c r="BO34988" s="43"/>
    </row>
    <row r="34989" spans="65:67" ht="18.75" customHeight="1">
      <c r="BM34989" s="1025"/>
      <c r="BO34989" s="43"/>
    </row>
    <row r="34990" spans="65:67" ht="18.75" customHeight="1">
      <c r="BM34990" s="1025"/>
      <c r="BO34990" s="43"/>
    </row>
    <row r="34991" spans="65:67" ht="18.75" customHeight="1">
      <c r="BM34991" s="1025"/>
      <c r="BO34991" s="43"/>
    </row>
    <row r="34992" spans="65:67" ht="18.75" customHeight="1">
      <c r="BM34992" s="1025"/>
      <c r="BO34992" s="43"/>
    </row>
    <row r="34993" spans="65:67" ht="18.75" customHeight="1">
      <c r="BM34993" s="1025"/>
      <c r="BO34993" s="43"/>
    </row>
    <row r="34994" spans="65:67" ht="18.75" customHeight="1">
      <c r="BM34994" s="1025"/>
      <c r="BO34994" s="43"/>
    </row>
    <row r="34995" spans="65:67" ht="18.75" customHeight="1">
      <c r="BM34995" s="1025"/>
      <c r="BO34995" s="43"/>
    </row>
    <row r="34996" spans="65:67" ht="18.75" customHeight="1">
      <c r="BM34996" s="1025"/>
      <c r="BO34996" s="43"/>
    </row>
    <row r="34997" spans="65:67" ht="18.75" customHeight="1">
      <c r="BM34997" s="1025"/>
      <c r="BO34997" s="43"/>
    </row>
    <row r="34998" spans="65:67" ht="18.75" customHeight="1">
      <c r="BM34998" s="1025"/>
      <c r="BO34998" s="43"/>
    </row>
    <row r="34999" spans="65:67" ht="18.75" customHeight="1">
      <c r="BM34999" s="1025"/>
      <c r="BO34999" s="43"/>
    </row>
    <row r="35000" spans="65:67" ht="18.75" customHeight="1">
      <c r="BM35000" s="1025"/>
      <c r="BO35000" s="43"/>
    </row>
    <row r="35001" spans="65:67" ht="18.75" customHeight="1">
      <c r="BM35001" s="1025"/>
      <c r="BO35001" s="43"/>
    </row>
    <row r="35002" spans="65:67" ht="18.75" customHeight="1">
      <c r="BM35002" s="1025"/>
      <c r="BO35002" s="43"/>
    </row>
    <row r="35003" spans="65:67" ht="18.75" customHeight="1">
      <c r="BM35003" s="1025"/>
      <c r="BO35003" s="43"/>
    </row>
    <row r="35004" spans="65:67" ht="18.75" customHeight="1">
      <c r="BM35004" s="1025"/>
      <c r="BO35004" s="43"/>
    </row>
    <row r="35005" spans="65:67" ht="18.75" customHeight="1">
      <c r="BM35005" s="1025"/>
      <c r="BO35005" s="43"/>
    </row>
    <row r="35006" spans="65:67" ht="18.75" customHeight="1">
      <c r="BM35006" s="1025"/>
      <c r="BO35006" s="43"/>
    </row>
    <row r="35007" spans="65:67" ht="18.75" customHeight="1">
      <c r="BM35007" s="1025"/>
      <c r="BO35007" s="43"/>
    </row>
    <row r="35008" spans="65:67" ht="18.75" customHeight="1">
      <c r="BM35008" s="1025"/>
      <c r="BO35008" s="43"/>
    </row>
    <row r="35009" spans="65:67" ht="18.75" customHeight="1">
      <c r="BM35009" s="1025"/>
      <c r="BO35009" s="43"/>
    </row>
    <row r="35010" spans="65:67" ht="18.75" customHeight="1">
      <c r="BM35010" s="1025"/>
      <c r="BO35010" s="43"/>
    </row>
    <row r="35011" spans="65:67" ht="18.75" customHeight="1">
      <c r="BM35011" s="1025"/>
      <c r="BO35011" s="43"/>
    </row>
    <row r="35012" spans="65:67" ht="18.75" customHeight="1">
      <c r="BM35012" s="1025"/>
      <c r="BO35012" s="43"/>
    </row>
    <row r="35013" spans="65:67" ht="18.75" customHeight="1">
      <c r="BM35013" s="1025"/>
      <c r="BO35013" s="43"/>
    </row>
    <row r="35014" spans="65:67" ht="18.75" customHeight="1">
      <c r="BM35014" s="1025"/>
      <c r="BO35014" s="43"/>
    </row>
    <row r="35015" spans="65:67" ht="18.75" customHeight="1">
      <c r="BM35015" s="1025"/>
      <c r="BO35015" s="43"/>
    </row>
    <row r="35016" spans="65:67" ht="18.75" customHeight="1">
      <c r="BM35016" s="1025"/>
      <c r="BO35016" s="43"/>
    </row>
    <row r="35017" spans="65:67" ht="18.75" customHeight="1">
      <c r="BM35017" s="1025"/>
      <c r="BO35017" s="43"/>
    </row>
    <row r="35018" spans="65:67" ht="18.75" customHeight="1">
      <c r="BM35018" s="1025"/>
      <c r="BO35018" s="43"/>
    </row>
    <row r="35019" spans="65:67" ht="18.75" customHeight="1">
      <c r="BM35019" s="1025"/>
      <c r="BO35019" s="43"/>
    </row>
    <row r="35020" spans="65:67" ht="18.75" customHeight="1">
      <c r="BM35020" s="1025"/>
      <c r="BO35020" s="43"/>
    </row>
    <row r="35021" spans="65:67" ht="18.75" customHeight="1">
      <c r="BM35021" s="1025"/>
      <c r="BO35021" s="43"/>
    </row>
    <row r="35022" spans="65:67" ht="18.75" customHeight="1">
      <c r="BM35022" s="1025"/>
      <c r="BO35022" s="43"/>
    </row>
    <row r="35023" spans="65:67" ht="18.75" customHeight="1">
      <c r="BM35023" s="1025"/>
      <c r="BO35023" s="43"/>
    </row>
    <row r="35024" spans="65:67" ht="18.75" customHeight="1">
      <c r="BM35024" s="1025"/>
      <c r="BO35024" s="43"/>
    </row>
    <row r="35025" spans="65:67" ht="18.75" customHeight="1">
      <c r="BM35025" s="1025"/>
      <c r="BO35025" s="43"/>
    </row>
    <row r="35026" spans="65:67" ht="18.75" customHeight="1">
      <c r="BM35026" s="1025"/>
      <c r="BO35026" s="43"/>
    </row>
    <row r="35027" spans="65:67" ht="18.75" customHeight="1">
      <c r="BM35027" s="1025"/>
      <c r="BO35027" s="43"/>
    </row>
    <row r="35028" spans="65:67" ht="18.75" customHeight="1">
      <c r="BM35028" s="1025"/>
      <c r="BO35028" s="43"/>
    </row>
    <row r="35029" spans="65:67" ht="18.75" customHeight="1">
      <c r="BM35029" s="1025"/>
      <c r="BO35029" s="43"/>
    </row>
    <row r="35030" spans="65:67" ht="18.75" customHeight="1">
      <c r="BM35030" s="1025"/>
      <c r="BO35030" s="43"/>
    </row>
    <row r="35031" spans="65:67" ht="18.75" customHeight="1">
      <c r="BM35031" s="1025"/>
      <c r="BO35031" s="43"/>
    </row>
    <row r="35032" spans="65:67" ht="18.75" customHeight="1">
      <c r="BM35032" s="1025"/>
      <c r="BO35032" s="43"/>
    </row>
    <row r="35033" spans="65:67" ht="18.75" customHeight="1">
      <c r="BM35033" s="1025"/>
      <c r="BO35033" s="43"/>
    </row>
    <row r="35034" spans="65:67" ht="18.75" customHeight="1">
      <c r="BM35034" s="1025"/>
      <c r="BO35034" s="43"/>
    </row>
    <row r="35035" spans="65:67" ht="18.75" customHeight="1">
      <c r="BM35035" s="1025"/>
      <c r="BO35035" s="43"/>
    </row>
    <row r="35036" spans="65:67" ht="18.75" customHeight="1">
      <c r="BM35036" s="1025"/>
      <c r="BO35036" s="43"/>
    </row>
    <row r="35037" spans="65:67" ht="18.75" customHeight="1">
      <c r="BM35037" s="1025"/>
      <c r="BO35037" s="43"/>
    </row>
    <row r="35038" spans="65:67" ht="18.75" customHeight="1">
      <c r="BM35038" s="1025"/>
      <c r="BO35038" s="43"/>
    </row>
    <row r="35039" spans="65:67" ht="18.75" customHeight="1">
      <c r="BM35039" s="1025"/>
      <c r="BO35039" s="43"/>
    </row>
    <row r="35040" spans="65:67" ht="18.75" customHeight="1">
      <c r="BM35040" s="1025"/>
      <c r="BO35040" s="43"/>
    </row>
    <row r="35041" spans="65:67" ht="18.75" customHeight="1">
      <c r="BM35041" s="1025"/>
      <c r="BO35041" s="43"/>
    </row>
    <row r="35042" spans="65:67" ht="18.75" customHeight="1">
      <c r="BM35042" s="1025"/>
      <c r="BO35042" s="43"/>
    </row>
    <row r="35043" spans="65:67" ht="18.75" customHeight="1">
      <c r="BM35043" s="1025"/>
      <c r="BO35043" s="43"/>
    </row>
    <row r="35044" spans="65:67" ht="18.75" customHeight="1">
      <c r="BM35044" s="1025"/>
      <c r="BO35044" s="43"/>
    </row>
    <row r="35045" spans="65:67" ht="18.75" customHeight="1">
      <c r="BM35045" s="1025"/>
      <c r="BO35045" s="43"/>
    </row>
    <row r="35046" spans="65:67" ht="18.75" customHeight="1">
      <c r="BM35046" s="1025"/>
      <c r="BO35046" s="43"/>
    </row>
    <row r="35047" spans="65:67" ht="18.75" customHeight="1">
      <c r="BM35047" s="1025"/>
      <c r="BO35047" s="43"/>
    </row>
    <row r="35048" spans="65:67" ht="18.75" customHeight="1">
      <c r="BM35048" s="1025"/>
      <c r="BO35048" s="43"/>
    </row>
    <row r="35049" spans="65:67" ht="18.75" customHeight="1">
      <c r="BM35049" s="1025"/>
      <c r="BO35049" s="43"/>
    </row>
    <row r="35050" spans="65:67" ht="18.75" customHeight="1">
      <c r="BM35050" s="1025"/>
      <c r="BO35050" s="43"/>
    </row>
    <row r="35051" spans="65:67" ht="18.75" customHeight="1">
      <c r="BM35051" s="1025"/>
      <c r="BO35051" s="43"/>
    </row>
    <row r="35052" spans="65:67" ht="18.75" customHeight="1">
      <c r="BM35052" s="1025"/>
      <c r="BO35052" s="43"/>
    </row>
    <row r="35053" spans="65:67" ht="18.75" customHeight="1">
      <c r="BM35053" s="1025"/>
      <c r="BO35053" s="43"/>
    </row>
    <row r="35054" spans="65:67" ht="18.75" customHeight="1">
      <c r="BM35054" s="1025"/>
      <c r="BO35054" s="43"/>
    </row>
    <row r="35055" spans="65:67" ht="18.75" customHeight="1">
      <c r="BM35055" s="1025"/>
      <c r="BO35055" s="43"/>
    </row>
    <row r="35056" spans="65:67" ht="18.75" customHeight="1">
      <c r="BM35056" s="1025"/>
      <c r="BO35056" s="43"/>
    </row>
    <row r="35057" spans="65:67" ht="18.75" customHeight="1">
      <c r="BM35057" s="1025"/>
      <c r="BO35057" s="43"/>
    </row>
    <row r="35058" spans="65:67" ht="18.75" customHeight="1">
      <c r="BM35058" s="1025"/>
      <c r="BO35058" s="43"/>
    </row>
    <row r="35059" spans="65:67" ht="18.75" customHeight="1">
      <c r="BM35059" s="1025"/>
      <c r="BO35059" s="43"/>
    </row>
    <row r="35060" spans="65:67" ht="18.75" customHeight="1">
      <c r="BM35060" s="1025"/>
      <c r="BO35060" s="43"/>
    </row>
    <row r="35061" spans="65:67" ht="18.75" customHeight="1">
      <c r="BM35061" s="1025"/>
      <c r="BO35061" s="43"/>
    </row>
    <row r="35062" spans="65:67" ht="18.75" customHeight="1">
      <c r="BM35062" s="1025"/>
      <c r="BO35062" s="43"/>
    </row>
    <row r="35063" spans="65:67" ht="18.75" customHeight="1">
      <c r="BM35063" s="1025"/>
      <c r="BO35063" s="43"/>
    </row>
    <row r="35064" spans="65:67" ht="18.75" customHeight="1">
      <c r="BM35064" s="1025"/>
      <c r="BO35064" s="43"/>
    </row>
    <row r="35065" spans="65:67" ht="18.75" customHeight="1">
      <c r="BM35065" s="1025"/>
      <c r="BO35065" s="43"/>
    </row>
    <row r="35066" spans="65:67" ht="18.75" customHeight="1">
      <c r="BM35066" s="1025"/>
      <c r="BO35066" s="43"/>
    </row>
    <row r="35067" spans="65:67" ht="18.75" customHeight="1">
      <c r="BM35067" s="1025"/>
      <c r="BO35067" s="43"/>
    </row>
    <row r="35068" spans="65:67" ht="18.75" customHeight="1">
      <c r="BM35068" s="1025"/>
      <c r="BO35068" s="43"/>
    </row>
    <row r="35069" spans="65:67" ht="18.75" customHeight="1">
      <c r="BM35069" s="1025"/>
      <c r="BO35069" s="43"/>
    </row>
    <row r="35070" spans="65:67" ht="18.75" customHeight="1">
      <c r="BM35070" s="1025"/>
      <c r="BO35070" s="43"/>
    </row>
    <row r="35071" spans="65:67" ht="18.75" customHeight="1">
      <c r="BM35071" s="1025"/>
      <c r="BO35071" s="43"/>
    </row>
    <row r="35072" spans="65:67" ht="18.75" customHeight="1">
      <c r="BM35072" s="1025"/>
      <c r="BO35072" s="43"/>
    </row>
    <row r="35073" spans="65:67" ht="18.75" customHeight="1">
      <c r="BM35073" s="1025"/>
      <c r="BO35073" s="43"/>
    </row>
    <row r="35074" spans="65:67" ht="18.75" customHeight="1">
      <c r="BM35074" s="1025"/>
      <c r="BO35074" s="43"/>
    </row>
    <row r="35075" spans="65:67" ht="18.75" customHeight="1">
      <c r="BM35075" s="1025"/>
      <c r="BO35075" s="43"/>
    </row>
    <row r="35076" spans="65:67" ht="18.75" customHeight="1">
      <c r="BM35076" s="1025"/>
      <c r="BO35076" s="43"/>
    </row>
    <row r="35077" spans="65:67" ht="18.75" customHeight="1">
      <c r="BM35077" s="1025"/>
      <c r="BO35077" s="43"/>
    </row>
    <row r="35078" spans="65:67" ht="18.75" customHeight="1">
      <c r="BM35078" s="1025"/>
      <c r="BO35078" s="43"/>
    </row>
    <row r="35079" spans="65:67" ht="18.75" customHeight="1">
      <c r="BM35079" s="1025"/>
      <c r="BO35079" s="43"/>
    </row>
    <row r="35080" spans="65:67" ht="18.75" customHeight="1">
      <c r="BM35080" s="1025"/>
      <c r="BO35080" s="43"/>
    </row>
    <row r="35081" spans="65:67" ht="18.75" customHeight="1">
      <c r="BM35081" s="1025"/>
      <c r="BO35081" s="43"/>
    </row>
    <row r="35082" spans="65:67" ht="18.75" customHeight="1">
      <c r="BM35082" s="1025"/>
      <c r="BO35082" s="43"/>
    </row>
    <row r="35083" spans="65:67" ht="18.75" customHeight="1">
      <c r="BM35083" s="1025"/>
      <c r="BO35083" s="43"/>
    </row>
    <row r="35084" spans="65:67" ht="18.75" customHeight="1">
      <c r="BM35084" s="1025"/>
      <c r="BO35084" s="43"/>
    </row>
    <row r="35085" spans="65:67" ht="18.75" customHeight="1">
      <c r="BM35085" s="1025"/>
      <c r="BO35085" s="43"/>
    </row>
    <row r="35086" spans="65:67" ht="18.75" customHeight="1">
      <c r="BM35086" s="1025"/>
      <c r="BO35086" s="43"/>
    </row>
    <row r="35087" spans="65:67" ht="18.75" customHeight="1">
      <c r="BM35087" s="1025"/>
      <c r="BO35087" s="43"/>
    </row>
    <row r="35088" spans="65:67" ht="18.75" customHeight="1">
      <c r="BM35088" s="1025"/>
      <c r="BO35088" s="43"/>
    </row>
    <row r="35089" spans="65:67" ht="18.75" customHeight="1">
      <c r="BM35089" s="1025"/>
      <c r="BO35089" s="43"/>
    </row>
    <row r="35090" spans="65:67" ht="18.75" customHeight="1">
      <c r="BM35090" s="1025"/>
      <c r="BO35090" s="43"/>
    </row>
    <row r="35091" spans="65:67" ht="18.75" customHeight="1">
      <c r="BM35091" s="1025"/>
      <c r="BO35091" s="43"/>
    </row>
    <row r="35092" spans="65:67" ht="18.75" customHeight="1">
      <c r="BM35092" s="1025"/>
      <c r="BO35092" s="43"/>
    </row>
    <row r="35093" spans="65:67" ht="18.75" customHeight="1">
      <c r="BM35093" s="1025"/>
      <c r="BO35093" s="43"/>
    </row>
    <row r="35094" spans="65:67" ht="18.75" customHeight="1">
      <c r="BM35094" s="1025"/>
      <c r="BO35094" s="43"/>
    </row>
    <row r="35095" spans="65:67" ht="18.75" customHeight="1">
      <c r="BM35095" s="1025"/>
      <c r="BO35095" s="43"/>
    </row>
    <row r="35096" spans="65:67" ht="18.75" customHeight="1">
      <c r="BM35096" s="1025"/>
      <c r="BO35096" s="43"/>
    </row>
    <row r="35097" spans="65:67" ht="18.75" customHeight="1">
      <c r="BM35097" s="1025"/>
      <c r="BO35097" s="43"/>
    </row>
    <row r="35098" spans="65:67" ht="18.75" customHeight="1">
      <c r="BM35098" s="1025"/>
      <c r="BO35098" s="43"/>
    </row>
    <row r="35099" spans="65:67" ht="18.75" customHeight="1">
      <c r="BM35099" s="1025"/>
      <c r="BO35099" s="43"/>
    </row>
    <row r="35100" spans="65:67" ht="18.75" customHeight="1">
      <c r="BM35100" s="1025"/>
      <c r="BO35100" s="43"/>
    </row>
    <row r="35101" spans="65:67" ht="18.75" customHeight="1">
      <c r="BM35101" s="1025"/>
      <c r="BO35101" s="43"/>
    </row>
    <row r="35102" spans="65:67" ht="18.75" customHeight="1">
      <c r="BM35102" s="1025"/>
      <c r="BO35102" s="43"/>
    </row>
    <row r="35103" spans="65:67" ht="18.75" customHeight="1">
      <c r="BM35103" s="1025"/>
      <c r="BO35103" s="43"/>
    </row>
    <row r="35104" spans="65:67" ht="18.75" customHeight="1">
      <c r="BM35104" s="1025"/>
      <c r="BO35104" s="43"/>
    </row>
    <row r="35105" spans="65:67" ht="18.75" customHeight="1">
      <c r="BM35105" s="1025"/>
      <c r="BO35105" s="43"/>
    </row>
    <row r="35106" spans="65:67" ht="18.75" customHeight="1">
      <c r="BM35106" s="1025"/>
      <c r="BO35106" s="43"/>
    </row>
    <row r="35107" spans="65:67" ht="18.75" customHeight="1">
      <c r="BM35107" s="1025"/>
      <c r="BO35107" s="43"/>
    </row>
    <row r="35108" spans="65:67" ht="18.75" customHeight="1">
      <c r="BM35108" s="1025"/>
      <c r="BO35108" s="43"/>
    </row>
    <row r="35109" spans="65:67" ht="18.75" customHeight="1">
      <c r="BM35109" s="1025"/>
      <c r="BO35109" s="43"/>
    </row>
    <row r="35110" spans="65:67" ht="18.75" customHeight="1">
      <c r="BM35110" s="1025"/>
      <c r="BO35110" s="43"/>
    </row>
    <row r="35111" spans="65:67" ht="18.75" customHeight="1">
      <c r="BM35111" s="1025"/>
      <c r="BO35111" s="43"/>
    </row>
    <row r="35112" spans="65:67" ht="18.75" customHeight="1">
      <c r="BM35112" s="1025"/>
      <c r="BO35112" s="43"/>
    </row>
    <row r="35113" spans="65:67" ht="18.75" customHeight="1">
      <c r="BM35113" s="1025"/>
      <c r="BO35113" s="43"/>
    </row>
    <row r="35114" spans="65:67" ht="18.75" customHeight="1">
      <c r="BM35114" s="1025"/>
      <c r="BO35114" s="43"/>
    </row>
    <row r="35115" spans="65:67" ht="18.75" customHeight="1">
      <c r="BM35115" s="1025"/>
      <c r="BO35115" s="43"/>
    </row>
    <row r="35116" spans="65:67" ht="18.75" customHeight="1">
      <c r="BM35116" s="1025"/>
      <c r="BO35116" s="43"/>
    </row>
    <row r="35117" spans="65:67" ht="18.75" customHeight="1">
      <c r="BM35117" s="1025"/>
      <c r="BO35117" s="43"/>
    </row>
    <row r="35118" spans="65:67" ht="18.75" customHeight="1">
      <c r="BM35118" s="1025"/>
      <c r="BO35118" s="43"/>
    </row>
    <row r="35119" spans="65:67" ht="18.75" customHeight="1">
      <c r="BM35119" s="1025"/>
      <c r="BO35119" s="43"/>
    </row>
    <row r="35120" spans="65:67" ht="18.75" customHeight="1">
      <c r="BM35120" s="1025"/>
      <c r="BO35120" s="43"/>
    </row>
    <row r="35121" spans="65:67" ht="18.75" customHeight="1">
      <c r="BM35121" s="1025"/>
      <c r="BO35121" s="43"/>
    </row>
    <row r="35122" spans="65:67" ht="18.75" customHeight="1">
      <c r="BM35122" s="1025"/>
      <c r="BO35122" s="43"/>
    </row>
    <row r="35123" spans="65:67" ht="18.75" customHeight="1">
      <c r="BM35123" s="1025"/>
      <c r="BO35123" s="43"/>
    </row>
    <row r="35124" spans="65:67" ht="18.75" customHeight="1">
      <c r="BM35124" s="1025"/>
      <c r="BO35124" s="43"/>
    </row>
    <row r="35125" spans="65:67" ht="18.75" customHeight="1">
      <c r="BM35125" s="1025"/>
      <c r="BO35125" s="43"/>
    </row>
    <row r="35126" spans="65:67" ht="18.75" customHeight="1">
      <c r="BM35126" s="1025"/>
      <c r="BO35126" s="43"/>
    </row>
    <row r="35127" spans="65:67" ht="18.75" customHeight="1">
      <c r="BM35127" s="1025"/>
      <c r="BO35127" s="43"/>
    </row>
    <row r="35128" spans="65:67" ht="18.75" customHeight="1">
      <c r="BM35128" s="1025"/>
      <c r="BO35128" s="43"/>
    </row>
    <row r="35129" spans="65:67" ht="18.75" customHeight="1">
      <c r="BM35129" s="1025"/>
      <c r="BO35129" s="43"/>
    </row>
    <row r="35130" spans="65:67" ht="18.75" customHeight="1">
      <c r="BM35130" s="1025"/>
      <c r="BO35130" s="43"/>
    </row>
    <row r="35131" spans="65:67" ht="18.75" customHeight="1">
      <c r="BM35131" s="1025"/>
      <c r="BO35131" s="43"/>
    </row>
    <row r="35132" spans="65:67" ht="18.75" customHeight="1">
      <c r="BM35132" s="1025"/>
      <c r="BO35132" s="43"/>
    </row>
    <row r="35133" spans="65:67" ht="18.75" customHeight="1">
      <c r="BM35133" s="1025"/>
      <c r="BO35133" s="43"/>
    </row>
    <row r="35134" spans="65:67" ht="18.75" customHeight="1">
      <c r="BM35134" s="1025"/>
      <c r="BO35134" s="43"/>
    </row>
    <row r="35135" spans="65:67" ht="18.75" customHeight="1">
      <c r="BM35135" s="1025"/>
      <c r="BO35135" s="43"/>
    </row>
    <row r="35136" spans="65:67" ht="18.75" customHeight="1">
      <c r="BM35136" s="1025"/>
      <c r="BO35136" s="43"/>
    </row>
    <row r="35137" spans="65:67" ht="18.75" customHeight="1">
      <c r="BM35137" s="1025"/>
      <c r="BO35137" s="43"/>
    </row>
    <row r="35138" spans="65:67" ht="18.75" customHeight="1">
      <c r="BM35138" s="1025"/>
      <c r="BO35138" s="43"/>
    </row>
    <row r="35139" spans="65:67" ht="18.75" customHeight="1">
      <c r="BM35139" s="1025"/>
      <c r="BO35139" s="43"/>
    </row>
    <row r="35140" spans="65:67" ht="18.75" customHeight="1">
      <c r="BM35140" s="1025"/>
      <c r="BO35140" s="43"/>
    </row>
    <row r="35141" spans="65:67" ht="18.75" customHeight="1">
      <c r="BM35141" s="1025"/>
      <c r="BO35141" s="43"/>
    </row>
    <row r="35142" spans="65:67" ht="18.75" customHeight="1">
      <c r="BM35142" s="1025"/>
      <c r="BO35142" s="43"/>
    </row>
    <row r="35143" spans="65:67" ht="18.75" customHeight="1">
      <c r="BM35143" s="1025"/>
      <c r="BO35143" s="43"/>
    </row>
    <row r="35144" spans="65:67" ht="18.75" customHeight="1">
      <c r="BM35144" s="1025"/>
      <c r="BO35144" s="43"/>
    </row>
    <row r="35145" spans="65:67" ht="18.75" customHeight="1">
      <c r="BM35145" s="1025"/>
      <c r="BO35145" s="43"/>
    </row>
    <row r="35146" spans="65:67" ht="18.75" customHeight="1">
      <c r="BM35146" s="1025"/>
      <c r="BO35146" s="43"/>
    </row>
    <row r="35147" spans="65:67" ht="18.75" customHeight="1">
      <c r="BM35147" s="1025"/>
      <c r="BO35147" s="43"/>
    </row>
    <row r="35148" spans="65:67" ht="18.75" customHeight="1">
      <c r="BM35148" s="1025"/>
      <c r="BO35148" s="43"/>
    </row>
    <row r="35149" spans="65:67" ht="18.75" customHeight="1">
      <c r="BM35149" s="1025"/>
      <c r="BO35149" s="43"/>
    </row>
    <row r="35150" spans="65:67" ht="18.75" customHeight="1">
      <c r="BM35150" s="1025"/>
      <c r="BO35150" s="43"/>
    </row>
    <row r="35151" spans="65:67" ht="18.75" customHeight="1">
      <c r="BM35151" s="1025"/>
      <c r="BO35151" s="43"/>
    </row>
    <row r="35152" spans="65:67" ht="18.75" customHeight="1">
      <c r="BM35152" s="1025"/>
      <c r="BO35152" s="43"/>
    </row>
    <row r="35153" spans="65:67" ht="18.75" customHeight="1">
      <c r="BM35153" s="1025"/>
      <c r="BO35153" s="43"/>
    </row>
    <row r="35154" spans="65:67" ht="18.75" customHeight="1">
      <c r="BM35154" s="1025"/>
      <c r="BO35154" s="43"/>
    </row>
    <row r="35155" spans="65:67" ht="18.75" customHeight="1">
      <c r="BM35155" s="1025"/>
      <c r="BO35155" s="43"/>
    </row>
    <row r="35156" spans="65:67" ht="18.75" customHeight="1">
      <c r="BM35156" s="1025"/>
      <c r="BO35156" s="43"/>
    </row>
    <row r="35157" spans="65:67" ht="18.75" customHeight="1">
      <c r="BM35157" s="1025"/>
      <c r="BO35157" s="43"/>
    </row>
    <row r="35158" spans="65:67" ht="18.75" customHeight="1">
      <c r="BM35158" s="1025"/>
      <c r="BO35158" s="43"/>
    </row>
    <row r="35159" spans="65:67" ht="18.75" customHeight="1">
      <c r="BM35159" s="1025"/>
      <c r="BO35159" s="43"/>
    </row>
    <row r="35160" spans="65:67" ht="18.75" customHeight="1">
      <c r="BM35160" s="1025"/>
      <c r="BO35160" s="43"/>
    </row>
    <row r="35161" spans="65:67" ht="18.75" customHeight="1">
      <c r="BM35161" s="1025"/>
      <c r="BO35161" s="43"/>
    </row>
    <row r="35162" spans="65:67" ht="18.75" customHeight="1">
      <c r="BM35162" s="1025"/>
      <c r="BO35162" s="43"/>
    </row>
    <row r="35163" spans="65:67" ht="18.75" customHeight="1">
      <c r="BM35163" s="1025"/>
      <c r="BO35163" s="43"/>
    </row>
    <row r="35164" spans="65:67" ht="18.75" customHeight="1">
      <c r="BM35164" s="1025"/>
      <c r="BO35164" s="43"/>
    </row>
    <row r="35165" spans="65:67" ht="18.75" customHeight="1">
      <c r="BM35165" s="1025"/>
      <c r="BO35165" s="43"/>
    </row>
    <row r="35166" spans="65:67" ht="18.75" customHeight="1">
      <c r="BM35166" s="1025"/>
      <c r="BO35166" s="43"/>
    </row>
    <row r="35167" spans="65:67" ht="18.75" customHeight="1">
      <c r="BM35167" s="1025"/>
      <c r="BO35167" s="43"/>
    </row>
    <row r="35168" spans="65:67" ht="18.75" customHeight="1">
      <c r="BM35168" s="1025"/>
      <c r="BO35168" s="43"/>
    </row>
    <row r="35169" spans="65:67" ht="18.75" customHeight="1">
      <c r="BM35169" s="1025"/>
      <c r="BO35169" s="43"/>
    </row>
    <row r="35170" spans="65:67" ht="18.75" customHeight="1">
      <c r="BM35170" s="1025"/>
      <c r="BO35170" s="43"/>
    </row>
    <row r="35171" spans="65:67" ht="18.75" customHeight="1">
      <c r="BM35171" s="1025"/>
      <c r="BO35171" s="43"/>
    </row>
    <row r="35172" spans="65:67" ht="18.75" customHeight="1">
      <c r="BM35172" s="1025"/>
      <c r="BO35172" s="43"/>
    </row>
    <row r="35173" spans="65:67" ht="18.75" customHeight="1">
      <c r="BM35173" s="1025"/>
      <c r="BO35173" s="43"/>
    </row>
    <row r="35174" spans="65:67" ht="18.75" customHeight="1">
      <c r="BM35174" s="1025"/>
      <c r="BO35174" s="43"/>
    </row>
    <row r="35175" spans="65:67" ht="18.75" customHeight="1">
      <c r="BM35175" s="1025"/>
      <c r="BO35175" s="43"/>
    </row>
    <row r="35176" spans="65:67" ht="18.75" customHeight="1">
      <c r="BM35176" s="1025"/>
      <c r="BO35176" s="43"/>
    </row>
    <row r="35177" spans="65:67" ht="18.75" customHeight="1">
      <c r="BM35177" s="1025"/>
      <c r="BO35177" s="43"/>
    </row>
    <row r="35178" spans="65:67" ht="18.75" customHeight="1">
      <c r="BM35178" s="1025"/>
      <c r="BO35178" s="43"/>
    </row>
    <row r="35179" spans="65:67" ht="18.75" customHeight="1">
      <c r="BM35179" s="1025"/>
      <c r="BO35179" s="43"/>
    </row>
    <row r="35180" spans="65:67" ht="18.75" customHeight="1">
      <c r="BM35180" s="1025"/>
      <c r="BO35180" s="43"/>
    </row>
    <row r="35181" spans="65:67" ht="18.75" customHeight="1">
      <c r="BM35181" s="1025"/>
      <c r="BO35181" s="43"/>
    </row>
    <row r="35182" spans="65:67" ht="18.75" customHeight="1">
      <c r="BM35182" s="1025"/>
      <c r="BO35182" s="43"/>
    </row>
    <row r="35183" spans="65:67" ht="18.75" customHeight="1">
      <c r="BM35183" s="1025"/>
      <c r="BO35183" s="43"/>
    </row>
    <row r="35184" spans="65:67" ht="18.75" customHeight="1">
      <c r="BM35184" s="1025"/>
      <c r="BO35184" s="43"/>
    </row>
    <row r="35185" spans="65:67" ht="18.75" customHeight="1">
      <c r="BM35185" s="1025"/>
      <c r="BO35185" s="43"/>
    </row>
    <row r="35186" spans="65:67" ht="18.75" customHeight="1">
      <c r="BM35186" s="1025"/>
      <c r="BO35186" s="43"/>
    </row>
    <row r="35187" spans="65:67" ht="18.75" customHeight="1">
      <c r="BM35187" s="1025"/>
      <c r="BO35187" s="43"/>
    </row>
    <row r="35188" spans="65:67" ht="18.75" customHeight="1">
      <c r="BM35188" s="1025"/>
      <c r="BO35188" s="43"/>
    </row>
    <row r="35189" spans="65:67" ht="18.75" customHeight="1">
      <c r="BM35189" s="1025"/>
      <c r="BO35189" s="43"/>
    </row>
    <row r="35190" spans="65:67" ht="18.75" customHeight="1">
      <c r="BM35190" s="1025"/>
      <c r="BO35190" s="43"/>
    </row>
    <row r="35191" spans="65:67" ht="18.75" customHeight="1">
      <c r="BM35191" s="1025"/>
      <c r="BO35191" s="43"/>
    </row>
    <row r="35192" spans="65:67" ht="18.75" customHeight="1">
      <c r="BM35192" s="1025"/>
      <c r="BO35192" s="43"/>
    </row>
    <row r="35193" spans="65:67" ht="18.75" customHeight="1">
      <c r="BM35193" s="1025"/>
      <c r="BO35193" s="43"/>
    </row>
    <row r="35194" spans="65:67" ht="18.75" customHeight="1">
      <c r="BM35194" s="1025"/>
      <c r="BO35194" s="43"/>
    </row>
    <row r="35195" spans="65:67" ht="18.75" customHeight="1">
      <c r="BM35195" s="1025"/>
      <c r="BO35195" s="43"/>
    </row>
    <row r="35196" spans="65:67" ht="18.75" customHeight="1">
      <c r="BM35196" s="1025"/>
      <c r="BO35196" s="43"/>
    </row>
    <row r="35197" spans="65:67" ht="18.75" customHeight="1">
      <c r="BM35197" s="1025"/>
      <c r="BO35197" s="43"/>
    </row>
    <row r="35198" spans="65:67" ht="18.75" customHeight="1">
      <c r="BM35198" s="1025"/>
      <c r="BO35198" s="43"/>
    </row>
    <row r="35199" spans="65:67" ht="18.75" customHeight="1">
      <c r="BM35199" s="1025"/>
      <c r="BO35199" s="43"/>
    </row>
    <row r="35200" spans="65:67" ht="18.75" customHeight="1">
      <c r="BM35200" s="1025"/>
      <c r="BO35200" s="43"/>
    </row>
    <row r="35201" spans="65:67" ht="18.75" customHeight="1">
      <c r="BM35201" s="1025"/>
      <c r="BO35201" s="43"/>
    </row>
    <row r="35202" spans="65:67" ht="18.75" customHeight="1">
      <c r="BM35202" s="1025"/>
      <c r="BO35202" s="43"/>
    </row>
    <row r="35203" spans="65:67" ht="18.75" customHeight="1">
      <c r="BM35203" s="1025"/>
      <c r="BO35203" s="43"/>
    </row>
    <row r="35204" spans="65:67" ht="18.75" customHeight="1">
      <c r="BM35204" s="1025"/>
      <c r="BO35204" s="43"/>
    </row>
    <row r="35205" spans="65:67" ht="18.75" customHeight="1">
      <c r="BM35205" s="1025"/>
      <c r="BO35205" s="43"/>
    </row>
    <row r="35206" spans="65:67" ht="18.75" customHeight="1">
      <c r="BM35206" s="1025"/>
      <c r="BO35206" s="43"/>
    </row>
    <row r="35207" spans="65:67" ht="18.75" customHeight="1">
      <c r="BM35207" s="1025"/>
      <c r="BO35207" s="43"/>
    </row>
    <row r="35208" spans="65:67" ht="18.75" customHeight="1">
      <c r="BM35208" s="1025"/>
      <c r="BO35208" s="43"/>
    </row>
    <row r="35209" spans="65:67" ht="18.75" customHeight="1">
      <c r="BM35209" s="1025"/>
      <c r="BO35209" s="43"/>
    </row>
    <row r="35210" spans="65:67" ht="18.75" customHeight="1">
      <c r="BM35210" s="1025"/>
      <c r="BO35210" s="43"/>
    </row>
    <row r="35211" spans="65:67" ht="18.75" customHeight="1">
      <c r="BM35211" s="1025"/>
      <c r="BO35211" s="43"/>
    </row>
    <row r="35212" spans="65:67" ht="18.75" customHeight="1">
      <c r="BM35212" s="1025"/>
      <c r="BO35212" s="43"/>
    </row>
    <row r="35213" spans="65:67" ht="18.75" customHeight="1">
      <c r="BM35213" s="1025"/>
      <c r="BO35213" s="43"/>
    </row>
    <row r="35214" spans="65:67" ht="18.75" customHeight="1">
      <c r="BM35214" s="1025"/>
      <c r="BO35214" s="43"/>
    </row>
    <row r="35215" spans="65:67" ht="18.75" customHeight="1">
      <c r="BM35215" s="1025"/>
      <c r="BO35215" s="43"/>
    </row>
    <row r="35216" spans="65:67" ht="18.75" customHeight="1">
      <c r="BM35216" s="1025"/>
      <c r="BO35216" s="43"/>
    </row>
    <row r="35217" spans="65:67" ht="18.75" customHeight="1">
      <c r="BM35217" s="1025"/>
      <c r="BO35217" s="43"/>
    </row>
    <row r="35218" spans="65:67" ht="18.75" customHeight="1">
      <c r="BM35218" s="1025"/>
      <c r="BO35218" s="43"/>
    </row>
    <row r="35219" spans="65:67" ht="18.75" customHeight="1">
      <c r="BM35219" s="1025"/>
      <c r="BO35219" s="43"/>
    </row>
    <row r="35220" spans="65:67" ht="18.75" customHeight="1">
      <c r="BM35220" s="1025"/>
      <c r="BO35220" s="43"/>
    </row>
    <row r="35221" spans="65:67" ht="18.75" customHeight="1">
      <c r="BM35221" s="1025"/>
      <c r="BO35221" s="43"/>
    </row>
    <row r="35222" spans="65:67" ht="18.75" customHeight="1">
      <c r="BM35222" s="1025"/>
      <c r="BO35222" s="43"/>
    </row>
    <row r="35223" spans="65:67" ht="18.75" customHeight="1">
      <c r="BM35223" s="1025"/>
      <c r="BO35223" s="43"/>
    </row>
    <row r="35224" spans="65:67" ht="18.75" customHeight="1">
      <c r="BM35224" s="1025"/>
      <c r="BO35224" s="43"/>
    </row>
    <row r="35225" spans="65:67" ht="18.75" customHeight="1">
      <c r="BM35225" s="1025"/>
      <c r="BO35225" s="43"/>
    </row>
    <row r="35226" spans="65:67" ht="18.75" customHeight="1">
      <c r="BM35226" s="1025"/>
      <c r="BO35226" s="43"/>
    </row>
    <row r="35227" spans="65:67" ht="18.75" customHeight="1">
      <c r="BM35227" s="1025"/>
      <c r="BO35227" s="43"/>
    </row>
    <row r="35228" spans="65:67" ht="18.75" customHeight="1">
      <c r="BM35228" s="1025"/>
      <c r="BO35228" s="43"/>
    </row>
    <row r="35229" spans="65:67" ht="18.75" customHeight="1">
      <c r="BM35229" s="1025"/>
      <c r="BO35229" s="43"/>
    </row>
    <row r="35230" spans="65:67" ht="18.75" customHeight="1">
      <c r="BM35230" s="1025"/>
      <c r="BO35230" s="43"/>
    </row>
    <row r="35231" spans="65:67" ht="18.75" customHeight="1">
      <c r="BM35231" s="1025"/>
      <c r="BO35231" s="43"/>
    </row>
    <row r="35232" spans="65:67" ht="18.75" customHeight="1">
      <c r="BM35232" s="1025"/>
      <c r="BO35232" s="43"/>
    </row>
    <row r="35233" spans="65:67" ht="18.75" customHeight="1">
      <c r="BM35233" s="1025"/>
      <c r="BO35233" s="43"/>
    </row>
    <row r="35234" spans="65:67" ht="18.75" customHeight="1">
      <c r="BM35234" s="1025"/>
      <c r="BO35234" s="43"/>
    </row>
    <row r="35235" spans="65:67" ht="18.75" customHeight="1">
      <c r="BM35235" s="1025"/>
      <c r="BO35235" s="43"/>
    </row>
    <row r="35236" spans="65:67" ht="18.75" customHeight="1">
      <c r="BM35236" s="1025"/>
      <c r="BO35236" s="43"/>
    </row>
    <row r="35237" spans="65:67" ht="18.75" customHeight="1">
      <c r="BM35237" s="1025"/>
      <c r="BO35237" s="43"/>
    </row>
    <row r="35238" spans="65:67" ht="18.75" customHeight="1">
      <c r="BM35238" s="1025"/>
      <c r="BO35238" s="43"/>
    </row>
    <row r="35239" spans="65:67" ht="18.75" customHeight="1">
      <c r="BM35239" s="1025"/>
      <c r="BO35239" s="43"/>
    </row>
    <row r="35240" spans="65:67" ht="18.75" customHeight="1">
      <c r="BM35240" s="1025"/>
      <c r="BO35240" s="43"/>
    </row>
    <row r="35241" spans="65:67" ht="18.75" customHeight="1">
      <c r="BM35241" s="1025"/>
      <c r="BO35241" s="43"/>
    </row>
    <row r="35242" spans="65:67" ht="18.75" customHeight="1">
      <c r="BM35242" s="1025"/>
      <c r="BO35242" s="43"/>
    </row>
    <row r="35243" spans="65:67" ht="18.75" customHeight="1">
      <c r="BM35243" s="1025"/>
      <c r="BO35243" s="43"/>
    </row>
    <row r="35244" spans="65:67" ht="18.75" customHeight="1">
      <c r="BM35244" s="1025"/>
      <c r="BO35244" s="43"/>
    </row>
    <row r="35245" spans="65:67" ht="18.75" customHeight="1">
      <c r="BM35245" s="1025"/>
      <c r="BO35245" s="43"/>
    </row>
    <row r="35246" spans="65:67" ht="18.75" customHeight="1">
      <c r="BM35246" s="1025"/>
      <c r="BO35246" s="43"/>
    </row>
    <row r="35247" spans="65:67" ht="18.75" customHeight="1">
      <c r="BM35247" s="1025"/>
      <c r="BO35247" s="43"/>
    </row>
    <row r="35248" spans="65:67" ht="18.75" customHeight="1">
      <c r="BM35248" s="1025"/>
      <c r="BO35248" s="43"/>
    </row>
    <row r="35249" spans="65:67" ht="18.75" customHeight="1">
      <c r="BM35249" s="1025"/>
      <c r="BO35249" s="43"/>
    </row>
    <row r="35250" spans="65:67" ht="18.75" customHeight="1">
      <c r="BM35250" s="1025"/>
      <c r="BO35250" s="43"/>
    </row>
    <row r="35251" spans="65:67" ht="18.75" customHeight="1">
      <c r="BM35251" s="1025"/>
      <c r="BO35251" s="43"/>
    </row>
    <row r="35252" spans="65:67" ht="18.75" customHeight="1">
      <c r="BM35252" s="1025"/>
      <c r="BO35252" s="43"/>
    </row>
    <row r="35253" spans="65:67" ht="18.75" customHeight="1">
      <c r="BM35253" s="1025"/>
      <c r="BO35253" s="43"/>
    </row>
    <row r="35254" spans="65:67" ht="18.75" customHeight="1">
      <c r="BM35254" s="1025"/>
      <c r="BO35254" s="43"/>
    </row>
    <row r="35255" spans="65:67" ht="18.75" customHeight="1">
      <c r="BM35255" s="1025"/>
      <c r="BO35255" s="43"/>
    </row>
    <row r="35256" spans="65:67" ht="18.75" customHeight="1">
      <c r="BM35256" s="1025"/>
      <c r="BO35256" s="43"/>
    </row>
    <row r="35257" spans="65:67" ht="18.75" customHeight="1">
      <c r="BM35257" s="1025"/>
      <c r="BO35257" s="43"/>
    </row>
    <row r="35258" spans="65:67" ht="18.75" customHeight="1">
      <c r="BM35258" s="1025"/>
      <c r="BO35258" s="43"/>
    </row>
    <row r="35259" spans="65:67" ht="18.75" customHeight="1">
      <c r="BM35259" s="1025"/>
      <c r="BO35259" s="43"/>
    </row>
    <row r="35260" spans="65:67" ht="18.75" customHeight="1">
      <c r="BM35260" s="1025"/>
      <c r="BO35260" s="43"/>
    </row>
    <row r="35261" spans="65:67" ht="18.75" customHeight="1">
      <c r="BM35261" s="1025"/>
      <c r="BO35261" s="43"/>
    </row>
    <row r="35262" spans="65:67" ht="18.75" customHeight="1">
      <c r="BM35262" s="1025"/>
      <c r="BO35262" s="43"/>
    </row>
    <row r="35263" spans="65:67" ht="18.75" customHeight="1">
      <c r="BM35263" s="1025"/>
      <c r="BO35263" s="43"/>
    </row>
    <row r="35264" spans="65:67" ht="18.75" customHeight="1">
      <c r="BM35264" s="1025"/>
      <c r="BO35264" s="43"/>
    </row>
    <row r="35265" spans="65:67" ht="18.75" customHeight="1">
      <c r="BM35265" s="1025"/>
      <c r="BO35265" s="43"/>
    </row>
    <row r="35266" spans="65:67" ht="18.75" customHeight="1">
      <c r="BM35266" s="1025"/>
      <c r="BO35266" s="43"/>
    </row>
    <row r="35267" spans="65:67" ht="18.75" customHeight="1">
      <c r="BM35267" s="1025"/>
      <c r="BO35267" s="43"/>
    </row>
    <row r="35268" spans="65:67" ht="18.75" customHeight="1">
      <c r="BM35268" s="1025"/>
      <c r="BO35268" s="43"/>
    </row>
    <row r="35269" spans="65:67" ht="18.75" customHeight="1">
      <c r="BM35269" s="1025"/>
      <c r="BO35269" s="43"/>
    </row>
    <row r="35270" spans="65:67" ht="18.75" customHeight="1">
      <c r="BM35270" s="1025"/>
      <c r="BO35270" s="43"/>
    </row>
    <row r="35271" spans="65:67" ht="18.75" customHeight="1">
      <c r="BM35271" s="1025"/>
      <c r="BO35271" s="43"/>
    </row>
    <row r="35272" spans="65:67" ht="18.75" customHeight="1">
      <c r="BM35272" s="1025"/>
      <c r="BO35272" s="43"/>
    </row>
    <row r="35273" spans="65:67" ht="18.75" customHeight="1">
      <c r="BM35273" s="1025"/>
      <c r="BO35273" s="43"/>
    </row>
    <row r="35274" spans="65:67" ht="18.75" customHeight="1">
      <c r="BM35274" s="1025"/>
      <c r="BO35274" s="43"/>
    </row>
    <row r="35275" spans="65:67" ht="18.75" customHeight="1">
      <c r="BM35275" s="1025"/>
      <c r="BO35275" s="43"/>
    </row>
    <row r="35276" spans="65:67" ht="18.75" customHeight="1">
      <c r="BM35276" s="1025"/>
      <c r="BO35276" s="43"/>
    </row>
    <row r="35277" spans="65:67" ht="18.75" customHeight="1">
      <c r="BM35277" s="1025"/>
      <c r="BO35277" s="43"/>
    </row>
    <row r="35278" spans="65:67" ht="18.75" customHeight="1">
      <c r="BM35278" s="1025"/>
      <c r="BO35278" s="43"/>
    </row>
    <row r="35279" spans="65:67" ht="18.75" customHeight="1">
      <c r="BM35279" s="1025"/>
      <c r="BO35279" s="43"/>
    </row>
    <row r="35280" spans="65:67" ht="18.75" customHeight="1">
      <c r="BM35280" s="1025"/>
      <c r="BO35280" s="43"/>
    </row>
    <row r="35281" spans="65:67" ht="18.75" customHeight="1">
      <c r="BM35281" s="1025"/>
      <c r="BO35281" s="43"/>
    </row>
    <row r="35282" spans="65:67" ht="18.75" customHeight="1">
      <c r="BM35282" s="1025"/>
      <c r="BO35282" s="43"/>
    </row>
    <row r="35283" spans="65:67" ht="18.75" customHeight="1">
      <c r="BM35283" s="1025"/>
      <c r="BO35283" s="43"/>
    </row>
    <row r="35284" spans="65:67" ht="18.75" customHeight="1">
      <c r="BM35284" s="1025"/>
      <c r="BO35284" s="43"/>
    </row>
    <row r="35285" spans="65:67" ht="18.75" customHeight="1">
      <c r="BM35285" s="1025"/>
      <c r="BO35285" s="43"/>
    </row>
    <row r="35286" spans="65:67" ht="18.75" customHeight="1">
      <c r="BM35286" s="1025"/>
      <c r="BO35286" s="43"/>
    </row>
    <row r="35287" spans="65:67" ht="18.75" customHeight="1">
      <c r="BM35287" s="1025"/>
      <c r="BO35287" s="43"/>
    </row>
    <row r="35288" spans="65:67" ht="18.75" customHeight="1">
      <c r="BM35288" s="1025"/>
      <c r="BO35288" s="43"/>
    </row>
    <row r="35289" spans="65:67" ht="18.75" customHeight="1">
      <c r="BM35289" s="1025"/>
      <c r="BO35289" s="43"/>
    </row>
    <row r="35290" spans="65:67" ht="18.75" customHeight="1">
      <c r="BM35290" s="1025"/>
      <c r="BO35290" s="43"/>
    </row>
    <row r="35291" spans="65:67" ht="18.75" customHeight="1">
      <c r="BM35291" s="1025"/>
      <c r="BO35291" s="43"/>
    </row>
    <row r="35292" spans="65:67" ht="18.75" customHeight="1">
      <c r="BM35292" s="1025"/>
      <c r="BO35292" s="43"/>
    </row>
    <row r="35293" spans="65:67" ht="18.75" customHeight="1">
      <c r="BM35293" s="1025"/>
      <c r="BO35293" s="43"/>
    </row>
    <row r="35294" spans="65:67" ht="18.75" customHeight="1">
      <c r="BM35294" s="1025"/>
      <c r="BO35294" s="43"/>
    </row>
    <row r="35295" spans="65:67" ht="18.75" customHeight="1">
      <c r="BM35295" s="1025"/>
      <c r="BO35295" s="43"/>
    </row>
    <row r="35296" spans="65:67" ht="18.75" customHeight="1">
      <c r="BM35296" s="1025"/>
      <c r="BO35296" s="43"/>
    </row>
    <row r="35297" spans="65:67" ht="18.75" customHeight="1">
      <c r="BM35297" s="1025"/>
      <c r="BO35297" s="43"/>
    </row>
    <row r="35298" spans="65:67" ht="18.75" customHeight="1">
      <c r="BM35298" s="1025"/>
      <c r="BO35298" s="43"/>
    </row>
    <row r="35299" spans="65:67" ht="18.75" customHeight="1">
      <c r="BM35299" s="1025"/>
      <c r="BO35299" s="43"/>
    </row>
    <row r="35300" spans="65:67" ht="18.75" customHeight="1">
      <c r="BM35300" s="1025"/>
      <c r="BO35300" s="43"/>
    </row>
    <row r="35301" spans="65:67" ht="18.75" customHeight="1">
      <c r="BM35301" s="1025"/>
      <c r="BO35301" s="43"/>
    </row>
    <row r="35302" spans="65:67" ht="18.75" customHeight="1">
      <c r="BM35302" s="1025"/>
      <c r="BO35302" s="43"/>
    </row>
    <row r="35303" spans="65:67" ht="18.75" customHeight="1">
      <c r="BM35303" s="1025"/>
      <c r="BO35303" s="43"/>
    </row>
    <row r="35304" spans="65:67" ht="18.75" customHeight="1">
      <c r="BM35304" s="1025"/>
      <c r="BO35304" s="43"/>
    </row>
    <row r="35305" spans="65:67" ht="18.75" customHeight="1">
      <c r="BM35305" s="1025"/>
      <c r="BO35305" s="43"/>
    </row>
    <row r="35306" spans="65:67" ht="18.75" customHeight="1">
      <c r="BM35306" s="1025"/>
      <c r="BO35306" s="43"/>
    </row>
    <row r="35307" spans="65:67" ht="18.75" customHeight="1">
      <c r="BM35307" s="1025"/>
      <c r="BO35307" s="43"/>
    </row>
    <row r="35308" spans="65:67" ht="18.75" customHeight="1">
      <c r="BM35308" s="1025"/>
      <c r="BO35308" s="43"/>
    </row>
    <row r="35309" spans="65:67" ht="18.75" customHeight="1">
      <c r="BM35309" s="1025"/>
      <c r="BO35309" s="43"/>
    </row>
    <row r="35310" spans="65:67" ht="18.75" customHeight="1">
      <c r="BM35310" s="1025"/>
      <c r="BO35310" s="43"/>
    </row>
    <row r="35311" spans="65:67" ht="18.75" customHeight="1">
      <c r="BM35311" s="1025"/>
      <c r="BO35311" s="43"/>
    </row>
    <row r="35312" spans="65:67" ht="18.75" customHeight="1">
      <c r="BM35312" s="1025"/>
      <c r="BO35312" s="43"/>
    </row>
    <row r="35313" spans="65:67" ht="18.75" customHeight="1">
      <c r="BM35313" s="1025"/>
      <c r="BO35313" s="43"/>
    </row>
    <row r="35314" spans="65:67" ht="18.75" customHeight="1">
      <c r="BM35314" s="1025"/>
      <c r="BO35314" s="43"/>
    </row>
    <row r="35315" spans="65:67" ht="18.75" customHeight="1">
      <c r="BM35315" s="1025"/>
      <c r="BO35315" s="43"/>
    </row>
    <row r="35316" spans="65:67" ht="18.75" customHeight="1">
      <c r="BM35316" s="1025"/>
      <c r="BO35316" s="43"/>
    </row>
    <row r="35317" spans="65:67" ht="18.75" customHeight="1">
      <c r="BM35317" s="1025"/>
      <c r="BO35317" s="43"/>
    </row>
    <row r="35318" spans="65:67" ht="18.75" customHeight="1">
      <c r="BM35318" s="1025"/>
      <c r="BO35318" s="43"/>
    </row>
    <row r="35319" spans="65:67" ht="18.75" customHeight="1">
      <c r="BM35319" s="1025"/>
      <c r="BO35319" s="43"/>
    </row>
    <row r="35320" spans="65:67" ht="18.75" customHeight="1">
      <c r="BM35320" s="1025"/>
      <c r="BO35320" s="43"/>
    </row>
    <row r="35321" spans="65:67" ht="18.75" customHeight="1">
      <c r="BM35321" s="1025"/>
      <c r="BO35321" s="43"/>
    </row>
    <row r="35322" spans="65:67" ht="18.75" customHeight="1">
      <c r="BM35322" s="1025"/>
      <c r="BO35322" s="43"/>
    </row>
    <row r="35323" spans="65:67" ht="18.75" customHeight="1">
      <c r="BM35323" s="1025"/>
      <c r="BO35323" s="43"/>
    </row>
    <row r="35324" spans="65:67" ht="18.75" customHeight="1">
      <c r="BM35324" s="1025"/>
      <c r="BO35324" s="43"/>
    </row>
    <row r="35325" spans="65:67" ht="18.75" customHeight="1">
      <c r="BM35325" s="1025"/>
      <c r="BO35325" s="43"/>
    </row>
    <row r="35326" spans="65:67" ht="18.75" customHeight="1">
      <c r="BM35326" s="1025"/>
      <c r="BO35326" s="43"/>
    </row>
    <row r="35327" spans="65:67" ht="18.75" customHeight="1">
      <c r="BM35327" s="1025"/>
      <c r="BO35327" s="43"/>
    </row>
    <row r="35328" spans="65:67" ht="18.75" customHeight="1">
      <c r="BM35328" s="1025"/>
      <c r="BO35328" s="43"/>
    </row>
    <row r="35329" spans="65:67" ht="18.75" customHeight="1">
      <c r="BM35329" s="1025"/>
      <c r="BO35329" s="43"/>
    </row>
    <row r="35330" spans="65:67" ht="18.75" customHeight="1">
      <c r="BM35330" s="1025"/>
      <c r="BO35330" s="43"/>
    </row>
    <row r="35331" spans="65:67" ht="18.75" customHeight="1">
      <c r="BM35331" s="1025"/>
      <c r="BO35331" s="43"/>
    </row>
    <row r="35332" spans="65:67" ht="18.75" customHeight="1">
      <c r="BM35332" s="1025"/>
      <c r="BO35332" s="43"/>
    </row>
    <row r="35333" spans="65:67" ht="18.75" customHeight="1">
      <c r="BM35333" s="1025"/>
      <c r="BO35333" s="43"/>
    </row>
    <row r="35334" spans="65:67" ht="18.75" customHeight="1">
      <c r="BM35334" s="1025"/>
      <c r="BO35334" s="43"/>
    </row>
    <row r="35335" spans="65:67" ht="18.75" customHeight="1">
      <c r="BM35335" s="1025"/>
      <c r="BO35335" s="43"/>
    </row>
    <row r="35336" spans="65:67" ht="18.75" customHeight="1">
      <c r="BM35336" s="1025"/>
      <c r="BO35336" s="43"/>
    </row>
    <row r="35337" spans="65:67" ht="18.75" customHeight="1">
      <c r="BM35337" s="1025"/>
      <c r="BO35337" s="43"/>
    </row>
    <row r="35338" spans="65:67" ht="18.75" customHeight="1">
      <c r="BM35338" s="1025"/>
      <c r="BO35338" s="43"/>
    </row>
    <row r="35339" spans="65:67" ht="18.75" customHeight="1">
      <c r="BM35339" s="1025"/>
      <c r="BO35339" s="43"/>
    </row>
    <row r="35340" spans="65:67" ht="18.75" customHeight="1">
      <c r="BM35340" s="1025"/>
      <c r="BO35340" s="43"/>
    </row>
    <row r="35341" spans="65:67" ht="18.75" customHeight="1">
      <c r="BM35341" s="1025"/>
      <c r="BO35341" s="43"/>
    </row>
    <row r="35342" spans="65:67" ht="18.75" customHeight="1">
      <c r="BM35342" s="1025"/>
      <c r="BO35342" s="43"/>
    </row>
    <row r="35343" spans="65:67" ht="18.75" customHeight="1">
      <c r="BM35343" s="1025"/>
      <c r="BO35343" s="43"/>
    </row>
    <row r="35344" spans="65:67" ht="18.75" customHeight="1">
      <c r="BM35344" s="1025"/>
      <c r="BO35344" s="43"/>
    </row>
    <row r="35345" spans="65:67" ht="18.75" customHeight="1">
      <c r="BM35345" s="1025"/>
      <c r="BO35345" s="43"/>
    </row>
    <row r="35346" spans="65:67" ht="18.75" customHeight="1">
      <c r="BM35346" s="1025"/>
      <c r="BO35346" s="43"/>
    </row>
    <row r="35347" spans="65:67" ht="18.75" customHeight="1">
      <c r="BM35347" s="1025"/>
      <c r="BO35347" s="43"/>
    </row>
    <row r="35348" spans="65:67" ht="18.75" customHeight="1">
      <c r="BM35348" s="1025"/>
      <c r="BO35348" s="43"/>
    </row>
    <row r="35349" spans="65:67" ht="18.75" customHeight="1">
      <c r="BM35349" s="1025"/>
      <c r="BO35349" s="43"/>
    </row>
    <row r="35350" spans="65:67" ht="18.75" customHeight="1">
      <c r="BM35350" s="1025"/>
      <c r="BO35350" s="43"/>
    </row>
    <row r="35351" spans="65:67" ht="18.75" customHeight="1">
      <c r="BM35351" s="1025"/>
      <c r="BO35351" s="43"/>
    </row>
    <row r="35352" spans="65:67" ht="18.75" customHeight="1">
      <c r="BM35352" s="1025"/>
      <c r="BO35352" s="43"/>
    </row>
    <row r="35353" spans="65:67" ht="18.75" customHeight="1">
      <c r="BM35353" s="1025"/>
      <c r="BO35353" s="43"/>
    </row>
    <row r="35354" spans="65:67" ht="18.75" customHeight="1">
      <c r="BM35354" s="1025"/>
      <c r="BO35354" s="43"/>
    </row>
    <row r="35355" spans="65:67" ht="18.75" customHeight="1">
      <c r="BM35355" s="1025"/>
      <c r="BO35355" s="43"/>
    </row>
    <row r="35356" spans="65:67" ht="18.75" customHeight="1">
      <c r="BM35356" s="1025"/>
      <c r="BO35356" s="43"/>
    </row>
    <row r="35357" spans="65:67" ht="18.75" customHeight="1">
      <c r="BM35357" s="1025"/>
      <c r="BO35357" s="43"/>
    </row>
    <row r="35358" spans="65:67" ht="18.75" customHeight="1">
      <c r="BM35358" s="1025"/>
      <c r="BO35358" s="43"/>
    </row>
    <row r="35359" spans="65:67" ht="18.75" customHeight="1">
      <c r="BM35359" s="1025"/>
      <c r="BO35359" s="43"/>
    </row>
    <row r="35360" spans="65:67" ht="18.75" customHeight="1">
      <c r="BM35360" s="1025"/>
      <c r="BO35360" s="43"/>
    </row>
    <row r="35361" spans="65:67" ht="18.75" customHeight="1">
      <c r="BM35361" s="1025"/>
      <c r="BO35361" s="43"/>
    </row>
    <row r="35362" spans="65:67" ht="18.75" customHeight="1">
      <c r="BM35362" s="1025"/>
      <c r="BO35362" s="43"/>
    </row>
    <row r="35363" spans="65:67" ht="18.75" customHeight="1">
      <c r="BM35363" s="1025"/>
      <c r="BO35363" s="43"/>
    </row>
    <row r="35364" spans="65:67" ht="18.75" customHeight="1">
      <c r="BM35364" s="1025"/>
      <c r="BO35364" s="43"/>
    </row>
    <row r="35365" spans="65:67" ht="18.75" customHeight="1">
      <c r="BM35365" s="1025"/>
      <c r="BO35365" s="43"/>
    </row>
    <row r="35366" spans="65:67" ht="18.75" customHeight="1">
      <c r="BM35366" s="1025"/>
      <c r="BO35366" s="43"/>
    </row>
    <row r="35367" spans="65:67" ht="18.75" customHeight="1">
      <c r="BM35367" s="1025"/>
      <c r="BO35367" s="43"/>
    </row>
    <row r="35368" spans="65:67" ht="18.75" customHeight="1">
      <c r="BM35368" s="1025"/>
      <c r="BO35368" s="43"/>
    </row>
    <row r="35369" spans="65:67" ht="18.75" customHeight="1">
      <c r="BM35369" s="1025"/>
      <c r="BO35369" s="43"/>
    </row>
    <row r="35370" spans="65:67" ht="18.75" customHeight="1">
      <c r="BM35370" s="1025"/>
      <c r="BO35370" s="43"/>
    </row>
    <row r="35371" spans="65:67" ht="18.75" customHeight="1">
      <c r="BM35371" s="1025"/>
      <c r="BO35371" s="43"/>
    </row>
    <row r="35372" spans="65:67" ht="18.75" customHeight="1">
      <c r="BM35372" s="1025"/>
      <c r="BO35372" s="43"/>
    </row>
    <row r="35373" spans="65:67" ht="18.75" customHeight="1">
      <c r="BM35373" s="1025"/>
      <c r="BO35373" s="43"/>
    </row>
    <row r="35374" spans="65:67" ht="18.75" customHeight="1">
      <c r="BM35374" s="1025"/>
      <c r="BO35374" s="43"/>
    </row>
    <row r="35375" spans="65:67" ht="18.75" customHeight="1">
      <c r="BM35375" s="1025"/>
      <c r="BO35375" s="43"/>
    </row>
    <row r="35376" spans="65:67" ht="18.75" customHeight="1">
      <c r="BM35376" s="1025"/>
      <c r="BO35376" s="43"/>
    </row>
    <row r="35377" spans="65:67" ht="18.75" customHeight="1">
      <c r="BM35377" s="1025"/>
      <c r="BO35377" s="43"/>
    </row>
    <row r="35378" spans="65:67" ht="18.75" customHeight="1">
      <c r="BM35378" s="1025"/>
      <c r="BO35378" s="43"/>
    </row>
    <row r="35379" spans="65:67" ht="18.75" customHeight="1">
      <c r="BM35379" s="1025"/>
      <c r="BO35379" s="43"/>
    </row>
    <row r="35380" spans="65:67" ht="18.75" customHeight="1">
      <c r="BM35380" s="1025"/>
      <c r="BO35380" s="43"/>
    </row>
    <row r="35381" spans="65:67" ht="18.75" customHeight="1">
      <c r="BM35381" s="1025"/>
      <c r="BO35381" s="43"/>
    </row>
    <row r="35382" spans="65:67" ht="18.75" customHeight="1">
      <c r="BM35382" s="1025"/>
      <c r="BO35382" s="43"/>
    </row>
    <row r="35383" spans="65:67" ht="18.75" customHeight="1">
      <c r="BM35383" s="1025"/>
      <c r="BO35383" s="43"/>
    </row>
    <row r="35384" spans="65:67" ht="18.75" customHeight="1">
      <c r="BM35384" s="1025"/>
      <c r="BO35384" s="43"/>
    </row>
    <row r="35385" spans="65:67" ht="18.75" customHeight="1">
      <c r="BM35385" s="1025"/>
      <c r="BO35385" s="43"/>
    </row>
    <row r="35386" spans="65:67" ht="18.75" customHeight="1">
      <c r="BM35386" s="1025"/>
      <c r="BO35386" s="43"/>
    </row>
    <row r="35387" spans="65:67" ht="18.75" customHeight="1">
      <c r="BM35387" s="1025"/>
      <c r="BO35387" s="43"/>
    </row>
    <row r="35388" spans="65:67" ht="18.75" customHeight="1">
      <c r="BM35388" s="1025"/>
      <c r="BO35388" s="43"/>
    </row>
    <row r="35389" spans="65:67" ht="18.75" customHeight="1">
      <c r="BM35389" s="1025"/>
      <c r="BO35389" s="43"/>
    </row>
    <row r="35390" spans="65:67" ht="18.75" customHeight="1">
      <c r="BM35390" s="1025"/>
      <c r="BO35390" s="43"/>
    </row>
    <row r="35391" spans="65:67" ht="18.75" customHeight="1">
      <c r="BM35391" s="1025"/>
      <c r="BO35391" s="43"/>
    </row>
    <row r="35392" spans="65:67" ht="18.75" customHeight="1">
      <c r="BM35392" s="1025"/>
      <c r="BO35392" s="43"/>
    </row>
    <row r="35393" spans="65:67" ht="18.75" customHeight="1">
      <c r="BM35393" s="1025"/>
      <c r="BO35393" s="43"/>
    </row>
    <row r="35394" spans="65:67" ht="18.75" customHeight="1">
      <c r="BM35394" s="1025"/>
      <c r="BO35394" s="43"/>
    </row>
    <row r="35395" spans="65:67" ht="18.75" customHeight="1">
      <c r="BM35395" s="1025"/>
      <c r="BO35395" s="43"/>
    </row>
    <row r="35396" spans="65:67" ht="18.75" customHeight="1">
      <c r="BM35396" s="1025"/>
      <c r="BO35396" s="43"/>
    </row>
    <row r="35397" spans="65:67" ht="18.75" customHeight="1">
      <c r="BM35397" s="1025"/>
      <c r="BO35397" s="43"/>
    </row>
    <row r="35398" spans="65:67" ht="18.75" customHeight="1">
      <c r="BM35398" s="1025"/>
      <c r="BO35398" s="43"/>
    </row>
    <row r="35399" spans="65:67" ht="18.75" customHeight="1">
      <c r="BM35399" s="1025"/>
      <c r="BO35399" s="43"/>
    </row>
    <row r="35400" spans="65:67" ht="18.75" customHeight="1">
      <c r="BM35400" s="1025"/>
      <c r="BO35400" s="43"/>
    </row>
    <row r="35401" spans="65:67" ht="18.75" customHeight="1">
      <c r="BM35401" s="1025"/>
      <c r="BO35401" s="43"/>
    </row>
    <row r="35402" spans="65:67" ht="18.75" customHeight="1">
      <c r="BM35402" s="1025"/>
      <c r="BO35402" s="43"/>
    </row>
    <row r="35403" spans="65:67" ht="18.75" customHeight="1">
      <c r="BM35403" s="1025"/>
      <c r="BO35403" s="43"/>
    </row>
    <row r="35404" spans="65:67" ht="18.75" customHeight="1">
      <c r="BM35404" s="1025"/>
      <c r="BO35404" s="43"/>
    </row>
    <row r="35405" spans="65:67" ht="18.75" customHeight="1">
      <c r="BM35405" s="1025"/>
      <c r="BO35405" s="43"/>
    </row>
    <row r="35406" spans="65:67" ht="18.75" customHeight="1">
      <c r="BM35406" s="1025"/>
      <c r="BO35406" s="43"/>
    </row>
    <row r="35407" spans="65:67" ht="18.75" customHeight="1">
      <c r="BM35407" s="1025"/>
      <c r="BO35407" s="43"/>
    </row>
    <row r="35408" spans="65:67" ht="18.75" customHeight="1">
      <c r="BM35408" s="1025"/>
      <c r="BO35408" s="43"/>
    </row>
    <row r="35409" spans="65:67" ht="18.75" customHeight="1">
      <c r="BM35409" s="1025"/>
      <c r="BO35409" s="43"/>
    </row>
    <row r="35410" spans="65:67" ht="18.75" customHeight="1">
      <c r="BM35410" s="1025"/>
      <c r="BO35410" s="43"/>
    </row>
    <row r="35411" spans="65:67" ht="18.75" customHeight="1">
      <c r="BM35411" s="1025"/>
      <c r="BO35411" s="43"/>
    </row>
    <row r="35412" spans="65:67" ht="18.75" customHeight="1">
      <c r="BM35412" s="1025"/>
      <c r="BO35412" s="43"/>
    </row>
    <row r="35413" spans="65:67" ht="18.75" customHeight="1">
      <c r="BM35413" s="1025"/>
      <c r="BO35413" s="43"/>
    </row>
    <row r="35414" spans="65:67" ht="18.75" customHeight="1">
      <c r="BM35414" s="1025"/>
      <c r="BO35414" s="43"/>
    </row>
    <row r="35415" spans="65:67" ht="18.75" customHeight="1">
      <c r="BM35415" s="1025"/>
      <c r="BO35415" s="43"/>
    </row>
    <row r="35416" spans="65:67" ht="18.75" customHeight="1">
      <c r="BM35416" s="1025"/>
      <c r="BO35416" s="43"/>
    </row>
    <row r="35417" spans="65:67" ht="18.75" customHeight="1">
      <c r="BM35417" s="1025"/>
      <c r="BO35417" s="43"/>
    </row>
    <row r="35418" spans="65:67" ht="18.75" customHeight="1">
      <c r="BM35418" s="1025"/>
      <c r="BO35418" s="43"/>
    </row>
    <row r="35419" spans="65:67" ht="18.75" customHeight="1">
      <c r="BM35419" s="1025"/>
      <c r="BO35419" s="43"/>
    </row>
    <row r="35420" spans="65:67" ht="18.75" customHeight="1">
      <c r="BM35420" s="1025"/>
      <c r="BO35420" s="43"/>
    </row>
    <row r="35421" spans="65:67" ht="18.75" customHeight="1">
      <c r="BM35421" s="1025"/>
      <c r="BO35421" s="43"/>
    </row>
    <row r="35422" spans="65:67" ht="18.75" customHeight="1">
      <c r="BM35422" s="1025"/>
      <c r="BO35422" s="43"/>
    </row>
    <row r="35423" spans="65:67" ht="18.75" customHeight="1">
      <c r="BM35423" s="1025"/>
      <c r="BO35423" s="43"/>
    </row>
    <row r="35424" spans="65:67" ht="18.75" customHeight="1">
      <c r="BM35424" s="1025"/>
      <c r="BO35424" s="43"/>
    </row>
    <row r="35425" spans="65:67" ht="18.75" customHeight="1">
      <c r="BM35425" s="1025"/>
      <c r="BO35425" s="43"/>
    </row>
    <row r="35426" spans="65:67" ht="18.75" customHeight="1">
      <c r="BM35426" s="1025"/>
      <c r="BO35426" s="43"/>
    </row>
    <row r="35427" spans="65:67" ht="18.75" customHeight="1">
      <c r="BM35427" s="1025"/>
      <c r="BO35427" s="43"/>
    </row>
    <row r="35428" spans="65:67" ht="18.75" customHeight="1">
      <c r="BM35428" s="1025"/>
      <c r="BO35428" s="43"/>
    </row>
    <row r="35429" spans="65:67" ht="18.75" customHeight="1">
      <c r="BM35429" s="1025"/>
      <c r="BO35429" s="43"/>
    </row>
    <row r="35430" spans="65:67" ht="18.75" customHeight="1">
      <c r="BM35430" s="1025"/>
      <c r="BO35430" s="43"/>
    </row>
    <row r="35431" spans="65:67" ht="18.75" customHeight="1">
      <c r="BM35431" s="1025"/>
      <c r="BO35431" s="43"/>
    </row>
    <row r="35432" spans="65:67" ht="18.75" customHeight="1">
      <c r="BM35432" s="1025"/>
      <c r="BO35432" s="43"/>
    </row>
    <row r="35433" spans="65:67" ht="18.75" customHeight="1">
      <c r="BM35433" s="1025"/>
      <c r="BO35433" s="43"/>
    </row>
    <row r="35434" spans="65:67" ht="18.75" customHeight="1">
      <c r="BM35434" s="1025"/>
      <c r="BO35434" s="43"/>
    </row>
    <row r="35435" spans="65:67" ht="18.75" customHeight="1">
      <c r="BM35435" s="1025"/>
      <c r="BO35435" s="43"/>
    </row>
    <row r="35436" spans="65:67" ht="18.75" customHeight="1">
      <c r="BM35436" s="1025"/>
      <c r="BO35436" s="43"/>
    </row>
    <row r="35437" spans="65:67" ht="18.75" customHeight="1">
      <c r="BM35437" s="1025"/>
      <c r="BO35437" s="43"/>
    </row>
    <row r="35438" spans="65:67" ht="18.75" customHeight="1">
      <c r="BM35438" s="1025"/>
      <c r="BO35438" s="43"/>
    </row>
    <row r="35439" spans="65:67" ht="18.75" customHeight="1">
      <c r="BM35439" s="1025"/>
      <c r="BO35439" s="43"/>
    </row>
    <row r="35440" spans="65:67" ht="18.75" customHeight="1">
      <c r="BM35440" s="1025"/>
      <c r="BO35440" s="43"/>
    </row>
    <row r="35441" spans="65:67" ht="18.75" customHeight="1">
      <c r="BM35441" s="1025"/>
      <c r="BO35441" s="43"/>
    </row>
    <row r="35442" spans="65:67" ht="18.75" customHeight="1">
      <c r="BM35442" s="1025"/>
      <c r="BO35442" s="43"/>
    </row>
    <row r="35443" spans="65:67" ht="18.75" customHeight="1">
      <c r="BM35443" s="1025"/>
      <c r="BO35443" s="43"/>
    </row>
    <row r="35444" spans="65:67" ht="18.75" customHeight="1">
      <c r="BM35444" s="1025"/>
      <c r="BO35444" s="43"/>
    </row>
    <row r="35445" spans="65:67" ht="18.75" customHeight="1">
      <c r="BM35445" s="1025"/>
      <c r="BO35445" s="43"/>
    </row>
    <row r="35446" spans="65:67" ht="18.75" customHeight="1">
      <c r="BM35446" s="1025"/>
      <c r="BO35446" s="43"/>
    </row>
    <row r="35447" spans="65:67" ht="18.75" customHeight="1">
      <c r="BM35447" s="1025"/>
      <c r="BO35447" s="43"/>
    </row>
    <row r="35448" spans="65:67" ht="18.75" customHeight="1">
      <c r="BM35448" s="1025"/>
      <c r="BO35448" s="43"/>
    </row>
    <row r="35449" spans="65:67" ht="18.75" customHeight="1">
      <c r="BM35449" s="1025"/>
      <c r="BO35449" s="43"/>
    </row>
    <row r="35450" spans="65:67" ht="18.75" customHeight="1">
      <c r="BM35450" s="1025"/>
      <c r="BO35450" s="43"/>
    </row>
    <row r="35451" spans="65:67" ht="18.75" customHeight="1">
      <c r="BM35451" s="1025"/>
      <c r="BO35451" s="43"/>
    </row>
    <row r="35452" spans="65:67" ht="18.75" customHeight="1">
      <c r="BM35452" s="1025"/>
      <c r="BO35452" s="43"/>
    </row>
    <row r="35453" spans="65:67" ht="18.75" customHeight="1">
      <c r="BM35453" s="1025"/>
      <c r="BO35453" s="43"/>
    </row>
    <row r="35454" spans="65:67" ht="18.75" customHeight="1">
      <c r="BM35454" s="1025"/>
      <c r="BO35454" s="43"/>
    </row>
    <row r="35455" spans="65:67" ht="18.75" customHeight="1">
      <c r="BM35455" s="1025"/>
      <c r="BO35455" s="43"/>
    </row>
    <row r="35456" spans="65:67" ht="18.75" customHeight="1">
      <c r="BM35456" s="1025"/>
      <c r="BO35456" s="43"/>
    </row>
    <row r="35457" spans="65:67" ht="18.75" customHeight="1">
      <c r="BM35457" s="1025"/>
      <c r="BO35457" s="43"/>
    </row>
    <row r="35458" spans="65:67" ht="18.75" customHeight="1">
      <c r="BM35458" s="1025"/>
      <c r="BO35458" s="43"/>
    </row>
    <row r="35459" spans="65:67" ht="18.75" customHeight="1">
      <c r="BM35459" s="1025"/>
      <c r="BO35459" s="43"/>
    </row>
    <row r="35460" spans="65:67" ht="18.75" customHeight="1">
      <c r="BM35460" s="1025"/>
      <c r="BO35460" s="43"/>
    </row>
    <row r="35461" spans="65:67" ht="18.75" customHeight="1">
      <c r="BM35461" s="1025"/>
      <c r="BO35461" s="43"/>
    </row>
    <row r="35462" spans="65:67" ht="18.75" customHeight="1">
      <c r="BM35462" s="1025"/>
      <c r="BO35462" s="43"/>
    </row>
    <row r="35463" spans="65:67" ht="18.75" customHeight="1">
      <c r="BM35463" s="1025"/>
      <c r="BO35463" s="43"/>
    </row>
    <row r="35464" spans="65:67" ht="18.75" customHeight="1">
      <c r="BM35464" s="1025"/>
      <c r="BO35464" s="43"/>
    </row>
    <row r="35465" spans="65:67" ht="18.75" customHeight="1">
      <c r="BM35465" s="1025"/>
      <c r="BO35465" s="43"/>
    </row>
    <row r="35466" spans="65:67" ht="18.75" customHeight="1">
      <c r="BM35466" s="1025"/>
      <c r="BO35466" s="43"/>
    </row>
    <row r="35467" spans="65:67" ht="18.75" customHeight="1">
      <c r="BM35467" s="1025"/>
      <c r="BO35467" s="43"/>
    </row>
    <row r="35468" spans="65:67" ht="18.75" customHeight="1">
      <c r="BM35468" s="1025"/>
      <c r="BO35468" s="43"/>
    </row>
    <row r="35469" spans="65:67" ht="18.75" customHeight="1">
      <c r="BM35469" s="1025"/>
      <c r="BO35469" s="43"/>
    </row>
    <row r="35470" spans="65:67" ht="18.75" customHeight="1">
      <c r="BM35470" s="1025"/>
      <c r="BO35470" s="43"/>
    </row>
    <row r="35471" spans="65:67" ht="18.75" customHeight="1">
      <c r="BM35471" s="1025"/>
      <c r="BO35471" s="43"/>
    </row>
    <row r="35472" spans="65:67" ht="18.75" customHeight="1">
      <c r="BM35472" s="1025"/>
      <c r="BO35472" s="43"/>
    </row>
    <row r="35473" spans="65:67" ht="18.75" customHeight="1">
      <c r="BM35473" s="1025"/>
      <c r="BO35473" s="43"/>
    </row>
    <row r="35474" spans="65:67" ht="18.75" customHeight="1">
      <c r="BM35474" s="1025"/>
      <c r="BO35474" s="43"/>
    </row>
    <row r="35475" spans="65:67" ht="18.75" customHeight="1">
      <c r="BM35475" s="1025"/>
      <c r="BO35475" s="43"/>
    </row>
    <row r="35476" spans="65:67" ht="18.75" customHeight="1">
      <c r="BM35476" s="1025"/>
      <c r="BO35476" s="43"/>
    </row>
    <row r="35477" spans="65:67" ht="18.75" customHeight="1">
      <c r="BM35477" s="1025"/>
      <c r="BO35477" s="43"/>
    </row>
    <row r="35478" spans="65:67" ht="18.75" customHeight="1">
      <c r="BM35478" s="1025"/>
      <c r="BO35478" s="43"/>
    </row>
    <row r="35479" spans="65:67" ht="18.75" customHeight="1">
      <c r="BM35479" s="1025"/>
      <c r="BO35479" s="43"/>
    </row>
    <row r="35480" spans="65:67" ht="18.75" customHeight="1">
      <c r="BM35480" s="1025"/>
      <c r="BO35480" s="43"/>
    </row>
    <row r="35481" spans="65:67" ht="18.75" customHeight="1">
      <c r="BM35481" s="1025"/>
      <c r="BO35481" s="43"/>
    </row>
    <row r="35482" spans="65:67" ht="18.75" customHeight="1">
      <c r="BM35482" s="1025"/>
      <c r="BO35482" s="43"/>
    </row>
    <row r="35483" spans="65:67" ht="18.75" customHeight="1">
      <c r="BM35483" s="1025"/>
      <c r="BO35483" s="43"/>
    </row>
    <row r="35484" spans="65:67" ht="18.75" customHeight="1">
      <c r="BM35484" s="1025"/>
      <c r="BO35484" s="43"/>
    </row>
    <row r="35485" spans="65:67" ht="18.75" customHeight="1">
      <c r="BM35485" s="1025"/>
      <c r="BO35485" s="43"/>
    </row>
    <row r="35486" spans="65:67" ht="18.75" customHeight="1">
      <c r="BM35486" s="1025"/>
      <c r="BO35486" s="43"/>
    </row>
    <row r="35487" spans="65:67" ht="18.75" customHeight="1">
      <c r="BM35487" s="1025"/>
      <c r="BO35487" s="43"/>
    </row>
    <row r="35488" spans="65:67" ht="18.75" customHeight="1">
      <c r="BM35488" s="1025"/>
      <c r="BO35488" s="43"/>
    </row>
    <row r="35489" spans="65:67" ht="18.75" customHeight="1">
      <c r="BM35489" s="1025"/>
      <c r="BO35489" s="43"/>
    </row>
    <row r="35490" spans="65:67" ht="18.75" customHeight="1">
      <c r="BM35490" s="1025"/>
      <c r="BO35490" s="43"/>
    </row>
    <row r="35491" spans="65:67" ht="18.75" customHeight="1">
      <c r="BM35491" s="1025"/>
      <c r="BO35491" s="43"/>
    </row>
    <row r="35492" spans="65:67" ht="18.75" customHeight="1">
      <c r="BM35492" s="1025"/>
      <c r="BO35492" s="43"/>
    </row>
    <row r="35493" spans="65:67" ht="18.75" customHeight="1">
      <c r="BM35493" s="1025"/>
      <c r="BO35493" s="43"/>
    </row>
    <row r="35494" spans="65:67" ht="18.75" customHeight="1">
      <c r="BM35494" s="1025"/>
      <c r="BO35494" s="43"/>
    </row>
    <row r="35495" spans="65:67" ht="18.75" customHeight="1">
      <c r="BM35495" s="1025"/>
      <c r="BO35495" s="43"/>
    </row>
    <row r="35496" spans="65:67" ht="18.75" customHeight="1">
      <c r="BM35496" s="1025"/>
      <c r="BO35496" s="43"/>
    </row>
    <row r="35497" spans="65:67" ht="18.75" customHeight="1">
      <c r="BM35497" s="1025"/>
      <c r="BO35497" s="43"/>
    </row>
    <row r="35498" spans="65:67" ht="18.75" customHeight="1">
      <c r="BM35498" s="1025"/>
      <c r="BO35498" s="43"/>
    </row>
    <row r="35499" spans="65:67" ht="18.75" customHeight="1">
      <c r="BM35499" s="1025"/>
      <c r="BO35499" s="43"/>
    </row>
    <row r="35500" spans="65:67" ht="18.75" customHeight="1">
      <c r="BM35500" s="1025"/>
      <c r="BO35500" s="43"/>
    </row>
    <row r="35501" spans="65:67" ht="18.75" customHeight="1">
      <c r="BM35501" s="1025"/>
      <c r="BO35501" s="43"/>
    </row>
    <row r="35502" spans="65:67" ht="18.75" customHeight="1">
      <c r="BM35502" s="1025"/>
      <c r="BO35502" s="43"/>
    </row>
    <row r="35503" spans="65:67" ht="18.75" customHeight="1">
      <c r="BM35503" s="1025"/>
      <c r="BO35503" s="43"/>
    </row>
    <row r="35504" spans="65:67" ht="18.75" customHeight="1">
      <c r="BM35504" s="1025"/>
      <c r="BO35504" s="43"/>
    </row>
    <row r="35505" spans="65:67" ht="18.75" customHeight="1">
      <c r="BM35505" s="1025"/>
      <c r="BO35505" s="43"/>
    </row>
    <row r="35506" spans="65:67" ht="18.75" customHeight="1">
      <c r="BM35506" s="1025"/>
      <c r="BO35506" s="43"/>
    </row>
    <row r="35507" spans="65:67" ht="18.75" customHeight="1">
      <c r="BM35507" s="1025"/>
      <c r="BO35507" s="43"/>
    </row>
    <row r="35508" spans="65:67" ht="18.75" customHeight="1">
      <c r="BM35508" s="1025"/>
      <c r="BO35508" s="43"/>
    </row>
    <row r="35509" spans="65:67" ht="18.75" customHeight="1">
      <c r="BM35509" s="1025"/>
      <c r="BO35509" s="43"/>
    </row>
    <row r="35510" spans="65:67" ht="18.75" customHeight="1">
      <c r="BM35510" s="1025"/>
      <c r="BO35510" s="43"/>
    </row>
    <row r="35511" spans="65:67" ht="18.75" customHeight="1">
      <c r="BM35511" s="1025"/>
      <c r="BO35511" s="43"/>
    </row>
    <row r="35512" spans="65:67" ht="18.75" customHeight="1">
      <c r="BM35512" s="1025"/>
      <c r="BO35512" s="43"/>
    </row>
    <row r="35513" spans="65:67" ht="18.75" customHeight="1">
      <c r="BM35513" s="1025"/>
      <c r="BO35513" s="43"/>
    </row>
    <row r="35514" spans="65:67" ht="18.75" customHeight="1">
      <c r="BM35514" s="1025"/>
      <c r="BO35514" s="43"/>
    </row>
    <row r="35515" spans="65:67" ht="18.75" customHeight="1">
      <c r="BM35515" s="1025"/>
      <c r="BO35515" s="43"/>
    </row>
    <row r="35516" spans="65:67" ht="18.75" customHeight="1">
      <c r="BM35516" s="1025"/>
      <c r="BO35516" s="43"/>
    </row>
    <row r="35517" spans="65:67" ht="18.75" customHeight="1">
      <c r="BM35517" s="1025"/>
      <c r="BO35517" s="43"/>
    </row>
    <row r="35518" spans="65:67" ht="18.75" customHeight="1">
      <c r="BM35518" s="1025"/>
      <c r="BO35518" s="43"/>
    </row>
    <row r="35519" spans="65:67" ht="18.75" customHeight="1">
      <c r="BM35519" s="1025"/>
      <c r="BO35519" s="43"/>
    </row>
    <row r="35520" spans="65:67" ht="18.75" customHeight="1">
      <c r="BM35520" s="1025"/>
      <c r="BO35520" s="43"/>
    </row>
    <row r="35521" spans="65:67" ht="18.75" customHeight="1">
      <c r="BM35521" s="1025"/>
      <c r="BO35521" s="43"/>
    </row>
    <row r="35522" spans="65:67" ht="18.75" customHeight="1">
      <c r="BM35522" s="1025"/>
      <c r="BO35522" s="43"/>
    </row>
    <row r="35523" spans="65:67" ht="18.75" customHeight="1">
      <c r="BM35523" s="1025"/>
      <c r="BO35523" s="43"/>
    </row>
    <row r="35524" spans="65:67" ht="18.75" customHeight="1">
      <c r="BM35524" s="1025"/>
      <c r="BO35524" s="43"/>
    </row>
    <row r="35525" spans="65:67" ht="18.75" customHeight="1">
      <c r="BM35525" s="1025"/>
      <c r="BO35525" s="43"/>
    </row>
    <row r="35526" spans="65:67" ht="18.75" customHeight="1">
      <c r="BM35526" s="1025"/>
      <c r="BO35526" s="43"/>
    </row>
    <row r="35527" spans="65:67" ht="18.75" customHeight="1">
      <c r="BM35527" s="1025"/>
      <c r="BO35527" s="43"/>
    </row>
    <row r="35528" spans="65:67" ht="18.75" customHeight="1">
      <c r="BM35528" s="1025"/>
      <c r="BO35528" s="43"/>
    </row>
    <row r="35529" spans="65:67" ht="18.75" customHeight="1">
      <c r="BM35529" s="1025"/>
      <c r="BO35529" s="43"/>
    </row>
    <row r="35530" spans="65:67" ht="18.75" customHeight="1">
      <c r="BM35530" s="1025"/>
      <c r="BO35530" s="43"/>
    </row>
    <row r="35531" spans="65:67" ht="18.75" customHeight="1">
      <c r="BM35531" s="1025"/>
      <c r="BO35531" s="43"/>
    </row>
    <row r="35532" spans="65:67" ht="18.75" customHeight="1">
      <c r="BM35532" s="1025"/>
      <c r="BO35532" s="43"/>
    </row>
    <row r="35533" spans="65:67" ht="18.75" customHeight="1">
      <c r="BM35533" s="1025"/>
      <c r="BO35533" s="43"/>
    </row>
    <row r="35534" spans="65:67" ht="18.75" customHeight="1">
      <c r="BM35534" s="1025"/>
      <c r="BO35534" s="43"/>
    </row>
    <row r="35535" spans="65:67" ht="18.75" customHeight="1">
      <c r="BM35535" s="1025"/>
      <c r="BO35535" s="43"/>
    </row>
    <row r="35536" spans="65:67" ht="18.75" customHeight="1">
      <c r="BM35536" s="1025"/>
      <c r="BO35536" s="43"/>
    </row>
    <row r="35537" spans="65:67" ht="18.75" customHeight="1">
      <c r="BM35537" s="1025"/>
      <c r="BO35537" s="43"/>
    </row>
    <row r="35538" spans="65:67" ht="18.75" customHeight="1">
      <c r="BM35538" s="1025"/>
      <c r="BO35538" s="43"/>
    </row>
    <row r="35539" spans="65:67" ht="18.75" customHeight="1">
      <c r="BM35539" s="1025"/>
      <c r="BO35539" s="43"/>
    </row>
    <row r="35540" spans="65:67" ht="18.75" customHeight="1">
      <c r="BM35540" s="1025"/>
      <c r="BO35540" s="43"/>
    </row>
    <row r="35541" spans="65:67" ht="18.75" customHeight="1">
      <c r="BM35541" s="1025"/>
      <c r="BO35541" s="43"/>
    </row>
    <row r="35542" spans="65:67" ht="18.75" customHeight="1">
      <c r="BM35542" s="1025"/>
      <c r="BO35542" s="43"/>
    </row>
    <row r="35543" spans="65:67" ht="18.75" customHeight="1">
      <c r="BM35543" s="1025"/>
      <c r="BO35543" s="43"/>
    </row>
    <row r="35544" spans="65:67" ht="18.75" customHeight="1">
      <c r="BM35544" s="1025"/>
      <c r="BO35544" s="43"/>
    </row>
    <row r="35545" spans="65:67" ht="18.75" customHeight="1">
      <c r="BM35545" s="1025"/>
      <c r="BO35545" s="43"/>
    </row>
    <row r="35546" spans="65:67" ht="18.75" customHeight="1">
      <c r="BM35546" s="1025"/>
      <c r="BO35546" s="43"/>
    </row>
    <row r="35547" spans="65:67" ht="18.75" customHeight="1">
      <c r="BM35547" s="1025"/>
      <c r="BO35547" s="43"/>
    </row>
    <row r="35548" spans="65:67" ht="18.75" customHeight="1">
      <c r="BM35548" s="1025"/>
      <c r="BO35548" s="43"/>
    </row>
    <row r="35549" spans="65:67" ht="18.75" customHeight="1">
      <c r="BM35549" s="1025"/>
      <c r="BO35549" s="43"/>
    </row>
    <row r="35550" spans="65:67" ht="18.75" customHeight="1">
      <c r="BM35550" s="1025"/>
      <c r="BO35550" s="43"/>
    </row>
    <row r="35551" spans="65:67" ht="18.75" customHeight="1">
      <c r="BM35551" s="1025"/>
      <c r="BO35551" s="43"/>
    </row>
    <row r="35552" spans="65:67" ht="18.75" customHeight="1">
      <c r="BM35552" s="1025"/>
      <c r="BO35552" s="43"/>
    </row>
    <row r="35553" spans="65:67" ht="18.75" customHeight="1">
      <c r="BM35553" s="1025"/>
      <c r="BO35553" s="43"/>
    </row>
    <row r="35554" spans="65:67" ht="18.75" customHeight="1">
      <c r="BM35554" s="1025"/>
      <c r="BO35554" s="43"/>
    </row>
    <row r="35555" spans="65:67" ht="18.75" customHeight="1">
      <c r="BM35555" s="1025"/>
      <c r="BO35555" s="43"/>
    </row>
    <row r="35556" spans="65:67" ht="18.75" customHeight="1">
      <c r="BM35556" s="1025"/>
      <c r="BO35556" s="43"/>
    </row>
    <row r="35557" spans="65:67" ht="18.75" customHeight="1">
      <c r="BM35557" s="1025"/>
      <c r="BO35557" s="43"/>
    </row>
    <row r="35558" spans="65:67" ht="18.75" customHeight="1">
      <c r="BM35558" s="1025"/>
      <c r="BO35558" s="43"/>
    </row>
    <row r="35559" spans="65:67" ht="18.75" customHeight="1">
      <c r="BM35559" s="1025"/>
      <c r="BO35559" s="43"/>
    </row>
    <row r="35560" spans="65:67" ht="18.75" customHeight="1">
      <c r="BM35560" s="1025"/>
      <c r="BO35560" s="43"/>
    </row>
    <row r="35561" spans="65:67" ht="18.75" customHeight="1">
      <c r="BM35561" s="1025"/>
      <c r="BO35561" s="43"/>
    </row>
    <row r="35562" spans="65:67" ht="18.75" customHeight="1">
      <c r="BM35562" s="1025"/>
      <c r="BO35562" s="43"/>
    </row>
    <row r="35563" spans="65:67" ht="18.75" customHeight="1">
      <c r="BM35563" s="1025"/>
      <c r="BO35563" s="43"/>
    </row>
    <row r="35564" spans="65:67" ht="18.75" customHeight="1">
      <c r="BM35564" s="1025"/>
      <c r="BO35564" s="43"/>
    </row>
    <row r="35565" spans="65:67" ht="18.75" customHeight="1">
      <c r="BM35565" s="1025"/>
      <c r="BO35565" s="43"/>
    </row>
    <row r="35566" spans="65:67" ht="18.75" customHeight="1">
      <c r="BM35566" s="1025"/>
      <c r="BO35566" s="43"/>
    </row>
    <row r="35567" spans="65:67" ht="18.75" customHeight="1">
      <c r="BM35567" s="1025"/>
      <c r="BO35567" s="43"/>
    </row>
    <row r="35568" spans="65:67" ht="18.75" customHeight="1">
      <c r="BM35568" s="1025"/>
      <c r="BO35568" s="43"/>
    </row>
    <row r="35569" spans="65:67" ht="18.75" customHeight="1">
      <c r="BM35569" s="1025"/>
      <c r="BO35569" s="43"/>
    </row>
    <row r="35570" spans="65:67" ht="18.75" customHeight="1">
      <c r="BM35570" s="1025"/>
      <c r="BO35570" s="43"/>
    </row>
    <row r="35571" spans="65:67" ht="18.75" customHeight="1">
      <c r="BM35571" s="1025"/>
      <c r="BO35571" s="43"/>
    </row>
    <row r="35572" spans="65:67" ht="18.75" customHeight="1">
      <c r="BM35572" s="1025"/>
      <c r="BO35572" s="43"/>
    </row>
    <row r="35573" spans="65:67" ht="18.75" customHeight="1">
      <c r="BM35573" s="1025"/>
      <c r="BO35573" s="43"/>
    </row>
    <row r="35574" spans="65:67" ht="18.75" customHeight="1">
      <c r="BM35574" s="1025"/>
      <c r="BO35574" s="43"/>
    </row>
    <row r="35575" spans="65:67" ht="18.75" customHeight="1">
      <c r="BM35575" s="1025"/>
      <c r="BO35575" s="43"/>
    </row>
    <row r="35576" spans="65:67" ht="18.75" customHeight="1">
      <c r="BM35576" s="1025"/>
      <c r="BO35576" s="43"/>
    </row>
    <row r="35577" spans="65:67" ht="18.75" customHeight="1">
      <c r="BM35577" s="1025"/>
      <c r="BO35577" s="43"/>
    </row>
    <row r="35578" spans="65:67" ht="18.75" customHeight="1">
      <c r="BM35578" s="1025"/>
      <c r="BO35578" s="43"/>
    </row>
    <row r="35579" spans="65:67" ht="18.75" customHeight="1">
      <c r="BM35579" s="1025"/>
      <c r="BO35579" s="43"/>
    </row>
    <row r="35580" spans="65:67" ht="18.75" customHeight="1">
      <c r="BM35580" s="1025"/>
      <c r="BO35580" s="43"/>
    </row>
    <row r="35581" spans="65:67" ht="18.75" customHeight="1">
      <c r="BM35581" s="1025"/>
      <c r="BO35581" s="43"/>
    </row>
    <row r="35582" spans="65:67" ht="18.75" customHeight="1">
      <c r="BM35582" s="1025"/>
      <c r="BO35582" s="43"/>
    </row>
    <row r="35583" spans="65:67" ht="18.75" customHeight="1">
      <c r="BM35583" s="1025"/>
      <c r="BO35583" s="43"/>
    </row>
    <row r="35584" spans="65:67" ht="18.75" customHeight="1">
      <c r="BM35584" s="1025"/>
      <c r="BO35584" s="43"/>
    </row>
    <row r="35585" spans="65:67" ht="18.75" customHeight="1">
      <c r="BM35585" s="1025"/>
      <c r="BO35585" s="43"/>
    </row>
    <row r="35586" spans="65:67" ht="18.75" customHeight="1">
      <c r="BM35586" s="1025"/>
      <c r="BO35586" s="43"/>
    </row>
    <row r="35587" spans="65:67" ht="18.75" customHeight="1">
      <c r="BM35587" s="1025"/>
      <c r="BO35587" s="43"/>
    </row>
    <row r="35588" spans="65:67" ht="18.75" customHeight="1">
      <c r="BM35588" s="1025"/>
      <c r="BO35588" s="43"/>
    </row>
    <row r="35589" spans="65:67" ht="18.75" customHeight="1">
      <c r="BM35589" s="1025"/>
      <c r="BO35589" s="43"/>
    </row>
    <row r="35590" spans="65:67" ht="18.75" customHeight="1">
      <c r="BM35590" s="1025"/>
      <c r="BO35590" s="43"/>
    </row>
    <row r="35591" spans="65:67" ht="18.75" customHeight="1">
      <c r="BM35591" s="1025"/>
      <c r="BO35591" s="43"/>
    </row>
    <row r="35592" spans="65:67" ht="18.75" customHeight="1">
      <c r="BM35592" s="1025"/>
      <c r="BO35592" s="43"/>
    </row>
    <row r="35593" spans="65:67" ht="18.75" customHeight="1">
      <c r="BM35593" s="1025"/>
      <c r="BO35593" s="43"/>
    </row>
    <row r="35594" spans="65:67" ht="18.75" customHeight="1">
      <c r="BM35594" s="1025"/>
      <c r="BO35594" s="43"/>
    </row>
    <row r="35595" spans="65:67" ht="18.75" customHeight="1">
      <c r="BM35595" s="1025"/>
      <c r="BO35595" s="43"/>
    </row>
    <row r="35596" spans="65:67" ht="18.75" customHeight="1">
      <c r="BM35596" s="1025"/>
      <c r="BO35596" s="43"/>
    </row>
    <row r="35597" spans="65:67" ht="18.75" customHeight="1">
      <c r="BM35597" s="1025"/>
      <c r="BO35597" s="43"/>
    </row>
    <row r="35598" spans="65:67" ht="18.75" customHeight="1">
      <c r="BM35598" s="1025"/>
      <c r="BO35598" s="43"/>
    </row>
    <row r="35599" spans="65:67" ht="18.75" customHeight="1">
      <c r="BM35599" s="1025"/>
      <c r="BO35599" s="43"/>
    </row>
    <row r="35600" spans="65:67" ht="18.75" customHeight="1">
      <c r="BM35600" s="1025"/>
      <c r="BO35600" s="43"/>
    </row>
    <row r="35601" spans="65:67" ht="18.75" customHeight="1">
      <c r="BM35601" s="1025"/>
      <c r="BO35601" s="43"/>
    </row>
    <row r="35602" spans="65:67" ht="18.75" customHeight="1">
      <c r="BM35602" s="1025"/>
      <c r="BO35602" s="43"/>
    </row>
    <row r="35603" spans="65:67" ht="18.75" customHeight="1">
      <c r="BM35603" s="1025"/>
      <c r="BO35603" s="43"/>
    </row>
    <row r="35604" spans="65:67" ht="18.75" customHeight="1">
      <c r="BM35604" s="1025"/>
      <c r="BO35604" s="43"/>
    </row>
    <row r="35605" spans="65:67" ht="18.75" customHeight="1">
      <c r="BM35605" s="1025"/>
      <c r="BO35605" s="43"/>
    </row>
    <row r="35606" spans="65:67" ht="18.75" customHeight="1">
      <c r="BM35606" s="1025"/>
      <c r="BO35606" s="43"/>
    </row>
    <row r="35607" spans="65:67" ht="18.75" customHeight="1">
      <c r="BM35607" s="1025"/>
      <c r="BO35607" s="43"/>
    </row>
    <row r="35608" spans="65:67" ht="18.75" customHeight="1">
      <c r="BM35608" s="1025"/>
      <c r="BO35608" s="43"/>
    </row>
    <row r="35609" spans="65:67" ht="18.75" customHeight="1">
      <c r="BM35609" s="1025"/>
      <c r="BO35609" s="43"/>
    </row>
    <row r="35610" spans="65:67" ht="18.75" customHeight="1">
      <c r="BM35610" s="1025"/>
      <c r="BO35610" s="43"/>
    </row>
    <row r="35611" spans="65:67" ht="18.75" customHeight="1">
      <c r="BM35611" s="1025"/>
      <c r="BO35611" s="43"/>
    </row>
    <row r="35612" spans="65:67" ht="18.75" customHeight="1">
      <c r="BM35612" s="1025"/>
      <c r="BO35612" s="43"/>
    </row>
    <row r="35613" spans="65:67" ht="18.75" customHeight="1">
      <c r="BM35613" s="1025"/>
      <c r="BO35613" s="43"/>
    </row>
    <row r="35614" spans="65:67" ht="18.75" customHeight="1">
      <c r="BM35614" s="1025"/>
      <c r="BO35614" s="43"/>
    </row>
    <row r="35615" spans="65:67" ht="18.75" customHeight="1">
      <c r="BM35615" s="1025"/>
      <c r="BO35615" s="43"/>
    </row>
    <row r="35616" spans="65:67" ht="18.75" customHeight="1">
      <c r="BM35616" s="1025"/>
      <c r="BO35616" s="43"/>
    </row>
    <row r="35617" spans="65:67" ht="18.75" customHeight="1">
      <c r="BM35617" s="1025"/>
      <c r="BO35617" s="43"/>
    </row>
    <row r="35618" spans="65:67" ht="18.75" customHeight="1">
      <c r="BM35618" s="1025"/>
      <c r="BO35618" s="43"/>
    </row>
    <row r="35619" spans="65:67" ht="18.75" customHeight="1">
      <c r="BM35619" s="1025"/>
      <c r="BO35619" s="43"/>
    </row>
    <row r="35620" spans="65:67" ht="18.75" customHeight="1">
      <c r="BM35620" s="1025"/>
      <c r="BO35620" s="43"/>
    </row>
    <row r="35621" spans="65:67" ht="18.75" customHeight="1">
      <c r="BM35621" s="1025"/>
      <c r="BO35621" s="43"/>
    </row>
    <row r="35622" spans="65:67" ht="18.75" customHeight="1">
      <c r="BM35622" s="1025"/>
      <c r="BO35622" s="43"/>
    </row>
    <row r="35623" spans="65:67" ht="18.75" customHeight="1">
      <c r="BM35623" s="1025"/>
      <c r="BO35623" s="43"/>
    </row>
    <row r="35624" spans="65:67" ht="18.75" customHeight="1">
      <c r="BM35624" s="1025"/>
      <c r="BO35624" s="43"/>
    </row>
    <row r="35625" spans="65:67" ht="18.75" customHeight="1">
      <c r="BM35625" s="1025"/>
      <c r="BO35625" s="43"/>
    </row>
    <row r="35626" spans="65:67" ht="18.75" customHeight="1">
      <c r="BM35626" s="1025"/>
      <c r="BO35626" s="43"/>
    </row>
    <row r="35627" spans="65:67" ht="18.75" customHeight="1">
      <c r="BM35627" s="1025"/>
      <c r="BO35627" s="43"/>
    </row>
    <row r="35628" spans="65:67" ht="18.75" customHeight="1">
      <c r="BM35628" s="1025"/>
      <c r="BO35628" s="43"/>
    </row>
    <row r="35629" spans="65:67" ht="18.75" customHeight="1">
      <c r="BM35629" s="1025"/>
      <c r="BO35629" s="43"/>
    </row>
    <row r="35630" spans="65:67" ht="18.75" customHeight="1">
      <c r="BM35630" s="1025"/>
      <c r="BO35630" s="43"/>
    </row>
    <row r="35631" spans="65:67" ht="18.75" customHeight="1">
      <c r="BM35631" s="1025"/>
      <c r="BO35631" s="43"/>
    </row>
    <row r="35632" spans="65:67" ht="18.75" customHeight="1">
      <c r="BM35632" s="1025"/>
      <c r="BO35632" s="43"/>
    </row>
    <row r="35633" spans="65:67" ht="18.75" customHeight="1">
      <c r="BM35633" s="1025"/>
      <c r="BO35633" s="43"/>
    </row>
    <row r="35634" spans="65:67" ht="18.75" customHeight="1">
      <c r="BM35634" s="1025"/>
      <c r="BO35634" s="43"/>
    </row>
    <row r="35635" spans="65:67" ht="18.75" customHeight="1">
      <c r="BM35635" s="1025"/>
      <c r="BO35635" s="43"/>
    </row>
    <row r="35636" spans="65:67" ht="18.75" customHeight="1">
      <c r="BM35636" s="1025"/>
      <c r="BO35636" s="43"/>
    </row>
    <row r="35637" spans="65:67" ht="18.75" customHeight="1">
      <c r="BM35637" s="1025"/>
      <c r="BO35637" s="43"/>
    </row>
    <row r="35638" spans="65:67" ht="18.75" customHeight="1">
      <c r="BM35638" s="1025"/>
      <c r="BO35638" s="43"/>
    </row>
    <row r="35639" spans="65:67" ht="18.75" customHeight="1">
      <c r="BM35639" s="1025"/>
      <c r="BO35639" s="43"/>
    </row>
    <row r="35640" spans="65:67" ht="18.75" customHeight="1">
      <c r="BM35640" s="1025"/>
      <c r="BO35640" s="43"/>
    </row>
    <row r="35641" spans="65:67" ht="18.75" customHeight="1">
      <c r="BM35641" s="1025"/>
      <c r="BO35641" s="43"/>
    </row>
    <row r="35642" spans="65:67" ht="18.75" customHeight="1">
      <c r="BM35642" s="1025"/>
      <c r="BO35642" s="43"/>
    </row>
    <row r="35643" spans="65:67" ht="18.75" customHeight="1">
      <c r="BM35643" s="1025"/>
      <c r="BO35643" s="43"/>
    </row>
    <row r="35644" spans="65:67" ht="18.75" customHeight="1">
      <c r="BM35644" s="1025"/>
      <c r="BO35644" s="43"/>
    </row>
    <row r="35645" spans="65:67" ht="18.75" customHeight="1">
      <c r="BM35645" s="1025"/>
      <c r="BO35645" s="43"/>
    </row>
    <row r="35646" spans="65:67" ht="18.75" customHeight="1">
      <c r="BM35646" s="1025"/>
      <c r="BO35646" s="43"/>
    </row>
    <row r="35647" spans="65:67" ht="18.75" customHeight="1">
      <c r="BM35647" s="1025"/>
      <c r="BO35647" s="43"/>
    </row>
    <row r="35648" spans="65:67" ht="18.75" customHeight="1">
      <c r="BM35648" s="1025"/>
      <c r="BO35648" s="43"/>
    </row>
    <row r="35649" spans="65:67" ht="18.75" customHeight="1">
      <c r="BM35649" s="1025"/>
      <c r="BO35649" s="43"/>
    </row>
    <row r="35650" spans="65:67" ht="18.75" customHeight="1">
      <c r="BM35650" s="1025"/>
      <c r="BO35650" s="43"/>
    </row>
    <row r="35651" spans="65:67" ht="18.75" customHeight="1">
      <c r="BM35651" s="1025"/>
      <c r="BO35651" s="43"/>
    </row>
    <row r="35652" spans="65:67" ht="18.75" customHeight="1">
      <c r="BM35652" s="1025"/>
      <c r="BO35652" s="43"/>
    </row>
    <row r="35653" spans="65:67" ht="18.75" customHeight="1">
      <c r="BM35653" s="1025"/>
      <c r="BO35653" s="43"/>
    </row>
    <row r="35654" spans="65:67" ht="18.75" customHeight="1">
      <c r="BM35654" s="1025"/>
      <c r="BO35654" s="43"/>
    </row>
    <row r="35655" spans="65:67" ht="18.75" customHeight="1">
      <c r="BM35655" s="1025"/>
      <c r="BO35655" s="43"/>
    </row>
    <row r="35656" spans="65:67" ht="18.75" customHeight="1">
      <c r="BM35656" s="1025"/>
      <c r="BO35656" s="43"/>
    </row>
    <row r="35657" spans="65:67" ht="18.75" customHeight="1">
      <c r="BM35657" s="1025"/>
      <c r="BO35657" s="43"/>
    </row>
    <row r="35658" spans="65:67" ht="18.75" customHeight="1">
      <c r="BM35658" s="1025"/>
      <c r="BO35658" s="43"/>
    </row>
    <row r="35659" spans="65:67" ht="18.75" customHeight="1">
      <c r="BM35659" s="1025"/>
      <c r="BO35659" s="43"/>
    </row>
    <row r="35660" spans="65:67" ht="18.75" customHeight="1">
      <c r="BM35660" s="1025"/>
      <c r="BO35660" s="43"/>
    </row>
    <row r="35661" spans="65:67" ht="18.75" customHeight="1">
      <c r="BM35661" s="1025"/>
      <c r="BO35661" s="43"/>
    </row>
    <row r="35662" spans="65:67" ht="18.75" customHeight="1">
      <c r="BM35662" s="1025"/>
      <c r="BO35662" s="43"/>
    </row>
    <row r="35663" spans="65:67" ht="18.75" customHeight="1">
      <c r="BM35663" s="1025"/>
      <c r="BO35663" s="43"/>
    </row>
    <row r="35664" spans="65:67" ht="18.75" customHeight="1">
      <c r="BM35664" s="1025"/>
      <c r="BO35664" s="43"/>
    </row>
    <row r="35665" spans="65:67" ht="18.75" customHeight="1">
      <c r="BM35665" s="1025"/>
      <c r="BO35665" s="43"/>
    </row>
    <row r="35666" spans="65:67" ht="18.75" customHeight="1">
      <c r="BM35666" s="1025"/>
      <c r="BO35666" s="43"/>
    </row>
    <row r="35667" spans="65:67" ht="18.75" customHeight="1">
      <c r="BM35667" s="1025"/>
      <c r="BO35667" s="43"/>
    </row>
    <row r="35668" spans="65:67" ht="18.75" customHeight="1">
      <c r="BM35668" s="1025"/>
      <c r="BO35668" s="43"/>
    </row>
    <row r="35669" spans="65:67" ht="18.75" customHeight="1">
      <c r="BM35669" s="1025"/>
      <c r="BO35669" s="43"/>
    </row>
    <row r="35670" spans="65:67" ht="18.75" customHeight="1">
      <c r="BM35670" s="1025"/>
      <c r="BO35670" s="43"/>
    </row>
    <row r="35671" spans="65:67" ht="18.75" customHeight="1">
      <c r="BM35671" s="1025"/>
      <c r="BO35671" s="43"/>
    </row>
    <row r="35672" spans="65:67" ht="18.75" customHeight="1">
      <c r="BM35672" s="1025"/>
      <c r="BO35672" s="43"/>
    </row>
    <row r="35673" spans="65:67" ht="18.75" customHeight="1">
      <c r="BM35673" s="1025"/>
      <c r="BO35673" s="43"/>
    </row>
    <row r="35674" spans="65:67" ht="18.75" customHeight="1">
      <c r="BM35674" s="1025"/>
      <c r="BO35674" s="43"/>
    </row>
    <row r="35675" spans="65:67" ht="18.75" customHeight="1">
      <c r="BM35675" s="1025"/>
      <c r="BO35675" s="43"/>
    </row>
    <row r="35676" spans="65:67" ht="18.75" customHeight="1">
      <c r="BM35676" s="1025"/>
      <c r="BO35676" s="43"/>
    </row>
    <row r="35677" spans="65:67" ht="18.75" customHeight="1">
      <c r="BM35677" s="1025"/>
      <c r="BO35677" s="43"/>
    </row>
    <row r="35678" spans="65:67" ht="18.75" customHeight="1">
      <c r="BM35678" s="1025"/>
      <c r="BO35678" s="43"/>
    </row>
    <row r="35679" spans="65:67" ht="18.75" customHeight="1">
      <c r="BM35679" s="1025"/>
      <c r="BO35679" s="43"/>
    </row>
    <row r="35680" spans="65:67" ht="18.75" customHeight="1">
      <c r="BM35680" s="1025"/>
      <c r="BO35680" s="43"/>
    </row>
    <row r="35681" spans="65:67" ht="18.75" customHeight="1">
      <c r="BM35681" s="1025"/>
      <c r="BO35681" s="43"/>
    </row>
    <row r="35682" spans="65:67" ht="18.75" customHeight="1">
      <c r="BM35682" s="1025"/>
      <c r="BO35682" s="43"/>
    </row>
    <row r="35683" spans="65:67" ht="18.75" customHeight="1">
      <c r="BM35683" s="1025"/>
      <c r="BO35683" s="43"/>
    </row>
    <row r="35684" spans="65:67" ht="18.75" customHeight="1">
      <c r="BM35684" s="1025"/>
      <c r="BO35684" s="43"/>
    </row>
    <row r="35685" spans="65:67" ht="18.75" customHeight="1">
      <c r="BM35685" s="1025"/>
      <c r="BO35685" s="43"/>
    </row>
    <row r="35686" spans="65:67" ht="18.75" customHeight="1">
      <c r="BM35686" s="1025"/>
      <c r="BO35686" s="43"/>
    </row>
    <row r="35687" spans="65:67" ht="18.75" customHeight="1">
      <c r="BM35687" s="1025"/>
      <c r="BO35687" s="43"/>
    </row>
    <row r="35688" spans="65:67" ht="18.75" customHeight="1">
      <c r="BM35688" s="1025"/>
      <c r="BO35688" s="43"/>
    </row>
    <row r="35689" spans="65:67" ht="18.75" customHeight="1">
      <c r="BM35689" s="1025"/>
      <c r="BO35689" s="43"/>
    </row>
    <row r="35690" spans="65:67" ht="18.75" customHeight="1">
      <c r="BM35690" s="1025"/>
      <c r="BO35690" s="43"/>
    </row>
    <row r="35691" spans="65:67" ht="18.75" customHeight="1">
      <c r="BM35691" s="1025"/>
      <c r="BO35691" s="43"/>
    </row>
    <row r="35692" spans="65:67" ht="18.75" customHeight="1">
      <c r="BM35692" s="1025"/>
      <c r="BO35692" s="43"/>
    </row>
    <row r="35693" spans="65:67" ht="18.75" customHeight="1">
      <c r="BM35693" s="1025"/>
      <c r="BO35693" s="43"/>
    </row>
    <row r="35694" spans="65:67" ht="18.75" customHeight="1">
      <c r="BM35694" s="1025"/>
      <c r="BO35694" s="43"/>
    </row>
    <row r="35695" spans="65:67" ht="18.75" customHeight="1">
      <c r="BM35695" s="1025"/>
      <c r="BO35695" s="43"/>
    </row>
    <row r="35696" spans="65:67" ht="18.75" customHeight="1">
      <c r="BM35696" s="1025"/>
      <c r="BO35696" s="43"/>
    </row>
    <row r="35697" spans="65:67" ht="18.75" customHeight="1">
      <c r="BM35697" s="1025"/>
      <c r="BO35697" s="43"/>
    </row>
    <row r="35698" spans="65:67" ht="18.75" customHeight="1">
      <c r="BM35698" s="1025"/>
      <c r="BO35698" s="43"/>
    </row>
    <row r="35699" spans="65:67" ht="18.75" customHeight="1">
      <c r="BM35699" s="1025"/>
      <c r="BO35699" s="43"/>
    </row>
    <row r="35700" spans="65:67" ht="18.75" customHeight="1">
      <c r="BM35700" s="1025"/>
      <c r="BO35700" s="43"/>
    </row>
    <row r="35701" spans="65:67" ht="18.75" customHeight="1">
      <c r="BM35701" s="1025"/>
      <c r="BO35701" s="43"/>
    </row>
    <row r="35702" spans="65:67" ht="18.75" customHeight="1">
      <c r="BM35702" s="1025"/>
      <c r="BO35702" s="43"/>
    </row>
    <row r="35703" spans="65:67" ht="18.75" customHeight="1">
      <c r="BM35703" s="1025"/>
      <c r="BO35703" s="43"/>
    </row>
    <row r="35704" spans="65:67" ht="18.75" customHeight="1">
      <c r="BM35704" s="1025"/>
      <c r="BO35704" s="43"/>
    </row>
    <row r="35705" spans="65:67" ht="18.75" customHeight="1">
      <c r="BM35705" s="1025"/>
      <c r="BO35705" s="43"/>
    </row>
    <row r="35706" spans="65:67" ht="18.75" customHeight="1">
      <c r="BM35706" s="1025"/>
      <c r="BO35706" s="43"/>
    </row>
    <row r="35707" spans="65:67" ht="18.75" customHeight="1">
      <c r="BM35707" s="1025"/>
      <c r="BO35707" s="43"/>
    </row>
    <row r="35708" spans="65:67" ht="18.75" customHeight="1">
      <c r="BM35708" s="1025"/>
      <c r="BO35708" s="43"/>
    </row>
    <row r="35709" spans="65:67" ht="18.75" customHeight="1">
      <c r="BM35709" s="1025"/>
      <c r="BO35709" s="43"/>
    </row>
    <row r="35710" spans="65:67" ht="18.75" customHeight="1">
      <c r="BM35710" s="1025"/>
      <c r="BO35710" s="43"/>
    </row>
    <row r="35711" spans="65:67" ht="18.75" customHeight="1">
      <c r="BM35711" s="1025"/>
      <c r="BO35711" s="43"/>
    </row>
    <row r="35712" spans="65:67" ht="18.75" customHeight="1">
      <c r="BM35712" s="1025"/>
      <c r="BO35712" s="43"/>
    </row>
    <row r="35713" spans="65:67" ht="18.75" customHeight="1">
      <c r="BM35713" s="1025"/>
      <c r="BO35713" s="43"/>
    </row>
    <row r="35714" spans="65:67" ht="18.75" customHeight="1">
      <c r="BM35714" s="1025"/>
      <c r="BO35714" s="43"/>
    </row>
    <row r="35715" spans="65:67" ht="18.75" customHeight="1">
      <c r="BM35715" s="1025"/>
      <c r="BO35715" s="43"/>
    </row>
    <row r="35716" spans="65:67" ht="18.75" customHeight="1">
      <c r="BM35716" s="1025"/>
      <c r="BO35716" s="43"/>
    </row>
    <row r="35717" spans="65:67" ht="18.75" customHeight="1">
      <c r="BM35717" s="1025"/>
      <c r="BO35717" s="43"/>
    </row>
    <row r="35718" spans="65:67" ht="18.75" customHeight="1">
      <c r="BM35718" s="1025"/>
      <c r="BO35718" s="43"/>
    </row>
    <row r="35719" spans="65:67" ht="18.75" customHeight="1">
      <c r="BM35719" s="1025"/>
      <c r="BO35719" s="43"/>
    </row>
    <row r="35720" spans="65:67" ht="18.75" customHeight="1">
      <c r="BM35720" s="1025"/>
      <c r="BO35720" s="43"/>
    </row>
    <row r="35721" spans="65:67" ht="18.75" customHeight="1">
      <c r="BM35721" s="1025"/>
      <c r="BO35721" s="43"/>
    </row>
    <row r="35722" spans="65:67" ht="18.75" customHeight="1">
      <c r="BM35722" s="1025"/>
      <c r="BO35722" s="43"/>
    </row>
    <row r="35723" spans="65:67" ht="18.75" customHeight="1">
      <c r="BM35723" s="1025"/>
      <c r="BO35723" s="43"/>
    </row>
    <row r="35724" spans="65:67" ht="18.75" customHeight="1">
      <c r="BM35724" s="1025"/>
      <c r="BO35724" s="43"/>
    </row>
    <row r="35725" spans="65:67" ht="18.75" customHeight="1">
      <c r="BM35725" s="1025"/>
      <c r="BO35725" s="43"/>
    </row>
    <row r="35726" spans="65:67" ht="18.75" customHeight="1">
      <c r="BM35726" s="1025"/>
      <c r="BO35726" s="43"/>
    </row>
    <row r="35727" spans="65:67" ht="18.75" customHeight="1">
      <c r="BM35727" s="1025"/>
      <c r="BO35727" s="43"/>
    </row>
    <row r="35728" spans="65:67" ht="18.75" customHeight="1">
      <c r="BM35728" s="1025"/>
      <c r="BO35728" s="43"/>
    </row>
    <row r="35729" spans="65:67" ht="18.75" customHeight="1">
      <c r="BM35729" s="1025"/>
      <c r="BO35729" s="43"/>
    </row>
    <row r="35730" spans="65:67" ht="18.75" customHeight="1">
      <c r="BM35730" s="1025"/>
      <c r="BO35730" s="43"/>
    </row>
    <row r="35731" spans="65:67" ht="18.75" customHeight="1">
      <c r="BM35731" s="1025"/>
      <c r="BO35731" s="43"/>
    </row>
    <row r="35732" spans="65:67" ht="18.75" customHeight="1">
      <c r="BM35732" s="1025"/>
      <c r="BO35732" s="43"/>
    </row>
    <row r="35733" spans="65:67" ht="18.75" customHeight="1">
      <c r="BM35733" s="1025"/>
      <c r="BO35733" s="43"/>
    </row>
    <row r="35734" spans="65:67" ht="18.75" customHeight="1">
      <c r="BM35734" s="1025"/>
      <c r="BO35734" s="43"/>
    </row>
    <row r="35735" spans="65:67" ht="18.75" customHeight="1">
      <c r="BM35735" s="1025"/>
      <c r="BO35735" s="43"/>
    </row>
    <row r="35736" spans="65:67" ht="18.75" customHeight="1">
      <c r="BM35736" s="1025"/>
      <c r="BO35736" s="43"/>
    </row>
    <row r="35737" spans="65:67" ht="18.75" customHeight="1">
      <c r="BM35737" s="1025"/>
      <c r="BO35737" s="43"/>
    </row>
    <row r="35738" spans="65:67" ht="18.75" customHeight="1">
      <c r="BM35738" s="1025"/>
      <c r="BO35738" s="43"/>
    </row>
    <row r="35739" spans="65:67" ht="18.75" customHeight="1">
      <c r="BM35739" s="1025"/>
      <c r="BO35739" s="43"/>
    </row>
    <row r="35740" spans="65:67" ht="18.75" customHeight="1">
      <c r="BM35740" s="1025"/>
      <c r="BO35740" s="43"/>
    </row>
    <row r="35741" spans="65:67" ht="18.75" customHeight="1">
      <c r="BM35741" s="1025"/>
      <c r="BO35741" s="43"/>
    </row>
    <row r="35742" spans="65:67" ht="18.75" customHeight="1">
      <c r="BM35742" s="1025"/>
      <c r="BO35742" s="43"/>
    </row>
    <row r="35743" spans="65:67" ht="18.75" customHeight="1">
      <c r="BM35743" s="1025"/>
      <c r="BO35743" s="43"/>
    </row>
    <row r="35744" spans="65:67" ht="18.75" customHeight="1">
      <c r="BM35744" s="1025"/>
      <c r="BO35744" s="43"/>
    </row>
    <row r="35745" spans="65:67" ht="18.75" customHeight="1">
      <c r="BM35745" s="1025"/>
      <c r="BO35745" s="43"/>
    </row>
    <row r="35746" spans="65:67" ht="18.75" customHeight="1">
      <c r="BM35746" s="1025"/>
      <c r="BO35746" s="43"/>
    </row>
    <row r="35747" spans="65:67" ht="18.75" customHeight="1">
      <c r="BM35747" s="1025"/>
      <c r="BO35747" s="43"/>
    </row>
    <row r="35748" spans="65:67" ht="18.75" customHeight="1">
      <c r="BM35748" s="1025"/>
      <c r="BO35748" s="43"/>
    </row>
    <row r="35749" spans="65:67" ht="18.75" customHeight="1">
      <c r="BM35749" s="1025"/>
      <c r="BO35749" s="43"/>
    </row>
    <row r="35750" spans="65:67" ht="18.75" customHeight="1">
      <c r="BM35750" s="1025"/>
      <c r="BO35750" s="43"/>
    </row>
    <row r="35751" spans="65:67" ht="18.75" customHeight="1">
      <c r="BM35751" s="1025"/>
      <c r="BO35751" s="43"/>
    </row>
    <row r="35752" spans="65:67" ht="18.75" customHeight="1">
      <c r="BM35752" s="1025"/>
      <c r="BO35752" s="43"/>
    </row>
    <row r="35753" spans="65:67" ht="18.75" customHeight="1">
      <c r="BM35753" s="1025"/>
      <c r="BO35753" s="43"/>
    </row>
    <row r="35754" spans="65:67" ht="18.75" customHeight="1">
      <c r="BM35754" s="1025"/>
      <c r="BO35754" s="43"/>
    </row>
    <row r="35755" spans="65:67" ht="18.75" customHeight="1">
      <c r="BM35755" s="1025"/>
      <c r="BO35755" s="43"/>
    </row>
    <row r="35756" spans="65:67" ht="18.75" customHeight="1">
      <c r="BM35756" s="1025"/>
      <c r="BO35756" s="43"/>
    </row>
    <row r="35757" spans="65:67" ht="18.75" customHeight="1">
      <c r="BM35757" s="1025"/>
      <c r="BO35757" s="43"/>
    </row>
    <row r="35758" spans="65:67" ht="18.75" customHeight="1">
      <c r="BM35758" s="1025"/>
      <c r="BO35758" s="43"/>
    </row>
    <row r="35759" spans="65:67" ht="18.75" customHeight="1">
      <c r="BM35759" s="1025"/>
      <c r="BO35759" s="43"/>
    </row>
    <row r="35760" spans="65:67" ht="18.75" customHeight="1">
      <c r="BM35760" s="1025"/>
      <c r="BO35760" s="43"/>
    </row>
    <row r="35761" spans="65:67" ht="18.75" customHeight="1">
      <c r="BM35761" s="1025"/>
      <c r="BO35761" s="43"/>
    </row>
    <row r="35762" spans="65:67" ht="18.75" customHeight="1">
      <c r="BM35762" s="1025"/>
      <c r="BO35762" s="43"/>
    </row>
    <row r="35763" spans="65:67" ht="18.75" customHeight="1">
      <c r="BM35763" s="1025"/>
      <c r="BO35763" s="43"/>
    </row>
    <row r="35764" spans="65:67" ht="18.75" customHeight="1">
      <c r="BM35764" s="1025"/>
      <c r="BO35764" s="43"/>
    </row>
    <row r="35765" spans="65:67" ht="18.75" customHeight="1">
      <c r="BM35765" s="1025"/>
      <c r="BO35765" s="43"/>
    </row>
    <row r="35766" spans="65:67" ht="18.75" customHeight="1">
      <c r="BM35766" s="1025"/>
      <c r="BO35766" s="43"/>
    </row>
    <row r="35767" spans="65:67" ht="18.75" customHeight="1">
      <c r="BM35767" s="1025"/>
      <c r="BO35767" s="43"/>
    </row>
    <row r="35768" spans="65:67" ht="18.75" customHeight="1">
      <c r="BM35768" s="1025"/>
      <c r="BO35768" s="43"/>
    </row>
    <row r="35769" spans="65:67" ht="18.75" customHeight="1">
      <c r="BM35769" s="1025"/>
      <c r="BO35769" s="43"/>
    </row>
    <row r="35770" spans="65:67" ht="18.75" customHeight="1">
      <c r="BM35770" s="1025"/>
      <c r="BO35770" s="43"/>
    </row>
    <row r="35771" spans="65:67" ht="18.75" customHeight="1">
      <c r="BM35771" s="1025"/>
      <c r="BO35771" s="43"/>
    </row>
    <row r="35772" spans="65:67" ht="18.75" customHeight="1">
      <c r="BM35772" s="1025"/>
      <c r="BO35772" s="43"/>
    </row>
    <row r="35773" spans="65:67" ht="18.75" customHeight="1">
      <c r="BM35773" s="1025"/>
      <c r="BO35773" s="43"/>
    </row>
    <row r="35774" spans="65:67" ht="18.75" customHeight="1">
      <c r="BM35774" s="1025"/>
      <c r="BO35774" s="43"/>
    </row>
    <row r="35775" spans="65:67" ht="18.75" customHeight="1">
      <c r="BM35775" s="1025"/>
      <c r="BO35775" s="43"/>
    </row>
    <row r="35776" spans="65:67" ht="18.75" customHeight="1">
      <c r="BM35776" s="1025"/>
      <c r="BO35776" s="43"/>
    </row>
    <row r="35777" spans="65:67" ht="18.75" customHeight="1">
      <c r="BM35777" s="1025"/>
      <c r="BO35777" s="43"/>
    </row>
    <row r="35778" spans="65:67" ht="18.75" customHeight="1">
      <c r="BM35778" s="1025"/>
      <c r="BO35778" s="43"/>
    </row>
    <row r="35779" spans="65:67" ht="18.75" customHeight="1">
      <c r="BM35779" s="1025"/>
      <c r="BO35779" s="43"/>
    </row>
    <row r="35780" spans="65:67" ht="18.75" customHeight="1">
      <c r="BM35780" s="1025"/>
      <c r="BO35780" s="43"/>
    </row>
    <row r="35781" spans="65:67" ht="18.75" customHeight="1">
      <c r="BM35781" s="1025"/>
      <c r="BO35781" s="43"/>
    </row>
    <row r="35782" spans="65:67" ht="18.75" customHeight="1">
      <c r="BM35782" s="1025"/>
      <c r="BO35782" s="43"/>
    </row>
    <row r="35783" spans="65:67" ht="18.75" customHeight="1">
      <c r="BM35783" s="1025"/>
      <c r="BO35783" s="43"/>
    </row>
    <row r="35784" spans="65:67" ht="18.75" customHeight="1">
      <c r="BM35784" s="1025"/>
      <c r="BO35784" s="43"/>
    </row>
    <row r="35785" spans="65:67" ht="18.75" customHeight="1">
      <c r="BM35785" s="1025"/>
      <c r="BO35785" s="43"/>
    </row>
    <row r="35786" spans="65:67" ht="18.75" customHeight="1">
      <c r="BM35786" s="1025"/>
      <c r="BO35786" s="43"/>
    </row>
    <row r="35787" spans="65:67" ht="18.75" customHeight="1">
      <c r="BM35787" s="1025"/>
      <c r="BO35787" s="43"/>
    </row>
    <row r="35788" spans="65:67" ht="18.75" customHeight="1">
      <c r="BM35788" s="1025"/>
      <c r="BO35788" s="43"/>
    </row>
    <row r="35789" spans="65:67" ht="18.75" customHeight="1">
      <c r="BM35789" s="1025"/>
      <c r="BO35789" s="43"/>
    </row>
    <row r="35790" spans="65:67" ht="18.75" customHeight="1">
      <c r="BM35790" s="1025"/>
      <c r="BO35790" s="43"/>
    </row>
    <row r="35791" spans="65:67" ht="18.75" customHeight="1">
      <c r="BM35791" s="1025"/>
      <c r="BO35791" s="43"/>
    </row>
    <row r="35792" spans="65:67" ht="18.75" customHeight="1">
      <c r="BM35792" s="1025"/>
      <c r="BO35792" s="43"/>
    </row>
    <row r="35793" spans="65:67" ht="18.75" customHeight="1">
      <c r="BM35793" s="1025"/>
      <c r="BO35793" s="43"/>
    </row>
    <row r="35794" spans="65:67" ht="18.75" customHeight="1">
      <c r="BM35794" s="1025"/>
      <c r="BO35794" s="43"/>
    </row>
    <row r="35795" spans="65:67" ht="18.75" customHeight="1">
      <c r="BM35795" s="1025"/>
      <c r="BO35795" s="43"/>
    </row>
    <row r="35796" spans="65:67" ht="18.75" customHeight="1">
      <c r="BM35796" s="1025"/>
      <c r="BO35796" s="43"/>
    </row>
    <row r="35797" spans="65:67" ht="18.75" customHeight="1">
      <c r="BM35797" s="1025"/>
      <c r="BO35797" s="43"/>
    </row>
    <row r="35798" spans="65:67" ht="18.75" customHeight="1">
      <c r="BM35798" s="1025"/>
      <c r="BO35798" s="43"/>
    </row>
    <row r="35799" spans="65:67" ht="18.75" customHeight="1">
      <c r="BM35799" s="1025"/>
      <c r="BO35799" s="43"/>
    </row>
    <row r="35800" spans="65:67" ht="18.75" customHeight="1">
      <c r="BM35800" s="1025"/>
      <c r="BO35800" s="43"/>
    </row>
    <row r="35801" spans="65:67" ht="18.75" customHeight="1">
      <c r="BM35801" s="1025"/>
      <c r="BO35801" s="43"/>
    </row>
    <row r="35802" spans="65:67" ht="18.75" customHeight="1">
      <c r="BM35802" s="1025"/>
      <c r="BO35802" s="43"/>
    </row>
    <row r="35803" spans="65:67" ht="18.75" customHeight="1">
      <c r="BM35803" s="1025"/>
      <c r="BO35803" s="43"/>
    </row>
    <row r="35804" spans="65:67" ht="18.75" customHeight="1">
      <c r="BM35804" s="1025"/>
      <c r="BO35804" s="43"/>
    </row>
    <row r="35805" spans="65:67" ht="18.75" customHeight="1">
      <c r="BM35805" s="1025"/>
      <c r="BO35805" s="43"/>
    </row>
    <row r="35806" spans="65:67" ht="18.75" customHeight="1">
      <c r="BM35806" s="1025"/>
      <c r="BO35806" s="43"/>
    </row>
    <row r="35807" spans="65:67" ht="18.75" customHeight="1">
      <c r="BM35807" s="1025"/>
      <c r="BO35807" s="43"/>
    </row>
    <row r="35808" spans="65:67" ht="18.75" customHeight="1">
      <c r="BM35808" s="1025"/>
      <c r="BO35808" s="43"/>
    </row>
    <row r="35809" spans="65:67" ht="18.75" customHeight="1">
      <c r="BM35809" s="1025"/>
      <c r="BO35809" s="43"/>
    </row>
    <row r="35810" spans="65:67" ht="18.75" customHeight="1">
      <c r="BM35810" s="1025"/>
      <c r="BO35810" s="43"/>
    </row>
    <row r="35811" spans="65:67" ht="18.75" customHeight="1">
      <c r="BM35811" s="1025"/>
      <c r="BO35811" s="43"/>
    </row>
    <row r="35812" spans="65:67" ht="18.75" customHeight="1">
      <c r="BM35812" s="1025"/>
      <c r="BO35812" s="43"/>
    </row>
    <row r="35813" spans="65:67" ht="18.75" customHeight="1">
      <c r="BM35813" s="1025"/>
      <c r="BO35813" s="43"/>
    </row>
    <row r="35814" spans="65:67" ht="18.75" customHeight="1">
      <c r="BM35814" s="1025"/>
      <c r="BO35814" s="43"/>
    </row>
    <row r="35815" spans="65:67" ht="18.75" customHeight="1">
      <c r="BM35815" s="1025"/>
      <c r="BO35815" s="43"/>
    </row>
    <row r="35816" spans="65:67" ht="18.75" customHeight="1">
      <c r="BM35816" s="1025"/>
      <c r="BO35816" s="43"/>
    </row>
    <row r="35817" spans="65:67" ht="18.75" customHeight="1">
      <c r="BM35817" s="1025"/>
      <c r="BO35817" s="43"/>
    </row>
    <row r="35818" spans="65:67" ht="18.75" customHeight="1">
      <c r="BM35818" s="1025"/>
      <c r="BO35818" s="43"/>
    </row>
    <row r="35819" spans="65:67" ht="18.75" customHeight="1">
      <c r="BM35819" s="1025"/>
      <c r="BO35819" s="43"/>
    </row>
    <row r="35820" spans="65:67" ht="18.75" customHeight="1">
      <c r="BM35820" s="1025"/>
      <c r="BO35820" s="43"/>
    </row>
    <row r="35821" spans="65:67" ht="18.75" customHeight="1">
      <c r="BM35821" s="1025"/>
      <c r="BO35821" s="43"/>
    </row>
    <row r="35822" spans="65:67" ht="18.75" customHeight="1">
      <c r="BM35822" s="1025"/>
      <c r="BO35822" s="43"/>
    </row>
    <row r="35823" spans="65:67" ht="18.75" customHeight="1">
      <c r="BM35823" s="1025"/>
      <c r="BO35823" s="43"/>
    </row>
    <row r="35824" spans="65:67" ht="18.75" customHeight="1">
      <c r="BM35824" s="1025"/>
      <c r="BO35824" s="43"/>
    </row>
    <row r="35825" spans="65:67" ht="18.75" customHeight="1">
      <c r="BM35825" s="1025"/>
      <c r="BO35825" s="43"/>
    </row>
    <row r="35826" spans="65:67" ht="18.75" customHeight="1">
      <c r="BM35826" s="1025"/>
      <c r="BO35826" s="43"/>
    </row>
    <row r="35827" spans="65:67" ht="18.75" customHeight="1">
      <c r="BM35827" s="1025"/>
      <c r="BO35827" s="43"/>
    </row>
    <row r="35828" spans="65:67" ht="18.75" customHeight="1">
      <c r="BM35828" s="1025"/>
      <c r="BO35828" s="43"/>
    </row>
    <row r="35829" spans="65:67" ht="18.75" customHeight="1">
      <c r="BM35829" s="1025"/>
      <c r="BO35829" s="43"/>
    </row>
    <row r="35830" spans="65:67" ht="18.75" customHeight="1">
      <c r="BM35830" s="1025"/>
      <c r="BO35830" s="43"/>
    </row>
    <row r="35831" spans="65:67" ht="18.75" customHeight="1">
      <c r="BM35831" s="1025"/>
      <c r="BO35831" s="43"/>
    </row>
    <row r="35832" spans="65:67" ht="18.75" customHeight="1">
      <c r="BM35832" s="1025"/>
      <c r="BO35832" s="43"/>
    </row>
    <row r="35833" spans="65:67" ht="18.75" customHeight="1">
      <c r="BM35833" s="1025"/>
      <c r="BO35833" s="43"/>
    </row>
    <row r="35834" spans="65:67" ht="18.75" customHeight="1">
      <c r="BM35834" s="1025"/>
      <c r="BO35834" s="43"/>
    </row>
    <row r="35835" spans="65:67" ht="18.75" customHeight="1">
      <c r="BM35835" s="1025"/>
      <c r="BO35835" s="43"/>
    </row>
    <row r="35836" spans="65:67" ht="18.75" customHeight="1">
      <c r="BM35836" s="1025"/>
      <c r="BO35836" s="43"/>
    </row>
    <row r="35837" spans="65:67" ht="18.75" customHeight="1">
      <c r="BM35837" s="1025"/>
      <c r="BO35837" s="43"/>
    </row>
    <row r="35838" spans="65:67" ht="18.75" customHeight="1">
      <c r="BM35838" s="1025"/>
      <c r="BO35838" s="43"/>
    </row>
    <row r="35839" spans="65:67" ht="18.75" customHeight="1">
      <c r="BM35839" s="1025"/>
      <c r="BO35839" s="43"/>
    </row>
    <row r="35840" spans="65:67" ht="18.75" customHeight="1">
      <c r="BM35840" s="1025"/>
      <c r="BO35840" s="43"/>
    </row>
    <row r="35841" spans="65:67" ht="18.75" customHeight="1">
      <c r="BM35841" s="1025"/>
      <c r="BO35841" s="43"/>
    </row>
    <row r="35842" spans="65:67" ht="18.75" customHeight="1">
      <c r="BM35842" s="1025"/>
      <c r="BO35842" s="43"/>
    </row>
    <row r="35843" spans="65:67" ht="18.75" customHeight="1">
      <c r="BM35843" s="1025"/>
      <c r="BO35843" s="43"/>
    </row>
    <row r="35844" spans="65:67" ht="18.75" customHeight="1">
      <c r="BM35844" s="1025"/>
      <c r="BO35844" s="43"/>
    </row>
    <row r="35845" spans="65:67" ht="18.75" customHeight="1">
      <c r="BM35845" s="1025"/>
      <c r="BO35845" s="43"/>
    </row>
    <row r="35846" spans="65:67" ht="18.75" customHeight="1">
      <c r="BM35846" s="1025"/>
      <c r="BO35846" s="43"/>
    </row>
    <row r="35847" spans="65:67" ht="18.75" customHeight="1">
      <c r="BM35847" s="1025"/>
      <c r="BO35847" s="43"/>
    </row>
    <row r="35848" spans="65:67" ht="18.75" customHeight="1">
      <c r="BM35848" s="1025"/>
      <c r="BO35848" s="43"/>
    </row>
    <row r="35849" spans="65:67" ht="18.75" customHeight="1">
      <c r="BM35849" s="1025"/>
      <c r="BO35849" s="43"/>
    </row>
    <row r="35850" spans="65:67" ht="18.75" customHeight="1">
      <c r="BM35850" s="1025"/>
      <c r="BO35850" s="43"/>
    </row>
    <row r="35851" spans="65:67" ht="18.75" customHeight="1">
      <c r="BM35851" s="1025"/>
      <c r="BO35851" s="43"/>
    </row>
    <row r="35852" spans="65:67" ht="18.75" customHeight="1">
      <c r="BM35852" s="1025"/>
      <c r="BO35852" s="43"/>
    </row>
    <row r="35853" spans="65:67" ht="18.75" customHeight="1">
      <c r="BM35853" s="1025"/>
      <c r="BO35853" s="43"/>
    </row>
    <row r="35854" spans="65:67" ht="18.75" customHeight="1">
      <c r="BM35854" s="1025"/>
      <c r="BO35854" s="43"/>
    </row>
    <row r="35855" spans="65:67" ht="18.75" customHeight="1">
      <c r="BM35855" s="1025"/>
      <c r="BO35855" s="43"/>
    </row>
    <row r="35856" spans="65:67" ht="18.75" customHeight="1">
      <c r="BM35856" s="1025"/>
      <c r="BO35856" s="43"/>
    </row>
    <row r="35857" spans="65:67" ht="18.75" customHeight="1">
      <c r="BM35857" s="1025"/>
      <c r="BO35857" s="43"/>
    </row>
    <row r="35858" spans="65:67" ht="18.75" customHeight="1">
      <c r="BM35858" s="1025"/>
      <c r="BO35858" s="43"/>
    </row>
    <row r="35859" spans="65:67" ht="18.75" customHeight="1">
      <c r="BM35859" s="1025"/>
      <c r="BO35859" s="43"/>
    </row>
    <row r="35860" spans="65:67" ht="18.75" customHeight="1">
      <c r="BM35860" s="1025"/>
      <c r="BO35860" s="43"/>
    </row>
    <row r="35861" spans="65:67" ht="18.75" customHeight="1">
      <c r="BM35861" s="1025"/>
      <c r="BO35861" s="43"/>
    </row>
    <row r="35862" spans="65:67" ht="18.75" customHeight="1">
      <c r="BM35862" s="1025"/>
      <c r="BO35862" s="43"/>
    </row>
    <row r="35863" spans="65:67" ht="18.75" customHeight="1">
      <c r="BM35863" s="1025"/>
      <c r="BO35863" s="43"/>
    </row>
    <row r="35864" spans="65:67" ht="18.75" customHeight="1">
      <c r="BM35864" s="1025"/>
      <c r="BO35864" s="43"/>
    </row>
    <row r="35865" spans="65:67" ht="18.75" customHeight="1">
      <c r="BM35865" s="1025"/>
      <c r="BO35865" s="43"/>
    </row>
    <row r="35866" spans="65:67" ht="18.75" customHeight="1">
      <c r="BM35866" s="1025"/>
      <c r="BO35866" s="43"/>
    </row>
    <row r="35867" spans="65:67" ht="18.75" customHeight="1">
      <c r="BM35867" s="1025"/>
      <c r="BO35867" s="43"/>
    </row>
    <row r="35868" spans="65:67" ht="18.75" customHeight="1">
      <c r="BM35868" s="1025"/>
      <c r="BO35868" s="43"/>
    </row>
    <row r="35869" spans="65:67" ht="18.75" customHeight="1">
      <c r="BM35869" s="1025"/>
      <c r="BO35869" s="43"/>
    </row>
    <row r="35870" spans="65:67" ht="18.75" customHeight="1">
      <c r="BM35870" s="1025"/>
      <c r="BO35870" s="43"/>
    </row>
    <row r="35871" spans="65:67" ht="18.75" customHeight="1">
      <c r="BM35871" s="1025"/>
      <c r="BO35871" s="43"/>
    </row>
    <row r="35872" spans="65:67" ht="18.75" customHeight="1">
      <c r="BM35872" s="1025"/>
      <c r="BO35872" s="43"/>
    </row>
    <row r="35873" spans="65:67" ht="18.75" customHeight="1">
      <c r="BM35873" s="1025"/>
      <c r="BO35873" s="43"/>
    </row>
    <row r="35874" spans="65:67" ht="18.75" customHeight="1">
      <c r="BM35874" s="1025"/>
      <c r="BO35874" s="43"/>
    </row>
    <row r="35875" spans="65:67" ht="18.75" customHeight="1">
      <c r="BM35875" s="1025"/>
      <c r="BO35875" s="43"/>
    </row>
    <row r="35876" spans="65:67" ht="18.75" customHeight="1">
      <c r="BM35876" s="1025"/>
      <c r="BO35876" s="43"/>
    </row>
    <row r="35877" spans="65:67" ht="18.75" customHeight="1">
      <c r="BM35877" s="1025"/>
      <c r="BO35877" s="43"/>
    </row>
    <row r="35878" spans="65:67" ht="18.75" customHeight="1">
      <c r="BM35878" s="1025"/>
      <c r="BO35878" s="43"/>
    </row>
    <row r="35879" spans="65:67" ht="18.75" customHeight="1">
      <c r="BM35879" s="1025"/>
      <c r="BO35879" s="43"/>
    </row>
    <row r="35880" spans="65:67" ht="18.75" customHeight="1">
      <c r="BM35880" s="1025"/>
      <c r="BO35880" s="43"/>
    </row>
    <row r="35881" spans="65:67" ht="18.75" customHeight="1">
      <c r="BM35881" s="1025"/>
      <c r="BO35881" s="43"/>
    </row>
    <row r="35882" spans="65:67" ht="18.75" customHeight="1">
      <c r="BM35882" s="1025"/>
      <c r="BO35882" s="43"/>
    </row>
    <row r="35883" spans="65:67" ht="18.75" customHeight="1">
      <c r="BM35883" s="1025"/>
      <c r="BO35883" s="43"/>
    </row>
    <row r="35884" spans="65:67" ht="18.75" customHeight="1">
      <c r="BM35884" s="1025"/>
      <c r="BO35884" s="43"/>
    </row>
    <row r="35885" spans="65:67" ht="18.75" customHeight="1">
      <c r="BM35885" s="1025"/>
      <c r="BO35885" s="43"/>
    </row>
    <row r="35886" spans="65:67" ht="18.75" customHeight="1">
      <c r="BM35886" s="1025"/>
      <c r="BO35886" s="43"/>
    </row>
    <row r="35887" spans="65:67" ht="18.75" customHeight="1">
      <c r="BM35887" s="1025"/>
      <c r="BO35887" s="43"/>
    </row>
    <row r="35888" spans="65:67" ht="18.75" customHeight="1">
      <c r="BM35888" s="1025"/>
      <c r="BO35888" s="43"/>
    </row>
    <row r="35889" spans="65:67" ht="18.75" customHeight="1">
      <c r="BM35889" s="1025"/>
      <c r="BO35889" s="43"/>
    </row>
    <row r="35890" spans="65:67" ht="18.75" customHeight="1">
      <c r="BM35890" s="1025"/>
      <c r="BO35890" s="43"/>
    </row>
    <row r="35891" spans="65:67" ht="18.75" customHeight="1">
      <c r="BM35891" s="1025"/>
      <c r="BO35891" s="43"/>
    </row>
    <row r="35892" spans="65:67" ht="18.75" customHeight="1">
      <c r="BM35892" s="1025"/>
      <c r="BO35892" s="43"/>
    </row>
    <row r="35893" spans="65:67" ht="18.75" customHeight="1">
      <c r="BM35893" s="1025"/>
      <c r="BO35893" s="43"/>
    </row>
    <row r="35894" spans="65:67" ht="18.75" customHeight="1">
      <c r="BM35894" s="1025"/>
      <c r="BO35894" s="43"/>
    </row>
    <row r="35895" spans="65:67" ht="18.75" customHeight="1">
      <c r="BM35895" s="1025"/>
      <c r="BO35895" s="43"/>
    </row>
    <row r="35896" spans="65:67" ht="18.75" customHeight="1">
      <c r="BM35896" s="1025"/>
      <c r="BO35896" s="43"/>
    </row>
    <row r="35897" spans="65:67" ht="18.75" customHeight="1">
      <c r="BM35897" s="1025"/>
      <c r="BO35897" s="43"/>
    </row>
    <row r="35898" spans="65:67" ht="18.75" customHeight="1">
      <c r="BM35898" s="1025"/>
      <c r="BO35898" s="43"/>
    </row>
    <row r="35899" spans="65:67" ht="18.75" customHeight="1">
      <c r="BM35899" s="1025"/>
      <c r="BO35899" s="43"/>
    </row>
    <row r="35900" spans="65:67" ht="18.75" customHeight="1">
      <c r="BM35900" s="1025"/>
      <c r="BO35900" s="43"/>
    </row>
    <row r="35901" spans="65:67" ht="18.75" customHeight="1">
      <c r="BM35901" s="1025"/>
      <c r="BO35901" s="43"/>
    </row>
    <row r="35902" spans="65:67" ht="18.75" customHeight="1">
      <c r="BM35902" s="1025"/>
      <c r="BO35902" s="43"/>
    </row>
    <row r="35903" spans="65:67" ht="18.75" customHeight="1">
      <c r="BM35903" s="1025"/>
      <c r="BO35903" s="43"/>
    </row>
    <row r="35904" spans="65:67" ht="18.75" customHeight="1">
      <c r="BM35904" s="1025"/>
      <c r="BO35904" s="43"/>
    </row>
    <row r="35905" spans="65:67" ht="18.75" customHeight="1">
      <c r="BM35905" s="1025"/>
      <c r="BO35905" s="43"/>
    </row>
    <row r="35906" spans="65:67" ht="18.75" customHeight="1">
      <c r="BM35906" s="1025"/>
      <c r="BO35906" s="43"/>
    </row>
    <row r="35907" spans="65:67" ht="18.75" customHeight="1">
      <c r="BM35907" s="1025"/>
      <c r="BO35907" s="43"/>
    </row>
    <row r="35908" spans="65:67" ht="18.75" customHeight="1">
      <c r="BM35908" s="1025"/>
      <c r="BO35908" s="43"/>
    </row>
    <row r="35909" spans="65:67" ht="18.75" customHeight="1">
      <c r="BM35909" s="1025"/>
      <c r="BO35909" s="43"/>
    </row>
    <row r="35910" spans="65:67" ht="18.75" customHeight="1">
      <c r="BM35910" s="1025"/>
      <c r="BO35910" s="43"/>
    </row>
    <row r="35911" spans="65:67" ht="18.75" customHeight="1">
      <c r="BM35911" s="1025"/>
      <c r="BO35911" s="43"/>
    </row>
    <row r="35912" spans="65:67" ht="18.75" customHeight="1">
      <c r="BM35912" s="1025"/>
      <c r="BO35912" s="43"/>
    </row>
    <row r="35913" spans="65:67" ht="18.75" customHeight="1">
      <c r="BM35913" s="1025"/>
      <c r="BO35913" s="43"/>
    </row>
    <row r="35914" spans="65:67" ht="18.75" customHeight="1">
      <c r="BM35914" s="1025"/>
      <c r="BO35914" s="43"/>
    </row>
    <row r="35915" spans="65:67" ht="18.75" customHeight="1">
      <c r="BM35915" s="1025"/>
      <c r="BO35915" s="43"/>
    </row>
    <row r="35916" spans="65:67" ht="18.75" customHeight="1">
      <c r="BM35916" s="1025"/>
      <c r="BO35916" s="43"/>
    </row>
    <row r="35917" spans="65:67" ht="18.75" customHeight="1">
      <c r="BM35917" s="1025"/>
      <c r="BO35917" s="43"/>
    </row>
    <row r="35918" spans="65:67" ht="18.75" customHeight="1">
      <c r="BM35918" s="1025"/>
      <c r="BO35918" s="43"/>
    </row>
    <row r="35919" spans="65:67" ht="18.75" customHeight="1">
      <c r="BM35919" s="1025"/>
      <c r="BO35919" s="43"/>
    </row>
    <row r="35920" spans="65:67" ht="18.75" customHeight="1">
      <c r="BM35920" s="1025"/>
      <c r="BO35920" s="43"/>
    </row>
    <row r="35921" spans="65:67" ht="18.75" customHeight="1">
      <c r="BM35921" s="1025"/>
      <c r="BO35921" s="43"/>
    </row>
    <row r="35922" spans="65:67" ht="18.75" customHeight="1">
      <c r="BM35922" s="1025"/>
      <c r="BO35922" s="43"/>
    </row>
    <row r="35923" spans="65:67" ht="18.75" customHeight="1">
      <c r="BM35923" s="1025"/>
      <c r="BO35923" s="43"/>
    </row>
    <row r="35924" spans="65:67" ht="18.75" customHeight="1">
      <c r="BM35924" s="1025"/>
      <c r="BO35924" s="43"/>
    </row>
    <row r="35925" spans="65:67" ht="18.75" customHeight="1">
      <c r="BM35925" s="1025"/>
      <c r="BO35925" s="43"/>
    </row>
    <row r="35926" spans="65:67" ht="18.75" customHeight="1">
      <c r="BM35926" s="1025"/>
      <c r="BO35926" s="43"/>
    </row>
    <row r="35927" spans="65:67" ht="18.75" customHeight="1">
      <c r="BM35927" s="1025"/>
      <c r="BO35927" s="43"/>
    </row>
    <row r="35928" spans="65:67" ht="18.75" customHeight="1">
      <c r="BM35928" s="1025"/>
      <c r="BO35928" s="43"/>
    </row>
    <row r="35929" spans="65:67" ht="18.75" customHeight="1">
      <c r="BM35929" s="1025"/>
      <c r="BO35929" s="43"/>
    </row>
    <row r="35930" spans="65:67" ht="18.75" customHeight="1">
      <c r="BM35930" s="1025"/>
      <c r="BO35930" s="43"/>
    </row>
    <row r="35931" spans="65:67" ht="18.75" customHeight="1">
      <c r="BM35931" s="1025"/>
      <c r="BO35931" s="43"/>
    </row>
    <row r="35932" spans="65:67" ht="18.75" customHeight="1">
      <c r="BM35932" s="1025"/>
      <c r="BO35932" s="43"/>
    </row>
    <row r="35933" spans="65:67" ht="18.75" customHeight="1">
      <c r="BM35933" s="1025"/>
      <c r="BO35933" s="43"/>
    </row>
    <row r="35934" spans="65:67" ht="18.75" customHeight="1">
      <c r="BM35934" s="1025"/>
      <c r="BO35934" s="43"/>
    </row>
    <row r="35935" spans="65:67" ht="18.75" customHeight="1">
      <c r="BM35935" s="1025"/>
      <c r="BO35935" s="43"/>
    </row>
    <row r="35936" spans="65:67" ht="18.75" customHeight="1">
      <c r="BM35936" s="1025"/>
      <c r="BO35936" s="43"/>
    </row>
    <row r="35937" spans="65:67" ht="18.75" customHeight="1">
      <c r="BM35937" s="1025"/>
      <c r="BO35937" s="43"/>
    </row>
    <row r="35938" spans="65:67" ht="18.75" customHeight="1">
      <c r="BM35938" s="1025"/>
      <c r="BO35938" s="43"/>
    </row>
    <row r="35939" spans="65:67" ht="18.75" customHeight="1">
      <c r="BM35939" s="1025"/>
      <c r="BO35939" s="43"/>
    </row>
    <row r="35940" spans="65:67" ht="18.75" customHeight="1">
      <c r="BM35940" s="1025"/>
      <c r="BO35940" s="43"/>
    </row>
    <row r="35941" spans="65:67" ht="18.75" customHeight="1">
      <c r="BM35941" s="1025"/>
      <c r="BO35941" s="43"/>
    </row>
    <row r="35942" spans="65:67" ht="18.75" customHeight="1">
      <c r="BM35942" s="1025"/>
      <c r="BO35942" s="43"/>
    </row>
    <row r="35943" spans="65:67" ht="18.75" customHeight="1">
      <c r="BM35943" s="1025"/>
      <c r="BO35943" s="43"/>
    </row>
    <row r="35944" spans="65:67" ht="18.75" customHeight="1">
      <c r="BM35944" s="1025"/>
      <c r="BO35944" s="43"/>
    </row>
    <row r="35945" spans="65:67" ht="18.75" customHeight="1">
      <c r="BM35945" s="1025"/>
      <c r="BO35945" s="43"/>
    </row>
    <row r="35946" spans="65:67" ht="18.75" customHeight="1">
      <c r="BM35946" s="1025"/>
      <c r="BO35946" s="43"/>
    </row>
    <row r="35947" spans="65:67" ht="18.75" customHeight="1">
      <c r="BM35947" s="1025"/>
      <c r="BO35947" s="43"/>
    </row>
    <row r="35948" spans="65:67" ht="18.75" customHeight="1">
      <c r="BM35948" s="1025"/>
      <c r="BO35948" s="43"/>
    </row>
    <row r="35949" spans="65:67" ht="18.75" customHeight="1">
      <c r="BM35949" s="1025"/>
      <c r="BO35949" s="43"/>
    </row>
    <row r="35950" spans="65:67" ht="18.75" customHeight="1">
      <c r="BM35950" s="1025"/>
      <c r="BO35950" s="43"/>
    </row>
    <row r="35951" spans="65:67" ht="18.75" customHeight="1">
      <c r="BM35951" s="1025"/>
      <c r="BO35951" s="43"/>
    </row>
    <row r="35952" spans="65:67" ht="18.75" customHeight="1">
      <c r="BM35952" s="1025"/>
      <c r="BO35952" s="43"/>
    </row>
    <row r="35953" spans="65:67" ht="18.75" customHeight="1">
      <c r="BM35953" s="1025"/>
      <c r="BO35953" s="43"/>
    </row>
    <row r="35954" spans="65:67" ht="18.75" customHeight="1">
      <c r="BM35954" s="1025"/>
      <c r="BO35954" s="43"/>
    </row>
    <row r="35955" spans="65:67" ht="18.75" customHeight="1">
      <c r="BM35955" s="1025"/>
      <c r="BO35955" s="43"/>
    </row>
    <row r="35956" spans="65:67" ht="18.75" customHeight="1">
      <c r="BM35956" s="1025"/>
      <c r="BO35956" s="43"/>
    </row>
    <row r="35957" spans="65:67" ht="18.75" customHeight="1">
      <c r="BM35957" s="1025"/>
      <c r="BO35957" s="43"/>
    </row>
    <row r="35958" spans="65:67" ht="18.75" customHeight="1">
      <c r="BM35958" s="1025"/>
      <c r="BO35958" s="43"/>
    </row>
    <row r="35959" spans="65:67" ht="18.75" customHeight="1">
      <c r="BM35959" s="1025"/>
      <c r="BO35959" s="43"/>
    </row>
    <row r="35960" spans="65:67" ht="18.75" customHeight="1">
      <c r="BM35960" s="1025"/>
      <c r="BO35960" s="43"/>
    </row>
    <row r="35961" spans="65:67" ht="18.75" customHeight="1">
      <c r="BM35961" s="1025"/>
      <c r="BO35961" s="43"/>
    </row>
    <row r="35962" spans="65:67" ht="18.75" customHeight="1">
      <c r="BM35962" s="1025"/>
      <c r="BO35962" s="43"/>
    </row>
    <row r="35963" spans="65:67" ht="18.75" customHeight="1">
      <c r="BM35963" s="1025"/>
      <c r="BO35963" s="43"/>
    </row>
    <row r="35964" spans="65:67" ht="18.75" customHeight="1">
      <c r="BM35964" s="1025"/>
      <c r="BO35964" s="43"/>
    </row>
    <row r="35965" spans="65:67" ht="18.75" customHeight="1">
      <c r="BM35965" s="1025"/>
      <c r="BO35965" s="43"/>
    </row>
    <row r="35966" spans="65:67" ht="18.75" customHeight="1">
      <c r="BM35966" s="1025"/>
      <c r="BO35966" s="43"/>
    </row>
    <row r="35967" spans="65:67" ht="18.75" customHeight="1">
      <c r="BM35967" s="1025"/>
      <c r="BO35967" s="43"/>
    </row>
    <row r="35968" spans="65:67" ht="18.75" customHeight="1">
      <c r="BM35968" s="1025"/>
      <c r="BO35968" s="43"/>
    </row>
    <row r="35969" spans="65:67" ht="18.75" customHeight="1">
      <c r="BM35969" s="1025"/>
      <c r="BO35969" s="43"/>
    </row>
    <row r="35970" spans="65:67" ht="18.75" customHeight="1">
      <c r="BM35970" s="1025"/>
      <c r="BO35970" s="43"/>
    </row>
    <row r="35971" spans="65:67" ht="18.75" customHeight="1">
      <c r="BM35971" s="1025"/>
      <c r="BO35971" s="43"/>
    </row>
    <row r="35972" spans="65:67" ht="18.75" customHeight="1">
      <c r="BM35972" s="1025"/>
      <c r="BO35972" s="43"/>
    </row>
    <row r="35973" spans="65:67" ht="18.75" customHeight="1">
      <c r="BM35973" s="1025"/>
      <c r="BO35973" s="43"/>
    </row>
    <row r="35974" spans="65:67" ht="18.75" customHeight="1">
      <c r="BM35974" s="1025"/>
      <c r="BO35974" s="43"/>
    </row>
    <row r="35975" spans="65:67" ht="18.75" customHeight="1">
      <c r="BM35975" s="1025"/>
      <c r="BO35975" s="43"/>
    </row>
    <row r="35976" spans="65:67" ht="18.75" customHeight="1">
      <c r="BM35976" s="1025"/>
      <c r="BO35976" s="43"/>
    </row>
    <row r="35977" spans="65:67" ht="18.75" customHeight="1">
      <c r="BM35977" s="1025"/>
      <c r="BO35977" s="43"/>
    </row>
    <row r="35978" spans="65:67" ht="18.75" customHeight="1">
      <c r="BM35978" s="1025"/>
      <c r="BO35978" s="43"/>
    </row>
    <row r="35979" spans="65:67" ht="18.75" customHeight="1">
      <c r="BM35979" s="1025"/>
      <c r="BO35979" s="43"/>
    </row>
    <row r="35980" spans="65:67" ht="18.75" customHeight="1">
      <c r="BM35980" s="1025"/>
      <c r="BO35980" s="43"/>
    </row>
    <row r="35981" spans="65:67" ht="18.75" customHeight="1">
      <c r="BM35981" s="1025"/>
      <c r="BO35981" s="43"/>
    </row>
    <row r="35982" spans="65:67" ht="18.75" customHeight="1">
      <c r="BM35982" s="1025"/>
      <c r="BO35982" s="43"/>
    </row>
    <row r="35983" spans="65:67" ht="18.75" customHeight="1">
      <c r="BM35983" s="1025"/>
      <c r="BO35983" s="43"/>
    </row>
    <row r="35984" spans="65:67" ht="18.75" customHeight="1">
      <c r="BM35984" s="1025"/>
      <c r="BO35984" s="43"/>
    </row>
    <row r="35985" spans="65:67" ht="18.75" customHeight="1">
      <c r="BM35985" s="1025"/>
      <c r="BO35985" s="43"/>
    </row>
    <row r="35986" spans="65:67" ht="18.75" customHeight="1">
      <c r="BM35986" s="1025"/>
      <c r="BO35986" s="43"/>
    </row>
    <row r="35987" spans="65:67" ht="18.75" customHeight="1">
      <c r="BM35987" s="1025"/>
      <c r="BO35987" s="43"/>
    </row>
    <row r="35988" spans="65:67" ht="18.75" customHeight="1">
      <c r="BM35988" s="1025"/>
      <c r="BO35988" s="43"/>
    </row>
    <row r="35989" spans="65:67" ht="18.75" customHeight="1">
      <c r="BM35989" s="1025"/>
      <c r="BO35989" s="43"/>
    </row>
    <row r="35990" spans="65:67" ht="18.75" customHeight="1">
      <c r="BM35990" s="1025"/>
      <c r="BO35990" s="43"/>
    </row>
    <row r="35991" spans="65:67" ht="18.75" customHeight="1">
      <c r="BM35991" s="1025"/>
      <c r="BO35991" s="43"/>
    </row>
    <row r="35992" spans="65:67" ht="18.75" customHeight="1">
      <c r="BM35992" s="1025"/>
      <c r="BO35992" s="43"/>
    </row>
    <row r="35993" spans="65:67" ht="18.75" customHeight="1">
      <c r="BM35993" s="1025"/>
      <c r="BO35993" s="43"/>
    </row>
    <row r="35994" spans="65:67" ht="18.75" customHeight="1">
      <c r="BM35994" s="1025"/>
      <c r="BO35994" s="43"/>
    </row>
    <row r="35995" spans="65:67" ht="18.75" customHeight="1">
      <c r="BM35995" s="1025"/>
      <c r="BO35995" s="43"/>
    </row>
    <row r="35996" spans="65:67" ht="18.75" customHeight="1">
      <c r="BM35996" s="1025"/>
      <c r="BO35996" s="43"/>
    </row>
    <row r="35997" spans="65:67" ht="18.75" customHeight="1">
      <c r="BM35997" s="1025"/>
      <c r="BO35997" s="43"/>
    </row>
    <row r="35998" spans="65:67" ht="18.75" customHeight="1">
      <c r="BM35998" s="1025"/>
      <c r="BO35998" s="43"/>
    </row>
    <row r="35999" spans="65:67" ht="18.75" customHeight="1">
      <c r="BM35999" s="1025"/>
      <c r="BO35999" s="43"/>
    </row>
    <row r="36000" spans="65:67" ht="18.75" customHeight="1">
      <c r="BM36000" s="1025"/>
      <c r="BO36000" s="43"/>
    </row>
    <row r="36001" spans="65:67" ht="18.75" customHeight="1">
      <c r="BM36001" s="1025"/>
      <c r="BO36001" s="43"/>
    </row>
    <row r="36002" spans="65:67" ht="18.75" customHeight="1">
      <c r="BM36002" s="1025"/>
      <c r="BO36002" s="43"/>
    </row>
    <row r="36003" spans="65:67" ht="18.75" customHeight="1">
      <c r="BM36003" s="1025"/>
      <c r="BO36003" s="43"/>
    </row>
    <row r="36004" spans="65:67" ht="18.75" customHeight="1">
      <c r="BM36004" s="1025"/>
      <c r="BO36004" s="43"/>
    </row>
    <row r="36005" spans="65:67" ht="18.75" customHeight="1">
      <c r="BM36005" s="1025"/>
      <c r="BO36005" s="43"/>
    </row>
    <row r="36006" spans="65:67" ht="18.75" customHeight="1">
      <c r="BM36006" s="1025"/>
      <c r="BO36006" s="43"/>
    </row>
    <row r="36007" spans="65:67" ht="18.75" customHeight="1">
      <c r="BM36007" s="1025"/>
      <c r="BO36007" s="43"/>
    </row>
    <row r="36008" spans="65:67" ht="18.75" customHeight="1">
      <c r="BM36008" s="1025"/>
      <c r="BO36008" s="43"/>
    </row>
    <row r="36009" spans="65:67" ht="18.75" customHeight="1">
      <c r="BM36009" s="1025"/>
      <c r="BO36009" s="43"/>
    </row>
    <row r="36010" spans="65:67" ht="18.75" customHeight="1">
      <c r="BM36010" s="1025"/>
      <c r="BO36010" s="43"/>
    </row>
    <row r="36011" spans="65:67" ht="18.75" customHeight="1">
      <c r="BM36011" s="1025"/>
      <c r="BO36011" s="43"/>
    </row>
    <row r="36012" spans="65:67" ht="18.75" customHeight="1">
      <c r="BM36012" s="1025"/>
      <c r="BO36012" s="43"/>
    </row>
    <row r="36013" spans="65:67" ht="18.75" customHeight="1">
      <c r="BM36013" s="1025"/>
      <c r="BO36013" s="43"/>
    </row>
    <row r="36014" spans="65:67" ht="18.75" customHeight="1">
      <c r="BM36014" s="1025"/>
      <c r="BO36014" s="43"/>
    </row>
    <row r="36015" spans="65:67" ht="18.75" customHeight="1">
      <c r="BM36015" s="1025"/>
      <c r="BO36015" s="43"/>
    </row>
    <row r="36016" spans="65:67" ht="18.75" customHeight="1">
      <c r="BM36016" s="1025"/>
      <c r="BO36016" s="43"/>
    </row>
    <row r="36017" spans="65:67" ht="18.75" customHeight="1">
      <c r="BM36017" s="1025"/>
      <c r="BO36017" s="43"/>
    </row>
    <row r="36018" spans="65:67" ht="18.75" customHeight="1">
      <c r="BM36018" s="1025"/>
      <c r="BO36018" s="43"/>
    </row>
    <row r="36019" spans="65:67" ht="18.75" customHeight="1">
      <c r="BM36019" s="1025"/>
      <c r="BO36019" s="43"/>
    </row>
    <row r="36020" spans="65:67" ht="18.75" customHeight="1">
      <c r="BM36020" s="1025"/>
      <c r="BO36020" s="43"/>
    </row>
    <row r="36021" spans="65:67" ht="18.75" customHeight="1">
      <c r="BM36021" s="1025"/>
      <c r="BO36021" s="43"/>
    </row>
    <row r="36022" spans="65:67" ht="18.75" customHeight="1">
      <c r="BM36022" s="1025"/>
      <c r="BO36022" s="43"/>
    </row>
    <row r="36023" spans="65:67" ht="18.75" customHeight="1">
      <c r="BM36023" s="1025"/>
      <c r="BO36023" s="43"/>
    </row>
    <row r="36024" spans="65:67" ht="18.75" customHeight="1">
      <c r="BM36024" s="1025"/>
      <c r="BO36024" s="43"/>
    </row>
    <row r="36025" spans="65:67" ht="18.75" customHeight="1">
      <c r="BM36025" s="1025"/>
      <c r="BO36025" s="43"/>
    </row>
    <row r="36026" spans="65:67" ht="18.75" customHeight="1">
      <c r="BM36026" s="1025"/>
      <c r="BO36026" s="43"/>
    </row>
    <row r="36027" spans="65:67" ht="18.75" customHeight="1">
      <c r="BM36027" s="1025"/>
      <c r="BO36027" s="43"/>
    </row>
    <row r="36028" spans="65:67" ht="18.75" customHeight="1">
      <c r="BM36028" s="1025"/>
      <c r="BO36028" s="43"/>
    </row>
    <row r="36029" spans="65:67" ht="18.75" customHeight="1">
      <c r="BM36029" s="1025"/>
      <c r="BO36029" s="43"/>
    </row>
    <row r="36030" spans="65:67" ht="18.75" customHeight="1">
      <c r="BM36030" s="1025"/>
      <c r="BO36030" s="43"/>
    </row>
    <row r="36031" spans="65:67" ht="18.75" customHeight="1">
      <c r="BM36031" s="1025"/>
      <c r="BO36031" s="43"/>
    </row>
    <row r="36032" spans="65:67" ht="18.75" customHeight="1">
      <c r="BM36032" s="1025"/>
      <c r="BO36032" s="43"/>
    </row>
    <row r="36033" spans="65:67" ht="18.75" customHeight="1">
      <c r="BM36033" s="1025"/>
      <c r="BO36033" s="43"/>
    </row>
    <row r="36034" spans="65:67" ht="18.75" customHeight="1">
      <c r="BM36034" s="1025"/>
      <c r="BO36034" s="43"/>
    </row>
    <row r="36035" spans="65:67" ht="18.75" customHeight="1">
      <c r="BM36035" s="1025"/>
      <c r="BO36035" s="43"/>
    </row>
    <row r="36036" spans="65:67" ht="18.75" customHeight="1">
      <c r="BM36036" s="1025"/>
      <c r="BO36036" s="43"/>
    </row>
    <row r="36037" spans="65:67" ht="18.75" customHeight="1">
      <c r="BM36037" s="1025"/>
      <c r="BO36037" s="43"/>
    </row>
    <row r="36038" spans="65:67" ht="18.75" customHeight="1">
      <c r="BM36038" s="1025"/>
      <c r="BO36038" s="43"/>
    </row>
    <row r="36039" spans="65:67" ht="18.75" customHeight="1">
      <c r="BM36039" s="1025"/>
      <c r="BO36039" s="43"/>
    </row>
    <row r="36040" spans="65:67" ht="18.75" customHeight="1">
      <c r="BM36040" s="1025"/>
      <c r="BO36040" s="43"/>
    </row>
    <row r="36041" spans="65:67" ht="18.75" customHeight="1">
      <c r="BM36041" s="1025"/>
      <c r="BO36041" s="43"/>
    </row>
    <row r="36042" spans="65:67" ht="18.75" customHeight="1">
      <c r="BM36042" s="1025"/>
      <c r="BO36042" s="43"/>
    </row>
    <row r="36043" spans="65:67" ht="18.75" customHeight="1">
      <c r="BM36043" s="1025"/>
      <c r="BO36043" s="43"/>
    </row>
    <row r="36044" spans="65:67" ht="18.75" customHeight="1">
      <c r="BM36044" s="1025"/>
      <c r="BO36044" s="43"/>
    </row>
    <row r="36045" spans="65:67" ht="18.75" customHeight="1">
      <c r="BM36045" s="1025"/>
      <c r="BO36045" s="43"/>
    </row>
    <row r="36046" spans="65:67" ht="18.75" customHeight="1">
      <c r="BM36046" s="1025"/>
      <c r="BO36046" s="43"/>
    </row>
    <row r="36047" spans="65:67" ht="18.75" customHeight="1">
      <c r="BM36047" s="1025"/>
      <c r="BO36047" s="43"/>
    </row>
    <row r="36048" spans="65:67" ht="18.75" customHeight="1">
      <c r="BM36048" s="1025"/>
      <c r="BO36048" s="43"/>
    </row>
    <row r="36049" spans="65:67" ht="18.75" customHeight="1">
      <c r="BM36049" s="1025"/>
      <c r="BO36049" s="43"/>
    </row>
    <row r="36050" spans="65:67" ht="18.75" customHeight="1">
      <c r="BM36050" s="1025"/>
      <c r="BO36050" s="43"/>
    </row>
    <row r="36051" spans="65:67" ht="18.75" customHeight="1">
      <c r="BM36051" s="1025"/>
      <c r="BO36051" s="43"/>
    </row>
    <row r="36052" spans="65:67" ht="18.75" customHeight="1">
      <c r="BM36052" s="1025"/>
      <c r="BO36052" s="43"/>
    </row>
    <row r="36053" spans="65:67" ht="18.75" customHeight="1">
      <c r="BM36053" s="1025"/>
      <c r="BO36053" s="43"/>
    </row>
    <row r="36054" spans="65:67" ht="18.75" customHeight="1">
      <c r="BM36054" s="1025"/>
      <c r="BO36054" s="43"/>
    </row>
    <row r="36055" spans="65:67" ht="18.75" customHeight="1">
      <c r="BM36055" s="1025"/>
      <c r="BO36055" s="43"/>
    </row>
    <row r="36056" spans="65:67" ht="18.75" customHeight="1">
      <c r="BM36056" s="1025"/>
      <c r="BO36056" s="43"/>
    </row>
    <row r="36057" spans="65:67" ht="18.75" customHeight="1">
      <c r="BM36057" s="1025"/>
      <c r="BO36057" s="43"/>
    </row>
    <row r="36058" spans="65:67" ht="18.75" customHeight="1">
      <c r="BM36058" s="1025"/>
      <c r="BO36058" s="43"/>
    </row>
    <row r="36059" spans="65:67" ht="18.75" customHeight="1">
      <c r="BM36059" s="1025"/>
      <c r="BO36059" s="43"/>
    </row>
    <row r="36060" spans="65:67" ht="18.75" customHeight="1">
      <c r="BM36060" s="1025"/>
      <c r="BO36060" s="43"/>
    </row>
    <row r="36061" spans="65:67" ht="18.75" customHeight="1">
      <c r="BM36061" s="1025"/>
      <c r="BO36061" s="43"/>
    </row>
    <row r="36062" spans="65:67" ht="18.75" customHeight="1">
      <c r="BM36062" s="1025"/>
      <c r="BO36062" s="43"/>
    </row>
    <row r="36063" spans="65:67" ht="18.75" customHeight="1">
      <c r="BM36063" s="1025"/>
      <c r="BO36063" s="43"/>
    </row>
    <row r="36064" spans="65:67" ht="18.75" customHeight="1">
      <c r="BM36064" s="1025"/>
      <c r="BO36064" s="43"/>
    </row>
    <row r="36065" spans="65:67" ht="18.75" customHeight="1">
      <c r="BM36065" s="1025"/>
      <c r="BO36065" s="43"/>
    </row>
    <row r="36066" spans="65:67" ht="18.75" customHeight="1">
      <c r="BM36066" s="1025"/>
      <c r="BO36066" s="43"/>
    </row>
    <row r="36067" spans="65:67" ht="18.75" customHeight="1">
      <c r="BM36067" s="1025"/>
      <c r="BO36067" s="43"/>
    </row>
    <row r="36068" spans="65:67" ht="18.75" customHeight="1">
      <c r="BM36068" s="1025"/>
      <c r="BO36068" s="43"/>
    </row>
    <row r="36069" spans="65:67" ht="18.75" customHeight="1">
      <c r="BM36069" s="1025"/>
      <c r="BO36069" s="43"/>
    </row>
    <row r="36070" spans="65:67" ht="18.75" customHeight="1">
      <c r="BM36070" s="1025"/>
      <c r="BO36070" s="43"/>
    </row>
    <row r="36071" spans="65:67" ht="18.75" customHeight="1">
      <c r="BM36071" s="1025"/>
      <c r="BO36071" s="43"/>
    </row>
    <row r="36072" spans="65:67" ht="18.75" customHeight="1">
      <c r="BM36072" s="1025"/>
      <c r="BO36072" s="43"/>
    </row>
    <row r="36073" spans="65:67" ht="18.75" customHeight="1">
      <c r="BM36073" s="1025"/>
      <c r="BO36073" s="43"/>
    </row>
    <row r="36074" spans="65:67" ht="18.75" customHeight="1">
      <c r="BM36074" s="1025"/>
      <c r="BO36074" s="43"/>
    </row>
    <row r="36075" spans="65:67" ht="18.75" customHeight="1">
      <c r="BM36075" s="1025"/>
      <c r="BO36075" s="43"/>
    </row>
    <row r="36076" spans="65:67" ht="18.75" customHeight="1">
      <c r="BM36076" s="1025"/>
      <c r="BO36076" s="43"/>
    </row>
    <row r="36077" spans="65:67" ht="18.75" customHeight="1">
      <c r="BM36077" s="1025"/>
      <c r="BO36077" s="43"/>
    </row>
    <row r="36078" spans="65:67" ht="18.75" customHeight="1">
      <c r="BM36078" s="1025"/>
      <c r="BO36078" s="43"/>
    </row>
    <row r="36079" spans="65:67" ht="18.75" customHeight="1">
      <c r="BM36079" s="1025"/>
      <c r="BO36079" s="43"/>
    </row>
    <row r="36080" spans="65:67" ht="18.75" customHeight="1">
      <c r="BM36080" s="1025"/>
      <c r="BO36080" s="43"/>
    </row>
    <row r="36081" spans="65:67" ht="18.75" customHeight="1">
      <c r="BM36081" s="1025"/>
      <c r="BO36081" s="43"/>
    </row>
    <row r="36082" spans="65:67" ht="18.75" customHeight="1">
      <c r="BM36082" s="1025"/>
      <c r="BO36082" s="43"/>
    </row>
    <row r="36083" spans="65:67" ht="18.75" customHeight="1">
      <c r="BM36083" s="1025"/>
      <c r="BO36083" s="43"/>
    </row>
    <row r="36084" spans="65:67" ht="18.75" customHeight="1">
      <c r="BM36084" s="1025"/>
      <c r="BO36084" s="43"/>
    </row>
    <row r="36085" spans="65:67" ht="18.75" customHeight="1">
      <c r="BM36085" s="1025"/>
      <c r="BO36085" s="43"/>
    </row>
    <row r="36086" spans="65:67" ht="18.75" customHeight="1">
      <c r="BM36086" s="1025"/>
      <c r="BO36086" s="43"/>
    </row>
    <row r="36087" spans="65:67" ht="18.75" customHeight="1">
      <c r="BM36087" s="1025"/>
      <c r="BO36087" s="43"/>
    </row>
    <row r="36088" spans="65:67" ht="18.75" customHeight="1">
      <c r="BM36088" s="1025"/>
      <c r="BO36088" s="43"/>
    </row>
    <row r="36089" spans="65:67" ht="18.75" customHeight="1">
      <c r="BM36089" s="1025"/>
      <c r="BO36089" s="43"/>
    </row>
    <row r="36090" spans="65:67" ht="18.75" customHeight="1">
      <c r="BM36090" s="1025"/>
      <c r="BO36090" s="43"/>
    </row>
    <row r="36091" spans="65:67" ht="18.75" customHeight="1">
      <c r="BM36091" s="1025"/>
      <c r="BO36091" s="43"/>
    </row>
    <row r="36092" spans="65:67" ht="18.75" customHeight="1">
      <c r="BM36092" s="1025"/>
      <c r="BO36092" s="43"/>
    </row>
    <row r="36093" spans="65:67" ht="18.75" customHeight="1">
      <c r="BM36093" s="1025"/>
      <c r="BO36093" s="43"/>
    </row>
    <row r="36094" spans="65:67" ht="18.75" customHeight="1">
      <c r="BM36094" s="1025"/>
      <c r="BO36094" s="43"/>
    </row>
    <row r="36095" spans="65:67" ht="18.75" customHeight="1">
      <c r="BM36095" s="1025"/>
      <c r="BO36095" s="43"/>
    </row>
    <row r="36096" spans="65:67" ht="18.75" customHeight="1">
      <c r="BM36096" s="1025"/>
      <c r="BO36096" s="43"/>
    </row>
    <row r="36097" spans="65:67" ht="18.75" customHeight="1">
      <c r="BM36097" s="1025"/>
      <c r="BO36097" s="43"/>
    </row>
    <row r="36098" spans="65:67" ht="18.75" customHeight="1">
      <c r="BM36098" s="1025"/>
      <c r="BO36098" s="43"/>
    </row>
    <row r="36099" spans="65:67" ht="18.75" customHeight="1">
      <c r="BM36099" s="1025"/>
      <c r="BO36099" s="43"/>
    </row>
    <row r="36100" spans="65:67" ht="18.75" customHeight="1">
      <c r="BM36100" s="1025"/>
      <c r="BO36100" s="43"/>
    </row>
    <row r="36101" spans="65:67" ht="18.75" customHeight="1">
      <c r="BM36101" s="1025"/>
      <c r="BO36101" s="43"/>
    </row>
    <row r="36102" spans="65:67" ht="18.75" customHeight="1">
      <c r="BM36102" s="1025"/>
      <c r="BO36102" s="43"/>
    </row>
    <row r="36103" spans="65:67" ht="18.75" customHeight="1">
      <c r="BM36103" s="1025"/>
      <c r="BO36103" s="43"/>
    </row>
    <row r="36104" spans="65:67" ht="18.75" customHeight="1">
      <c r="BM36104" s="1025"/>
      <c r="BO36104" s="43"/>
    </row>
    <row r="36105" spans="65:67" ht="18.75" customHeight="1">
      <c r="BM36105" s="1025"/>
      <c r="BO36105" s="43"/>
    </row>
    <row r="36106" spans="65:67" ht="18.75" customHeight="1">
      <c r="BM36106" s="1025"/>
      <c r="BO36106" s="43"/>
    </row>
    <row r="36107" spans="65:67" ht="18.75" customHeight="1">
      <c r="BM36107" s="1025"/>
      <c r="BO36107" s="43"/>
    </row>
    <row r="36108" spans="65:67" ht="18.75" customHeight="1">
      <c r="BM36108" s="1025"/>
      <c r="BO36108" s="43"/>
    </row>
    <row r="36109" spans="65:67" ht="18.75" customHeight="1">
      <c r="BM36109" s="1025"/>
      <c r="BO36109" s="43"/>
    </row>
    <row r="36110" spans="65:67" ht="18.75" customHeight="1">
      <c r="BM36110" s="1025"/>
      <c r="BO36110" s="43"/>
    </row>
    <row r="36111" spans="65:67" ht="18.75" customHeight="1">
      <c r="BM36111" s="1025"/>
      <c r="BO36111" s="43"/>
    </row>
    <row r="36112" spans="65:67" ht="18.75" customHeight="1">
      <c r="BM36112" s="1025"/>
      <c r="BO36112" s="43"/>
    </row>
    <row r="36113" spans="65:67" ht="18.75" customHeight="1">
      <c r="BM36113" s="1025"/>
      <c r="BO36113" s="43"/>
    </row>
    <row r="36114" spans="65:67" ht="18.75" customHeight="1">
      <c r="BM36114" s="1025"/>
      <c r="BO36114" s="43"/>
    </row>
    <row r="36115" spans="65:67" ht="18.75" customHeight="1">
      <c r="BM36115" s="1025"/>
      <c r="BO36115" s="43"/>
    </row>
    <row r="36116" spans="65:67" ht="18.75" customHeight="1">
      <c r="BM36116" s="1025"/>
      <c r="BO36116" s="43"/>
    </row>
    <row r="36117" spans="65:67" ht="18.75" customHeight="1">
      <c r="BM36117" s="1025"/>
      <c r="BO36117" s="43"/>
    </row>
    <row r="36118" spans="65:67" ht="18.75" customHeight="1">
      <c r="BM36118" s="1025"/>
      <c r="BO36118" s="43"/>
    </row>
    <row r="36119" spans="65:67" ht="18.75" customHeight="1">
      <c r="BM36119" s="1025"/>
      <c r="BO36119" s="43"/>
    </row>
    <row r="36120" spans="65:67" ht="18.75" customHeight="1">
      <c r="BM36120" s="1025"/>
      <c r="BO36120" s="43"/>
    </row>
    <row r="36121" spans="65:67" ht="18.75" customHeight="1">
      <c r="BM36121" s="1025"/>
      <c r="BO36121" s="43"/>
    </row>
    <row r="36122" spans="65:67" ht="18.75" customHeight="1">
      <c r="BM36122" s="1025"/>
      <c r="BO36122" s="43"/>
    </row>
    <row r="36123" spans="65:67" ht="18.75" customHeight="1">
      <c r="BM36123" s="1025"/>
      <c r="BO36123" s="43"/>
    </row>
    <row r="36124" spans="65:67" ht="18.75" customHeight="1">
      <c r="BM36124" s="1025"/>
      <c r="BO36124" s="43"/>
    </row>
    <row r="36125" spans="65:67" ht="18.75" customHeight="1">
      <c r="BM36125" s="1025"/>
      <c r="BO36125" s="43"/>
    </row>
    <row r="36126" spans="65:67" ht="18.75" customHeight="1">
      <c r="BM36126" s="1025"/>
      <c r="BO36126" s="43"/>
    </row>
    <row r="36127" spans="65:67" ht="18.75" customHeight="1">
      <c r="BM36127" s="1025"/>
      <c r="BO36127" s="43"/>
    </row>
    <row r="36128" spans="65:67" ht="18.75" customHeight="1">
      <c r="BM36128" s="1025"/>
      <c r="BO36128" s="43"/>
    </row>
    <row r="36129" spans="65:67" ht="18.75" customHeight="1">
      <c r="BM36129" s="1025"/>
      <c r="BO36129" s="43"/>
    </row>
    <row r="36130" spans="65:67" ht="18.75" customHeight="1">
      <c r="BM36130" s="1025"/>
      <c r="BO36130" s="43"/>
    </row>
    <row r="36131" spans="65:67" ht="18.75" customHeight="1">
      <c r="BM36131" s="1025"/>
      <c r="BO36131" s="43"/>
    </row>
    <row r="36132" spans="65:67" ht="18.75" customHeight="1">
      <c r="BM36132" s="1025"/>
      <c r="BO36132" s="43"/>
    </row>
    <row r="36133" spans="65:67" ht="18.75" customHeight="1">
      <c r="BM36133" s="1025"/>
      <c r="BO36133" s="43"/>
    </row>
    <row r="36134" spans="65:67" ht="18.75" customHeight="1">
      <c r="BM36134" s="1025"/>
      <c r="BO36134" s="43"/>
    </row>
    <row r="36135" spans="65:67" ht="18.75" customHeight="1">
      <c r="BM36135" s="1025"/>
      <c r="BO36135" s="43"/>
    </row>
    <row r="36136" spans="65:67" ht="18.75" customHeight="1">
      <c r="BM36136" s="1025"/>
      <c r="BO36136" s="43"/>
    </row>
    <row r="36137" spans="65:67" ht="18.75" customHeight="1">
      <c r="BM36137" s="1025"/>
      <c r="BO36137" s="43"/>
    </row>
    <row r="36138" spans="65:67" ht="18.75" customHeight="1">
      <c r="BM36138" s="1025"/>
      <c r="BO36138" s="43"/>
    </row>
    <row r="36139" spans="65:67" ht="18.75" customHeight="1">
      <c r="BM36139" s="1025"/>
      <c r="BO36139" s="43"/>
    </row>
    <row r="36140" spans="65:67" ht="18.75" customHeight="1">
      <c r="BM36140" s="1025"/>
      <c r="BO36140" s="43"/>
    </row>
    <row r="36141" spans="65:67" ht="18.75" customHeight="1">
      <c r="BM36141" s="1025"/>
      <c r="BO36141" s="43"/>
    </row>
    <row r="36142" spans="65:67" ht="18.75" customHeight="1">
      <c r="BM36142" s="1025"/>
      <c r="BO36142" s="43"/>
    </row>
    <row r="36143" spans="65:67" ht="18.75" customHeight="1">
      <c r="BM36143" s="1025"/>
      <c r="BO36143" s="43"/>
    </row>
    <row r="36144" spans="65:67" ht="18.75" customHeight="1">
      <c r="BM36144" s="1025"/>
      <c r="BO36144" s="43"/>
    </row>
    <row r="36145" spans="65:67" ht="18.75" customHeight="1">
      <c r="BM36145" s="1025"/>
      <c r="BO36145" s="43"/>
    </row>
    <row r="36146" spans="65:67" ht="18.75" customHeight="1">
      <c r="BM36146" s="1025"/>
      <c r="BO36146" s="43"/>
    </row>
    <row r="36147" spans="65:67" ht="18.75" customHeight="1">
      <c r="BM36147" s="1025"/>
      <c r="BO36147" s="43"/>
    </row>
    <row r="36148" spans="65:67" ht="18.75" customHeight="1">
      <c r="BM36148" s="1025"/>
      <c r="BO36148" s="43"/>
    </row>
    <row r="36149" spans="65:67" ht="18.75" customHeight="1">
      <c r="BM36149" s="1025"/>
      <c r="BO36149" s="43"/>
    </row>
    <row r="36150" spans="65:67" ht="18.75" customHeight="1">
      <c r="BM36150" s="1025"/>
      <c r="BO36150" s="43"/>
    </row>
    <row r="36151" spans="65:67" ht="18.75" customHeight="1">
      <c r="BM36151" s="1025"/>
      <c r="BO36151" s="43"/>
    </row>
    <row r="36152" spans="65:67" ht="18.75" customHeight="1">
      <c r="BM36152" s="1025"/>
      <c r="BO36152" s="43"/>
    </row>
    <row r="36153" spans="65:67" ht="18.75" customHeight="1">
      <c r="BM36153" s="1025"/>
      <c r="BO36153" s="43"/>
    </row>
    <row r="36154" spans="65:67" ht="18.75" customHeight="1">
      <c r="BM36154" s="1025"/>
      <c r="BO36154" s="43"/>
    </row>
    <row r="36155" spans="65:67" ht="18.75" customHeight="1">
      <c r="BM36155" s="1025"/>
      <c r="BO36155" s="43"/>
    </row>
    <row r="36156" spans="65:67" ht="18.75" customHeight="1">
      <c r="BM36156" s="1025"/>
      <c r="BO36156" s="43"/>
    </row>
    <row r="36157" spans="65:67" ht="18.75" customHeight="1">
      <c r="BM36157" s="1025"/>
      <c r="BO36157" s="43"/>
    </row>
    <row r="36158" spans="65:67" ht="18.75" customHeight="1">
      <c r="BM36158" s="1025"/>
      <c r="BO36158" s="43"/>
    </row>
    <row r="36159" spans="65:67" ht="18.75" customHeight="1">
      <c r="BM36159" s="1025"/>
      <c r="BO36159" s="43"/>
    </row>
    <row r="36160" spans="65:67" ht="18.75" customHeight="1">
      <c r="BM36160" s="1025"/>
      <c r="BO36160" s="43"/>
    </row>
    <row r="36161" spans="65:67" ht="18.75" customHeight="1">
      <c r="BM36161" s="1025"/>
      <c r="BO36161" s="43"/>
    </row>
    <row r="36162" spans="65:67" ht="18.75" customHeight="1">
      <c r="BM36162" s="1025"/>
      <c r="BO36162" s="43"/>
    </row>
    <row r="36163" spans="65:67" ht="18.75" customHeight="1">
      <c r="BM36163" s="1025"/>
      <c r="BO36163" s="43"/>
    </row>
    <row r="36164" spans="65:67" ht="18.75" customHeight="1">
      <c r="BM36164" s="1025"/>
      <c r="BO36164" s="43"/>
    </row>
    <row r="36165" spans="65:67" ht="18.75" customHeight="1">
      <c r="BM36165" s="1025"/>
      <c r="BO36165" s="43"/>
    </row>
    <row r="36166" spans="65:67" ht="18.75" customHeight="1">
      <c r="BM36166" s="1025"/>
      <c r="BO36166" s="43"/>
    </row>
    <row r="36167" spans="65:67" ht="18.75" customHeight="1">
      <c r="BM36167" s="1025"/>
      <c r="BO36167" s="43"/>
    </row>
    <row r="36168" spans="65:67" ht="18.75" customHeight="1">
      <c r="BM36168" s="1025"/>
      <c r="BO36168" s="43"/>
    </row>
    <row r="36169" spans="65:67" ht="18.75" customHeight="1">
      <c r="BM36169" s="1025"/>
      <c r="BO36169" s="43"/>
    </row>
    <row r="36170" spans="65:67" ht="18.75" customHeight="1">
      <c r="BM36170" s="1025"/>
      <c r="BO36170" s="43"/>
    </row>
    <row r="36171" spans="65:67" ht="18.75" customHeight="1">
      <c r="BM36171" s="1025"/>
      <c r="BO36171" s="43"/>
    </row>
    <row r="36172" spans="65:67" ht="18.75" customHeight="1">
      <c r="BM36172" s="1025"/>
      <c r="BO36172" s="43"/>
    </row>
    <row r="36173" spans="65:67" ht="18.75" customHeight="1">
      <c r="BM36173" s="1025"/>
      <c r="BO36173" s="43"/>
    </row>
    <row r="36174" spans="65:67" ht="18.75" customHeight="1">
      <c r="BM36174" s="1025"/>
      <c r="BO36174" s="43"/>
    </row>
    <row r="36175" spans="65:67" ht="18.75" customHeight="1">
      <c r="BM36175" s="1025"/>
      <c r="BO36175" s="43"/>
    </row>
    <row r="36176" spans="65:67" ht="18.75" customHeight="1">
      <c r="BM36176" s="1025"/>
      <c r="BO36176" s="43"/>
    </row>
    <row r="36177" spans="65:67" ht="18.75" customHeight="1">
      <c r="BM36177" s="1025"/>
      <c r="BO36177" s="43"/>
    </row>
    <row r="36178" spans="65:67" ht="18.75" customHeight="1">
      <c r="BM36178" s="1025"/>
      <c r="BO36178" s="43"/>
    </row>
    <row r="36179" spans="65:67" ht="18.75" customHeight="1">
      <c r="BM36179" s="1025"/>
      <c r="BO36179" s="43"/>
    </row>
    <row r="36180" spans="65:67" ht="18.75" customHeight="1">
      <c r="BM36180" s="1025"/>
      <c r="BO36180" s="43"/>
    </row>
    <row r="36181" spans="65:67" ht="18.75" customHeight="1">
      <c r="BM36181" s="1025"/>
      <c r="BO36181" s="43"/>
    </row>
    <row r="36182" spans="65:67" ht="18.75" customHeight="1">
      <c r="BM36182" s="1025"/>
      <c r="BO36182" s="43"/>
    </row>
    <row r="36183" spans="65:67" ht="18.75" customHeight="1">
      <c r="BM36183" s="1025"/>
      <c r="BO36183" s="43"/>
    </row>
    <row r="36184" spans="65:67" ht="18.75" customHeight="1">
      <c r="BM36184" s="1025"/>
      <c r="BO36184" s="43"/>
    </row>
    <row r="36185" spans="65:67" ht="18.75" customHeight="1">
      <c r="BM36185" s="1025"/>
      <c r="BO36185" s="43"/>
    </row>
    <row r="36186" spans="65:67" ht="18.75" customHeight="1">
      <c r="BM36186" s="1025"/>
      <c r="BO36186" s="43"/>
    </row>
    <row r="36187" spans="65:67" ht="18.75" customHeight="1">
      <c r="BM36187" s="1025"/>
      <c r="BO36187" s="43"/>
    </row>
    <row r="36188" spans="65:67" ht="18.75" customHeight="1">
      <c r="BM36188" s="1025"/>
      <c r="BO36188" s="43"/>
    </row>
    <row r="36189" spans="65:67" ht="18.75" customHeight="1">
      <c r="BM36189" s="1025"/>
      <c r="BO36189" s="43"/>
    </row>
    <row r="36190" spans="65:67" ht="18.75" customHeight="1">
      <c r="BM36190" s="1025"/>
      <c r="BO36190" s="43"/>
    </row>
    <row r="36191" spans="65:67" ht="18.75" customHeight="1">
      <c r="BM36191" s="1025"/>
      <c r="BO36191" s="43"/>
    </row>
    <row r="36192" spans="65:67" ht="18.75" customHeight="1">
      <c r="BM36192" s="1025"/>
      <c r="BO36192" s="43"/>
    </row>
    <row r="36193" spans="65:67" ht="18.75" customHeight="1">
      <c r="BM36193" s="1025"/>
      <c r="BO36193" s="43"/>
    </row>
    <row r="36194" spans="65:67" ht="18.75" customHeight="1">
      <c r="BM36194" s="1025"/>
      <c r="BO36194" s="43"/>
    </row>
    <row r="36195" spans="65:67" ht="18.75" customHeight="1">
      <c r="BM36195" s="1025"/>
      <c r="BO36195" s="43"/>
    </row>
    <row r="36196" spans="65:67" ht="18.75" customHeight="1">
      <c r="BM36196" s="1025"/>
      <c r="BO36196" s="43"/>
    </row>
    <row r="36197" spans="65:67" ht="18.75" customHeight="1">
      <c r="BM36197" s="1025"/>
      <c r="BO36197" s="43"/>
    </row>
    <row r="36198" spans="65:67" ht="18.75" customHeight="1">
      <c r="BM36198" s="1025"/>
      <c r="BO36198" s="43"/>
    </row>
    <row r="36199" spans="65:67" ht="18.75" customHeight="1">
      <c r="BM36199" s="1025"/>
      <c r="BO36199" s="43"/>
    </row>
    <row r="36200" spans="65:67" ht="18.75" customHeight="1">
      <c r="BM36200" s="1025"/>
      <c r="BO36200" s="43"/>
    </row>
    <row r="36201" spans="65:67" ht="18.75" customHeight="1">
      <c r="BM36201" s="1025"/>
      <c r="BO36201" s="43"/>
    </row>
    <row r="36202" spans="65:67" ht="18.75" customHeight="1">
      <c r="BM36202" s="1025"/>
      <c r="BO36202" s="43"/>
    </row>
    <row r="36203" spans="65:67" ht="18.75" customHeight="1">
      <c r="BM36203" s="1025"/>
      <c r="BO36203" s="43"/>
    </row>
    <row r="36204" spans="65:67" ht="18.75" customHeight="1">
      <c r="BM36204" s="1025"/>
      <c r="BO36204" s="43"/>
    </row>
    <row r="36205" spans="65:67" ht="18.75" customHeight="1">
      <c r="BM36205" s="1025"/>
      <c r="BO36205" s="43"/>
    </row>
    <row r="36206" spans="65:67" ht="18.75" customHeight="1">
      <c r="BM36206" s="1025"/>
      <c r="BO36206" s="43"/>
    </row>
    <row r="36207" spans="65:67" ht="18.75" customHeight="1">
      <c r="BM36207" s="1025"/>
      <c r="BO36207" s="43"/>
    </row>
    <row r="36208" spans="65:67" ht="18.75" customHeight="1">
      <c r="BM36208" s="1025"/>
      <c r="BO36208" s="43"/>
    </row>
    <row r="36209" spans="65:67" ht="18.75" customHeight="1">
      <c r="BM36209" s="1025"/>
      <c r="BO36209" s="43"/>
    </row>
    <row r="36210" spans="65:67" ht="18.75" customHeight="1">
      <c r="BM36210" s="1025"/>
      <c r="BO36210" s="43"/>
    </row>
    <row r="36211" spans="65:67" ht="18.75" customHeight="1">
      <c r="BM36211" s="1025"/>
      <c r="BO36211" s="43"/>
    </row>
    <row r="36212" spans="65:67" ht="18.75" customHeight="1">
      <c r="BM36212" s="1025"/>
      <c r="BO36212" s="43"/>
    </row>
    <row r="36213" spans="65:67" ht="18.75" customHeight="1">
      <c r="BM36213" s="1025"/>
      <c r="BO36213" s="43"/>
    </row>
    <row r="36214" spans="65:67" ht="18.75" customHeight="1">
      <c r="BM36214" s="1025"/>
      <c r="BO36214" s="43"/>
    </row>
    <row r="36215" spans="65:67" ht="18.75" customHeight="1">
      <c r="BM36215" s="1025"/>
      <c r="BO36215" s="43"/>
    </row>
    <row r="36216" spans="65:67" ht="18.75" customHeight="1">
      <c r="BM36216" s="1025"/>
      <c r="BO36216" s="43"/>
    </row>
    <row r="36217" spans="65:67" ht="18.75" customHeight="1">
      <c r="BM36217" s="1025"/>
      <c r="BO36217" s="43"/>
    </row>
    <row r="36218" spans="65:67" ht="18.75" customHeight="1">
      <c r="BM36218" s="1025"/>
      <c r="BO36218" s="43"/>
    </row>
    <row r="36219" spans="65:67" ht="18.75" customHeight="1">
      <c r="BM36219" s="1025"/>
      <c r="BO36219" s="43"/>
    </row>
    <row r="36220" spans="65:67" ht="18.75" customHeight="1">
      <c r="BM36220" s="1025"/>
      <c r="BO36220" s="43"/>
    </row>
    <row r="36221" spans="65:67" ht="18.75" customHeight="1">
      <c r="BM36221" s="1025"/>
      <c r="BO36221" s="43"/>
    </row>
    <row r="36222" spans="65:67" ht="18.75" customHeight="1">
      <c r="BM36222" s="1025"/>
      <c r="BO36222" s="43"/>
    </row>
    <row r="36223" spans="65:67" ht="18.75" customHeight="1">
      <c r="BM36223" s="1025"/>
      <c r="BO36223" s="43"/>
    </row>
    <row r="36224" spans="65:67" ht="18.75" customHeight="1">
      <c r="BM36224" s="1025"/>
      <c r="BO36224" s="43"/>
    </row>
    <row r="36225" spans="65:67" ht="18.75" customHeight="1">
      <c r="BM36225" s="1025"/>
      <c r="BO36225" s="43"/>
    </row>
    <row r="36226" spans="65:67" ht="18.75" customHeight="1">
      <c r="BM36226" s="1025"/>
      <c r="BO36226" s="43"/>
    </row>
    <row r="36227" spans="65:67" ht="18.75" customHeight="1">
      <c r="BM36227" s="1025"/>
      <c r="BO36227" s="43"/>
    </row>
    <row r="36228" spans="65:67" ht="18.75" customHeight="1">
      <c r="BM36228" s="1025"/>
      <c r="BO36228" s="43"/>
    </row>
    <row r="36229" spans="65:67" ht="18.75" customHeight="1">
      <c r="BM36229" s="1025"/>
      <c r="BO36229" s="43"/>
    </row>
    <row r="36230" spans="65:67" ht="18.75" customHeight="1">
      <c r="BM36230" s="1025"/>
      <c r="BO36230" s="43"/>
    </row>
    <row r="36231" spans="65:67" ht="18.75" customHeight="1">
      <c r="BM36231" s="1025"/>
      <c r="BO36231" s="43"/>
    </row>
    <row r="36232" spans="65:67" ht="18.75" customHeight="1">
      <c r="BM36232" s="1025"/>
      <c r="BO36232" s="43"/>
    </row>
    <row r="36233" spans="65:67" ht="18.75" customHeight="1">
      <c r="BM36233" s="1025"/>
      <c r="BO36233" s="43"/>
    </row>
    <row r="36234" spans="65:67" ht="18.75" customHeight="1">
      <c r="BM36234" s="1025"/>
      <c r="BO36234" s="43"/>
    </row>
    <row r="36235" spans="65:67" ht="18.75" customHeight="1">
      <c r="BM36235" s="1025"/>
      <c r="BO36235" s="43"/>
    </row>
    <row r="36236" spans="65:67" ht="18.75" customHeight="1">
      <c r="BM36236" s="1025"/>
      <c r="BO36236" s="43"/>
    </row>
    <row r="36237" spans="65:67" ht="18.75" customHeight="1">
      <c r="BM36237" s="1025"/>
      <c r="BO36237" s="43"/>
    </row>
    <row r="36238" spans="65:67" ht="18.75" customHeight="1">
      <c r="BM36238" s="1025"/>
      <c r="BO36238" s="43"/>
    </row>
    <row r="36239" spans="65:67" ht="18.75" customHeight="1">
      <c r="BM36239" s="1025"/>
      <c r="BO36239" s="43"/>
    </row>
    <row r="36240" spans="65:67" ht="18.75" customHeight="1">
      <c r="BM36240" s="1025"/>
      <c r="BO36240" s="43"/>
    </row>
    <row r="36241" spans="65:67" ht="18.75" customHeight="1">
      <c r="BM36241" s="1025"/>
      <c r="BO36241" s="43"/>
    </row>
    <row r="36242" spans="65:67" ht="18.75" customHeight="1">
      <c r="BM36242" s="1025"/>
      <c r="BO36242" s="43"/>
    </row>
    <row r="36243" spans="65:67" ht="18.75" customHeight="1">
      <c r="BM36243" s="1025"/>
      <c r="BO36243" s="43"/>
    </row>
    <row r="36244" spans="65:67" ht="18.75" customHeight="1">
      <c r="BM36244" s="1025"/>
      <c r="BO36244" s="43"/>
    </row>
    <row r="36245" spans="65:67" ht="18.75" customHeight="1">
      <c r="BM36245" s="1025"/>
      <c r="BO36245" s="43"/>
    </row>
    <row r="36246" spans="65:67" ht="18.75" customHeight="1">
      <c r="BM36246" s="1025"/>
      <c r="BO36246" s="43"/>
    </row>
    <row r="36247" spans="65:67" ht="18.75" customHeight="1">
      <c r="BM36247" s="1025"/>
      <c r="BO36247" s="43"/>
    </row>
    <row r="36248" spans="65:67" ht="18.75" customHeight="1">
      <c r="BM36248" s="1025"/>
      <c r="BO36248" s="43"/>
    </row>
    <row r="36249" spans="65:67" ht="18.75" customHeight="1">
      <c r="BM36249" s="1025"/>
      <c r="BO36249" s="43"/>
    </row>
    <row r="36250" spans="65:67" ht="18.75" customHeight="1">
      <c r="BM36250" s="1025"/>
      <c r="BO36250" s="43"/>
    </row>
    <row r="36251" spans="65:67" ht="18.75" customHeight="1">
      <c r="BM36251" s="1025"/>
      <c r="BO36251" s="43"/>
    </row>
    <row r="36252" spans="65:67" ht="18.75" customHeight="1">
      <c r="BM36252" s="1025"/>
      <c r="BO36252" s="43"/>
    </row>
    <row r="36253" spans="65:67" ht="18.75" customHeight="1">
      <c r="BM36253" s="1025"/>
      <c r="BO36253" s="43"/>
    </row>
    <row r="36254" spans="65:67" ht="18.75" customHeight="1">
      <c r="BM36254" s="1025"/>
      <c r="BO36254" s="43"/>
    </row>
    <row r="36255" spans="65:67" ht="18.75" customHeight="1">
      <c r="BM36255" s="1025"/>
      <c r="BO36255" s="43"/>
    </row>
    <row r="36256" spans="65:67" ht="18.75" customHeight="1">
      <c r="BM36256" s="1025"/>
      <c r="BO36256" s="43"/>
    </row>
    <row r="36257" spans="65:67" ht="18.75" customHeight="1">
      <c r="BM36257" s="1025"/>
      <c r="BO36257" s="43"/>
    </row>
    <row r="36258" spans="65:67" ht="18.75" customHeight="1">
      <c r="BM36258" s="1025"/>
      <c r="BO36258" s="43"/>
    </row>
    <row r="36259" spans="65:67" ht="18.75" customHeight="1">
      <c r="BM36259" s="1025"/>
      <c r="BO36259" s="43"/>
    </row>
    <row r="36260" spans="65:67" ht="18.75" customHeight="1">
      <c r="BM36260" s="1025"/>
      <c r="BO36260" s="43"/>
    </row>
    <row r="36261" spans="65:67" ht="18.75" customHeight="1">
      <c r="BM36261" s="1025"/>
      <c r="BO36261" s="43"/>
    </row>
    <row r="36262" spans="65:67" ht="18.75" customHeight="1">
      <c r="BM36262" s="1025"/>
      <c r="BO36262" s="43"/>
    </row>
    <row r="36263" spans="65:67" ht="18.75" customHeight="1">
      <c r="BM36263" s="1025"/>
      <c r="BO36263" s="43"/>
    </row>
    <row r="36264" spans="65:67" ht="18.75" customHeight="1">
      <c r="BM36264" s="1025"/>
      <c r="BO36264" s="43"/>
    </row>
    <row r="36265" spans="65:67" ht="18.75" customHeight="1">
      <c r="BM36265" s="1025"/>
      <c r="BO36265" s="43"/>
    </row>
    <row r="36266" spans="65:67" ht="18.75" customHeight="1">
      <c r="BM36266" s="1025"/>
      <c r="BO36266" s="43"/>
    </row>
    <row r="36267" spans="65:67" ht="18.75" customHeight="1">
      <c r="BM36267" s="1025"/>
      <c r="BO36267" s="43"/>
    </row>
    <row r="36268" spans="65:67" ht="18.75" customHeight="1">
      <c r="BM36268" s="1025"/>
      <c r="BO36268" s="43"/>
    </row>
    <row r="36269" spans="65:67" ht="18.75" customHeight="1">
      <c r="BM36269" s="1025"/>
      <c r="BO36269" s="43"/>
    </row>
    <row r="36270" spans="65:67" ht="18.75" customHeight="1">
      <c r="BM36270" s="1025"/>
      <c r="BO36270" s="43"/>
    </row>
    <row r="36271" spans="65:67" ht="18.75" customHeight="1">
      <c r="BM36271" s="1025"/>
      <c r="BO36271" s="43"/>
    </row>
    <row r="36272" spans="65:67" ht="18.75" customHeight="1">
      <c r="BM36272" s="1025"/>
      <c r="BO36272" s="43"/>
    </row>
    <row r="36273" spans="65:67" ht="18.75" customHeight="1">
      <c r="BM36273" s="1025"/>
      <c r="BO36273" s="43"/>
    </row>
    <row r="36274" spans="65:67" ht="18.75" customHeight="1">
      <c r="BM36274" s="1025"/>
      <c r="BO36274" s="43"/>
    </row>
    <row r="36275" spans="65:67" ht="18.75" customHeight="1">
      <c r="BM36275" s="1025"/>
      <c r="BO36275" s="43"/>
    </row>
    <row r="36276" spans="65:67" ht="18.75" customHeight="1">
      <c r="BM36276" s="1025"/>
      <c r="BO36276" s="43"/>
    </row>
    <row r="36277" spans="65:67" ht="18.75" customHeight="1">
      <c r="BM36277" s="1025"/>
      <c r="BO36277" s="43"/>
    </row>
    <row r="36278" spans="65:67" ht="18.75" customHeight="1">
      <c r="BM36278" s="1025"/>
      <c r="BO36278" s="43"/>
    </row>
    <row r="36279" spans="65:67" ht="18.75" customHeight="1">
      <c r="BM36279" s="1025"/>
      <c r="BO36279" s="43"/>
    </row>
    <row r="36280" spans="65:67" ht="18.75" customHeight="1">
      <c r="BM36280" s="1025"/>
      <c r="BO36280" s="43"/>
    </row>
    <row r="36281" spans="65:67" ht="18.75" customHeight="1">
      <c r="BM36281" s="1025"/>
      <c r="BO36281" s="43"/>
    </row>
    <row r="36282" spans="65:67" ht="18.75" customHeight="1">
      <c r="BM36282" s="1025"/>
      <c r="BO36282" s="43"/>
    </row>
    <row r="36283" spans="65:67" ht="18.75" customHeight="1">
      <c r="BM36283" s="1025"/>
      <c r="BO36283" s="43"/>
    </row>
    <row r="36284" spans="65:67" ht="18.75" customHeight="1">
      <c r="BM36284" s="1025"/>
      <c r="BO36284" s="43"/>
    </row>
    <row r="36285" spans="65:67" ht="18.75" customHeight="1">
      <c r="BM36285" s="1025"/>
      <c r="BO36285" s="43"/>
    </row>
    <row r="36286" spans="65:67" ht="18.75" customHeight="1">
      <c r="BM36286" s="1025"/>
      <c r="BO36286" s="43"/>
    </row>
    <row r="36287" spans="65:67" ht="18.75" customHeight="1">
      <c r="BM36287" s="1025"/>
      <c r="BO36287" s="43"/>
    </row>
    <row r="36288" spans="65:67" ht="18.75" customHeight="1">
      <c r="BM36288" s="1025"/>
      <c r="BO36288" s="43"/>
    </row>
    <row r="36289" spans="65:67" ht="18.75" customHeight="1">
      <c r="BM36289" s="1025"/>
      <c r="BO36289" s="43"/>
    </row>
    <row r="36290" spans="65:67" ht="18.75" customHeight="1">
      <c r="BM36290" s="1025"/>
      <c r="BO36290" s="43"/>
    </row>
    <row r="36291" spans="65:67" ht="18.75" customHeight="1">
      <c r="BM36291" s="1025"/>
      <c r="BO36291" s="43"/>
    </row>
    <row r="36292" spans="65:67" ht="18.75" customHeight="1">
      <c r="BM36292" s="1025"/>
      <c r="BO36292" s="43"/>
    </row>
    <row r="36293" spans="65:67" ht="18.75" customHeight="1">
      <c r="BM36293" s="1025"/>
      <c r="BO36293" s="43"/>
    </row>
    <row r="36294" spans="65:67" ht="18.75" customHeight="1">
      <c r="BM36294" s="1025"/>
      <c r="BO36294" s="43"/>
    </row>
    <row r="36295" spans="65:67" ht="18.75" customHeight="1">
      <c r="BM36295" s="1025"/>
      <c r="BO36295" s="43"/>
    </row>
    <row r="36296" spans="65:67" ht="18.75" customHeight="1">
      <c r="BM36296" s="1025"/>
      <c r="BO36296" s="43"/>
    </row>
    <row r="36297" spans="65:67" ht="18.75" customHeight="1">
      <c r="BM36297" s="1025"/>
      <c r="BO36297" s="43"/>
    </row>
    <row r="36298" spans="65:67" ht="18.75" customHeight="1">
      <c r="BM36298" s="1025"/>
      <c r="BO36298" s="43"/>
    </row>
    <row r="36299" spans="65:67" ht="18.75" customHeight="1">
      <c r="BM36299" s="1025"/>
      <c r="BO36299" s="43"/>
    </row>
    <row r="36300" spans="65:67" ht="18.75" customHeight="1">
      <c r="BM36300" s="1025"/>
      <c r="BO36300" s="43"/>
    </row>
    <row r="36301" spans="65:67" ht="18.75" customHeight="1">
      <c r="BM36301" s="1025"/>
      <c r="BO36301" s="43"/>
    </row>
    <row r="36302" spans="65:67" ht="18.75" customHeight="1">
      <c r="BM36302" s="1025"/>
      <c r="BO36302" s="43"/>
    </row>
    <row r="36303" spans="65:67" ht="18.75" customHeight="1">
      <c r="BM36303" s="1025"/>
      <c r="BO36303" s="43"/>
    </row>
    <row r="36304" spans="65:67" ht="18.75" customHeight="1">
      <c r="BM36304" s="1025"/>
      <c r="BO36304" s="43"/>
    </row>
    <row r="36305" spans="65:67" ht="18.75" customHeight="1">
      <c r="BM36305" s="1025"/>
      <c r="BO36305" s="43"/>
    </row>
    <row r="36306" spans="65:67" ht="18.75" customHeight="1">
      <c r="BM36306" s="1025"/>
      <c r="BO36306" s="43"/>
    </row>
    <row r="36307" spans="65:67" ht="18.75" customHeight="1">
      <c r="BM36307" s="1025"/>
      <c r="BO36307" s="43"/>
    </row>
    <row r="36308" spans="65:67" ht="18.75" customHeight="1">
      <c r="BM36308" s="1025"/>
      <c r="BO36308" s="43"/>
    </row>
    <row r="36309" spans="65:67" ht="18.75" customHeight="1">
      <c r="BM36309" s="1025"/>
      <c r="BO36309" s="43"/>
    </row>
    <row r="36310" spans="65:67" ht="18.75" customHeight="1">
      <c r="BM36310" s="1025"/>
      <c r="BO36310" s="43"/>
    </row>
    <row r="36311" spans="65:67" ht="18.75" customHeight="1">
      <c r="BM36311" s="1025"/>
      <c r="BO36311" s="43"/>
    </row>
    <row r="36312" spans="65:67" ht="18.75" customHeight="1">
      <c r="BM36312" s="1025"/>
      <c r="BO36312" s="43"/>
    </row>
    <row r="36313" spans="65:67" ht="18.75" customHeight="1">
      <c r="BM36313" s="1025"/>
      <c r="BO36313" s="43"/>
    </row>
    <row r="36314" spans="65:67" ht="18.75" customHeight="1">
      <c r="BM36314" s="1025"/>
      <c r="BO36314" s="43"/>
    </row>
    <row r="36315" spans="65:67" ht="18.75" customHeight="1">
      <c r="BM36315" s="1025"/>
      <c r="BO36315" s="43"/>
    </row>
    <row r="36316" spans="65:67" ht="18.75" customHeight="1">
      <c r="BM36316" s="1025"/>
      <c r="BO36316" s="43"/>
    </row>
    <row r="36317" spans="65:67" ht="18.75" customHeight="1">
      <c r="BM36317" s="1025"/>
      <c r="BO36317" s="43"/>
    </row>
    <row r="36318" spans="65:67" ht="18.75" customHeight="1">
      <c r="BM36318" s="1025"/>
      <c r="BO36318" s="43"/>
    </row>
    <row r="36319" spans="65:67" ht="18.75" customHeight="1">
      <c r="BM36319" s="1025"/>
      <c r="BO36319" s="43"/>
    </row>
    <row r="36320" spans="65:67" ht="18.75" customHeight="1">
      <c r="BM36320" s="1025"/>
      <c r="BO36320" s="43"/>
    </row>
    <row r="36321" spans="65:67" ht="18.75" customHeight="1">
      <c r="BM36321" s="1025"/>
      <c r="BO36321" s="43"/>
    </row>
    <row r="36322" spans="65:67" ht="18.75" customHeight="1">
      <c r="BM36322" s="1025"/>
      <c r="BO36322" s="43"/>
    </row>
    <row r="36323" spans="65:67" ht="18.75" customHeight="1">
      <c r="BM36323" s="1025"/>
      <c r="BO36323" s="43"/>
    </row>
    <row r="36324" spans="65:67" ht="18.75" customHeight="1">
      <c r="BM36324" s="1025"/>
      <c r="BO36324" s="43"/>
    </row>
    <row r="36325" spans="65:67" ht="18.75" customHeight="1">
      <c r="BM36325" s="1025"/>
      <c r="BO36325" s="43"/>
    </row>
    <row r="36326" spans="65:67" ht="18.75" customHeight="1">
      <c r="BM36326" s="1025"/>
      <c r="BO36326" s="43"/>
    </row>
    <row r="36327" spans="65:67" ht="18.75" customHeight="1">
      <c r="BM36327" s="1025"/>
      <c r="BO36327" s="43"/>
    </row>
    <row r="36328" spans="65:67" ht="18.75" customHeight="1">
      <c r="BM36328" s="1025"/>
      <c r="BO36328" s="43"/>
    </row>
    <row r="36329" spans="65:67" ht="18.75" customHeight="1">
      <c r="BM36329" s="1025"/>
      <c r="BO36329" s="43"/>
    </row>
    <row r="36330" spans="65:67" ht="18.75" customHeight="1">
      <c r="BM36330" s="1025"/>
      <c r="BO36330" s="43"/>
    </row>
    <row r="36331" spans="65:67" ht="18.75" customHeight="1">
      <c r="BM36331" s="1025"/>
      <c r="BO36331" s="43"/>
    </row>
    <row r="36332" spans="65:67" ht="18.75" customHeight="1">
      <c r="BM36332" s="1025"/>
      <c r="BO36332" s="43"/>
    </row>
    <row r="36333" spans="65:67" ht="18.75" customHeight="1">
      <c r="BM36333" s="1025"/>
      <c r="BO36333" s="43"/>
    </row>
    <row r="36334" spans="65:67" ht="18.75" customHeight="1">
      <c r="BM36334" s="1025"/>
      <c r="BO36334" s="43"/>
    </row>
    <row r="36335" spans="65:67" ht="18.75" customHeight="1">
      <c r="BM36335" s="1025"/>
      <c r="BO36335" s="43"/>
    </row>
    <row r="36336" spans="65:67" ht="18.75" customHeight="1">
      <c r="BM36336" s="1025"/>
      <c r="BO36336" s="43"/>
    </row>
    <row r="36337" spans="65:67" ht="18.75" customHeight="1">
      <c r="BM36337" s="1025"/>
      <c r="BO36337" s="43"/>
    </row>
    <row r="36338" spans="65:67" ht="18.75" customHeight="1">
      <c r="BM36338" s="1025"/>
      <c r="BO36338" s="43"/>
    </row>
    <row r="36339" spans="65:67" ht="18.75" customHeight="1">
      <c r="BM36339" s="1025"/>
      <c r="BO36339" s="43"/>
    </row>
    <row r="36340" spans="65:67" ht="18.75" customHeight="1">
      <c r="BM36340" s="1025"/>
      <c r="BO36340" s="43"/>
    </row>
    <row r="36341" spans="65:67" ht="18.75" customHeight="1">
      <c r="BM36341" s="1025"/>
      <c r="BO36341" s="43"/>
    </row>
    <row r="36342" spans="65:67" ht="18.75" customHeight="1">
      <c r="BM36342" s="1025"/>
      <c r="BO36342" s="43"/>
    </row>
    <row r="36343" spans="65:67" ht="18.75" customHeight="1">
      <c r="BM36343" s="1025"/>
      <c r="BO36343" s="43"/>
    </row>
    <row r="36344" spans="65:67" ht="18.75" customHeight="1">
      <c r="BM36344" s="1025"/>
      <c r="BO36344" s="43"/>
    </row>
    <row r="36345" spans="65:67" ht="18.75" customHeight="1">
      <c r="BM36345" s="1025"/>
      <c r="BO36345" s="43"/>
    </row>
    <row r="36346" spans="65:67" ht="18.75" customHeight="1">
      <c r="BM36346" s="1025"/>
      <c r="BO36346" s="43"/>
    </row>
    <row r="36347" spans="65:67" ht="18.75" customHeight="1">
      <c r="BM36347" s="1025"/>
      <c r="BO36347" s="43"/>
    </row>
    <row r="36348" spans="65:67" ht="18.75" customHeight="1">
      <c r="BM36348" s="1025"/>
      <c r="BO36348" s="43"/>
    </row>
    <row r="36349" spans="65:67" ht="18.75" customHeight="1">
      <c r="BM36349" s="1025"/>
      <c r="BO36349" s="43"/>
    </row>
    <row r="36350" spans="65:67" ht="18.75" customHeight="1">
      <c r="BM36350" s="1025"/>
      <c r="BO36350" s="43"/>
    </row>
    <row r="36351" spans="65:67" ht="18.75" customHeight="1">
      <c r="BM36351" s="1025"/>
      <c r="BO36351" s="43"/>
    </row>
    <row r="36352" spans="65:67" ht="18.75" customHeight="1">
      <c r="BM36352" s="1025"/>
      <c r="BO36352" s="43"/>
    </row>
    <row r="36353" spans="65:67" ht="18.75" customHeight="1">
      <c r="BM36353" s="1025"/>
      <c r="BO36353" s="43"/>
    </row>
    <row r="36354" spans="65:67" ht="18.75" customHeight="1">
      <c r="BM36354" s="1025"/>
      <c r="BO36354" s="43"/>
    </row>
    <row r="36355" spans="65:67" ht="18.75" customHeight="1">
      <c r="BM36355" s="1025"/>
      <c r="BO36355" s="43"/>
    </row>
    <row r="36356" spans="65:67" ht="18.75" customHeight="1">
      <c r="BM36356" s="1025"/>
      <c r="BO36356" s="43"/>
    </row>
    <row r="36357" spans="65:67" ht="18.75" customHeight="1">
      <c r="BM36357" s="1025"/>
      <c r="BO36357" s="43"/>
    </row>
    <row r="36358" spans="65:67" ht="18.75" customHeight="1">
      <c r="BM36358" s="1025"/>
      <c r="BO36358" s="43"/>
    </row>
    <row r="36359" spans="65:67" ht="18.75" customHeight="1">
      <c r="BM36359" s="1025"/>
      <c r="BO36359" s="43"/>
    </row>
    <row r="36360" spans="65:67" ht="18.75" customHeight="1">
      <c r="BM36360" s="1025"/>
      <c r="BO36360" s="43"/>
    </row>
    <row r="36361" spans="65:67" ht="18.75" customHeight="1">
      <c r="BM36361" s="1025"/>
      <c r="BO36361" s="43"/>
    </row>
    <row r="36362" spans="65:67" ht="18.75" customHeight="1">
      <c r="BM36362" s="1025"/>
      <c r="BO36362" s="43"/>
    </row>
    <row r="36363" spans="65:67" ht="18.75" customHeight="1">
      <c r="BM36363" s="1025"/>
      <c r="BO36363" s="43"/>
    </row>
    <row r="36364" spans="65:67" ht="18.75" customHeight="1">
      <c r="BM36364" s="1025"/>
      <c r="BO36364" s="43"/>
    </row>
    <row r="36365" spans="65:67" ht="18.75" customHeight="1">
      <c r="BM36365" s="1025"/>
      <c r="BO36365" s="43"/>
    </row>
    <row r="36366" spans="65:67" ht="18.75" customHeight="1">
      <c r="BM36366" s="1025"/>
      <c r="BO36366" s="43"/>
    </row>
    <row r="36367" spans="65:67" ht="18.75" customHeight="1">
      <c r="BM36367" s="1025"/>
      <c r="BO36367" s="43"/>
    </row>
    <row r="36368" spans="65:67" ht="18.75" customHeight="1">
      <c r="BM36368" s="1025"/>
      <c r="BO36368" s="43"/>
    </row>
    <row r="36369" spans="65:67" ht="18.75" customHeight="1">
      <c r="BM36369" s="1025"/>
      <c r="BO36369" s="43"/>
    </row>
    <row r="36370" spans="65:67" ht="18.75" customHeight="1">
      <c r="BM36370" s="1025"/>
      <c r="BO36370" s="43"/>
    </row>
    <row r="36371" spans="65:67" ht="18.75" customHeight="1">
      <c r="BM36371" s="1025"/>
      <c r="BO36371" s="43"/>
    </row>
    <row r="36372" spans="65:67" ht="18.75" customHeight="1">
      <c r="BM36372" s="1025"/>
      <c r="BO36372" s="43"/>
    </row>
    <row r="36373" spans="65:67" ht="18.75" customHeight="1">
      <c r="BM36373" s="1025"/>
      <c r="BO36373" s="43"/>
    </row>
    <row r="36374" spans="65:67" ht="18.75" customHeight="1">
      <c r="BM36374" s="1025"/>
      <c r="BO36374" s="43"/>
    </row>
    <row r="36375" spans="65:67" ht="18.75" customHeight="1">
      <c r="BM36375" s="1025"/>
      <c r="BO36375" s="43"/>
    </row>
    <row r="36376" spans="65:67" ht="18.75" customHeight="1">
      <c r="BM36376" s="1025"/>
      <c r="BO36376" s="43"/>
    </row>
    <row r="36377" spans="65:67" ht="18.75" customHeight="1">
      <c r="BM36377" s="1025"/>
      <c r="BO36377" s="43"/>
    </row>
    <row r="36378" spans="65:67" ht="18.75" customHeight="1">
      <c r="BM36378" s="1025"/>
      <c r="BO36378" s="43"/>
    </row>
    <row r="36379" spans="65:67" ht="18.75" customHeight="1">
      <c r="BM36379" s="1025"/>
      <c r="BO36379" s="43"/>
    </row>
    <row r="36380" spans="65:67" ht="18.75" customHeight="1">
      <c r="BM36380" s="1025"/>
      <c r="BO36380" s="43"/>
    </row>
    <row r="36381" spans="65:67" ht="18.75" customHeight="1">
      <c r="BM36381" s="1025"/>
      <c r="BO36381" s="43"/>
    </row>
    <row r="36382" spans="65:67" ht="18.75" customHeight="1">
      <c r="BM36382" s="1025"/>
      <c r="BO36382" s="43"/>
    </row>
    <row r="36383" spans="65:67" ht="18.75" customHeight="1">
      <c r="BM36383" s="1025"/>
      <c r="BO36383" s="43"/>
    </row>
    <row r="36384" spans="65:67" ht="18.75" customHeight="1">
      <c r="BM36384" s="1025"/>
      <c r="BO36384" s="43"/>
    </row>
    <row r="36385" spans="65:67" ht="18.75" customHeight="1">
      <c r="BM36385" s="1025"/>
      <c r="BO36385" s="43"/>
    </row>
    <row r="36386" spans="65:67" ht="18.75" customHeight="1">
      <c r="BM36386" s="1025"/>
      <c r="BO36386" s="43"/>
    </row>
    <row r="36387" spans="65:67" ht="18.75" customHeight="1">
      <c r="BM36387" s="1025"/>
      <c r="BO36387" s="43"/>
    </row>
    <row r="36388" spans="65:67" ht="18.75" customHeight="1">
      <c r="BM36388" s="1025"/>
      <c r="BO36388" s="43"/>
    </row>
    <row r="36389" spans="65:67" ht="18.75" customHeight="1">
      <c r="BM36389" s="1025"/>
      <c r="BO36389" s="43"/>
    </row>
    <row r="36390" spans="65:67" ht="18.75" customHeight="1">
      <c r="BM36390" s="1025"/>
      <c r="BO36390" s="43"/>
    </row>
    <row r="36391" spans="65:67" ht="18.75" customHeight="1">
      <c r="BM36391" s="1025"/>
      <c r="BO36391" s="43"/>
    </row>
    <row r="36392" spans="65:67" ht="18.75" customHeight="1">
      <c r="BM36392" s="1025"/>
      <c r="BO36392" s="43"/>
    </row>
    <row r="36393" spans="65:67" ht="18.75" customHeight="1">
      <c r="BM36393" s="1025"/>
      <c r="BO36393" s="43"/>
    </row>
    <row r="36394" spans="65:67" ht="18.75" customHeight="1">
      <c r="BM36394" s="1025"/>
      <c r="BO36394" s="43"/>
    </row>
    <row r="36395" spans="65:67" ht="18.75" customHeight="1">
      <c r="BM36395" s="1025"/>
      <c r="BO36395" s="43"/>
    </row>
    <row r="36396" spans="65:67" ht="18.75" customHeight="1">
      <c r="BM36396" s="1025"/>
      <c r="BO36396" s="43"/>
    </row>
    <row r="36397" spans="65:67" ht="18.75" customHeight="1">
      <c r="BM36397" s="1025"/>
      <c r="BO36397" s="43"/>
    </row>
    <row r="36398" spans="65:67" ht="18.75" customHeight="1">
      <c r="BM36398" s="1025"/>
      <c r="BO36398" s="43"/>
    </row>
    <row r="36399" spans="65:67" ht="18.75" customHeight="1">
      <c r="BM36399" s="1025"/>
      <c r="BO36399" s="43"/>
    </row>
    <row r="36400" spans="65:67" ht="18.75" customHeight="1">
      <c r="BM36400" s="1025"/>
      <c r="BO36400" s="43"/>
    </row>
    <row r="36401" spans="65:67" ht="18.75" customHeight="1">
      <c r="BM36401" s="1025"/>
      <c r="BO36401" s="43"/>
    </row>
    <row r="36402" spans="65:67" ht="18.75" customHeight="1">
      <c r="BM36402" s="1025"/>
      <c r="BO36402" s="43"/>
    </row>
    <row r="36403" spans="65:67" ht="18.75" customHeight="1">
      <c r="BM36403" s="1025"/>
      <c r="BO36403" s="43"/>
    </row>
    <row r="36404" spans="65:67" ht="18.75" customHeight="1">
      <c r="BM36404" s="1025"/>
      <c r="BO36404" s="43"/>
    </row>
    <row r="36405" spans="65:67" ht="18.75" customHeight="1">
      <c r="BM36405" s="1025"/>
      <c r="BO36405" s="43"/>
    </row>
    <row r="36406" spans="65:67" ht="18.75" customHeight="1">
      <c r="BM36406" s="1025"/>
      <c r="BO36406" s="43"/>
    </row>
    <row r="36407" spans="65:67" ht="18.75" customHeight="1">
      <c r="BM36407" s="1025"/>
      <c r="BO36407" s="43"/>
    </row>
    <row r="36408" spans="65:67" ht="18.75" customHeight="1">
      <c r="BM36408" s="1025"/>
      <c r="BO36408" s="43"/>
    </row>
    <row r="36409" spans="65:67" ht="18.75" customHeight="1">
      <c r="BM36409" s="1025"/>
      <c r="BO36409" s="43"/>
    </row>
    <row r="36410" spans="65:67" ht="18.75" customHeight="1">
      <c r="BM36410" s="1025"/>
      <c r="BO36410" s="43"/>
    </row>
    <row r="36411" spans="65:67" ht="18.75" customHeight="1">
      <c r="BM36411" s="1025"/>
      <c r="BO36411" s="43"/>
    </row>
    <row r="36412" spans="65:67" ht="18.75" customHeight="1">
      <c r="BM36412" s="1025"/>
      <c r="BO36412" s="43"/>
    </row>
    <row r="36413" spans="65:67" ht="18.75" customHeight="1">
      <c r="BM36413" s="1025"/>
      <c r="BO36413" s="43"/>
    </row>
    <row r="36414" spans="65:67" ht="18.75" customHeight="1">
      <c r="BM36414" s="1025"/>
      <c r="BO36414" s="43"/>
    </row>
    <row r="36415" spans="65:67" ht="18.75" customHeight="1">
      <c r="BM36415" s="1025"/>
      <c r="BO36415" s="43"/>
    </row>
    <row r="36416" spans="65:67" ht="18.75" customHeight="1">
      <c r="BM36416" s="1025"/>
      <c r="BO36416" s="43"/>
    </row>
    <row r="36417" spans="65:67" ht="18.75" customHeight="1">
      <c r="BM36417" s="1025"/>
      <c r="BO36417" s="43"/>
    </row>
    <row r="36418" spans="65:67" ht="18.75" customHeight="1">
      <c r="BM36418" s="1025"/>
      <c r="BO36418" s="43"/>
    </row>
    <row r="36419" spans="65:67" ht="18.75" customHeight="1">
      <c r="BM36419" s="1025"/>
      <c r="BO36419" s="43"/>
    </row>
    <row r="36420" spans="65:67" ht="18.75" customHeight="1">
      <c r="BM36420" s="1025"/>
      <c r="BO36420" s="43"/>
    </row>
    <row r="36421" spans="65:67" ht="18.75" customHeight="1">
      <c r="BM36421" s="1025"/>
      <c r="BO36421" s="43"/>
    </row>
    <row r="36422" spans="65:67" ht="18.75" customHeight="1">
      <c r="BM36422" s="1025"/>
      <c r="BO36422" s="43"/>
    </row>
    <row r="36423" spans="65:67" ht="18.75" customHeight="1">
      <c r="BM36423" s="1025"/>
      <c r="BO36423" s="43"/>
    </row>
    <row r="36424" spans="65:67" ht="18.75" customHeight="1">
      <c r="BM36424" s="1025"/>
      <c r="BO36424" s="43"/>
    </row>
    <row r="36425" spans="65:67" ht="18.75" customHeight="1">
      <c r="BM36425" s="1025"/>
      <c r="BO36425" s="43"/>
    </row>
    <row r="36426" spans="65:67" ht="18.75" customHeight="1">
      <c r="BM36426" s="1025"/>
      <c r="BO36426" s="43"/>
    </row>
    <row r="36427" spans="65:67" ht="18.75" customHeight="1">
      <c r="BM36427" s="1025"/>
      <c r="BO36427" s="43"/>
    </row>
    <row r="36428" spans="65:67" ht="18.75" customHeight="1">
      <c r="BM36428" s="1025"/>
      <c r="BO36428" s="43"/>
    </row>
    <row r="36429" spans="65:67" ht="18.75" customHeight="1">
      <c r="BM36429" s="1025"/>
      <c r="BO36429" s="43"/>
    </row>
    <row r="36430" spans="65:67" ht="18.75" customHeight="1">
      <c r="BM36430" s="1025"/>
      <c r="BO36430" s="43"/>
    </row>
    <row r="36431" spans="65:67" ht="18.75" customHeight="1">
      <c r="BM36431" s="1025"/>
      <c r="BO36431" s="43"/>
    </row>
    <row r="36432" spans="65:67" ht="18.75" customHeight="1">
      <c r="BM36432" s="1025"/>
      <c r="BO36432" s="43"/>
    </row>
    <row r="36433" spans="65:67" ht="18.75" customHeight="1">
      <c r="BM36433" s="1025"/>
      <c r="BO36433" s="43"/>
    </row>
    <row r="36434" spans="65:67" ht="18.75" customHeight="1">
      <c r="BM36434" s="1025"/>
      <c r="BO36434" s="43"/>
    </row>
    <row r="36435" spans="65:67" ht="18.75" customHeight="1">
      <c r="BM36435" s="1025"/>
      <c r="BO36435" s="43"/>
    </row>
    <row r="36436" spans="65:67" ht="18.75" customHeight="1">
      <c r="BM36436" s="1025"/>
      <c r="BO36436" s="43"/>
    </row>
    <row r="36437" spans="65:67" ht="18.75" customHeight="1">
      <c r="BM36437" s="1025"/>
      <c r="BO36437" s="43"/>
    </row>
    <row r="36438" spans="65:67" ht="18.75" customHeight="1">
      <c r="BM36438" s="1025"/>
      <c r="BO36438" s="43"/>
    </row>
    <row r="36439" spans="65:67" ht="18.75" customHeight="1">
      <c r="BM36439" s="1025"/>
      <c r="BO36439" s="43"/>
    </row>
    <row r="36440" spans="65:67" ht="18.75" customHeight="1">
      <c r="BM36440" s="1025"/>
      <c r="BO36440" s="43"/>
    </row>
    <row r="36441" spans="65:67" ht="18.75" customHeight="1">
      <c r="BM36441" s="1025"/>
      <c r="BO36441" s="43"/>
    </row>
    <row r="36442" spans="65:67" ht="18.75" customHeight="1">
      <c r="BM36442" s="1025"/>
      <c r="BO36442" s="43"/>
    </row>
    <row r="36443" spans="65:67" ht="18.75" customHeight="1">
      <c r="BM36443" s="1025"/>
      <c r="BO36443" s="43"/>
    </row>
    <row r="36444" spans="65:67" ht="18.75" customHeight="1">
      <c r="BM36444" s="1025"/>
      <c r="BO36444" s="43"/>
    </row>
    <row r="36445" spans="65:67" ht="18.75" customHeight="1">
      <c r="BM36445" s="1025"/>
      <c r="BO36445" s="43"/>
    </row>
    <row r="36446" spans="65:67" ht="18.75" customHeight="1">
      <c r="BM36446" s="1025"/>
      <c r="BO36446" s="43"/>
    </row>
    <row r="36447" spans="65:67" ht="18.75" customHeight="1">
      <c r="BM36447" s="1025"/>
      <c r="BO36447" s="43"/>
    </row>
    <row r="36448" spans="65:67" ht="18.75" customHeight="1">
      <c r="BM36448" s="1025"/>
      <c r="BO36448" s="43"/>
    </row>
    <row r="36449" spans="65:67" ht="18.75" customHeight="1">
      <c r="BM36449" s="1025"/>
      <c r="BO36449" s="43"/>
    </row>
    <row r="36450" spans="65:67" ht="18.75" customHeight="1">
      <c r="BM36450" s="1025"/>
      <c r="BO36450" s="43"/>
    </row>
    <row r="36451" spans="65:67" ht="18.75" customHeight="1">
      <c r="BM36451" s="1025"/>
      <c r="BO36451" s="43"/>
    </row>
    <row r="36452" spans="65:67" ht="18.75" customHeight="1">
      <c r="BM36452" s="1025"/>
      <c r="BO36452" s="43"/>
    </row>
    <row r="36453" spans="65:67" ht="18.75" customHeight="1">
      <c r="BM36453" s="1025"/>
      <c r="BO36453" s="43"/>
    </row>
    <row r="36454" spans="65:67" ht="18.75" customHeight="1">
      <c r="BM36454" s="1025"/>
      <c r="BO36454" s="43"/>
    </row>
    <row r="36455" spans="65:67" ht="18.75" customHeight="1">
      <c r="BM36455" s="1025"/>
      <c r="BO36455" s="43"/>
    </row>
    <row r="36456" spans="65:67" ht="18.75" customHeight="1">
      <c r="BM36456" s="1025"/>
      <c r="BO36456" s="43"/>
    </row>
    <row r="36457" spans="65:67" ht="18.75" customHeight="1">
      <c r="BM36457" s="1025"/>
      <c r="BO36457" s="43"/>
    </row>
    <row r="36458" spans="65:67" ht="18.75" customHeight="1">
      <c r="BM36458" s="1025"/>
      <c r="BO36458" s="43"/>
    </row>
    <row r="36459" spans="65:67" ht="18.75" customHeight="1">
      <c r="BM36459" s="1025"/>
      <c r="BO36459" s="43"/>
    </row>
    <row r="36460" spans="65:67" ht="18.75" customHeight="1">
      <c r="BM36460" s="1025"/>
      <c r="BO36460" s="43"/>
    </row>
    <row r="36461" spans="65:67" ht="18.75" customHeight="1">
      <c r="BM36461" s="1025"/>
      <c r="BO36461" s="43"/>
    </row>
    <row r="36462" spans="65:67" ht="18.75" customHeight="1">
      <c r="BM36462" s="1025"/>
      <c r="BO36462" s="43"/>
    </row>
    <row r="36463" spans="65:67" ht="18.75" customHeight="1">
      <c r="BM36463" s="1025"/>
      <c r="BO36463" s="43"/>
    </row>
    <row r="36464" spans="65:67" ht="18.75" customHeight="1">
      <c r="BM36464" s="1025"/>
      <c r="BO36464" s="43"/>
    </row>
    <row r="36465" spans="65:67" ht="18.75" customHeight="1">
      <c r="BM36465" s="1025"/>
      <c r="BO36465" s="43"/>
    </row>
    <row r="36466" spans="65:67" ht="18.75" customHeight="1">
      <c r="BM36466" s="1025"/>
      <c r="BO36466" s="43"/>
    </row>
    <row r="36467" spans="65:67" ht="18.75" customHeight="1">
      <c r="BM36467" s="1025"/>
      <c r="BO36467" s="43"/>
    </row>
    <row r="36468" spans="65:67" ht="18.75" customHeight="1">
      <c r="BM36468" s="1025"/>
      <c r="BO36468" s="43"/>
    </row>
    <row r="36469" spans="65:67" ht="18.75" customHeight="1">
      <c r="BM36469" s="1025"/>
      <c r="BO36469" s="43"/>
    </row>
    <row r="36470" spans="65:67" ht="18.75" customHeight="1">
      <c r="BM36470" s="1025"/>
      <c r="BO36470" s="43"/>
    </row>
    <row r="36471" spans="65:67" ht="18.75" customHeight="1">
      <c r="BM36471" s="1025"/>
      <c r="BO36471" s="43"/>
    </row>
    <row r="36472" spans="65:67" ht="18.75" customHeight="1">
      <c r="BM36472" s="1025"/>
      <c r="BO36472" s="43"/>
    </row>
    <row r="36473" spans="65:67" ht="18.75" customHeight="1">
      <c r="BM36473" s="1025"/>
      <c r="BO36473" s="43"/>
    </row>
    <row r="36474" spans="65:67" ht="18.75" customHeight="1">
      <c r="BM36474" s="1025"/>
      <c r="BO36474" s="43"/>
    </row>
    <row r="36475" spans="65:67" ht="18.75" customHeight="1">
      <c r="BM36475" s="1025"/>
      <c r="BO36475" s="43"/>
    </row>
    <row r="36476" spans="65:67" ht="18.75" customHeight="1">
      <c r="BM36476" s="1025"/>
      <c r="BO36476" s="43"/>
    </row>
    <row r="36477" spans="65:67" ht="18.75" customHeight="1">
      <c r="BM36477" s="1025"/>
      <c r="BO36477" s="43"/>
    </row>
    <row r="36478" spans="65:67" ht="18.75" customHeight="1">
      <c r="BM36478" s="1025"/>
      <c r="BO36478" s="43"/>
    </row>
    <row r="36479" spans="65:67" ht="18.75" customHeight="1">
      <c r="BM36479" s="1025"/>
      <c r="BO36479" s="43"/>
    </row>
    <row r="36480" spans="65:67" ht="18.75" customHeight="1">
      <c r="BM36480" s="1025"/>
      <c r="BO36480" s="43"/>
    </row>
    <row r="36481" spans="65:67" ht="18.75" customHeight="1">
      <c r="BM36481" s="1025"/>
      <c r="BO36481" s="43"/>
    </row>
    <row r="36482" spans="65:67" ht="18.75" customHeight="1">
      <c r="BM36482" s="1025"/>
      <c r="BO36482" s="43"/>
    </row>
    <row r="36483" spans="65:67" ht="18.75" customHeight="1">
      <c r="BM36483" s="1025"/>
      <c r="BO36483" s="43"/>
    </row>
    <row r="36484" spans="65:67" ht="18.75" customHeight="1">
      <c r="BM36484" s="1025"/>
      <c r="BO36484" s="43"/>
    </row>
    <row r="36485" spans="65:67" ht="18.75" customHeight="1">
      <c r="BM36485" s="1025"/>
      <c r="BO36485" s="43"/>
    </row>
    <row r="36486" spans="65:67" ht="18.75" customHeight="1">
      <c r="BM36486" s="1025"/>
      <c r="BO36486" s="43"/>
    </row>
    <row r="36487" spans="65:67" ht="18.75" customHeight="1">
      <c r="BM36487" s="1025"/>
      <c r="BO36487" s="43"/>
    </row>
    <row r="36488" spans="65:67" ht="18.75" customHeight="1">
      <c r="BM36488" s="1025"/>
      <c r="BO36488" s="43"/>
    </row>
    <row r="36489" spans="65:67" ht="18.75" customHeight="1">
      <c r="BM36489" s="1025"/>
      <c r="BO36489" s="43"/>
    </row>
    <row r="36490" spans="65:67" ht="18.75" customHeight="1">
      <c r="BM36490" s="1025"/>
      <c r="BO36490" s="43"/>
    </row>
    <row r="36491" spans="65:67" ht="18.75" customHeight="1">
      <c r="BM36491" s="1025"/>
      <c r="BO36491" s="43"/>
    </row>
    <row r="36492" spans="65:67" ht="18.75" customHeight="1">
      <c r="BM36492" s="1025"/>
      <c r="BO36492" s="43"/>
    </row>
    <row r="36493" spans="65:67" ht="18.75" customHeight="1">
      <c r="BM36493" s="1025"/>
      <c r="BO36493" s="43"/>
    </row>
    <row r="36494" spans="65:67" ht="18.75" customHeight="1">
      <c r="BM36494" s="1025"/>
      <c r="BO36494" s="43"/>
    </row>
    <row r="36495" spans="65:67" ht="18.75" customHeight="1">
      <c r="BM36495" s="1025"/>
      <c r="BO36495" s="43"/>
    </row>
    <row r="36496" spans="65:67" ht="18.75" customHeight="1">
      <c r="BM36496" s="1025"/>
      <c r="BO36496" s="43"/>
    </row>
    <row r="36497" spans="65:67" ht="18.75" customHeight="1">
      <c r="BM36497" s="1025"/>
      <c r="BO36497" s="43"/>
    </row>
    <row r="36498" spans="65:67" ht="18.75" customHeight="1">
      <c r="BM36498" s="1025"/>
      <c r="BO36498" s="43"/>
    </row>
    <row r="36499" spans="65:67" ht="18.75" customHeight="1">
      <c r="BM36499" s="1025"/>
      <c r="BO36499" s="43"/>
    </row>
    <row r="36500" spans="65:67" ht="18.75" customHeight="1">
      <c r="BM36500" s="1025"/>
      <c r="BO36500" s="43"/>
    </row>
    <row r="36501" spans="65:67" ht="18.75" customHeight="1">
      <c r="BM36501" s="1025"/>
      <c r="BO36501" s="43"/>
    </row>
    <row r="36502" spans="65:67" ht="18.75" customHeight="1">
      <c r="BM36502" s="1025"/>
      <c r="BO36502" s="43"/>
    </row>
    <row r="36503" spans="65:67" ht="18.75" customHeight="1">
      <c r="BM36503" s="1025"/>
      <c r="BO36503" s="43"/>
    </row>
    <row r="36504" spans="65:67" ht="18.75" customHeight="1">
      <c r="BM36504" s="1025"/>
      <c r="BO36504" s="43"/>
    </row>
    <row r="36505" spans="65:67" ht="18.75" customHeight="1">
      <c r="BM36505" s="1025"/>
      <c r="BO36505" s="43"/>
    </row>
    <row r="36506" spans="65:67" ht="18.75" customHeight="1">
      <c r="BM36506" s="1025"/>
      <c r="BO36506" s="43"/>
    </row>
    <row r="36507" spans="65:67" ht="18.75" customHeight="1">
      <c r="BM36507" s="1025"/>
      <c r="BO36507" s="43"/>
    </row>
    <row r="36508" spans="65:67" ht="18.75" customHeight="1">
      <c r="BM36508" s="1025"/>
      <c r="BO36508" s="43"/>
    </row>
    <row r="36509" spans="65:67" ht="18.75" customHeight="1">
      <c r="BM36509" s="1025"/>
      <c r="BO36509" s="43"/>
    </row>
    <row r="36510" spans="65:67" ht="18.75" customHeight="1">
      <c r="BM36510" s="1025"/>
      <c r="BO36510" s="43"/>
    </row>
    <row r="36511" spans="65:67" ht="18.75" customHeight="1">
      <c r="BM36511" s="1025"/>
      <c r="BO36511" s="43"/>
    </row>
    <row r="36512" spans="65:67" ht="18.75" customHeight="1">
      <c r="BM36512" s="1025"/>
      <c r="BO36512" s="43"/>
    </row>
    <row r="36513" spans="65:67" ht="18.75" customHeight="1">
      <c r="BM36513" s="1025"/>
      <c r="BO36513" s="43"/>
    </row>
    <row r="36514" spans="65:67" ht="18.75" customHeight="1">
      <c r="BM36514" s="1025"/>
      <c r="BO36514" s="43"/>
    </row>
    <row r="36515" spans="65:67" ht="18.75" customHeight="1">
      <c r="BM36515" s="1025"/>
      <c r="BO36515" s="43"/>
    </row>
    <row r="36516" spans="65:67" ht="18.75" customHeight="1">
      <c r="BM36516" s="1025"/>
      <c r="BO36516" s="43"/>
    </row>
    <row r="36517" spans="65:67" ht="18.75" customHeight="1">
      <c r="BM36517" s="1025"/>
      <c r="BO36517" s="43"/>
    </row>
    <row r="36518" spans="65:67" ht="18.75" customHeight="1">
      <c r="BM36518" s="1025"/>
      <c r="BO36518" s="43"/>
    </row>
    <row r="36519" spans="65:67" ht="18.75" customHeight="1">
      <c r="BM36519" s="1025"/>
      <c r="BO36519" s="43"/>
    </row>
    <row r="36520" spans="65:67" ht="18.75" customHeight="1">
      <c r="BM36520" s="1025"/>
      <c r="BO36520" s="43"/>
    </row>
    <row r="36521" spans="65:67" ht="18.75" customHeight="1">
      <c r="BM36521" s="1025"/>
      <c r="BO36521" s="43"/>
    </row>
    <row r="36522" spans="65:67" ht="18.75" customHeight="1">
      <c r="BM36522" s="1025"/>
      <c r="BO36522" s="43"/>
    </row>
    <row r="36523" spans="65:67" ht="18.75" customHeight="1">
      <c r="BM36523" s="1025"/>
      <c r="BO36523" s="43"/>
    </row>
    <row r="36524" spans="65:67" ht="18.75" customHeight="1">
      <c r="BM36524" s="1025"/>
      <c r="BO36524" s="43"/>
    </row>
    <row r="36525" spans="65:67" ht="18.75" customHeight="1">
      <c r="BM36525" s="1025"/>
      <c r="BO36525" s="43"/>
    </row>
    <row r="36526" spans="65:67" ht="18.75" customHeight="1">
      <c r="BM36526" s="1025"/>
      <c r="BO36526" s="43"/>
    </row>
    <row r="36527" spans="65:67" ht="18.75" customHeight="1">
      <c r="BM36527" s="1025"/>
      <c r="BO36527" s="43"/>
    </row>
    <row r="36528" spans="65:67" ht="18.75" customHeight="1">
      <c r="BM36528" s="1025"/>
      <c r="BO36528" s="43"/>
    </row>
    <row r="36529" spans="65:67" ht="18.75" customHeight="1">
      <c r="BM36529" s="1025"/>
      <c r="BO36529" s="43"/>
    </row>
    <row r="36530" spans="65:67" ht="18.75" customHeight="1">
      <c r="BM36530" s="1025"/>
      <c r="BO36530" s="43"/>
    </row>
    <row r="36531" spans="65:67" ht="18.75" customHeight="1">
      <c r="BM36531" s="1025"/>
      <c r="BO36531" s="43"/>
    </row>
    <row r="36532" spans="65:67" ht="18.75" customHeight="1">
      <c r="BM36532" s="1025"/>
      <c r="BO36532" s="43"/>
    </row>
    <row r="36533" spans="65:67" ht="18.75" customHeight="1">
      <c r="BM36533" s="1025"/>
      <c r="BO36533" s="43"/>
    </row>
    <row r="36534" spans="65:67" ht="18.75" customHeight="1">
      <c r="BM36534" s="1025"/>
      <c r="BO36534" s="43"/>
    </row>
    <row r="36535" spans="65:67" ht="18.75" customHeight="1">
      <c r="BM36535" s="1025"/>
      <c r="BO36535" s="43"/>
    </row>
    <row r="36536" spans="65:67" ht="18.75" customHeight="1">
      <c r="BM36536" s="1025"/>
      <c r="BO36536" s="43"/>
    </row>
    <row r="36537" spans="65:67" ht="18.75" customHeight="1">
      <c r="BM36537" s="1025"/>
      <c r="BO36537" s="43"/>
    </row>
    <row r="36538" spans="65:67" ht="18.75" customHeight="1">
      <c r="BM36538" s="1025"/>
      <c r="BO36538" s="43"/>
    </row>
    <row r="36539" spans="65:67" ht="18.75" customHeight="1">
      <c r="BM36539" s="1025"/>
      <c r="BO36539" s="43"/>
    </row>
    <row r="36540" spans="65:67" ht="18.75" customHeight="1">
      <c r="BM36540" s="1025"/>
      <c r="BO36540" s="43"/>
    </row>
    <row r="36541" spans="65:67" ht="18.75" customHeight="1">
      <c r="BM36541" s="1025"/>
      <c r="BO36541" s="43"/>
    </row>
    <row r="36542" spans="65:67" ht="18.75" customHeight="1">
      <c r="BM36542" s="1025"/>
      <c r="BO36542" s="43"/>
    </row>
    <row r="36543" spans="65:67" ht="18.75" customHeight="1">
      <c r="BM36543" s="1025"/>
      <c r="BO36543" s="43"/>
    </row>
    <row r="36544" spans="65:67" ht="18.75" customHeight="1">
      <c r="BM36544" s="1025"/>
      <c r="BO36544" s="43"/>
    </row>
    <row r="36545" spans="65:67" ht="18.75" customHeight="1">
      <c r="BM36545" s="1025"/>
      <c r="BO36545" s="43"/>
    </row>
    <row r="36546" spans="65:67" ht="18.75" customHeight="1">
      <c r="BM36546" s="1025"/>
      <c r="BO36546" s="43"/>
    </row>
    <row r="36547" spans="65:67" ht="18.75" customHeight="1">
      <c r="BM36547" s="1025"/>
      <c r="BO36547" s="43"/>
    </row>
    <row r="36548" spans="65:67" ht="18.75" customHeight="1">
      <c r="BM36548" s="1025"/>
      <c r="BO36548" s="43"/>
    </row>
    <row r="36549" spans="65:67" ht="18.75" customHeight="1">
      <c r="BM36549" s="1025"/>
      <c r="BO36549" s="43"/>
    </row>
    <row r="36550" spans="65:67" ht="18.75" customHeight="1">
      <c r="BM36550" s="1025"/>
      <c r="BO36550" s="43"/>
    </row>
    <row r="36551" spans="65:67" ht="18.75" customHeight="1">
      <c r="BM36551" s="1025"/>
      <c r="BO36551" s="43"/>
    </row>
    <row r="36552" spans="65:67" ht="18.75" customHeight="1">
      <c r="BM36552" s="1025"/>
      <c r="BO36552" s="43"/>
    </row>
    <row r="36553" spans="65:67" ht="18.75" customHeight="1">
      <c r="BM36553" s="1025"/>
      <c r="BO36553" s="43"/>
    </row>
    <row r="36554" spans="65:67" ht="18.75" customHeight="1">
      <c r="BM36554" s="1025"/>
      <c r="BO36554" s="43"/>
    </row>
    <row r="36555" spans="65:67" ht="18.75" customHeight="1">
      <c r="BM36555" s="1025"/>
      <c r="BO36555" s="43"/>
    </row>
    <row r="36556" spans="65:67" ht="18.75" customHeight="1">
      <c r="BM36556" s="1025"/>
      <c r="BO36556" s="43"/>
    </row>
    <row r="36557" spans="65:67" ht="18.75" customHeight="1">
      <c r="BM36557" s="1025"/>
      <c r="BO36557" s="43"/>
    </row>
    <row r="36558" spans="65:67" ht="18.75" customHeight="1">
      <c r="BM36558" s="1025"/>
      <c r="BO36558" s="43"/>
    </row>
    <row r="36559" spans="65:67" ht="18.75" customHeight="1">
      <c r="BM36559" s="1025"/>
      <c r="BO36559" s="43"/>
    </row>
    <row r="36560" spans="65:67" ht="18.75" customHeight="1">
      <c r="BM36560" s="1025"/>
      <c r="BO36560" s="43"/>
    </row>
    <row r="36561" spans="65:67" ht="18.75" customHeight="1">
      <c r="BM36561" s="1025"/>
      <c r="BO36561" s="43"/>
    </row>
    <row r="36562" spans="65:67" ht="18.75" customHeight="1">
      <c r="BM36562" s="1025"/>
      <c r="BO36562" s="43"/>
    </row>
    <row r="36563" spans="65:67" ht="18.75" customHeight="1">
      <c r="BM36563" s="1025"/>
      <c r="BO36563" s="43"/>
    </row>
    <row r="36564" spans="65:67" ht="18.75" customHeight="1">
      <c r="BM36564" s="1025"/>
      <c r="BO36564" s="43"/>
    </row>
    <row r="36565" spans="65:67" ht="18.75" customHeight="1">
      <c r="BM36565" s="1025"/>
      <c r="BO36565" s="43"/>
    </row>
    <row r="36566" spans="65:67" ht="18.75" customHeight="1">
      <c r="BM36566" s="1025"/>
      <c r="BO36566" s="43"/>
    </row>
    <row r="36567" spans="65:67" ht="18.75" customHeight="1">
      <c r="BM36567" s="1025"/>
      <c r="BO36567" s="43"/>
    </row>
    <row r="36568" spans="65:67" ht="18.75" customHeight="1">
      <c r="BM36568" s="1025"/>
      <c r="BO36568" s="43"/>
    </row>
    <row r="36569" spans="65:67" ht="18.75" customHeight="1">
      <c r="BM36569" s="1025"/>
      <c r="BO36569" s="43"/>
    </row>
    <row r="36570" spans="65:67" ht="18.75" customHeight="1">
      <c r="BM36570" s="1025"/>
      <c r="BO36570" s="43"/>
    </row>
    <row r="36571" spans="65:67" ht="18.75" customHeight="1">
      <c r="BM36571" s="1025"/>
      <c r="BO36571" s="43"/>
    </row>
    <row r="36572" spans="65:67" ht="18.75" customHeight="1">
      <c r="BM36572" s="1025"/>
      <c r="BO36572" s="43"/>
    </row>
    <row r="36573" spans="65:67" ht="18.75" customHeight="1">
      <c r="BM36573" s="1025"/>
      <c r="BO36573" s="43"/>
    </row>
    <row r="36574" spans="65:67" ht="18.75" customHeight="1">
      <c r="BM36574" s="1025"/>
      <c r="BO36574" s="43"/>
    </row>
    <row r="36575" spans="65:67" ht="18.75" customHeight="1">
      <c r="BM36575" s="1025"/>
      <c r="BO36575" s="43"/>
    </row>
    <row r="36576" spans="65:67" ht="18.75" customHeight="1">
      <c r="BM36576" s="1025"/>
      <c r="BO36576" s="43"/>
    </row>
    <row r="36577" spans="65:67" ht="18.75" customHeight="1">
      <c r="BM36577" s="1025"/>
      <c r="BO36577" s="43"/>
    </row>
    <row r="36578" spans="65:67" ht="18.75" customHeight="1">
      <c r="BM36578" s="1025"/>
      <c r="BO36578" s="43"/>
    </row>
    <row r="36579" spans="65:67" ht="18.75" customHeight="1">
      <c r="BM36579" s="1025"/>
      <c r="BO36579" s="43"/>
    </row>
    <row r="36580" spans="65:67" ht="18.75" customHeight="1">
      <c r="BM36580" s="1025"/>
      <c r="BO36580" s="43"/>
    </row>
    <row r="36581" spans="65:67" ht="18.75" customHeight="1">
      <c r="BM36581" s="1025"/>
      <c r="BO36581" s="43"/>
    </row>
    <row r="36582" spans="65:67" ht="18.75" customHeight="1">
      <c r="BM36582" s="1025"/>
      <c r="BO36582" s="43"/>
    </row>
    <row r="36583" spans="65:67" ht="18.75" customHeight="1">
      <c r="BM36583" s="1025"/>
      <c r="BO36583" s="43"/>
    </row>
    <row r="36584" spans="65:67" ht="18.75" customHeight="1">
      <c r="BM36584" s="1025"/>
      <c r="BO36584" s="43"/>
    </row>
    <row r="36585" spans="65:67" ht="18.75" customHeight="1">
      <c r="BM36585" s="1025"/>
      <c r="BO36585" s="43"/>
    </row>
    <row r="36586" spans="65:67" ht="18.75" customHeight="1">
      <c r="BM36586" s="1025"/>
      <c r="BO36586" s="43"/>
    </row>
    <row r="36587" spans="65:67" ht="18.75" customHeight="1">
      <c r="BM36587" s="1025"/>
      <c r="BO36587" s="43"/>
    </row>
    <row r="36588" spans="65:67" ht="18.75" customHeight="1">
      <c r="BM36588" s="1025"/>
      <c r="BO36588" s="43"/>
    </row>
    <row r="36589" spans="65:67" ht="18.75" customHeight="1">
      <c r="BM36589" s="1025"/>
      <c r="BO36589" s="43"/>
    </row>
    <row r="36590" spans="65:67" ht="18.75" customHeight="1">
      <c r="BM36590" s="1025"/>
      <c r="BO36590" s="43"/>
    </row>
    <row r="36591" spans="65:67" ht="18.75" customHeight="1">
      <c r="BM36591" s="1025"/>
      <c r="BO36591" s="43"/>
    </row>
    <row r="36592" spans="65:67" ht="18.75" customHeight="1">
      <c r="BM36592" s="1025"/>
      <c r="BO36592" s="43"/>
    </row>
    <row r="36593" spans="65:67" ht="18.75" customHeight="1">
      <c r="BM36593" s="1025"/>
      <c r="BO36593" s="43"/>
    </row>
    <row r="36594" spans="65:67" ht="18.75" customHeight="1">
      <c r="BM36594" s="1025"/>
      <c r="BO36594" s="43"/>
    </row>
    <row r="36595" spans="65:67" ht="18.75" customHeight="1">
      <c r="BM36595" s="1025"/>
      <c r="BO36595" s="43"/>
    </row>
    <row r="36596" spans="65:67" ht="18.75" customHeight="1">
      <c r="BM36596" s="1025"/>
      <c r="BO36596" s="43"/>
    </row>
    <row r="36597" spans="65:67" ht="18.75" customHeight="1">
      <c r="BM36597" s="1025"/>
      <c r="BO36597" s="43"/>
    </row>
    <row r="36598" spans="65:67" ht="18.75" customHeight="1">
      <c r="BM36598" s="1025"/>
      <c r="BO36598" s="43"/>
    </row>
    <row r="36599" spans="65:67" ht="18.75" customHeight="1">
      <c r="BM36599" s="1025"/>
      <c r="BO36599" s="43"/>
    </row>
    <row r="36600" spans="65:67" ht="18.75" customHeight="1">
      <c r="BM36600" s="1025"/>
      <c r="BO36600" s="43"/>
    </row>
    <row r="36601" spans="65:67" ht="18.75" customHeight="1">
      <c r="BM36601" s="1025"/>
      <c r="BO36601" s="43"/>
    </row>
    <row r="36602" spans="65:67" ht="18.75" customHeight="1">
      <c r="BM36602" s="1025"/>
      <c r="BO36602" s="43"/>
    </row>
    <row r="36603" spans="65:67" ht="18.75" customHeight="1">
      <c r="BM36603" s="1025"/>
      <c r="BO36603" s="43"/>
    </row>
    <row r="36604" spans="65:67" ht="18.75" customHeight="1">
      <c r="BM36604" s="1025"/>
      <c r="BO36604" s="43"/>
    </row>
    <row r="36605" spans="65:67" ht="18.75" customHeight="1">
      <c r="BM36605" s="1025"/>
      <c r="BO36605" s="43"/>
    </row>
    <row r="36606" spans="65:67" ht="18.75" customHeight="1">
      <c r="BM36606" s="1025"/>
      <c r="BO36606" s="43"/>
    </row>
    <row r="36607" spans="65:67" ht="18.75" customHeight="1">
      <c r="BM36607" s="1025"/>
      <c r="BO36607" s="43"/>
    </row>
    <row r="36608" spans="65:67" ht="18.75" customHeight="1">
      <c r="BM36608" s="1025"/>
      <c r="BO36608" s="43"/>
    </row>
    <row r="36609" spans="65:67" ht="18.75" customHeight="1">
      <c r="BM36609" s="1025"/>
      <c r="BO36609" s="43"/>
    </row>
    <row r="36610" spans="65:67" ht="18.75" customHeight="1">
      <c r="BM36610" s="1025"/>
      <c r="BO36610" s="43"/>
    </row>
    <row r="36611" spans="65:67" ht="18.75" customHeight="1">
      <c r="BM36611" s="1025"/>
      <c r="BO36611" s="43"/>
    </row>
    <row r="36612" spans="65:67" ht="18.75" customHeight="1">
      <c r="BM36612" s="1025"/>
      <c r="BO36612" s="43"/>
    </row>
    <row r="36613" spans="65:67" ht="18.75" customHeight="1">
      <c r="BM36613" s="1025"/>
      <c r="BO36613" s="43"/>
    </row>
    <row r="36614" spans="65:67" ht="18.75" customHeight="1">
      <c r="BM36614" s="1025"/>
      <c r="BO36614" s="43"/>
    </row>
    <row r="36615" spans="65:67" ht="18.75" customHeight="1">
      <c r="BM36615" s="1025"/>
      <c r="BO36615" s="43"/>
    </row>
    <row r="36616" spans="65:67" ht="18.75" customHeight="1">
      <c r="BM36616" s="1025"/>
      <c r="BO36616" s="43"/>
    </row>
    <row r="36617" spans="65:67" ht="18.75" customHeight="1">
      <c r="BM36617" s="1025"/>
      <c r="BO36617" s="43"/>
    </row>
    <row r="36618" spans="65:67" ht="18.75" customHeight="1">
      <c r="BM36618" s="1025"/>
      <c r="BO36618" s="43"/>
    </row>
    <row r="36619" spans="65:67" ht="18.75" customHeight="1">
      <c r="BM36619" s="1025"/>
      <c r="BO36619" s="43"/>
    </row>
    <row r="36620" spans="65:67" ht="18.75" customHeight="1">
      <c r="BM36620" s="1025"/>
      <c r="BO36620" s="43"/>
    </row>
    <row r="36621" spans="65:67" ht="18.75" customHeight="1">
      <c r="BM36621" s="1025"/>
      <c r="BO36621" s="43"/>
    </row>
    <row r="36622" spans="65:67" ht="18.75" customHeight="1">
      <c r="BM36622" s="1025"/>
      <c r="BO36622" s="43"/>
    </row>
    <row r="36623" spans="65:67" ht="18.75" customHeight="1">
      <c r="BM36623" s="1025"/>
      <c r="BO36623" s="43"/>
    </row>
    <row r="36624" spans="65:67" ht="18.75" customHeight="1">
      <c r="BM36624" s="1025"/>
      <c r="BO36624" s="43"/>
    </row>
    <row r="36625" spans="65:67" ht="18.75" customHeight="1">
      <c r="BM36625" s="1025"/>
      <c r="BO36625" s="43"/>
    </row>
    <row r="36626" spans="65:67" ht="18.75" customHeight="1">
      <c r="BM36626" s="1025"/>
      <c r="BO36626" s="43"/>
    </row>
    <row r="36627" spans="65:67" ht="18.75" customHeight="1">
      <c r="BM36627" s="1025"/>
      <c r="BO36627" s="43"/>
    </row>
    <row r="36628" spans="65:67" ht="18.75" customHeight="1">
      <c r="BM36628" s="1025"/>
      <c r="BO36628" s="43"/>
    </row>
    <row r="36629" spans="65:67" ht="18.75" customHeight="1">
      <c r="BM36629" s="1025"/>
      <c r="BO36629" s="43"/>
    </row>
    <row r="36630" spans="65:67" ht="18.75" customHeight="1">
      <c r="BM36630" s="1025"/>
      <c r="BO36630" s="43"/>
    </row>
    <row r="36631" spans="65:67" ht="18.75" customHeight="1">
      <c r="BM36631" s="1025"/>
      <c r="BO36631" s="43"/>
    </row>
    <row r="36632" spans="65:67" ht="18.75" customHeight="1">
      <c r="BM36632" s="1025"/>
      <c r="BO36632" s="43"/>
    </row>
    <row r="36633" spans="65:67" ht="18.75" customHeight="1">
      <c r="BM36633" s="1025"/>
      <c r="BO36633" s="43"/>
    </row>
    <row r="36634" spans="65:67" ht="18.75" customHeight="1">
      <c r="BM36634" s="1025"/>
      <c r="BO36634" s="43"/>
    </row>
    <row r="36635" spans="65:67" ht="18.75" customHeight="1">
      <c r="BM36635" s="1025"/>
      <c r="BO36635" s="43"/>
    </row>
    <row r="36636" spans="65:67" ht="18.75" customHeight="1">
      <c r="BM36636" s="1025"/>
      <c r="BO36636" s="43"/>
    </row>
    <row r="36637" spans="65:67" ht="18.75" customHeight="1">
      <c r="BM36637" s="1025"/>
      <c r="BO36637" s="43"/>
    </row>
    <row r="36638" spans="65:67" ht="18.75" customHeight="1">
      <c r="BM36638" s="1025"/>
      <c r="BO36638" s="43"/>
    </row>
    <row r="36639" spans="65:67" ht="18.75" customHeight="1">
      <c r="BM36639" s="1025"/>
      <c r="BO36639" s="43"/>
    </row>
    <row r="36640" spans="65:67" ht="18.75" customHeight="1">
      <c r="BM36640" s="1025"/>
      <c r="BO36640" s="43"/>
    </row>
    <row r="36641" spans="65:67" ht="18.75" customHeight="1">
      <c r="BM36641" s="1025"/>
      <c r="BO36641" s="43"/>
    </row>
    <row r="36642" spans="65:67" ht="18.75" customHeight="1">
      <c r="BM36642" s="1025"/>
      <c r="BO36642" s="43"/>
    </row>
    <row r="36643" spans="65:67" ht="18.75" customHeight="1">
      <c r="BM36643" s="1025"/>
      <c r="BO36643" s="43"/>
    </row>
    <row r="36644" spans="65:67" ht="18.75" customHeight="1">
      <c r="BM36644" s="1025"/>
      <c r="BO36644" s="43"/>
    </row>
    <row r="36645" spans="65:67" ht="18.75" customHeight="1">
      <c r="BM36645" s="1025"/>
      <c r="BO36645" s="43"/>
    </row>
    <row r="36646" spans="65:67" ht="18.75" customHeight="1">
      <c r="BM36646" s="1025"/>
      <c r="BO36646" s="43"/>
    </row>
    <row r="36647" spans="65:67" ht="18.75" customHeight="1">
      <c r="BM36647" s="1025"/>
      <c r="BO36647" s="43"/>
    </row>
    <row r="36648" spans="65:67" ht="18.75" customHeight="1">
      <c r="BM36648" s="1025"/>
      <c r="BO36648" s="43"/>
    </row>
    <row r="36649" spans="65:67" ht="18.75" customHeight="1">
      <c r="BM36649" s="1025"/>
      <c r="BO36649" s="43"/>
    </row>
    <row r="36650" spans="65:67" ht="18.75" customHeight="1">
      <c r="BM36650" s="1025"/>
      <c r="BO36650" s="43"/>
    </row>
    <row r="36651" spans="65:67" ht="18.75" customHeight="1">
      <c r="BM36651" s="1025"/>
      <c r="BO36651" s="43"/>
    </row>
    <row r="36652" spans="65:67" ht="18.75" customHeight="1">
      <c r="BM36652" s="1025"/>
      <c r="BO36652" s="43"/>
    </row>
    <row r="36653" spans="65:67" ht="18.75" customHeight="1">
      <c r="BM36653" s="1025"/>
      <c r="BO36653" s="43"/>
    </row>
    <row r="36654" spans="65:67" ht="18.75" customHeight="1">
      <c r="BM36654" s="1025"/>
      <c r="BO36654" s="43"/>
    </row>
    <row r="36655" spans="65:67" ht="18.75" customHeight="1">
      <c r="BM36655" s="1025"/>
      <c r="BO36655" s="43"/>
    </row>
    <row r="36656" spans="65:67" ht="18.75" customHeight="1">
      <c r="BM36656" s="1025"/>
      <c r="BO36656" s="43"/>
    </row>
    <row r="36657" spans="65:67" ht="18.75" customHeight="1">
      <c r="BM36657" s="1025"/>
      <c r="BO36657" s="43"/>
    </row>
    <row r="36658" spans="65:67" ht="18.75" customHeight="1">
      <c r="BM36658" s="1025"/>
      <c r="BO36658" s="43"/>
    </row>
    <row r="36659" spans="65:67" ht="18.75" customHeight="1">
      <c r="BM36659" s="1025"/>
      <c r="BO36659" s="43"/>
    </row>
    <row r="36660" spans="65:67" ht="18.75" customHeight="1">
      <c r="BM36660" s="1025"/>
      <c r="BO36660" s="43"/>
    </row>
    <row r="36661" spans="65:67" ht="18.75" customHeight="1">
      <c r="BM36661" s="1025"/>
      <c r="BO36661" s="43"/>
    </row>
    <row r="36662" spans="65:67" ht="18.75" customHeight="1">
      <c r="BM36662" s="1025"/>
      <c r="BO36662" s="43"/>
    </row>
    <row r="36663" spans="65:67" ht="18.75" customHeight="1">
      <c r="BM36663" s="1025"/>
      <c r="BO36663" s="43"/>
    </row>
    <row r="36664" spans="65:67" ht="18.75" customHeight="1">
      <c r="BM36664" s="1025"/>
      <c r="BO36664" s="43"/>
    </row>
    <row r="36665" spans="65:67" ht="18.75" customHeight="1">
      <c r="BM36665" s="1025"/>
      <c r="BO36665" s="43"/>
    </row>
    <row r="36666" spans="65:67" ht="18.75" customHeight="1">
      <c r="BM36666" s="1025"/>
      <c r="BO36666" s="43"/>
    </row>
    <row r="36667" spans="65:67" ht="18.75" customHeight="1">
      <c r="BM36667" s="1025"/>
      <c r="BO36667" s="43"/>
    </row>
    <row r="36668" spans="65:67" ht="18.75" customHeight="1">
      <c r="BM36668" s="1025"/>
      <c r="BO36668" s="43"/>
    </row>
    <row r="36669" spans="65:67" ht="18.75" customHeight="1">
      <c r="BM36669" s="1025"/>
      <c r="BO36669" s="43"/>
    </row>
    <row r="36670" spans="65:67" ht="18.75" customHeight="1">
      <c r="BM36670" s="1025"/>
      <c r="BO36670" s="43"/>
    </row>
    <row r="36671" spans="65:67" ht="18.75" customHeight="1">
      <c r="BM36671" s="1025"/>
      <c r="BO36671" s="43"/>
    </row>
    <row r="36672" spans="65:67" ht="18.75" customHeight="1">
      <c r="BM36672" s="1025"/>
      <c r="BO36672" s="43"/>
    </row>
    <row r="36673" spans="65:67" ht="18.75" customHeight="1">
      <c r="BM36673" s="1025"/>
      <c r="BO36673" s="43"/>
    </row>
    <row r="36674" spans="65:67" ht="18.75" customHeight="1">
      <c r="BM36674" s="1025"/>
      <c r="BO36674" s="43"/>
    </row>
    <row r="36675" spans="65:67" ht="18.75" customHeight="1">
      <c r="BM36675" s="1025"/>
      <c r="BO36675" s="43"/>
    </row>
    <row r="36676" spans="65:67" ht="18.75" customHeight="1">
      <c r="BM36676" s="1025"/>
      <c r="BO36676" s="43"/>
    </row>
    <row r="36677" spans="65:67" ht="18.75" customHeight="1">
      <c r="BM36677" s="1025"/>
      <c r="BO36677" s="43"/>
    </row>
    <row r="36678" spans="65:67" ht="18.75" customHeight="1">
      <c r="BM36678" s="1025"/>
      <c r="BO36678" s="43"/>
    </row>
    <row r="36679" spans="65:67" ht="18.75" customHeight="1">
      <c r="BM36679" s="1025"/>
      <c r="BO36679" s="43"/>
    </row>
    <row r="36680" spans="65:67" ht="18.75" customHeight="1">
      <c r="BM36680" s="1025"/>
      <c r="BO36680" s="43"/>
    </row>
    <row r="36681" spans="65:67" ht="18.75" customHeight="1">
      <c r="BM36681" s="1025"/>
      <c r="BO36681" s="43"/>
    </row>
    <row r="36682" spans="65:67" ht="18.75" customHeight="1">
      <c r="BM36682" s="1025"/>
      <c r="BO36682" s="43"/>
    </row>
    <row r="36683" spans="65:67" ht="18.75" customHeight="1">
      <c r="BM36683" s="1025"/>
      <c r="BO36683" s="43"/>
    </row>
    <row r="36684" spans="65:67" ht="18.75" customHeight="1">
      <c r="BM36684" s="1025"/>
      <c r="BO36684" s="43"/>
    </row>
    <row r="36685" spans="65:67" ht="18.75" customHeight="1">
      <c r="BM36685" s="1025"/>
      <c r="BO36685" s="43"/>
    </row>
    <row r="36686" spans="65:67" ht="18.75" customHeight="1">
      <c r="BM36686" s="1025"/>
      <c r="BO36686" s="43"/>
    </row>
    <row r="36687" spans="65:67" ht="18.75" customHeight="1">
      <c r="BM36687" s="1025"/>
      <c r="BO36687" s="43"/>
    </row>
    <row r="36688" spans="65:67" ht="18.75" customHeight="1">
      <c r="BM36688" s="1025"/>
      <c r="BO36688" s="43"/>
    </row>
    <row r="36689" spans="65:67" ht="18.75" customHeight="1">
      <c r="BM36689" s="1025"/>
      <c r="BO36689" s="43"/>
    </row>
    <row r="36690" spans="65:67" ht="18.75" customHeight="1">
      <c r="BM36690" s="1025"/>
      <c r="BO36690" s="43"/>
    </row>
    <row r="36691" spans="65:67" ht="18.75" customHeight="1">
      <c r="BM36691" s="1025"/>
      <c r="BO36691" s="43"/>
    </row>
    <row r="36692" spans="65:67" ht="18.75" customHeight="1">
      <c r="BM36692" s="1025"/>
      <c r="BO36692" s="43"/>
    </row>
    <row r="36693" spans="65:67" ht="18.75" customHeight="1">
      <c r="BM36693" s="1025"/>
      <c r="BO36693" s="43"/>
    </row>
    <row r="36694" spans="65:67" ht="18.75" customHeight="1">
      <c r="BM36694" s="1025"/>
      <c r="BO36694" s="43"/>
    </row>
    <row r="36695" spans="65:67" ht="18.75" customHeight="1">
      <c r="BM36695" s="1025"/>
      <c r="BO36695" s="43"/>
    </row>
    <row r="36696" spans="65:67" ht="18.75" customHeight="1">
      <c r="BM36696" s="1025"/>
      <c r="BO36696" s="43"/>
    </row>
    <row r="36697" spans="65:67" ht="18.75" customHeight="1">
      <c r="BM36697" s="1025"/>
      <c r="BO36697" s="43"/>
    </row>
    <row r="36698" spans="65:67" ht="18.75" customHeight="1">
      <c r="BM36698" s="1025"/>
      <c r="BO36698" s="43"/>
    </row>
    <row r="36699" spans="65:67" ht="18.75" customHeight="1">
      <c r="BM36699" s="1025"/>
      <c r="BO36699" s="43"/>
    </row>
    <row r="36700" spans="65:67" ht="18.75" customHeight="1">
      <c r="BM36700" s="1025"/>
      <c r="BO36700" s="43"/>
    </row>
    <row r="36701" spans="65:67" ht="18.75" customHeight="1">
      <c r="BM36701" s="1025"/>
      <c r="BO36701" s="43"/>
    </row>
    <row r="36702" spans="65:67" ht="18.75" customHeight="1">
      <c r="BM36702" s="1025"/>
      <c r="BO36702" s="43"/>
    </row>
    <row r="36703" spans="65:67" ht="18.75" customHeight="1">
      <c r="BM36703" s="1025"/>
      <c r="BO36703" s="43"/>
    </row>
    <row r="36704" spans="65:67" ht="18.75" customHeight="1">
      <c r="BM36704" s="1025"/>
      <c r="BO36704" s="43"/>
    </row>
    <row r="36705" spans="65:67" ht="18.75" customHeight="1">
      <c r="BM36705" s="1025"/>
      <c r="BO36705" s="43"/>
    </row>
    <row r="36706" spans="65:67" ht="18.75" customHeight="1">
      <c r="BM36706" s="1025"/>
      <c r="BO36706" s="43"/>
    </row>
    <row r="36707" spans="65:67" ht="18.75" customHeight="1">
      <c r="BM36707" s="1025"/>
      <c r="BO36707" s="43"/>
    </row>
    <row r="36708" spans="65:67" ht="18.75" customHeight="1">
      <c r="BM36708" s="1025"/>
      <c r="BO36708" s="43"/>
    </row>
    <row r="36709" spans="65:67" ht="18.75" customHeight="1">
      <c r="BM36709" s="1025"/>
      <c r="BO36709" s="43"/>
    </row>
    <row r="36710" spans="65:67" ht="18.75" customHeight="1">
      <c r="BM36710" s="1025"/>
      <c r="BO36710" s="43"/>
    </row>
    <row r="36711" spans="65:67" ht="18.75" customHeight="1">
      <c r="BM36711" s="1025"/>
      <c r="BO36711" s="43"/>
    </row>
    <row r="36712" spans="65:67" ht="18.75" customHeight="1">
      <c r="BM36712" s="1025"/>
      <c r="BO36712" s="43"/>
    </row>
    <row r="36713" spans="65:67" ht="18.75" customHeight="1">
      <c r="BM36713" s="1025"/>
      <c r="BO36713" s="43"/>
    </row>
    <row r="36714" spans="65:67" ht="18.75" customHeight="1">
      <c r="BM36714" s="1025"/>
      <c r="BO36714" s="43"/>
    </row>
    <row r="36715" spans="65:67" ht="18.75" customHeight="1">
      <c r="BM36715" s="1025"/>
      <c r="BO36715" s="43"/>
    </row>
    <row r="36716" spans="65:67" ht="18.75" customHeight="1">
      <c r="BM36716" s="1025"/>
      <c r="BO36716" s="43"/>
    </row>
    <row r="36717" spans="65:67" ht="18.75" customHeight="1">
      <c r="BM36717" s="1025"/>
      <c r="BO36717" s="43"/>
    </row>
    <row r="36718" spans="65:67" ht="18.75" customHeight="1">
      <c r="BM36718" s="1025"/>
      <c r="BO36718" s="43"/>
    </row>
    <row r="36719" spans="65:67" ht="18.75" customHeight="1">
      <c r="BM36719" s="1025"/>
      <c r="BO36719" s="43"/>
    </row>
    <row r="36720" spans="65:67" ht="18.75" customHeight="1">
      <c r="BM36720" s="1025"/>
      <c r="BO36720" s="43"/>
    </row>
    <row r="36721" spans="65:67" ht="18.75" customHeight="1">
      <c r="BM36721" s="1025"/>
      <c r="BO36721" s="43"/>
    </row>
    <row r="36722" spans="65:67" ht="18.75" customHeight="1">
      <c r="BM36722" s="1025"/>
      <c r="BO36722" s="43"/>
    </row>
    <row r="36723" spans="65:67" ht="18.75" customHeight="1">
      <c r="BM36723" s="1025"/>
      <c r="BO36723" s="43"/>
    </row>
    <row r="36724" spans="65:67" ht="18.75" customHeight="1">
      <c r="BM36724" s="1025"/>
      <c r="BO36724" s="43"/>
    </row>
    <row r="36725" spans="65:67" ht="18.75" customHeight="1">
      <c r="BM36725" s="1025"/>
      <c r="BO36725" s="43"/>
    </row>
    <row r="36726" spans="65:67" ht="18.75" customHeight="1">
      <c r="BM36726" s="1025"/>
      <c r="BO36726" s="43"/>
    </row>
    <row r="36727" spans="65:67" ht="18.75" customHeight="1">
      <c r="BM36727" s="1025"/>
      <c r="BO36727" s="43"/>
    </row>
    <row r="36728" spans="65:67" ht="18.75" customHeight="1">
      <c r="BM36728" s="1025"/>
      <c r="BO36728" s="43"/>
    </row>
    <row r="36729" spans="65:67" ht="18.75" customHeight="1">
      <c r="BM36729" s="1025"/>
      <c r="BO36729" s="43"/>
    </row>
    <row r="36730" spans="65:67" ht="18.75" customHeight="1">
      <c r="BM36730" s="1025"/>
      <c r="BO36730" s="43"/>
    </row>
    <row r="36731" spans="65:67" ht="18.75" customHeight="1">
      <c r="BM36731" s="1025"/>
      <c r="BO36731" s="43"/>
    </row>
    <row r="36732" spans="65:67" ht="18.75" customHeight="1">
      <c r="BM36732" s="1025"/>
      <c r="BO36732" s="43"/>
    </row>
    <row r="36733" spans="65:67" ht="18.75" customHeight="1">
      <c r="BM36733" s="1025"/>
      <c r="BO36733" s="43"/>
    </row>
    <row r="36734" spans="65:67" ht="18.75" customHeight="1">
      <c r="BM36734" s="1025"/>
      <c r="BO36734" s="43"/>
    </row>
    <row r="36735" spans="65:67" ht="18.75" customHeight="1">
      <c r="BM36735" s="1025"/>
      <c r="BO36735" s="43"/>
    </row>
    <row r="36736" spans="65:67" ht="18.75" customHeight="1">
      <c r="BM36736" s="1025"/>
      <c r="BO36736" s="43"/>
    </row>
    <row r="36737" spans="65:67" ht="18.75" customHeight="1">
      <c r="BM36737" s="1025"/>
      <c r="BO36737" s="43"/>
    </row>
    <row r="36738" spans="65:67" ht="18.75" customHeight="1">
      <c r="BM36738" s="1025"/>
      <c r="BO36738" s="43"/>
    </row>
    <row r="36739" spans="65:67" ht="18.75" customHeight="1">
      <c r="BM36739" s="1025"/>
      <c r="BO36739" s="43"/>
    </row>
    <row r="36740" spans="65:67" ht="18.75" customHeight="1">
      <c r="BM36740" s="1025"/>
      <c r="BO36740" s="43"/>
    </row>
    <row r="36741" spans="65:67" ht="18.75" customHeight="1">
      <c r="BM36741" s="1025"/>
      <c r="BO36741" s="43"/>
    </row>
    <row r="36742" spans="65:67" ht="18.75" customHeight="1">
      <c r="BM36742" s="1025"/>
      <c r="BO36742" s="43"/>
    </row>
    <row r="36743" spans="65:67" ht="18.75" customHeight="1">
      <c r="BM36743" s="1025"/>
      <c r="BO36743" s="43"/>
    </row>
    <row r="36744" spans="65:67" ht="18.75" customHeight="1">
      <c r="BM36744" s="1025"/>
      <c r="BO36744" s="43"/>
    </row>
    <row r="36745" spans="65:67" ht="18.75" customHeight="1">
      <c r="BM36745" s="1025"/>
      <c r="BO36745" s="43"/>
    </row>
    <row r="36746" spans="65:67" ht="18.75" customHeight="1">
      <c r="BM36746" s="1025"/>
      <c r="BO36746" s="43"/>
    </row>
    <row r="36747" spans="65:67" ht="18.75" customHeight="1">
      <c r="BM36747" s="1025"/>
      <c r="BO36747" s="43"/>
    </row>
    <row r="36748" spans="65:67" ht="18.75" customHeight="1">
      <c r="BM36748" s="1025"/>
      <c r="BO36748" s="43"/>
    </row>
    <row r="36749" spans="65:67" ht="18.75" customHeight="1">
      <c r="BM36749" s="1025"/>
      <c r="BO36749" s="43"/>
    </row>
    <row r="36750" spans="65:67" ht="18.75" customHeight="1">
      <c r="BM36750" s="1025"/>
      <c r="BO36750" s="43"/>
    </row>
    <row r="36751" spans="65:67" ht="18.75" customHeight="1">
      <c r="BM36751" s="1025"/>
      <c r="BO36751" s="43"/>
    </row>
    <row r="36752" spans="65:67" ht="18.75" customHeight="1">
      <c r="BM36752" s="1025"/>
      <c r="BO36752" s="43"/>
    </row>
    <row r="36753" spans="65:67" ht="18.75" customHeight="1">
      <c r="BM36753" s="1025"/>
      <c r="BO36753" s="43"/>
    </row>
    <row r="36754" spans="65:67" ht="18.75" customHeight="1">
      <c r="BM36754" s="1025"/>
      <c r="BO36754" s="43"/>
    </row>
    <row r="36755" spans="65:67" ht="18.75" customHeight="1">
      <c r="BM36755" s="1025"/>
      <c r="BO36755" s="43"/>
    </row>
    <row r="36756" spans="65:67" ht="18.75" customHeight="1">
      <c r="BM36756" s="1025"/>
      <c r="BO36756" s="43"/>
    </row>
    <row r="36757" spans="65:67" ht="18.75" customHeight="1">
      <c r="BM36757" s="1025"/>
      <c r="BO36757" s="43"/>
    </row>
    <row r="36758" spans="65:67" ht="18.75" customHeight="1">
      <c r="BM36758" s="1025"/>
      <c r="BO36758" s="43"/>
    </row>
    <row r="36759" spans="65:67" ht="18.75" customHeight="1">
      <c r="BM36759" s="1025"/>
      <c r="BO36759" s="43"/>
    </row>
    <row r="36760" spans="65:67" ht="18.75" customHeight="1">
      <c r="BM36760" s="1025"/>
      <c r="BO36760" s="43"/>
    </row>
    <row r="36761" spans="65:67" ht="18.75" customHeight="1">
      <c r="BM36761" s="1025"/>
      <c r="BO36761" s="43"/>
    </row>
    <row r="36762" spans="65:67" ht="18.75" customHeight="1">
      <c r="BM36762" s="1025"/>
      <c r="BO36762" s="43"/>
    </row>
    <row r="36763" spans="65:67" ht="18.75" customHeight="1">
      <c r="BM36763" s="1025"/>
      <c r="BO36763" s="43"/>
    </row>
    <row r="36764" spans="65:67" ht="18.75" customHeight="1">
      <c r="BM36764" s="1025"/>
      <c r="BO36764" s="43"/>
    </row>
    <row r="36765" spans="65:67" ht="18.75" customHeight="1">
      <c r="BM36765" s="1025"/>
      <c r="BO36765" s="43"/>
    </row>
    <row r="36766" spans="65:67" ht="18.75" customHeight="1">
      <c r="BM36766" s="1025"/>
      <c r="BO36766" s="43"/>
    </row>
    <row r="36767" spans="65:67" ht="18.75" customHeight="1">
      <c r="BM36767" s="1025"/>
      <c r="BO36767" s="43"/>
    </row>
    <row r="36768" spans="65:67" ht="18.75" customHeight="1">
      <c r="BM36768" s="1025"/>
      <c r="BO36768" s="43"/>
    </row>
    <row r="36769" spans="65:67" ht="18.75" customHeight="1">
      <c r="BM36769" s="1025"/>
      <c r="BO36769" s="43"/>
    </row>
    <row r="36770" spans="65:67" ht="18.75" customHeight="1">
      <c r="BM36770" s="1025"/>
      <c r="BO36770" s="43"/>
    </row>
    <row r="36771" spans="65:67" ht="18.75" customHeight="1">
      <c r="BM36771" s="1025"/>
      <c r="BO36771" s="43"/>
    </row>
    <row r="36772" spans="65:67" ht="18.75" customHeight="1">
      <c r="BM36772" s="1025"/>
      <c r="BO36772" s="43"/>
    </row>
    <row r="36773" spans="65:67" ht="18.75" customHeight="1">
      <c r="BM36773" s="1025"/>
      <c r="BO36773" s="43"/>
    </row>
    <row r="36774" spans="65:67" ht="18.75" customHeight="1">
      <c r="BM36774" s="1025"/>
      <c r="BO36774" s="43"/>
    </row>
    <row r="36775" spans="65:67" ht="18.75" customHeight="1">
      <c r="BM36775" s="1025"/>
      <c r="BO36775" s="43"/>
    </row>
    <row r="36776" spans="65:67" ht="18.75" customHeight="1">
      <c r="BM36776" s="1025"/>
      <c r="BO36776" s="43"/>
    </row>
    <row r="36777" spans="65:67" ht="18.75" customHeight="1">
      <c r="BM36777" s="1025"/>
      <c r="BO36777" s="43"/>
    </row>
    <row r="36778" spans="65:67" ht="18.75" customHeight="1">
      <c r="BM36778" s="1025"/>
      <c r="BO36778" s="43"/>
    </row>
    <row r="36779" spans="65:67" ht="18.75" customHeight="1">
      <c r="BM36779" s="1025"/>
      <c r="BO36779" s="43"/>
    </row>
    <row r="36780" spans="65:67" ht="18.75" customHeight="1">
      <c r="BM36780" s="1025"/>
      <c r="BO36780" s="43"/>
    </row>
    <row r="36781" spans="65:67" ht="18.75" customHeight="1">
      <c r="BM36781" s="1025"/>
      <c r="BO36781" s="43"/>
    </row>
    <row r="36782" spans="65:67" ht="18.75" customHeight="1">
      <c r="BM36782" s="1025"/>
      <c r="BO36782" s="43"/>
    </row>
    <row r="36783" spans="65:67" ht="18.75" customHeight="1">
      <c r="BM36783" s="1025"/>
      <c r="BO36783" s="43"/>
    </row>
    <row r="36784" spans="65:67" ht="18.75" customHeight="1">
      <c r="BM36784" s="1025"/>
      <c r="BO36784" s="43"/>
    </row>
    <row r="36785" spans="65:67" ht="18.75" customHeight="1">
      <c r="BM36785" s="1025"/>
      <c r="BO36785" s="43"/>
    </row>
    <row r="36786" spans="65:67" ht="18.75" customHeight="1">
      <c r="BM36786" s="1025"/>
      <c r="BO36786" s="43"/>
    </row>
    <row r="36787" spans="65:67" ht="18.75" customHeight="1">
      <c r="BM36787" s="1025"/>
      <c r="BO36787" s="43"/>
    </row>
    <row r="36788" spans="65:67" ht="18.75" customHeight="1">
      <c r="BM36788" s="1025"/>
      <c r="BO36788" s="43"/>
    </row>
    <row r="36789" spans="65:67" ht="18.75" customHeight="1">
      <c r="BM36789" s="1025"/>
      <c r="BO36789" s="43"/>
    </row>
    <row r="36790" spans="65:67" ht="18.75" customHeight="1">
      <c r="BM36790" s="1025"/>
      <c r="BO36790" s="43"/>
    </row>
    <row r="36791" spans="65:67" ht="18.75" customHeight="1">
      <c r="BM36791" s="1025"/>
      <c r="BO36791" s="43"/>
    </row>
    <row r="36792" spans="65:67" ht="18.75" customHeight="1">
      <c r="BM36792" s="1025"/>
      <c r="BO36792" s="43"/>
    </row>
    <row r="36793" spans="65:67" ht="18.75" customHeight="1">
      <c r="BM36793" s="1025"/>
      <c r="BO36793" s="43"/>
    </row>
    <row r="36794" spans="65:67" ht="18.75" customHeight="1">
      <c r="BM36794" s="1025"/>
      <c r="BO36794" s="43"/>
    </row>
    <row r="36795" spans="65:67" ht="18.75" customHeight="1">
      <c r="BM36795" s="1025"/>
      <c r="BO36795" s="43"/>
    </row>
    <row r="36796" spans="65:67" ht="18.75" customHeight="1">
      <c r="BM36796" s="1025"/>
      <c r="BO36796" s="43"/>
    </row>
    <row r="36797" spans="65:67" ht="18.75" customHeight="1">
      <c r="BM36797" s="1025"/>
      <c r="BO36797" s="43"/>
    </row>
    <row r="36798" spans="65:67" ht="18.75" customHeight="1">
      <c r="BM36798" s="1025"/>
      <c r="BO36798" s="43"/>
    </row>
    <row r="36799" spans="65:67" ht="18.75" customHeight="1">
      <c r="BM36799" s="1025"/>
      <c r="BO36799" s="43"/>
    </row>
    <row r="36800" spans="65:67" ht="18.75" customHeight="1">
      <c r="BM36800" s="1025"/>
      <c r="BO36800" s="43"/>
    </row>
    <row r="36801" spans="65:67" ht="18.75" customHeight="1">
      <c r="BM36801" s="1025"/>
      <c r="BO36801" s="43"/>
    </row>
    <row r="36802" spans="65:67" ht="18.75" customHeight="1">
      <c r="BM36802" s="1025"/>
      <c r="BO36802" s="43"/>
    </row>
    <row r="36803" spans="65:67" ht="18.75" customHeight="1">
      <c r="BM36803" s="1025"/>
      <c r="BO36803" s="43"/>
    </row>
    <row r="36804" spans="65:67" ht="18.75" customHeight="1">
      <c r="BM36804" s="1025"/>
      <c r="BO36804" s="43"/>
    </row>
    <row r="36805" spans="65:67" ht="18.75" customHeight="1">
      <c r="BM36805" s="1025"/>
      <c r="BO36805" s="43"/>
    </row>
    <row r="36806" spans="65:67" ht="18.75" customHeight="1">
      <c r="BM36806" s="1025"/>
      <c r="BO36806" s="43"/>
    </row>
    <row r="36807" spans="65:67" ht="18.75" customHeight="1">
      <c r="BM36807" s="1025"/>
      <c r="BO36807" s="43"/>
    </row>
    <row r="36808" spans="65:67" ht="18.75" customHeight="1">
      <c r="BM36808" s="1025"/>
      <c r="BO36808" s="43"/>
    </row>
    <row r="36809" spans="65:67" ht="18.75" customHeight="1">
      <c r="BM36809" s="1025"/>
      <c r="BO36809" s="43"/>
    </row>
    <row r="36810" spans="65:67" ht="18.75" customHeight="1">
      <c r="BM36810" s="1025"/>
      <c r="BO36810" s="43"/>
    </row>
    <row r="36811" spans="65:67" ht="18.75" customHeight="1">
      <c r="BM36811" s="1025"/>
      <c r="BO36811" s="43"/>
    </row>
    <row r="36812" spans="65:67" ht="18.75" customHeight="1">
      <c r="BM36812" s="1025"/>
      <c r="BO36812" s="43"/>
    </row>
    <row r="36813" spans="65:67" ht="18.75" customHeight="1">
      <c r="BM36813" s="1025"/>
      <c r="BO36813" s="43"/>
    </row>
    <row r="36814" spans="65:67" ht="18.75" customHeight="1">
      <c r="BM36814" s="1025"/>
      <c r="BO36814" s="43"/>
    </row>
    <row r="36815" spans="65:67" ht="18.75" customHeight="1">
      <c r="BM36815" s="1025"/>
      <c r="BO36815" s="43"/>
    </row>
    <row r="36816" spans="65:67" ht="18.75" customHeight="1">
      <c r="BM36816" s="1025"/>
      <c r="BO36816" s="43"/>
    </row>
    <row r="36817" spans="65:67" ht="18.75" customHeight="1">
      <c r="BM36817" s="1025"/>
      <c r="BO36817" s="43"/>
    </row>
    <row r="36818" spans="65:67" ht="18.75" customHeight="1">
      <c r="BM36818" s="1025"/>
      <c r="BO36818" s="43"/>
    </row>
    <row r="36819" spans="65:67" ht="18.75" customHeight="1">
      <c r="BM36819" s="1025"/>
      <c r="BO36819" s="43"/>
    </row>
    <row r="36820" spans="65:67" ht="18.75" customHeight="1">
      <c r="BM36820" s="1025"/>
      <c r="BO36820" s="43"/>
    </row>
    <row r="36821" spans="65:67" ht="18.75" customHeight="1">
      <c r="BM36821" s="1025"/>
      <c r="BO36821" s="43"/>
    </row>
    <row r="36822" spans="65:67" ht="18.75" customHeight="1">
      <c r="BM36822" s="1025"/>
      <c r="BO36822" s="43"/>
    </row>
    <row r="36823" spans="65:67" ht="18.75" customHeight="1">
      <c r="BM36823" s="1025"/>
      <c r="BO36823" s="43"/>
    </row>
    <row r="36824" spans="65:67" ht="18.75" customHeight="1">
      <c r="BM36824" s="1025"/>
      <c r="BO36824" s="43"/>
    </row>
    <row r="36825" spans="65:67" ht="18.75" customHeight="1">
      <c r="BM36825" s="1025"/>
      <c r="BO36825" s="43"/>
    </row>
    <row r="36826" spans="65:67" ht="18.75" customHeight="1">
      <c r="BM36826" s="1025"/>
      <c r="BO36826" s="43"/>
    </row>
    <row r="36827" spans="65:67" ht="18.75" customHeight="1">
      <c r="BM36827" s="1025"/>
      <c r="BO36827" s="43"/>
    </row>
    <row r="36828" spans="65:67" ht="18.75" customHeight="1">
      <c r="BM36828" s="1025"/>
      <c r="BO36828" s="43"/>
    </row>
    <row r="36829" spans="65:67" ht="18.75" customHeight="1">
      <c r="BM36829" s="1025"/>
      <c r="BO36829" s="43"/>
    </row>
    <row r="36830" spans="65:67" ht="18.75" customHeight="1">
      <c r="BM36830" s="1025"/>
      <c r="BO36830" s="43"/>
    </row>
    <row r="36831" spans="65:67" ht="18.75" customHeight="1">
      <c r="BM36831" s="1025"/>
      <c r="BO36831" s="43"/>
    </row>
    <row r="36832" spans="65:67" ht="18.75" customHeight="1">
      <c r="BM36832" s="1025"/>
      <c r="BO36832" s="43"/>
    </row>
    <row r="36833" spans="65:67" ht="18.75" customHeight="1">
      <c r="BM36833" s="1025"/>
      <c r="BO36833" s="43"/>
    </row>
    <row r="36834" spans="65:67" ht="18.75" customHeight="1">
      <c r="BM36834" s="1025"/>
      <c r="BO36834" s="43"/>
    </row>
    <row r="36835" spans="65:67" ht="18.75" customHeight="1">
      <c r="BM36835" s="1025"/>
      <c r="BO36835" s="43"/>
    </row>
    <row r="36836" spans="65:67" ht="18.75" customHeight="1">
      <c r="BM36836" s="1025"/>
      <c r="BO36836" s="43"/>
    </row>
    <row r="36837" spans="65:67" ht="18.75" customHeight="1">
      <c r="BM36837" s="1025"/>
      <c r="BO36837" s="43"/>
    </row>
    <row r="36838" spans="65:67" ht="18.75" customHeight="1">
      <c r="BM36838" s="1025"/>
      <c r="BO36838" s="43"/>
    </row>
    <row r="36839" spans="65:67" ht="18.75" customHeight="1">
      <c r="BM36839" s="1025"/>
      <c r="BO36839" s="43"/>
    </row>
    <row r="36840" spans="65:67" ht="18.75" customHeight="1">
      <c r="BM36840" s="1025"/>
      <c r="BO36840" s="43"/>
    </row>
    <row r="36841" spans="65:67" ht="18.75" customHeight="1">
      <c r="BM36841" s="1025"/>
      <c r="BO36841" s="43"/>
    </row>
    <row r="36842" spans="65:67" ht="18.75" customHeight="1">
      <c r="BM36842" s="1025"/>
      <c r="BO36842" s="43"/>
    </row>
    <row r="36843" spans="65:67" ht="18.75" customHeight="1">
      <c r="BM36843" s="1025"/>
      <c r="BO36843" s="43"/>
    </row>
    <row r="36844" spans="65:67" ht="18.75" customHeight="1">
      <c r="BM36844" s="1025"/>
      <c r="BO36844" s="43"/>
    </row>
    <row r="36845" spans="65:67" ht="18.75" customHeight="1">
      <c r="BM36845" s="1025"/>
      <c r="BO36845" s="43"/>
    </row>
    <row r="36846" spans="65:67" ht="18.75" customHeight="1">
      <c r="BM36846" s="1025"/>
      <c r="BO36846" s="43"/>
    </row>
    <row r="36847" spans="65:67" ht="18.75" customHeight="1">
      <c r="BM36847" s="1025"/>
      <c r="BO36847" s="43"/>
    </row>
    <row r="36848" spans="65:67" ht="18.75" customHeight="1">
      <c r="BM36848" s="1025"/>
      <c r="BO36848" s="43"/>
    </row>
    <row r="36849" spans="65:67" ht="18.75" customHeight="1">
      <c r="BM36849" s="1025"/>
      <c r="BO36849" s="43"/>
    </row>
    <row r="36850" spans="65:67" ht="18.75" customHeight="1">
      <c r="BM36850" s="1025"/>
      <c r="BO36850" s="43"/>
    </row>
    <row r="36851" spans="65:67" ht="18.75" customHeight="1">
      <c r="BM36851" s="1025"/>
      <c r="BO36851" s="43"/>
    </row>
    <row r="36852" spans="65:67" ht="18.75" customHeight="1">
      <c r="BM36852" s="1025"/>
      <c r="BO36852" s="43"/>
    </row>
    <row r="36853" spans="65:67" ht="18.75" customHeight="1">
      <c r="BM36853" s="1025"/>
      <c r="BO36853" s="43"/>
    </row>
    <row r="36854" spans="65:67" ht="18.75" customHeight="1">
      <c r="BM36854" s="1025"/>
      <c r="BO36854" s="43"/>
    </row>
    <row r="36855" spans="65:67" ht="18.75" customHeight="1">
      <c r="BM36855" s="1025"/>
      <c r="BO36855" s="43"/>
    </row>
    <row r="36856" spans="65:67" ht="18.75" customHeight="1">
      <c r="BM36856" s="1025"/>
      <c r="BO36856" s="43"/>
    </row>
    <row r="36857" spans="65:67" ht="18.75" customHeight="1">
      <c r="BM36857" s="1025"/>
      <c r="BO36857" s="43"/>
    </row>
    <row r="36858" spans="65:67" ht="18.75" customHeight="1">
      <c r="BM36858" s="1025"/>
      <c r="BO36858" s="43"/>
    </row>
    <row r="36859" spans="65:67" ht="18.75" customHeight="1">
      <c r="BM36859" s="1025"/>
      <c r="BO36859" s="43"/>
    </row>
    <row r="36860" spans="65:67" ht="18.75" customHeight="1">
      <c r="BM36860" s="1025"/>
      <c r="BO36860" s="43"/>
    </row>
    <row r="36861" spans="65:67" ht="18.75" customHeight="1">
      <c r="BM36861" s="1025"/>
      <c r="BO36861" s="43"/>
    </row>
    <row r="36862" spans="65:67" ht="18.75" customHeight="1">
      <c r="BM36862" s="1025"/>
      <c r="BO36862" s="43"/>
    </row>
    <row r="36863" spans="65:67" ht="18.75" customHeight="1">
      <c r="BM36863" s="1025"/>
      <c r="BO36863" s="43"/>
    </row>
    <row r="36864" spans="65:67" ht="18.75" customHeight="1">
      <c r="BM36864" s="1025"/>
      <c r="BO36864" s="43"/>
    </row>
    <row r="36865" spans="65:67" ht="18.75" customHeight="1">
      <c r="BM36865" s="1025"/>
      <c r="BO36865" s="43"/>
    </row>
    <row r="36866" spans="65:67" ht="18.75" customHeight="1">
      <c r="BM36866" s="1025"/>
      <c r="BO36866" s="43"/>
    </row>
    <row r="36867" spans="65:67" ht="18.75" customHeight="1">
      <c r="BM36867" s="1025"/>
      <c r="BO36867" s="43"/>
    </row>
    <row r="36868" spans="65:67" ht="18.75" customHeight="1">
      <c r="BM36868" s="1025"/>
      <c r="BO36868" s="43"/>
    </row>
    <row r="36869" spans="65:67" ht="18.75" customHeight="1">
      <c r="BM36869" s="1025"/>
      <c r="BO36869" s="43"/>
    </row>
    <row r="36870" spans="65:67" ht="18.75" customHeight="1">
      <c r="BM36870" s="1025"/>
      <c r="BO36870" s="43"/>
    </row>
    <row r="36871" spans="65:67" ht="18.75" customHeight="1">
      <c r="BM36871" s="1025"/>
      <c r="BO36871" s="43"/>
    </row>
    <row r="36872" spans="65:67" ht="18.75" customHeight="1">
      <c r="BM36872" s="1025"/>
      <c r="BO36872" s="43"/>
    </row>
    <row r="36873" spans="65:67" ht="18.75" customHeight="1">
      <c r="BM36873" s="1025"/>
      <c r="BO36873" s="43"/>
    </row>
    <row r="36874" spans="65:67" ht="18.75" customHeight="1">
      <c r="BM36874" s="1025"/>
      <c r="BO36874" s="43"/>
    </row>
    <row r="36875" spans="65:67" ht="18.75" customHeight="1">
      <c r="BM36875" s="1025"/>
      <c r="BO36875" s="43"/>
    </row>
    <row r="36876" spans="65:67" ht="18.75" customHeight="1">
      <c r="BM36876" s="1025"/>
      <c r="BO36876" s="43"/>
    </row>
    <row r="36877" spans="65:67" ht="18.75" customHeight="1">
      <c r="BM36877" s="1025"/>
      <c r="BO36877" s="43"/>
    </row>
    <row r="36878" spans="65:67" ht="18.75" customHeight="1">
      <c r="BM36878" s="1025"/>
      <c r="BO36878" s="43"/>
    </row>
    <row r="36879" spans="65:67" ht="18.75" customHeight="1">
      <c r="BM36879" s="1025"/>
      <c r="BO36879" s="43"/>
    </row>
    <row r="36880" spans="65:67" ht="18.75" customHeight="1">
      <c r="BM36880" s="1025"/>
      <c r="BO36880" s="43"/>
    </row>
    <row r="36881" spans="65:67" ht="18.75" customHeight="1">
      <c r="BM36881" s="1025"/>
      <c r="BO36881" s="43"/>
    </row>
    <row r="36882" spans="65:67" ht="18.75" customHeight="1">
      <c r="BM36882" s="1025"/>
      <c r="BO36882" s="43"/>
    </row>
    <row r="36883" spans="65:67" ht="18.75" customHeight="1">
      <c r="BM36883" s="1025"/>
      <c r="BO36883" s="43"/>
    </row>
    <row r="36884" spans="65:67" ht="18.75" customHeight="1">
      <c r="BM36884" s="1025"/>
      <c r="BO36884" s="43"/>
    </row>
    <row r="36885" spans="65:67" ht="18.75" customHeight="1">
      <c r="BM36885" s="1025"/>
      <c r="BO36885" s="43"/>
    </row>
    <row r="36886" spans="65:67" ht="18.75" customHeight="1">
      <c r="BM36886" s="1025"/>
      <c r="BO36886" s="43"/>
    </row>
    <row r="36887" spans="65:67" ht="18.75" customHeight="1">
      <c r="BM36887" s="1025"/>
      <c r="BO36887" s="43"/>
    </row>
    <row r="36888" spans="65:67" ht="18.75" customHeight="1">
      <c r="BM36888" s="1025"/>
      <c r="BO36888" s="43"/>
    </row>
    <row r="36889" spans="65:67" ht="18.75" customHeight="1">
      <c r="BM36889" s="1025"/>
      <c r="BO36889" s="43"/>
    </row>
    <row r="36890" spans="65:67" ht="18.75" customHeight="1">
      <c r="BM36890" s="1025"/>
      <c r="BO36890" s="43"/>
    </row>
    <row r="36891" spans="65:67" ht="18.75" customHeight="1">
      <c r="BM36891" s="1025"/>
      <c r="BO36891" s="43"/>
    </row>
    <row r="36892" spans="65:67" ht="18.75" customHeight="1">
      <c r="BM36892" s="1025"/>
      <c r="BO36892" s="43"/>
    </row>
    <row r="36893" spans="65:67" ht="18.75" customHeight="1">
      <c r="BM36893" s="1025"/>
      <c r="BO36893" s="43"/>
    </row>
    <row r="36894" spans="65:67" ht="18.75" customHeight="1">
      <c r="BM36894" s="1025"/>
      <c r="BO36894" s="43"/>
    </row>
    <row r="36895" spans="65:67" ht="18.75" customHeight="1">
      <c r="BM36895" s="1025"/>
      <c r="BO36895" s="43"/>
    </row>
    <row r="36896" spans="65:67" ht="18.75" customHeight="1">
      <c r="BM36896" s="1025"/>
      <c r="BO36896" s="43"/>
    </row>
    <row r="36897" spans="65:67" ht="18.75" customHeight="1">
      <c r="BM36897" s="1025"/>
      <c r="BO36897" s="43"/>
    </row>
    <row r="36898" spans="65:67" ht="18.75" customHeight="1">
      <c r="BM36898" s="1025"/>
      <c r="BO36898" s="43"/>
    </row>
    <row r="36899" spans="65:67" ht="18.75" customHeight="1">
      <c r="BM36899" s="1025"/>
      <c r="BO36899" s="43"/>
    </row>
    <row r="36900" spans="65:67" ht="18.75" customHeight="1">
      <c r="BM36900" s="1025"/>
      <c r="BO36900" s="43"/>
    </row>
    <row r="36901" spans="65:67" ht="18.75" customHeight="1">
      <c r="BM36901" s="1025"/>
      <c r="BO36901" s="43"/>
    </row>
    <row r="36902" spans="65:67" ht="18.75" customHeight="1">
      <c r="BM36902" s="1025"/>
      <c r="BO36902" s="43"/>
    </row>
    <row r="36903" spans="65:67" ht="18.75" customHeight="1">
      <c r="BM36903" s="1025"/>
      <c r="BO36903" s="43"/>
    </row>
    <row r="36904" spans="65:67" ht="18.75" customHeight="1">
      <c r="BM36904" s="1025"/>
      <c r="BO36904" s="43"/>
    </row>
    <row r="36905" spans="65:67" ht="18.75" customHeight="1">
      <c r="BM36905" s="1025"/>
      <c r="BO36905" s="43"/>
    </row>
    <row r="36906" spans="65:67" ht="18.75" customHeight="1">
      <c r="BM36906" s="1025"/>
      <c r="BO36906" s="43"/>
    </row>
    <row r="36907" spans="65:67" ht="18.75" customHeight="1">
      <c r="BM36907" s="1025"/>
      <c r="BO36907" s="43"/>
    </row>
    <row r="36908" spans="65:67" ht="18.75" customHeight="1">
      <c r="BM36908" s="1025"/>
      <c r="BO36908" s="43"/>
    </row>
    <row r="36909" spans="65:67" ht="18.75" customHeight="1">
      <c r="BM36909" s="1025"/>
      <c r="BO36909" s="43"/>
    </row>
    <row r="36910" spans="65:67" ht="18.75" customHeight="1">
      <c r="BM36910" s="1025"/>
      <c r="BO36910" s="43"/>
    </row>
    <row r="36911" spans="65:67" ht="18.75" customHeight="1">
      <c r="BM36911" s="1025"/>
      <c r="BO36911" s="43"/>
    </row>
    <row r="36912" spans="65:67" ht="18.75" customHeight="1">
      <c r="BM36912" s="1025"/>
      <c r="BO36912" s="43"/>
    </row>
    <row r="36913" spans="65:67" ht="18.75" customHeight="1">
      <c r="BM36913" s="1025"/>
      <c r="BO36913" s="43"/>
    </row>
    <row r="36914" spans="65:67" ht="18.75" customHeight="1">
      <c r="BM36914" s="1025"/>
      <c r="BO36914" s="43"/>
    </row>
    <row r="36915" spans="65:67" ht="18.75" customHeight="1">
      <c r="BM36915" s="1025"/>
      <c r="BO36915" s="43"/>
    </row>
    <row r="36916" spans="65:67" ht="18.75" customHeight="1">
      <c r="BM36916" s="1025"/>
      <c r="BO36916" s="43"/>
    </row>
    <row r="36917" spans="65:67" ht="18.75" customHeight="1">
      <c r="BM36917" s="1025"/>
      <c r="BO36917" s="43"/>
    </row>
    <row r="36918" spans="65:67" ht="18.75" customHeight="1">
      <c r="BM36918" s="1025"/>
      <c r="BO36918" s="43"/>
    </row>
    <row r="36919" spans="65:67" ht="18.75" customHeight="1">
      <c r="BM36919" s="1025"/>
      <c r="BO36919" s="43"/>
    </row>
    <row r="36920" spans="65:67" ht="18.75" customHeight="1">
      <c r="BM36920" s="1025"/>
      <c r="BO36920" s="43"/>
    </row>
    <row r="36921" spans="65:67" ht="18.75" customHeight="1">
      <c r="BM36921" s="1025"/>
      <c r="BO36921" s="43"/>
    </row>
    <row r="36922" spans="65:67" ht="18.75" customHeight="1">
      <c r="BM36922" s="1025"/>
      <c r="BO36922" s="43"/>
    </row>
    <row r="36923" spans="65:67" ht="18.75" customHeight="1">
      <c r="BM36923" s="1025"/>
      <c r="BO36923" s="43"/>
    </row>
    <row r="36924" spans="65:67" ht="18.75" customHeight="1">
      <c r="BM36924" s="1025"/>
      <c r="BO36924" s="43"/>
    </row>
    <row r="36925" spans="65:67" ht="18.75" customHeight="1">
      <c r="BM36925" s="1025"/>
      <c r="BO36925" s="43"/>
    </row>
    <row r="36926" spans="65:67" ht="18.75" customHeight="1">
      <c r="BM36926" s="1025"/>
      <c r="BO36926" s="43"/>
    </row>
    <row r="36927" spans="65:67" ht="18.75" customHeight="1">
      <c r="BM36927" s="1025"/>
      <c r="BO36927" s="43"/>
    </row>
    <row r="36928" spans="65:67" ht="18.75" customHeight="1">
      <c r="BM36928" s="1025"/>
      <c r="BO36928" s="43"/>
    </row>
    <row r="36929" spans="65:67" ht="18.75" customHeight="1">
      <c r="BM36929" s="1025"/>
      <c r="BO36929" s="43"/>
    </row>
    <row r="36930" spans="65:67" ht="18.75" customHeight="1">
      <c r="BM36930" s="1025"/>
      <c r="BO36930" s="43"/>
    </row>
    <row r="36931" spans="65:67" ht="18.75" customHeight="1">
      <c r="BM36931" s="1025"/>
      <c r="BO36931" s="43"/>
    </row>
    <row r="36932" spans="65:67" ht="18.75" customHeight="1">
      <c r="BM36932" s="1025"/>
      <c r="BO36932" s="43"/>
    </row>
    <row r="36933" spans="65:67" ht="18.75" customHeight="1">
      <c r="BM36933" s="1025"/>
      <c r="BO36933" s="43"/>
    </row>
    <row r="36934" spans="65:67" ht="18.75" customHeight="1">
      <c r="BM36934" s="1025"/>
      <c r="BO36934" s="43"/>
    </row>
    <row r="36935" spans="65:67" ht="18.75" customHeight="1">
      <c r="BM36935" s="1025"/>
      <c r="BO36935" s="43"/>
    </row>
    <row r="36936" spans="65:67" ht="18.75" customHeight="1">
      <c r="BM36936" s="1025"/>
      <c r="BO36936" s="43"/>
    </row>
    <row r="36937" spans="65:67" ht="18.75" customHeight="1">
      <c r="BM36937" s="1025"/>
      <c r="BO36937" s="43"/>
    </row>
    <row r="36938" spans="65:67" ht="18.75" customHeight="1">
      <c r="BM36938" s="1025"/>
      <c r="BO36938" s="43"/>
    </row>
    <row r="36939" spans="65:67" ht="18.75" customHeight="1">
      <c r="BM36939" s="1025"/>
      <c r="BO36939" s="43"/>
    </row>
    <row r="36940" spans="65:67" ht="18.75" customHeight="1">
      <c r="BM36940" s="1025"/>
      <c r="BO36940" s="43"/>
    </row>
    <row r="36941" spans="65:67" ht="18.75" customHeight="1">
      <c r="BM36941" s="1025"/>
      <c r="BO36941" s="43"/>
    </row>
    <row r="36942" spans="65:67" ht="18.75" customHeight="1">
      <c r="BM36942" s="1025"/>
      <c r="BO36942" s="43"/>
    </row>
    <row r="36943" spans="65:67" ht="18.75" customHeight="1">
      <c r="BM36943" s="1025"/>
      <c r="BO36943" s="43"/>
    </row>
    <row r="36944" spans="65:67" ht="18.75" customHeight="1">
      <c r="BM36944" s="1025"/>
      <c r="BO36944" s="43"/>
    </row>
    <row r="36945" spans="65:67" ht="18.75" customHeight="1">
      <c r="BM36945" s="1025"/>
      <c r="BO36945" s="43"/>
    </row>
    <row r="36946" spans="65:67" ht="18.75" customHeight="1">
      <c r="BM36946" s="1025"/>
      <c r="BO36946" s="43"/>
    </row>
    <row r="36947" spans="65:67" ht="18.75" customHeight="1">
      <c r="BM36947" s="1025"/>
      <c r="BO36947" s="43"/>
    </row>
    <row r="36948" spans="65:67" ht="18.75" customHeight="1">
      <c r="BM36948" s="1025"/>
      <c r="BO36948" s="43"/>
    </row>
    <row r="36949" spans="65:67" ht="18.75" customHeight="1">
      <c r="BM36949" s="1025"/>
      <c r="BO36949" s="43"/>
    </row>
    <row r="36950" spans="65:67" ht="18.75" customHeight="1">
      <c r="BM36950" s="1025"/>
      <c r="BO36950" s="43"/>
    </row>
    <row r="36951" spans="65:67" ht="18.75" customHeight="1">
      <c r="BM36951" s="1025"/>
      <c r="BO36951" s="43"/>
    </row>
    <row r="36952" spans="65:67" ht="18.75" customHeight="1">
      <c r="BM36952" s="1025"/>
      <c r="BO36952" s="43"/>
    </row>
    <row r="36953" spans="65:67" ht="18.75" customHeight="1">
      <c r="BM36953" s="1025"/>
      <c r="BO36953" s="43"/>
    </row>
    <row r="36954" spans="65:67" ht="18.75" customHeight="1">
      <c r="BM36954" s="1025"/>
      <c r="BO36954" s="43"/>
    </row>
    <row r="36955" spans="65:67" ht="18.75" customHeight="1">
      <c r="BM36955" s="1025"/>
      <c r="BO36955" s="43"/>
    </row>
    <row r="36956" spans="65:67" ht="18.75" customHeight="1">
      <c r="BM36956" s="1025"/>
      <c r="BO36956" s="43"/>
    </row>
    <row r="36957" spans="65:67" ht="18.75" customHeight="1">
      <c r="BM36957" s="1025"/>
      <c r="BO36957" s="43"/>
    </row>
    <row r="36958" spans="65:67" ht="18.75" customHeight="1">
      <c r="BM36958" s="1025"/>
      <c r="BO36958" s="43"/>
    </row>
    <row r="36959" spans="65:67" ht="18.75" customHeight="1">
      <c r="BM36959" s="1025"/>
      <c r="BO36959" s="43"/>
    </row>
    <row r="36960" spans="65:67" ht="18.75" customHeight="1">
      <c r="BM36960" s="1025"/>
      <c r="BO36960" s="43"/>
    </row>
    <row r="36961" spans="65:67" ht="18.75" customHeight="1">
      <c r="BM36961" s="1025"/>
      <c r="BO36961" s="43"/>
    </row>
    <row r="36962" spans="65:67" ht="18.75" customHeight="1">
      <c r="BM36962" s="1025"/>
      <c r="BO36962" s="43"/>
    </row>
    <row r="36963" spans="65:67" ht="18.75" customHeight="1">
      <c r="BM36963" s="1025"/>
      <c r="BO36963" s="43"/>
    </row>
    <row r="36964" spans="65:67" ht="18.75" customHeight="1">
      <c r="BM36964" s="1025"/>
      <c r="BO36964" s="43"/>
    </row>
    <row r="36965" spans="65:67" ht="18.75" customHeight="1">
      <c r="BM36965" s="1025"/>
      <c r="BO36965" s="43"/>
    </row>
    <row r="36966" spans="65:67" ht="18.75" customHeight="1">
      <c r="BM36966" s="1025"/>
      <c r="BO36966" s="43"/>
    </row>
    <row r="36967" spans="65:67" ht="18.75" customHeight="1">
      <c r="BM36967" s="1025"/>
      <c r="BO36967" s="43"/>
    </row>
    <row r="36968" spans="65:67" ht="18.75" customHeight="1">
      <c r="BM36968" s="1025"/>
      <c r="BO36968" s="43"/>
    </row>
    <row r="36969" spans="65:67" ht="18.75" customHeight="1">
      <c r="BM36969" s="1025"/>
      <c r="BO36969" s="43"/>
    </row>
    <row r="36970" spans="65:67" ht="18.75" customHeight="1">
      <c r="BM36970" s="1025"/>
      <c r="BO36970" s="43"/>
    </row>
    <row r="36971" spans="65:67" ht="18.75" customHeight="1">
      <c r="BM36971" s="1025"/>
      <c r="BO36971" s="43"/>
    </row>
    <row r="36972" spans="65:67" ht="18.75" customHeight="1">
      <c r="BM36972" s="1025"/>
      <c r="BO36972" s="43"/>
    </row>
    <row r="36973" spans="65:67" ht="18.75" customHeight="1">
      <c r="BM36973" s="1025"/>
      <c r="BO36973" s="43"/>
    </row>
    <row r="36974" spans="65:67" ht="18.75" customHeight="1">
      <c r="BM36974" s="1025"/>
      <c r="BO36974" s="43"/>
    </row>
    <row r="36975" spans="65:67" ht="18.75" customHeight="1">
      <c r="BM36975" s="1025"/>
      <c r="BO36975" s="43"/>
    </row>
    <row r="36976" spans="65:67" ht="18.75" customHeight="1">
      <c r="BM36976" s="1025"/>
      <c r="BO36976" s="43"/>
    </row>
    <row r="36977" spans="65:67" ht="18.75" customHeight="1">
      <c r="BM36977" s="1025"/>
      <c r="BO36977" s="43"/>
    </row>
    <row r="36978" spans="65:67" ht="18.75" customHeight="1">
      <c r="BM36978" s="1025"/>
      <c r="BO36978" s="43"/>
    </row>
    <row r="36979" spans="65:67" ht="18.75" customHeight="1">
      <c r="BM36979" s="1025"/>
      <c r="BO36979" s="43"/>
    </row>
    <row r="36980" spans="65:67" ht="18.75" customHeight="1">
      <c r="BM36980" s="1025"/>
      <c r="BO36980" s="43"/>
    </row>
    <row r="36981" spans="65:67" ht="18.75" customHeight="1">
      <c r="BM36981" s="1025"/>
      <c r="BO36981" s="43"/>
    </row>
    <row r="36982" spans="65:67" ht="18.75" customHeight="1">
      <c r="BM36982" s="1025"/>
      <c r="BO36982" s="43"/>
    </row>
    <row r="36983" spans="65:67" ht="18.75" customHeight="1">
      <c r="BM36983" s="1025"/>
      <c r="BO36983" s="43"/>
    </row>
    <row r="36984" spans="65:67" ht="18.75" customHeight="1">
      <c r="BM36984" s="1025"/>
      <c r="BO36984" s="43"/>
    </row>
    <row r="36985" spans="65:67" ht="18.75" customHeight="1">
      <c r="BM36985" s="1025"/>
      <c r="BO36985" s="43"/>
    </row>
    <row r="36986" spans="65:67" ht="18.75" customHeight="1">
      <c r="BM36986" s="1025"/>
      <c r="BO36986" s="43"/>
    </row>
    <row r="36987" spans="65:67" ht="18.75" customHeight="1">
      <c r="BM36987" s="1025"/>
      <c r="BO36987" s="43"/>
    </row>
    <row r="36988" spans="65:67" ht="18.75" customHeight="1">
      <c r="BM36988" s="1025"/>
      <c r="BO36988" s="43"/>
    </row>
    <row r="36989" spans="65:67" ht="18.75" customHeight="1">
      <c r="BM36989" s="1025"/>
      <c r="BO36989" s="43"/>
    </row>
    <row r="36990" spans="65:67" ht="18.75" customHeight="1">
      <c r="BM36990" s="1025"/>
      <c r="BO36990" s="43"/>
    </row>
    <row r="36991" spans="65:67" ht="18.75" customHeight="1">
      <c r="BM36991" s="1025"/>
      <c r="BO36991" s="43"/>
    </row>
    <row r="36992" spans="65:67" ht="18.75" customHeight="1">
      <c r="BM36992" s="1025"/>
      <c r="BO36992" s="43"/>
    </row>
    <row r="36993" spans="65:67" ht="18.75" customHeight="1">
      <c r="BM36993" s="1025"/>
      <c r="BO36993" s="43"/>
    </row>
    <row r="36994" spans="65:67" ht="18.75" customHeight="1">
      <c r="BM36994" s="1025"/>
      <c r="BO36994" s="43"/>
    </row>
    <row r="36995" spans="65:67" ht="18.75" customHeight="1">
      <c r="BM36995" s="1025"/>
      <c r="BO36995" s="43"/>
    </row>
    <row r="36996" spans="65:67" ht="18.75" customHeight="1">
      <c r="BM36996" s="1025"/>
      <c r="BO36996" s="43"/>
    </row>
    <row r="36997" spans="65:67" ht="18.75" customHeight="1">
      <c r="BM36997" s="1025"/>
      <c r="BO36997" s="43"/>
    </row>
    <row r="36998" spans="65:67" ht="18.75" customHeight="1">
      <c r="BM36998" s="1025"/>
      <c r="BO36998" s="43"/>
    </row>
    <row r="36999" spans="65:67" ht="18.75" customHeight="1">
      <c r="BM36999" s="1025"/>
      <c r="BO36999" s="43"/>
    </row>
    <row r="37000" spans="65:67" ht="18.75" customHeight="1">
      <c r="BM37000" s="1025"/>
      <c r="BO37000" s="43"/>
    </row>
    <row r="37001" spans="65:67" ht="18.75" customHeight="1">
      <c r="BM37001" s="1025"/>
      <c r="BO37001" s="43"/>
    </row>
    <row r="37002" spans="65:67" ht="18.75" customHeight="1">
      <c r="BM37002" s="1025"/>
      <c r="BO37002" s="43"/>
    </row>
    <row r="37003" spans="65:67" ht="18.75" customHeight="1">
      <c r="BM37003" s="1025"/>
      <c r="BO37003" s="43"/>
    </row>
    <row r="37004" spans="65:67" ht="18.75" customHeight="1">
      <c r="BM37004" s="1025"/>
      <c r="BO37004" s="43"/>
    </row>
    <row r="37005" spans="65:67" ht="18.75" customHeight="1">
      <c r="BM37005" s="1025"/>
      <c r="BO37005" s="43"/>
    </row>
    <row r="37006" spans="65:67" ht="18.75" customHeight="1">
      <c r="BM37006" s="1025"/>
      <c r="BO37006" s="43"/>
    </row>
    <row r="37007" spans="65:67" ht="18.75" customHeight="1">
      <c r="BM37007" s="1025"/>
      <c r="BO37007" s="43"/>
    </row>
    <row r="37008" spans="65:67" ht="18.75" customHeight="1">
      <c r="BM37008" s="1025"/>
      <c r="BO37008" s="43"/>
    </row>
    <row r="37009" spans="65:67" ht="18.75" customHeight="1">
      <c r="BM37009" s="1025"/>
      <c r="BO37009" s="43"/>
    </row>
    <row r="37010" spans="65:67" ht="18.75" customHeight="1">
      <c r="BM37010" s="1025"/>
      <c r="BO37010" s="43"/>
    </row>
    <row r="37011" spans="65:67" ht="18.75" customHeight="1">
      <c r="BM37011" s="1025"/>
      <c r="BO37011" s="43"/>
    </row>
    <row r="37012" spans="65:67" ht="18.75" customHeight="1">
      <c r="BM37012" s="1025"/>
      <c r="BO37012" s="43"/>
    </row>
    <row r="37013" spans="65:67" ht="18.75" customHeight="1">
      <c r="BM37013" s="1025"/>
      <c r="BO37013" s="43"/>
    </row>
    <row r="37014" spans="65:67" ht="18.75" customHeight="1">
      <c r="BM37014" s="1025"/>
      <c r="BO37014" s="43"/>
    </row>
    <row r="37015" spans="65:67" ht="18.75" customHeight="1">
      <c r="BM37015" s="1025"/>
      <c r="BO37015" s="43"/>
    </row>
    <row r="37016" spans="65:67" ht="18.75" customHeight="1">
      <c r="BM37016" s="1025"/>
      <c r="BO37016" s="43"/>
    </row>
    <row r="37017" spans="65:67" ht="18.75" customHeight="1">
      <c r="BM37017" s="1025"/>
      <c r="BO37017" s="43"/>
    </row>
    <row r="37018" spans="65:67" ht="18.75" customHeight="1">
      <c r="BM37018" s="1025"/>
      <c r="BO37018" s="43"/>
    </row>
    <row r="37019" spans="65:67" ht="18.75" customHeight="1">
      <c r="BM37019" s="1025"/>
      <c r="BO37019" s="43"/>
    </row>
    <row r="37020" spans="65:67" ht="18.75" customHeight="1">
      <c r="BM37020" s="1025"/>
      <c r="BO37020" s="43"/>
    </row>
    <row r="37021" spans="65:67" ht="18.75" customHeight="1">
      <c r="BM37021" s="1025"/>
      <c r="BO37021" s="43"/>
    </row>
    <row r="37022" spans="65:67" ht="18.75" customHeight="1">
      <c r="BM37022" s="1025"/>
      <c r="BO37022" s="43"/>
    </row>
    <row r="37023" spans="65:67" ht="18.75" customHeight="1">
      <c r="BM37023" s="1025"/>
      <c r="BO37023" s="43"/>
    </row>
    <row r="37024" spans="65:67" ht="18.75" customHeight="1">
      <c r="BM37024" s="1025"/>
      <c r="BO37024" s="43"/>
    </row>
    <row r="37025" spans="65:67" ht="18.75" customHeight="1">
      <c r="BM37025" s="1025"/>
      <c r="BO37025" s="43"/>
    </row>
    <row r="37026" spans="65:67" ht="18.75" customHeight="1">
      <c r="BM37026" s="1025"/>
      <c r="BO37026" s="43"/>
    </row>
    <row r="37027" spans="65:67" ht="18.75" customHeight="1">
      <c r="BM37027" s="1025"/>
      <c r="BO37027" s="43"/>
    </row>
    <row r="37028" spans="65:67" ht="18.75" customHeight="1">
      <c r="BM37028" s="1025"/>
      <c r="BO37028" s="43"/>
    </row>
    <row r="37029" spans="65:67" ht="18.75" customHeight="1">
      <c r="BM37029" s="1025"/>
      <c r="BO37029" s="43"/>
    </row>
    <row r="37030" spans="65:67" ht="18.75" customHeight="1">
      <c r="BM37030" s="1025"/>
      <c r="BO37030" s="43"/>
    </row>
    <row r="37031" spans="65:67" ht="18.75" customHeight="1">
      <c r="BM37031" s="1025"/>
      <c r="BO37031" s="43"/>
    </row>
    <row r="37032" spans="65:67" ht="18.75" customHeight="1">
      <c r="BM37032" s="1025"/>
      <c r="BO37032" s="43"/>
    </row>
    <row r="37033" spans="65:67" ht="18.75" customHeight="1">
      <c r="BM37033" s="1025"/>
      <c r="BO37033" s="43"/>
    </row>
    <row r="37034" spans="65:67" ht="18.75" customHeight="1">
      <c r="BM37034" s="1025"/>
      <c r="BO37034" s="43"/>
    </row>
    <row r="37035" spans="65:67" ht="18.75" customHeight="1">
      <c r="BM37035" s="1025"/>
      <c r="BO37035" s="43"/>
    </row>
    <row r="37036" spans="65:67" ht="18.75" customHeight="1">
      <c r="BM37036" s="1025"/>
      <c r="BO37036" s="43"/>
    </row>
    <row r="37037" spans="65:67" ht="18.75" customHeight="1">
      <c r="BM37037" s="1025"/>
      <c r="BO37037" s="43"/>
    </row>
    <row r="37038" spans="65:67" ht="18.75" customHeight="1">
      <c r="BM37038" s="1025"/>
      <c r="BO37038" s="43"/>
    </row>
    <row r="37039" spans="65:67" ht="18.75" customHeight="1">
      <c r="BM37039" s="1025"/>
      <c r="BO37039" s="43"/>
    </row>
    <row r="37040" spans="65:67" ht="18.75" customHeight="1">
      <c r="BM37040" s="1025"/>
      <c r="BO37040" s="43"/>
    </row>
    <row r="37041" spans="65:67" ht="18.75" customHeight="1">
      <c r="BM37041" s="1025"/>
      <c r="BO37041" s="43"/>
    </row>
    <row r="37042" spans="65:67" ht="18.75" customHeight="1">
      <c r="BM37042" s="1025"/>
      <c r="BO37042" s="43"/>
    </row>
    <row r="37043" spans="65:67" ht="18.75" customHeight="1">
      <c r="BM37043" s="1025"/>
      <c r="BO37043" s="43"/>
    </row>
    <row r="37044" spans="65:67" ht="18.75" customHeight="1">
      <c r="BM37044" s="1025"/>
      <c r="BO37044" s="43"/>
    </row>
    <row r="37045" spans="65:67" ht="18.75" customHeight="1">
      <c r="BM37045" s="1025"/>
      <c r="BO37045" s="43"/>
    </row>
    <row r="37046" spans="65:67" ht="18.75" customHeight="1">
      <c r="BM37046" s="1025"/>
      <c r="BO37046" s="43"/>
    </row>
    <row r="37047" spans="65:67" ht="18.75" customHeight="1">
      <c r="BM37047" s="1025"/>
      <c r="BO37047" s="43"/>
    </row>
    <row r="37048" spans="65:67" ht="18.75" customHeight="1">
      <c r="BM37048" s="1025"/>
      <c r="BO37048" s="43"/>
    </row>
    <row r="37049" spans="65:67" ht="18.75" customHeight="1">
      <c r="BM37049" s="1025"/>
      <c r="BO37049" s="43"/>
    </row>
    <row r="37050" spans="65:67" ht="18.75" customHeight="1">
      <c r="BM37050" s="1025"/>
      <c r="BO37050" s="43"/>
    </row>
    <row r="37051" spans="65:67" ht="18.75" customHeight="1">
      <c r="BM37051" s="1025"/>
      <c r="BO37051" s="43"/>
    </row>
    <row r="37052" spans="65:67" ht="18.75" customHeight="1">
      <c r="BM37052" s="1025"/>
      <c r="BO37052" s="43"/>
    </row>
    <row r="37053" spans="65:67" ht="18.75" customHeight="1">
      <c r="BM37053" s="1025"/>
      <c r="BO37053" s="43"/>
    </row>
    <row r="37054" spans="65:67" ht="18.75" customHeight="1">
      <c r="BM37054" s="1025"/>
      <c r="BO37054" s="43"/>
    </row>
    <row r="37055" spans="65:67" ht="18.75" customHeight="1">
      <c r="BM37055" s="1025"/>
      <c r="BO37055" s="43"/>
    </row>
    <row r="37056" spans="65:67" ht="18.75" customHeight="1">
      <c r="BM37056" s="1025"/>
      <c r="BO37056" s="43"/>
    </row>
    <row r="37057" spans="65:67" ht="18.75" customHeight="1">
      <c r="BM37057" s="1025"/>
      <c r="BO37057" s="43"/>
    </row>
    <row r="37058" spans="65:67" ht="18.75" customHeight="1">
      <c r="BM37058" s="1025"/>
      <c r="BO37058" s="43"/>
    </row>
    <row r="37059" spans="65:67" ht="18.75" customHeight="1">
      <c r="BM37059" s="1025"/>
      <c r="BO37059" s="43"/>
    </row>
    <row r="37060" spans="65:67" ht="18.75" customHeight="1">
      <c r="BM37060" s="1025"/>
      <c r="BO37060" s="43"/>
    </row>
    <row r="37061" spans="65:67" ht="18.75" customHeight="1">
      <c r="BM37061" s="1025"/>
      <c r="BO37061" s="43"/>
    </row>
    <row r="37062" spans="65:67" ht="18.75" customHeight="1">
      <c r="BM37062" s="1025"/>
      <c r="BO37062" s="43"/>
    </row>
    <row r="37063" spans="65:67" ht="18.75" customHeight="1">
      <c r="BM37063" s="1025"/>
      <c r="BO37063" s="43"/>
    </row>
    <row r="37064" spans="65:67" ht="18.75" customHeight="1">
      <c r="BM37064" s="1025"/>
      <c r="BO37064" s="43"/>
    </row>
    <row r="37065" spans="65:67" ht="18.75" customHeight="1">
      <c r="BM37065" s="1025"/>
      <c r="BO37065" s="43"/>
    </row>
    <row r="37066" spans="65:67" ht="18.75" customHeight="1">
      <c r="BM37066" s="1025"/>
      <c r="BO37066" s="43"/>
    </row>
    <row r="37067" spans="65:67" ht="18.75" customHeight="1">
      <c r="BM37067" s="1025"/>
      <c r="BO37067" s="43"/>
    </row>
    <row r="37068" spans="65:67" ht="18.75" customHeight="1">
      <c r="BM37068" s="1025"/>
      <c r="BO37068" s="43"/>
    </row>
    <row r="37069" spans="65:67" ht="18.75" customHeight="1">
      <c r="BM37069" s="1025"/>
      <c r="BO37069" s="43"/>
    </row>
    <row r="37070" spans="65:67" ht="18.75" customHeight="1">
      <c r="BM37070" s="1025"/>
      <c r="BO37070" s="43"/>
    </row>
    <row r="37071" spans="65:67" ht="18.75" customHeight="1">
      <c r="BM37071" s="1025"/>
      <c r="BO37071" s="43"/>
    </row>
    <row r="37072" spans="65:67" ht="18.75" customHeight="1">
      <c r="BM37072" s="1025"/>
      <c r="BO37072" s="43"/>
    </row>
    <row r="37073" spans="65:67" ht="18.75" customHeight="1">
      <c r="BM37073" s="1025"/>
      <c r="BO37073" s="43"/>
    </row>
    <row r="37074" spans="65:67" ht="18.75" customHeight="1">
      <c r="BM37074" s="1025"/>
      <c r="BO37074" s="43"/>
    </row>
    <row r="37075" spans="65:67" ht="18.75" customHeight="1">
      <c r="BM37075" s="1025"/>
      <c r="BO37075" s="43"/>
    </row>
    <row r="37076" spans="65:67" ht="18.75" customHeight="1">
      <c r="BM37076" s="1025"/>
      <c r="BO37076" s="43"/>
    </row>
    <row r="37077" spans="65:67" ht="18.75" customHeight="1">
      <c r="BM37077" s="1025"/>
      <c r="BO37077" s="43"/>
    </row>
    <row r="37078" spans="65:67" ht="18.75" customHeight="1">
      <c r="BM37078" s="1025"/>
      <c r="BO37078" s="43"/>
    </row>
    <row r="37079" spans="65:67" ht="18.75" customHeight="1">
      <c r="BM37079" s="1025"/>
      <c r="BO37079" s="43"/>
    </row>
    <row r="37080" spans="65:67" ht="18.75" customHeight="1">
      <c r="BM37080" s="1025"/>
      <c r="BO37080" s="43"/>
    </row>
    <row r="37081" spans="65:67" ht="18.75" customHeight="1">
      <c r="BM37081" s="1025"/>
      <c r="BO37081" s="43"/>
    </row>
    <row r="37082" spans="65:67" ht="18.75" customHeight="1">
      <c r="BM37082" s="1025"/>
      <c r="BO37082" s="43"/>
    </row>
    <row r="37083" spans="65:67" ht="18.75" customHeight="1">
      <c r="BM37083" s="1025"/>
      <c r="BO37083" s="43"/>
    </row>
    <row r="37084" spans="65:67" ht="18.75" customHeight="1">
      <c r="BM37084" s="1025"/>
      <c r="BO37084" s="43"/>
    </row>
    <row r="37085" spans="65:67" ht="18.75" customHeight="1">
      <c r="BM37085" s="1025"/>
      <c r="BO37085" s="43"/>
    </row>
    <row r="37086" spans="65:67" ht="18.75" customHeight="1">
      <c r="BM37086" s="1025"/>
      <c r="BO37086" s="43"/>
    </row>
    <row r="37087" spans="65:67" ht="18.75" customHeight="1">
      <c r="BM37087" s="1025"/>
      <c r="BO37087" s="43"/>
    </row>
    <row r="37088" spans="65:67" ht="18.75" customHeight="1">
      <c r="BM37088" s="1025"/>
      <c r="BO37088" s="43"/>
    </row>
    <row r="37089" spans="65:67" ht="18.75" customHeight="1">
      <c r="BM37089" s="1025"/>
      <c r="BO37089" s="43"/>
    </row>
    <row r="37090" spans="65:67" ht="18.75" customHeight="1">
      <c r="BM37090" s="1025"/>
      <c r="BO37090" s="43"/>
    </row>
    <row r="37091" spans="65:67" ht="18.75" customHeight="1">
      <c r="BM37091" s="1025"/>
      <c r="BO37091" s="43"/>
    </row>
    <row r="37092" spans="65:67" ht="18.75" customHeight="1">
      <c r="BM37092" s="1025"/>
      <c r="BO37092" s="43"/>
    </row>
    <row r="37093" spans="65:67" ht="18.75" customHeight="1">
      <c r="BM37093" s="1025"/>
      <c r="BO37093" s="43"/>
    </row>
    <row r="37094" spans="65:67" ht="18.75" customHeight="1">
      <c r="BM37094" s="1025"/>
      <c r="BO37094" s="43"/>
    </row>
    <row r="37095" spans="65:67" ht="18.75" customHeight="1">
      <c r="BM37095" s="1025"/>
      <c r="BO37095" s="43"/>
    </row>
    <row r="37096" spans="65:67" ht="18.75" customHeight="1">
      <c r="BM37096" s="1025"/>
      <c r="BO37096" s="43"/>
    </row>
    <row r="37097" spans="65:67" ht="18.75" customHeight="1">
      <c r="BM37097" s="1025"/>
      <c r="BO37097" s="43"/>
    </row>
    <row r="37098" spans="65:67" ht="18.75" customHeight="1">
      <c r="BM37098" s="1025"/>
      <c r="BO37098" s="43"/>
    </row>
    <row r="37099" spans="65:67" ht="18.75" customHeight="1">
      <c r="BM37099" s="1025"/>
      <c r="BO37099" s="43"/>
    </row>
    <row r="37100" spans="65:67" ht="18.75" customHeight="1">
      <c r="BM37100" s="1025"/>
      <c r="BO37100" s="43"/>
    </row>
    <row r="37101" spans="65:67" ht="18.75" customHeight="1">
      <c r="BM37101" s="1025"/>
      <c r="BO37101" s="43"/>
    </row>
    <row r="37102" spans="65:67" ht="18.75" customHeight="1">
      <c r="BM37102" s="1025"/>
      <c r="BO37102" s="43"/>
    </row>
    <row r="37103" spans="65:67" ht="18.75" customHeight="1">
      <c r="BM37103" s="1025"/>
      <c r="BO37103" s="43"/>
    </row>
    <row r="37104" spans="65:67" ht="18.75" customHeight="1">
      <c r="BM37104" s="1025"/>
      <c r="BO37104" s="43"/>
    </row>
    <row r="37105" spans="65:67" ht="18.75" customHeight="1">
      <c r="BM37105" s="1025"/>
      <c r="BO37105" s="43"/>
    </row>
    <row r="37106" spans="65:67" ht="18.75" customHeight="1">
      <c r="BM37106" s="1025"/>
      <c r="BO37106" s="43"/>
    </row>
    <row r="37107" spans="65:67" ht="18.75" customHeight="1">
      <c r="BM37107" s="1025"/>
      <c r="BO37107" s="43"/>
    </row>
    <row r="37108" spans="65:67" ht="18.75" customHeight="1">
      <c r="BM37108" s="1025"/>
      <c r="BO37108" s="43"/>
    </row>
    <row r="37109" spans="65:67" ht="18.75" customHeight="1">
      <c r="BM37109" s="1025"/>
      <c r="BO37109" s="43"/>
    </row>
    <row r="37110" spans="65:67" ht="18.75" customHeight="1">
      <c r="BM37110" s="1025"/>
      <c r="BO37110" s="43"/>
    </row>
    <row r="37111" spans="65:67" ht="18.75" customHeight="1">
      <c r="BM37111" s="1025"/>
      <c r="BO37111" s="43"/>
    </row>
    <row r="37112" spans="65:67" ht="18.75" customHeight="1">
      <c r="BM37112" s="1025"/>
      <c r="BO37112" s="43"/>
    </row>
    <row r="37113" spans="65:67" ht="18.75" customHeight="1">
      <c r="BM37113" s="1025"/>
      <c r="BO37113" s="43"/>
    </row>
    <row r="37114" spans="65:67" ht="18.75" customHeight="1">
      <c r="BM37114" s="1025"/>
      <c r="BO37114" s="43"/>
    </row>
    <row r="37115" spans="65:67" ht="18.75" customHeight="1">
      <c r="BM37115" s="1025"/>
      <c r="BO37115" s="43"/>
    </row>
    <row r="37116" spans="65:67" ht="18.75" customHeight="1">
      <c r="BM37116" s="1025"/>
      <c r="BO37116" s="43"/>
    </row>
    <row r="37117" spans="65:67" ht="18.75" customHeight="1">
      <c r="BM37117" s="1025"/>
      <c r="BO37117" s="43"/>
    </row>
    <row r="37118" spans="65:67" ht="18.75" customHeight="1">
      <c r="BM37118" s="1025"/>
      <c r="BO37118" s="43"/>
    </row>
    <row r="37119" spans="65:67" ht="18.75" customHeight="1">
      <c r="BM37119" s="1025"/>
      <c r="BO37119" s="43"/>
    </row>
    <row r="37120" spans="65:67" ht="18.75" customHeight="1">
      <c r="BM37120" s="1025"/>
      <c r="BO37120" s="43"/>
    </row>
    <row r="37121" spans="65:67" ht="18.75" customHeight="1">
      <c r="BM37121" s="1025"/>
      <c r="BO37121" s="43"/>
    </row>
    <row r="37122" spans="65:67" ht="18.75" customHeight="1">
      <c r="BM37122" s="1025"/>
      <c r="BO37122" s="43"/>
    </row>
    <row r="37123" spans="65:67" ht="18.75" customHeight="1">
      <c r="BM37123" s="1025"/>
      <c r="BO37123" s="43"/>
    </row>
    <row r="37124" spans="65:67" ht="18.75" customHeight="1">
      <c r="BM37124" s="1025"/>
      <c r="BO37124" s="43"/>
    </row>
    <row r="37125" spans="65:67" ht="18.75" customHeight="1">
      <c r="BM37125" s="1025"/>
      <c r="BO37125" s="43"/>
    </row>
    <row r="37126" spans="65:67" ht="18.75" customHeight="1">
      <c r="BM37126" s="1025"/>
      <c r="BO37126" s="43"/>
    </row>
    <row r="37127" spans="65:67" ht="18.75" customHeight="1">
      <c r="BM37127" s="1025"/>
      <c r="BO37127" s="43"/>
    </row>
    <row r="37128" spans="65:67" ht="18.75" customHeight="1">
      <c r="BM37128" s="1025"/>
      <c r="BO37128" s="43"/>
    </row>
    <row r="37129" spans="65:67" ht="18.75" customHeight="1">
      <c r="BM37129" s="1025"/>
      <c r="BO37129" s="43"/>
    </row>
    <row r="37130" spans="65:67" ht="18.75" customHeight="1">
      <c r="BM37130" s="1025"/>
      <c r="BO37130" s="43"/>
    </row>
    <row r="37131" spans="65:67" ht="18.75" customHeight="1">
      <c r="BM37131" s="1025"/>
      <c r="BO37131" s="43"/>
    </row>
    <row r="37132" spans="65:67" ht="18.75" customHeight="1">
      <c r="BM37132" s="1025"/>
      <c r="BO37132" s="43"/>
    </row>
    <row r="37133" spans="65:67" ht="18.75" customHeight="1">
      <c r="BM37133" s="1025"/>
      <c r="BO37133" s="43"/>
    </row>
    <row r="37134" spans="65:67" ht="18.75" customHeight="1">
      <c r="BM37134" s="1025"/>
      <c r="BO37134" s="43"/>
    </row>
    <row r="37135" spans="65:67" ht="18.75" customHeight="1">
      <c r="BM37135" s="1025"/>
      <c r="BO37135" s="43"/>
    </row>
    <row r="37136" spans="65:67" ht="18.75" customHeight="1">
      <c r="BM37136" s="1025"/>
      <c r="BO37136" s="43"/>
    </row>
    <row r="37137" spans="65:67" ht="18.75" customHeight="1">
      <c r="BM37137" s="1025"/>
      <c r="BO37137" s="43"/>
    </row>
    <row r="37138" spans="65:67" ht="18.75" customHeight="1">
      <c r="BM37138" s="1025"/>
      <c r="BO37138" s="43"/>
    </row>
    <row r="37139" spans="65:67" ht="18.75" customHeight="1">
      <c r="BM37139" s="1025"/>
      <c r="BO37139" s="43"/>
    </row>
    <row r="37140" spans="65:67" ht="18.75" customHeight="1">
      <c r="BM37140" s="1025"/>
      <c r="BO37140" s="43"/>
    </row>
    <row r="37141" spans="65:67" ht="18.75" customHeight="1">
      <c r="BM37141" s="1025"/>
      <c r="BO37141" s="43"/>
    </row>
    <row r="37142" spans="65:67" ht="18.75" customHeight="1">
      <c r="BM37142" s="1025"/>
      <c r="BO37142" s="43"/>
    </row>
    <row r="37143" spans="65:67" ht="18.75" customHeight="1">
      <c r="BM37143" s="1025"/>
      <c r="BO37143" s="43"/>
    </row>
    <row r="37144" spans="65:67" ht="18.75" customHeight="1">
      <c r="BM37144" s="1025"/>
      <c r="BO37144" s="43"/>
    </row>
    <row r="37145" spans="65:67" ht="18.75" customHeight="1">
      <c r="BM37145" s="1025"/>
      <c r="BO37145" s="43"/>
    </row>
    <row r="37146" spans="65:67" ht="18.75" customHeight="1">
      <c r="BM37146" s="1025"/>
      <c r="BO37146" s="43"/>
    </row>
    <row r="37147" spans="65:67" ht="18.75" customHeight="1">
      <c r="BM37147" s="1025"/>
      <c r="BO37147" s="43"/>
    </row>
    <row r="37148" spans="65:67" ht="18.75" customHeight="1">
      <c r="BM37148" s="1025"/>
      <c r="BO37148" s="43"/>
    </row>
    <row r="37149" spans="65:67" ht="18.75" customHeight="1">
      <c r="BM37149" s="1025"/>
      <c r="BO37149" s="43"/>
    </row>
    <row r="37150" spans="65:67" ht="18.75" customHeight="1">
      <c r="BM37150" s="1025"/>
      <c r="BO37150" s="43"/>
    </row>
    <row r="37151" spans="65:67" ht="18.75" customHeight="1">
      <c r="BM37151" s="1025"/>
      <c r="BO37151" s="43"/>
    </row>
    <row r="37152" spans="65:67" ht="18.75" customHeight="1">
      <c r="BM37152" s="1025"/>
      <c r="BO37152" s="43"/>
    </row>
    <row r="37153" spans="65:67" ht="18.75" customHeight="1">
      <c r="BM37153" s="1025"/>
      <c r="BO37153" s="43"/>
    </row>
    <row r="37154" spans="65:67" ht="18.75" customHeight="1">
      <c r="BM37154" s="1025"/>
      <c r="BO37154" s="43"/>
    </row>
    <row r="37155" spans="65:67" ht="18.75" customHeight="1">
      <c r="BM37155" s="1025"/>
      <c r="BO37155" s="43"/>
    </row>
    <row r="37156" spans="65:67" ht="18.75" customHeight="1">
      <c r="BM37156" s="1025"/>
      <c r="BO37156" s="43"/>
    </row>
    <row r="37157" spans="65:67" ht="18.75" customHeight="1">
      <c r="BM37157" s="1025"/>
      <c r="BO37157" s="43"/>
    </row>
    <row r="37158" spans="65:67" ht="18.75" customHeight="1">
      <c r="BM37158" s="1025"/>
      <c r="BO37158" s="43"/>
    </row>
    <row r="37159" spans="65:67" ht="18.75" customHeight="1">
      <c r="BM37159" s="1025"/>
      <c r="BO37159" s="43"/>
    </row>
    <row r="37160" spans="65:67" ht="18.75" customHeight="1">
      <c r="BM37160" s="1025"/>
      <c r="BO37160" s="43"/>
    </row>
    <row r="37161" spans="65:67" ht="18.75" customHeight="1">
      <c r="BM37161" s="1025"/>
      <c r="BO37161" s="43"/>
    </row>
    <row r="37162" spans="65:67" ht="18.75" customHeight="1">
      <c r="BM37162" s="1025"/>
      <c r="BO37162" s="43"/>
    </row>
    <row r="37163" spans="65:67" ht="18.75" customHeight="1">
      <c r="BM37163" s="1025"/>
      <c r="BO37163" s="43"/>
    </row>
    <row r="37164" spans="65:67" ht="18.75" customHeight="1">
      <c r="BM37164" s="1025"/>
      <c r="BO37164" s="43"/>
    </row>
    <row r="37165" spans="65:67" ht="18.75" customHeight="1">
      <c r="BM37165" s="1025"/>
      <c r="BO37165" s="43"/>
    </row>
    <row r="37166" spans="65:67" ht="18.75" customHeight="1">
      <c r="BM37166" s="1025"/>
      <c r="BO37166" s="43"/>
    </row>
    <row r="37167" spans="65:67" ht="18.75" customHeight="1">
      <c r="BM37167" s="1025"/>
      <c r="BO37167" s="43"/>
    </row>
    <row r="37168" spans="65:67" ht="18.75" customHeight="1">
      <c r="BM37168" s="1025"/>
      <c r="BO37168" s="43"/>
    </row>
    <row r="37169" spans="65:67" ht="18.75" customHeight="1">
      <c r="BM37169" s="1025"/>
      <c r="BO37169" s="43"/>
    </row>
    <row r="37170" spans="65:67" ht="18.75" customHeight="1">
      <c r="BM37170" s="1025"/>
      <c r="BO37170" s="43"/>
    </row>
    <row r="37171" spans="65:67" ht="18.75" customHeight="1">
      <c r="BM37171" s="1025"/>
      <c r="BO37171" s="43"/>
    </row>
    <row r="37172" spans="65:67" ht="18.75" customHeight="1">
      <c r="BM37172" s="1025"/>
      <c r="BO37172" s="43"/>
    </row>
    <row r="37173" spans="65:67" ht="18.75" customHeight="1">
      <c r="BM37173" s="1025"/>
      <c r="BO37173" s="43"/>
    </row>
    <row r="37174" spans="65:67" ht="18.75" customHeight="1">
      <c r="BM37174" s="1025"/>
      <c r="BO37174" s="43"/>
    </row>
    <row r="37175" spans="65:67" ht="18.75" customHeight="1">
      <c r="BM37175" s="1025"/>
      <c r="BO37175" s="43"/>
    </row>
    <row r="37176" spans="65:67" ht="18.75" customHeight="1">
      <c r="BM37176" s="1025"/>
      <c r="BO37176" s="43"/>
    </row>
    <row r="37177" spans="65:67" ht="18.75" customHeight="1">
      <c r="BM37177" s="1025"/>
      <c r="BO37177" s="43"/>
    </row>
    <row r="37178" spans="65:67" ht="18.75" customHeight="1">
      <c r="BM37178" s="1025"/>
      <c r="BO37178" s="43"/>
    </row>
    <row r="37179" spans="65:67" ht="18.75" customHeight="1">
      <c r="BM37179" s="1025"/>
      <c r="BO37179" s="43"/>
    </row>
    <row r="37180" spans="65:67" ht="18.75" customHeight="1">
      <c r="BM37180" s="1025"/>
      <c r="BO37180" s="43"/>
    </row>
    <row r="37181" spans="65:67" ht="18.75" customHeight="1">
      <c r="BM37181" s="1025"/>
      <c r="BO37181" s="43"/>
    </row>
    <row r="37182" spans="65:67" ht="18.75" customHeight="1">
      <c r="BM37182" s="1025"/>
      <c r="BO37182" s="43"/>
    </row>
    <row r="37183" spans="65:67" ht="18.75" customHeight="1">
      <c r="BM37183" s="1025"/>
      <c r="BO37183" s="43"/>
    </row>
    <row r="37184" spans="65:67" ht="18.75" customHeight="1">
      <c r="BM37184" s="1025"/>
      <c r="BO37184" s="43"/>
    </row>
    <row r="37185" spans="65:67" ht="18.75" customHeight="1">
      <c r="BM37185" s="1025"/>
      <c r="BO37185" s="43"/>
    </row>
    <row r="37186" spans="65:67" ht="18.75" customHeight="1">
      <c r="BM37186" s="1025"/>
      <c r="BO37186" s="43"/>
    </row>
    <row r="37187" spans="65:67" ht="18.75" customHeight="1">
      <c r="BM37187" s="1025"/>
      <c r="BO37187" s="43"/>
    </row>
    <row r="37188" spans="65:67" ht="18.75" customHeight="1">
      <c r="BM37188" s="1025"/>
      <c r="BO37188" s="43"/>
    </row>
    <row r="37189" spans="65:67" ht="18.75" customHeight="1">
      <c r="BM37189" s="1025"/>
      <c r="BO37189" s="43"/>
    </row>
    <row r="37190" spans="65:67" ht="18.75" customHeight="1">
      <c r="BM37190" s="1025"/>
      <c r="BO37190" s="43"/>
    </row>
    <row r="37191" spans="65:67" ht="18.75" customHeight="1">
      <c r="BM37191" s="1025"/>
      <c r="BO37191" s="43"/>
    </row>
    <row r="37192" spans="65:67" ht="18.75" customHeight="1">
      <c r="BM37192" s="1025"/>
      <c r="BO37192" s="43"/>
    </row>
    <row r="37193" spans="65:67" ht="18.75" customHeight="1">
      <c r="BM37193" s="1025"/>
      <c r="BO37193" s="43"/>
    </row>
    <row r="37194" spans="65:67" ht="18.75" customHeight="1">
      <c r="BM37194" s="1025"/>
      <c r="BO37194" s="43"/>
    </row>
    <row r="37195" spans="65:67" ht="18.75" customHeight="1">
      <c r="BM37195" s="1025"/>
      <c r="BO37195" s="43"/>
    </row>
    <row r="37196" spans="65:67" ht="18.75" customHeight="1">
      <c r="BM37196" s="1025"/>
      <c r="BO37196" s="43"/>
    </row>
    <row r="37197" spans="65:67" ht="18.75" customHeight="1">
      <c r="BM37197" s="1025"/>
      <c r="BO37197" s="43"/>
    </row>
    <row r="37198" spans="65:67" ht="18.75" customHeight="1">
      <c r="BM37198" s="1025"/>
      <c r="BO37198" s="43"/>
    </row>
    <row r="37199" spans="65:67" ht="18.75" customHeight="1">
      <c r="BM37199" s="1025"/>
      <c r="BO37199" s="43"/>
    </row>
    <row r="37200" spans="65:67" ht="18.75" customHeight="1">
      <c r="BM37200" s="1025"/>
      <c r="BO37200" s="43"/>
    </row>
    <row r="37201" spans="65:67" ht="18.75" customHeight="1">
      <c r="BM37201" s="1025"/>
      <c r="BO37201" s="43"/>
    </row>
    <row r="37202" spans="65:67" ht="18.75" customHeight="1">
      <c r="BM37202" s="1025"/>
      <c r="BO37202" s="43"/>
    </row>
    <row r="37203" spans="65:67" ht="18.75" customHeight="1">
      <c r="BM37203" s="1025"/>
      <c r="BO37203" s="43"/>
    </row>
    <row r="37204" spans="65:67" ht="18.75" customHeight="1">
      <c r="BM37204" s="1025"/>
      <c r="BO37204" s="43"/>
    </row>
    <row r="37205" spans="65:67" ht="18.75" customHeight="1">
      <c r="BM37205" s="1025"/>
      <c r="BO37205" s="43"/>
    </row>
    <row r="37206" spans="65:67" ht="18.75" customHeight="1">
      <c r="BM37206" s="1025"/>
      <c r="BO37206" s="43"/>
    </row>
    <row r="37207" spans="65:67" ht="18.75" customHeight="1">
      <c r="BM37207" s="1025"/>
      <c r="BO37207" s="43"/>
    </row>
    <row r="37208" spans="65:67" ht="18.75" customHeight="1">
      <c r="BM37208" s="1025"/>
      <c r="BO37208" s="43"/>
    </row>
    <row r="37209" spans="65:67" ht="18.75" customHeight="1">
      <c r="BM37209" s="1025"/>
      <c r="BO37209" s="43"/>
    </row>
    <row r="37210" spans="65:67" ht="18.75" customHeight="1">
      <c r="BM37210" s="1025"/>
      <c r="BO37210" s="43"/>
    </row>
    <row r="37211" spans="65:67" ht="18.75" customHeight="1">
      <c r="BM37211" s="1025"/>
      <c r="BO37211" s="43"/>
    </row>
    <row r="37212" spans="65:67" ht="18.75" customHeight="1">
      <c r="BM37212" s="1025"/>
      <c r="BO37212" s="43"/>
    </row>
    <row r="37213" spans="65:67" ht="18.75" customHeight="1">
      <c r="BM37213" s="1025"/>
      <c r="BO37213" s="43"/>
    </row>
    <row r="37214" spans="65:67" ht="18.75" customHeight="1">
      <c r="BM37214" s="1025"/>
      <c r="BO37214" s="43"/>
    </row>
    <row r="37215" spans="65:67" ht="18.75" customHeight="1">
      <c r="BM37215" s="1025"/>
      <c r="BO37215" s="43"/>
    </row>
    <row r="37216" spans="65:67" ht="18.75" customHeight="1">
      <c r="BM37216" s="1025"/>
      <c r="BO37216" s="43"/>
    </row>
    <row r="37217" spans="65:67" ht="18.75" customHeight="1">
      <c r="BM37217" s="1025"/>
      <c r="BO37217" s="43"/>
    </row>
    <row r="37218" spans="65:67" ht="18.75" customHeight="1">
      <c r="BM37218" s="1025"/>
      <c r="BO37218" s="43"/>
    </row>
    <row r="37219" spans="65:67" ht="18.75" customHeight="1">
      <c r="BM37219" s="1025"/>
      <c r="BO37219" s="43"/>
    </row>
    <row r="37220" spans="65:67" ht="18.75" customHeight="1">
      <c r="BM37220" s="1025"/>
      <c r="BO37220" s="43"/>
    </row>
    <row r="37221" spans="65:67" ht="18.75" customHeight="1">
      <c r="BM37221" s="1025"/>
      <c r="BO37221" s="43"/>
    </row>
    <row r="37222" spans="65:67" ht="18.75" customHeight="1">
      <c r="BM37222" s="1025"/>
      <c r="BO37222" s="43"/>
    </row>
    <row r="37223" spans="65:67" ht="18.75" customHeight="1">
      <c r="BM37223" s="1025"/>
      <c r="BO37223" s="43"/>
    </row>
    <row r="37224" spans="65:67" ht="18.75" customHeight="1">
      <c r="BM37224" s="1025"/>
      <c r="BO37224" s="43"/>
    </row>
    <row r="37225" spans="65:67" ht="18.75" customHeight="1">
      <c r="BM37225" s="1025"/>
      <c r="BO37225" s="43"/>
    </row>
    <row r="37226" spans="65:67" ht="18.75" customHeight="1">
      <c r="BM37226" s="1025"/>
      <c r="BO37226" s="43"/>
    </row>
    <row r="37227" spans="65:67" ht="18.75" customHeight="1">
      <c r="BM37227" s="1025"/>
      <c r="BO37227" s="43"/>
    </row>
    <row r="37228" spans="65:67" ht="18.75" customHeight="1">
      <c r="BM37228" s="1025"/>
      <c r="BO37228" s="43"/>
    </row>
    <row r="37229" spans="65:67" ht="18.75" customHeight="1">
      <c r="BM37229" s="1025"/>
      <c r="BO37229" s="43"/>
    </row>
    <row r="37230" spans="65:67" ht="18.75" customHeight="1">
      <c r="BM37230" s="1025"/>
      <c r="BO37230" s="43"/>
    </row>
    <row r="37231" spans="65:67" ht="18.75" customHeight="1">
      <c r="BM37231" s="1025"/>
      <c r="BO37231" s="43"/>
    </row>
    <row r="37232" spans="65:67" ht="18.75" customHeight="1">
      <c r="BM37232" s="1025"/>
      <c r="BO37232" s="43"/>
    </row>
    <row r="37233" spans="65:67" ht="18.75" customHeight="1">
      <c r="BM37233" s="1025"/>
      <c r="BO37233" s="43"/>
    </row>
    <row r="37234" spans="65:67" ht="18.75" customHeight="1">
      <c r="BM37234" s="1025"/>
      <c r="BO37234" s="43"/>
    </row>
    <row r="37235" spans="65:67" ht="18.75" customHeight="1">
      <c r="BM37235" s="1025"/>
      <c r="BO37235" s="43"/>
    </row>
    <row r="37236" spans="65:67" ht="18.75" customHeight="1">
      <c r="BM37236" s="1025"/>
      <c r="BO37236" s="43"/>
    </row>
    <row r="37237" spans="65:67" ht="18.75" customHeight="1">
      <c r="BM37237" s="1025"/>
      <c r="BO37237" s="43"/>
    </row>
    <row r="37238" spans="65:67" ht="18.75" customHeight="1">
      <c r="BM37238" s="1025"/>
      <c r="BO37238" s="43"/>
    </row>
    <row r="37239" spans="65:67" ht="18.75" customHeight="1">
      <c r="BM37239" s="1025"/>
      <c r="BO37239" s="43"/>
    </row>
    <row r="37240" spans="65:67" ht="18.75" customHeight="1">
      <c r="BM37240" s="1025"/>
      <c r="BO37240" s="43"/>
    </row>
    <row r="37241" spans="65:67" ht="18.75" customHeight="1">
      <c r="BM37241" s="1025"/>
      <c r="BO37241" s="43"/>
    </row>
    <row r="37242" spans="65:67" ht="18.75" customHeight="1">
      <c r="BM37242" s="1025"/>
      <c r="BO37242" s="43"/>
    </row>
    <row r="37243" spans="65:67" ht="18.75" customHeight="1">
      <c r="BM37243" s="1025"/>
      <c r="BO37243" s="43"/>
    </row>
    <row r="37244" spans="65:67" ht="18.75" customHeight="1">
      <c r="BM37244" s="1025"/>
      <c r="BO37244" s="43"/>
    </row>
    <row r="37245" spans="65:67" ht="18.75" customHeight="1">
      <c r="BM37245" s="1025"/>
      <c r="BO37245" s="43"/>
    </row>
    <row r="37246" spans="65:67" ht="18.75" customHeight="1">
      <c r="BM37246" s="1025"/>
      <c r="BO37246" s="43"/>
    </row>
    <row r="37247" spans="65:67" ht="18.75" customHeight="1">
      <c r="BM37247" s="1025"/>
      <c r="BO37247" s="43"/>
    </row>
    <row r="37248" spans="65:67" ht="18.75" customHeight="1">
      <c r="BM37248" s="1025"/>
      <c r="BO37248" s="43"/>
    </row>
    <row r="37249" spans="65:67" ht="18.75" customHeight="1">
      <c r="BM37249" s="1025"/>
      <c r="BO37249" s="43"/>
    </row>
    <row r="37250" spans="65:67" ht="18.75" customHeight="1">
      <c r="BM37250" s="1025"/>
      <c r="BO37250" s="43"/>
    </row>
    <row r="37251" spans="65:67" ht="18.75" customHeight="1">
      <c r="BM37251" s="1025"/>
      <c r="BO37251" s="43"/>
    </row>
    <row r="37252" spans="65:67" ht="18.75" customHeight="1">
      <c r="BM37252" s="1025"/>
      <c r="BO37252" s="43"/>
    </row>
    <row r="37253" spans="65:67" ht="18.75" customHeight="1">
      <c r="BM37253" s="1025"/>
      <c r="BO37253" s="43"/>
    </row>
    <row r="37254" spans="65:67" ht="18.75" customHeight="1">
      <c r="BM37254" s="1025"/>
      <c r="BO37254" s="43"/>
    </row>
    <row r="37255" spans="65:67" ht="18.75" customHeight="1">
      <c r="BM37255" s="1025"/>
      <c r="BO37255" s="43"/>
    </row>
    <row r="37256" spans="65:67" ht="18.75" customHeight="1">
      <c r="BM37256" s="1025"/>
      <c r="BO37256" s="43"/>
    </row>
    <row r="37257" spans="65:67" ht="18.75" customHeight="1">
      <c r="BM37257" s="1025"/>
      <c r="BO37257" s="43"/>
    </row>
    <row r="37258" spans="65:67" ht="18.75" customHeight="1">
      <c r="BM37258" s="1025"/>
      <c r="BO37258" s="43"/>
    </row>
    <row r="37259" spans="65:67" ht="18.75" customHeight="1">
      <c r="BM37259" s="1025"/>
      <c r="BO37259" s="43"/>
    </row>
    <row r="37260" spans="65:67" ht="18.75" customHeight="1">
      <c r="BM37260" s="1025"/>
      <c r="BO37260" s="43"/>
    </row>
    <row r="37261" spans="65:67" ht="18.75" customHeight="1">
      <c r="BM37261" s="1025"/>
      <c r="BO37261" s="43"/>
    </row>
    <row r="37262" spans="65:67" ht="18.75" customHeight="1">
      <c r="BM37262" s="1025"/>
      <c r="BO37262" s="43"/>
    </row>
    <row r="37263" spans="65:67" ht="18.75" customHeight="1">
      <c r="BM37263" s="1025"/>
      <c r="BO37263" s="43"/>
    </row>
    <row r="37264" spans="65:67" ht="18.75" customHeight="1">
      <c r="BM37264" s="1025"/>
      <c r="BO37264" s="43"/>
    </row>
    <row r="37265" spans="65:67" ht="18.75" customHeight="1">
      <c r="BM37265" s="1025"/>
      <c r="BO37265" s="43"/>
    </row>
    <row r="37266" spans="65:67" ht="18.75" customHeight="1">
      <c r="BM37266" s="1025"/>
      <c r="BO37266" s="43"/>
    </row>
    <row r="37267" spans="65:67" ht="18.75" customHeight="1">
      <c r="BM37267" s="1025"/>
      <c r="BO37267" s="43"/>
    </row>
    <row r="37268" spans="65:67" ht="18.75" customHeight="1">
      <c r="BM37268" s="1025"/>
      <c r="BO37268" s="43"/>
    </row>
    <row r="37269" spans="65:67" ht="18.75" customHeight="1">
      <c r="BM37269" s="1025"/>
      <c r="BO37269" s="43"/>
    </row>
    <row r="37270" spans="65:67" ht="18.75" customHeight="1">
      <c r="BM37270" s="1025"/>
      <c r="BO37270" s="43"/>
    </row>
    <row r="37271" spans="65:67" ht="18.75" customHeight="1">
      <c r="BM37271" s="1025"/>
      <c r="BO37271" s="43"/>
    </row>
    <row r="37272" spans="65:67" ht="18.75" customHeight="1">
      <c r="BM37272" s="1025"/>
      <c r="BO37272" s="43"/>
    </row>
    <row r="37273" spans="65:67" ht="18.75" customHeight="1">
      <c r="BM37273" s="1025"/>
      <c r="BO37273" s="43"/>
    </row>
    <row r="37274" spans="65:67" ht="18.75" customHeight="1">
      <c r="BM37274" s="1025"/>
      <c r="BO37274" s="43"/>
    </row>
    <row r="37275" spans="65:67" ht="18.75" customHeight="1">
      <c r="BM37275" s="1025"/>
      <c r="BO37275" s="43"/>
    </row>
    <row r="37276" spans="65:67" ht="18.75" customHeight="1">
      <c r="BM37276" s="1025"/>
      <c r="BO37276" s="43"/>
    </row>
    <row r="37277" spans="65:67" ht="18.75" customHeight="1">
      <c r="BM37277" s="1025"/>
      <c r="BO37277" s="43"/>
    </row>
    <row r="37278" spans="65:67" ht="18.75" customHeight="1">
      <c r="BM37278" s="1025"/>
      <c r="BO37278" s="43"/>
    </row>
    <row r="37279" spans="65:67" ht="18.75" customHeight="1">
      <c r="BM37279" s="1025"/>
      <c r="BO37279" s="43"/>
    </row>
    <row r="37280" spans="65:67" ht="18.75" customHeight="1">
      <c r="BM37280" s="1025"/>
      <c r="BO37280" s="43"/>
    </row>
    <row r="37281" spans="65:67" ht="18.75" customHeight="1">
      <c r="BM37281" s="1025"/>
      <c r="BO37281" s="43"/>
    </row>
    <row r="37282" spans="65:67" ht="18.75" customHeight="1">
      <c r="BM37282" s="1025"/>
      <c r="BO37282" s="43"/>
    </row>
    <row r="37283" spans="65:67" ht="18.75" customHeight="1">
      <c r="BM37283" s="1025"/>
      <c r="BO37283" s="43"/>
    </row>
    <row r="37284" spans="65:67" ht="18.75" customHeight="1">
      <c r="BM37284" s="1025"/>
      <c r="BO37284" s="43"/>
    </row>
    <row r="37285" spans="65:67" ht="18.75" customHeight="1">
      <c r="BM37285" s="1025"/>
      <c r="BO37285" s="43"/>
    </row>
    <row r="37286" spans="65:67" ht="18.75" customHeight="1">
      <c r="BM37286" s="1025"/>
      <c r="BO37286" s="43"/>
    </row>
    <row r="37287" spans="65:67" ht="18.75" customHeight="1">
      <c r="BM37287" s="1025"/>
      <c r="BO37287" s="43"/>
    </row>
    <row r="37288" spans="65:67" ht="18.75" customHeight="1">
      <c r="BM37288" s="1025"/>
      <c r="BO37288" s="43"/>
    </row>
    <row r="37289" spans="65:67" ht="18.75" customHeight="1">
      <c r="BM37289" s="1025"/>
      <c r="BO37289" s="43"/>
    </row>
    <row r="37290" spans="65:67" ht="18.75" customHeight="1">
      <c r="BM37290" s="1025"/>
      <c r="BO37290" s="43"/>
    </row>
    <row r="37291" spans="65:67" ht="18.75" customHeight="1">
      <c r="BM37291" s="1025"/>
      <c r="BO37291" s="43"/>
    </row>
    <row r="37292" spans="65:67" ht="18.75" customHeight="1">
      <c r="BM37292" s="1025"/>
      <c r="BO37292" s="43"/>
    </row>
    <row r="37293" spans="65:67" ht="18.75" customHeight="1">
      <c r="BM37293" s="1025"/>
      <c r="BO37293" s="43"/>
    </row>
    <row r="37294" spans="65:67" ht="18.75" customHeight="1">
      <c r="BM37294" s="1025"/>
      <c r="BO37294" s="43"/>
    </row>
    <row r="37295" spans="65:67" ht="18.75" customHeight="1">
      <c r="BM37295" s="1025"/>
      <c r="BO37295" s="43"/>
    </row>
    <row r="37296" spans="65:67" ht="18.75" customHeight="1">
      <c r="BM37296" s="1025"/>
      <c r="BO37296" s="43"/>
    </row>
    <row r="37297" spans="65:67" ht="18.75" customHeight="1">
      <c r="BM37297" s="1025"/>
      <c r="BO37297" s="43"/>
    </row>
    <row r="37298" spans="65:67" ht="18.75" customHeight="1">
      <c r="BM37298" s="1025"/>
      <c r="BO37298" s="43"/>
    </row>
    <row r="37299" spans="65:67" ht="18.75" customHeight="1">
      <c r="BM37299" s="1025"/>
      <c r="BO37299" s="43"/>
    </row>
    <row r="37300" spans="65:67" ht="18.75" customHeight="1">
      <c r="BM37300" s="1025"/>
      <c r="BO37300" s="43"/>
    </row>
    <row r="37301" spans="65:67" ht="18.75" customHeight="1">
      <c r="BM37301" s="1025"/>
      <c r="BO37301" s="43"/>
    </row>
    <row r="37302" spans="65:67" ht="18.75" customHeight="1">
      <c r="BM37302" s="1025"/>
      <c r="BO37302" s="43"/>
    </row>
    <row r="37303" spans="65:67" ht="18.75" customHeight="1">
      <c r="BM37303" s="1025"/>
      <c r="BO37303" s="43"/>
    </row>
    <row r="37304" spans="65:67" ht="18.75" customHeight="1">
      <c r="BM37304" s="1025"/>
      <c r="BO37304" s="43"/>
    </row>
    <row r="37305" spans="65:67" ht="18.75" customHeight="1">
      <c r="BM37305" s="1025"/>
      <c r="BO37305" s="43"/>
    </row>
    <row r="37306" spans="65:67" ht="18.75" customHeight="1">
      <c r="BM37306" s="1025"/>
      <c r="BO37306" s="43"/>
    </row>
    <row r="37307" spans="65:67" ht="18.75" customHeight="1">
      <c r="BM37307" s="1025"/>
      <c r="BO37307" s="43"/>
    </row>
    <row r="37308" spans="65:67" ht="18.75" customHeight="1">
      <c r="BM37308" s="1025"/>
      <c r="BO37308" s="43"/>
    </row>
    <row r="37309" spans="65:67" ht="18.75" customHeight="1">
      <c r="BM37309" s="1025"/>
      <c r="BO37309" s="43"/>
    </row>
    <row r="37310" spans="65:67" ht="18.75" customHeight="1">
      <c r="BM37310" s="1025"/>
      <c r="BO37310" s="43"/>
    </row>
    <row r="37311" spans="65:67" ht="18.75" customHeight="1">
      <c r="BM37311" s="1025"/>
      <c r="BO37311" s="43"/>
    </row>
    <row r="37312" spans="65:67" ht="18.75" customHeight="1">
      <c r="BM37312" s="1025"/>
      <c r="BO37312" s="43"/>
    </row>
    <row r="37313" spans="65:67" ht="18.75" customHeight="1">
      <c r="BM37313" s="1025"/>
      <c r="BO37313" s="43"/>
    </row>
    <row r="37314" spans="65:67" ht="18.75" customHeight="1">
      <c r="BM37314" s="1025"/>
      <c r="BO37314" s="43"/>
    </row>
    <row r="37315" spans="65:67" ht="18.75" customHeight="1">
      <c r="BM37315" s="1025"/>
      <c r="BO37315" s="43"/>
    </row>
    <row r="37316" spans="65:67" ht="18.75" customHeight="1">
      <c r="BM37316" s="1025"/>
      <c r="BO37316" s="43"/>
    </row>
    <row r="37317" spans="65:67" ht="18.75" customHeight="1">
      <c r="BM37317" s="1025"/>
      <c r="BO37317" s="43"/>
    </row>
    <row r="37318" spans="65:67" ht="18.75" customHeight="1">
      <c r="BM37318" s="1025"/>
      <c r="BO37318" s="43"/>
    </row>
    <row r="37319" spans="65:67" ht="18.75" customHeight="1">
      <c r="BM37319" s="1025"/>
      <c r="BO37319" s="43"/>
    </row>
    <row r="37320" spans="65:67" ht="18.75" customHeight="1">
      <c r="BM37320" s="1025"/>
      <c r="BO37320" s="43"/>
    </row>
    <row r="37321" spans="65:67" ht="18.75" customHeight="1">
      <c r="BM37321" s="1025"/>
      <c r="BO37321" s="43"/>
    </row>
    <row r="37322" spans="65:67" ht="18.75" customHeight="1">
      <c r="BM37322" s="1025"/>
      <c r="BO37322" s="43"/>
    </row>
    <row r="37323" spans="65:67" ht="18.75" customHeight="1">
      <c r="BM37323" s="1025"/>
      <c r="BO37323" s="43"/>
    </row>
    <row r="37324" spans="65:67" ht="18.75" customHeight="1">
      <c r="BM37324" s="1025"/>
      <c r="BO37324" s="43"/>
    </row>
    <row r="37325" spans="65:67" ht="18.75" customHeight="1">
      <c r="BM37325" s="1025"/>
      <c r="BO37325" s="43"/>
    </row>
    <row r="37326" spans="65:67" ht="18.75" customHeight="1">
      <c r="BM37326" s="1025"/>
      <c r="BO37326" s="43"/>
    </row>
    <row r="37327" spans="65:67" ht="18.75" customHeight="1">
      <c r="BM37327" s="1025"/>
      <c r="BO37327" s="43"/>
    </row>
    <row r="37328" spans="65:67" ht="18.75" customHeight="1">
      <c r="BM37328" s="1025"/>
      <c r="BO37328" s="43"/>
    </row>
    <row r="37329" spans="65:67" ht="18.75" customHeight="1">
      <c r="BM37329" s="1025"/>
      <c r="BO37329" s="43"/>
    </row>
    <row r="37330" spans="65:67" ht="18.75" customHeight="1">
      <c r="BM37330" s="1025"/>
      <c r="BO37330" s="43"/>
    </row>
    <row r="37331" spans="65:67" ht="18.75" customHeight="1">
      <c r="BM37331" s="1025"/>
      <c r="BO37331" s="43"/>
    </row>
    <row r="37332" spans="65:67" ht="18.75" customHeight="1">
      <c r="BM37332" s="1025"/>
      <c r="BO37332" s="43"/>
    </row>
    <row r="37333" spans="65:67" ht="18.75" customHeight="1">
      <c r="BM37333" s="1025"/>
      <c r="BO37333" s="43"/>
    </row>
    <row r="37334" spans="65:67" ht="18.75" customHeight="1">
      <c r="BM37334" s="1025"/>
      <c r="BO37334" s="43"/>
    </row>
    <row r="37335" spans="65:67" ht="18.75" customHeight="1">
      <c r="BM37335" s="1025"/>
      <c r="BO37335" s="43"/>
    </row>
    <row r="37336" spans="65:67" ht="18.75" customHeight="1">
      <c r="BM37336" s="1025"/>
      <c r="BO37336" s="43"/>
    </row>
    <row r="37337" spans="65:67" ht="18.75" customHeight="1">
      <c r="BM37337" s="1025"/>
      <c r="BO37337" s="43"/>
    </row>
    <row r="37338" spans="65:67" ht="18.75" customHeight="1">
      <c r="BM37338" s="1025"/>
      <c r="BO37338" s="43"/>
    </row>
    <row r="37339" spans="65:67" ht="18.75" customHeight="1">
      <c r="BM37339" s="1025"/>
      <c r="BO37339" s="43"/>
    </row>
    <row r="37340" spans="65:67" ht="18.75" customHeight="1">
      <c r="BM37340" s="1025"/>
      <c r="BO37340" s="43"/>
    </row>
    <row r="37341" spans="65:67" ht="18.75" customHeight="1">
      <c r="BM37341" s="1025"/>
      <c r="BO37341" s="43"/>
    </row>
    <row r="37342" spans="65:67" ht="18.75" customHeight="1">
      <c r="BM37342" s="1025"/>
      <c r="BO37342" s="43"/>
    </row>
    <row r="37343" spans="65:67" ht="18.75" customHeight="1">
      <c r="BM37343" s="1025"/>
      <c r="BO37343" s="43"/>
    </row>
    <row r="37344" spans="65:67" ht="18.75" customHeight="1">
      <c r="BM37344" s="1025"/>
      <c r="BO37344" s="43"/>
    </row>
    <row r="37345" spans="65:67" ht="18.75" customHeight="1">
      <c r="BM37345" s="1025"/>
      <c r="BO37345" s="43"/>
    </row>
    <row r="37346" spans="65:67" ht="18.75" customHeight="1">
      <c r="BM37346" s="1025"/>
      <c r="BO37346" s="43"/>
    </row>
    <row r="37347" spans="65:67" ht="18.75" customHeight="1">
      <c r="BM37347" s="1025"/>
      <c r="BO37347" s="43"/>
    </row>
    <row r="37348" spans="65:67" ht="18.75" customHeight="1">
      <c r="BM37348" s="1025"/>
      <c r="BO37348" s="43"/>
    </row>
    <row r="37349" spans="65:67" ht="18.75" customHeight="1">
      <c r="BM37349" s="1025"/>
      <c r="BO37349" s="43"/>
    </row>
    <row r="37350" spans="65:67" ht="18.75" customHeight="1">
      <c r="BM37350" s="1025"/>
      <c r="BO37350" s="43"/>
    </row>
    <row r="37351" spans="65:67" ht="18.75" customHeight="1">
      <c r="BM37351" s="1025"/>
      <c r="BO37351" s="43"/>
    </row>
    <row r="37352" spans="65:67" ht="18.75" customHeight="1">
      <c r="BM37352" s="1025"/>
      <c r="BO37352" s="43"/>
    </row>
    <row r="37353" spans="65:67" ht="18.75" customHeight="1">
      <c r="BM37353" s="1025"/>
      <c r="BO37353" s="43"/>
    </row>
    <row r="37354" spans="65:67" ht="18.75" customHeight="1">
      <c r="BM37354" s="1025"/>
      <c r="BO37354" s="43"/>
    </row>
    <row r="37355" spans="65:67" ht="18.75" customHeight="1">
      <c r="BM37355" s="1025"/>
      <c r="BO37355" s="43"/>
    </row>
    <row r="37356" spans="65:67" ht="18.75" customHeight="1">
      <c r="BM37356" s="1025"/>
      <c r="BO37356" s="43"/>
    </row>
    <row r="37357" spans="65:67" ht="18.75" customHeight="1">
      <c r="BM37357" s="1025"/>
      <c r="BO37357" s="43"/>
    </row>
    <row r="37358" spans="65:67" ht="18.75" customHeight="1">
      <c r="BM37358" s="1025"/>
      <c r="BO37358" s="43"/>
    </row>
    <row r="37359" spans="65:67" ht="18.75" customHeight="1">
      <c r="BM37359" s="1025"/>
      <c r="BO37359" s="43"/>
    </row>
    <row r="37360" spans="65:67" ht="18.75" customHeight="1">
      <c r="BM37360" s="1025"/>
      <c r="BO37360" s="43"/>
    </row>
    <row r="37361" spans="65:67" ht="18.75" customHeight="1">
      <c r="BM37361" s="1025"/>
      <c r="BO37361" s="43"/>
    </row>
    <row r="37362" spans="65:67" ht="18.75" customHeight="1">
      <c r="BM37362" s="1025"/>
      <c r="BO37362" s="43"/>
    </row>
    <row r="37363" spans="65:67" ht="18.75" customHeight="1">
      <c r="BM37363" s="1025"/>
      <c r="BO37363" s="43"/>
    </row>
    <row r="37364" spans="65:67" ht="18.75" customHeight="1">
      <c r="BM37364" s="1025"/>
      <c r="BO37364" s="43"/>
    </row>
    <row r="37365" spans="65:67" ht="18.75" customHeight="1">
      <c r="BM37365" s="1025"/>
      <c r="BO37365" s="43"/>
    </row>
    <row r="37366" spans="65:67" ht="18.75" customHeight="1">
      <c r="BM37366" s="1025"/>
      <c r="BO37366" s="43"/>
    </row>
    <row r="37367" spans="65:67" ht="18.75" customHeight="1">
      <c r="BM37367" s="1025"/>
      <c r="BO37367" s="43"/>
    </row>
    <row r="37368" spans="65:67" ht="18.75" customHeight="1">
      <c r="BM37368" s="1025"/>
      <c r="BO37368" s="43"/>
    </row>
    <row r="37369" spans="65:67" ht="18.75" customHeight="1">
      <c r="BM37369" s="1025"/>
      <c r="BO37369" s="43"/>
    </row>
    <row r="37370" spans="65:67" ht="18.75" customHeight="1">
      <c r="BM37370" s="1025"/>
      <c r="BO37370" s="43"/>
    </row>
    <row r="37371" spans="65:67" ht="18.75" customHeight="1">
      <c r="BM37371" s="1025"/>
      <c r="BO37371" s="43"/>
    </row>
    <row r="37372" spans="65:67" ht="18.75" customHeight="1">
      <c r="BM37372" s="1025"/>
      <c r="BO37372" s="43"/>
    </row>
    <row r="37373" spans="65:67" ht="18.75" customHeight="1">
      <c r="BM37373" s="1025"/>
      <c r="BO37373" s="43"/>
    </row>
    <row r="37374" spans="65:67" ht="18.75" customHeight="1">
      <c r="BM37374" s="1025"/>
      <c r="BO37374" s="43"/>
    </row>
    <row r="37375" spans="65:67" ht="18.75" customHeight="1">
      <c r="BM37375" s="1025"/>
      <c r="BO37375" s="43"/>
    </row>
    <row r="37376" spans="65:67" ht="18.75" customHeight="1">
      <c r="BM37376" s="1025"/>
      <c r="BO37376" s="43"/>
    </row>
    <row r="37377" spans="65:67" ht="18.75" customHeight="1">
      <c r="BM37377" s="1025"/>
      <c r="BO37377" s="43"/>
    </row>
    <row r="37378" spans="65:67" ht="18.75" customHeight="1">
      <c r="BM37378" s="1025"/>
      <c r="BO37378" s="43"/>
    </row>
    <row r="37379" spans="65:67" ht="18.75" customHeight="1">
      <c r="BM37379" s="1025"/>
      <c r="BO37379" s="43"/>
    </row>
    <row r="37380" spans="65:67" ht="18.75" customHeight="1">
      <c r="BM37380" s="1025"/>
      <c r="BO37380" s="43"/>
    </row>
    <row r="37381" spans="65:67" ht="18.75" customHeight="1">
      <c r="BM37381" s="1025"/>
      <c r="BO37381" s="43"/>
    </row>
    <row r="37382" spans="65:67" ht="18.75" customHeight="1">
      <c r="BM37382" s="1025"/>
      <c r="BO37382" s="43"/>
    </row>
    <row r="37383" spans="65:67" ht="18.75" customHeight="1">
      <c r="BM37383" s="1025"/>
      <c r="BO37383" s="43"/>
    </row>
    <row r="37384" spans="65:67" ht="18.75" customHeight="1">
      <c r="BM37384" s="1025"/>
      <c r="BO37384" s="43"/>
    </row>
    <row r="37385" spans="65:67" ht="18.75" customHeight="1">
      <c r="BM37385" s="1025"/>
      <c r="BO37385" s="43"/>
    </row>
    <row r="37386" spans="65:67" ht="18.75" customHeight="1">
      <c r="BM37386" s="1025"/>
      <c r="BO37386" s="43"/>
    </row>
    <row r="37387" spans="65:67" ht="18.75" customHeight="1">
      <c r="BM37387" s="1025"/>
      <c r="BO37387" s="43"/>
    </row>
    <row r="37388" spans="65:67" ht="18.75" customHeight="1">
      <c r="BM37388" s="1025"/>
      <c r="BO37388" s="43"/>
    </row>
    <row r="37389" spans="65:67" ht="18.75" customHeight="1">
      <c r="BM37389" s="1025"/>
      <c r="BO37389" s="43"/>
    </row>
    <row r="37390" spans="65:67" ht="18.75" customHeight="1">
      <c r="BM37390" s="1025"/>
      <c r="BO37390" s="43"/>
    </row>
    <row r="37391" spans="65:67" ht="18.75" customHeight="1">
      <c r="BM37391" s="1025"/>
      <c r="BO37391" s="43"/>
    </row>
    <row r="37392" spans="65:67" ht="18.75" customHeight="1">
      <c r="BM37392" s="1025"/>
      <c r="BO37392" s="43"/>
    </row>
    <row r="37393" spans="65:67" ht="18.75" customHeight="1">
      <c r="BM37393" s="1025"/>
      <c r="BO37393" s="43"/>
    </row>
    <row r="37394" spans="65:67" ht="18.75" customHeight="1">
      <c r="BM37394" s="1025"/>
      <c r="BO37394" s="43"/>
    </row>
    <row r="37395" spans="65:67" ht="18.75" customHeight="1">
      <c r="BM37395" s="1025"/>
      <c r="BO37395" s="43"/>
    </row>
    <row r="37396" spans="65:67" ht="18.75" customHeight="1">
      <c r="BM37396" s="1025"/>
      <c r="BO37396" s="43"/>
    </row>
    <row r="37397" spans="65:67" ht="18.75" customHeight="1">
      <c r="BM37397" s="1025"/>
      <c r="BO37397" s="43"/>
    </row>
    <row r="37398" spans="65:67" ht="18.75" customHeight="1">
      <c r="BM37398" s="1025"/>
      <c r="BO37398" s="43"/>
    </row>
    <row r="37399" spans="65:67" ht="18.75" customHeight="1">
      <c r="BM37399" s="1025"/>
      <c r="BO37399" s="43"/>
    </row>
    <row r="37400" spans="65:67" ht="18.75" customHeight="1">
      <c r="BM37400" s="1025"/>
      <c r="BO37400" s="43"/>
    </row>
    <row r="37401" spans="65:67" ht="18.75" customHeight="1">
      <c r="BM37401" s="1025"/>
      <c r="BO37401" s="43"/>
    </row>
    <row r="37402" spans="65:67" ht="18.75" customHeight="1">
      <c r="BM37402" s="1025"/>
      <c r="BO37402" s="43"/>
    </row>
    <row r="37403" spans="65:67" ht="18.75" customHeight="1">
      <c r="BM37403" s="1025"/>
      <c r="BO37403" s="43"/>
    </row>
    <row r="37404" spans="65:67" ht="18.75" customHeight="1">
      <c r="BM37404" s="1025"/>
      <c r="BO37404" s="43"/>
    </row>
    <row r="37405" spans="65:67" ht="18.75" customHeight="1">
      <c r="BM37405" s="1025"/>
      <c r="BO37405" s="43"/>
    </row>
    <row r="37406" spans="65:67" ht="18.75" customHeight="1">
      <c r="BM37406" s="1025"/>
      <c r="BO37406" s="43"/>
    </row>
    <row r="37407" spans="65:67" ht="18.75" customHeight="1">
      <c r="BM37407" s="1025"/>
      <c r="BO37407" s="43"/>
    </row>
    <row r="37408" spans="65:67" ht="18.75" customHeight="1">
      <c r="BM37408" s="1025"/>
      <c r="BO37408" s="43"/>
    </row>
    <row r="37409" spans="65:67" ht="18.75" customHeight="1">
      <c r="BM37409" s="1025"/>
      <c r="BO37409" s="43"/>
    </row>
    <row r="37410" spans="65:67" ht="18.75" customHeight="1">
      <c r="BM37410" s="1025"/>
      <c r="BO37410" s="43"/>
    </row>
    <row r="37411" spans="65:67" ht="18.75" customHeight="1">
      <c r="BM37411" s="1025"/>
      <c r="BO37411" s="43"/>
    </row>
    <row r="37412" spans="65:67" ht="18.75" customHeight="1">
      <c r="BM37412" s="1025"/>
      <c r="BO37412" s="43"/>
    </row>
    <row r="37413" spans="65:67" ht="18.75" customHeight="1">
      <c r="BM37413" s="1025"/>
      <c r="BO37413" s="43"/>
    </row>
    <row r="37414" spans="65:67" ht="18.75" customHeight="1">
      <c r="BM37414" s="1025"/>
      <c r="BO37414" s="43"/>
    </row>
    <row r="37415" spans="65:67" ht="18.75" customHeight="1">
      <c r="BM37415" s="1025"/>
      <c r="BO37415" s="43"/>
    </row>
    <row r="37416" spans="65:67" ht="18.75" customHeight="1">
      <c r="BM37416" s="1025"/>
      <c r="BO37416" s="43"/>
    </row>
    <row r="37417" spans="65:67" ht="18.75" customHeight="1">
      <c r="BM37417" s="1025"/>
      <c r="BO37417" s="43"/>
    </row>
    <row r="37418" spans="65:67" ht="18.75" customHeight="1">
      <c r="BM37418" s="1025"/>
      <c r="BO37418" s="43"/>
    </row>
    <row r="37419" spans="65:67" ht="18.75" customHeight="1">
      <c r="BM37419" s="1025"/>
      <c r="BO37419" s="43"/>
    </row>
    <row r="37420" spans="65:67" ht="18.75" customHeight="1">
      <c r="BM37420" s="1025"/>
      <c r="BO37420" s="43"/>
    </row>
    <row r="37421" spans="65:67" ht="18.75" customHeight="1">
      <c r="BM37421" s="1025"/>
      <c r="BO37421" s="43"/>
    </row>
    <row r="37422" spans="65:67" ht="18.75" customHeight="1">
      <c r="BM37422" s="1025"/>
      <c r="BO37422" s="43"/>
    </row>
    <row r="37423" spans="65:67" ht="18.75" customHeight="1">
      <c r="BM37423" s="1025"/>
      <c r="BO37423" s="43"/>
    </row>
    <row r="37424" spans="65:67" ht="18.75" customHeight="1">
      <c r="BM37424" s="1025"/>
      <c r="BO37424" s="43"/>
    </row>
    <row r="37425" spans="65:67" ht="18.75" customHeight="1">
      <c r="BM37425" s="1025"/>
      <c r="BO37425" s="43"/>
    </row>
    <row r="37426" spans="65:67" ht="18.75" customHeight="1">
      <c r="BM37426" s="1025"/>
      <c r="BO37426" s="43"/>
    </row>
    <row r="37427" spans="65:67" ht="18.75" customHeight="1">
      <c r="BM37427" s="1025"/>
      <c r="BO37427" s="43"/>
    </row>
    <row r="37428" spans="65:67" ht="18.75" customHeight="1">
      <c r="BM37428" s="1025"/>
      <c r="BO37428" s="43"/>
    </row>
    <row r="37429" spans="65:67" ht="18.75" customHeight="1">
      <c r="BM37429" s="1025"/>
      <c r="BO37429" s="43"/>
    </row>
    <row r="37430" spans="65:67" ht="18.75" customHeight="1">
      <c r="BM37430" s="1025"/>
      <c r="BO37430" s="43"/>
    </row>
    <row r="37431" spans="65:67" ht="18.75" customHeight="1">
      <c r="BM37431" s="1025"/>
      <c r="BO37431" s="43"/>
    </row>
    <row r="37432" spans="65:67" ht="18.75" customHeight="1">
      <c r="BM37432" s="1025"/>
      <c r="BO37432" s="43"/>
    </row>
    <row r="37433" spans="65:67" ht="18.75" customHeight="1">
      <c r="BM37433" s="1025"/>
      <c r="BO37433" s="43"/>
    </row>
    <row r="37434" spans="65:67" ht="18.75" customHeight="1">
      <c r="BM37434" s="1025"/>
      <c r="BO37434" s="43"/>
    </row>
    <row r="37435" spans="65:67" ht="18.75" customHeight="1">
      <c r="BM37435" s="1025"/>
      <c r="BO37435" s="43"/>
    </row>
    <row r="37436" spans="65:67" ht="18.75" customHeight="1">
      <c r="BM37436" s="1025"/>
      <c r="BO37436" s="43"/>
    </row>
    <row r="37437" spans="65:67" ht="18.75" customHeight="1">
      <c r="BM37437" s="1025"/>
      <c r="BO37437" s="43"/>
    </row>
    <row r="37438" spans="65:67" ht="18.75" customHeight="1">
      <c r="BM37438" s="1025"/>
      <c r="BO37438" s="43"/>
    </row>
    <row r="37439" spans="65:67" ht="18.75" customHeight="1">
      <c r="BM37439" s="1025"/>
      <c r="BO37439" s="43"/>
    </row>
    <row r="37440" spans="65:67" ht="18.75" customHeight="1">
      <c r="BM37440" s="1025"/>
      <c r="BO37440" s="43"/>
    </row>
    <row r="37441" spans="65:67" ht="18.75" customHeight="1">
      <c r="BM37441" s="1025"/>
      <c r="BO37441" s="43"/>
    </row>
    <row r="37442" spans="65:67" ht="18.75" customHeight="1">
      <c r="BM37442" s="1025"/>
      <c r="BO37442" s="43"/>
    </row>
    <row r="37443" spans="65:67" ht="18.75" customHeight="1">
      <c r="BM37443" s="1025"/>
      <c r="BO37443" s="43"/>
    </row>
    <row r="37444" spans="65:67" ht="18.75" customHeight="1">
      <c r="BM37444" s="1025"/>
      <c r="BO37444" s="43"/>
    </row>
    <row r="37445" spans="65:67" ht="18.75" customHeight="1">
      <c r="BM37445" s="1025"/>
      <c r="BO37445" s="43"/>
    </row>
    <row r="37446" spans="65:67" ht="18.75" customHeight="1">
      <c r="BM37446" s="1025"/>
      <c r="BO37446" s="43"/>
    </row>
    <row r="37447" spans="65:67" ht="18.75" customHeight="1">
      <c r="BM37447" s="1025"/>
      <c r="BO37447" s="43"/>
    </row>
    <row r="37448" spans="65:67" ht="18.75" customHeight="1">
      <c r="BM37448" s="1025"/>
      <c r="BO37448" s="43"/>
    </row>
    <row r="37449" spans="65:67" ht="18.75" customHeight="1">
      <c r="BM37449" s="1025"/>
      <c r="BO37449" s="43"/>
    </row>
    <row r="37450" spans="65:67" ht="18.75" customHeight="1">
      <c r="BM37450" s="1025"/>
      <c r="BO37450" s="43"/>
    </row>
    <row r="37451" spans="65:67" ht="18.75" customHeight="1">
      <c r="BM37451" s="1025"/>
      <c r="BO37451" s="43"/>
    </row>
    <row r="37452" spans="65:67" ht="18.75" customHeight="1">
      <c r="BM37452" s="1025"/>
      <c r="BO37452" s="43"/>
    </row>
    <row r="37453" spans="65:67" ht="18.75" customHeight="1">
      <c r="BM37453" s="1025"/>
      <c r="BO37453" s="43"/>
    </row>
    <row r="37454" spans="65:67" ht="18.75" customHeight="1">
      <c r="BM37454" s="1025"/>
      <c r="BO37454" s="43"/>
    </row>
    <row r="37455" spans="65:67" ht="18.75" customHeight="1">
      <c r="BM37455" s="1025"/>
      <c r="BO37455" s="43"/>
    </row>
    <row r="37456" spans="65:67" ht="18.75" customHeight="1">
      <c r="BM37456" s="1025"/>
      <c r="BO37456" s="43"/>
    </row>
    <row r="37457" spans="65:67" ht="18.75" customHeight="1">
      <c r="BM37457" s="1025"/>
      <c r="BO37457" s="43"/>
    </row>
    <row r="37458" spans="65:67" ht="18.75" customHeight="1">
      <c r="BM37458" s="1025"/>
      <c r="BO37458" s="43"/>
    </row>
    <row r="37459" spans="65:67" ht="18.75" customHeight="1">
      <c r="BM37459" s="1025"/>
      <c r="BO37459" s="43"/>
    </row>
    <row r="37460" spans="65:67" ht="18.75" customHeight="1">
      <c r="BM37460" s="1025"/>
      <c r="BO37460" s="43"/>
    </row>
    <row r="37461" spans="65:67" ht="18.75" customHeight="1">
      <c r="BM37461" s="1025"/>
      <c r="BO37461" s="43"/>
    </row>
    <row r="37462" spans="65:67" ht="18.75" customHeight="1">
      <c r="BM37462" s="1025"/>
      <c r="BO37462" s="43"/>
    </row>
    <row r="37463" spans="65:67" ht="18.75" customHeight="1">
      <c r="BM37463" s="1025"/>
      <c r="BO37463" s="43"/>
    </row>
    <row r="37464" spans="65:67" ht="18.75" customHeight="1">
      <c r="BM37464" s="1025"/>
      <c r="BO37464" s="43"/>
    </row>
    <row r="37465" spans="65:67" ht="18.75" customHeight="1">
      <c r="BM37465" s="1025"/>
      <c r="BO37465" s="43"/>
    </row>
    <row r="37466" spans="65:67" ht="18.75" customHeight="1">
      <c r="BM37466" s="1025"/>
      <c r="BO37466" s="43"/>
    </row>
    <row r="37467" spans="65:67" ht="18.75" customHeight="1">
      <c r="BM37467" s="1025"/>
      <c r="BO37467" s="43"/>
    </row>
    <row r="37468" spans="65:67" ht="18.75" customHeight="1">
      <c r="BM37468" s="1025"/>
      <c r="BO37468" s="43"/>
    </row>
    <row r="37469" spans="65:67" ht="18.75" customHeight="1">
      <c r="BM37469" s="1025"/>
      <c r="BO37469" s="43"/>
    </row>
    <row r="37470" spans="65:67" ht="18.75" customHeight="1">
      <c r="BM37470" s="1025"/>
      <c r="BO37470" s="43"/>
    </row>
    <row r="37471" spans="65:67" ht="18.75" customHeight="1">
      <c r="BM37471" s="1025"/>
      <c r="BO37471" s="43"/>
    </row>
    <row r="37472" spans="65:67" ht="18.75" customHeight="1">
      <c r="BM37472" s="1025"/>
      <c r="BO37472" s="43"/>
    </row>
    <row r="37473" spans="65:67" ht="18.75" customHeight="1">
      <c r="BM37473" s="1025"/>
      <c r="BO37473" s="43"/>
    </row>
    <row r="37474" spans="65:67" ht="18.75" customHeight="1">
      <c r="BM37474" s="1025"/>
      <c r="BO37474" s="43"/>
    </row>
    <row r="37475" spans="65:67" ht="18.75" customHeight="1">
      <c r="BM37475" s="1025"/>
      <c r="BO37475" s="43"/>
    </row>
    <row r="37476" spans="65:67" ht="18.75" customHeight="1">
      <c r="BM37476" s="1025"/>
      <c r="BO37476" s="43"/>
    </row>
    <row r="37477" spans="65:67" ht="18.75" customHeight="1">
      <c r="BM37477" s="1025"/>
      <c r="BO37477" s="43"/>
    </row>
    <row r="37478" spans="65:67" ht="18.75" customHeight="1">
      <c r="BM37478" s="1025"/>
      <c r="BO37478" s="43"/>
    </row>
    <row r="37479" spans="65:67" ht="18.75" customHeight="1">
      <c r="BM37479" s="1025"/>
      <c r="BO37479" s="43"/>
    </row>
    <row r="37480" spans="65:67" ht="18.75" customHeight="1">
      <c r="BM37480" s="1025"/>
      <c r="BO37480" s="43"/>
    </row>
    <row r="37481" spans="65:67" ht="18.75" customHeight="1">
      <c r="BM37481" s="1025"/>
      <c r="BO37481" s="43"/>
    </row>
    <row r="37482" spans="65:67" ht="18.75" customHeight="1">
      <c r="BM37482" s="1025"/>
      <c r="BO37482" s="43"/>
    </row>
    <row r="37483" spans="65:67" ht="18.75" customHeight="1">
      <c r="BM37483" s="1025"/>
      <c r="BO37483" s="43"/>
    </row>
    <row r="37484" spans="65:67" ht="18.75" customHeight="1">
      <c r="BM37484" s="1025"/>
      <c r="BO37484" s="43"/>
    </row>
    <row r="37485" spans="65:67" ht="18.75" customHeight="1">
      <c r="BM37485" s="1025"/>
      <c r="BO37485" s="43"/>
    </row>
    <row r="37486" spans="65:67" ht="18.75" customHeight="1">
      <c r="BM37486" s="1025"/>
      <c r="BO37486" s="43"/>
    </row>
    <row r="37487" spans="65:67" ht="18.75" customHeight="1">
      <c r="BM37487" s="1025"/>
      <c r="BO37487" s="43"/>
    </row>
    <row r="37488" spans="65:67" ht="18.75" customHeight="1">
      <c r="BM37488" s="1025"/>
      <c r="BO37488" s="43"/>
    </row>
    <row r="37489" spans="65:67" ht="18.75" customHeight="1">
      <c r="BM37489" s="1025"/>
      <c r="BO37489" s="43"/>
    </row>
    <row r="37490" spans="65:67" ht="18.75" customHeight="1">
      <c r="BM37490" s="1025"/>
      <c r="BO37490" s="43"/>
    </row>
    <row r="37491" spans="65:67" ht="18.75" customHeight="1">
      <c r="BM37491" s="1025"/>
      <c r="BO37491" s="43"/>
    </row>
    <row r="37492" spans="65:67" ht="18.75" customHeight="1">
      <c r="BM37492" s="1025"/>
      <c r="BO37492" s="43"/>
    </row>
    <row r="37493" spans="65:67" ht="18.75" customHeight="1">
      <c r="BM37493" s="1025"/>
      <c r="BO37493" s="43"/>
    </row>
    <row r="37494" spans="65:67" ht="18.75" customHeight="1">
      <c r="BM37494" s="1025"/>
      <c r="BO37494" s="43"/>
    </row>
    <row r="37495" spans="65:67" ht="18.75" customHeight="1">
      <c r="BM37495" s="1025"/>
      <c r="BO37495" s="43"/>
    </row>
    <row r="37496" spans="65:67" ht="18.75" customHeight="1">
      <c r="BM37496" s="1025"/>
      <c r="BO37496" s="43"/>
    </row>
    <row r="37497" spans="65:67" ht="18.75" customHeight="1">
      <c r="BM37497" s="1025"/>
      <c r="BO37497" s="43"/>
    </row>
    <row r="37498" spans="65:67" ht="18.75" customHeight="1">
      <c r="BM37498" s="1025"/>
      <c r="BO37498" s="43"/>
    </row>
    <row r="37499" spans="65:67" ht="18.75" customHeight="1">
      <c r="BM37499" s="1025"/>
      <c r="BO37499" s="43"/>
    </row>
    <row r="37500" spans="65:67" ht="18.75" customHeight="1">
      <c r="BM37500" s="1025"/>
      <c r="BO37500" s="43"/>
    </row>
    <row r="37501" spans="65:67" ht="18.75" customHeight="1">
      <c r="BM37501" s="1025"/>
      <c r="BO37501" s="43"/>
    </row>
    <row r="37502" spans="65:67" ht="18.75" customHeight="1">
      <c r="BM37502" s="1025"/>
      <c r="BO37502" s="43"/>
    </row>
    <row r="37503" spans="65:67" ht="18.75" customHeight="1">
      <c r="BM37503" s="1025"/>
      <c r="BO37503" s="43"/>
    </row>
    <row r="37504" spans="65:67" ht="18.75" customHeight="1">
      <c r="BM37504" s="1025"/>
      <c r="BO37504" s="43"/>
    </row>
    <row r="37505" spans="65:67" ht="18.75" customHeight="1">
      <c r="BM37505" s="1025"/>
      <c r="BO37505" s="43"/>
    </row>
    <row r="37506" spans="65:67" ht="18.75" customHeight="1">
      <c r="BM37506" s="1025"/>
      <c r="BO37506" s="43"/>
    </row>
    <row r="37507" spans="65:67" ht="18.75" customHeight="1">
      <c r="BM37507" s="1025"/>
      <c r="BO37507" s="43"/>
    </row>
    <row r="37508" spans="65:67" ht="18.75" customHeight="1">
      <c r="BM37508" s="1025"/>
      <c r="BO37508" s="43"/>
    </row>
    <row r="37509" spans="65:67" ht="18.75" customHeight="1">
      <c r="BM37509" s="1025"/>
      <c r="BO37509" s="43"/>
    </row>
    <row r="37510" spans="65:67" ht="18.75" customHeight="1">
      <c r="BM37510" s="1025"/>
      <c r="BO37510" s="43"/>
    </row>
    <row r="37511" spans="65:67" ht="18.75" customHeight="1">
      <c r="BM37511" s="1025"/>
      <c r="BO37511" s="43"/>
    </row>
    <row r="37512" spans="65:67" ht="18.75" customHeight="1">
      <c r="BM37512" s="1025"/>
      <c r="BO37512" s="43"/>
    </row>
    <row r="37513" spans="65:67" ht="18.75" customHeight="1">
      <c r="BM37513" s="1025"/>
      <c r="BO37513" s="43"/>
    </row>
    <row r="37514" spans="65:67" ht="18.75" customHeight="1">
      <c r="BM37514" s="1025"/>
      <c r="BO37514" s="43"/>
    </row>
    <row r="37515" spans="65:67" ht="18.75" customHeight="1">
      <c r="BM37515" s="1025"/>
      <c r="BO37515" s="43"/>
    </row>
    <row r="37516" spans="65:67" ht="18.75" customHeight="1">
      <c r="BM37516" s="1025"/>
      <c r="BO37516" s="43"/>
    </row>
    <row r="37517" spans="65:67" ht="18.75" customHeight="1">
      <c r="BM37517" s="1025"/>
      <c r="BO37517" s="43"/>
    </row>
    <row r="37518" spans="65:67" ht="18.75" customHeight="1">
      <c r="BM37518" s="1025"/>
      <c r="BO37518" s="43"/>
    </row>
    <row r="37519" spans="65:67" ht="18.75" customHeight="1">
      <c r="BM37519" s="1025"/>
      <c r="BO37519" s="43"/>
    </row>
    <row r="37520" spans="65:67" ht="18.75" customHeight="1">
      <c r="BM37520" s="1025"/>
      <c r="BO37520" s="43"/>
    </row>
    <row r="37521" spans="65:67" ht="18.75" customHeight="1">
      <c r="BM37521" s="1025"/>
      <c r="BO37521" s="43"/>
    </row>
    <row r="37522" spans="65:67" ht="18.75" customHeight="1">
      <c r="BM37522" s="1025"/>
      <c r="BO37522" s="43"/>
    </row>
    <row r="37523" spans="65:67" ht="18.75" customHeight="1">
      <c r="BM37523" s="1025"/>
      <c r="BO37523" s="43"/>
    </row>
    <row r="37524" spans="65:67" ht="18.75" customHeight="1">
      <c r="BM37524" s="1025"/>
      <c r="BO37524" s="43"/>
    </row>
    <row r="37525" spans="65:67" ht="18.75" customHeight="1">
      <c r="BM37525" s="1025"/>
      <c r="BO37525" s="43"/>
    </row>
    <row r="37526" spans="65:67" ht="18.75" customHeight="1">
      <c r="BM37526" s="1025"/>
      <c r="BO37526" s="43"/>
    </row>
    <row r="37527" spans="65:67" ht="18.75" customHeight="1">
      <c r="BM37527" s="1025"/>
      <c r="BO37527" s="43"/>
    </row>
    <row r="37528" spans="65:67" ht="18.75" customHeight="1">
      <c r="BM37528" s="1025"/>
      <c r="BO37528" s="43"/>
    </row>
    <row r="37529" spans="65:67" ht="18.75" customHeight="1">
      <c r="BM37529" s="1025"/>
      <c r="BO37529" s="43"/>
    </row>
    <row r="37530" spans="65:67" ht="18.75" customHeight="1">
      <c r="BM37530" s="1025"/>
      <c r="BO37530" s="43"/>
    </row>
    <row r="37531" spans="65:67" ht="18.75" customHeight="1">
      <c r="BM37531" s="1025"/>
      <c r="BO37531" s="43"/>
    </row>
    <row r="37532" spans="65:67" ht="18.75" customHeight="1">
      <c r="BM37532" s="1025"/>
      <c r="BO37532" s="43"/>
    </row>
    <row r="37533" spans="65:67" ht="18.75" customHeight="1">
      <c r="BM37533" s="1025"/>
      <c r="BO37533" s="43"/>
    </row>
    <row r="37534" spans="65:67" ht="18.75" customHeight="1">
      <c r="BM37534" s="1025"/>
      <c r="BO37534" s="43"/>
    </row>
    <row r="37535" spans="65:67" ht="18.75" customHeight="1">
      <c r="BM37535" s="1025"/>
      <c r="BO37535" s="43"/>
    </row>
    <row r="37536" spans="65:67" ht="18.75" customHeight="1">
      <c r="BM37536" s="1025"/>
      <c r="BO37536" s="43"/>
    </row>
    <row r="37537" spans="65:67" ht="18.75" customHeight="1">
      <c r="BM37537" s="1025"/>
      <c r="BO37537" s="43"/>
    </row>
    <row r="37538" spans="65:67" ht="18.75" customHeight="1">
      <c r="BM37538" s="1025"/>
      <c r="BO37538" s="43"/>
    </row>
    <row r="37539" spans="65:67" ht="18.75" customHeight="1">
      <c r="BM37539" s="1025"/>
      <c r="BO37539" s="43"/>
    </row>
    <row r="37540" spans="65:67" ht="18.75" customHeight="1">
      <c r="BM37540" s="1025"/>
      <c r="BO37540" s="43"/>
    </row>
    <row r="37541" spans="65:67" ht="18.75" customHeight="1">
      <c r="BM37541" s="1025"/>
      <c r="BO37541" s="43"/>
    </row>
    <row r="37542" spans="65:67" ht="18.75" customHeight="1">
      <c r="BM37542" s="1025"/>
      <c r="BO37542" s="43"/>
    </row>
    <row r="37543" spans="65:67" ht="18.75" customHeight="1">
      <c r="BM37543" s="1025"/>
      <c r="BO37543" s="43"/>
    </row>
    <row r="37544" spans="65:67" ht="18.75" customHeight="1">
      <c r="BM37544" s="1025"/>
      <c r="BO37544" s="43"/>
    </row>
    <row r="37545" spans="65:67" ht="18.75" customHeight="1">
      <c r="BM37545" s="1025"/>
      <c r="BO37545" s="43"/>
    </row>
    <row r="37546" spans="65:67" ht="18.75" customHeight="1">
      <c r="BM37546" s="1025"/>
      <c r="BO37546" s="43"/>
    </row>
    <row r="37547" spans="65:67" ht="18.75" customHeight="1">
      <c r="BM37547" s="1025"/>
      <c r="BO37547" s="43"/>
    </row>
    <row r="37548" spans="65:67" ht="18.75" customHeight="1">
      <c r="BM37548" s="1025"/>
      <c r="BO37548" s="43"/>
    </row>
    <row r="37549" spans="65:67" ht="18.75" customHeight="1">
      <c r="BM37549" s="1025"/>
      <c r="BO37549" s="43"/>
    </row>
    <row r="37550" spans="65:67" ht="18.75" customHeight="1">
      <c r="BM37550" s="1025"/>
      <c r="BO37550" s="43"/>
    </row>
    <row r="37551" spans="65:67" ht="18.75" customHeight="1">
      <c r="BM37551" s="1025"/>
      <c r="BO37551" s="43"/>
    </row>
    <row r="37552" spans="65:67" ht="18.75" customHeight="1">
      <c r="BM37552" s="1025"/>
      <c r="BO37552" s="43"/>
    </row>
    <row r="37553" spans="65:67" ht="18.75" customHeight="1">
      <c r="BM37553" s="1025"/>
      <c r="BO37553" s="43"/>
    </row>
    <row r="37554" spans="65:67" ht="18.75" customHeight="1">
      <c r="BM37554" s="1025"/>
      <c r="BO37554" s="43"/>
    </row>
    <row r="37555" spans="65:67" ht="18.75" customHeight="1">
      <c r="BM37555" s="1025"/>
      <c r="BO37555" s="43"/>
    </row>
    <row r="37556" spans="65:67" ht="18.75" customHeight="1">
      <c r="BM37556" s="1025"/>
      <c r="BO37556" s="43"/>
    </row>
    <row r="37557" spans="65:67" ht="18.75" customHeight="1">
      <c r="BM37557" s="1025"/>
      <c r="BO37557" s="43"/>
    </row>
    <row r="37558" spans="65:67" ht="18.75" customHeight="1">
      <c r="BM37558" s="1025"/>
      <c r="BO37558" s="43"/>
    </row>
    <row r="37559" spans="65:67" ht="18.75" customHeight="1">
      <c r="BM37559" s="1025"/>
      <c r="BO37559" s="43"/>
    </row>
    <row r="37560" spans="65:67" ht="18.75" customHeight="1">
      <c r="BM37560" s="1025"/>
      <c r="BO37560" s="43"/>
    </row>
    <row r="37561" spans="65:67" ht="18.75" customHeight="1">
      <c r="BM37561" s="1025"/>
      <c r="BO37561" s="43"/>
    </row>
    <row r="37562" spans="65:67" ht="18.75" customHeight="1">
      <c r="BM37562" s="1025"/>
      <c r="BO37562" s="43"/>
    </row>
    <row r="37563" spans="65:67" ht="18.75" customHeight="1">
      <c r="BM37563" s="1025"/>
      <c r="BO37563" s="43"/>
    </row>
    <row r="37564" spans="65:67" ht="18.75" customHeight="1">
      <c r="BM37564" s="1025"/>
      <c r="BO37564" s="43"/>
    </row>
    <row r="37565" spans="65:67" ht="18.75" customHeight="1">
      <c r="BM37565" s="1025"/>
      <c r="BO37565" s="43"/>
    </row>
    <row r="37566" spans="65:67" ht="18.75" customHeight="1">
      <c r="BM37566" s="1025"/>
      <c r="BO37566" s="43"/>
    </row>
    <row r="37567" spans="65:67" ht="18.75" customHeight="1">
      <c r="BM37567" s="1025"/>
      <c r="BO37567" s="43"/>
    </row>
    <row r="37568" spans="65:67" ht="18.75" customHeight="1">
      <c r="BM37568" s="1025"/>
      <c r="BO37568" s="43"/>
    </row>
    <row r="37569" spans="65:67" ht="18.75" customHeight="1">
      <c r="BM37569" s="1025"/>
      <c r="BO37569" s="43"/>
    </row>
    <row r="37570" spans="65:67" ht="18.75" customHeight="1">
      <c r="BM37570" s="1025"/>
      <c r="BO37570" s="43"/>
    </row>
    <row r="37571" spans="65:67" ht="18.75" customHeight="1">
      <c r="BM37571" s="1025"/>
      <c r="BO37571" s="43"/>
    </row>
    <row r="37572" spans="65:67" ht="18.75" customHeight="1">
      <c r="BM37572" s="1025"/>
      <c r="BO37572" s="43"/>
    </row>
    <row r="37573" spans="65:67" ht="18.75" customHeight="1">
      <c r="BM37573" s="1025"/>
      <c r="BO37573" s="43"/>
    </row>
    <row r="37574" spans="65:67" ht="18.75" customHeight="1">
      <c r="BM37574" s="1025"/>
      <c r="BO37574" s="43"/>
    </row>
    <row r="37575" spans="65:67" ht="18.75" customHeight="1">
      <c r="BM37575" s="1025"/>
      <c r="BO37575" s="43"/>
    </row>
    <row r="37576" spans="65:67" ht="18.75" customHeight="1">
      <c r="BM37576" s="1025"/>
      <c r="BO37576" s="43"/>
    </row>
    <row r="37577" spans="65:67" ht="18.75" customHeight="1">
      <c r="BM37577" s="1025"/>
      <c r="BO37577" s="43"/>
    </row>
    <row r="37578" spans="65:67" ht="18.75" customHeight="1">
      <c r="BM37578" s="1025"/>
      <c r="BO37578" s="43"/>
    </row>
    <row r="37579" spans="65:67" ht="18.75" customHeight="1">
      <c r="BM37579" s="1025"/>
      <c r="BO37579" s="43"/>
    </row>
    <row r="37580" spans="65:67" ht="18.75" customHeight="1">
      <c r="BM37580" s="1025"/>
      <c r="BO37580" s="43"/>
    </row>
    <row r="37581" spans="65:67" ht="18.75" customHeight="1">
      <c r="BM37581" s="1025"/>
      <c r="BO37581" s="43"/>
    </row>
    <row r="37582" spans="65:67" ht="18.75" customHeight="1">
      <c r="BM37582" s="1025"/>
      <c r="BO37582" s="43"/>
    </row>
    <row r="37583" spans="65:67" ht="18.75" customHeight="1">
      <c r="BM37583" s="1025"/>
      <c r="BO37583" s="43"/>
    </row>
    <row r="37584" spans="65:67" ht="18.75" customHeight="1">
      <c r="BM37584" s="1025"/>
      <c r="BO37584" s="43"/>
    </row>
    <row r="37585" spans="65:67" ht="18.75" customHeight="1">
      <c r="BM37585" s="1025"/>
      <c r="BO37585" s="43"/>
    </row>
    <row r="37586" spans="65:67" ht="18.75" customHeight="1">
      <c r="BM37586" s="1025"/>
      <c r="BO37586" s="43"/>
    </row>
    <row r="37587" spans="65:67" ht="18.75" customHeight="1">
      <c r="BM37587" s="1025"/>
      <c r="BO37587" s="43"/>
    </row>
    <row r="37588" spans="65:67" ht="18.75" customHeight="1">
      <c r="BM37588" s="1025"/>
      <c r="BO37588" s="43"/>
    </row>
    <row r="37589" spans="65:67" ht="18.75" customHeight="1">
      <c r="BM37589" s="1025"/>
      <c r="BO37589" s="43"/>
    </row>
    <row r="37590" spans="65:67" ht="18.75" customHeight="1">
      <c r="BM37590" s="1025"/>
      <c r="BO37590" s="43"/>
    </row>
    <row r="37591" spans="65:67" ht="18.75" customHeight="1">
      <c r="BM37591" s="1025"/>
      <c r="BO37591" s="43"/>
    </row>
    <row r="37592" spans="65:67" ht="18.75" customHeight="1">
      <c r="BM37592" s="1025"/>
      <c r="BO37592" s="43"/>
    </row>
    <row r="37593" spans="65:67" ht="18.75" customHeight="1">
      <c r="BM37593" s="1025"/>
      <c r="BO37593" s="43"/>
    </row>
    <row r="37594" spans="65:67" ht="18.75" customHeight="1">
      <c r="BM37594" s="1025"/>
      <c r="BO37594" s="43"/>
    </row>
    <row r="37595" spans="65:67" ht="18.75" customHeight="1">
      <c r="BM37595" s="1025"/>
      <c r="BO37595" s="43"/>
    </row>
    <row r="37596" spans="65:67" ht="18.75" customHeight="1">
      <c r="BM37596" s="1025"/>
      <c r="BO37596" s="43"/>
    </row>
    <row r="37597" spans="65:67" ht="18.75" customHeight="1">
      <c r="BM37597" s="1025"/>
      <c r="BO37597" s="43"/>
    </row>
    <row r="37598" spans="65:67" ht="18.75" customHeight="1">
      <c r="BM37598" s="1025"/>
      <c r="BO37598" s="43"/>
    </row>
    <row r="37599" spans="65:67" ht="18.75" customHeight="1">
      <c r="BM37599" s="1025"/>
      <c r="BO37599" s="43"/>
    </row>
    <row r="37600" spans="65:67" ht="18.75" customHeight="1">
      <c r="BM37600" s="1025"/>
      <c r="BO37600" s="43"/>
    </row>
    <row r="37601" spans="65:67" ht="18.75" customHeight="1">
      <c r="BM37601" s="1025"/>
      <c r="BO37601" s="43"/>
    </row>
    <row r="37602" spans="65:67" ht="18.75" customHeight="1">
      <c r="BM37602" s="1025"/>
      <c r="BO37602" s="43"/>
    </row>
    <row r="37603" spans="65:67" ht="18.75" customHeight="1">
      <c r="BM37603" s="1025"/>
      <c r="BO37603" s="43"/>
    </row>
    <row r="37604" spans="65:67" ht="18.75" customHeight="1">
      <c r="BM37604" s="1025"/>
      <c r="BO37604" s="43"/>
    </row>
    <row r="37605" spans="65:67" ht="18.75" customHeight="1">
      <c r="BM37605" s="1025"/>
      <c r="BO37605" s="43"/>
    </row>
    <row r="37606" spans="65:67" ht="18.75" customHeight="1">
      <c r="BM37606" s="1025"/>
      <c r="BO37606" s="43"/>
    </row>
    <row r="37607" spans="65:67" ht="18.75" customHeight="1">
      <c r="BM37607" s="1025"/>
      <c r="BO37607" s="43"/>
    </row>
    <row r="37608" spans="65:67" ht="18.75" customHeight="1">
      <c r="BM37608" s="1025"/>
      <c r="BO37608" s="43"/>
    </row>
    <row r="37609" spans="65:67" ht="18.75" customHeight="1">
      <c r="BM37609" s="1025"/>
      <c r="BO37609" s="43"/>
    </row>
    <row r="37610" spans="65:67" ht="18.75" customHeight="1">
      <c r="BM37610" s="1025"/>
      <c r="BO37610" s="43"/>
    </row>
    <row r="37611" spans="65:67" ht="18.75" customHeight="1">
      <c r="BM37611" s="1025"/>
      <c r="BO37611" s="43"/>
    </row>
    <row r="37612" spans="65:67" ht="18.75" customHeight="1">
      <c r="BM37612" s="1025"/>
      <c r="BO37612" s="43"/>
    </row>
    <row r="37613" spans="65:67" ht="18.75" customHeight="1">
      <c r="BM37613" s="1025"/>
      <c r="BO37613" s="43"/>
    </row>
    <row r="37614" spans="65:67" ht="18.75" customHeight="1">
      <c r="BM37614" s="1025"/>
      <c r="BO37614" s="43"/>
    </row>
    <row r="37615" spans="65:67" ht="18.75" customHeight="1">
      <c r="BM37615" s="1025"/>
      <c r="BO37615" s="43"/>
    </row>
    <row r="37616" spans="65:67" ht="18.75" customHeight="1">
      <c r="BM37616" s="1025"/>
      <c r="BO37616" s="43"/>
    </row>
    <row r="37617" spans="65:67" ht="18.75" customHeight="1">
      <c r="BM37617" s="1025"/>
      <c r="BO37617" s="43"/>
    </row>
    <row r="37618" spans="65:67" ht="18.75" customHeight="1">
      <c r="BM37618" s="1025"/>
      <c r="BO37618" s="43"/>
    </row>
    <row r="37619" spans="65:67" ht="18.75" customHeight="1">
      <c r="BM37619" s="1025"/>
      <c r="BO37619" s="43"/>
    </row>
    <row r="37620" spans="65:67" ht="18.75" customHeight="1">
      <c r="BM37620" s="1025"/>
      <c r="BO37620" s="43"/>
    </row>
    <row r="37621" spans="65:67" ht="18.75" customHeight="1">
      <c r="BM37621" s="1025"/>
      <c r="BO37621" s="43"/>
    </row>
    <row r="37622" spans="65:67" ht="18.75" customHeight="1">
      <c r="BM37622" s="1025"/>
      <c r="BO37622" s="43"/>
    </row>
    <row r="37623" spans="65:67" ht="18.75" customHeight="1">
      <c r="BM37623" s="1025"/>
      <c r="BO37623" s="43"/>
    </row>
    <row r="37624" spans="65:67" ht="18.75" customHeight="1">
      <c r="BM37624" s="1025"/>
      <c r="BO37624" s="43"/>
    </row>
    <row r="37625" spans="65:67" ht="18.75" customHeight="1">
      <c r="BM37625" s="1025"/>
      <c r="BO37625" s="43"/>
    </row>
    <row r="37626" spans="65:67" ht="18.75" customHeight="1">
      <c r="BM37626" s="1025"/>
      <c r="BO37626" s="43"/>
    </row>
    <row r="37627" spans="65:67" ht="18.75" customHeight="1">
      <c r="BM37627" s="1025"/>
      <c r="BO37627" s="43"/>
    </row>
    <row r="37628" spans="65:67" ht="18.75" customHeight="1">
      <c r="BM37628" s="1025"/>
      <c r="BO37628" s="43"/>
    </row>
    <row r="37629" spans="65:67" ht="18.75" customHeight="1">
      <c r="BM37629" s="1025"/>
      <c r="BO37629" s="43"/>
    </row>
    <row r="37630" spans="65:67" ht="18.75" customHeight="1">
      <c r="BM37630" s="1025"/>
      <c r="BO37630" s="43"/>
    </row>
    <row r="37631" spans="65:67" ht="18.75" customHeight="1">
      <c r="BM37631" s="1025"/>
      <c r="BO37631" s="43"/>
    </row>
    <row r="37632" spans="65:67" ht="18.75" customHeight="1">
      <c r="BM37632" s="1025"/>
      <c r="BO37632" s="43"/>
    </row>
    <row r="37633" spans="65:67" ht="18.75" customHeight="1">
      <c r="BM37633" s="1025"/>
      <c r="BO37633" s="43"/>
    </row>
    <row r="37634" spans="65:67" ht="18.75" customHeight="1">
      <c r="BM37634" s="1025"/>
      <c r="BO37634" s="43"/>
    </row>
    <row r="37635" spans="65:67" ht="18.75" customHeight="1">
      <c r="BM37635" s="1025"/>
      <c r="BO37635" s="43"/>
    </row>
    <row r="37636" spans="65:67" ht="18.75" customHeight="1">
      <c r="BM37636" s="1025"/>
      <c r="BO37636" s="43"/>
    </row>
    <row r="37637" spans="65:67" ht="18.75" customHeight="1">
      <c r="BM37637" s="1025"/>
      <c r="BO37637" s="43"/>
    </row>
    <row r="37638" spans="65:67" ht="18.75" customHeight="1">
      <c r="BM37638" s="1025"/>
      <c r="BO37638" s="43"/>
    </row>
    <row r="37639" spans="65:67" ht="18.75" customHeight="1">
      <c r="BM37639" s="1025"/>
      <c r="BO37639" s="43"/>
    </row>
    <row r="37640" spans="65:67" ht="18.75" customHeight="1">
      <c r="BM37640" s="1025"/>
      <c r="BO37640" s="43"/>
    </row>
    <row r="37641" spans="65:67" ht="18.75" customHeight="1">
      <c r="BM37641" s="1025"/>
      <c r="BO37641" s="43"/>
    </row>
    <row r="37642" spans="65:67" ht="18.75" customHeight="1">
      <c r="BM37642" s="1025"/>
      <c r="BO37642" s="43"/>
    </row>
    <row r="37643" spans="65:67" ht="18.75" customHeight="1">
      <c r="BM37643" s="1025"/>
      <c r="BO37643" s="43"/>
    </row>
    <row r="37644" spans="65:67" ht="18.75" customHeight="1">
      <c r="BM37644" s="1025"/>
      <c r="BO37644" s="43"/>
    </row>
    <row r="37645" spans="65:67" ht="18.75" customHeight="1">
      <c r="BM37645" s="1025"/>
      <c r="BO37645" s="43"/>
    </row>
    <row r="37646" spans="65:67" ht="18.75" customHeight="1">
      <c r="BM37646" s="1025"/>
      <c r="BO37646" s="43"/>
    </row>
    <row r="37647" spans="65:67" ht="18.75" customHeight="1">
      <c r="BM37647" s="1025"/>
      <c r="BO37647" s="43"/>
    </row>
    <row r="37648" spans="65:67" ht="18.75" customHeight="1">
      <c r="BM37648" s="1025"/>
      <c r="BO37648" s="43"/>
    </row>
    <row r="37649" spans="65:67" ht="18.75" customHeight="1">
      <c r="BM37649" s="1025"/>
      <c r="BO37649" s="43"/>
    </row>
    <row r="37650" spans="65:67" ht="18.75" customHeight="1">
      <c r="BM37650" s="1025"/>
      <c r="BO37650" s="43"/>
    </row>
    <row r="37651" spans="65:67" ht="18.75" customHeight="1">
      <c r="BM37651" s="1025"/>
      <c r="BO37651" s="43"/>
    </row>
    <row r="37652" spans="65:67" ht="18.75" customHeight="1">
      <c r="BM37652" s="1025"/>
      <c r="BO37652" s="43"/>
    </row>
    <row r="37653" spans="65:67" ht="18.75" customHeight="1">
      <c r="BM37653" s="1025"/>
      <c r="BO37653" s="43"/>
    </row>
    <row r="37654" spans="65:67" ht="18.75" customHeight="1">
      <c r="BM37654" s="1025"/>
      <c r="BO37654" s="43"/>
    </row>
    <row r="37655" spans="65:67" ht="18.75" customHeight="1">
      <c r="BM37655" s="1025"/>
      <c r="BO37655" s="43"/>
    </row>
    <row r="37656" spans="65:67" ht="18.75" customHeight="1">
      <c r="BM37656" s="1025"/>
      <c r="BO37656" s="43"/>
    </row>
    <row r="37657" spans="65:67" ht="18.75" customHeight="1">
      <c r="BM37657" s="1025"/>
      <c r="BO37657" s="43"/>
    </row>
    <row r="37658" spans="65:67" ht="18.75" customHeight="1">
      <c r="BM37658" s="1025"/>
      <c r="BO37658" s="43"/>
    </row>
    <row r="37659" spans="65:67" ht="18.75" customHeight="1">
      <c r="BM37659" s="1025"/>
      <c r="BO37659" s="43"/>
    </row>
    <row r="37660" spans="65:67" ht="18.75" customHeight="1">
      <c r="BM37660" s="1025"/>
      <c r="BO37660" s="43"/>
    </row>
    <row r="37661" spans="65:67" ht="18.75" customHeight="1">
      <c r="BM37661" s="1025"/>
      <c r="BO37661" s="43"/>
    </row>
    <row r="37662" spans="65:67" ht="18.75" customHeight="1">
      <c r="BM37662" s="1025"/>
      <c r="BO37662" s="43"/>
    </row>
    <row r="37663" spans="65:67" ht="18.75" customHeight="1">
      <c r="BM37663" s="1025"/>
      <c r="BO37663" s="43"/>
    </row>
    <row r="37664" spans="65:67" ht="18.75" customHeight="1">
      <c r="BM37664" s="1025"/>
      <c r="BO37664" s="43"/>
    </row>
    <row r="37665" spans="65:67" ht="18.75" customHeight="1">
      <c r="BM37665" s="1025"/>
      <c r="BO37665" s="43"/>
    </row>
    <row r="37666" spans="65:67" ht="18.75" customHeight="1">
      <c r="BM37666" s="1025"/>
      <c r="BO37666" s="43"/>
    </row>
    <row r="37667" spans="65:67" ht="18.75" customHeight="1">
      <c r="BM37667" s="1025"/>
      <c r="BO37667" s="43"/>
    </row>
    <row r="37668" spans="65:67" ht="18.75" customHeight="1">
      <c r="BM37668" s="1025"/>
      <c r="BO37668" s="43"/>
    </row>
    <row r="37669" spans="65:67" ht="18.75" customHeight="1">
      <c r="BM37669" s="1025"/>
      <c r="BO37669" s="43"/>
    </row>
    <row r="37670" spans="65:67" ht="18.75" customHeight="1">
      <c r="BM37670" s="1025"/>
      <c r="BO37670" s="43"/>
    </row>
    <row r="37671" spans="65:67" ht="18.75" customHeight="1">
      <c r="BM37671" s="1025"/>
      <c r="BO37671" s="43"/>
    </row>
    <row r="37672" spans="65:67" ht="18.75" customHeight="1">
      <c r="BM37672" s="1025"/>
      <c r="BO37672" s="43"/>
    </row>
    <row r="37673" spans="65:67" ht="18.75" customHeight="1">
      <c r="BM37673" s="1025"/>
      <c r="BO37673" s="43"/>
    </row>
    <row r="37674" spans="65:67" ht="18.75" customHeight="1">
      <c r="BM37674" s="1025"/>
      <c r="BO37674" s="43"/>
    </row>
    <row r="37675" spans="65:67" ht="18.75" customHeight="1">
      <c r="BM37675" s="1025"/>
      <c r="BO37675" s="43"/>
    </row>
    <row r="37676" spans="65:67" ht="18.75" customHeight="1">
      <c r="BM37676" s="1025"/>
      <c r="BO37676" s="43"/>
    </row>
    <row r="37677" spans="65:67" ht="18.75" customHeight="1">
      <c r="BM37677" s="1025"/>
      <c r="BO37677" s="43"/>
    </row>
    <row r="37678" spans="65:67" ht="18.75" customHeight="1">
      <c r="BM37678" s="1025"/>
      <c r="BO37678" s="43"/>
    </row>
    <row r="37679" spans="65:67" ht="18.75" customHeight="1">
      <c r="BM37679" s="1025"/>
      <c r="BO37679" s="43"/>
    </row>
    <row r="37680" spans="65:67" ht="18.75" customHeight="1">
      <c r="BM37680" s="1025"/>
      <c r="BO37680" s="43"/>
    </row>
    <row r="37681" spans="65:67" ht="18.75" customHeight="1">
      <c r="BM37681" s="1025"/>
      <c r="BO37681" s="43"/>
    </row>
    <row r="37682" spans="65:67" ht="18.75" customHeight="1">
      <c r="BM37682" s="1025"/>
      <c r="BO37682" s="43"/>
    </row>
    <row r="37683" spans="65:67" ht="18.75" customHeight="1">
      <c r="BM37683" s="1025"/>
      <c r="BO37683" s="43"/>
    </row>
    <row r="37684" spans="65:67" ht="18.75" customHeight="1">
      <c r="BM37684" s="1025"/>
      <c r="BO37684" s="43"/>
    </row>
    <row r="37685" spans="65:67" ht="18.75" customHeight="1">
      <c r="BM37685" s="1025"/>
      <c r="BO37685" s="43"/>
    </row>
    <row r="37686" spans="65:67" ht="18.75" customHeight="1">
      <c r="BM37686" s="1025"/>
      <c r="BO37686" s="43"/>
    </row>
    <row r="37687" spans="65:67" ht="18.75" customHeight="1">
      <c r="BM37687" s="1025"/>
      <c r="BO37687" s="43"/>
    </row>
    <row r="37688" spans="65:67" ht="18.75" customHeight="1">
      <c r="BM37688" s="1025"/>
      <c r="BO37688" s="43"/>
    </row>
    <row r="37689" spans="65:67" ht="18.75" customHeight="1">
      <c r="BM37689" s="1025"/>
      <c r="BO37689" s="43"/>
    </row>
    <row r="37690" spans="65:67" ht="18.75" customHeight="1">
      <c r="BM37690" s="1025"/>
      <c r="BO37690" s="43"/>
    </row>
    <row r="37691" spans="65:67" ht="18.75" customHeight="1">
      <c r="BM37691" s="1025"/>
      <c r="BO37691" s="43"/>
    </row>
    <row r="37692" spans="65:67" ht="18.75" customHeight="1">
      <c r="BM37692" s="1025"/>
      <c r="BO37692" s="43"/>
    </row>
    <row r="37693" spans="65:67" ht="18.75" customHeight="1">
      <c r="BM37693" s="1025"/>
      <c r="BO37693" s="43"/>
    </row>
    <row r="37694" spans="65:67" ht="18.75" customHeight="1">
      <c r="BM37694" s="1025"/>
      <c r="BO37694" s="43"/>
    </row>
    <row r="37695" spans="65:67" ht="18.75" customHeight="1">
      <c r="BM37695" s="1025"/>
      <c r="BO37695" s="43"/>
    </row>
    <row r="37696" spans="65:67" ht="18.75" customHeight="1">
      <c r="BM37696" s="1025"/>
      <c r="BO37696" s="43"/>
    </row>
    <row r="37697" spans="65:67" ht="18.75" customHeight="1">
      <c r="BM37697" s="1025"/>
      <c r="BO37697" s="43"/>
    </row>
    <row r="37698" spans="65:67" ht="18.75" customHeight="1">
      <c r="BM37698" s="1025"/>
      <c r="BO37698" s="43"/>
    </row>
    <row r="37699" spans="65:67" ht="18.75" customHeight="1">
      <c r="BM37699" s="1025"/>
      <c r="BO37699" s="43"/>
    </row>
    <row r="37700" spans="65:67" ht="18.75" customHeight="1">
      <c r="BM37700" s="1025"/>
      <c r="BO37700" s="43"/>
    </row>
    <row r="37701" spans="65:67" ht="18.75" customHeight="1">
      <c r="BM37701" s="1025"/>
      <c r="BO37701" s="43"/>
    </row>
    <row r="37702" spans="65:67" ht="18.75" customHeight="1">
      <c r="BM37702" s="1025"/>
      <c r="BO37702" s="43"/>
    </row>
    <row r="37703" spans="65:67" ht="18.75" customHeight="1">
      <c r="BM37703" s="1025"/>
      <c r="BO37703" s="43"/>
    </row>
    <row r="37704" spans="65:67" ht="18.75" customHeight="1">
      <c r="BM37704" s="1025"/>
      <c r="BO37704" s="43"/>
    </row>
    <row r="37705" spans="65:67" ht="18.75" customHeight="1">
      <c r="BM37705" s="1025"/>
      <c r="BO37705" s="43"/>
    </row>
    <row r="37706" spans="65:67" ht="18.75" customHeight="1">
      <c r="BM37706" s="1025"/>
      <c r="BO37706" s="43"/>
    </row>
    <row r="37707" spans="65:67" ht="18.75" customHeight="1">
      <c r="BM37707" s="1025"/>
      <c r="BO37707" s="43"/>
    </row>
    <row r="37708" spans="65:67" ht="18.75" customHeight="1">
      <c r="BM37708" s="1025"/>
      <c r="BO37708" s="43"/>
    </row>
    <row r="37709" spans="65:67" ht="18.75" customHeight="1">
      <c r="BM37709" s="1025"/>
      <c r="BO37709" s="43"/>
    </row>
    <row r="37710" spans="65:67" ht="18.75" customHeight="1">
      <c r="BM37710" s="1025"/>
      <c r="BO37710" s="43"/>
    </row>
    <row r="37711" spans="65:67" ht="18.75" customHeight="1">
      <c r="BM37711" s="1025"/>
      <c r="BO37711" s="43"/>
    </row>
    <row r="37712" spans="65:67" ht="18.75" customHeight="1">
      <c r="BM37712" s="1025"/>
      <c r="BO37712" s="43"/>
    </row>
    <row r="37713" spans="65:67" ht="18.75" customHeight="1">
      <c r="BM37713" s="1025"/>
      <c r="BO37713" s="43"/>
    </row>
    <row r="37714" spans="65:67" ht="18.75" customHeight="1">
      <c r="BM37714" s="1025"/>
      <c r="BO37714" s="43"/>
    </row>
    <row r="37715" spans="65:67" ht="18.75" customHeight="1">
      <c r="BM37715" s="1025"/>
      <c r="BO37715" s="43"/>
    </row>
    <row r="37716" spans="65:67" ht="18.75" customHeight="1">
      <c r="BM37716" s="1025"/>
      <c r="BO37716" s="43"/>
    </row>
    <row r="37717" spans="65:67" ht="18.75" customHeight="1">
      <c r="BM37717" s="1025"/>
      <c r="BO37717" s="43"/>
    </row>
    <row r="37718" spans="65:67" ht="18.75" customHeight="1">
      <c r="BM37718" s="1025"/>
      <c r="BO37718" s="43"/>
    </row>
    <row r="37719" spans="65:67" ht="18.75" customHeight="1">
      <c r="BM37719" s="1025"/>
      <c r="BO37719" s="43"/>
    </row>
    <row r="37720" spans="65:67" ht="18.75" customHeight="1">
      <c r="BM37720" s="1025"/>
      <c r="BO37720" s="43"/>
    </row>
    <row r="37721" spans="65:67" ht="18.75" customHeight="1">
      <c r="BM37721" s="1025"/>
      <c r="BO37721" s="43"/>
    </row>
    <row r="37722" spans="65:67" ht="18.75" customHeight="1">
      <c r="BM37722" s="1025"/>
      <c r="BO37722" s="43"/>
    </row>
    <row r="37723" spans="65:67" ht="18.75" customHeight="1">
      <c r="BM37723" s="1025"/>
      <c r="BO37723" s="43"/>
    </row>
    <row r="37724" spans="65:67" ht="18.75" customHeight="1">
      <c r="BM37724" s="1025"/>
      <c r="BO37724" s="43"/>
    </row>
    <row r="37725" spans="65:67" ht="18.75" customHeight="1">
      <c r="BM37725" s="1025"/>
      <c r="BO37725" s="43"/>
    </row>
    <row r="37726" spans="65:67" ht="18.75" customHeight="1">
      <c r="BM37726" s="1025"/>
      <c r="BO37726" s="43"/>
    </row>
    <row r="37727" spans="65:67" ht="18.75" customHeight="1">
      <c r="BM37727" s="1025"/>
      <c r="BO37727" s="43"/>
    </row>
    <row r="37728" spans="65:67" ht="18.75" customHeight="1">
      <c r="BM37728" s="1025"/>
      <c r="BO37728" s="43"/>
    </row>
    <row r="37729" spans="65:67" ht="18.75" customHeight="1">
      <c r="BM37729" s="1025"/>
      <c r="BO37729" s="43"/>
    </row>
    <row r="37730" spans="65:67" ht="18.75" customHeight="1">
      <c r="BM37730" s="1025"/>
      <c r="BO37730" s="43"/>
    </row>
    <row r="37731" spans="65:67" ht="18.75" customHeight="1">
      <c r="BM37731" s="1025"/>
      <c r="BO37731" s="43"/>
    </row>
    <row r="37732" spans="65:67" ht="18.75" customHeight="1">
      <c r="BM37732" s="1025"/>
      <c r="BO37732" s="43"/>
    </row>
    <row r="37733" spans="65:67" ht="18.75" customHeight="1">
      <c r="BM37733" s="1025"/>
      <c r="BO37733" s="43"/>
    </row>
    <row r="37734" spans="65:67" ht="18.75" customHeight="1">
      <c r="BM37734" s="1025"/>
      <c r="BO37734" s="43"/>
    </row>
    <row r="37735" spans="65:67" ht="18.75" customHeight="1">
      <c r="BM37735" s="1025"/>
      <c r="BO37735" s="43"/>
    </row>
    <row r="37736" spans="65:67" ht="18.75" customHeight="1">
      <c r="BM37736" s="1025"/>
      <c r="BO37736" s="43"/>
    </row>
    <row r="37737" spans="65:67" ht="18.75" customHeight="1">
      <c r="BM37737" s="1025"/>
      <c r="BO37737" s="43"/>
    </row>
    <row r="37738" spans="65:67" ht="18.75" customHeight="1">
      <c r="BM37738" s="1025"/>
      <c r="BO37738" s="43"/>
    </row>
    <row r="37739" spans="65:67" ht="18.75" customHeight="1">
      <c r="BM37739" s="1025"/>
      <c r="BO37739" s="43"/>
    </row>
    <row r="37740" spans="65:67" ht="18.75" customHeight="1">
      <c r="BM37740" s="1025"/>
      <c r="BO37740" s="43"/>
    </row>
    <row r="37741" spans="65:67" ht="18.75" customHeight="1">
      <c r="BM37741" s="1025"/>
      <c r="BO37741" s="43"/>
    </row>
    <row r="37742" spans="65:67" ht="18.75" customHeight="1">
      <c r="BM37742" s="1025"/>
      <c r="BO37742" s="43"/>
    </row>
    <row r="37743" spans="65:67" ht="18.75" customHeight="1">
      <c r="BM37743" s="1025"/>
      <c r="BO37743" s="43"/>
    </row>
    <row r="37744" spans="65:67" ht="18.75" customHeight="1">
      <c r="BM37744" s="1025"/>
      <c r="BO37744" s="43"/>
    </row>
    <row r="37745" spans="65:67" ht="18.75" customHeight="1">
      <c r="BM37745" s="1025"/>
      <c r="BO37745" s="43"/>
    </row>
    <row r="37746" spans="65:67" ht="18.75" customHeight="1">
      <c r="BM37746" s="1025"/>
      <c r="BO37746" s="43"/>
    </row>
    <row r="37747" spans="65:67" ht="18.75" customHeight="1">
      <c r="BM37747" s="1025"/>
      <c r="BO37747" s="43"/>
    </row>
    <row r="37748" spans="65:67" ht="18.75" customHeight="1">
      <c r="BM37748" s="1025"/>
      <c r="BO37748" s="43"/>
    </row>
    <row r="37749" spans="65:67" ht="18.75" customHeight="1">
      <c r="BM37749" s="1025"/>
      <c r="BO37749" s="43"/>
    </row>
    <row r="37750" spans="65:67" ht="18.75" customHeight="1">
      <c r="BM37750" s="1025"/>
      <c r="BO37750" s="43"/>
    </row>
    <row r="37751" spans="65:67" ht="18.75" customHeight="1">
      <c r="BM37751" s="1025"/>
      <c r="BO37751" s="43"/>
    </row>
    <row r="37752" spans="65:67" ht="18.75" customHeight="1">
      <c r="BM37752" s="1025"/>
      <c r="BO37752" s="43"/>
    </row>
    <row r="37753" spans="65:67" ht="18.75" customHeight="1">
      <c r="BM37753" s="1025"/>
      <c r="BO37753" s="43"/>
    </row>
    <row r="37754" spans="65:67" ht="18.75" customHeight="1">
      <c r="BM37754" s="1025"/>
      <c r="BO37754" s="43"/>
    </row>
    <row r="37755" spans="65:67" ht="18.75" customHeight="1">
      <c r="BM37755" s="1025"/>
      <c r="BO37755" s="43"/>
    </row>
    <row r="37756" spans="65:67" ht="18.75" customHeight="1">
      <c r="BM37756" s="1025"/>
      <c r="BO37756" s="43"/>
    </row>
    <row r="37757" spans="65:67" ht="18.75" customHeight="1">
      <c r="BM37757" s="1025"/>
      <c r="BO37757" s="43"/>
    </row>
    <row r="37758" spans="65:67" ht="18.75" customHeight="1">
      <c r="BM37758" s="1025"/>
      <c r="BO37758" s="43"/>
    </row>
    <row r="37759" spans="65:67" ht="18.75" customHeight="1">
      <c r="BM37759" s="1025"/>
      <c r="BO37759" s="43"/>
    </row>
    <row r="37760" spans="65:67" ht="18.75" customHeight="1">
      <c r="BM37760" s="1025"/>
      <c r="BO37760" s="43"/>
    </row>
    <row r="37761" spans="65:67" ht="18.75" customHeight="1">
      <c r="BM37761" s="1025"/>
      <c r="BO37761" s="43"/>
    </row>
    <row r="37762" spans="65:67" ht="18.75" customHeight="1">
      <c r="BM37762" s="1025"/>
      <c r="BO37762" s="43"/>
    </row>
    <row r="37763" spans="65:67" ht="18.75" customHeight="1">
      <c r="BM37763" s="1025"/>
      <c r="BO37763" s="43"/>
    </row>
    <row r="37764" spans="65:67" ht="18.75" customHeight="1">
      <c r="BM37764" s="1025"/>
      <c r="BO37764" s="43"/>
    </row>
    <row r="37765" spans="65:67" ht="18.75" customHeight="1">
      <c r="BM37765" s="1025"/>
      <c r="BO37765" s="43"/>
    </row>
    <row r="37766" spans="65:67" ht="18.75" customHeight="1">
      <c r="BM37766" s="1025"/>
      <c r="BO37766" s="43"/>
    </row>
    <row r="37767" spans="65:67" ht="18.75" customHeight="1">
      <c r="BM37767" s="1025"/>
      <c r="BO37767" s="43"/>
    </row>
    <row r="37768" spans="65:67" ht="18.75" customHeight="1">
      <c r="BM37768" s="1025"/>
      <c r="BO37768" s="43"/>
    </row>
    <row r="37769" spans="65:67" ht="18.75" customHeight="1">
      <c r="BM37769" s="1025"/>
      <c r="BO37769" s="43"/>
    </row>
    <row r="37770" spans="65:67" ht="18.75" customHeight="1">
      <c r="BM37770" s="1025"/>
      <c r="BO37770" s="43"/>
    </row>
    <row r="37771" spans="65:67" ht="18.75" customHeight="1">
      <c r="BM37771" s="1025"/>
      <c r="BO37771" s="43"/>
    </row>
    <row r="37772" spans="65:67" ht="18.75" customHeight="1">
      <c r="BM37772" s="1025"/>
      <c r="BO37772" s="43"/>
    </row>
    <row r="37773" spans="65:67" ht="18.75" customHeight="1">
      <c r="BM37773" s="1025"/>
      <c r="BO37773" s="43"/>
    </row>
    <row r="37774" spans="65:67" ht="18.75" customHeight="1">
      <c r="BM37774" s="1025"/>
      <c r="BO37774" s="43"/>
    </row>
    <row r="37775" spans="65:67" ht="18.75" customHeight="1">
      <c r="BM37775" s="1025"/>
      <c r="BO37775" s="43"/>
    </row>
    <row r="37776" spans="65:67" ht="18.75" customHeight="1">
      <c r="BM37776" s="1025"/>
      <c r="BO37776" s="43"/>
    </row>
    <row r="37777" spans="65:67" ht="18.75" customHeight="1">
      <c r="BM37777" s="1025"/>
      <c r="BO37777" s="43"/>
    </row>
    <row r="37778" spans="65:67" ht="18.75" customHeight="1">
      <c r="BM37778" s="1025"/>
      <c r="BO37778" s="43"/>
    </row>
    <row r="37779" spans="65:67" ht="18.75" customHeight="1">
      <c r="BM37779" s="1025"/>
      <c r="BO37779" s="43"/>
    </row>
    <row r="37780" spans="65:67" ht="18.75" customHeight="1">
      <c r="BM37780" s="1025"/>
      <c r="BO37780" s="43"/>
    </row>
    <row r="37781" spans="65:67" ht="18.75" customHeight="1">
      <c r="BM37781" s="1025"/>
      <c r="BO37781" s="43"/>
    </row>
    <row r="37782" spans="65:67" ht="18.75" customHeight="1">
      <c r="BM37782" s="1025"/>
      <c r="BO37782" s="43"/>
    </row>
    <row r="37783" spans="65:67" ht="18.75" customHeight="1">
      <c r="BM37783" s="1025"/>
      <c r="BO37783" s="43"/>
    </row>
    <row r="37784" spans="65:67" ht="18.75" customHeight="1">
      <c r="BM37784" s="1025"/>
      <c r="BO37784" s="43"/>
    </row>
    <row r="37785" spans="65:67" ht="18.75" customHeight="1">
      <c r="BM37785" s="1025"/>
      <c r="BO37785" s="43"/>
    </row>
    <row r="37786" spans="65:67" ht="18.75" customHeight="1">
      <c r="BM37786" s="1025"/>
      <c r="BO37786" s="43"/>
    </row>
    <row r="37787" spans="65:67" ht="18.75" customHeight="1">
      <c r="BM37787" s="1025"/>
      <c r="BO37787" s="43"/>
    </row>
    <row r="37788" spans="65:67" ht="18.75" customHeight="1">
      <c r="BM37788" s="1025"/>
      <c r="BO37788" s="43"/>
    </row>
    <row r="37789" spans="65:67" ht="18.75" customHeight="1">
      <c r="BM37789" s="1025"/>
      <c r="BO37789" s="43"/>
    </row>
    <row r="37790" spans="65:67" ht="18.75" customHeight="1">
      <c r="BM37790" s="1025"/>
      <c r="BO37790" s="43"/>
    </row>
    <row r="37791" spans="65:67" ht="18.75" customHeight="1">
      <c r="BM37791" s="1025"/>
      <c r="BO37791" s="43"/>
    </row>
    <row r="37792" spans="65:67" ht="18.75" customHeight="1">
      <c r="BM37792" s="1025"/>
      <c r="BO37792" s="43"/>
    </row>
    <row r="37793" spans="65:67" ht="18.75" customHeight="1">
      <c r="BM37793" s="1025"/>
      <c r="BO37793" s="43"/>
    </row>
    <row r="37794" spans="65:67" ht="18.75" customHeight="1">
      <c r="BM37794" s="1025"/>
      <c r="BO37794" s="43"/>
    </row>
    <row r="37795" spans="65:67" ht="18.75" customHeight="1">
      <c r="BM37795" s="1025"/>
      <c r="BO37795" s="43"/>
    </row>
    <row r="37796" spans="65:67" ht="18.75" customHeight="1">
      <c r="BM37796" s="1025"/>
      <c r="BO37796" s="43"/>
    </row>
    <row r="37797" spans="65:67" ht="18.75" customHeight="1">
      <c r="BM37797" s="1025"/>
      <c r="BO37797" s="43"/>
    </row>
    <row r="37798" spans="65:67" ht="18.75" customHeight="1">
      <c r="BM37798" s="1025"/>
      <c r="BO37798" s="43"/>
    </row>
    <row r="37799" spans="65:67" ht="18.75" customHeight="1">
      <c r="BM37799" s="1025"/>
      <c r="BO37799" s="43"/>
    </row>
    <row r="37800" spans="65:67" ht="18.75" customHeight="1">
      <c r="BM37800" s="1025"/>
      <c r="BO37800" s="43"/>
    </row>
    <row r="37801" spans="65:67" ht="18.75" customHeight="1">
      <c r="BM37801" s="1025"/>
      <c r="BO37801" s="43"/>
    </row>
    <row r="37802" spans="65:67" ht="18.75" customHeight="1">
      <c r="BM37802" s="1025"/>
      <c r="BO37802" s="43"/>
    </row>
    <row r="37803" spans="65:67" ht="18.75" customHeight="1">
      <c r="BM37803" s="1025"/>
      <c r="BO37803" s="43"/>
    </row>
    <row r="37804" spans="65:67" ht="18.75" customHeight="1">
      <c r="BM37804" s="1025"/>
      <c r="BO37804" s="43"/>
    </row>
    <row r="37805" spans="65:67" ht="18.75" customHeight="1">
      <c r="BM37805" s="1025"/>
      <c r="BO37805" s="43"/>
    </row>
    <row r="37806" spans="65:67" ht="18.75" customHeight="1">
      <c r="BM37806" s="1025"/>
      <c r="BO37806" s="43"/>
    </row>
    <row r="37807" spans="65:67" ht="18.75" customHeight="1">
      <c r="BM37807" s="1025"/>
      <c r="BO37807" s="43"/>
    </row>
    <row r="37808" spans="65:67" ht="18.75" customHeight="1">
      <c r="BM37808" s="1025"/>
      <c r="BO37808" s="43"/>
    </row>
    <row r="37809" spans="65:67" ht="18.75" customHeight="1">
      <c r="BM37809" s="1025"/>
      <c r="BO37809" s="43"/>
    </row>
    <row r="37810" spans="65:67" ht="18.75" customHeight="1">
      <c r="BM37810" s="1025"/>
      <c r="BO37810" s="43"/>
    </row>
    <row r="37811" spans="65:67" ht="18.75" customHeight="1">
      <c r="BM37811" s="1025"/>
      <c r="BO37811" s="43"/>
    </row>
    <row r="37812" spans="65:67" ht="18.75" customHeight="1">
      <c r="BM37812" s="1025"/>
      <c r="BO37812" s="43"/>
    </row>
    <row r="37813" spans="65:67" ht="18.75" customHeight="1">
      <c r="BM37813" s="1025"/>
      <c r="BO37813" s="43"/>
    </row>
    <row r="37814" spans="65:67" ht="18.75" customHeight="1">
      <c r="BM37814" s="1025"/>
      <c r="BO37814" s="43"/>
    </row>
    <row r="37815" spans="65:67" ht="18.75" customHeight="1">
      <c r="BM37815" s="1025"/>
      <c r="BO37815" s="43"/>
    </row>
    <row r="37816" spans="65:67" ht="18.75" customHeight="1">
      <c r="BM37816" s="1025"/>
      <c r="BO37816" s="43"/>
    </row>
    <row r="37817" spans="65:67" ht="18.75" customHeight="1">
      <c r="BM37817" s="1025"/>
      <c r="BO37817" s="43"/>
    </row>
    <row r="37818" spans="65:67" ht="18.75" customHeight="1">
      <c r="BM37818" s="1025"/>
      <c r="BO37818" s="43"/>
    </row>
    <row r="37819" spans="65:67" ht="18.75" customHeight="1">
      <c r="BM37819" s="1025"/>
      <c r="BO37819" s="43"/>
    </row>
    <row r="37820" spans="65:67" ht="18.75" customHeight="1">
      <c r="BM37820" s="1025"/>
      <c r="BO37820" s="43"/>
    </row>
    <row r="37821" spans="65:67" ht="18.75" customHeight="1">
      <c r="BM37821" s="1025"/>
      <c r="BO37821" s="43"/>
    </row>
    <row r="37822" spans="65:67" ht="18.75" customHeight="1">
      <c r="BM37822" s="1025"/>
      <c r="BO37822" s="43"/>
    </row>
    <row r="37823" spans="65:67" ht="18.75" customHeight="1">
      <c r="BM37823" s="1025"/>
      <c r="BO37823" s="43"/>
    </row>
    <row r="37824" spans="65:67" ht="18.75" customHeight="1">
      <c r="BM37824" s="1025"/>
      <c r="BO37824" s="43"/>
    </row>
    <row r="37825" spans="65:67" ht="18.75" customHeight="1">
      <c r="BM37825" s="1025"/>
      <c r="BO37825" s="43"/>
    </row>
    <row r="37826" spans="65:67" ht="18.75" customHeight="1">
      <c r="BM37826" s="1025"/>
      <c r="BO37826" s="43"/>
    </row>
    <row r="37827" spans="65:67" ht="18.75" customHeight="1">
      <c r="BM37827" s="1025"/>
      <c r="BO37827" s="43"/>
    </row>
    <row r="37828" spans="65:67" ht="18.75" customHeight="1">
      <c r="BM37828" s="1025"/>
      <c r="BO37828" s="43"/>
    </row>
    <row r="37829" spans="65:67" ht="18.75" customHeight="1">
      <c r="BM37829" s="1025"/>
      <c r="BO37829" s="43"/>
    </row>
    <row r="37830" spans="65:67" ht="18.75" customHeight="1">
      <c r="BM37830" s="1025"/>
      <c r="BO37830" s="43"/>
    </row>
    <row r="37831" spans="65:67" ht="18.75" customHeight="1">
      <c r="BM37831" s="1025"/>
      <c r="BO37831" s="43"/>
    </row>
    <row r="37832" spans="65:67" ht="18.75" customHeight="1">
      <c r="BM37832" s="1025"/>
      <c r="BO37832" s="43"/>
    </row>
    <row r="37833" spans="65:67" ht="18.75" customHeight="1">
      <c r="BM37833" s="1025"/>
      <c r="BO37833" s="43"/>
    </row>
    <row r="37834" spans="65:67" ht="18.75" customHeight="1">
      <c r="BM37834" s="1025"/>
      <c r="BO37834" s="43"/>
    </row>
    <row r="37835" spans="65:67" ht="18.75" customHeight="1">
      <c r="BM37835" s="1025"/>
      <c r="BO37835" s="43"/>
    </row>
    <row r="37836" spans="65:67" ht="18.75" customHeight="1">
      <c r="BM37836" s="1025"/>
      <c r="BO37836" s="43"/>
    </row>
    <row r="37837" spans="65:67" ht="18.75" customHeight="1">
      <c r="BM37837" s="1025"/>
      <c r="BO37837" s="43"/>
    </row>
    <row r="37838" spans="65:67" ht="18.75" customHeight="1">
      <c r="BM37838" s="1025"/>
      <c r="BO37838" s="43"/>
    </row>
    <row r="37839" spans="65:67" ht="18.75" customHeight="1">
      <c r="BM37839" s="1025"/>
      <c r="BO37839" s="43"/>
    </row>
    <row r="37840" spans="65:67" ht="18.75" customHeight="1">
      <c r="BM37840" s="1025"/>
      <c r="BO37840" s="43"/>
    </row>
    <row r="37841" spans="65:67" ht="18.75" customHeight="1">
      <c r="BM37841" s="1025"/>
      <c r="BO37841" s="43"/>
    </row>
    <row r="37842" spans="65:67" ht="18.75" customHeight="1">
      <c r="BM37842" s="1025"/>
      <c r="BO37842" s="43"/>
    </row>
    <row r="37843" spans="65:67" ht="18.75" customHeight="1">
      <c r="BM37843" s="1025"/>
      <c r="BO37843" s="43"/>
    </row>
    <row r="37844" spans="65:67" ht="18.75" customHeight="1">
      <c r="BM37844" s="1025"/>
      <c r="BO37844" s="43"/>
    </row>
    <row r="37845" spans="65:67" ht="18.75" customHeight="1">
      <c r="BM37845" s="1025"/>
      <c r="BO37845" s="43"/>
    </row>
    <row r="37846" spans="65:67" ht="18.75" customHeight="1">
      <c r="BM37846" s="1025"/>
      <c r="BO37846" s="43"/>
    </row>
    <row r="37847" spans="65:67" ht="18.75" customHeight="1">
      <c r="BM37847" s="1025"/>
      <c r="BO37847" s="43"/>
    </row>
    <row r="37848" spans="65:67" ht="18.75" customHeight="1">
      <c r="BM37848" s="1025"/>
      <c r="BO37848" s="43"/>
    </row>
    <row r="37849" spans="65:67" ht="18.75" customHeight="1">
      <c r="BM37849" s="1025"/>
      <c r="BO37849" s="43"/>
    </row>
    <row r="37850" spans="65:67" ht="18.75" customHeight="1">
      <c r="BM37850" s="1025"/>
      <c r="BO37850" s="43"/>
    </row>
    <row r="37851" spans="65:67" ht="18.75" customHeight="1">
      <c r="BM37851" s="1025"/>
      <c r="BO37851" s="43"/>
    </row>
    <row r="37852" spans="65:67" ht="18.75" customHeight="1">
      <c r="BM37852" s="1025"/>
      <c r="BO37852" s="43"/>
    </row>
    <row r="37853" spans="65:67" ht="18.75" customHeight="1">
      <c r="BM37853" s="1025"/>
      <c r="BO37853" s="43"/>
    </row>
    <row r="37854" spans="65:67" ht="18.75" customHeight="1">
      <c r="BM37854" s="1025"/>
      <c r="BO37854" s="43"/>
    </row>
    <row r="37855" spans="65:67" ht="18.75" customHeight="1">
      <c r="BM37855" s="1025"/>
      <c r="BO37855" s="43"/>
    </row>
    <row r="37856" spans="65:67" ht="18.75" customHeight="1">
      <c r="BM37856" s="1025"/>
      <c r="BO37856" s="43"/>
    </row>
    <row r="37857" spans="65:67" ht="18.75" customHeight="1">
      <c r="BM37857" s="1025"/>
      <c r="BO37857" s="43"/>
    </row>
    <row r="37858" spans="65:67" ht="18.75" customHeight="1">
      <c r="BM37858" s="1025"/>
      <c r="BO37858" s="43"/>
    </row>
    <row r="37859" spans="65:67" ht="18.75" customHeight="1">
      <c r="BM37859" s="1025"/>
      <c r="BO37859" s="43"/>
    </row>
    <row r="37860" spans="65:67" ht="18.75" customHeight="1">
      <c r="BM37860" s="1025"/>
      <c r="BO37860" s="43"/>
    </row>
    <row r="37861" spans="65:67" ht="18.75" customHeight="1">
      <c r="BM37861" s="1025"/>
      <c r="BO37861" s="43"/>
    </row>
    <row r="37862" spans="65:67" ht="18.75" customHeight="1">
      <c r="BM37862" s="1025"/>
      <c r="BO37862" s="43"/>
    </row>
    <row r="37863" spans="65:67" ht="18.75" customHeight="1">
      <c r="BM37863" s="1025"/>
      <c r="BO37863" s="43"/>
    </row>
    <row r="37864" spans="65:67" ht="18.75" customHeight="1">
      <c r="BM37864" s="1025"/>
      <c r="BO37864" s="43"/>
    </row>
    <row r="37865" spans="65:67" ht="18.75" customHeight="1">
      <c r="BM37865" s="1025"/>
      <c r="BO37865" s="43"/>
    </row>
    <row r="37866" spans="65:67" ht="18.75" customHeight="1">
      <c r="BM37866" s="1025"/>
      <c r="BO37866" s="43"/>
    </row>
    <row r="37867" spans="65:67" ht="18.75" customHeight="1">
      <c r="BM37867" s="1025"/>
      <c r="BO37867" s="43"/>
    </row>
    <row r="37868" spans="65:67" ht="18.75" customHeight="1">
      <c r="BM37868" s="1025"/>
      <c r="BO37868" s="43"/>
    </row>
    <row r="37869" spans="65:67" ht="18.75" customHeight="1">
      <c r="BM37869" s="1025"/>
      <c r="BO37869" s="43"/>
    </row>
    <row r="37870" spans="65:67" ht="18.75" customHeight="1">
      <c r="BM37870" s="1025"/>
      <c r="BO37870" s="43"/>
    </row>
    <row r="37871" spans="65:67" ht="18.75" customHeight="1">
      <c r="BM37871" s="1025"/>
      <c r="BO37871" s="43"/>
    </row>
    <row r="37872" spans="65:67" ht="18.75" customHeight="1">
      <c r="BM37872" s="1025"/>
      <c r="BO37872" s="43"/>
    </row>
    <row r="37873" spans="65:67" ht="18.75" customHeight="1">
      <c r="BM37873" s="1025"/>
      <c r="BO37873" s="43"/>
    </row>
    <row r="37874" spans="65:67" ht="18.75" customHeight="1">
      <c r="BM37874" s="1025"/>
      <c r="BO37874" s="43"/>
    </row>
    <row r="37875" spans="65:67" ht="18.75" customHeight="1">
      <c r="BM37875" s="1025"/>
      <c r="BO37875" s="43"/>
    </row>
    <row r="37876" spans="65:67" ht="18.75" customHeight="1">
      <c r="BM37876" s="1025"/>
      <c r="BO37876" s="43"/>
    </row>
    <row r="37877" spans="65:67" ht="18.75" customHeight="1">
      <c r="BM37877" s="1025"/>
      <c r="BO37877" s="43"/>
    </row>
    <row r="37878" spans="65:67" ht="18.75" customHeight="1">
      <c r="BM37878" s="1025"/>
      <c r="BO37878" s="43"/>
    </row>
    <row r="37879" spans="65:67" ht="18.75" customHeight="1">
      <c r="BM37879" s="1025"/>
      <c r="BO37879" s="43"/>
    </row>
    <row r="37880" spans="65:67" ht="18.75" customHeight="1">
      <c r="BM37880" s="1025"/>
      <c r="BO37880" s="43"/>
    </row>
    <row r="37881" spans="65:67" ht="18.75" customHeight="1">
      <c r="BM37881" s="1025"/>
      <c r="BO37881" s="43"/>
    </row>
    <row r="37882" spans="65:67" ht="18.75" customHeight="1">
      <c r="BM37882" s="1025"/>
      <c r="BO37882" s="43"/>
    </row>
    <row r="37883" spans="65:67" ht="18.75" customHeight="1">
      <c r="BM37883" s="1025"/>
      <c r="BO37883" s="43"/>
    </row>
    <row r="37884" spans="65:67" ht="18.75" customHeight="1">
      <c r="BM37884" s="1025"/>
      <c r="BO37884" s="43"/>
    </row>
    <row r="37885" spans="65:67" ht="18.75" customHeight="1">
      <c r="BM37885" s="1025"/>
      <c r="BO37885" s="43"/>
    </row>
    <row r="37886" spans="65:67" ht="18.75" customHeight="1">
      <c r="BM37886" s="1025"/>
      <c r="BO37886" s="43"/>
    </row>
    <row r="37887" spans="65:67" ht="18.75" customHeight="1">
      <c r="BM37887" s="1025"/>
      <c r="BO37887" s="43"/>
    </row>
    <row r="37888" spans="65:67" ht="18.75" customHeight="1">
      <c r="BM37888" s="1025"/>
      <c r="BO37888" s="43"/>
    </row>
    <row r="37889" spans="65:67" ht="18.75" customHeight="1">
      <c r="BM37889" s="1025"/>
      <c r="BO37889" s="43"/>
    </row>
    <row r="37890" spans="65:67" ht="18.75" customHeight="1">
      <c r="BM37890" s="1025"/>
      <c r="BO37890" s="43"/>
    </row>
    <row r="37891" spans="65:67" ht="18.75" customHeight="1">
      <c r="BM37891" s="1025"/>
      <c r="BO37891" s="43"/>
    </row>
    <row r="37892" spans="65:67" ht="18.75" customHeight="1">
      <c r="BM37892" s="1025"/>
      <c r="BO37892" s="43"/>
    </row>
    <row r="37893" spans="65:67" ht="18.75" customHeight="1">
      <c r="BM37893" s="1025"/>
      <c r="BO37893" s="43"/>
    </row>
    <row r="37894" spans="65:67" ht="18.75" customHeight="1">
      <c r="BM37894" s="1025"/>
      <c r="BO37894" s="43"/>
    </row>
    <row r="37895" spans="65:67" ht="18.75" customHeight="1">
      <c r="BM37895" s="1025"/>
      <c r="BO37895" s="43"/>
    </row>
    <row r="37896" spans="65:67" ht="18.75" customHeight="1">
      <c r="BM37896" s="1025"/>
      <c r="BO37896" s="43"/>
    </row>
    <row r="37897" spans="65:67" ht="18.75" customHeight="1">
      <c r="BM37897" s="1025"/>
      <c r="BO37897" s="43"/>
    </row>
    <row r="37898" spans="65:67" ht="18.75" customHeight="1">
      <c r="BM37898" s="1025"/>
      <c r="BO37898" s="43"/>
    </row>
    <row r="37899" spans="65:67" ht="18.75" customHeight="1">
      <c r="BM37899" s="1025"/>
      <c r="BO37899" s="43"/>
    </row>
    <row r="37900" spans="65:67" ht="18.75" customHeight="1">
      <c r="BM37900" s="1025"/>
      <c r="BO37900" s="43"/>
    </row>
    <row r="37901" spans="65:67" ht="18.75" customHeight="1">
      <c r="BM37901" s="1025"/>
      <c r="BO37901" s="43"/>
    </row>
    <row r="37902" spans="65:67" ht="18.75" customHeight="1">
      <c r="BM37902" s="1025"/>
      <c r="BO37902" s="43"/>
    </row>
    <row r="37903" spans="65:67" ht="18.75" customHeight="1">
      <c r="BM37903" s="1025"/>
      <c r="BO37903" s="43"/>
    </row>
    <row r="37904" spans="65:67" ht="18.75" customHeight="1">
      <c r="BM37904" s="1025"/>
      <c r="BO37904" s="43"/>
    </row>
    <row r="37905" spans="65:67" ht="18.75" customHeight="1">
      <c r="BM37905" s="1025"/>
      <c r="BO37905" s="43"/>
    </row>
    <row r="37906" spans="65:67" ht="18.75" customHeight="1">
      <c r="BM37906" s="1025"/>
      <c r="BO37906" s="43"/>
    </row>
    <row r="37907" spans="65:67" ht="18.75" customHeight="1">
      <c r="BM37907" s="1025"/>
      <c r="BO37907" s="43"/>
    </row>
    <row r="37908" spans="65:67" ht="18.75" customHeight="1">
      <c r="BM37908" s="1025"/>
      <c r="BO37908" s="43"/>
    </row>
    <row r="37909" spans="65:67" ht="18.75" customHeight="1">
      <c r="BM37909" s="1025"/>
      <c r="BO37909" s="43"/>
    </row>
    <row r="37910" spans="65:67" ht="18.75" customHeight="1">
      <c r="BM37910" s="1025"/>
      <c r="BO37910" s="43"/>
    </row>
    <row r="37911" spans="65:67" ht="18.75" customHeight="1">
      <c r="BM37911" s="1025"/>
      <c r="BO37911" s="43"/>
    </row>
    <row r="37912" spans="65:67" ht="18.75" customHeight="1">
      <c r="BM37912" s="1025"/>
      <c r="BO37912" s="43"/>
    </row>
    <row r="37913" spans="65:67" ht="18.75" customHeight="1">
      <c r="BM37913" s="1025"/>
      <c r="BO37913" s="43"/>
    </row>
    <row r="37914" spans="65:67" ht="18.75" customHeight="1">
      <c r="BM37914" s="1025"/>
      <c r="BO37914" s="43"/>
    </row>
    <row r="37915" spans="65:67" ht="18.75" customHeight="1">
      <c r="BM37915" s="1025"/>
      <c r="BO37915" s="43"/>
    </row>
    <row r="37916" spans="65:67" ht="18.75" customHeight="1">
      <c r="BM37916" s="1025"/>
      <c r="BO37916" s="43"/>
    </row>
    <row r="37917" spans="65:67" ht="18.75" customHeight="1">
      <c r="BM37917" s="1025"/>
      <c r="BO37917" s="43"/>
    </row>
    <row r="37918" spans="65:67" ht="18.75" customHeight="1">
      <c r="BM37918" s="1025"/>
      <c r="BO37918" s="43"/>
    </row>
    <row r="37919" spans="65:67" ht="18.75" customHeight="1">
      <c r="BM37919" s="1025"/>
      <c r="BO37919" s="43"/>
    </row>
    <row r="37920" spans="65:67" ht="18.75" customHeight="1">
      <c r="BM37920" s="1025"/>
      <c r="BO37920" s="43"/>
    </row>
    <row r="37921" spans="65:67" ht="18.75" customHeight="1">
      <c r="BM37921" s="1025"/>
      <c r="BO37921" s="43"/>
    </row>
    <row r="37922" spans="65:67" ht="18.75" customHeight="1">
      <c r="BM37922" s="1025"/>
      <c r="BO37922" s="43"/>
    </row>
    <row r="37923" spans="65:67" ht="18.75" customHeight="1">
      <c r="BM37923" s="1025"/>
      <c r="BO37923" s="43"/>
    </row>
    <row r="37924" spans="65:67" ht="18.75" customHeight="1">
      <c r="BM37924" s="1025"/>
      <c r="BO37924" s="43"/>
    </row>
    <row r="37925" spans="65:67" ht="18.75" customHeight="1">
      <c r="BM37925" s="1025"/>
      <c r="BO37925" s="43"/>
    </row>
    <row r="37926" spans="65:67" ht="18.75" customHeight="1">
      <c r="BM37926" s="1025"/>
      <c r="BO37926" s="43"/>
    </row>
    <row r="37927" spans="65:67" ht="18.75" customHeight="1">
      <c r="BM37927" s="1025"/>
      <c r="BO37927" s="43"/>
    </row>
    <row r="37928" spans="65:67" ht="18.75" customHeight="1">
      <c r="BM37928" s="1025"/>
      <c r="BO37928" s="43"/>
    </row>
    <row r="37929" spans="65:67" ht="18.75" customHeight="1">
      <c r="BM37929" s="1025"/>
      <c r="BO37929" s="43"/>
    </row>
    <row r="37930" spans="65:67" ht="18.75" customHeight="1">
      <c r="BM37930" s="1025"/>
      <c r="BO37930" s="43"/>
    </row>
    <row r="37931" spans="65:67" ht="18.75" customHeight="1">
      <c r="BM37931" s="1025"/>
      <c r="BO37931" s="43"/>
    </row>
    <row r="37932" spans="65:67" ht="18.75" customHeight="1">
      <c r="BM37932" s="1025"/>
      <c r="BO37932" s="43"/>
    </row>
    <row r="37933" spans="65:67" ht="18.75" customHeight="1">
      <c r="BM37933" s="1025"/>
      <c r="BO37933" s="43"/>
    </row>
    <row r="37934" spans="65:67" ht="18.75" customHeight="1">
      <c r="BM37934" s="1025"/>
      <c r="BO37934" s="43"/>
    </row>
    <row r="37935" spans="65:67" ht="18.75" customHeight="1">
      <c r="BM37935" s="1025"/>
      <c r="BO37935" s="43"/>
    </row>
    <row r="37936" spans="65:67" ht="18.75" customHeight="1">
      <c r="BM37936" s="1025"/>
      <c r="BO37936" s="43"/>
    </row>
    <row r="37937" spans="65:67" ht="18.75" customHeight="1">
      <c r="BM37937" s="1025"/>
      <c r="BO37937" s="43"/>
    </row>
    <row r="37938" spans="65:67" ht="18.75" customHeight="1">
      <c r="BM37938" s="1025"/>
      <c r="BO37938" s="43"/>
    </row>
    <row r="37939" spans="65:67" ht="18.75" customHeight="1">
      <c r="BM37939" s="1025"/>
      <c r="BO37939" s="43"/>
    </row>
    <row r="37940" spans="65:67" ht="18.75" customHeight="1">
      <c r="BM37940" s="1025"/>
      <c r="BO37940" s="43"/>
    </row>
    <row r="37941" spans="65:67" ht="18.75" customHeight="1">
      <c r="BM37941" s="1025"/>
      <c r="BO37941" s="43"/>
    </row>
    <row r="37942" spans="65:67" ht="18.75" customHeight="1">
      <c r="BM37942" s="1025"/>
      <c r="BO37942" s="43"/>
    </row>
    <row r="37943" spans="65:67" ht="18.75" customHeight="1">
      <c r="BM37943" s="1025"/>
      <c r="BO37943" s="43"/>
    </row>
    <row r="37944" spans="65:67" ht="18.75" customHeight="1">
      <c r="BM37944" s="1025"/>
      <c r="BO37944" s="43"/>
    </row>
    <row r="37945" spans="65:67" ht="18.75" customHeight="1">
      <c r="BM37945" s="1025"/>
      <c r="BO37945" s="43"/>
    </row>
    <row r="37946" spans="65:67" ht="18.75" customHeight="1">
      <c r="BM37946" s="1025"/>
      <c r="BO37946" s="43"/>
    </row>
    <row r="37947" spans="65:67" ht="18.75" customHeight="1">
      <c r="BM37947" s="1025"/>
      <c r="BO37947" s="43"/>
    </row>
    <row r="37948" spans="65:67" ht="18.75" customHeight="1">
      <c r="BM37948" s="1025"/>
      <c r="BO37948" s="43"/>
    </row>
    <row r="37949" spans="65:67" ht="18.75" customHeight="1">
      <c r="BM37949" s="1025"/>
      <c r="BO37949" s="43"/>
    </row>
    <row r="37950" spans="65:67" ht="18.75" customHeight="1">
      <c r="BM37950" s="1025"/>
      <c r="BO37950" s="43"/>
    </row>
    <row r="37951" spans="65:67" ht="18.75" customHeight="1">
      <c r="BM37951" s="1025"/>
      <c r="BO37951" s="43"/>
    </row>
    <row r="37952" spans="65:67" ht="18.75" customHeight="1">
      <c r="BM37952" s="1025"/>
      <c r="BO37952" s="43"/>
    </row>
    <row r="37953" spans="65:67" ht="18.75" customHeight="1">
      <c r="BM37953" s="1025"/>
      <c r="BO37953" s="43"/>
    </row>
    <row r="37954" spans="65:67" ht="18.75" customHeight="1">
      <c r="BM37954" s="1025"/>
      <c r="BO37954" s="43"/>
    </row>
    <row r="37955" spans="65:67" ht="18.75" customHeight="1">
      <c r="BM37955" s="1025"/>
      <c r="BO37955" s="43"/>
    </row>
    <row r="37956" spans="65:67" ht="18.75" customHeight="1">
      <c r="BM37956" s="1025"/>
      <c r="BO37956" s="43"/>
    </row>
    <row r="37957" spans="65:67" ht="18.75" customHeight="1">
      <c r="BM37957" s="1025"/>
      <c r="BO37957" s="43"/>
    </row>
    <row r="37958" spans="65:67" ht="18.75" customHeight="1">
      <c r="BM37958" s="1025"/>
      <c r="BO37958" s="43"/>
    </row>
    <row r="37959" spans="65:67" ht="18.75" customHeight="1">
      <c r="BM37959" s="1025"/>
      <c r="BO37959" s="43"/>
    </row>
    <row r="37960" spans="65:67" ht="18.75" customHeight="1">
      <c r="BM37960" s="1025"/>
      <c r="BO37960" s="43"/>
    </row>
    <row r="37961" spans="65:67" ht="18.75" customHeight="1">
      <c r="BM37961" s="1025"/>
      <c r="BO37961" s="43"/>
    </row>
    <row r="37962" spans="65:67" ht="18.75" customHeight="1">
      <c r="BM37962" s="1025"/>
      <c r="BO37962" s="43"/>
    </row>
    <row r="37963" spans="65:67" ht="18.75" customHeight="1">
      <c r="BM37963" s="1025"/>
      <c r="BO37963" s="43"/>
    </row>
    <row r="37964" spans="65:67" ht="18.75" customHeight="1">
      <c r="BM37964" s="1025"/>
      <c r="BO37964" s="43"/>
    </row>
    <row r="37965" spans="65:67" ht="18.75" customHeight="1">
      <c r="BM37965" s="1025"/>
      <c r="BO37965" s="43"/>
    </row>
    <row r="37966" spans="65:67" ht="18.75" customHeight="1">
      <c r="BM37966" s="1025"/>
      <c r="BO37966" s="43"/>
    </row>
    <row r="37967" spans="65:67" ht="18.75" customHeight="1">
      <c r="BM37967" s="1025"/>
      <c r="BO37967" s="43"/>
    </row>
    <row r="37968" spans="65:67" ht="18.75" customHeight="1">
      <c r="BM37968" s="1025"/>
      <c r="BO37968" s="43"/>
    </row>
    <row r="37969" spans="65:67" ht="18.75" customHeight="1">
      <c r="BM37969" s="1025"/>
      <c r="BO37969" s="43"/>
    </row>
    <row r="37970" spans="65:67" ht="18.75" customHeight="1">
      <c r="BM37970" s="1025"/>
      <c r="BO37970" s="43"/>
    </row>
    <row r="37971" spans="65:67" ht="18.75" customHeight="1">
      <c r="BM37971" s="1025"/>
      <c r="BO37971" s="43"/>
    </row>
    <row r="37972" spans="65:67" ht="18.75" customHeight="1">
      <c r="BM37972" s="1025"/>
      <c r="BO37972" s="43"/>
    </row>
    <row r="37973" spans="65:67" ht="18.75" customHeight="1">
      <c r="BM37973" s="1025"/>
      <c r="BO37973" s="43"/>
    </row>
    <row r="37974" spans="65:67" ht="18.75" customHeight="1">
      <c r="BM37974" s="1025"/>
      <c r="BO37974" s="43"/>
    </row>
    <row r="37975" spans="65:67" ht="18.75" customHeight="1">
      <c r="BM37975" s="1025"/>
      <c r="BO37975" s="43"/>
    </row>
    <row r="37976" spans="65:67" ht="18.75" customHeight="1">
      <c r="BM37976" s="1025"/>
      <c r="BO37976" s="43"/>
    </row>
    <row r="37977" spans="65:67" ht="18.75" customHeight="1">
      <c r="BM37977" s="1025"/>
      <c r="BO37977" s="43"/>
    </row>
    <row r="37978" spans="65:67" ht="18.75" customHeight="1">
      <c r="BM37978" s="1025"/>
      <c r="BO37978" s="43"/>
    </row>
    <row r="37979" spans="65:67" ht="18.75" customHeight="1">
      <c r="BM37979" s="1025"/>
      <c r="BO37979" s="43"/>
    </row>
    <row r="37980" spans="65:67" ht="18.75" customHeight="1">
      <c r="BM37980" s="1025"/>
      <c r="BO37980" s="43"/>
    </row>
    <row r="37981" spans="65:67" ht="18.75" customHeight="1">
      <c r="BM37981" s="1025"/>
      <c r="BO37981" s="43"/>
    </row>
    <row r="37982" spans="65:67" ht="18.75" customHeight="1">
      <c r="BM37982" s="1025"/>
      <c r="BO37982" s="43"/>
    </row>
    <row r="37983" spans="65:67" ht="18.75" customHeight="1">
      <c r="BM37983" s="1025"/>
      <c r="BO37983" s="43"/>
    </row>
    <row r="37984" spans="65:67" ht="18.75" customHeight="1">
      <c r="BM37984" s="1025"/>
      <c r="BO37984" s="43"/>
    </row>
    <row r="37985" spans="65:67" ht="18.75" customHeight="1">
      <c r="BM37985" s="1025"/>
      <c r="BO37985" s="43"/>
    </row>
    <row r="37986" spans="65:67" ht="18.75" customHeight="1">
      <c r="BM37986" s="1025"/>
      <c r="BO37986" s="43"/>
    </row>
    <row r="37987" spans="65:67" ht="18.75" customHeight="1">
      <c r="BM37987" s="1025"/>
      <c r="BO37987" s="43"/>
    </row>
    <row r="37988" spans="65:67" ht="18.75" customHeight="1">
      <c r="BM37988" s="1025"/>
      <c r="BO37988" s="43"/>
    </row>
    <row r="37989" spans="65:67" ht="18.75" customHeight="1">
      <c r="BM37989" s="1025"/>
      <c r="BO37989" s="43"/>
    </row>
    <row r="37990" spans="65:67" ht="18.75" customHeight="1">
      <c r="BM37990" s="1025"/>
      <c r="BO37990" s="43"/>
    </row>
    <row r="37991" spans="65:67" ht="18.75" customHeight="1">
      <c r="BM37991" s="1025"/>
      <c r="BO37991" s="43"/>
    </row>
    <row r="37992" spans="65:67" ht="18.75" customHeight="1">
      <c r="BM37992" s="1025"/>
      <c r="BO37992" s="43"/>
    </row>
    <row r="37993" spans="65:67" ht="18.75" customHeight="1">
      <c r="BM37993" s="1025"/>
      <c r="BO37993" s="43"/>
    </row>
    <row r="37994" spans="65:67" ht="18.75" customHeight="1">
      <c r="BM37994" s="1025"/>
      <c r="BO37994" s="43"/>
    </row>
    <row r="37995" spans="65:67" ht="18.75" customHeight="1">
      <c r="BM37995" s="1025"/>
      <c r="BO37995" s="43"/>
    </row>
    <row r="37996" spans="65:67" ht="18.75" customHeight="1">
      <c r="BM37996" s="1025"/>
      <c r="BO37996" s="43"/>
    </row>
    <row r="37997" spans="65:67" ht="18.75" customHeight="1">
      <c r="BM37997" s="1025"/>
      <c r="BO37997" s="43"/>
    </row>
    <row r="37998" spans="65:67" ht="18.75" customHeight="1">
      <c r="BM37998" s="1025"/>
      <c r="BO37998" s="43"/>
    </row>
    <row r="37999" spans="65:67" ht="18.75" customHeight="1">
      <c r="BM37999" s="1025"/>
      <c r="BO37999" s="43"/>
    </row>
    <row r="38000" spans="65:67" ht="18.75" customHeight="1">
      <c r="BM38000" s="1025"/>
      <c r="BO38000" s="43"/>
    </row>
    <row r="38001" spans="65:67" ht="18.75" customHeight="1">
      <c r="BM38001" s="1025"/>
      <c r="BO38001" s="43"/>
    </row>
    <row r="38002" spans="65:67" ht="18.75" customHeight="1">
      <c r="BM38002" s="1025"/>
      <c r="BO38002" s="43"/>
    </row>
    <row r="38003" spans="65:67" ht="18.75" customHeight="1">
      <c r="BM38003" s="1025"/>
      <c r="BO38003" s="43"/>
    </row>
    <row r="38004" spans="65:67" ht="18.75" customHeight="1">
      <c r="BM38004" s="1025"/>
      <c r="BO38004" s="43"/>
    </row>
    <row r="38005" spans="65:67" ht="18.75" customHeight="1">
      <c r="BM38005" s="1025"/>
      <c r="BO38005" s="43"/>
    </row>
    <row r="38006" spans="65:67" ht="18.75" customHeight="1">
      <c r="BM38006" s="1025"/>
      <c r="BO38006" s="43"/>
    </row>
    <row r="38007" spans="65:67" ht="18.75" customHeight="1">
      <c r="BM38007" s="1025"/>
      <c r="BO38007" s="43"/>
    </row>
    <row r="38008" spans="65:67" ht="18.75" customHeight="1">
      <c r="BM38008" s="1025"/>
      <c r="BO38008" s="43"/>
    </row>
    <row r="38009" spans="65:67" ht="18.75" customHeight="1">
      <c r="BM38009" s="1025"/>
      <c r="BO38009" s="43"/>
    </row>
    <row r="38010" spans="65:67" ht="18.75" customHeight="1">
      <c r="BM38010" s="1025"/>
      <c r="BO38010" s="43"/>
    </row>
    <row r="38011" spans="65:67" ht="18.75" customHeight="1">
      <c r="BM38011" s="1025"/>
      <c r="BO38011" s="43"/>
    </row>
    <row r="38012" spans="65:67" ht="18.75" customHeight="1">
      <c r="BM38012" s="1025"/>
      <c r="BO38012" s="43"/>
    </row>
    <row r="38013" spans="65:67" ht="18.75" customHeight="1">
      <c r="BM38013" s="1025"/>
      <c r="BO38013" s="43"/>
    </row>
    <row r="38014" spans="65:67" ht="18.75" customHeight="1">
      <c r="BM38014" s="1025"/>
      <c r="BO38014" s="43"/>
    </row>
    <row r="38015" spans="65:67" ht="18.75" customHeight="1">
      <c r="BM38015" s="1025"/>
      <c r="BO38015" s="43"/>
    </row>
    <row r="38016" spans="65:67" ht="18.75" customHeight="1">
      <c r="BM38016" s="1025"/>
      <c r="BO38016" s="43"/>
    </row>
    <row r="38017" spans="65:67" ht="18.75" customHeight="1">
      <c r="BM38017" s="1025"/>
      <c r="BO38017" s="43"/>
    </row>
    <row r="38018" spans="65:67" ht="18.75" customHeight="1">
      <c r="BM38018" s="1025"/>
      <c r="BO38018" s="43"/>
    </row>
    <row r="38019" spans="65:67" ht="18.75" customHeight="1">
      <c r="BM38019" s="1025"/>
      <c r="BO38019" s="43"/>
    </row>
    <row r="38020" spans="65:67" ht="18.75" customHeight="1">
      <c r="BM38020" s="1025"/>
      <c r="BO38020" s="43"/>
    </row>
    <row r="38021" spans="65:67" ht="18.75" customHeight="1">
      <c r="BM38021" s="1025"/>
      <c r="BO38021" s="43"/>
    </row>
    <row r="38022" spans="65:67" ht="18.75" customHeight="1">
      <c r="BM38022" s="1025"/>
      <c r="BO38022" s="43"/>
    </row>
    <row r="38023" spans="65:67" ht="18.75" customHeight="1">
      <c r="BM38023" s="1025"/>
      <c r="BO38023" s="43"/>
    </row>
    <row r="38024" spans="65:67" ht="18.75" customHeight="1">
      <c r="BM38024" s="1025"/>
      <c r="BO38024" s="43"/>
    </row>
    <row r="38025" spans="65:67" ht="18.75" customHeight="1">
      <c r="BM38025" s="1025"/>
      <c r="BO38025" s="43"/>
    </row>
    <row r="38026" spans="65:67" ht="18.75" customHeight="1">
      <c r="BM38026" s="1025"/>
      <c r="BO38026" s="43"/>
    </row>
    <row r="38027" spans="65:67" ht="18.75" customHeight="1">
      <c r="BM38027" s="1025"/>
      <c r="BO38027" s="43"/>
    </row>
    <row r="38028" spans="65:67" ht="18.75" customHeight="1">
      <c r="BM38028" s="1025"/>
      <c r="BO38028" s="43"/>
    </row>
    <row r="38029" spans="65:67" ht="18.75" customHeight="1">
      <c r="BM38029" s="1025"/>
      <c r="BO38029" s="43"/>
    </row>
    <row r="38030" spans="65:67" ht="18.75" customHeight="1">
      <c r="BM38030" s="1025"/>
      <c r="BO38030" s="43"/>
    </row>
    <row r="38031" spans="65:67" ht="18.75" customHeight="1">
      <c r="BM38031" s="1025"/>
      <c r="BO38031" s="43"/>
    </row>
    <row r="38032" spans="65:67" ht="18.75" customHeight="1">
      <c r="BM38032" s="1025"/>
      <c r="BO38032" s="43"/>
    </row>
    <row r="38033" spans="65:67" ht="18.75" customHeight="1">
      <c r="BM38033" s="1025"/>
      <c r="BO38033" s="43"/>
    </row>
    <row r="38034" spans="65:67" ht="18.75" customHeight="1">
      <c r="BM38034" s="1025"/>
      <c r="BO38034" s="43"/>
    </row>
    <row r="38035" spans="65:67" ht="18.75" customHeight="1">
      <c r="BM38035" s="1025"/>
      <c r="BO38035" s="43"/>
    </row>
    <row r="38036" spans="65:67" ht="18.75" customHeight="1">
      <c r="BM38036" s="1025"/>
      <c r="BO38036" s="43"/>
    </row>
    <row r="38037" spans="65:67" ht="18.75" customHeight="1">
      <c r="BM38037" s="1025"/>
      <c r="BO38037" s="43"/>
    </row>
    <row r="38038" spans="65:67" ht="18.75" customHeight="1">
      <c r="BM38038" s="1025"/>
      <c r="BO38038" s="43"/>
    </row>
    <row r="38039" spans="65:67" ht="18.75" customHeight="1">
      <c r="BM38039" s="1025"/>
      <c r="BO38039" s="43"/>
    </row>
    <row r="38040" spans="65:67" ht="18.75" customHeight="1">
      <c r="BM38040" s="1025"/>
      <c r="BO38040" s="43"/>
    </row>
    <row r="38041" spans="65:67" ht="18.75" customHeight="1">
      <c r="BM38041" s="1025"/>
      <c r="BO38041" s="43"/>
    </row>
    <row r="38042" spans="65:67" ht="18.75" customHeight="1">
      <c r="BM38042" s="1025"/>
      <c r="BO38042" s="43"/>
    </row>
    <row r="38043" spans="65:67" ht="18.75" customHeight="1">
      <c r="BM38043" s="1025"/>
      <c r="BO38043" s="43"/>
    </row>
    <row r="38044" spans="65:67" ht="18.75" customHeight="1">
      <c r="BM38044" s="1025"/>
      <c r="BO38044" s="43"/>
    </row>
    <row r="38045" spans="65:67" ht="18.75" customHeight="1">
      <c r="BM38045" s="1025"/>
      <c r="BO38045" s="43"/>
    </row>
    <row r="38046" spans="65:67" ht="18.75" customHeight="1">
      <c r="BM38046" s="1025"/>
      <c r="BO38046" s="43"/>
    </row>
    <row r="38047" spans="65:67" ht="18.75" customHeight="1">
      <c r="BM38047" s="1025"/>
      <c r="BO38047" s="43"/>
    </row>
    <row r="38048" spans="65:67" ht="18.75" customHeight="1">
      <c r="BM38048" s="1025"/>
      <c r="BO38048" s="43"/>
    </row>
    <row r="38049" spans="65:67" ht="18.75" customHeight="1">
      <c r="BM38049" s="1025"/>
      <c r="BO38049" s="43"/>
    </row>
    <row r="38050" spans="65:67" ht="18.75" customHeight="1">
      <c r="BM38050" s="1025"/>
      <c r="BO38050" s="43"/>
    </row>
    <row r="38051" spans="65:67" ht="18.75" customHeight="1">
      <c r="BM38051" s="1025"/>
      <c r="BO38051" s="43"/>
    </row>
    <row r="38052" spans="65:67" ht="18.75" customHeight="1">
      <c r="BM38052" s="1025"/>
      <c r="BO38052" s="43"/>
    </row>
    <row r="38053" spans="65:67" ht="18.75" customHeight="1">
      <c r="BM38053" s="1025"/>
      <c r="BO38053" s="43"/>
    </row>
    <row r="38054" spans="65:67" ht="18.75" customHeight="1">
      <c r="BM38054" s="1025"/>
      <c r="BO38054" s="43"/>
    </row>
    <row r="38055" spans="65:67" ht="18.75" customHeight="1">
      <c r="BM38055" s="1025"/>
      <c r="BO38055" s="43"/>
    </row>
    <row r="38056" spans="65:67" ht="18.75" customHeight="1">
      <c r="BM38056" s="1025"/>
      <c r="BO38056" s="43"/>
    </row>
    <row r="38057" spans="65:67" ht="18.75" customHeight="1">
      <c r="BM38057" s="1025"/>
      <c r="BO38057" s="43"/>
    </row>
    <row r="38058" spans="65:67" ht="18.75" customHeight="1">
      <c r="BM38058" s="1025"/>
      <c r="BO38058" s="43"/>
    </row>
    <row r="38059" spans="65:67" ht="18.75" customHeight="1">
      <c r="BM38059" s="1025"/>
      <c r="BO38059" s="43"/>
    </row>
    <row r="38060" spans="65:67" ht="18.75" customHeight="1">
      <c r="BM38060" s="1025"/>
      <c r="BO38060" s="43"/>
    </row>
    <row r="38061" spans="65:67" ht="18.75" customHeight="1">
      <c r="BM38061" s="1025"/>
      <c r="BO38061" s="43"/>
    </row>
    <row r="38062" spans="65:67" ht="18.75" customHeight="1">
      <c r="BM38062" s="1025"/>
      <c r="BO38062" s="43"/>
    </row>
    <row r="38063" spans="65:67" ht="18.75" customHeight="1">
      <c r="BM38063" s="1025"/>
      <c r="BO38063" s="43"/>
    </row>
    <row r="38064" spans="65:67" ht="18.75" customHeight="1">
      <c r="BM38064" s="1025"/>
      <c r="BO38064" s="43"/>
    </row>
    <row r="38065" spans="65:67" ht="18.75" customHeight="1">
      <c r="BM38065" s="1025"/>
      <c r="BO38065" s="43"/>
    </row>
    <row r="38066" spans="65:67" ht="18.75" customHeight="1">
      <c r="BM38066" s="1025"/>
      <c r="BO38066" s="43"/>
    </row>
    <row r="38067" spans="65:67" ht="18.75" customHeight="1">
      <c r="BM38067" s="1025"/>
      <c r="BO38067" s="43"/>
    </row>
    <row r="38068" spans="65:67" ht="18.75" customHeight="1">
      <c r="BM38068" s="1025"/>
      <c r="BO38068" s="43"/>
    </row>
    <row r="38069" spans="65:67" ht="18.75" customHeight="1">
      <c r="BM38069" s="1025"/>
      <c r="BO38069" s="43"/>
    </row>
    <row r="38070" spans="65:67" ht="18.75" customHeight="1">
      <c r="BM38070" s="1025"/>
      <c r="BO38070" s="43"/>
    </row>
    <row r="38071" spans="65:67" ht="18.75" customHeight="1">
      <c r="BM38071" s="1025"/>
      <c r="BO38071" s="43"/>
    </row>
    <row r="38072" spans="65:67" ht="18.75" customHeight="1">
      <c r="BM38072" s="1025"/>
      <c r="BO38072" s="43"/>
    </row>
    <row r="38073" spans="65:67" ht="18.75" customHeight="1">
      <c r="BM38073" s="1025"/>
      <c r="BO38073" s="43"/>
    </row>
    <row r="38074" spans="65:67" ht="18.75" customHeight="1">
      <c r="BM38074" s="1025"/>
      <c r="BO38074" s="43"/>
    </row>
    <row r="38075" spans="65:67" ht="18.75" customHeight="1">
      <c r="BM38075" s="1025"/>
      <c r="BO38075" s="43"/>
    </row>
    <row r="38076" spans="65:67" ht="18.75" customHeight="1">
      <c r="BM38076" s="1025"/>
      <c r="BO38076" s="43"/>
    </row>
    <row r="38077" spans="65:67" ht="18.75" customHeight="1">
      <c r="BM38077" s="1025"/>
      <c r="BO38077" s="43"/>
    </row>
    <row r="38078" spans="65:67" ht="18.75" customHeight="1">
      <c r="BM38078" s="1025"/>
      <c r="BO38078" s="43"/>
    </row>
    <row r="38079" spans="65:67" ht="18.75" customHeight="1">
      <c r="BM38079" s="1025"/>
      <c r="BO38079" s="43"/>
    </row>
    <row r="38080" spans="65:67" ht="18.75" customHeight="1">
      <c r="BM38080" s="1025"/>
      <c r="BO38080" s="43"/>
    </row>
    <row r="38081" spans="65:67" ht="18.75" customHeight="1">
      <c r="BM38081" s="1025"/>
      <c r="BO38081" s="43"/>
    </row>
    <row r="38082" spans="65:67" ht="18.75" customHeight="1">
      <c r="BM38082" s="1025"/>
      <c r="BO38082" s="43"/>
    </row>
    <row r="38083" spans="65:67" ht="18.75" customHeight="1">
      <c r="BM38083" s="1025"/>
      <c r="BO38083" s="43"/>
    </row>
    <row r="38084" spans="65:67" ht="18.75" customHeight="1">
      <c r="BM38084" s="1025"/>
      <c r="BO38084" s="43"/>
    </row>
    <row r="38085" spans="65:67" ht="18.75" customHeight="1">
      <c r="BM38085" s="1025"/>
      <c r="BO38085" s="43"/>
    </row>
    <row r="38086" spans="65:67" ht="18.75" customHeight="1">
      <c r="BM38086" s="1025"/>
      <c r="BO38086" s="43"/>
    </row>
    <row r="38087" spans="65:67" ht="18.75" customHeight="1">
      <c r="BM38087" s="1025"/>
      <c r="BO38087" s="43"/>
    </row>
    <row r="38088" spans="65:67" ht="18.75" customHeight="1">
      <c r="BM38088" s="1025"/>
      <c r="BO38088" s="43"/>
    </row>
    <row r="38089" spans="65:67" ht="18.75" customHeight="1">
      <c r="BM38089" s="1025"/>
      <c r="BO38089" s="43"/>
    </row>
    <row r="38090" spans="65:67" ht="18.75" customHeight="1">
      <c r="BM38090" s="1025"/>
      <c r="BO38090" s="43"/>
    </row>
    <row r="38091" spans="65:67" ht="18.75" customHeight="1">
      <c r="BM38091" s="1025"/>
      <c r="BO38091" s="43"/>
    </row>
    <row r="38092" spans="65:67" ht="18.75" customHeight="1">
      <c r="BM38092" s="1025"/>
      <c r="BO38092" s="43"/>
    </row>
    <row r="38093" spans="65:67" ht="18.75" customHeight="1">
      <c r="BM38093" s="1025"/>
      <c r="BO38093" s="43"/>
    </row>
    <row r="38094" spans="65:67" ht="18.75" customHeight="1">
      <c r="BM38094" s="1025"/>
      <c r="BO38094" s="43"/>
    </row>
    <row r="38095" spans="65:67" ht="18.75" customHeight="1">
      <c r="BM38095" s="1025"/>
      <c r="BO38095" s="43"/>
    </row>
    <row r="38096" spans="65:67" ht="18.75" customHeight="1">
      <c r="BM38096" s="1025"/>
      <c r="BO38096" s="43"/>
    </row>
    <row r="38097" spans="65:67" ht="18.75" customHeight="1">
      <c r="BM38097" s="1025"/>
      <c r="BO38097" s="43"/>
    </row>
    <row r="38098" spans="65:67" ht="18.75" customHeight="1">
      <c r="BM38098" s="1025"/>
      <c r="BO38098" s="43"/>
    </row>
    <row r="38099" spans="65:67" ht="18.75" customHeight="1">
      <c r="BM38099" s="1025"/>
      <c r="BO38099" s="43"/>
    </row>
    <row r="38100" spans="65:67" ht="18.75" customHeight="1">
      <c r="BM38100" s="1025"/>
      <c r="BO38100" s="43"/>
    </row>
    <row r="38101" spans="65:67" ht="18.75" customHeight="1">
      <c r="BM38101" s="1025"/>
      <c r="BO38101" s="43"/>
    </row>
    <row r="38102" spans="65:67" ht="18.75" customHeight="1">
      <c r="BM38102" s="1025"/>
      <c r="BO38102" s="43"/>
    </row>
    <row r="38103" spans="65:67" ht="18.75" customHeight="1">
      <c r="BM38103" s="1025"/>
      <c r="BO38103" s="43"/>
    </row>
    <row r="38104" spans="65:67" ht="18.75" customHeight="1">
      <c r="BM38104" s="1025"/>
      <c r="BO38104" s="43"/>
    </row>
    <row r="38105" spans="65:67" ht="18.75" customHeight="1">
      <c r="BM38105" s="1025"/>
      <c r="BO38105" s="43"/>
    </row>
    <row r="38106" spans="65:67" ht="18.75" customHeight="1">
      <c r="BM38106" s="1025"/>
      <c r="BO38106" s="43"/>
    </row>
    <row r="38107" spans="65:67" ht="18.75" customHeight="1">
      <c r="BM38107" s="1025"/>
      <c r="BO38107" s="43"/>
    </row>
    <row r="38108" spans="65:67" ht="18.75" customHeight="1">
      <c r="BM38108" s="1025"/>
      <c r="BO38108" s="43"/>
    </row>
    <row r="38109" spans="65:67" ht="18.75" customHeight="1">
      <c r="BM38109" s="1025"/>
      <c r="BO38109" s="43"/>
    </row>
    <row r="38110" spans="65:67" ht="18.75" customHeight="1">
      <c r="BM38110" s="1025"/>
      <c r="BO38110" s="43"/>
    </row>
    <row r="38111" spans="65:67" ht="18.75" customHeight="1">
      <c r="BM38111" s="1025"/>
      <c r="BO38111" s="43"/>
    </row>
    <row r="38112" spans="65:67" ht="18.75" customHeight="1">
      <c r="BM38112" s="1025"/>
      <c r="BO38112" s="43"/>
    </row>
    <row r="38113" spans="65:67" ht="18.75" customHeight="1">
      <c r="BM38113" s="1025"/>
      <c r="BO38113" s="43"/>
    </row>
    <row r="38114" spans="65:67" ht="18.75" customHeight="1">
      <c r="BM38114" s="1025"/>
      <c r="BO38114" s="43"/>
    </row>
    <row r="38115" spans="65:67" ht="18.75" customHeight="1">
      <c r="BM38115" s="1025"/>
      <c r="BO38115" s="43"/>
    </row>
    <row r="38116" spans="65:67" ht="18.75" customHeight="1">
      <c r="BM38116" s="1025"/>
      <c r="BO38116" s="43"/>
    </row>
    <row r="38117" spans="65:67" ht="18.75" customHeight="1">
      <c r="BM38117" s="1025"/>
      <c r="BO38117" s="43"/>
    </row>
    <row r="38118" spans="65:67" ht="18.75" customHeight="1">
      <c r="BM38118" s="1025"/>
      <c r="BO38118" s="43"/>
    </row>
    <row r="38119" spans="65:67" ht="18.75" customHeight="1">
      <c r="BM38119" s="1025"/>
      <c r="BO38119" s="43"/>
    </row>
    <row r="38120" spans="65:67" ht="18.75" customHeight="1">
      <c r="BM38120" s="1025"/>
      <c r="BO38120" s="43"/>
    </row>
    <row r="38121" spans="65:67" ht="18.75" customHeight="1">
      <c r="BM38121" s="1025"/>
      <c r="BO38121" s="43"/>
    </row>
    <row r="38122" spans="65:67" ht="18.75" customHeight="1">
      <c r="BM38122" s="1025"/>
      <c r="BO38122" s="43"/>
    </row>
    <row r="38123" spans="65:67" ht="18.75" customHeight="1">
      <c r="BM38123" s="1025"/>
      <c r="BO38123" s="43"/>
    </row>
    <row r="38124" spans="65:67" ht="18.75" customHeight="1">
      <c r="BM38124" s="1025"/>
      <c r="BO38124" s="43"/>
    </row>
    <row r="38125" spans="65:67" ht="18.75" customHeight="1">
      <c r="BM38125" s="1025"/>
      <c r="BO38125" s="43"/>
    </row>
    <row r="38126" spans="65:67" ht="18.75" customHeight="1">
      <c r="BM38126" s="1025"/>
      <c r="BO38126" s="43"/>
    </row>
    <row r="38127" spans="65:67" ht="18.75" customHeight="1">
      <c r="BM38127" s="1025"/>
      <c r="BO38127" s="43"/>
    </row>
    <row r="38128" spans="65:67" ht="18.75" customHeight="1">
      <c r="BM38128" s="1025"/>
      <c r="BO38128" s="43"/>
    </row>
    <row r="38129" spans="65:67" ht="18.75" customHeight="1">
      <c r="BM38129" s="1025"/>
      <c r="BO38129" s="43"/>
    </row>
    <row r="38130" spans="65:67" ht="18.75" customHeight="1">
      <c r="BM38130" s="1025"/>
      <c r="BO38130" s="43"/>
    </row>
    <row r="38131" spans="65:67" ht="18.75" customHeight="1">
      <c r="BM38131" s="1025"/>
      <c r="BO38131" s="43"/>
    </row>
    <row r="38132" spans="65:67" ht="18.75" customHeight="1">
      <c r="BM38132" s="1025"/>
      <c r="BO38132" s="43"/>
    </row>
    <row r="38133" spans="65:67" ht="18.75" customHeight="1">
      <c r="BM38133" s="1025"/>
      <c r="BO38133" s="43"/>
    </row>
    <row r="38134" spans="65:67" ht="18.75" customHeight="1">
      <c r="BM38134" s="1025"/>
      <c r="BO38134" s="43"/>
    </row>
    <row r="38135" spans="65:67" ht="18.75" customHeight="1">
      <c r="BM38135" s="1025"/>
      <c r="BO38135" s="43"/>
    </row>
    <row r="38136" spans="65:67" ht="18.75" customHeight="1">
      <c r="BM38136" s="1025"/>
      <c r="BO38136" s="43"/>
    </row>
    <row r="38137" spans="65:67" ht="18.75" customHeight="1">
      <c r="BM38137" s="1025"/>
      <c r="BO38137" s="43"/>
    </row>
    <row r="38138" spans="65:67" ht="18.75" customHeight="1">
      <c r="BM38138" s="1025"/>
      <c r="BO38138" s="43"/>
    </row>
    <row r="38139" spans="65:67" ht="18.75" customHeight="1">
      <c r="BM38139" s="1025"/>
      <c r="BO38139" s="43"/>
    </row>
    <row r="38140" spans="65:67" ht="18.75" customHeight="1">
      <c r="BM38140" s="1025"/>
      <c r="BO38140" s="43"/>
    </row>
    <row r="38141" spans="65:67" ht="18.75" customHeight="1">
      <c r="BM38141" s="1025"/>
      <c r="BO38141" s="43"/>
    </row>
    <row r="38142" spans="65:67" ht="18.75" customHeight="1">
      <c r="BM38142" s="1025"/>
      <c r="BO38142" s="43"/>
    </row>
    <row r="38143" spans="65:67" ht="18.75" customHeight="1">
      <c r="BM38143" s="1025"/>
      <c r="BO38143" s="43"/>
    </row>
    <row r="38144" spans="65:67" ht="18.75" customHeight="1">
      <c r="BM38144" s="1025"/>
      <c r="BO38144" s="43"/>
    </row>
    <row r="38145" spans="65:67" ht="18.75" customHeight="1">
      <c r="BM38145" s="1025"/>
      <c r="BO38145" s="43"/>
    </row>
    <row r="38146" spans="65:67" ht="18.75" customHeight="1">
      <c r="BM38146" s="1025"/>
      <c r="BO38146" s="43"/>
    </row>
    <row r="38147" spans="65:67" ht="18.75" customHeight="1">
      <c r="BM38147" s="1025"/>
      <c r="BO38147" s="43"/>
    </row>
    <row r="38148" spans="65:67" ht="18.75" customHeight="1">
      <c r="BM38148" s="1025"/>
      <c r="BO38148" s="43"/>
    </row>
    <row r="38149" spans="65:67" ht="18.75" customHeight="1">
      <c r="BM38149" s="1025"/>
      <c r="BO38149" s="43"/>
    </row>
    <row r="38150" spans="65:67" ht="18.75" customHeight="1">
      <c r="BM38150" s="1025"/>
      <c r="BO38150" s="43"/>
    </row>
    <row r="38151" spans="65:67" ht="18.75" customHeight="1">
      <c r="BM38151" s="1025"/>
      <c r="BO38151" s="43"/>
    </row>
    <row r="38152" spans="65:67" ht="18.75" customHeight="1">
      <c r="BM38152" s="1025"/>
      <c r="BO38152" s="43"/>
    </row>
    <row r="38153" spans="65:67" ht="18.75" customHeight="1">
      <c r="BM38153" s="1025"/>
      <c r="BO38153" s="43"/>
    </row>
    <row r="38154" spans="65:67" ht="18.75" customHeight="1">
      <c r="BM38154" s="1025"/>
      <c r="BO38154" s="43"/>
    </row>
    <row r="38155" spans="65:67" ht="18.75" customHeight="1">
      <c r="BM38155" s="1025"/>
      <c r="BO38155" s="43"/>
    </row>
    <row r="38156" spans="65:67" ht="18.75" customHeight="1">
      <c r="BM38156" s="1025"/>
      <c r="BO38156" s="43"/>
    </row>
    <row r="38157" spans="65:67" ht="18.75" customHeight="1">
      <c r="BM38157" s="1025"/>
      <c r="BO38157" s="43"/>
    </row>
    <row r="38158" spans="65:67" ht="18.75" customHeight="1">
      <c r="BM38158" s="1025"/>
      <c r="BO38158" s="43"/>
    </row>
    <row r="38159" spans="65:67" ht="18.75" customHeight="1">
      <c r="BM38159" s="1025"/>
      <c r="BO38159" s="43"/>
    </row>
    <row r="38160" spans="65:67" ht="18.75" customHeight="1">
      <c r="BM38160" s="1025"/>
      <c r="BO38160" s="43"/>
    </row>
    <row r="38161" spans="65:67" ht="18.75" customHeight="1">
      <c r="BM38161" s="1025"/>
      <c r="BO38161" s="43"/>
    </row>
    <row r="38162" spans="65:67" ht="18.75" customHeight="1">
      <c r="BM38162" s="1025"/>
      <c r="BO38162" s="43"/>
    </row>
    <row r="38163" spans="65:67" ht="18.75" customHeight="1">
      <c r="BM38163" s="1025"/>
      <c r="BO38163" s="43"/>
    </row>
    <row r="38164" spans="65:67" ht="18.75" customHeight="1">
      <c r="BM38164" s="1025"/>
      <c r="BO38164" s="43"/>
    </row>
    <row r="38165" spans="65:67" ht="18.75" customHeight="1">
      <c r="BM38165" s="1025"/>
      <c r="BO38165" s="43"/>
    </row>
    <row r="38166" spans="65:67" ht="18.75" customHeight="1">
      <c r="BM38166" s="1025"/>
      <c r="BO38166" s="43"/>
    </row>
    <row r="38167" spans="65:67" ht="18.75" customHeight="1">
      <c r="BM38167" s="1025"/>
      <c r="BO38167" s="43"/>
    </row>
    <row r="38168" spans="65:67" ht="18.75" customHeight="1">
      <c r="BM38168" s="1025"/>
      <c r="BO38168" s="43"/>
    </row>
    <row r="38169" spans="65:67" ht="18.75" customHeight="1">
      <c r="BM38169" s="1025"/>
      <c r="BO38169" s="43"/>
    </row>
    <row r="38170" spans="65:67" ht="18.75" customHeight="1">
      <c r="BM38170" s="1025"/>
      <c r="BO38170" s="43"/>
    </row>
    <row r="38171" spans="65:67" ht="18.75" customHeight="1">
      <c r="BM38171" s="1025"/>
      <c r="BO38171" s="43"/>
    </row>
    <row r="38172" spans="65:67" ht="18.75" customHeight="1">
      <c r="BM38172" s="1025"/>
      <c r="BO38172" s="43"/>
    </row>
    <row r="38173" spans="65:67" ht="18.75" customHeight="1">
      <c r="BM38173" s="1025"/>
      <c r="BO38173" s="43"/>
    </row>
    <row r="38174" spans="65:67" ht="18.75" customHeight="1">
      <c r="BM38174" s="1025"/>
      <c r="BO38174" s="43"/>
    </row>
    <row r="38175" spans="65:67" ht="18.75" customHeight="1">
      <c r="BM38175" s="1025"/>
      <c r="BO38175" s="43"/>
    </row>
    <row r="38176" spans="65:67" ht="18.75" customHeight="1">
      <c r="BM38176" s="1025"/>
      <c r="BO38176" s="43"/>
    </row>
    <row r="38177" spans="65:67" ht="18.75" customHeight="1">
      <c r="BM38177" s="1025"/>
      <c r="BO38177" s="43"/>
    </row>
    <row r="38178" spans="65:67" ht="18.75" customHeight="1">
      <c r="BM38178" s="1025"/>
      <c r="BO38178" s="43"/>
    </row>
    <row r="38179" spans="65:67" ht="18.75" customHeight="1">
      <c r="BM38179" s="1025"/>
      <c r="BO38179" s="43"/>
    </row>
    <row r="38180" spans="65:67" ht="18.75" customHeight="1">
      <c r="BM38180" s="1025"/>
      <c r="BO38180" s="43"/>
    </row>
    <row r="38181" spans="65:67" ht="18.75" customHeight="1">
      <c r="BM38181" s="1025"/>
      <c r="BO38181" s="43"/>
    </row>
    <row r="38182" spans="65:67" ht="18.75" customHeight="1">
      <c r="BM38182" s="1025"/>
      <c r="BO38182" s="43"/>
    </row>
    <row r="38183" spans="65:67" ht="18.75" customHeight="1">
      <c r="BM38183" s="1025"/>
      <c r="BO38183" s="43"/>
    </row>
    <row r="38184" spans="65:67" ht="18.75" customHeight="1">
      <c r="BM38184" s="1025"/>
      <c r="BO38184" s="43"/>
    </row>
    <row r="38185" spans="65:67" ht="18.75" customHeight="1">
      <c r="BM38185" s="1025"/>
      <c r="BO38185" s="43"/>
    </row>
    <row r="38186" spans="65:67" ht="18.75" customHeight="1">
      <c r="BM38186" s="1025"/>
      <c r="BO38186" s="43"/>
    </row>
    <row r="38187" spans="65:67" ht="18.75" customHeight="1">
      <c r="BM38187" s="1025"/>
      <c r="BO38187" s="43"/>
    </row>
    <row r="38188" spans="65:67" ht="18.75" customHeight="1">
      <c r="BM38188" s="1025"/>
      <c r="BO38188" s="43"/>
    </row>
    <row r="38189" spans="65:67" ht="18.75" customHeight="1">
      <c r="BM38189" s="1025"/>
      <c r="BO38189" s="43"/>
    </row>
    <row r="38190" spans="65:67" ht="18.75" customHeight="1">
      <c r="BM38190" s="1025"/>
      <c r="BO38190" s="43"/>
    </row>
    <row r="38191" spans="65:67" ht="18.75" customHeight="1">
      <c r="BM38191" s="1025"/>
      <c r="BO38191" s="43"/>
    </row>
    <row r="38192" spans="65:67" ht="18.75" customHeight="1">
      <c r="BM38192" s="1025"/>
      <c r="BO38192" s="43"/>
    </row>
    <row r="38193" spans="65:67" ht="18.75" customHeight="1">
      <c r="BM38193" s="1025"/>
      <c r="BO38193" s="43"/>
    </row>
    <row r="38194" spans="65:67" ht="18.75" customHeight="1">
      <c r="BM38194" s="1025"/>
      <c r="BO38194" s="43"/>
    </row>
    <row r="38195" spans="65:67" ht="18.75" customHeight="1">
      <c r="BM38195" s="1025"/>
      <c r="BO38195" s="43"/>
    </row>
    <row r="38196" spans="65:67" ht="18.75" customHeight="1">
      <c r="BM38196" s="1025"/>
      <c r="BO38196" s="43"/>
    </row>
    <row r="38197" spans="65:67" ht="18.75" customHeight="1">
      <c r="BM38197" s="1025"/>
      <c r="BO38197" s="43"/>
    </row>
    <row r="38198" spans="65:67" ht="18.75" customHeight="1">
      <c r="BM38198" s="1025"/>
      <c r="BO38198" s="43"/>
    </row>
    <row r="38199" spans="65:67" ht="18.75" customHeight="1">
      <c r="BM38199" s="1025"/>
      <c r="BO38199" s="43"/>
    </row>
    <row r="38200" spans="65:67" ht="18.75" customHeight="1">
      <c r="BM38200" s="1025"/>
      <c r="BO38200" s="43"/>
    </row>
    <row r="38201" spans="65:67" ht="18.75" customHeight="1">
      <c r="BM38201" s="1025"/>
      <c r="BO38201" s="43"/>
    </row>
    <row r="38202" spans="65:67" ht="18.75" customHeight="1">
      <c r="BM38202" s="1025"/>
      <c r="BO38202" s="43"/>
    </row>
    <row r="38203" spans="65:67" ht="18.75" customHeight="1">
      <c r="BM38203" s="1025"/>
      <c r="BO38203" s="43"/>
    </row>
    <row r="38204" spans="65:67" ht="18.75" customHeight="1">
      <c r="BM38204" s="1025"/>
      <c r="BO38204" s="43"/>
    </row>
    <row r="38205" spans="65:67" ht="18.75" customHeight="1">
      <c r="BM38205" s="1025"/>
      <c r="BO38205" s="43"/>
    </row>
    <row r="38206" spans="65:67" ht="18.75" customHeight="1">
      <c r="BM38206" s="1025"/>
      <c r="BO38206" s="43"/>
    </row>
    <row r="38207" spans="65:67" ht="18.75" customHeight="1">
      <c r="BM38207" s="1025"/>
      <c r="BO38207" s="43"/>
    </row>
    <row r="38208" spans="65:67" ht="18.75" customHeight="1">
      <c r="BM38208" s="1025"/>
      <c r="BO38208" s="43"/>
    </row>
    <row r="38209" spans="65:67" ht="18.75" customHeight="1">
      <c r="BM38209" s="1025"/>
      <c r="BO38209" s="43"/>
    </row>
    <row r="38210" spans="65:67" ht="18.75" customHeight="1">
      <c r="BM38210" s="1025"/>
      <c r="BO38210" s="43"/>
    </row>
    <row r="38211" spans="65:67" ht="18.75" customHeight="1">
      <c r="BM38211" s="1025"/>
      <c r="BO38211" s="43"/>
    </row>
    <row r="38212" spans="65:67" ht="18.75" customHeight="1">
      <c r="BM38212" s="1025"/>
      <c r="BO38212" s="43"/>
    </row>
    <row r="38213" spans="65:67" ht="18.75" customHeight="1">
      <c r="BM38213" s="1025"/>
      <c r="BO38213" s="43"/>
    </row>
    <row r="38214" spans="65:67" ht="18.75" customHeight="1">
      <c r="BM38214" s="1025"/>
      <c r="BO38214" s="43"/>
    </row>
    <row r="38215" spans="65:67" ht="18.75" customHeight="1">
      <c r="BM38215" s="1025"/>
      <c r="BO38215" s="43"/>
    </row>
    <row r="38216" spans="65:67" ht="18.75" customHeight="1">
      <c r="BM38216" s="1025"/>
      <c r="BO38216" s="43"/>
    </row>
    <row r="38217" spans="65:67" ht="18.75" customHeight="1">
      <c r="BM38217" s="1025"/>
      <c r="BO38217" s="43"/>
    </row>
    <row r="38218" spans="65:67" ht="18.75" customHeight="1">
      <c r="BM38218" s="1025"/>
      <c r="BO38218" s="43"/>
    </row>
    <row r="38219" spans="65:67" ht="18.75" customHeight="1">
      <c r="BM38219" s="1025"/>
      <c r="BO38219" s="43"/>
    </row>
    <row r="38220" spans="65:67" ht="18.75" customHeight="1">
      <c r="BM38220" s="1025"/>
      <c r="BO38220" s="43"/>
    </row>
    <row r="38221" spans="65:67" ht="18.75" customHeight="1">
      <c r="BM38221" s="1025"/>
      <c r="BO38221" s="43"/>
    </row>
    <row r="38222" spans="65:67" ht="18.75" customHeight="1">
      <c r="BM38222" s="1025"/>
      <c r="BO38222" s="43"/>
    </row>
    <row r="38223" spans="65:67" ht="18.75" customHeight="1">
      <c r="BM38223" s="1025"/>
      <c r="BO38223" s="43"/>
    </row>
    <row r="38224" spans="65:67" ht="18.75" customHeight="1">
      <c r="BM38224" s="1025"/>
      <c r="BO38224" s="43"/>
    </row>
    <row r="38225" spans="65:67" ht="18.75" customHeight="1">
      <c r="BM38225" s="1025"/>
      <c r="BO38225" s="43"/>
    </row>
    <row r="38226" spans="65:67" ht="18.75" customHeight="1">
      <c r="BM38226" s="1025"/>
      <c r="BO38226" s="43"/>
    </row>
    <row r="38227" spans="65:67" ht="18.75" customHeight="1">
      <c r="BM38227" s="1025"/>
      <c r="BO38227" s="43"/>
    </row>
    <row r="38228" spans="65:67" ht="18.75" customHeight="1">
      <c r="BM38228" s="1025"/>
      <c r="BO38228" s="43"/>
    </row>
    <row r="38229" spans="65:67" ht="18.75" customHeight="1">
      <c r="BM38229" s="1025"/>
      <c r="BO38229" s="43"/>
    </row>
    <row r="38230" spans="65:67" ht="18.75" customHeight="1">
      <c r="BM38230" s="1025"/>
      <c r="BO38230" s="43"/>
    </row>
    <row r="38231" spans="65:67" ht="18.75" customHeight="1">
      <c r="BM38231" s="1025"/>
      <c r="BO38231" s="43"/>
    </row>
    <row r="38232" spans="65:67" ht="18.75" customHeight="1">
      <c r="BM38232" s="1025"/>
      <c r="BO38232" s="43"/>
    </row>
    <row r="38233" spans="65:67" ht="18.75" customHeight="1">
      <c r="BM38233" s="1025"/>
      <c r="BO38233" s="43"/>
    </row>
    <row r="38234" spans="65:67" ht="18.75" customHeight="1">
      <c r="BM38234" s="1025"/>
      <c r="BO38234" s="43"/>
    </row>
    <row r="38235" spans="65:67" ht="18.75" customHeight="1">
      <c r="BM38235" s="1025"/>
      <c r="BO38235" s="43"/>
    </row>
    <row r="38236" spans="65:67" ht="18.75" customHeight="1">
      <c r="BM38236" s="1025"/>
      <c r="BO38236" s="43"/>
    </row>
    <row r="38237" spans="65:67" ht="18.75" customHeight="1">
      <c r="BM38237" s="1025"/>
      <c r="BO38237" s="43"/>
    </row>
    <row r="38238" spans="65:67" ht="18.75" customHeight="1">
      <c r="BM38238" s="1025"/>
      <c r="BO38238" s="43"/>
    </row>
    <row r="38239" spans="65:67" ht="18.75" customHeight="1">
      <c r="BM38239" s="1025"/>
      <c r="BO38239" s="43"/>
    </row>
    <row r="38240" spans="65:67" ht="18.75" customHeight="1">
      <c r="BM38240" s="1025"/>
      <c r="BO38240" s="43"/>
    </row>
    <row r="38241" spans="65:67" ht="18.75" customHeight="1">
      <c r="BM38241" s="1025"/>
      <c r="BO38241" s="43"/>
    </row>
    <row r="38242" spans="65:67" ht="18.75" customHeight="1">
      <c r="BM38242" s="1025"/>
      <c r="BO38242" s="43"/>
    </row>
    <row r="38243" spans="65:67" ht="18.75" customHeight="1">
      <c r="BM38243" s="1025"/>
      <c r="BO38243" s="43"/>
    </row>
    <row r="38244" spans="65:67" ht="18.75" customHeight="1">
      <c r="BM38244" s="1025"/>
      <c r="BO38244" s="43"/>
    </row>
    <row r="38245" spans="65:67" ht="18.75" customHeight="1">
      <c r="BM38245" s="1025"/>
      <c r="BO38245" s="43"/>
    </row>
    <row r="38246" spans="65:67" ht="18.75" customHeight="1">
      <c r="BM38246" s="1025"/>
      <c r="BO38246" s="43"/>
    </row>
    <row r="38247" spans="65:67" ht="18.75" customHeight="1">
      <c r="BM38247" s="1025"/>
      <c r="BO38247" s="43"/>
    </row>
    <row r="38248" spans="65:67" ht="18.75" customHeight="1">
      <c r="BM38248" s="1025"/>
      <c r="BO38248" s="43"/>
    </row>
    <row r="38249" spans="65:67" ht="18.75" customHeight="1">
      <c r="BM38249" s="1025"/>
      <c r="BO38249" s="43"/>
    </row>
    <row r="38250" spans="65:67" ht="18.75" customHeight="1">
      <c r="BM38250" s="1025"/>
      <c r="BO38250" s="43"/>
    </row>
    <row r="38251" spans="65:67" ht="18.75" customHeight="1">
      <c r="BM38251" s="1025"/>
      <c r="BO38251" s="43"/>
    </row>
    <row r="38252" spans="65:67" ht="18.75" customHeight="1">
      <c r="BM38252" s="1025"/>
      <c r="BO38252" s="43"/>
    </row>
    <row r="38253" spans="65:67" ht="18.75" customHeight="1">
      <c r="BM38253" s="1025"/>
      <c r="BO38253" s="43"/>
    </row>
    <row r="38254" spans="65:67" ht="18.75" customHeight="1">
      <c r="BM38254" s="1025"/>
      <c r="BO38254" s="43"/>
    </row>
    <row r="38255" spans="65:67" ht="18.75" customHeight="1">
      <c r="BM38255" s="1025"/>
      <c r="BO38255" s="43"/>
    </row>
    <row r="38256" spans="65:67" ht="18.75" customHeight="1">
      <c r="BM38256" s="1025"/>
      <c r="BO38256" s="43"/>
    </row>
    <row r="38257" spans="65:67" ht="18.75" customHeight="1">
      <c r="BM38257" s="1025"/>
      <c r="BO38257" s="43"/>
    </row>
    <row r="38258" spans="65:67" ht="18.75" customHeight="1">
      <c r="BM38258" s="1025"/>
      <c r="BO38258" s="43"/>
    </row>
    <row r="38259" spans="65:67" ht="18.75" customHeight="1">
      <c r="BM38259" s="1025"/>
      <c r="BO38259" s="43"/>
    </row>
    <row r="38260" spans="65:67" ht="18.75" customHeight="1">
      <c r="BM38260" s="1025"/>
      <c r="BO38260" s="43"/>
    </row>
    <row r="38261" spans="65:67" ht="18.75" customHeight="1">
      <c r="BM38261" s="1025"/>
      <c r="BO38261" s="43"/>
    </row>
    <row r="38262" spans="65:67" ht="18.75" customHeight="1">
      <c r="BM38262" s="1025"/>
      <c r="BO38262" s="43"/>
    </row>
    <row r="38263" spans="65:67" ht="18.75" customHeight="1">
      <c r="BM38263" s="1025"/>
      <c r="BO38263" s="43"/>
    </row>
    <row r="38264" spans="65:67" ht="18.75" customHeight="1">
      <c r="BM38264" s="1025"/>
      <c r="BO38264" s="43"/>
    </row>
    <row r="38265" spans="65:67" ht="18.75" customHeight="1">
      <c r="BM38265" s="1025"/>
      <c r="BO38265" s="43"/>
    </row>
    <row r="38266" spans="65:67" ht="18.75" customHeight="1">
      <c r="BM38266" s="1025"/>
      <c r="BO38266" s="43"/>
    </row>
    <row r="38267" spans="65:67" ht="18.75" customHeight="1">
      <c r="BM38267" s="1025"/>
      <c r="BO38267" s="43"/>
    </row>
    <row r="38268" spans="65:67" ht="18.75" customHeight="1">
      <c r="BM38268" s="1025"/>
      <c r="BO38268" s="43"/>
    </row>
    <row r="38269" spans="65:67" ht="18.75" customHeight="1">
      <c r="BM38269" s="1025"/>
      <c r="BO38269" s="43"/>
    </row>
    <row r="38270" spans="65:67" ht="18.75" customHeight="1">
      <c r="BM38270" s="1025"/>
      <c r="BO38270" s="43"/>
    </row>
    <row r="38271" spans="65:67" ht="18.75" customHeight="1">
      <c r="BM38271" s="1025"/>
      <c r="BO38271" s="43"/>
    </row>
    <row r="38272" spans="65:67" ht="18.75" customHeight="1">
      <c r="BM38272" s="1025"/>
      <c r="BO38272" s="43"/>
    </row>
    <row r="38273" spans="65:67" ht="18.75" customHeight="1">
      <c r="BM38273" s="1025"/>
      <c r="BO38273" s="43"/>
    </row>
    <row r="38274" spans="65:67" ht="18.75" customHeight="1">
      <c r="BM38274" s="1025"/>
      <c r="BO38274" s="43"/>
    </row>
    <row r="38275" spans="65:67" ht="18.75" customHeight="1">
      <c r="BM38275" s="1025"/>
      <c r="BO38275" s="43"/>
    </row>
    <row r="38276" spans="65:67" ht="18.75" customHeight="1">
      <c r="BM38276" s="1025"/>
      <c r="BO38276" s="43"/>
    </row>
    <row r="38277" spans="65:67" ht="18.75" customHeight="1">
      <c r="BM38277" s="1025"/>
      <c r="BO38277" s="43"/>
    </row>
    <row r="38278" spans="65:67" ht="18.75" customHeight="1">
      <c r="BM38278" s="1025"/>
      <c r="BO38278" s="43"/>
    </row>
    <row r="38279" spans="65:67" ht="18.75" customHeight="1">
      <c r="BM38279" s="1025"/>
      <c r="BO38279" s="43"/>
    </row>
    <row r="38280" spans="65:67" ht="18.75" customHeight="1">
      <c r="BM38280" s="1025"/>
      <c r="BO38280" s="43"/>
    </row>
    <row r="38281" spans="65:67" ht="18.75" customHeight="1">
      <c r="BM38281" s="1025"/>
      <c r="BO38281" s="43"/>
    </row>
    <row r="38282" spans="65:67" ht="18.75" customHeight="1">
      <c r="BM38282" s="1025"/>
      <c r="BO38282" s="43"/>
    </row>
    <row r="38283" spans="65:67" ht="18.75" customHeight="1">
      <c r="BM38283" s="1025"/>
      <c r="BO38283" s="43"/>
    </row>
    <row r="38284" spans="65:67" ht="18.75" customHeight="1">
      <c r="BM38284" s="1025"/>
      <c r="BO38284" s="43"/>
    </row>
    <row r="38285" spans="65:67" ht="18.75" customHeight="1">
      <c r="BM38285" s="1025"/>
      <c r="BO38285" s="43"/>
    </row>
    <row r="38286" spans="65:67" ht="18.75" customHeight="1">
      <c r="BM38286" s="1025"/>
      <c r="BO38286" s="43"/>
    </row>
    <row r="38287" spans="65:67" ht="18.75" customHeight="1">
      <c r="BM38287" s="1025"/>
      <c r="BO38287" s="43"/>
    </row>
    <row r="38288" spans="65:67" ht="18.75" customHeight="1">
      <c r="BM38288" s="1025"/>
      <c r="BO38288" s="43"/>
    </row>
    <row r="38289" spans="65:67" ht="18.75" customHeight="1">
      <c r="BM38289" s="1025"/>
      <c r="BO38289" s="43"/>
    </row>
    <row r="38290" spans="65:67" ht="18.75" customHeight="1">
      <c r="BM38290" s="1025"/>
      <c r="BO38290" s="43"/>
    </row>
    <row r="38291" spans="65:67" ht="18.75" customHeight="1">
      <c r="BM38291" s="1025"/>
      <c r="BO38291" s="43"/>
    </row>
    <row r="38292" spans="65:67" ht="18.75" customHeight="1">
      <c r="BM38292" s="1025"/>
      <c r="BO38292" s="43"/>
    </row>
    <row r="38293" spans="65:67" ht="18.75" customHeight="1">
      <c r="BM38293" s="1025"/>
      <c r="BO38293" s="43"/>
    </row>
    <row r="38294" spans="65:67" ht="18.75" customHeight="1">
      <c r="BM38294" s="1025"/>
      <c r="BO38294" s="43"/>
    </row>
    <row r="38295" spans="65:67" ht="18.75" customHeight="1">
      <c r="BM38295" s="1025"/>
      <c r="BO38295" s="43"/>
    </row>
    <row r="38296" spans="65:67" ht="18.75" customHeight="1">
      <c r="BM38296" s="1025"/>
      <c r="BO38296" s="43"/>
    </row>
    <row r="38297" spans="65:67" ht="18.75" customHeight="1">
      <c r="BM38297" s="1025"/>
      <c r="BO38297" s="43"/>
    </row>
    <row r="38298" spans="65:67" ht="18.75" customHeight="1">
      <c r="BM38298" s="1025"/>
      <c r="BO38298" s="43"/>
    </row>
    <row r="38299" spans="65:67" ht="18.75" customHeight="1">
      <c r="BM38299" s="1025"/>
      <c r="BO38299" s="43"/>
    </row>
    <row r="38300" spans="65:67" ht="18.75" customHeight="1">
      <c r="BM38300" s="1025"/>
      <c r="BO38300" s="43"/>
    </row>
    <row r="38301" spans="65:67" ht="18.75" customHeight="1">
      <c r="BM38301" s="1025"/>
      <c r="BO38301" s="43"/>
    </row>
    <row r="38302" spans="65:67" ht="18.75" customHeight="1">
      <c r="BM38302" s="1025"/>
      <c r="BO38302" s="43"/>
    </row>
    <row r="38303" spans="65:67" ht="18.75" customHeight="1">
      <c r="BM38303" s="1025"/>
      <c r="BO38303" s="43"/>
    </row>
    <row r="38304" spans="65:67" ht="18.75" customHeight="1">
      <c r="BM38304" s="1025"/>
      <c r="BO38304" s="43"/>
    </row>
    <row r="38305" spans="65:67" ht="18.75" customHeight="1">
      <c r="BM38305" s="1025"/>
      <c r="BO38305" s="43"/>
    </row>
    <row r="38306" spans="65:67" ht="18.75" customHeight="1">
      <c r="BM38306" s="1025"/>
      <c r="BO38306" s="43"/>
    </row>
    <row r="38307" spans="65:67" ht="18.75" customHeight="1">
      <c r="BM38307" s="1025"/>
      <c r="BO38307" s="43"/>
    </row>
    <row r="38308" spans="65:67" ht="18.75" customHeight="1">
      <c r="BM38308" s="1025"/>
      <c r="BO38308" s="43"/>
    </row>
    <row r="38309" spans="65:67" ht="18.75" customHeight="1">
      <c r="BM38309" s="1025"/>
      <c r="BO38309" s="43"/>
    </row>
    <row r="38310" spans="65:67" ht="18.75" customHeight="1">
      <c r="BM38310" s="1025"/>
      <c r="BO38310" s="43"/>
    </row>
    <row r="38311" spans="65:67" ht="18.75" customHeight="1">
      <c r="BM38311" s="1025"/>
      <c r="BO38311" s="43"/>
    </row>
    <row r="38312" spans="65:67" ht="18.75" customHeight="1">
      <c r="BM38312" s="1025"/>
      <c r="BO38312" s="43"/>
    </row>
    <row r="38313" spans="65:67" ht="18.75" customHeight="1">
      <c r="BM38313" s="1025"/>
      <c r="BO38313" s="43"/>
    </row>
    <row r="38314" spans="65:67" ht="18.75" customHeight="1">
      <c r="BM38314" s="1025"/>
      <c r="BO38314" s="43"/>
    </row>
    <row r="38315" spans="65:67" ht="18.75" customHeight="1">
      <c r="BM38315" s="1025"/>
      <c r="BO38315" s="43"/>
    </row>
    <row r="38316" spans="65:67" ht="18.75" customHeight="1">
      <c r="BM38316" s="1025"/>
      <c r="BO38316" s="43"/>
    </row>
    <row r="38317" spans="65:67" ht="18.75" customHeight="1">
      <c r="BM38317" s="1025"/>
      <c r="BO38317" s="43"/>
    </row>
    <row r="38318" spans="65:67" ht="18.75" customHeight="1">
      <c r="BM38318" s="1025"/>
      <c r="BO38318" s="43"/>
    </row>
    <row r="38319" spans="65:67" ht="18.75" customHeight="1">
      <c r="BM38319" s="1025"/>
      <c r="BO38319" s="43"/>
    </row>
    <row r="38320" spans="65:67" ht="18.75" customHeight="1">
      <c r="BM38320" s="1025"/>
      <c r="BO38320" s="43"/>
    </row>
    <row r="38321" spans="65:67" ht="18.75" customHeight="1">
      <c r="BM38321" s="1025"/>
      <c r="BO38321" s="43"/>
    </row>
    <row r="38322" spans="65:67" ht="18.75" customHeight="1">
      <c r="BM38322" s="1025"/>
      <c r="BO38322" s="43"/>
    </row>
    <row r="38323" spans="65:67" ht="18.75" customHeight="1">
      <c r="BM38323" s="1025"/>
      <c r="BO38323" s="43"/>
    </row>
    <row r="38324" spans="65:67" ht="18.75" customHeight="1">
      <c r="BM38324" s="1025"/>
      <c r="BO38324" s="43"/>
    </row>
    <row r="38325" spans="65:67" ht="18.75" customHeight="1">
      <c r="BM38325" s="1025"/>
      <c r="BO38325" s="43"/>
    </row>
    <row r="38326" spans="65:67" ht="18.75" customHeight="1">
      <c r="BM38326" s="1025"/>
      <c r="BO38326" s="43"/>
    </row>
    <row r="38327" spans="65:67" ht="18.75" customHeight="1">
      <c r="BM38327" s="1025"/>
      <c r="BO38327" s="43"/>
    </row>
    <row r="38328" spans="65:67" ht="18.75" customHeight="1">
      <c r="BM38328" s="1025"/>
      <c r="BO38328" s="43"/>
    </row>
    <row r="38329" spans="65:67" ht="18.75" customHeight="1">
      <c r="BM38329" s="1025"/>
      <c r="BO38329" s="43"/>
    </row>
    <row r="38330" spans="65:67" ht="18.75" customHeight="1">
      <c r="BM38330" s="1025"/>
      <c r="BO38330" s="43"/>
    </row>
    <row r="38331" spans="65:67" ht="18.75" customHeight="1">
      <c r="BM38331" s="1025"/>
      <c r="BO38331" s="43"/>
    </row>
    <row r="38332" spans="65:67" ht="18.75" customHeight="1">
      <c r="BM38332" s="1025"/>
      <c r="BO38332" s="43"/>
    </row>
    <row r="38333" spans="65:67" ht="18.75" customHeight="1">
      <c r="BM38333" s="1025"/>
      <c r="BO38333" s="43"/>
    </row>
    <row r="38334" spans="65:67" ht="18.75" customHeight="1">
      <c r="BM38334" s="1025"/>
      <c r="BO38334" s="43"/>
    </row>
    <row r="38335" spans="65:67" ht="18.75" customHeight="1">
      <c r="BM38335" s="1025"/>
      <c r="BO38335" s="43"/>
    </row>
    <row r="38336" spans="65:67" ht="18.75" customHeight="1">
      <c r="BM38336" s="1025"/>
      <c r="BO38336" s="43"/>
    </row>
    <row r="38337" spans="65:67" ht="18.75" customHeight="1">
      <c r="BM38337" s="1025"/>
      <c r="BO38337" s="43"/>
    </row>
    <row r="38338" spans="65:67" ht="18.75" customHeight="1">
      <c r="BM38338" s="1025"/>
      <c r="BO38338" s="43"/>
    </row>
    <row r="38339" spans="65:67" ht="18.75" customHeight="1">
      <c r="BM38339" s="1025"/>
      <c r="BO38339" s="43"/>
    </row>
    <row r="38340" spans="65:67" ht="18.75" customHeight="1">
      <c r="BM38340" s="1025"/>
      <c r="BO38340" s="43"/>
    </row>
    <row r="38341" spans="65:67" ht="18.75" customHeight="1">
      <c r="BM38341" s="1025"/>
      <c r="BO38341" s="43"/>
    </row>
    <row r="38342" spans="65:67" ht="18.75" customHeight="1">
      <c r="BM38342" s="1025"/>
      <c r="BO38342" s="43"/>
    </row>
    <row r="38343" spans="65:67" ht="18.75" customHeight="1">
      <c r="BM38343" s="1025"/>
      <c r="BO38343" s="43"/>
    </row>
    <row r="38344" spans="65:67" ht="18.75" customHeight="1">
      <c r="BM38344" s="1025"/>
      <c r="BO38344" s="43"/>
    </row>
    <row r="38345" spans="65:67" ht="18.75" customHeight="1">
      <c r="BM38345" s="1025"/>
      <c r="BO38345" s="43"/>
    </row>
    <row r="38346" spans="65:67" ht="18.75" customHeight="1">
      <c r="BM38346" s="1025"/>
      <c r="BO38346" s="43"/>
    </row>
    <row r="38347" spans="65:67" ht="18.75" customHeight="1">
      <c r="BM38347" s="1025"/>
      <c r="BO38347" s="43"/>
    </row>
    <row r="38348" spans="65:67" ht="18.75" customHeight="1">
      <c r="BM38348" s="1025"/>
      <c r="BO38348" s="43"/>
    </row>
    <row r="38349" spans="65:67" ht="18.75" customHeight="1">
      <c r="BM38349" s="1025"/>
      <c r="BO38349" s="43"/>
    </row>
    <row r="38350" spans="65:67" ht="18.75" customHeight="1">
      <c r="BM38350" s="1025"/>
      <c r="BO38350" s="43"/>
    </row>
    <row r="38351" spans="65:67" ht="18.75" customHeight="1">
      <c r="BM38351" s="1025"/>
      <c r="BO38351" s="43"/>
    </row>
    <row r="38352" spans="65:67" ht="18.75" customHeight="1">
      <c r="BM38352" s="1025"/>
      <c r="BO38352" s="43"/>
    </row>
    <row r="38353" spans="65:67" ht="18.75" customHeight="1">
      <c r="BM38353" s="1025"/>
      <c r="BO38353" s="43"/>
    </row>
    <row r="38354" spans="65:67" ht="18.75" customHeight="1">
      <c r="BM38354" s="1025"/>
      <c r="BO38354" s="43"/>
    </row>
    <row r="38355" spans="65:67" ht="18.75" customHeight="1">
      <c r="BM38355" s="1025"/>
      <c r="BO38355" s="43"/>
    </row>
    <row r="38356" spans="65:67" ht="18.75" customHeight="1">
      <c r="BM38356" s="1025"/>
      <c r="BO38356" s="43"/>
    </row>
    <row r="38357" spans="65:67" ht="18.75" customHeight="1">
      <c r="BM38357" s="1025"/>
      <c r="BO38357" s="43"/>
    </row>
    <row r="38358" spans="65:67" ht="18.75" customHeight="1">
      <c r="BM38358" s="1025"/>
      <c r="BO38358" s="43"/>
    </row>
    <row r="38359" spans="65:67" ht="18.75" customHeight="1">
      <c r="BM38359" s="1025"/>
      <c r="BO38359" s="43"/>
    </row>
    <row r="38360" spans="65:67" ht="18.75" customHeight="1">
      <c r="BM38360" s="1025"/>
      <c r="BO38360" s="43"/>
    </row>
    <row r="38361" spans="65:67" ht="18.75" customHeight="1">
      <c r="BM38361" s="1025"/>
      <c r="BO38361" s="43"/>
    </row>
    <row r="38362" spans="65:67" ht="18.75" customHeight="1">
      <c r="BM38362" s="1025"/>
      <c r="BO38362" s="43"/>
    </row>
    <row r="38363" spans="65:67" ht="18.75" customHeight="1">
      <c r="BM38363" s="1025"/>
      <c r="BO38363" s="43"/>
    </row>
    <row r="38364" spans="65:67" ht="18.75" customHeight="1">
      <c r="BM38364" s="1025"/>
      <c r="BO38364" s="43"/>
    </row>
    <row r="38365" spans="65:67" ht="18.75" customHeight="1">
      <c r="BM38365" s="1025"/>
      <c r="BO38365" s="43"/>
    </row>
    <row r="38366" spans="65:67" ht="18.75" customHeight="1">
      <c r="BM38366" s="1025"/>
      <c r="BO38366" s="43"/>
    </row>
    <row r="38367" spans="65:67" ht="18.75" customHeight="1">
      <c r="BM38367" s="1025"/>
      <c r="BO38367" s="43"/>
    </row>
    <row r="38368" spans="65:67" ht="18.75" customHeight="1">
      <c r="BM38368" s="1025"/>
      <c r="BO38368" s="43"/>
    </row>
    <row r="38369" spans="65:67" ht="18.75" customHeight="1">
      <c r="BM38369" s="1025"/>
      <c r="BO38369" s="43"/>
    </row>
    <row r="38370" spans="65:67" ht="18.75" customHeight="1">
      <c r="BM38370" s="1025"/>
      <c r="BO38370" s="43"/>
    </row>
    <row r="38371" spans="65:67" ht="18.75" customHeight="1">
      <c r="BM38371" s="1025"/>
      <c r="BO38371" s="43"/>
    </row>
    <row r="38372" spans="65:67" ht="18.75" customHeight="1">
      <c r="BM38372" s="1025"/>
      <c r="BO38372" s="43"/>
    </row>
    <row r="38373" spans="65:67" ht="18.75" customHeight="1">
      <c r="BM38373" s="1025"/>
      <c r="BO38373" s="43"/>
    </row>
    <row r="38374" spans="65:67" ht="18.75" customHeight="1">
      <c r="BM38374" s="1025"/>
      <c r="BO38374" s="43"/>
    </row>
    <row r="38375" spans="65:67" ht="18.75" customHeight="1">
      <c r="BM38375" s="1025"/>
      <c r="BO38375" s="43"/>
    </row>
    <row r="38376" spans="65:67" ht="18.75" customHeight="1">
      <c r="BM38376" s="1025"/>
      <c r="BO38376" s="43"/>
    </row>
    <row r="38377" spans="65:67" ht="18.75" customHeight="1">
      <c r="BM38377" s="1025"/>
      <c r="BO38377" s="43"/>
    </row>
    <row r="38378" spans="65:67" ht="18.75" customHeight="1">
      <c r="BM38378" s="1025"/>
      <c r="BO38378" s="43"/>
    </row>
    <row r="38379" spans="65:67" ht="18.75" customHeight="1">
      <c r="BM38379" s="1025"/>
      <c r="BO38379" s="43"/>
    </row>
    <row r="38380" spans="65:67" ht="18.75" customHeight="1">
      <c r="BM38380" s="1025"/>
      <c r="BO38380" s="43"/>
    </row>
    <row r="38381" spans="65:67" ht="18.75" customHeight="1">
      <c r="BM38381" s="1025"/>
      <c r="BO38381" s="43"/>
    </row>
    <row r="38382" spans="65:67" ht="18.75" customHeight="1">
      <c r="BM38382" s="1025"/>
      <c r="BO38382" s="43"/>
    </row>
    <row r="38383" spans="65:67" ht="18.75" customHeight="1">
      <c r="BM38383" s="1025"/>
      <c r="BO38383" s="43"/>
    </row>
    <row r="38384" spans="65:67" ht="18.75" customHeight="1">
      <c r="BM38384" s="1025"/>
      <c r="BO38384" s="43"/>
    </row>
    <row r="38385" spans="65:67" ht="18.75" customHeight="1">
      <c r="BM38385" s="1025"/>
      <c r="BO38385" s="43"/>
    </row>
    <row r="38386" spans="65:67" ht="18.75" customHeight="1">
      <c r="BM38386" s="1025"/>
      <c r="BO38386" s="43"/>
    </row>
    <row r="38387" spans="65:67" ht="18.75" customHeight="1">
      <c r="BM38387" s="1025"/>
      <c r="BO38387" s="43"/>
    </row>
    <row r="38388" spans="65:67" ht="18.75" customHeight="1">
      <c r="BM38388" s="1025"/>
      <c r="BO38388" s="43"/>
    </row>
    <row r="38389" spans="65:67" ht="18.75" customHeight="1">
      <c r="BM38389" s="1025"/>
      <c r="BO38389" s="43"/>
    </row>
    <row r="38390" spans="65:67" ht="18.75" customHeight="1">
      <c r="BM38390" s="1025"/>
      <c r="BO38390" s="43"/>
    </row>
    <row r="38391" spans="65:67" ht="18.75" customHeight="1">
      <c r="BM38391" s="1025"/>
      <c r="BO38391" s="43"/>
    </row>
    <row r="38392" spans="65:67" ht="18.75" customHeight="1">
      <c r="BM38392" s="1025"/>
      <c r="BO38392" s="43"/>
    </row>
    <row r="38393" spans="65:67" ht="18.75" customHeight="1">
      <c r="BM38393" s="1025"/>
      <c r="BO38393" s="43"/>
    </row>
    <row r="38394" spans="65:67" ht="18.75" customHeight="1">
      <c r="BM38394" s="1025"/>
      <c r="BO38394" s="43"/>
    </row>
    <row r="38395" spans="65:67" ht="18.75" customHeight="1">
      <c r="BM38395" s="1025"/>
      <c r="BO38395" s="43"/>
    </row>
    <row r="38396" spans="65:67" ht="18.75" customHeight="1">
      <c r="BM38396" s="1025"/>
      <c r="BO38396" s="43"/>
    </row>
    <row r="38397" spans="65:67" ht="18.75" customHeight="1">
      <c r="BM38397" s="1025"/>
      <c r="BO38397" s="43"/>
    </row>
    <row r="38398" spans="65:67" ht="18.75" customHeight="1">
      <c r="BM38398" s="1025"/>
      <c r="BO38398" s="43"/>
    </row>
    <row r="38399" spans="65:67" ht="18.75" customHeight="1">
      <c r="BM38399" s="1025"/>
      <c r="BO38399" s="43"/>
    </row>
    <row r="38400" spans="65:67" ht="18.75" customHeight="1">
      <c r="BM38400" s="1025"/>
      <c r="BO38400" s="43"/>
    </row>
    <row r="38401" spans="65:67" ht="18.75" customHeight="1">
      <c r="BM38401" s="1025"/>
      <c r="BO38401" s="43"/>
    </row>
    <row r="38402" spans="65:67" ht="18.75" customHeight="1">
      <c r="BM38402" s="1025"/>
      <c r="BO38402" s="43"/>
    </row>
    <row r="38403" spans="65:67" ht="18.75" customHeight="1">
      <c r="BM38403" s="1025"/>
      <c r="BO38403" s="43"/>
    </row>
    <row r="38404" spans="65:67" ht="18.75" customHeight="1">
      <c r="BM38404" s="1025"/>
      <c r="BO38404" s="43"/>
    </row>
    <row r="38405" spans="65:67" ht="18.75" customHeight="1">
      <c r="BM38405" s="1025"/>
      <c r="BO38405" s="43"/>
    </row>
    <row r="38406" spans="65:67" ht="18.75" customHeight="1">
      <c r="BM38406" s="1025"/>
      <c r="BO38406" s="43"/>
    </row>
    <row r="38407" spans="65:67" ht="18.75" customHeight="1">
      <c r="BM38407" s="1025"/>
      <c r="BO38407" s="43"/>
    </row>
    <row r="38408" spans="65:67" ht="18.75" customHeight="1">
      <c r="BM38408" s="1025"/>
      <c r="BO38408" s="43"/>
    </row>
    <row r="38409" spans="65:67" ht="18.75" customHeight="1">
      <c r="BM38409" s="1025"/>
      <c r="BO38409" s="43"/>
    </row>
    <row r="38410" spans="65:67" ht="18.75" customHeight="1">
      <c r="BM38410" s="1025"/>
      <c r="BO38410" s="43"/>
    </row>
    <row r="38411" spans="65:67" ht="18.75" customHeight="1">
      <c r="BM38411" s="1025"/>
      <c r="BO38411" s="43"/>
    </row>
    <row r="38412" spans="65:67" ht="18.75" customHeight="1">
      <c r="BM38412" s="1025"/>
      <c r="BO38412" s="43"/>
    </row>
    <row r="38413" spans="65:67" ht="18.75" customHeight="1">
      <c r="BM38413" s="1025"/>
      <c r="BO38413" s="43"/>
    </row>
    <row r="38414" spans="65:67" ht="18.75" customHeight="1">
      <c r="BM38414" s="1025"/>
      <c r="BO38414" s="43"/>
    </row>
    <row r="38415" spans="65:67" ht="18.75" customHeight="1">
      <c r="BM38415" s="1025"/>
      <c r="BO38415" s="43"/>
    </row>
    <row r="38416" spans="65:67" ht="18.75" customHeight="1">
      <c r="BM38416" s="1025"/>
      <c r="BO38416" s="43"/>
    </row>
    <row r="38417" spans="65:67" ht="18.75" customHeight="1">
      <c r="BM38417" s="1025"/>
      <c r="BO38417" s="43"/>
    </row>
    <row r="38418" spans="65:67" ht="18.75" customHeight="1">
      <c r="BM38418" s="1025"/>
      <c r="BO38418" s="43"/>
    </row>
    <row r="38419" spans="65:67" ht="18.75" customHeight="1">
      <c r="BM38419" s="1025"/>
      <c r="BO38419" s="43"/>
    </row>
    <row r="38420" spans="65:67" ht="18.75" customHeight="1">
      <c r="BM38420" s="1025"/>
      <c r="BO38420" s="43"/>
    </row>
    <row r="38421" spans="65:67" ht="18.75" customHeight="1">
      <c r="BM38421" s="1025"/>
      <c r="BO38421" s="43"/>
    </row>
    <row r="38422" spans="65:67" ht="18.75" customHeight="1">
      <c r="BM38422" s="1025"/>
      <c r="BO38422" s="43"/>
    </row>
    <row r="38423" spans="65:67" ht="18.75" customHeight="1">
      <c r="BM38423" s="1025"/>
      <c r="BO38423" s="43"/>
    </row>
    <row r="38424" spans="65:67" ht="18.75" customHeight="1">
      <c r="BM38424" s="1025"/>
      <c r="BO38424" s="43"/>
    </row>
    <row r="38425" spans="65:67" ht="18.75" customHeight="1">
      <c r="BM38425" s="1025"/>
      <c r="BO38425" s="43"/>
    </row>
    <row r="38426" spans="65:67" ht="18.75" customHeight="1">
      <c r="BM38426" s="1025"/>
      <c r="BO38426" s="43"/>
    </row>
    <row r="38427" spans="65:67" ht="18.75" customHeight="1">
      <c r="BM38427" s="1025"/>
      <c r="BO38427" s="43"/>
    </row>
    <row r="38428" spans="65:67" ht="18.75" customHeight="1">
      <c r="BM38428" s="1025"/>
      <c r="BO38428" s="43"/>
    </row>
    <row r="38429" spans="65:67" ht="18.75" customHeight="1">
      <c r="BM38429" s="1025"/>
      <c r="BO38429" s="43"/>
    </row>
    <row r="38430" spans="65:67" ht="18.75" customHeight="1">
      <c r="BM38430" s="1025"/>
      <c r="BO38430" s="43"/>
    </row>
    <row r="38431" spans="65:67" ht="18.75" customHeight="1">
      <c r="BM38431" s="1025"/>
      <c r="BO38431" s="43"/>
    </row>
    <row r="38432" spans="65:67" ht="18.75" customHeight="1">
      <c r="BM38432" s="1025"/>
      <c r="BO38432" s="43"/>
    </row>
    <row r="38433" spans="65:67" ht="18.75" customHeight="1">
      <c r="BM38433" s="1025"/>
      <c r="BO38433" s="43"/>
    </row>
    <row r="38434" spans="65:67" ht="18.75" customHeight="1">
      <c r="BM38434" s="1025"/>
      <c r="BO38434" s="43"/>
    </row>
    <row r="38435" spans="65:67" ht="18.75" customHeight="1">
      <c r="BM38435" s="1025"/>
      <c r="BO38435" s="43"/>
    </row>
    <row r="38436" spans="65:67" ht="18.75" customHeight="1">
      <c r="BM38436" s="1025"/>
      <c r="BO38436" s="43"/>
    </row>
    <row r="38437" spans="65:67" ht="18.75" customHeight="1">
      <c r="BM38437" s="1025"/>
      <c r="BO38437" s="43"/>
    </row>
    <row r="38438" spans="65:67" ht="18.75" customHeight="1">
      <c r="BM38438" s="1025"/>
      <c r="BO38438" s="43"/>
    </row>
    <row r="38439" spans="65:67" ht="18.75" customHeight="1">
      <c r="BM38439" s="1025"/>
      <c r="BO38439" s="43"/>
    </row>
    <row r="38440" spans="65:67" ht="18.75" customHeight="1">
      <c r="BM38440" s="1025"/>
      <c r="BO38440" s="43"/>
    </row>
    <row r="38441" spans="65:67" ht="18.75" customHeight="1">
      <c r="BM38441" s="1025"/>
      <c r="BO38441" s="43"/>
    </row>
    <row r="38442" spans="65:67" ht="18.75" customHeight="1">
      <c r="BM38442" s="1025"/>
      <c r="BO38442" s="43"/>
    </row>
    <row r="38443" spans="65:67" ht="18.75" customHeight="1">
      <c r="BM38443" s="1025"/>
      <c r="BO38443" s="43"/>
    </row>
    <row r="38444" spans="65:67" ht="18.75" customHeight="1">
      <c r="BM38444" s="1025"/>
      <c r="BO38444" s="43"/>
    </row>
    <row r="38445" spans="65:67" ht="18.75" customHeight="1">
      <c r="BM38445" s="1025"/>
      <c r="BO38445" s="43"/>
    </row>
    <row r="38446" spans="65:67" ht="18.75" customHeight="1">
      <c r="BM38446" s="1025"/>
      <c r="BO38446" s="43"/>
    </row>
    <row r="38447" spans="65:67" ht="18.75" customHeight="1">
      <c r="BM38447" s="1025"/>
      <c r="BO38447" s="43"/>
    </row>
    <row r="38448" spans="65:67" ht="18.75" customHeight="1">
      <c r="BM38448" s="1025"/>
      <c r="BO38448" s="43"/>
    </row>
    <row r="38449" spans="65:67" ht="18.75" customHeight="1">
      <c r="BM38449" s="1025"/>
      <c r="BO38449" s="43"/>
    </row>
    <row r="38450" spans="65:67" ht="18.75" customHeight="1">
      <c r="BM38450" s="1025"/>
      <c r="BO38450" s="43"/>
    </row>
    <row r="38451" spans="65:67" ht="18.75" customHeight="1">
      <c r="BM38451" s="1025"/>
      <c r="BO38451" s="43"/>
    </row>
    <row r="38452" spans="65:67" ht="18.75" customHeight="1">
      <c r="BM38452" s="1025"/>
      <c r="BO38452" s="43"/>
    </row>
    <row r="38453" spans="65:67" ht="18.75" customHeight="1">
      <c r="BM38453" s="1025"/>
      <c r="BO38453" s="43"/>
    </row>
    <row r="38454" spans="65:67" ht="18.75" customHeight="1">
      <c r="BM38454" s="1025"/>
      <c r="BO38454" s="43"/>
    </row>
    <row r="38455" spans="65:67" ht="18.75" customHeight="1">
      <c r="BM38455" s="1025"/>
      <c r="BO38455" s="43"/>
    </row>
    <row r="38456" spans="65:67" ht="18.75" customHeight="1">
      <c r="BM38456" s="1025"/>
      <c r="BO38456" s="43"/>
    </row>
    <row r="38457" spans="65:67" ht="18.75" customHeight="1">
      <c r="BM38457" s="1025"/>
      <c r="BO38457" s="43"/>
    </row>
    <row r="38458" spans="65:67" ht="18.75" customHeight="1">
      <c r="BM38458" s="1025"/>
      <c r="BO38458" s="43"/>
    </row>
    <row r="38459" spans="65:67" ht="18.75" customHeight="1">
      <c r="BM38459" s="1025"/>
      <c r="BO38459" s="43"/>
    </row>
    <row r="38460" spans="65:67" ht="18.75" customHeight="1">
      <c r="BM38460" s="1025"/>
      <c r="BO38460" s="43"/>
    </row>
    <row r="38461" spans="65:67" ht="18.75" customHeight="1">
      <c r="BM38461" s="1025"/>
      <c r="BO38461" s="43"/>
    </row>
    <row r="38462" spans="65:67" ht="18.75" customHeight="1">
      <c r="BM38462" s="1025"/>
      <c r="BO38462" s="43"/>
    </row>
    <row r="38463" spans="65:67" ht="18.75" customHeight="1">
      <c r="BM38463" s="1025"/>
      <c r="BO38463" s="43"/>
    </row>
    <row r="38464" spans="65:67" ht="18.75" customHeight="1">
      <c r="BM38464" s="1025"/>
      <c r="BO38464" s="43"/>
    </row>
    <row r="38465" spans="65:67" ht="18.75" customHeight="1">
      <c r="BM38465" s="1025"/>
      <c r="BO38465" s="43"/>
    </row>
    <row r="38466" spans="65:67" ht="18.75" customHeight="1">
      <c r="BM38466" s="1025"/>
      <c r="BO38466" s="43"/>
    </row>
    <row r="38467" spans="65:67" ht="18.75" customHeight="1">
      <c r="BM38467" s="1025"/>
      <c r="BO38467" s="43"/>
    </row>
    <row r="38468" spans="65:67" ht="18.75" customHeight="1">
      <c r="BM38468" s="1025"/>
      <c r="BO38468" s="43"/>
    </row>
    <row r="38469" spans="65:67" ht="18.75" customHeight="1">
      <c r="BM38469" s="1025"/>
      <c r="BO38469" s="43"/>
    </row>
    <row r="38470" spans="65:67" ht="18.75" customHeight="1">
      <c r="BM38470" s="1025"/>
      <c r="BO38470" s="43"/>
    </row>
    <row r="38471" spans="65:67" ht="18.75" customHeight="1">
      <c r="BM38471" s="1025"/>
      <c r="BO38471" s="43"/>
    </row>
    <row r="38472" spans="65:67" ht="18.75" customHeight="1">
      <c r="BM38472" s="1025"/>
      <c r="BO38472" s="43"/>
    </row>
    <row r="38473" spans="65:67" ht="18.75" customHeight="1">
      <c r="BM38473" s="1025"/>
      <c r="BO38473" s="43"/>
    </row>
    <row r="38474" spans="65:67" ht="18.75" customHeight="1">
      <c r="BM38474" s="1025"/>
      <c r="BO38474" s="43"/>
    </row>
    <row r="38475" spans="65:67" ht="18.75" customHeight="1">
      <c r="BM38475" s="1025"/>
      <c r="BO38475" s="43"/>
    </row>
    <row r="38476" spans="65:67" ht="18.75" customHeight="1">
      <c r="BM38476" s="1025"/>
      <c r="BO38476" s="43"/>
    </row>
    <row r="38477" spans="65:67" ht="18.75" customHeight="1">
      <c r="BM38477" s="1025"/>
      <c r="BO38477" s="43"/>
    </row>
    <row r="38478" spans="65:67" ht="18.75" customHeight="1">
      <c r="BM38478" s="1025"/>
      <c r="BO38478" s="43"/>
    </row>
    <row r="38479" spans="65:67" ht="18.75" customHeight="1">
      <c r="BM38479" s="1025"/>
      <c r="BO38479" s="43"/>
    </row>
    <row r="38480" spans="65:67" ht="18.75" customHeight="1">
      <c r="BM38480" s="1025"/>
      <c r="BO38480" s="43"/>
    </row>
    <row r="38481" spans="65:67" ht="18.75" customHeight="1">
      <c r="BM38481" s="1025"/>
      <c r="BO38481" s="43"/>
    </row>
    <row r="38482" spans="65:67" ht="18.75" customHeight="1">
      <c r="BM38482" s="1025"/>
      <c r="BO38482" s="43"/>
    </row>
    <row r="38483" spans="65:67" ht="18.75" customHeight="1">
      <c r="BM38483" s="1025"/>
      <c r="BO38483" s="43"/>
    </row>
    <row r="38484" spans="65:67" ht="18.75" customHeight="1">
      <c r="BM38484" s="1025"/>
      <c r="BO38484" s="43"/>
    </row>
    <row r="38485" spans="65:67" ht="18.75" customHeight="1">
      <c r="BM38485" s="1025"/>
      <c r="BO38485" s="43"/>
    </row>
    <row r="38486" spans="65:67" ht="18.75" customHeight="1">
      <c r="BM38486" s="1025"/>
      <c r="BO38486" s="43"/>
    </row>
    <row r="38487" spans="65:67" ht="18.75" customHeight="1">
      <c r="BM38487" s="1025"/>
      <c r="BO38487" s="43"/>
    </row>
    <row r="38488" spans="65:67" ht="18.75" customHeight="1">
      <c r="BM38488" s="1025"/>
      <c r="BO38488" s="43"/>
    </row>
    <row r="38489" spans="65:67" ht="18.75" customHeight="1">
      <c r="BM38489" s="1025"/>
      <c r="BO38489" s="43"/>
    </row>
    <row r="38490" spans="65:67" ht="18.75" customHeight="1">
      <c r="BM38490" s="1025"/>
      <c r="BO38490" s="43"/>
    </row>
    <row r="38491" spans="65:67" ht="18.75" customHeight="1">
      <c r="BM38491" s="1025"/>
      <c r="BO38491" s="43"/>
    </row>
    <row r="38492" spans="65:67" ht="18.75" customHeight="1">
      <c r="BM38492" s="1025"/>
      <c r="BO38492" s="43"/>
    </row>
    <row r="38493" spans="65:67" ht="18.75" customHeight="1">
      <c r="BM38493" s="1025"/>
      <c r="BO38493" s="43"/>
    </row>
    <row r="38494" spans="65:67" ht="18.75" customHeight="1">
      <c r="BM38494" s="1025"/>
      <c r="BO38494" s="43"/>
    </row>
    <row r="38495" spans="65:67" ht="18.75" customHeight="1">
      <c r="BM38495" s="1025"/>
      <c r="BO38495" s="43"/>
    </row>
    <row r="38496" spans="65:67" ht="18.75" customHeight="1">
      <c r="BM38496" s="1025"/>
      <c r="BO38496" s="43"/>
    </row>
    <row r="38497" spans="65:67" ht="18.75" customHeight="1">
      <c r="BM38497" s="1025"/>
      <c r="BO38497" s="43"/>
    </row>
    <row r="38498" spans="65:67" ht="18.75" customHeight="1">
      <c r="BM38498" s="1025"/>
      <c r="BO38498" s="43"/>
    </row>
    <row r="38499" spans="65:67" ht="18.75" customHeight="1">
      <c r="BM38499" s="1025"/>
      <c r="BO38499" s="43"/>
    </row>
    <row r="38500" spans="65:67" ht="18.75" customHeight="1">
      <c r="BM38500" s="1025"/>
      <c r="BO38500" s="43"/>
    </row>
    <row r="38501" spans="65:67" ht="18.75" customHeight="1">
      <c r="BM38501" s="1025"/>
      <c r="BO38501" s="43"/>
    </row>
    <row r="38502" spans="65:67" ht="18.75" customHeight="1">
      <c r="BM38502" s="1025"/>
      <c r="BO38502" s="43"/>
    </row>
    <row r="38503" spans="65:67" ht="18.75" customHeight="1">
      <c r="BM38503" s="1025"/>
      <c r="BO38503" s="43"/>
    </row>
    <row r="38504" spans="65:67" ht="18.75" customHeight="1">
      <c r="BM38504" s="1025"/>
      <c r="BO38504" s="43"/>
    </row>
    <row r="38505" spans="65:67" ht="18.75" customHeight="1">
      <c r="BM38505" s="1025"/>
      <c r="BO38505" s="43"/>
    </row>
    <row r="38506" spans="65:67" ht="18.75" customHeight="1">
      <c r="BM38506" s="1025"/>
      <c r="BO38506" s="43"/>
    </row>
    <row r="38507" spans="65:67" ht="18.75" customHeight="1">
      <c r="BM38507" s="1025"/>
      <c r="BO38507" s="43"/>
    </row>
    <row r="38508" spans="65:67" ht="18.75" customHeight="1">
      <c r="BM38508" s="1025"/>
      <c r="BO38508" s="43"/>
    </row>
    <row r="38509" spans="65:67" ht="18.75" customHeight="1">
      <c r="BM38509" s="1025"/>
      <c r="BO38509" s="43"/>
    </row>
    <row r="38510" spans="65:67" ht="18.75" customHeight="1">
      <c r="BM38510" s="1025"/>
      <c r="BO38510" s="43"/>
    </row>
    <row r="38511" spans="65:67" ht="18.75" customHeight="1">
      <c r="BM38511" s="1025"/>
      <c r="BO38511" s="43"/>
    </row>
    <row r="38512" spans="65:67" ht="18.75" customHeight="1">
      <c r="BM38512" s="1025"/>
      <c r="BO38512" s="43"/>
    </row>
    <row r="38513" spans="65:67" ht="18.75" customHeight="1">
      <c r="BM38513" s="1025"/>
      <c r="BO38513" s="43"/>
    </row>
    <row r="38514" spans="65:67" ht="18.75" customHeight="1">
      <c r="BM38514" s="1025"/>
      <c r="BO38514" s="43"/>
    </row>
    <row r="38515" spans="65:67" ht="18.75" customHeight="1">
      <c r="BM38515" s="1025"/>
      <c r="BO38515" s="43"/>
    </row>
    <row r="38516" spans="65:67" ht="18.75" customHeight="1">
      <c r="BM38516" s="1025"/>
      <c r="BO38516" s="43"/>
    </row>
    <row r="38517" spans="65:67" ht="18.75" customHeight="1">
      <c r="BM38517" s="1025"/>
      <c r="BO38517" s="43"/>
    </row>
    <row r="38518" spans="65:67" ht="18.75" customHeight="1">
      <c r="BM38518" s="1025"/>
      <c r="BO38518" s="43"/>
    </row>
    <row r="38519" spans="65:67" ht="18.75" customHeight="1">
      <c r="BM38519" s="1025"/>
      <c r="BO38519" s="43"/>
    </row>
    <row r="38520" spans="65:67" ht="18.75" customHeight="1">
      <c r="BM38520" s="1025"/>
      <c r="BO38520" s="43"/>
    </row>
    <row r="38521" spans="65:67" ht="18.75" customHeight="1">
      <c r="BM38521" s="1025"/>
      <c r="BO38521" s="43"/>
    </row>
    <row r="38522" spans="65:67" ht="18.75" customHeight="1">
      <c r="BM38522" s="1025"/>
      <c r="BO38522" s="43"/>
    </row>
    <row r="38523" spans="65:67" ht="18.75" customHeight="1">
      <c r="BM38523" s="1025"/>
      <c r="BO38523" s="43"/>
    </row>
    <row r="38524" spans="65:67" ht="18.75" customHeight="1">
      <c r="BM38524" s="1025"/>
      <c r="BO38524" s="43"/>
    </row>
    <row r="38525" spans="65:67" ht="18.75" customHeight="1">
      <c r="BM38525" s="1025"/>
      <c r="BO38525" s="43"/>
    </row>
    <row r="38526" spans="65:67" ht="18.75" customHeight="1">
      <c r="BM38526" s="1025"/>
      <c r="BO38526" s="43"/>
    </row>
    <row r="38527" spans="65:67" ht="18.75" customHeight="1">
      <c r="BM38527" s="1025"/>
      <c r="BO38527" s="43"/>
    </row>
    <row r="38528" spans="65:67" ht="18.75" customHeight="1">
      <c r="BM38528" s="1025"/>
      <c r="BO38528" s="43"/>
    </row>
    <row r="38529" spans="65:67" ht="18.75" customHeight="1">
      <c r="BM38529" s="1025"/>
      <c r="BO38529" s="43"/>
    </row>
    <row r="38530" spans="65:67" ht="18.75" customHeight="1">
      <c r="BM38530" s="1025"/>
      <c r="BO38530" s="43"/>
    </row>
    <row r="38531" spans="65:67" ht="18.75" customHeight="1">
      <c r="BM38531" s="1025"/>
      <c r="BO38531" s="43"/>
    </row>
    <row r="38532" spans="65:67" ht="18.75" customHeight="1">
      <c r="BM38532" s="1025"/>
      <c r="BO38532" s="43"/>
    </row>
    <row r="38533" spans="65:67" ht="18.75" customHeight="1">
      <c r="BM38533" s="1025"/>
      <c r="BO38533" s="43"/>
    </row>
    <row r="38534" spans="65:67" ht="18.75" customHeight="1">
      <c r="BM38534" s="1025"/>
      <c r="BO38534" s="43"/>
    </row>
    <row r="38535" spans="65:67" ht="18.75" customHeight="1">
      <c r="BM38535" s="1025"/>
      <c r="BO38535" s="43"/>
    </row>
    <row r="38536" spans="65:67" ht="18.75" customHeight="1">
      <c r="BM38536" s="1025"/>
      <c r="BO38536" s="43"/>
    </row>
    <row r="38537" spans="65:67" ht="18.75" customHeight="1">
      <c r="BM38537" s="1025"/>
      <c r="BO38537" s="43"/>
    </row>
    <row r="38538" spans="65:67" ht="18.75" customHeight="1">
      <c r="BM38538" s="1025"/>
      <c r="BO38538" s="43"/>
    </row>
    <row r="38539" spans="65:67" ht="18.75" customHeight="1">
      <c r="BM38539" s="1025"/>
      <c r="BO38539" s="43"/>
    </row>
    <row r="38540" spans="65:67" ht="18.75" customHeight="1">
      <c r="BM38540" s="1025"/>
      <c r="BO38540" s="43"/>
    </row>
    <row r="38541" spans="65:67" ht="18.75" customHeight="1">
      <c r="BM38541" s="1025"/>
      <c r="BO38541" s="43"/>
    </row>
    <row r="38542" spans="65:67" ht="18.75" customHeight="1">
      <c r="BM38542" s="1025"/>
      <c r="BO38542" s="43"/>
    </row>
    <row r="38543" spans="65:67" ht="18.75" customHeight="1">
      <c r="BM38543" s="1025"/>
      <c r="BO38543" s="43"/>
    </row>
    <row r="38544" spans="65:67" ht="18.75" customHeight="1">
      <c r="BM38544" s="1025"/>
      <c r="BO38544" s="43"/>
    </row>
    <row r="38545" spans="65:67" ht="18.75" customHeight="1">
      <c r="BM38545" s="1025"/>
      <c r="BO38545" s="43"/>
    </row>
    <row r="38546" spans="65:67" ht="18.75" customHeight="1">
      <c r="BM38546" s="1025"/>
      <c r="BO38546" s="43"/>
    </row>
    <row r="38547" spans="65:67" ht="18.75" customHeight="1">
      <c r="BM38547" s="1025"/>
      <c r="BO38547" s="43"/>
    </row>
    <row r="38548" spans="65:67" ht="18.75" customHeight="1">
      <c r="BM38548" s="1025"/>
      <c r="BO38548" s="43"/>
    </row>
    <row r="38549" spans="65:67" ht="18.75" customHeight="1">
      <c r="BM38549" s="1025"/>
      <c r="BO38549" s="43"/>
    </row>
    <row r="38550" spans="65:67" ht="18.75" customHeight="1">
      <c r="BM38550" s="1025"/>
      <c r="BO38550" s="43"/>
    </row>
    <row r="38551" spans="65:67" ht="18.75" customHeight="1">
      <c r="BM38551" s="1025"/>
      <c r="BO38551" s="43"/>
    </row>
    <row r="38552" spans="65:67" ht="18.75" customHeight="1">
      <c r="BM38552" s="1025"/>
      <c r="BO38552" s="43"/>
    </row>
    <row r="38553" spans="65:67" ht="18.75" customHeight="1">
      <c r="BM38553" s="1025"/>
      <c r="BO38553" s="43"/>
    </row>
    <row r="38554" spans="65:67" ht="18.75" customHeight="1">
      <c r="BM38554" s="1025"/>
      <c r="BO38554" s="43"/>
    </row>
    <row r="38555" spans="65:67" ht="18.75" customHeight="1">
      <c r="BM38555" s="1025"/>
      <c r="BO38555" s="43"/>
    </row>
    <row r="38556" spans="65:67" ht="18.75" customHeight="1">
      <c r="BM38556" s="1025"/>
      <c r="BO38556" s="43"/>
    </row>
    <row r="38557" spans="65:67" ht="18.75" customHeight="1">
      <c r="BM38557" s="1025"/>
      <c r="BO38557" s="43"/>
    </row>
    <row r="38558" spans="65:67" ht="18.75" customHeight="1">
      <c r="BM38558" s="1025"/>
      <c r="BO38558" s="43"/>
    </row>
    <row r="38559" spans="65:67" ht="18.75" customHeight="1">
      <c r="BM38559" s="1025"/>
      <c r="BO38559" s="43"/>
    </row>
    <row r="38560" spans="65:67" ht="18.75" customHeight="1">
      <c r="BM38560" s="1025"/>
      <c r="BO38560" s="43"/>
    </row>
    <row r="38561" spans="65:67" ht="18.75" customHeight="1">
      <c r="BM38561" s="1025"/>
      <c r="BO38561" s="43"/>
    </row>
    <row r="38562" spans="65:67" ht="18.75" customHeight="1">
      <c r="BM38562" s="1025"/>
      <c r="BO38562" s="43"/>
    </row>
    <row r="38563" spans="65:67" ht="18.75" customHeight="1">
      <c r="BM38563" s="1025"/>
      <c r="BO38563" s="43"/>
    </row>
    <row r="38564" spans="65:67" ht="18.75" customHeight="1">
      <c r="BM38564" s="1025"/>
      <c r="BO38564" s="43"/>
    </row>
    <row r="38565" spans="65:67" ht="18.75" customHeight="1">
      <c r="BM38565" s="1025"/>
      <c r="BO38565" s="43"/>
    </row>
    <row r="38566" spans="65:67" ht="18.75" customHeight="1">
      <c r="BM38566" s="1025"/>
      <c r="BO38566" s="43"/>
    </row>
    <row r="38567" spans="65:67" ht="18.75" customHeight="1">
      <c r="BM38567" s="1025"/>
      <c r="BO38567" s="43"/>
    </row>
    <row r="38568" spans="65:67" ht="18.75" customHeight="1">
      <c r="BM38568" s="1025"/>
      <c r="BO38568" s="43"/>
    </row>
    <row r="38569" spans="65:67" ht="18.75" customHeight="1">
      <c r="BM38569" s="1025"/>
      <c r="BO38569" s="43"/>
    </row>
    <row r="38570" spans="65:67" ht="18.75" customHeight="1">
      <c r="BM38570" s="1025"/>
      <c r="BO38570" s="43"/>
    </row>
    <row r="38571" spans="65:67" ht="18.75" customHeight="1">
      <c r="BM38571" s="1025"/>
      <c r="BO38571" s="43"/>
    </row>
    <row r="38572" spans="65:67" ht="18.75" customHeight="1">
      <c r="BM38572" s="1025"/>
      <c r="BO38572" s="43"/>
    </row>
    <row r="38573" spans="65:67" ht="18.75" customHeight="1">
      <c r="BM38573" s="1025"/>
      <c r="BO38573" s="43"/>
    </row>
    <row r="38574" spans="65:67" ht="18.75" customHeight="1">
      <c r="BM38574" s="1025"/>
      <c r="BO38574" s="43"/>
    </row>
    <row r="38575" spans="65:67" ht="18.75" customHeight="1">
      <c r="BM38575" s="1025"/>
      <c r="BO38575" s="43"/>
    </row>
    <row r="38576" spans="65:67" ht="18.75" customHeight="1">
      <c r="BM38576" s="1025"/>
      <c r="BO38576" s="43"/>
    </row>
    <row r="38577" spans="65:67" ht="18.75" customHeight="1">
      <c r="BM38577" s="1025"/>
      <c r="BO38577" s="43"/>
    </row>
    <row r="38578" spans="65:67" ht="18.75" customHeight="1">
      <c r="BM38578" s="1025"/>
      <c r="BO38578" s="43"/>
    </row>
    <row r="38579" spans="65:67" ht="18.75" customHeight="1">
      <c r="BM38579" s="1025"/>
      <c r="BO38579" s="43"/>
    </row>
    <row r="38580" spans="65:67" ht="18.75" customHeight="1">
      <c r="BM38580" s="1025"/>
      <c r="BO38580" s="43"/>
    </row>
    <row r="38581" spans="65:67" ht="18.75" customHeight="1">
      <c r="BM38581" s="1025"/>
      <c r="BO38581" s="43"/>
    </row>
    <row r="38582" spans="65:67" ht="18.75" customHeight="1">
      <c r="BM38582" s="1025"/>
      <c r="BO38582" s="43"/>
    </row>
    <row r="38583" spans="65:67" ht="18.75" customHeight="1">
      <c r="BM38583" s="1025"/>
      <c r="BO38583" s="43"/>
    </row>
    <row r="38584" spans="65:67" ht="18.75" customHeight="1">
      <c r="BM38584" s="1025"/>
      <c r="BO38584" s="43"/>
    </row>
    <row r="38585" spans="65:67" ht="18.75" customHeight="1">
      <c r="BM38585" s="1025"/>
      <c r="BO38585" s="43"/>
    </row>
    <row r="38586" spans="65:67" ht="18.75" customHeight="1">
      <c r="BM38586" s="1025"/>
      <c r="BO38586" s="43"/>
    </row>
    <row r="38587" spans="65:67" ht="18.75" customHeight="1">
      <c r="BM38587" s="1025"/>
      <c r="BO38587" s="43"/>
    </row>
    <row r="38588" spans="65:67" ht="18.75" customHeight="1">
      <c r="BM38588" s="1025"/>
      <c r="BO38588" s="43"/>
    </row>
    <row r="38589" spans="65:67" ht="18.75" customHeight="1">
      <c r="BM38589" s="1025"/>
      <c r="BO38589" s="43"/>
    </row>
    <row r="38590" spans="65:67" ht="18.75" customHeight="1">
      <c r="BM38590" s="1025"/>
      <c r="BO38590" s="43"/>
    </row>
    <row r="38591" spans="65:67" ht="18.75" customHeight="1">
      <c r="BM38591" s="1025"/>
      <c r="BO38591" s="43"/>
    </row>
    <row r="38592" spans="65:67" ht="18.75" customHeight="1">
      <c r="BM38592" s="1025"/>
      <c r="BO38592" s="43"/>
    </row>
    <row r="38593" spans="65:67" ht="18.75" customHeight="1">
      <c r="BM38593" s="1025"/>
      <c r="BO38593" s="43"/>
    </row>
    <row r="38594" spans="65:67" ht="18.75" customHeight="1">
      <c r="BM38594" s="1025"/>
      <c r="BO38594" s="43"/>
    </row>
    <row r="38595" spans="65:67" ht="18.75" customHeight="1">
      <c r="BM38595" s="1025"/>
      <c r="BO38595" s="43"/>
    </row>
    <row r="38596" spans="65:67" ht="18.75" customHeight="1">
      <c r="BM38596" s="1025"/>
      <c r="BO38596" s="43"/>
    </row>
    <row r="38597" spans="65:67" ht="18.75" customHeight="1">
      <c r="BM38597" s="1025"/>
      <c r="BO38597" s="43"/>
    </row>
    <row r="38598" spans="65:67" ht="18.75" customHeight="1">
      <c r="BM38598" s="1025"/>
      <c r="BO38598" s="43"/>
    </row>
    <row r="38599" spans="65:67" ht="18.75" customHeight="1">
      <c r="BM38599" s="1025"/>
      <c r="BO38599" s="43"/>
    </row>
    <row r="38600" spans="65:67" ht="18.75" customHeight="1">
      <c r="BM38600" s="1025"/>
      <c r="BO38600" s="43"/>
    </row>
    <row r="38601" spans="65:67" ht="18.75" customHeight="1">
      <c r="BM38601" s="1025"/>
      <c r="BO38601" s="43"/>
    </row>
    <row r="38602" spans="65:67" ht="18.75" customHeight="1">
      <c r="BM38602" s="1025"/>
      <c r="BO38602" s="43"/>
    </row>
    <row r="38603" spans="65:67" ht="18.75" customHeight="1">
      <c r="BM38603" s="1025"/>
      <c r="BO38603" s="43"/>
    </row>
    <row r="38604" spans="65:67" ht="18.75" customHeight="1">
      <c r="BM38604" s="1025"/>
      <c r="BO38604" s="43"/>
    </row>
    <row r="38605" spans="65:67" ht="18.75" customHeight="1">
      <c r="BM38605" s="1025"/>
      <c r="BO38605" s="43"/>
    </row>
    <row r="38606" spans="65:67" ht="18.75" customHeight="1">
      <c r="BM38606" s="1025"/>
      <c r="BO38606" s="43"/>
    </row>
    <row r="38607" spans="65:67" ht="18.75" customHeight="1">
      <c r="BM38607" s="1025"/>
      <c r="BO38607" s="43"/>
    </row>
    <row r="38608" spans="65:67" ht="18.75" customHeight="1">
      <c r="BM38608" s="1025"/>
      <c r="BO38608" s="43"/>
    </row>
    <row r="38609" spans="65:67" ht="18.75" customHeight="1">
      <c r="BM38609" s="1025"/>
      <c r="BO38609" s="43"/>
    </row>
    <row r="38610" spans="65:67" ht="18.75" customHeight="1">
      <c r="BM38610" s="1025"/>
      <c r="BO38610" s="43"/>
    </row>
    <row r="38611" spans="65:67" ht="18.75" customHeight="1">
      <c r="BM38611" s="1025"/>
      <c r="BO38611" s="43"/>
    </row>
    <row r="38612" spans="65:67" ht="18.75" customHeight="1">
      <c r="BM38612" s="1025"/>
      <c r="BO38612" s="43"/>
    </row>
    <row r="38613" spans="65:67" ht="18.75" customHeight="1">
      <c r="BM38613" s="1025"/>
      <c r="BO38613" s="43"/>
    </row>
    <row r="38614" spans="65:67" ht="18.75" customHeight="1">
      <c r="BM38614" s="1025"/>
      <c r="BO38614" s="43"/>
    </row>
    <row r="38615" spans="65:67" ht="18.75" customHeight="1">
      <c r="BM38615" s="1025"/>
      <c r="BO38615" s="43"/>
    </row>
    <row r="38616" spans="65:67" ht="18.75" customHeight="1">
      <c r="BM38616" s="1025"/>
      <c r="BO38616" s="43"/>
    </row>
    <row r="38617" spans="65:67" ht="18.75" customHeight="1">
      <c r="BM38617" s="1025"/>
      <c r="BO38617" s="43"/>
    </row>
    <row r="38618" spans="65:67" ht="18.75" customHeight="1">
      <c r="BM38618" s="1025"/>
      <c r="BO38618" s="43"/>
    </row>
    <row r="38619" spans="65:67" ht="18.75" customHeight="1">
      <c r="BM38619" s="1025"/>
      <c r="BO38619" s="43"/>
    </row>
    <row r="38620" spans="65:67" ht="18.75" customHeight="1">
      <c r="BM38620" s="1025"/>
      <c r="BO38620" s="43"/>
    </row>
    <row r="38621" spans="65:67" ht="18.75" customHeight="1">
      <c r="BM38621" s="1025"/>
      <c r="BO38621" s="43"/>
    </row>
    <row r="38622" spans="65:67" ht="18.75" customHeight="1">
      <c r="BM38622" s="1025"/>
      <c r="BO38622" s="43"/>
    </row>
    <row r="38623" spans="65:67" ht="18.75" customHeight="1">
      <c r="BM38623" s="1025"/>
      <c r="BO38623" s="43"/>
    </row>
    <row r="38624" spans="65:67" ht="18.75" customHeight="1">
      <c r="BM38624" s="1025"/>
      <c r="BO38624" s="43"/>
    </row>
    <row r="38625" spans="65:67" ht="18.75" customHeight="1">
      <c r="BM38625" s="1025"/>
      <c r="BO38625" s="43"/>
    </row>
    <row r="38626" spans="65:67" ht="18.75" customHeight="1">
      <c r="BM38626" s="1025"/>
      <c r="BO38626" s="43"/>
    </row>
    <row r="38627" spans="65:67" ht="18.75" customHeight="1">
      <c r="BM38627" s="1025"/>
      <c r="BO38627" s="43"/>
    </row>
    <row r="38628" spans="65:67" ht="18.75" customHeight="1">
      <c r="BM38628" s="1025"/>
      <c r="BO38628" s="43"/>
    </row>
    <row r="38629" spans="65:67" ht="18.75" customHeight="1">
      <c r="BM38629" s="1025"/>
      <c r="BO38629" s="43"/>
    </row>
    <row r="38630" spans="65:67" ht="18.75" customHeight="1">
      <c r="BM38630" s="1025"/>
      <c r="BO38630" s="43"/>
    </row>
    <row r="38631" spans="65:67" ht="18.75" customHeight="1">
      <c r="BM38631" s="1025"/>
      <c r="BO38631" s="43"/>
    </row>
    <row r="38632" spans="65:67" ht="18.75" customHeight="1">
      <c r="BM38632" s="1025"/>
      <c r="BO38632" s="43"/>
    </row>
    <row r="38633" spans="65:67" ht="18.75" customHeight="1">
      <c r="BM38633" s="1025"/>
      <c r="BO38633" s="43"/>
    </row>
    <row r="38634" spans="65:67" ht="18.75" customHeight="1">
      <c r="BM38634" s="1025"/>
      <c r="BO38634" s="43"/>
    </row>
    <row r="38635" spans="65:67" ht="18.75" customHeight="1">
      <c r="BM38635" s="1025"/>
      <c r="BO38635" s="43"/>
    </row>
    <row r="38636" spans="65:67" ht="18.75" customHeight="1">
      <c r="BM38636" s="1025"/>
      <c r="BO38636" s="43"/>
    </row>
    <row r="38637" spans="65:67" ht="18.75" customHeight="1">
      <c r="BM38637" s="1025"/>
      <c r="BO38637" s="43"/>
    </row>
    <row r="38638" spans="65:67" ht="18.75" customHeight="1">
      <c r="BM38638" s="1025"/>
      <c r="BO38638" s="43"/>
    </row>
    <row r="38639" spans="65:67" ht="18.75" customHeight="1">
      <c r="BM38639" s="1025"/>
      <c r="BO38639" s="43"/>
    </row>
    <row r="38640" spans="65:67" ht="18.75" customHeight="1">
      <c r="BM38640" s="1025"/>
      <c r="BO38640" s="43"/>
    </row>
    <row r="38641" spans="65:67" ht="18.75" customHeight="1">
      <c r="BM38641" s="1025"/>
      <c r="BO38641" s="43"/>
    </row>
    <row r="38642" spans="65:67" ht="18.75" customHeight="1">
      <c r="BM38642" s="1025"/>
      <c r="BO38642" s="43"/>
    </row>
    <row r="38643" spans="65:67" ht="18.75" customHeight="1">
      <c r="BM38643" s="1025"/>
      <c r="BO38643" s="43"/>
    </row>
    <row r="38644" spans="65:67" ht="18.75" customHeight="1">
      <c r="BM38644" s="1025"/>
      <c r="BO38644" s="43"/>
    </row>
    <row r="38645" spans="65:67" ht="18.75" customHeight="1">
      <c r="BM38645" s="1025"/>
      <c r="BO38645" s="43"/>
    </row>
    <row r="38646" spans="65:67" ht="18.75" customHeight="1">
      <c r="BM38646" s="1025"/>
      <c r="BO38646" s="43"/>
    </row>
    <row r="38647" spans="65:67" ht="18.75" customHeight="1">
      <c r="BM38647" s="1025"/>
      <c r="BO38647" s="43"/>
    </row>
    <row r="38648" spans="65:67" ht="18.75" customHeight="1">
      <c r="BM38648" s="1025"/>
      <c r="BO38648" s="43"/>
    </row>
    <row r="38649" spans="65:67" ht="18.75" customHeight="1">
      <c r="BM38649" s="1025"/>
      <c r="BO38649" s="43"/>
    </row>
    <row r="38650" spans="65:67" ht="18.75" customHeight="1">
      <c r="BM38650" s="1025"/>
      <c r="BO38650" s="43"/>
    </row>
    <row r="38651" spans="65:67" ht="18.75" customHeight="1">
      <c r="BM38651" s="1025"/>
      <c r="BO38651" s="43"/>
    </row>
    <row r="38652" spans="65:67" ht="18.75" customHeight="1">
      <c r="BM38652" s="1025"/>
      <c r="BO38652" s="43"/>
    </row>
    <row r="38653" spans="65:67" ht="18.75" customHeight="1">
      <c r="BM38653" s="1025"/>
      <c r="BO38653" s="43"/>
    </row>
    <row r="38654" spans="65:67" ht="18.75" customHeight="1">
      <c r="BM38654" s="1025"/>
      <c r="BO38654" s="43"/>
    </row>
    <row r="38655" spans="65:67" ht="18.75" customHeight="1">
      <c r="BM38655" s="1025"/>
      <c r="BO38655" s="43"/>
    </row>
    <row r="38656" spans="65:67" ht="18.75" customHeight="1">
      <c r="BM38656" s="1025"/>
      <c r="BO38656" s="43"/>
    </row>
    <row r="38657" spans="65:67" ht="18.75" customHeight="1">
      <c r="BM38657" s="1025"/>
      <c r="BO38657" s="43"/>
    </row>
    <row r="38658" spans="65:67" ht="18.75" customHeight="1">
      <c r="BM38658" s="1025"/>
      <c r="BO38658" s="43"/>
    </row>
    <row r="38659" spans="65:67" ht="18.75" customHeight="1">
      <c r="BM38659" s="1025"/>
      <c r="BO38659" s="43"/>
    </row>
    <row r="38660" spans="65:67" ht="18.75" customHeight="1">
      <c r="BM38660" s="1025"/>
      <c r="BO38660" s="43"/>
    </row>
    <row r="38661" spans="65:67" ht="18.75" customHeight="1">
      <c r="BM38661" s="1025"/>
      <c r="BO38661" s="43"/>
    </row>
    <row r="38662" spans="65:67" ht="18.75" customHeight="1">
      <c r="BM38662" s="1025"/>
      <c r="BO38662" s="43"/>
    </row>
    <row r="38663" spans="65:67" ht="18.75" customHeight="1">
      <c r="BM38663" s="1025"/>
      <c r="BO38663" s="43"/>
    </row>
    <row r="38664" spans="65:67" ht="18.75" customHeight="1">
      <c r="BM38664" s="1025"/>
      <c r="BO38664" s="43"/>
    </row>
    <row r="38665" spans="65:67" ht="18.75" customHeight="1">
      <c r="BM38665" s="1025"/>
      <c r="BO38665" s="43"/>
    </row>
    <row r="38666" spans="65:67" ht="18.75" customHeight="1">
      <c r="BM38666" s="1025"/>
      <c r="BO38666" s="43"/>
    </row>
    <row r="38667" spans="65:67" ht="18.75" customHeight="1">
      <c r="BM38667" s="1025"/>
      <c r="BO38667" s="43"/>
    </row>
    <row r="38668" spans="65:67" ht="18.75" customHeight="1">
      <c r="BM38668" s="1025"/>
      <c r="BO38668" s="43"/>
    </row>
    <row r="38669" spans="65:67" ht="18.75" customHeight="1">
      <c r="BM38669" s="1025"/>
      <c r="BO38669" s="43"/>
    </row>
    <row r="38670" spans="65:67" ht="18.75" customHeight="1">
      <c r="BM38670" s="1025"/>
      <c r="BO38670" s="43"/>
    </row>
    <row r="38671" spans="65:67" ht="18.75" customHeight="1">
      <c r="BM38671" s="1025"/>
      <c r="BO38671" s="43"/>
    </row>
    <row r="38672" spans="65:67" ht="18.75" customHeight="1">
      <c r="BM38672" s="1025"/>
      <c r="BO38672" s="43"/>
    </row>
    <row r="38673" spans="65:67" ht="18.75" customHeight="1">
      <c r="BM38673" s="1025"/>
      <c r="BO38673" s="43"/>
    </row>
    <row r="38674" spans="65:67" ht="18.75" customHeight="1">
      <c r="BM38674" s="1025"/>
      <c r="BO38674" s="43"/>
    </row>
    <row r="38675" spans="65:67" ht="18.75" customHeight="1">
      <c r="BM38675" s="1025"/>
      <c r="BO38675" s="43"/>
    </row>
    <row r="38676" spans="65:67" ht="18.75" customHeight="1">
      <c r="BM38676" s="1025"/>
      <c r="BO38676" s="43"/>
    </row>
    <row r="38677" spans="65:67" ht="18.75" customHeight="1">
      <c r="BM38677" s="1025"/>
      <c r="BO38677" s="43"/>
    </row>
    <row r="38678" spans="65:67" ht="18.75" customHeight="1">
      <c r="BM38678" s="1025"/>
      <c r="BO38678" s="43"/>
    </row>
    <row r="38679" spans="65:67" ht="18.75" customHeight="1">
      <c r="BM38679" s="1025"/>
      <c r="BO38679" s="43"/>
    </row>
    <row r="38680" spans="65:67" ht="18.75" customHeight="1">
      <c r="BM38680" s="1025"/>
      <c r="BO38680" s="43"/>
    </row>
    <row r="38681" spans="65:67" ht="18.75" customHeight="1">
      <c r="BM38681" s="1025"/>
      <c r="BO38681" s="43"/>
    </row>
    <row r="38682" spans="65:67" ht="18.75" customHeight="1">
      <c r="BM38682" s="1025"/>
      <c r="BO38682" s="43"/>
    </row>
    <row r="38683" spans="65:67" ht="18.75" customHeight="1">
      <c r="BM38683" s="1025"/>
      <c r="BO38683" s="43"/>
    </row>
    <row r="38684" spans="65:67" ht="18.75" customHeight="1">
      <c r="BM38684" s="1025"/>
      <c r="BO38684" s="43"/>
    </row>
    <row r="38685" spans="65:67" ht="18.75" customHeight="1">
      <c r="BM38685" s="1025"/>
      <c r="BO38685" s="43"/>
    </row>
    <row r="38686" spans="65:67" ht="18.75" customHeight="1">
      <c r="BM38686" s="1025"/>
      <c r="BO38686" s="43"/>
    </row>
    <row r="38687" spans="65:67" ht="18.75" customHeight="1">
      <c r="BM38687" s="1025"/>
      <c r="BO38687" s="43"/>
    </row>
    <row r="38688" spans="65:67" ht="18.75" customHeight="1">
      <c r="BM38688" s="1025"/>
      <c r="BO38688" s="43"/>
    </row>
    <row r="38689" spans="65:67" ht="18.75" customHeight="1">
      <c r="BM38689" s="1025"/>
      <c r="BO38689" s="43"/>
    </row>
    <row r="38690" spans="65:67" ht="18.75" customHeight="1">
      <c r="BM38690" s="1025"/>
      <c r="BO38690" s="43"/>
    </row>
    <row r="38691" spans="65:67" ht="18.75" customHeight="1">
      <c r="BM38691" s="1025"/>
      <c r="BO38691" s="43"/>
    </row>
    <row r="38692" spans="65:67" ht="18.75" customHeight="1">
      <c r="BM38692" s="1025"/>
      <c r="BO38692" s="43"/>
    </row>
    <row r="38693" spans="65:67" ht="18.75" customHeight="1">
      <c r="BM38693" s="1025"/>
      <c r="BO38693" s="43"/>
    </row>
    <row r="38694" spans="65:67" ht="18.75" customHeight="1">
      <c r="BM38694" s="1025"/>
      <c r="BO38694" s="43"/>
    </row>
    <row r="38695" spans="65:67" ht="18.75" customHeight="1">
      <c r="BM38695" s="1025"/>
      <c r="BO38695" s="43"/>
    </row>
    <row r="38696" spans="65:67" ht="18.75" customHeight="1">
      <c r="BM38696" s="1025"/>
      <c r="BO38696" s="43"/>
    </row>
    <row r="38697" spans="65:67" ht="18.75" customHeight="1">
      <c r="BM38697" s="1025"/>
      <c r="BO38697" s="43"/>
    </row>
    <row r="38698" spans="65:67" ht="18.75" customHeight="1">
      <c r="BM38698" s="1025"/>
      <c r="BO38698" s="43"/>
    </row>
    <row r="38699" spans="65:67" ht="18.75" customHeight="1">
      <c r="BM38699" s="1025"/>
      <c r="BO38699" s="43"/>
    </row>
    <row r="38700" spans="65:67" ht="18.75" customHeight="1">
      <c r="BM38700" s="1025"/>
      <c r="BO38700" s="43"/>
    </row>
    <row r="38701" spans="65:67" ht="18.75" customHeight="1">
      <c r="BM38701" s="1025"/>
      <c r="BO38701" s="43"/>
    </row>
    <row r="38702" spans="65:67" ht="18.75" customHeight="1">
      <c r="BM38702" s="1025"/>
      <c r="BO38702" s="43"/>
    </row>
    <row r="38703" spans="65:67" ht="18.75" customHeight="1">
      <c r="BM38703" s="1025"/>
      <c r="BO38703" s="43"/>
    </row>
    <row r="38704" spans="65:67" ht="18.75" customHeight="1">
      <c r="BM38704" s="1025"/>
      <c r="BO38704" s="43"/>
    </row>
    <row r="38705" spans="65:67" ht="18.75" customHeight="1">
      <c r="BM38705" s="1025"/>
      <c r="BO38705" s="43"/>
    </row>
    <row r="38706" spans="65:67" ht="18.75" customHeight="1">
      <c r="BM38706" s="1025"/>
      <c r="BO38706" s="43"/>
    </row>
    <row r="38707" spans="65:67" ht="18.75" customHeight="1">
      <c r="BM38707" s="1025"/>
      <c r="BO38707" s="43"/>
    </row>
    <row r="38708" spans="65:67" ht="18.75" customHeight="1">
      <c r="BM38708" s="1025"/>
      <c r="BO38708" s="43"/>
    </row>
    <row r="38709" spans="65:67" ht="18.75" customHeight="1">
      <c r="BM38709" s="1025"/>
      <c r="BO38709" s="43"/>
    </row>
    <row r="38710" spans="65:67" ht="18.75" customHeight="1">
      <c r="BM38710" s="1025"/>
      <c r="BO38710" s="43"/>
    </row>
    <row r="38711" spans="65:67" ht="18.75" customHeight="1">
      <c r="BM38711" s="1025"/>
      <c r="BO38711" s="43"/>
    </row>
    <row r="38712" spans="65:67" ht="18.75" customHeight="1">
      <c r="BM38712" s="1025"/>
      <c r="BO38712" s="43"/>
    </row>
    <row r="38713" spans="65:67" ht="18.75" customHeight="1">
      <c r="BM38713" s="1025"/>
      <c r="BO38713" s="43"/>
    </row>
    <row r="38714" spans="65:67" ht="18.75" customHeight="1">
      <c r="BM38714" s="1025"/>
      <c r="BO38714" s="43"/>
    </row>
    <row r="38715" spans="65:67" ht="18.75" customHeight="1">
      <c r="BM38715" s="1025"/>
      <c r="BO38715" s="43"/>
    </row>
    <row r="38716" spans="65:67" ht="18.75" customHeight="1">
      <c r="BM38716" s="1025"/>
      <c r="BO38716" s="43"/>
    </row>
    <row r="38717" spans="65:67" ht="18.75" customHeight="1">
      <c r="BM38717" s="1025"/>
      <c r="BO38717" s="43"/>
    </row>
    <row r="38718" spans="65:67" ht="18.75" customHeight="1">
      <c r="BM38718" s="1025"/>
      <c r="BO38718" s="43"/>
    </row>
    <row r="38719" spans="65:67" ht="18.75" customHeight="1">
      <c r="BM38719" s="1025"/>
      <c r="BO38719" s="43"/>
    </row>
    <row r="38720" spans="65:67" ht="18.75" customHeight="1">
      <c r="BM38720" s="1025"/>
      <c r="BO38720" s="43"/>
    </row>
    <row r="38721" spans="65:67" ht="18.75" customHeight="1">
      <c r="BM38721" s="1025"/>
      <c r="BO38721" s="43"/>
    </row>
    <row r="38722" spans="65:67" ht="18.75" customHeight="1">
      <c r="BM38722" s="1025"/>
      <c r="BO38722" s="43"/>
    </row>
    <row r="38723" spans="65:67" ht="18.75" customHeight="1">
      <c r="BM38723" s="1025"/>
      <c r="BO38723" s="43"/>
    </row>
    <row r="38724" spans="65:67" ht="18.75" customHeight="1">
      <c r="BM38724" s="1025"/>
      <c r="BO38724" s="43"/>
    </row>
    <row r="38725" spans="65:67" ht="18.75" customHeight="1">
      <c r="BM38725" s="1025"/>
      <c r="BO38725" s="43"/>
    </row>
    <row r="38726" spans="65:67" ht="18.75" customHeight="1">
      <c r="BM38726" s="1025"/>
      <c r="BO38726" s="43"/>
    </row>
    <row r="38727" spans="65:67" ht="18.75" customHeight="1">
      <c r="BM38727" s="1025"/>
      <c r="BO38727" s="43"/>
    </row>
    <row r="38728" spans="65:67" ht="18.75" customHeight="1">
      <c r="BM38728" s="1025"/>
      <c r="BO38728" s="43"/>
    </row>
    <row r="38729" spans="65:67" ht="18.75" customHeight="1">
      <c r="BM38729" s="1025"/>
      <c r="BO38729" s="43"/>
    </row>
    <row r="38730" spans="65:67" ht="18.75" customHeight="1">
      <c r="BM38730" s="1025"/>
      <c r="BO38730" s="43"/>
    </row>
    <row r="38731" spans="65:67" ht="18.75" customHeight="1">
      <c r="BM38731" s="1025"/>
      <c r="BO38731" s="43"/>
    </row>
    <row r="38732" spans="65:67" ht="18.75" customHeight="1">
      <c r="BM38732" s="1025"/>
      <c r="BO38732" s="43"/>
    </row>
    <row r="38733" spans="65:67" ht="18.75" customHeight="1">
      <c r="BM38733" s="1025"/>
      <c r="BO38733" s="43"/>
    </row>
    <row r="38734" spans="65:67" ht="18.75" customHeight="1">
      <c r="BM38734" s="1025"/>
      <c r="BO38734" s="43"/>
    </row>
    <row r="38735" spans="65:67" ht="18.75" customHeight="1">
      <c r="BM38735" s="1025"/>
      <c r="BO38735" s="43"/>
    </row>
    <row r="38736" spans="65:67" ht="18.75" customHeight="1">
      <c r="BM38736" s="1025"/>
      <c r="BO38736" s="43"/>
    </row>
    <row r="38737" spans="65:67" ht="18.75" customHeight="1">
      <c r="BM38737" s="1025"/>
      <c r="BO38737" s="43"/>
    </row>
    <row r="38738" spans="65:67" ht="18.75" customHeight="1">
      <c r="BM38738" s="1025"/>
      <c r="BO38738" s="43"/>
    </row>
    <row r="38739" spans="65:67" ht="18.75" customHeight="1">
      <c r="BM38739" s="1025"/>
      <c r="BO38739" s="43"/>
    </row>
    <row r="38740" spans="65:67" ht="18.75" customHeight="1">
      <c r="BM38740" s="1025"/>
      <c r="BO38740" s="43"/>
    </row>
    <row r="38741" spans="65:67" ht="18.75" customHeight="1">
      <c r="BM38741" s="1025"/>
      <c r="BO38741" s="43"/>
    </row>
    <row r="38742" spans="65:67" ht="18.75" customHeight="1">
      <c r="BM38742" s="1025"/>
      <c r="BO38742" s="43"/>
    </row>
    <row r="38743" spans="65:67" ht="18.75" customHeight="1">
      <c r="BM38743" s="1025"/>
      <c r="BO38743" s="43"/>
    </row>
    <row r="38744" spans="65:67" ht="18.75" customHeight="1">
      <c r="BM38744" s="1025"/>
      <c r="BO38744" s="43"/>
    </row>
    <row r="38745" spans="65:67" ht="18.75" customHeight="1">
      <c r="BM38745" s="1025"/>
      <c r="BO38745" s="43"/>
    </row>
    <row r="38746" spans="65:67" ht="18.75" customHeight="1">
      <c r="BM38746" s="1025"/>
      <c r="BO38746" s="43"/>
    </row>
    <row r="38747" spans="65:67" ht="18.75" customHeight="1">
      <c r="BM38747" s="1025"/>
      <c r="BO38747" s="43"/>
    </row>
    <row r="38748" spans="65:67" ht="18.75" customHeight="1">
      <c r="BM38748" s="1025"/>
      <c r="BO38748" s="43"/>
    </row>
    <row r="38749" spans="65:67" ht="18.75" customHeight="1">
      <c r="BM38749" s="1025"/>
      <c r="BO38749" s="43"/>
    </row>
    <row r="38750" spans="65:67" ht="18.75" customHeight="1">
      <c r="BM38750" s="1025"/>
      <c r="BO38750" s="43"/>
    </row>
    <row r="38751" spans="65:67" ht="18.75" customHeight="1">
      <c r="BM38751" s="1025"/>
      <c r="BO38751" s="43"/>
    </row>
    <row r="38752" spans="65:67" ht="18.75" customHeight="1">
      <c r="BM38752" s="1025"/>
      <c r="BO38752" s="43"/>
    </row>
    <row r="38753" spans="65:67" ht="18.75" customHeight="1">
      <c r="BM38753" s="1025"/>
      <c r="BO38753" s="43"/>
    </row>
    <row r="38754" spans="65:67" ht="18.75" customHeight="1">
      <c r="BM38754" s="1025"/>
      <c r="BO38754" s="43"/>
    </row>
    <row r="38755" spans="65:67" ht="18.75" customHeight="1">
      <c r="BM38755" s="1025"/>
      <c r="BO38755" s="43"/>
    </row>
    <row r="38756" spans="65:67" ht="18.75" customHeight="1">
      <c r="BM38756" s="1025"/>
      <c r="BO38756" s="43"/>
    </row>
    <row r="38757" spans="65:67" ht="18.75" customHeight="1">
      <c r="BM38757" s="1025"/>
      <c r="BO38757" s="43"/>
    </row>
    <row r="38758" spans="65:67" ht="18.75" customHeight="1">
      <c r="BM38758" s="1025"/>
      <c r="BO38758" s="43"/>
    </row>
    <row r="38759" spans="65:67" ht="18.75" customHeight="1">
      <c r="BM38759" s="1025"/>
      <c r="BO38759" s="43"/>
    </row>
    <row r="38760" spans="65:67" ht="18.75" customHeight="1">
      <c r="BM38760" s="1025"/>
      <c r="BO38760" s="43"/>
    </row>
    <row r="38761" spans="65:67" ht="18.75" customHeight="1">
      <c r="BM38761" s="1025"/>
      <c r="BO38761" s="43"/>
    </row>
    <row r="38762" spans="65:67" ht="18.75" customHeight="1">
      <c r="BM38762" s="1025"/>
      <c r="BO38762" s="43"/>
    </row>
    <row r="38763" spans="65:67" ht="18.75" customHeight="1">
      <c r="BM38763" s="1025"/>
      <c r="BO38763" s="43"/>
    </row>
    <row r="38764" spans="65:67" ht="18.75" customHeight="1">
      <c r="BM38764" s="1025"/>
      <c r="BO38764" s="43"/>
    </row>
    <row r="38765" spans="65:67" ht="18.75" customHeight="1">
      <c r="BM38765" s="1025"/>
      <c r="BO38765" s="43"/>
    </row>
    <row r="38766" spans="65:67" ht="18.75" customHeight="1">
      <c r="BM38766" s="1025"/>
      <c r="BO38766" s="43"/>
    </row>
    <row r="38767" spans="65:67" ht="18.75" customHeight="1">
      <c r="BM38767" s="1025"/>
      <c r="BO38767" s="43"/>
    </row>
    <row r="38768" spans="65:67" ht="18.75" customHeight="1">
      <c r="BM38768" s="1025"/>
      <c r="BO38768" s="43"/>
    </row>
    <row r="38769" spans="65:67" ht="18.75" customHeight="1">
      <c r="BM38769" s="1025"/>
      <c r="BO38769" s="43"/>
    </row>
    <row r="38770" spans="65:67" ht="18.75" customHeight="1">
      <c r="BM38770" s="1025"/>
      <c r="BO38770" s="43"/>
    </row>
    <row r="38771" spans="65:67" ht="18.75" customHeight="1">
      <c r="BM38771" s="1025"/>
      <c r="BO38771" s="43"/>
    </row>
    <row r="38772" spans="65:67" ht="18.75" customHeight="1">
      <c r="BM38772" s="1025"/>
      <c r="BO38772" s="43"/>
    </row>
    <row r="38773" spans="65:67" ht="18.75" customHeight="1">
      <c r="BM38773" s="1025"/>
      <c r="BO38773" s="43"/>
    </row>
    <row r="38774" spans="65:67" ht="18.75" customHeight="1">
      <c r="BM38774" s="1025"/>
      <c r="BO38774" s="43"/>
    </row>
    <row r="38775" spans="65:67" ht="18.75" customHeight="1">
      <c r="BM38775" s="1025"/>
      <c r="BO38775" s="43"/>
    </row>
    <row r="38776" spans="65:67" ht="18.75" customHeight="1">
      <c r="BM38776" s="1025"/>
      <c r="BO38776" s="43"/>
    </row>
    <row r="38777" spans="65:67" ht="18.75" customHeight="1">
      <c r="BM38777" s="1025"/>
      <c r="BO38777" s="43"/>
    </row>
    <row r="38778" spans="65:67" ht="18.75" customHeight="1">
      <c r="BM38778" s="1025"/>
      <c r="BO38778" s="43"/>
    </row>
    <row r="38779" spans="65:67" ht="18.75" customHeight="1">
      <c r="BM38779" s="1025"/>
      <c r="BO38779" s="43"/>
    </row>
    <row r="38780" spans="65:67" ht="18.75" customHeight="1">
      <c r="BM38780" s="1025"/>
      <c r="BO38780" s="43"/>
    </row>
    <row r="38781" spans="65:67" ht="18.75" customHeight="1">
      <c r="BM38781" s="1025"/>
      <c r="BO38781" s="43"/>
    </row>
    <row r="38782" spans="65:67" ht="18.75" customHeight="1">
      <c r="BM38782" s="1025"/>
      <c r="BO38782" s="43"/>
    </row>
    <row r="38783" spans="65:67" ht="18.75" customHeight="1">
      <c r="BM38783" s="1025"/>
      <c r="BO38783" s="43"/>
    </row>
    <row r="38784" spans="65:67" ht="18.75" customHeight="1">
      <c r="BM38784" s="1025"/>
      <c r="BO38784" s="43"/>
    </row>
    <row r="38785" spans="65:67" ht="18.75" customHeight="1">
      <c r="BM38785" s="1025"/>
      <c r="BO38785" s="43"/>
    </row>
    <row r="38786" spans="65:67" ht="18.75" customHeight="1">
      <c r="BM38786" s="1025"/>
      <c r="BO38786" s="43"/>
    </row>
    <row r="38787" spans="65:67" ht="18.75" customHeight="1">
      <c r="BM38787" s="1025"/>
      <c r="BO38787" s="43"/>
    </row>
    <row r="38788" spans="65:67" ht="18.75" customHeight="1">
      <c r="BM38788" s="1025"/>
      <c r="BO38788" s="43"/>
    </row>
    <row r="38789" spans="65:67" ht="18.75" customHeight="1">
      <c r="BM38789" s="1025"/>
      <c r="BO38789" s="43"/>
    </row>
    <row r="38790" spans="65:67" ht="18.75" customHeight="1">
      <c r="BM38790" s="1025"/>
      <c r="BO38790" s="43"/>
    </row>
    <row r="38791" spans="65:67" ht="18.75" customHeight="1">
      <c r="BM38791" s="1025"/>
      <c r="BO38791" s="43"/>
    </row>
    <row r="38792" spans="65:67" ht="18.75" customHeight="1">
      <c r="BM38792" s="1025"/>
      <c r="BO38792" s="43"/>
    </row>
    <row r="38793" spans="65:67" ht="18.75" customHeight="1">
      <c r="BM38793" s="1025"/>
      <c r="BO38793" s="43"/>
    </row>
    <row r="38794" spans="65:67" ht="18.75" customHeight="1">
      <c r="BM38794" s="1025"/>
      <c r="BO38794" s="43"/>
    </row>
    <row r="38795" spans="65:67" ht="18.75" customHeight="1">
      <c r="BM38795" s="1025"/>
      <c r="BO38795" s="43"/>
    </row>
    <row r="38796" spans="65:67" ht="18.75" customHeight="1">
      <c r="BM38796" s="1025"/>
      <c r="BO38796" s="43"/>
    </row>
    <row r="38797" spans="65:67" ht="18.75" customHeight="1">
      <c r="BM38797" s="1025"/>
      <c r="BO38797" s="43"/>
    </row>
    <row r="38798" spans="65:67" ht="18.75" customHeight="1">
      <c r="BM38798" s="1025"/>
      <c r="BO38798" s="43"/>
    </row>
    <row r="38799" spans="65:67" ht="18.75" customHeight="1">
      <c r="BM38799" s="1025"/>
      <c r="BO38799" s="43"/>
    </row>
    <row r="38800" spans="65:67" ht="18.75" customHeight="1">
      <c r="BM38800" s="1025"/>
      <c r="BO38800" s="43"/>
    </row>
    <row r="38801" spans="65:67" ht="18.75" customHeight="1">
      <c r="BM38801" s="1025"/>
      <c r="BO38801" s="43"/>
    </row>
    <row r="38802" spans="65:67" ht="18.75" customHeight="1">
      <c r="BM38802" s="1025"/>
      <c r="BO38802" s="43"/>
    </row>
    <row r="38803" spans="65:67" ht="18.75" customHeight="1">
      <c r="BM38803" s="1025"/>
      <c r="BO38803" s="43"/>
    </row>
    <row r="38804" spans="65:67" ht="18.75" customHeight="1">
      <c r="BM38804" s="1025"/>
      <c r="BO38804" s="43"/>
    </row>
    <row r="38805" spans="65:67" ht="18.75" customHeight="1">
      <c r="BM38805" s="1025"/>
      <c r="BO38805" s="43"/>
    </row>
    <row r="38806" spans="65:67" ht="18.75" customHeight="1">
      <c r="BM38806" s="1025"/>
      <c r="BO38806" s="43"/>
    </row>
    <row r="38807" spans="65:67" ht="18.75" customHeight="1">
      <c r="BM38807" s="1025"/>
      <c r="BO38807" s="43"/>
    </row>
    <row r="38808" spans="65:67" ht="18.75" customHeight="1">
      <c r="BM38808" s="1025"/>
      <c r="BO38808" s="43"/>
    </row>
    <row r="38809" spans="65:67" ht="18.75" customHeight="1">
      <c r="BM38809" s="1025"/>
      <c r="BO38809" s="43"/>
    </row>
    <row r="38810" spans="65:67" ht="18.75" customHeight="1">
      <c r="BM38810" s="1025"/>
      <c r="BO38810" s="43"/>
    </row>
    <row r="38811" spans="65:67" ht="18.75" customHeight="1">
      <c r="BM38811" s="1025"/>
      <c r="BO38811" s="43"/>
    </row>
    <row r="38812" spans="65:67" ht="18.75" customHeight="1">
      <c r="BM38812" s="1025"/>
      <c r="BO38812" s="43"/>
    </row>
    <row r="38813" spans="65:67" ht="18.75" customHeight="1">
      <c r="BM38813" s="1025"/>
      <c r="BO38813" s="43"/>
    </row>
    <row r="38814" spans="65:67" ht="18.75" customHeight="1">
      <c r="BM38814" s="1025"/>
      <c r="BO38814" s="43"/>
    </row>
    <row r="38815" spans="65:67" ht="18.75" customHeight="1">
      <c r="BM38815" s="1025"/>
      <c r="BO38815" s="43"/>
    </row>
    <row r="38816" spans="65:67" ht="18.75" customHeight="1">
      <c r="BM38816" s="1025"/>
      <c r="BO38816" s="43"/>
    </row>
    <row r="38817" spans="65:67" ht="18.75" customHeight="1">
      <c r="BM38817" s="1025"/>
      <c r="BO38817" s="43"/>
    </row>
    <row r="38818" spans="65:67" ht="18.75" customHeight="1">
      <c r="BM38818" s="1025"/>
      <c r="BO38818" s="43"/>
    </row>
    <row r="38819" spans="65:67" ht="18.75" customHeight="1">
      <c r="BM38819" s="1025"/>
      <c r="BO38819" s="43"/>
    </row>
    <row r="38820" spans="65:67" ht="18.75" customHeight="1">
      <c r="BM38820" s="1025"/>
      <c r="BO38820" s="43"/>
    </row>
    <row r="38821" spans="65:67" ht="18.75" customHeight="1">
      <c r="BM38821" s="1025"/>
      <c r="BO38821" s="43"/>
    </row>
    <row r="38822" spans="65:67" ht="18.75" customHeight="1">
      <c r="BM38822" s="1025"/>
      <c r="BO38822" s="43"/>
    </row>
    <row r="38823" spans="65:67" ht="18.75" customHeight="1">
      <c r="BM38823" s="1025"/>
      <c r="BO38823" s="43"/>
    </row>
    <row r="38824" spans="65:67" ht="18.75" customHeight="1">
      <c r="BM38824" s="1025"/>
      <c r="BO38824" s="43"/>
    </row>
    <row r="38825" spans="65:67" ht="18.75" customHeight="1">
      <c r="BM38825" s="1025"/>
      <c r="BO38825" s="43"/>
    </row>
    <row r="38826" spans="65:67" ht="18.75" customHeight="1">
      <c r="BM38826" s="1025"/>
      <c r="BO38826" s="43"/>
    </row>
    <row r="38827" spans="65:67" ht="18.75" customHeight="1">
      <c r="BM38827" s="1025"/>
      <c r="BO38827" s="43"/>
    </row>
    <row r="38828" spans="65:67" ht="18.75" customHeight="1">
      <c r="BM38828" s="1025"/>
      <c r="BO38828" s="43"/>
    </row>
    <row r="38829" spans="65:67" ht="18.75" customHeight="1">
      <c r="BM38829" s="1025"/>
      <c r="BO38829" s="43"/>
    </row>
    <row r="38830" spans="65:67" ht="18.75" customHeight="1">
      <c r="BM38830" s="1025"/>
      <c r="BO38830" s="43"/>
    </row>
    <row r="38831" spans="65:67" ht="18.75" customHeight="1">
      <c r="BM38831" s="1025"/>
      <c r="BO38831" s="43"/>
    </row>
    <row r="38832" spans="65:67" ht="18.75" customHeight="1">
      <c r="BM38832" s="1025"/>
      <c r="BO38832" s="43"/>
    </row>
    <row r="38833" spans="65:67" ht="18.75" customHeight="1">
      <c r="BM38833" s="1025"/>
      <c r="BO38833" s="43"/>
    </row>
    <row r="38834" spans="65:67" ht="18.75" customHeight="1">
      <c r="BM38834" s="1025"/>
      <c r="BO38834" s="43"/>
    </row>
    <row r="38835" spans="65:67" ht="18.75" customHeight="1">
      <c r="BM38835" s="1025"/>
      <c r="BO38835" s="43"/>
    </row>
    <row r="38836" spans="65:67" ht="18.75" customHeight="1">
      <c r="BM38836" s="1025"/>
      <c r="BO38836" s="43"/>
    </row>
    <row r="38837" spans="65:67" ht="18.75" customHeight="1">
      <c r="BM38837" s="1025"/>
      <c r="BO38837" s="43"/>
    </row>
    <row r="38838" spans="65:67" ht="18.75" customHeight="1">
      <c r="BM38838" s="1025"/>
      <c r="BO38838" s="43"/>
    </row>
    <row r="38839" spans="65:67" ht="18.75" customHeight="1">
      <c r="BM38839" s="1025"/>
      <c r="BO38839" s="43"/>
    </row>
    <row r="38840" spans="65:67" ht="18.75" customHeight="1">
      <c r="BM38840" s="1025"/>
      <c r="BO38840" s="43"/>
    </row>
    <row r="38841" spans="65:67" ht="18.75" customHeight="1">
      <c r="BM38841" s="1025"/>
      <c r="BO38841" s="43"/>
    </row>
    <row r="38842" spans="65:67" ht="18.75" customHeight="1">
      <c r="BM38842" s="1025"/>
      <c r="BO38842" s="43"/>
    </row>
    <row r="38843" spans="65:67" ht="18.75" customHeight="1">
      <c r="BM38843" s="1025"/>
      <c r="BO38843" s="43"/>
    </row>
    <row r="38844" spans="65:67" ht="18.75" customHeight="1">
      <c r="BM38844" s="1025"/>
      <c r="BO38844" s="43"/>
    </row>
    <row r="38845" spans="65:67" ht="18.75" customHeight="1">
      <c r="BM38845" s="1025"/>
      <c r="BO38845" s="43"/>
    </row>
    <row r="38846" spans="65:67" ht="18.75" customHeight="1">
      <c r="BM38846" s="1025"/>
      <c r="BO38846" s="43"/>
    </row>
    <row r="38847" spans="65:67" ht="18.75" customHeight="1">
      <c r="BM38847" s="1025"/>
      <c r="BO38847" s="43"/>
    </row>
    <row r="38848" spans="65:67" ht="18.75" customHeight="1">
      <c r="BM38848" s="1025"/>
      <c r="BO38848" s="43"/>
    </row>
    <row r="38849" spans="65:67" ht="18.75" customHeight="1">
      <c r="BM38849" s="1025"/>
      <c r="BO38849" s="43"/>
    </row>
    <row r="38850" spans="65:67" ht="18.75" customHeight="1">
      <c r="BM38850" s="1025"/>
      <c r="BO38850" s="43"/>
    </row>
    <row r="38851" spans="65:67" ht="18.75" customHeight="1">
      <c r="BM38851" s="1025"/>
      <c r="BO38851" s="43"/>
    </row>
    <row r="38852" spans="65:67" ht="18.75" customHeight="1">
      <c r="BM38852" s="1025"/>
      <c r="BO38852" s="43"/>
    </row>
    <row r="38853" spans="65:67" ht="18.75" customHeight="1">
      <c r="BM38853" s="1025"/>
      <c r="BO38853" s="43"/>
    </row>
    <row r="38854" spans="65:67" ht="18.75" customHeight="1">
      <c r="BM38854" s="1025"/>
      <c r="BO38854" s="43"/>
    </row>
    <row r="38855" spans="65:67" ht="18.75" customHeight="1">
      <c r="BM38855" s="1025"/>
      <c r="BO38855" s="43"/>
    </row>
    <row r="38856" spans="65:67" ht="18.75" customHeight="1">
      <c r="BM38856" s="1025"/>
      <c r="BO38856" s="43"/>
    </row>
    <row r="38857" spans="65:67" ht="18.75" customHeight="1">
      <c r="BM38857" s="1025"/>
      <c r="BO38857" s="43"/>
    </row>
    <row r="38858" spans="65:67" ht="18.75" customHeight="1">
      <c r="BM38858" s="1025"/>
      <c r="BO38858" s="43"/>
    </row>
    <row r="38859" spans="65:67" ht="18.75" customHeight="1">
      <c r="BM38859" s="1025"/>
      <c r="BO38859" s="43"/>
    </row>
    <row r="38860" spans="65:67" ht="18.75" customHeight="1">
      <c r="BM38860" s="1025"/>
      <c r="BO38860" s="43"/>
    </row>
    <row r="38861" spans="65:67" ht="18.75" customHeight="1">
      <c r="BM38861" s="1025"/>
      <c r="BO38861" s="43"/>
    </row>
    <row r="38862" spans="65:67" ht="18.75" customHeight="1">
      <c r="BM38862" s="1025"/>
      <c r="BO38862" s="43"/>
    </row>
    <row r="38863" spans="65:67" ht="18.75" customHeight="1">
      <c r="BM38863" s="1025"/>
      <c r="BO38863" s="43"/>
    </row>
    <row r="38864" spans="65:67" ht="18.75" customHeight="1">
      <c r="BM38864" s="1025"/>
      <c r="BO38864" s="43"/>
    </row>
    <row r="38865" spans="65:67" ht="18.75" customHeight="1">
      <c r="BM38865" s="1025"/>
      <c r="BO38865" s="43"/>
    </row>
    <row r="38866" spans="65:67" ht="18.75" customHeight="1">
      <c r="BM38866" s="1025"/>
      <c r="BO38866" s="43"/>
    </row>
    <row r="38867" spans="65:67" ht="18.75" customHeight="1">
      <c r="BM38867" s="1025"/>
      <c r="BO38867" s="43"/>
    </row>
    <row r="38868" spans="65:67" ht="18.75" customHeight="1">
      <c r="BM38868" s="1025"/>
      <c r="BO38868" s="43"/>
    </row>
    <row r="38869" spans="65:67" ht="18.75" customHeight="1">
      <c r="BM38869" s="1025"/>
      <c r="BO38869" s="43"/>
    </row>
    <row r="38870" spans="65:67" ht="18.75" customHeight="1">
      <c r="BM38870" s="1025"/>
      <c r="BO38870" s="43"/>
    </row>
    <row r="38871" spans="65:67" ht="18.75" customHeight="1">
      <c r="BM38871" s="1025"/>
      <c r="BO38871" s="43"/>
    </row>
    <row r="38872" spans="65:67" ht="18.75" customHeight="1">
      <c r="BM38872" s="1025"/>
      <c r="BO38872" s="43"/>
    </row>
    <row r="38873" spans="65:67" ht="18.75" customHeight="1">
      <c r="BM38873" s="1025"/>
      <c r="BO38873" s="43"/>
    </row>
    <row r="38874" spans="65:67" ht="18.75" customHeight="1">
      <c r="BM38874" s="1025"/>
      <c r="BO38874" s="43"/>
    </row>
    <row r="38875" spans="65:67" ht="18.75" customHeight="1">
      <c r="BM38875" s="1025"/>
      <c r="BO38875" s="43"/>
    </row>
    <row r="38876" spans="65:67" ht="18.75" customHeight="1">
      <c r="BM38876" s="1025"/>
      <c r="BO38876" s="43"/>
    </row>
    <row r="38877" spans="65:67" ht="18.75" customHeight="1">
      <c r="BM38877" s="1025"/>
      <c r="BO38877" s="43"/>
    </row>
    <row r="38878" spans="65:67" ht="18.75" customHeight="1">
      <c r="BM38878" s="1025"/>
      <c r="BO38878" s="43"/>
    </row>
    <row r="38879" spans="65:67" ht="18.75" customHeight="1">
      <c r="BM38879" s="1025"/>
      <c r="BO38879" s="43"/>
    </row>
    <row r="38880" spans="65:67" ht="18.75" customHeight="1">
      <c r="BM38880" s="1025"/>
      <c r="BO38880" s="43"/>
    </row>
    <row r="38881" spans="65:67" ht="18.75" customHeight="1">
      <c r="BM38881" s="1025"/>
      <c r="BO38881" s="43"/>
    </row>
    <row r="38882" spans="65:67" ht="18.75" customHeight="1">
      <c r="BM38882" s="1025"/>
      <c r="BO38882" s="43"/>
    </row>
    <row r="38883" spans="65:67" ht="18.75" customHeight="1">
      <c r="BM38883" s="1025"/>
      <c r="BO38883" s="43"/>
    </row>
    <row r="38884" spans="65:67" ht="18.75" customHeight="1">
      <c r="BM38884" s="1025"/>
      <c r="BO38884" s="43"/>
    </row>
    <row r="38885" spans="65:67" ht="18.75" customHeight="1">
      <c r="BM38885" s="1025"/>
      <c r="BO38885" s="43"/>
    </row>
    <row r="38886" spans="65:67" ht="18.75" customHeight="1">
      <c r="BM38886" s="1025"/>
      <c r="BO38886" s="43"/>
    </row>
    <row r="38887" spans="65:67" ht="18.75" customHeight="1">
      <c r="BM38887" s="1025"/>
      <c r="BO38887" s="43"/>
    </row>
    <row r="38888" spans="65:67" ht="18.75" customHeight="1">
      <c r="BM38888" s="1025"/>
      <c r="BO38888" s="43"/>
    </row>
    <row r="38889" spans="65:67" ht="18.75" customHeight="1">
      <c r="BM38889" s="1025"/>
      <c r="BO38889" s="43"/>
    </row>
    <row r="38890" spans="65:67" ht="18.75" customHeight="1">
      <c r="BM38890" s="1025"/>
      <c r="BO38890" s="43"/>
    </row>
    <row r="38891" spans="65:67" ht="18.75" customHeight="1">
      <c r="BM38891" s="1025"/>
      <c r="BO38891" s="43"/>
    </row>
    <row r="38892" spans="65:67" ht="18.75" customHeight="1">
      <c r="BM38892" s="1025"/>
      <c r="BO38892" s="43"/>
    </row>
    <row r="38893" spans="65:67" ht="18.75" customHeight="1">
      <c r="BM38893" s="1025"/>
      <c r="BO38893" s="43"/>
    </row>
    <row r="38894" spans="65:67" ht="18.75" customHeight="1">
      <c r="BM38894" s="1025"/>
      <c r="BO38894" s="43"/>
    </row>
    <row r="38895" spans="65:67" ht="18.75" customHeight="1">
      <c r="BM38895" s="1025"/>
      <c r="BO38895" s="43"/>
    </row>
    <row r="38896" spans="65:67" ht="18.75" customHeight="1">
      <c r="BM38896" s="1025"/>
      <c r="BO38896" s="43"/>
    </row>
    <row r="38897" spans="65:67" ht="18.75" customHeight="1">
      <c r="BM38897" s="1025"/>
      <c r="BO38897" s="43"/>
    </row>
    <row r="38898" spans="65:67" ht="18.75" customHeight="1">
      <c r="BM38898" s="1025"/>
      <c r="BO38898" s="43"/>
    </row>
    <row r="38899" spans="65:67" ht="18.75" customHeight="1">
      <c r="BM38899" s="1025"/>
      <c r="BO38899" s="43"/>
    </row>
    <row r="38900" spans="65:67" ht="18.75" customHeight="1">
      <c r="BM38900" s="1025"/>
      <c r="BO38900" s="43"/>
    </row>
    <row r="38901" spans="65:67" ht="18.75" customHeight="1">
      <c r="BM38901" s="1025"/>
      <c r="BO38901" s="43"/>
    </row>
    <row r="38902" spans="65:67" ht="18.75" customHeight="1">
      <c r="BM38902" s="1025"/>
      <c r="BO38902" s="43"/>
    </row>
    <row r="38903" spans="65:67" ht="18.75" customHeight="1">
      <c r="BM38903" s="1025"/>
      <c r="BO38903" s="43"/>
    </row>
    <row r="38904" spans="65:67" ht="18.75" customHeight="1">
      <c r="BM38904" s="1025"/>
      <c r="BO38904" s="43"/>
    </row>
    <row r="38905" spans="65:67" ht="18.75" customHeight="1">
      <c r="BM38905" s="1025"/>
      <c r="BO38905" s="43"/>
    </row>
    <row r="38906" spans="65:67" ht="18.75" customHeight="1">
      <c r="BM38906" s="1025"/>
      <c r="BO38906" s="43"/>
    </row>
    <row r="38907" spans="65:67" ht="18.75" customHeight="1">
      <c r="BM38907" s="1025"/>
      <c r="BO38907" s="43"/>
    </row>
    <row r="38908" spans="65:67" ht="18.75" customHeight="1">
      <c r="BM38908" s="1025"/>
      <c r="BO38908" s="43"/>
    </row>
    <row r="38909" spans="65:67" ht="18.75" customHeight="1">
      <c r="BM38909" s="1025"/>
      <c r="BO38909" s="43"/>
    </row>
    <row r="38910" spans="65:67" ht="18.75" customHeight="1">
      <c r="BM38910" s="1025"/>
      <c r="BO38910" s="43"/>
    </row>
    <row r="38911" spans="65:67" ht="18.75" customHeight="1">
      <c r="BM38911" s="1025"/>
      <c r="BO38911" s="43"/>
    </row>
    <row r="38912" spans="65:67" ht="18.75" customHeight="1">
      <c r="BM38912" s="1025"/>
      <c r="BO38912" s="43"/>
    </row>
    <row r="38913" spans="65:67" ht="18.75" customHeight="1">
      <c r="BM38913" s="1025"/>
      <c r="BO38913" s="43"/>
    </row>
    <row r="38914" spans="65:67" ht="18.75" customHeight="1">
      <c r="BM38914" s="1025"/>
      <c r="BO38914" s="43"/>
    </row>
    <row r="38915" spans="65:67" ht="18.75" customHeight="1">
      <c r="BM38915" s="1025"/>
      <c r="BO38915" s="43"/>
    </row>
    <row r="38916" spans="65:67" ht="18.75" customHeight="1">
      <c r="BM38916" s="1025"/>
      <c r="BO38916" s="43"/>
    </row>
    <row r="38917" spans="65:67" ht="18.75" customHeight="1">
      <c r="BM38917" s="1025"/>
      <c r="BO38917" s="43"/>
    </row>
    <row r="38918" spans="65:67" ht="18.75" customHeight="1">
      <c r="BM38918" s="1025"/>
      <c r="BO38918" s="43"/>
    </row>
    <row r="38919" spans="65:67" ht="18.75" customHeight="1">
      <c r="BM38919" s="1025"/>
      <c r="BO38919" s="43"/>
    </row>
    <row r="38920" spans="65:67" ht="18.75" customHeight="1">
      <c r="BM38920" s="1025"/>
      <c r="BO38920" s="43"/>
    </row>
    <row r="38921" spans="65:67" ht="18.75" customHeight="1">
      <c r="BM38921" s="1025"/>
      <c r="BO38921" s="43"/>
    </row>
    <row r="38922" spans="65:67" ht="18.75" customHeight="1">
      <c r="BM38922" s="1025"/>
      <c r="BO38922" s="43"/>
    </row>
    <row r="38923" spans="65:67" ht="18.75" customHeight="1">
      <c r="BM38923" s="1025"/>
      <c r="BO38923" s="43"/>
    </row>
    <row r="38924" spans="65:67" ht="18.75" customHeight="1">
      <c r="BM38924" s="1025"/>
      <c r="BO38924" s="43"/>
    </row>
    <row r="38925" spans="65:67" ht="18.75" customHeight="1">
      <c r="BM38925" s="1025"/>
      <c r="BO38925" s="43"/>
    </row>
    <row r="38926" spans="65:67" ht="18.75" customHeight="1">
      <c r="BM38926" s="1025"/>
      <c r="BO38926" s="43"/>
    </row>
    <row r="38927" spans="65:67" ht="18.75" customHeight="1">
      <c r="BM38927" s="1025"/>
      <c r="BO38927" s="43"/>
    </row>
    <row r="38928" spans="65:67" ht="18.75" customHeight="1">
      <c r="BM38928" s="1025"/>
      <c r="BO38928" s="43"/>
    </row>
    <row r="38929" spans="65:67" ht="18.75" customHeight="1">
      <c r="BM38929" s="1025"/>
      <c r="BO38929" s="43"/>
    </row>
    <row r="38930" spans="65:67" ht="18.75" customHeight="1">
      <c r="BM38930" s="1025"/>
      <c r="BO38930" s="43"/>
    </row>
    <row r="38931" spans="65:67" ht="18.75" customHeight="1">
      <c r="BM38931" s="1025"/>
      <c r="BO38931" s="43"/>
    </row>
    <row r="38932" spans="65:67" ht="18.75" customHeight="1">
      <c r="BM38932" s="1025"/>
      <c r="BO38932" s="43"/>
    </row>
    <row r="38933" spans="65:67" ht="18.75" customHeight="1">
      <c r="BM38933" s="1025"/>
      <c r="BO38933" s="43"/>
    </row>
    <row r="38934" spans="65:67" ht="18.75" customHeight="1">
      <c r="BM38934" s="1025"/>
      <c r="BO38934" s="43"/>
    </row>
    <row r="38935" spans="65:67" ht="18.75" customHeight="1">
      <c r="BM38935" s="1025"/>
      <c r="BO38935" s="43"/>
    </row>
    <row r="38936" spans="65:67" ht="18.75" customHeight="1">
      <c r="BM38936" s="1025"/>
      <c r="BO38936" s="43"/>
    </row>
    <row r="38937" spans="65:67" ht="18.75" customHeight="1">
      <c r="BM38937" s="1025"/>
      <c r="BO38937" s="43"/>
    </row>
    <row r="38938" spans="65:67" ht="18.75" customHeight="1">
      <c r="BM38938" s="1025"/>
      <c r="BO38938" s="43"/>
    </row>
    <row r="38939" spans="65:67" ht="18.75" customHeight="1">
      <c r="BM38939" s="1025"/>
      <c r="BO38939" s="43"/>
    </row>
    <row r="38940" spans="65:67" ht="18.75" customHeight="1">
      <c r="BM38940" s="1025"/>
      <c r="BO38940" s="43"/>
    </row>
    <row r="38941" spans="65:67" ht="18.75" customHeight="1">
      <c r="BM38941" s="1025"/>
      <c r="BO38941" s="43"/>
    </row>
    <row r="38942" spans="65:67" ht="18.75" customHeight="1">
      <c r="BM38942" s="1025"/>
      <c r="BO38942" s="43"/>
    </row>
    <row r="38943" spans="65:67" ht="18.75" customHeight="1">
      <c r="BM38943" s="1025"/>
      <c r="BO38943" s="43"/>
    </row>
    <row r="38944" spans="65:67" ht="18.75" customHeight="1">
      <c r="BM38944" s="1025"/>
      <c r="BO38944" s="43"/>
    </row>
    <row r="38945" spans="65:67" ht="18.75" customHeight="1">
      <c r="BM38945" s="1025"/>
      <c r="BO38945" s="43"/>
    </row>
    <row r="38946" spans="65:67" ht="18.75" customHeight="1">
      <c r="BM38946" s="1025"/>
      <c r="BO38946" s="43"/>
    </row>
    <row r="38947" spans="65:67" ht="18.75" customHeight="1">
      <c r="BM38947" s="1025"/>
      <c r="BO38947" s="43"/>
    </row>
    <row r="38948" spans="65:67" ht="18.75" customHeight="1">
      <c r="BM38948" s="1025"/>
      <c r="BO38948" s="43"/>
    </row>
    <row r="38949" spans="65:67" ht="18.75" customHeight="1">
      <c r="BM38949" s="1025"/>
      <c r="BO38949" s="43"/>
    </row>
    <row r="38950" spans="65:67" ht="18.75" customHeight="1">
      <c r="BM38950" s="1025"/>
      <c r="BO38950" s="43"/>
    </row>
    <row r="38951" spans="65:67" ht="18.75" customHeight="1">
      <c r="BM38951" s="1025"/>
      <c r="BO38951" s="43"/>
    </row>
    <row r="38952" spans="65:67" ht="18.75" customHeight="1">
      <c r="BM38952" s="1025"/>
      <c r="BO38952" s="43"/>
    </row>
    <row r="38953" spans="65:67" ht="18.75" customHeight="1">
      <c r="BM38953" s="1025"/>
      <c r="BO38953" s="43"/>
    </row>
    <row r="38954" spans="65:67" ht="18.75" customHeight="1">
      <c r="BM38954" s="1025"/>
      <c r="BO38954" s="43"/>
    </row>
    <row r="38955" spans="65:67" ht="18.75" customHeight="1">
      <c r="BM38955" s="1025"/>
      <c r="BO38955" s="43"/>
    </row>
    <row r="38956" spans="65:67" ht="18.75" customHeight="1">
      <c r="BM38956" s="1025"/>
      <c r="BO38956" s="43"/>
    </row>
    <row r="38957" spans="65:67" ht="18.75" customHeight="1">
      <c r="BM38957" s="1025"/>
      <c r="BO38957" s="43"/>
    </row>
    <row r="38958" spans="65:67" ht="18.75" customHeight="1">
      <c r="BM38958" s="1025"/>
      <c r="BO38958" s="43"/>
    </row>
    <row r="38959" spans="65:67" ht="18.75" customHeight="1">
      <c r="BM38959" s="1025"/>
      <c r="BO38959" s="43"/>
    </row>
    <row r="38960" spans="65:67" ht="18.75" customHeight="1">
      <c r="BM38960" s="1025"/>
      <c r="BO38960" s="43"/>
    </row>
    <row r="38961" spans="65:67" ht="18.75" customHeight="1">
      <c r="BM38961" s="1025"/>
      <c r="BO38961" s="43"/>
    </row>
    <row r="38962" spans="65:67" ht="18.75" customHeight="1">
      <c r="BM38962" s="1025"/>
      <c r="BO38962" s="43"/>
    </row>
    <row r="38963" spans="65:67" ht="18.75" customHeight="1">
      <c r="BM38963" s="1025"/>
      <c r="BO38963" s="43"/>
    </row>
    <row r="38964" spans="65:67" ht="18.75" customHeight="1">
      <c r="BM38964" s="1025"/>
      <c r="BO38964" s="43"/>
    </row>
    <row r="38965" spans="65:67" ht="18.75" customHeight="1">
      <c r="BM38965" s="1025"/>
      <c r="BO38965" s="43"/>
    </row>
    <row r="38966" spans="65:67" ht="18.75" customHeight="1">
      <c r="BM38966" s="1025"/>
      <c r="BO38966" s="43"/>
    </row>
    <row r="38967" spans="65:67" ht="18.75" customHeight="1">
      <c r="BM38967" s="1025"/>
      <c r="BO38967" s="43"/>
    </row>
    <row r="38968" spans="65:67" ht="18.75" customHeight="1">
      <c r="BM38968" s="1025"/>
      <c r="BO38968" s="43"/>
    </row>
    <row r="38969" spans="65:67" ht="18.75" customHeight="1">
      <c r="BM38969" s="1025"/>
      <c r="BO38969" s="43"/>
    </row>
    <row r="38970" spans="65:67" ht="18.75" customHeight="1">
      <c r="BM38970" s="1025"/>
      <c r="BO38970" s="43"/>
    </row>
    <row r="38971" spans="65:67" ht="18.75" customHeight="1">
      <c r="BM38971" s="1025"/>
      <c r="BO38971" s="43"/>
    </row>
    <row r="38972" spans="65:67" ht="18.75" customHeight="1">
      <c r="BM38972" s="1025"/>
      <c r="BO38972" s="43"/>
    </row>
    <row r="38973" spans="65:67" ht="18.75" customHeight="1">
      <c r="BM38973" s="1025"/>
      <c r="BO38973" s="43"/>
    </row>
    <row r="38974" spans="65:67" ht="18.75" customHeight="1">
      <c r="BM38974" s="1025"/>
      <c r="BO38974" s="43"/>
    </row>
    <row r="38975" spans="65:67" ht="18.75" customHeight="1">
      <c r="BM38975" s="1025"/>
      <c r="BO38975" s="43"/>
    </row>
    <row r="38976" spans="65:67" ht="18.75" customHeight="1">
      <c r="BM38976" s="1025"/>
      <c r="BO38976" s="43"/>
    </row>
    <row r="38977" spans="65:67" ht="18.75" customHeight="1">
      <c r="BM38977" s="1025"/>
      <c r="BO38977" s="43"/>
    </row>
    <row r="38978" spans="65:67" ht="18.75" customHeight="1">
      <c r="BM38978" s="1025"/>
      <c r="BO38978" s="43"/>
    </row>
    <row r="38979" spans="65:67" ht="18.75" customHeight="1">
      <c r="BM38979" s="1025"/>
      <c r="BO38979" s="43"/>
    </row>
    <row r="38980" spans="65:67" ht="18.75" customHeight="1">
      <c r="BM38980" s="1025"/>
      <c r="BO38980" s="43"/>
    </row>
    <row r="38981" spans="65:67" ht="18.75" customHeight="1">
      <c r="BM38981" s="1025"/>
      <c r="BO38981" s="43"/>
    </row>
    <row r="38982" spans="65:67" ht="18.75" customHeight="1">
      <c r="BM38982" s="1025"/>
      <c r="BO38982" s="43"/>
    </row>
    <row r="38983" spans="65:67" ht="18.75" customHeight="1">
      <c r="BM38983" s="1025"/>
      <c r="BO38983" s="43"/>
    </row>
    <row r="38984" spans="65:67" ht="18.75" customHeight="1">
      <c r="BM38984" s="1025"/>
      <c r="BO38984" s="43"/>
    </row>
    <row r="38985" spans="65:67" ht="18.75" customHeight="1">
      <c r="BM38985" s="1025"/>
      <c r="BO38985" s="43"/>
    </row>
    <row r="38986" spans="65:67" ht="18.75" customHeight="1">
      <c r="BM38986" s="1025"/>
      <c r="BO38986" s="43"/>
    </row>
    <row r="38987" spans="65:67" ht="18.75" customHeight="1">
      <c r="BM38987" s="1025"/>
      <c r="BO38987" s="43"/>
    </row>
    <row r="38988" spans="65:67" ht="18.75" customHeight="1">
      <c r="BM38988" s="1025"/>
      <c r="BO38988" s="43"/>
    </row>
    <row r="38989" spans="65:67" ht="18.75" customHeight="1">
      <c r="BM38989" s="1025"/>
      <c r="BO38989" s="43"/>
    </row>
    <row r="38990" spans="65:67" ht="18.75" customHeight="1">
      <c r="BM38990" s="1025"/>
      <c r="BO38990" s="43"/>
    </row>
    <row r="38991" spans="65:67" ht="18.75" customHeight="1">
      <c r="BM38991" s="1025"/>
      <c r="BO38991" s="43"/>
    </row>
    <row r="38992" spans="65:67" ht="18.75" customHeight="1">
      <c r="BM38992" s="1025"/>
      <c r="BO38992" s="43"/>
    </row>
    <row r="38993" spans="65:67" ht="18.75" customHeight="1">
      <c r="BM38993" s="1025"/>
      <c r="BO38993" s="43"/>
    </row>
    <row r="38994" spans="65:67" ht="18.75" customHeight="1">
      <c r="BM38994" s="1025"/>
      <c r="BO38994" s="43"/>
    </row>
    <row r="38995" spans="65:67" ht="18.75" customHeight="1">
      <c r="BM38995" s="1025"/>
      <c r="BO38995" s="43"/>
    </row>
    <row r="38996" spans="65:67" ht="18.75" customHeight="1">
      <c r="BM38996" s="1025"/>
      <c r="BO38996" s="43"/>
    </row>
    <row r="38997" spans="65:67" ht="18.75" customHeight="1">
      <c r="BM38997" s="1025"/>
      <c r="BO38997" s="43"/>
    </row>
    <row r="38998" spans="65:67" ht="18.75" customHeight="1">
      <c r="BM38998" s="1025"/>
      <c r="BO38998" s="43"/>
    </row>
    <row r="38999" spans="65:67" ht="18.75" customHeight="1">
      <c r="BM38999" s="1025"/>
      <c r="BO38999" s="43"/>
    </row>
    <row r="39000" spans="65:67" ht="18.75" customHeight="1">
      <c r="BM39000" s="1025"/>
      <c r="BO39000" s="43"/>
    </row>
    <row r="39001" spans="65:67" ht="18.75" customHeight="1">
      <c r="BM39001" s="1025"/>
      <c r="BO39001" s="43"/>
    </row>
    <row r="39002" spans="65:67" ht="18.75" customHeight="1">
      <c r="BM39002" s="1025"/>
      <c r="BO39002" s="43"/>
    </row>
    <row r="39003" spans="65:67" ht="18.75" customHeight="1">
      <c r="BM39003" s="1025"/>
      <c r="BO39003" s="43"/>
    </row>
    <row r="39004" spans="65:67" ht="18.75" customHeight="1">
      <c r="BM39004" s="1025"/>
      <c r="BO39004" s="43"/>
    </row>
    <row r="39005" spans="65:67" ht="18.75" customHeight="1">
      <c r="BM39005" s="1025"/>
      <c r="BO39005" s="43"/>
    </row>
    <row r="39006" spans="65:67" ht="18.75" customHeight="1">
      <c r="BM39006" s="1025"/>
      <c r="BO39006" s="43"/>
    </row>
    <row r="39007" spans="65:67" ht="18.75" customHeight="1">
      <c r="BM39007" s="1025"/>
      <c r="BO39007" s="43"/>
    </row>
    <row r="39008" spans="65:67" ht="18.75" customHeight="1">
      <c r="BM39008" s="1025"/>
      <c r="BO39008" s="43"/>
    </row>
    <row r="39009" spans="65:67" ht="18.75" customHeight="1">
      <c r="BM39009" s="1025"/>
      <c r="BO39009" s="43"/>
    </row>
    <row r="39010" spans="65:67" ht="18.75" customHeight="1">
      <c r="BM39010" s="1025"/>
      <c r="BO39010" s="43"/>
    </row>
    <row r="39011" spans="65:67" ht="18.75" customHeight="1">
      <c r="BM39011" s="1025"/>
      <c r="BO39011" s="43"/>
    </row>
    <row r="39012" spans="65:67" ht="18.75" customHeight="1">
      <c r="BM39012" s="1025"/>
      <c r="BO39012" s="43"/>
    </row>
    <row r="39013" spans="65:67" ht="18.75" customHeight="1">
      <c r="BM39013" s="1025"/>
      <c r="BO39013" s="43"/>
    </row>
    <row r="39014" spans="65:67" ht="18.75" customHeight="1">
      <c r="BM39014" s="1025"/>
      <c r="BO39014" s="43"/>
    </row>
    <row r="39015" spans="65:67" ht="18.75" customHeight="1">
      <c r="BM39015" s="1025"/>
      <c r="BO39015" s="43"/>
    </row>
    <row r="39016" spans="65:67" ht="18.75" customHeight="1">
      <c r="BM39016" s="1025"/>
      <c r="BO39016" s="43"/>
    </row>
    <row r="39017" spans="65:67" ht="18.75" customHeight="1">
      <c r="BM39017" s="1025"/>
      <c r="BO39017" s="43"/>
    </row>
    <row r="39018" spans="65:67" ht="18.75" customHeight="1">
      <c r="BM39018" s="1025"/>
      <c r="BO39018" s="43"/>
    </row>
    <row r="39019" spans="65:67" ht="18.75" customHeight="1">
      <c r="BM39019" s="1025"/>
      <c r="BO39019" s="43"/>
    </row>
    <row r="39020" spans="65:67" ht="18.75" customHeight="1">
      <c r="BM39020" s="1025"/>
      <c r="BO39020" s="43"/>
    </row>
    <row r="39021" spans="65:67" ht="18.75" customHeight="1">
      <c r="BM39021" s="1025"/>
      <c r="BO39021" s="43"/>
    </row>
    <row r="39022" spans="65:67" ht="18.75" customHeight="1">
      <c r="BM39022" s="1025"/>
      <c r="BO39022" s="43"/>
    </row>
    <row r="39023" spans="65:67" ht="18.75" customHeight="1">
      <c r="BM39023" s="1025"/>
      <c r="BO39023" s="43"/>
    </row>
    <row r="39024" spans="65:67" ht="18.75" customHeight="1">
      <c r="BM39024" s="1025"/>
      <c r="BO39024" s="43"/>
    </row>
    <row r="39025" spans="65:67" ht="18.75" customHeight="1">
      <c r="BM39025" s="1025"/>
      <c r="BO39025" s="43"/>
    </row>
    <row r="39026" spans="65:67" ht="18.75" customHeight="1">
      <c r="BM39026" s="1025"/>
      <c r="BO39026" s="43"/>
    </row>
    <row r="39027" spans="65:67" ht="18.75" customHeight="1">
      <c r="BM39027" s="1025"/>
      <c r="BO39027" s="43"/>
    </row>
    <row r="39028" spans="65:67" ht="18.75" customHeight="1">
      <c r="BM39028" s="1025"/>
      <c r="BO39028" s="43"/>
    </row>
    <row r="39029" spans="65:67" ht="18.75" customHeight="1">
      <c r="BM39029" s="1025"/>
      <c r="BO39029" s="43"/>
    </row>
    <row r="39030" spans="65:67" ht="18.75" customHeight="1">
      <c r="BM39030" s="1025"/>
      <c r="BO39030" s="43"/>
    </row>
    <row r="39031" spans="65:67" ht="18.75" customHeight="1">
      <c r="BM39031" s="1025"/>
      <c r="BO39031" s="43"/>
    </row>
    <row r="39032" spans="65:67" ht="18.75" customHeight="1">
      <c r="BM39032" s="1025"/>
      <c r="BO39032" s="43"/>
    </row>
    <row r="39033" spans="65:67" ht="18.75" customHeight="1">
      <c r="BM39033" s="1025"/>
      <c r="BO39033" s="43"/>
    </row>
    <row r="39034" spans="65:67" ht="18.75" customHeight="1">
      <c r="BM39034" s="1025"/>
      <c r="BO39034" s="43"/>
    </row>
    <row r="39035" spans="65:67" ht="18.75" customHeight="1">
      <c r="BM39035" s="1025"/>
      <c r="BO39035" s="43"/>
    </row>
    <row r="39036" spans="65:67" ht="18.75" customHeight="1">
      <c r="BM39036" s="1025"/>
      <c r="BO39036" s="43"/>
    </row>
    <row r="39037" spans="65:67" ht="18.75" customHeight="1">
      <c r="BM39037" s="1025"/>
      <c r="BO39037" s="43"/>
    </row>
    <row r="39038" spans="65:67" ht="18.75" customHeight="1">
      <c r="BM39038" s="1025"/>
      <c r="BO39038" s="43"/>
    </row>
    <row r="39039" spans="65:67" ht="18.75" customHeight="1">
      <c r="BM39039" s="1025"/>
      <c r="BO39039" s="43"/>
    </row>
    <row r="39040" spans="65:67" ht="18.75" customHeight="1">
      <c r="BM39040" s="1025"/>
      <c r="BO39040" s="43"/>
    </row>
    <row r="39041" spans="65:67" ht="18.75" customHeight="1">
      <c r="BM39041" s="1025"/>
      <c r="BO39041" s="43"/>
    </row>
    <row r="39042" spans="65:67" ht="18.75" customHeight="1">
      <c r="BM39042" s="1025"/>
      <c r="BO39042" s="43"/>
    </row>
    <row r="39043" spans="65:67" ht="18.75" customHeight="1">
      <c r="BM39043" s="1025"/>
      <c r="BO39043" s="43"/>
    </row>
    <row r="39044" spans="65:67" ht="18.75" customHeight="1">
      <c r="BM39044" s="1025"/>
      <c r="BO39044" s="43"/>
    </row>
    <row r="39045" spans="65:67" ht="18.75" customHeight="1">
      <c r="BM39045" s="1025"/>
      <c r="BO39045" s="43"/>
    </row>
    <row r="39046" spans="65:67" ht="18.75" customHeight="1">
      <c r="BM39046" s="1025"/>
      <c r="BO39046" s="43"/>
    </row>
    <row r="39047" spans="65:67" ht="18.75" customHeight="1">
      <c r="BM39047" s="1025"/>
      <c r="BO39047" s="43"/>
    </row>
    <row r="39048" spans="65:67" ht="18.75" customHeight="1">
      <c r="BM39048" s="1025"/>
      <c r="BO39048" s="43"/>
    </row>
    <row r="39049" spans="65:67" ht="18.75" customHeight="1">
      <c r="BM39049" s="1025"/>
      <c r="BO39049" s="43"/>
    </row>
    <row r="39050" spans="65:67" ht="18.75" customHeight="1">
      <c r="BM39050" s="1025"/>
      <c r="BO39050" s="43"/>
    </row>
    <row r="39051" spans="65:67" ht="18.75" customHeight="1">
      <c r="BM39051" s="1025"/>
      <c r="BO39051" s="43"/>
    </row>
    <row r="39052" spans="65:67" ht="18.75" customHeight="1">
      <c r="BM39052" s="1025"/>
      <c r="BO39052" s="43"/>
    </row>
    <row r="39053" spans="65:67" ht="18.75" customHeight="1">
      <c r="BM39053" s="1025"/>
      <c r="BO39053" s="43"/>
    </row>
    <row r="39054" spans="65:67" ht="18.75" customHeight="1">
      <c r="BM39054" s="1025"/>
      <c r="BO39054" s="43"/>
    </row>
    <row r="39055" spans="65:67" ht="18.75" customHeight="1">
      <c r="BM39055" s="1025"/>
      <c r="BO39055" s="43"/>
    </row>
    <row r="39056" spans="65:67" ht="18.75" customHeight="1">
      <c r="BM39056" s="1025"/>
      <c r="BO39056" s="43"/>
    </row>
    <row r="39057" spans="65:67" ht="18.75" customHeight="1">
      <c r="BM39057" s="1025"/>
      <c r="BO39057" s="43"/>
    </row>
    <row r="39058" spans="65:67" ht="18.75" customHeight="1">
      <c r="BM39058" s="1025"/>
      <c r="BO39058" s="43"/>
    </row>
    <row r="39059" spans="65:67" ht="18.75" customHeight="1">
      <c r="BM39059" s="1025"/>
      <c r="BO39059" s="43"/>
    </row>
    <row r="39060" spans="65:67" ht="18.75" customHeight="1">
      <c r="BM39060" s="1025"/>
      <c r="BO39060" s="43"/>
    </row>
    <row r="39061" spans="65:67" ht="18.75" customHeight="1">
      <c r="BM39061" s="1025"/>
      <c r="BO39061" s="43"/>
    </row>
    <row r="39062" spans="65:67" ht="18.75" customHeight="1">
      <c r="BM39062" s="1025"/>
      <c r="BO39062" s="43"/>
    </row>
    <row r="39063" spans="65:67" ht="18.75" customHeight="1">
      <c r="BM39063" s="1025"/>
      <c r="BO39063" s="43"/>
    </row>
    <row r="39064" spans="65:67" ht="18.75" customHeight="1">
      <c r="BM39064" s="1025"/>
      <c r="BO39064" s="43"/>
    </row>
    <row r="39065" spans="65:67" ht="18.75" customHeight="1">
      <c r="BM39065" s="1025"/>
      <c r="BO39065" s="43"/>
    </row>
    <row r="39066" spans="65:67" ht="18.75" customHeight="1">
      <c r="BM39066" s="1025"/>
      <c r="BO39066" s="43"/>
    </row>
    <row r="39067" spans="65:67" ht="18.75" customHeight="1">
      <c r="BM39067" s="1025"/>
      <c r="BO39067" s="43"/>
    </row>
    <row r="39068" spans="65:67" ht="18.75" customHeight="1">
      <c r="BM39068" s="1025"/>
      <c r="BO39068" s="43"/>
    </row>
    <row r="39069" spans="65:67" ht="18.75" customHeight="1">
      <c r="BM39069" s="1025"/>
      <c r="BO39069" s="43"/>
    </row>
    <row r="39070" spans="65:67" ht="18.75" customHeight="1">
      <c r="BM39070" s="1025"/>
      <c r="BO39070" s="43"/>
    </row>
    <row r="39071" spans="65:67" ht="18.75" customHeight="1">
      <c r="BM39071" s="1025"/>
      <c r="BO39071" s="43"/>
    </row>
    <row r="39072" spans="65:67" ht="18.75" customHeight="1">
      <c r="BM39072" s="1025"/>
      <c r="BO39072" s="43"/>
    </row>
    <row r="39073" spans="65:67" ht="18.75" customHeight="1">
      <c r="BM39073" s="1025"/>
      <c r="BO39073" s="43"/>
    </row>
    <row r="39074" spans="65:67" ht="18.75" customHeight="1">
      <c r="BM39074" s="1025"/>
      <c r="BO39074" s="43"/>
    </row>
    <row r="39075" spans="65:67" ht="18.75" customHeight="1">
      <c r="BM39075" s="1025"/>
      <c r="BO39075" s="43"/>
    </row>
    <row r="39076" spans="65:67" ht="18.75" customHeight="1">
      <c r="BM39076" s="1025"/>
      <c r="BO39076" s="43"/>
    </row>
    <row r="39077" spans="65:67" ht="18.75" customHeight="1">
      <c r="BM39077" s="1025"/>
      <c r="BO39077" s="43"/>
    </row>
    <row r="39078" spans="65:67" ht="18.75" customHeight="1">
      <c r="BM39078" s="1025"/>
      <c r="BO39078" s="43"/>
    </row>
    <row r="39079" spans="65:67" ht="18.75" customHeight="1">
      <c r="BM39079" s="1025"/>
      <c r="BO39079" s="43"/>
    </row>
    <row r="39080" spans="65:67" ht="18.75" customHeight="1">
      <c r="BM39080" s="1025"/>
      <c r="BO39080" s="43"/>
    </row>
    <row r="39081" spans="65:67" ht="18.75" customHeight="1">
      <c r="BM39081" s="1025"/>
      <c r="BO39081" s="43"/>
    </row>
    <row r="39082" spans="65:67" ht="18.75" customHeight="1">
      <c r="BM39082" s="1025"/>
      <c r="BO39082" s="43"/>
    </row>
    <row r="39083" spans="65:67" ht="18.75" customHeight="1">
      <c r="BM39083" s="1025"/>
      <c r="BO39083" s="43"/>
    </row>
    <row r="39084" spans="65:67" ht="18.75" customHeight="1">
      <c r="BM39084" s="1025"/>
      <c r="BO39084" s="43"/>
    </row>
    <row r="39085" spans="65:67" ht="18.75" customHeight="1">
      <c r="BM39085" s="1025"/>
      <c r="BO39085" s="43"/>
    </row>
    <row r="39086" spans="65:67" ht="18.75" customHeight="1">
      <c r="BM39086" s="1025"/>
      <c r="BO39086" s="43"/>
    </row>
    <row r="39087" spans="65:67" ht="18.75" customHeight="1">
      <c r="BM39087" s="1025"/>
      <c r="BO39087" s="43"/>
    </row>
    <row r="39088" spans="65:67" ht="18.75" customHeight="1">
      <c r="BM39088" s="1025"/>
      <c r="BO39088" s="43"/>
    </row>
    <row r="39089" spans="65:67" ht="18.75" customHeight="1">
      <c r="BM39089" s="1025"/>
      <c r="BO39089" s="43"/>
    </row>
    <row r="39090" spans="65:67" ht="18.75" customHeight="1">
      <c r="BM39090" s="1025"/>
      <c r="BO39090" s="43"/>
    </row>
    <row r="39091" spans="65:67" ht="18.75" customHeight="1">
      <c r="BM39091" s="1025"/>
      <c r="BO39091" s="43"/>
    </row>
    <row r="39092" spans="65:67" ht="18.75" customHeight="1">
      <c r="BM39092" s="1025"/>
      <c r="BO39092" s="43"/>
    </row>
    <row r="39093" spans="65:67" ht="18.75" customHeight="1">
      <c r="BM39093" s="1025"/>
      <c r="BO39093" s="43"/>
    </row>
    <row r="39094" spans="65:67" ht="18.75" customHeight="1">
      <c r="BM39094" s="1025"/>
      <c r="BO39094" s="43"/>
    </row>
    <row r="39095" spans="65:67" ht="18.75" customHeight="1">
      <c r="BM39095" s="1025"/>
      <c r="BO39095" s="43"/>
    </row>
    <row r="39096" spans="65:67" ht="18.75" customHeight="1">
      <c r="BM39096" s="1025"/>
      <c r="BO39096" s="43"/>
    </row>
    <row r="39097" spans="65:67" ht="18.75" customHeight="1">
      <c r="BM39097" s="1025"/>
      <c r="BO39097" s="43"/>
    </row>
    <row r="39098" spans="65:67" ht="18.75" customHeight="1">
      <c r="BM39098" s="1025"/>
      <c r="BO39098" s="43"/>
    </row>
    <row r="39099" spans="65:67" ht="18.75" customHeight="1">
      <c r="BM39099" s="1025"/>
      <c r="BO39099" s="43"/>
    </row>
    <row r="39100" spans="65:67" ht="18.75" customHeight="1">
      <c r="BM39100" s="1025"/>
      <c r="BO39100" s="43"/>
    </row>
    <row r="39101" spans="65:67" ht="18.75" customHeight="1">
      <c r="BM39101" s="1025"/>
      <c r="BO39101" s="43"/>
    </row>
    <row r="39102" spans="65:67" ht="18.75" customHeight="1">
      <c r="BM39102" s="1025"/>
      <c r="BO39102" s="43"/>
    </row>
    <row r="39103" spans="65:67" ht="18.75" customHeight="1">
      <c r="BM39103" s="1025"/>
      <c r="BO39103" s="43"/>
    </row>
    <row r="39104" spans="65:67" ht="18.75" customHeight="1">
      <c r="BM39104" s="1025"/>
      <c r="BO39104" s="43"/>
    </row>
    <row r="39105" spans="65:67" ht="18.75" customHeight="1">
      <c r="BM39105" s="1025"/>
      <c r="BO39105" s="43"/>
    </row>
    <row r="39106" spans="65:67" ht="18.75" customHeight="1">
      <c r="BM39106" s="1025"/>
      <c r="BO39106" s="43"/>
    </row>
    <row r="39107" spans="65:67" ht="18.75" customHeight="1">
      <c r="BM39107" s="1025"/>
      <c r="BO39107" s="43"/>
    </row>
    <row r="39108" spans="65:67" ht="18.75" customHeight="1">
      <c r="BM39108" s="1025"/>
      <c r="BO39108" s="43"/>
    </row>
    <row r="39109" spans="65:67" ht="18.75" customHeight="1">
      <c r="BM39109" s="1025"/>
      <c r="BO39109" s="43"/>
    </row>
    <row r="39110" spans="65:67" ht="18.75" customHeight="1">
      <c r="BM39110" s="1025"/>
      <c r="BO39110" s="43"/>
    </row>
    <row r="39111" spans="65:67" ht="18.75" customHeight="1">
      <c r="BM39111" s="1025"/>
      <c r="BO39111" s="43"/>
    </row>
    <row r="39112" spans="65:67" ht="18.75" customHeight="1">
      <c r="BM39112" s="1025"/>
      <c r="BO39112" s="43"/>
    </row>
    <row r="39113" spans="65:67" ht="18.75" customHeight="1">
      <c r="BM39113" s="1025"/>
      <c r="BO39113" s="43"/>
    </row>
    <row r="39114" spans="65:67" ht="18.75" customHeight="1">
      <c r="BM39114" s="1025"/>
      <c r="BO39114" s="43"/>
    </row>
    <row r="39115" spans="65:67" ht="18.75" customHeight="1">
      <c r="BM39115" s="1025"/>
      <c r="BO39115" s="43"/>
    </row>
    <row r="39116" spans="65:67" ht="18.75" customHeight="1">
      <c r="BM39116" s="1025"/>
      <c r="BO39116" s="43"/>
    </row>
    <row r="39117" spans="65:67" ht="18.75" customHeight="1">
      <c r="BM39117" s="1025"/>
      <c r="BO39117" s="43"/>
    </row>
    <row r="39118" spans="65:67" ht="18.75" customHeight="1">
      <c r="BM39118" s="1025"/>
      <c r="BO39118" s="43"/>
    </row>
    <row r="39119" spans="65:67" ht="18.75" customHeight="1">
      <c r="BM39119" s="1025"/>
      <c r="BO39119" s="43"/>
    </row>
    <row r="39120" spans="65:67" ht="18.75" customHeight="1">
      <c r="BM39120" s="1025"/>
      <c r="BO39120" s="43"/>
    </row>
    <row r="39121" spans="65:67" ht="18.75" customHeight="1">
      <c r="BM39121" s="1025"/>
      <c r="BO39121" s="43"/>
    </row>
    <row r="39122" spans="65:67" ht="18.75" customHeight="1">
      <c r="BM39122" s="1025"/>
      <c r="BO39122" s="43"/>
    </row>
    <row r="39123" spans="65:67" ht="18.75" customHeight="1">
      <c r="BM39123" s="1025"/>
      <c r="BO39123" s="43"/>
    </row>
    <row r="39124" spans="65:67" ht="18.75" customHeight="1">
      <c r="BM39124" s="1025"/>
      <c r="BO39124" s="43"/>
    </row>
    <row r="39125" spans="65:67" ht="18.75" customHeight="1">
      <c r="BM39125" s="1025"/>
      <c r="BO39125" s="43"/>
    </row>
    <row r="39126" spans="65:67" ht="18.75" customHeight="1">
      <c r="BM39126" s="1025"/>
      <c r="BO39126" s="43"/>
    </row>
    <row r="39127" spans="65:67" ht="18.75" customHeight="1">
      <c r="BM39127" s="1025"/>
      <c r="BO39127" s="43"/>
    </row>
    <row r="39128" spans="65:67" ht="18.75" customHeight="1">
      <c r="BM39128" s="1025"/>
      <c r="BO39128" s="43"/>
    </row>
    <row r="39129" spans="65:67" ht="18.75" customHeight="1">
      <c r="BM39129" s="1025"/>
      <c r="BO39129" s="43"/>
    </row>
    <row r="39130" spans="65:67" ht="18.75" customHeight="1">
      <c r="BM39130" s="1025"/>
      <c r="BO39130" s="43"/>
    </row>
    <row r="39131" spans="65:67" ht="18.75" customHeight="1">
      <c r="BM39131" s="1025"/>
      <c r="BO39131" s="43"/>
    </row>
    <row r="39132" spans="65:67" ht="18.75" customHeight="1">
      <c r="BM39132" s="1025"/>
      <c r="BO39132" s="43"/>
    </row>
    <row r="39133" spans="65:67" ht="18.75" customHeight="1">
      <c r="BM39133" s="1025"/>
      <c r="BO39133" s="43"/>
    </row>
    <row r="39134" spans="65:67" ht="18.75" customHeight="1">
      <c r="BM39134" s="1025"/>
      <c r="BO39134" s="43"/>
    </row>
    <row r="39135" spans="65:67" ht="18.75" customHeight="1">
      <c r="BM39135" s="1025"/>
      <c r="BO39135" s="43"/>
    </row>
    <row r="39136" spans="65:67" ht="18.75" customHeight="1">
      <c r="BM39136" s="1025"/>
      <c r="BO39136" s="43"/>
    </row>
    <row r="39137" spans="65:67" ht="18.75" customHeight="1">
      <c r="BM39137" s="1025"/>
      <c r="BO39137" s="43"/>
    </row>
    <row r="39138" spans="65:67" ht="18.75" customHeight="1">
      <c r="BM39138" s="1025"/>
      <c r="BO39138" s="43"/>
    </row>
    <row r="39139" spans="65:67" ht="18.75" customHeight="1">
      <c r="BM39139" s="1025"/>
      <c r="BO39139" s="43"/>
    </row>
    <row r="39140" spans="65:67" ht="18.75" customHeight="1">
      <c r="BM39140" s="1025"/>
      <c r="BO39140" s="43"/>
    </row>
    <row r="39141" spans="65:67" ht="18.75" customHeight="1">
      <c r="BM39141" s="1025"/>
      <c r="BO39141" s="43"/>
    </row>
    <row r="39142" spans="65:67" ht="18.75" customHeight="1">
      <c r="BM39142" s="1025"/>
      <c r="BO39142" s="43"/>
    </row>
    <row r="39143" spans="65:67" ht="18.75" customHeight="1">
      <c r="BM39143" s="1025"/>
      <c r="BO39143" s="43"/>
    </row>
    <row r="39144" spans="65:67" ht="18.75" customHeight="1">
      <c r="BM39144" s="1025"/>
      <c r="BO39144" s="43"/>
    </row>
    <row r="39145" spans="65:67" ht="18.75" customHeight="1">
      <c r="BM39145" s="1025"/>
      <c r="BO39145" s="43"/>
    </row>
    <row r="39146" spans="65:67" ht="18.75" customHeight="1">
      <c r="BM39146" s="1025"/>
      <c r="BO39146" s="43"/>
    </row>
    <row r="39147" spans="65:67" ht="18.75" customHeight="1">
      <c r="BM39147" s="1025"/>
      <c r="BO39147" s="43"/>
    </row>
    <row r="39148" spans="65:67" ht="18.75" customHeight="1">
      <c r="BM39148" s="1025"/>
      <c r="BO39148" s="43"/>
    </row>
    <row r="39149" spans="65:67" ht="18.75" customHeight="1">
      <c r="BM39149" s="1025"/>
      <c r="BO39149" s="43"/>
    </row>
    <row r="39150" spans="65:67" ht="18.75" customHeight="1">
      <c r="BM39150" s="1025"/>
      <c r="BO39150" s="43"/>
    </row>
    <row r="39151" spans="65:67" ht="18.75" customHeight="1">
      <c r="BM39151" s="1025"/>
      <c r="BO39151" s="43"/>
    </row>
    <row r="39152" spans="65:67" ht="18.75" customHeight="1">
      <c r="BM39152" s="1025"/>
      <c r="BO39152" s="43"/>
    </row>
    <row r="39153" spans="65:67" ht="18.75" customHeight="1">
      <c r="BM39153" s="1025"/>
      <c r="BO39153" s="43"/>
    </row>
    <row r="39154" spans="65:67" ht="18.75" customHeight="1">
      <c r="BM39154" s="1025"/>
      <c r="BO39154" s="43"/>
    </row>
    <row r="39155" spans="65:67" ht="18.75" customHeight="1">
      <c r="BM39155" s="1025"/>
      <c r="BO39155" s="43"/>
    </row>
    <row r="39156" spans="65:67" ht="18.75" customHeight="1">
      <c r="BM39156" s="1025"/>
      <c r="BO39156" s="43"/>
    </row>
    <row r="39157" spans="65:67" ht="18.75" customHeight="1">
      <c r="BM39157" s="1025"/>
      <c r="BO39157" s="43"/>
    </row>
    <row r="39158" spans="65:67" ht="18.75" customHeight="1">
      <c r="BM39158" s="1025"/>
      <c r="BO39158" s="43"/>
    </row>
    <row r="39159" spans="65:67" ht="18.75" customHeight="1">
      <c r="BM39159" s="1025"/>
      <c r="BO39159" s="43"/>
    </row>
    <row r="39160" spans="65:67" ht="18.75" customHeight="1">
      <c r="BM39160" s="1025"/>
      <c r="BO39160" s="43"/>
    </row>
    <row r="39161" spans="65:67" ht="18.75" customHeight="1">
      <c r="BM39161" s="1025"/>
      <c r="BO39161" s="43"/>
    </row>
    <row r="39162" spans="65:67" ht="18.75" customHeight="1">
      <c r="BM39162" s="1025"/>
      <c r="BO39162" s="43"/>
    </row>
    <row r="39163" spans="65:67" ht="18.75" customHeight="1">
      <c r="BM39163" s="1025"/>
      <c r="BO39163" s="43"/>
    </row>
    <row r="39164" spans="65:67" ht="18.75" customHeight="1">
      <c r="BM39164" s="1025"/>
      <c r="BO39164" s="43"/>
    </row>
    <row r="39165" spans="65:67" ht="18.75" customHeight="1">
      <c r="BM39165" s="1025"/>
      <c r="BO39165" s="43"/>
    </row>
    <row r="39166" spans="65:67" ht="18.75" customHeight="1">
      <c r="BM39166" s="1025"/>
      <c r="BO39166" s="43"/>
    </row>
    <row r="39167" spans="65:67" ht="18.75" customHeight="1">
      <c r="BM39167" s="1025"/>
      <c r="BO39167" s="43"/>
    </row>
    <row r="39168" spans="65:67" ht="18.75" customHeight="1">
      <c r="BM39168" s="1025"/>
      <c r="BO39168" s="43"/>
    </row>
    <row r="39169" spans="65:67" ht="18.75" customHeight="1">
      <c r="BM39169" s="1025"/>
      <c r="BO39169" s="43"/>
    </row>
    <row r="39170" spans="65:67" ht="18.75" customHeight="1">
      <c r="BM39170" s="1025"/>
      <c r="BO39170" s="43"/>
    </row>
    <row r="39171" spans="65:67" ht="18.75" customHeight="1">
      <c r="BM39171" s="1025"/>
      <c r="BO39171" s="43"/>
    </row>
    <row r="39172" spans="65:67" ht="18.75" customHeight="1">
      <c r="BM39172" s="1025"/>
      <c r="BO39172" s="43"/>
    </row>
    <row r="39173" spans="65:67" ht="18.75" customHeight="1">
      <c r="BM39173" s="1025"/>
      <c r="BO39173" s="43"/>
    </row>
    <row r="39174" spans="65:67" ht="18.75" customHeight="1">
      <c r="BM39174" s="1025"/>
      <c r="BO39174" s="43"/>
    </row>
    <row r="39175" spans="65:67" ht="18.75" customHeight="1">
      <c r="BM39175" s="1025"/>
      <c r="BO39175" s="43"/>
    </row>
    <row r="39176" spans="65:67" ht="18.75" customHeight="1">
      <c r="BM39176" s="1025"/>
      <c r="BO39176" s="43"/>
    </row>
    <row r="39177" spans="65:67" ht="18.75" customHeight="1">
      <c r="BM39177" s="1025"/>
      <c r="BO39177" s="43"/>
    </row>
    <row r="39178" spans="65:67" ht="18.75" customHeight="1">
      <c r="BM39178" s="1025"/>
      <c r="BO39178" s="43"/>
    </row>
    <row r="39179" spans="65:67" ht="18.75" customHeight="1">
      <c r="BM39179" s="1025"/>
      <c r="BO39179" s="43"/>
    </row>
    <row r="39180" spans="65:67" ht="18.75" customHeight="1">
      <c r="BM39180" s="1025"/>
      <c r="BO39180" s="43"/>
    </row>
    <row r="39181" spans="65:67" ht="18.75" customHeight="1">
      <c r="BM39181" s="1025"/>
      <c r="BO39181" s="43"/>
    </row>
    <row r="39182" spans="65:67" ht="18.75" customHeight="1">
      <c r="BM39182" s="1025"/>
      <c r="BO39182" s="43"/>
    </row>
    <row r="39183" spans="65:67" ht="18.75" customHeight="1">
      <c r="BM39183" s="1025"/>
      <c r="BO39183" s="43"/>
    </row>
    <row r="39184" spans="65:67" ht="18.75" customHeight="1">
      <c r="BM39184" s="1025"/>
      <c r="BO39184" s="43"/>
    </row>
    <row r="39185" spans="65:67" ht="18.75" customHeight="1">
      <c r="BM39185" s="1025"/>
      <c r="BO39185" s="43"/>
    </row>
    <row r="39186" spans="65:67" ht="18.75" customHeight="1">
      <c r="BM39186" s="1025"/>
      <c r="BO39186" s="43"/>
    </row>
    <row r="39187" spans="65:67" ht="18.75" customHeight="1">
      <c r="BM39187" s="1025"/>
      <c r="BO39187" s="43"/>
    </row>
    <row r="39188" spans="65:67" ht="18.75" customHeight="1">
      <c r="BM39188" s="1025"/>
      <c r="BO39188" s="43"/>
    </row>
    <row r="39189" spans="65:67" ht="18.75" customHeight="1">
      <c r="BM39189" s="1025"/>
      <c r="BO39189" s="43"/>
    </row>
    <row r="39190" spans="65:67" ht="18.75" customHeight="1">
      <c r="BM39190" s="1025"/>
      <c r="BO39190" s="43"/>
    </row>
    <row r="39191" spans="65:67" ht="18.75" customHeight="1">
      <c r="BM39191" s="1025"/>
      <c r="BO39191" s="43"/>
    </row>
    <row r="39192" spans="65:67" ht="18.75" customHeight="1">
      <c r="BM39192" s="1025"/>
      <c r="BO39192" s="43"/>
    </row>
    <row r="39193" spans="65:67" ht="18.75" customHeight="1">
      <c r="BM39193" s="1025"/>
      <c r="BO39193" s="43"/>
    </row>
    <row r="39194" spans="65:67" ht="18.75" customHeight="1">
      <c r="BM39194" s="1025"/>
      <c r="BO39194" s="43"/>
    </row>
    <row r="39195" spans="65:67" ht="18.75" customHeight="1">
      <c r="BM39195" s="1025"/>
      <c r="BO39195" s="43"/>
    </row>
    <row r="39196" spans="65:67" ht="18.75" customHeight="1">
      <c r="BM39196" s="1025"/>
      <c r="BO39196" s="43"/>
    </row>
    <row r="39197" spans="65:67" ht="18.75" customHeight="1">
      <c r="BM39197" s="1025"/>
      <c r="BO39197" s="43"/>
    </row>
    <row r="39198" spans="65:67" ht="18.75" customHeight="1">
      <c r="BM39198" s="1025"/>
      <c r="BO39198" s="43"/>
    </row>
    <row r="39199" spans="65:67" ht="18.75" customHeight="1">
      <c r="BM39199" s="1025"/>
      <c r="BO39199" s="43"/>
    </row>
    <row r="39200" spans="65:67" ht="18.75" customHeight="1">
      <c r="BM39200" s="1025"/>
      <c r="BO39200" s="43"/>
    </row>
    <row r="39201" spans="65:67" ht="18.75" customHeight="1">
      <c r="BM39201" s="1025"/>
      <c r="BO39201" s="43"/>
    </row>
    <row r="39202" spans="65:67" ht="18.75" customHeight="1">
      <c r="BM39202" s="1025"/>
      <c r="BO39202" s="43"/>
    </row>
    <row r="39203" spans="65:67" ht="18.75" customHeight="1">
      <c r="BM39203" s="1025"/>
      <c r="BO39203" s="43"/>
    </row>
    <row r="39204" spans="65:67" ht="18.75" customHeight="1">
      <c r="BM39204" s="1025"/>
      <c r="BO39204" s="43"/>
    </row>
    <row r="39205" spans="65:67" ht="18.75" customHeight="1">
      <c r="BM39205" s="1025"/>
      <c r="BO39205" s="43"/>
    </row>
    <row r="39206" spans="65:67" ht="18.75" customHeight="1">
      <c r="BM39206" s="1025"/>
      <c r="BO39206" s="43"/>
    </row>
    <row r="39207" spans="65:67" ht="18.75" customHeight="1">
      <c r="BM39207" s="1025"/>
      <c r="BO39207" s="43"/>
    </row>
    <row r="39208" spans="65:67" ht="18.75" customHeight="1">
      <c r="BM39208" s="1025"/>
      <c r="BO39208" s="43"/>
    </row>
    <row r="39209" spans="65:67" ht="18.75" customHeight="1">
      <c r="BM39209" s="1025"/>
      <c r="BO39209" s="43"/>
    </row>
    <row r="39210" spans="65:67" ht="18.75" customHeight="1">
      <c r="BM39210" s="1025"/>
      <c r="BO39210" s="43"/>
    </row>
    <row r="39211" spans="65:67" ht="18.75" customHeight="1">
      <c r="BM39211" s="1025"/>
      <c r="BO39211" s="43"/>
    </row>
    <row r="39212" spans="65:67" ht="18.75" customHeight="1">
      <c r="BM39212" s="1025"/>
      <c r="BO39212" s="43"/>
    </row>
    <row r="39213" spans="65:67" ht="18.75" customHeight="1">
      <c r="BM39213" s="1025"/>
      <c r="BO39213" s="43"/>
    </row>
    <row r="39214" spans="65:67" ht="18.75" customHeight="1">
      <c r="BM39214" s="1025"/>
      <c r="BO39214" s="43"/>
    </row>
    <row r="39215" spans="65:67" ht="18.75" customHeight="1">
      <c r="BM39215" s="1025"/>
      <c r="BO39215" s="43"/>
    </row>
    <row r="39216" spans="65:67" ht="18.75" customHeight="1">
      <c r="BM39216" s="1025"/>
      <c r="BO39216" s="43"/>
    </row>
    <row r="39217" spans="65:67" ht="18.75" customHeight="1">
      <c r="BM39217" s="1025"/>
      <c r="BO39217" s="43"/>
    </row>
    <row r="39218" spans="65:67" ht="18.75" customHeight="1">
      <c r="BM39218" s="1025"/>
      <c r="BO39218" s="43"/>
    </row>
    <row r="39219" spans="65:67" ht="18.75" customHeight="1">
      <c r="BM39219" s="1025"/>
      <c r="BO39219" s="43"/>
    </row>
    <row r="39220" spans="65:67" ht="18.75" customHeight="1">
      <c r="BM39220" s="1025"/>
      <c r="BO39220" s="43"/>
    </row>
    <row r="39221" spans="65:67" ht="18.75" customHeight="1">
      <c r="BM39221" s="1025"/>
      <c r="BO39221" s="43"/>
    </row>
    <row r="39222" spans="65:67" ht="18.75" customHeight="1">
      <c r="BM39222" s="1025"/>
      <c r="BO39222" s="43"/>
    </row>
    <row r="39223" spans="65:67" ht="18.75" customHeight="1">
      <c r="BM39223" s="1025"/>
      <c r="BO39223" s="43"/>
    </row>
    <row r="39224" spans="65:67" ht="18.75" customHeight="1">
      <c r="BM39224" s="1025"/>
      <c r="BO39224" s="43"/>
    </row>
    <row r="39225" spans="65:67" ht="18.75" customHeight="1">
      <c r="BM39225" s="1025"/>
      <c r="BO39225" s="43"/>
    </row>
    <row r="39226" spans="65:67" ht="18.75" customHeight="1">
      <c r="BM39226" s="1025"/>
      <c r="BO39226" s="43"/>
    </row>
    <row r="39227" spans="65:67" ht="18.75" customHeight="1">
      <c r="BM39227" s="1025"/>
      <c r="BO39227" s="43"/>
    </row>
    <row r="39228" spans="65:67" ht="18.75" customHeight="1">
      <c r="BM39228" s="1025"/>
      <c r="BO39228" s="43"/>
    </row>
    <row r="39229" spans="65:67" ht="18.75" customHeight="1">
      <c r="BM39229" s="1025"/>
      <c r="BO39229" s="43"/>
    </row>
    <row r="39230" spans="65:67" ht="18.75" customHeight="1">
      <c r="BM39230" s="1025"/>
      <c r="BO39230" s="43"/>
    </row>
    <row r="39231" spans="65:67" ht="18.75" customHeight="1">
      <c r="BM39231" s="1025"/>
      <c r="BO39231" s="43"/>
    </row>
    <row r="39232" spans="65:67" ht="18.75" customHeight="1">
      <c r="BM39232" s="1025"/>
      <c r="BO39232" s="43"/>
    </row>
    <row r="39233" spans="65:67" ht="18.75" customHeight="1">
      <c r="BM39233" s="1025"/>
      <c r="BO39233" s="43"/>
    </row>
    <row r="39234" spans="65:67" ht="18.75" customHeight="1">
      <c r="BM39234" s="1025"/>
      <c r="BO39234" s="43"/>
    </row>
    <row r="39235" spans="65:67" ht="18.75" customHeight="1">
      <c r="BM39235" s="1025"/>
      <c r="BO39235" s="43"/>
    </row>
    <row r="39236" spans="65:67" ht="18.75" customHeight="1">
      <c r="BM39236" s="1025"/>
      <c r="BO39236" s="43"/>
    </row>
    <row r="39237" spans="65:67" ht="18.75" customHeight="1">
      <c r="BM39237" s="1025"/>
      <c r="BO39237" s="43"/>
    </row>
    <row r="39238" spans="65:67" ht="18.75" customHeight="1">
      <c r="BM39238" s="1025"/>
      <c r="BO39238" s="43"/>
    </row>
    <row r="39239" spans="65:67" ht="18.75" customHeight="1">
      <c r="BM39239" s="1025"/>
      <c r="BO39239" s="43"/>
    </row>
    <row r="39240" spans="65:67" ht="18.75" customHeight="1">
      <c r="BM39240" s="1025"/>
      <c r="BO39240" s="43"/>
    </row>
    <row r="39241" spans="65:67" ht="18.75" customHeight="1">
      <c r="BM39241" s="1025"/>
      <c r="BO39241" s="43"/>
    </row>
    <row r="39242" spans="65:67" ht="18.75" customHeight="1">
      <c r="BM39242" s="1025"/>
      <c r="BO39242" s="43"/>
    </row>
    <row r="39243" spans="65:67" ht="18.75" customHeight="1">
      <c r="BM39243" s="1025"/>
      <c r="BO39243" s="43"/>
    </row>
    <row r="39244" spans="65:67" ht="18.75" customHeight="1">
      <c r="BM39244" s="1025"/>
      <c r="BO39244" s="43"/>
    </row>
    <row r="39245" spans="65:67" ht="18.75" customHeight="1">
      <c r="BM39245" s="1025"/>
      <c r="BO39245" s="43"/>
    </row>
    <row r="39246" spans="65:67" ht="18.75" customHeight="1">
      <c r="BM39246" s="1025"/>
      <c r="BO39246" s="43"/>
    </row>
    <row r="39247" spans="65:67" ht="18.75" customHeight="1">
      <c r="BM39247" s="1025"/>
      <c r="BO39247" s="43"/>
    </row>
    <row r="39248" spans="65:67" ht="18.75" customHeight="1">
      <c r="BM39248" s="1025"/>
      <c r="BO39248" s="43"/>
    </row>
    <row r="39249" spans="65:67" ht="18.75" customHeight="1">
      <c r="BM39249" s="1025"/>
      <c r="BO39249" s="43"/>
    </row>
    <row r="39250" spans="65:67" ht="18.75" customHeight="1">
      <c r="BM39250" s="1025"/>
      <c r="BO39250" s="43"/>
    </row>
    <row r="39251" spans="65:67" ht="18.75" customHeight="1">
      <c r="BM39251" s="1025"/>
      <c r="BO39251" s="43"/>
    </row>
    <row r="39252" spans="65:67" ht="18.75" customHeight="1">
      <c r="BM39252" s="1025"/>
      <c r="BO39252" s="43"/>
    </row>
    <row r="39253" spans="65:67" ht="18.75" customHeight="1">
      <c r="BM39253" s="1025"/>
      <c r="BO39253" s="43"/>
    </row>
    <row r="39254" spans="65:67" ht="18.75" customHeight="1">
      <c r="BM39254" s="1025"/>
      <c r="BO39254" s="43"/>
    </row>
    <row r="39255" spans="65:67" ht="18.75" customHeight="1">
      <c r="BM39255" s="1025"/>
      <c r="BO39255" s="43"/>
    </row>
    <row r="39256" spans="65:67" ht="18.75" customHeight="1">
      <c r="BM39256" s="1025"/>
      <c r="BO39256" s="43"/>
    </row>
    <row r="39257" spans="65:67" ht="18.75" customHeight="1">
      <c r="BM39257" s="1025"/>
      <c r="BO39257" s="43"/>
    </row>
    <row r="39258" spans="65:67" ht="18.75" customHeight="1">
      <c r="BM39258" s="1025"/>
      <c r="BO39258" s="43"/>
    </row>
    <row r="39259" spans="65:67" ht="18.75" customHeight="1">
      <c r="BM39259" s="1025"/>
      <c r="BO39259" s="43"/>
    </row>
    <row r="39260" spans="65:67" ht="18.75" customHeight="1">
      <c r="BM39260" s="1025"/>
      <c r="BO39260" s="43"/>
    </row>
    <row r="39261" spans="65:67" ht="18.75" customHeight="1">
      <c r="BM39261" s="1025"/>
      <c r="BO39261" s="43"/>
    </row>
    <row r="39262" spans="65:67" ht="18.75" customHeight="1">
      <c r="BM39262" s="1025"/>
      <c r="BO39262" s="43"/>
    </row>
    <row r="39263" spans="65:67" ht="18.75" customHeight="1">
      <c r="BM39263" s="1025"/>
      <c r="BO39263" s="43"/>
    </row>
    <row r="39264" spans="65:67" ht="18.75" customHeight="1">
      <c r="BM39264" s="1025"/>
      <c r="BO39264" s="43"/>
    </row>
    <row r="39265" spans="65:67" ht="18.75" customHeight="1">
      <c r="BM39265" s="1025"/>
      <c r="BO39265" s="43"/>
    </row>
    <row r="39266" spans="65:67" ht="18.75" customHeight="1">
      <c r="BM39266" s="1025"/>
      <c r="BO39266" s="43"/>
    </row>
    <row r="39267" spans="65:67" ht="18.75" customHeight="1">
      <c r="BM39267" s="1025"/>
      <c r="BO39267" s="43"/>
    </row>
    <row r="39268" spans="65:67" ht="18.75" customHeight="1">
      <c r="BM39268" s="1025"/>
      <c r="BO39268" s="43"/>
    </row>
    <row r="39269" spans="65:67" ht="18.75" customHeight="1">
      <c r="BM39269" s="1025"/>
      <c r="BO39269" s="43"/>
    </row>
    <row r="39270" spans="65:67" ht="18.75" customHeight="1">
      <c r="BM39270" s="1025"/>
      <c r="BO39270" s="43"/>
    </row>
    <row r="39271" spans="65:67" ht="18.75" customHeight="1">
      <c r="BM39271" s="1025"/>
      <c r="BO39271" s="43"/>
    </row>
    <row r="39272" spans="65:67" ht="18.75" customHeight="1">
      <c r="BM39272" s="1025"/>
      <c r="BO39272" s="43"/>
    </row>
    <row r="39273" spans="65:67" ht="18.75" customHeight="1">
      <c r="BM39273" s="1025"/>
      <c r="BO39273" s="43"/>
    </row>
    <row r="39274" spans="65:67" ht="18.75" customHeight="1">
      <c r="BM39274" s="1025"/>
      <c r="BO39274" s="43"/>
    </row>
    <row r="39275" spans="65:67" ht="18.75" customHeight="1">
      <c r="BM39275" s="1025"/>
      <c r="BO39275" s="43"/>
    </row>
    <row r="39276" spans="65:67" ht="18.75" customHeight="1">
      <c r="BM39276" s="1025"/>
      <c r="BO39276" s="43"/>
    </row>
    <row r="39277" spans="65:67" ht="18.75" customHeight="1">
      <c r="BM39277" s="1025"/>
      <c r="BO39277" s="43"/>
    </row>
    <row r="39278" spans="65:67" ht="18.75" customHeight="1">
      <c r="BM39278" s="1025"/>
      <c r="BO39278" s="43"/>
    </row>
    <row r="39279" spans="65:67" ht="18.75" customHeight="1">
      <c r="BM39279" s="1025"/>
      <c r="BO39279" s="43"/>
    </row>
    <row r="39280" spans="65:67" ht="18.75" customHeight="1">
      <c r="BM39280" s="1025"/>
      <c r="BO39280" s="43"/>
    </row>
    <row r="39281" spans="65:67" ht="18.75" customHeight="1">
      <c r="BM39281" s="1025"/>
      <c r="BO39281" s="43"/>
    </row>
    <row r="39282" spans="65:67" ht="18.75" customHeight="1">
      <c r="BM39282" s="1025"/>
      <c r="BO39282" s="43"/>
    </row>
    <row r="39283" spans="65:67" ht="18.75" customHeight="1">
      <c r="BM39283" s="1025"/>
      <c r="BO39283" s="43"/>
    </row>
    <row r="39284" spans="65:67" ht="18.75" customHeight="1">
      <c r="BM39284" s="1025"/>
      <c r="BO39284" s="43"/>
    </row>
    <row r="39285" spans="65:67" ht="18.75" customHeight="1">
      <c r="BM39285" s="1025"/>
      <c r="BO39285" s="43"/>
    </row>
    <row r="39286" spans="65:67" ht="18.75" customHeight="1">
      <c r="BM39286" s="1025"/>
      <c r="BO39286" s="43"/>
    </row>
    <row r="39287" spans="65:67" ht="18.75" customHeight="1">
      <c r="BM39287" s="1025"/>
      <c r="BO39287" s="43"/>
    </row>
    <row r="39288" spans="65:67" ht="18.75" customHeight="1">
      <c r="BM39288" s="1025"/>
      <c r="BO39288" s="43"/>
    </row>
    <row r="39289" spans="65:67" ht="18.75" customHeight="1">
      <c r="BM39289" s="1025"/>
      <c r="BO39289" s="43"/>
    </row>
    <row r="39290" spans="65:67" ht="18.75" customHeight="1">
      <c r="BM39290" s="1025"/>
      <c r="BO39290" s="43"/>
    </row>
    <row r="39291" spans="65:67" ht="18.75" customHeight="1">
      <c r="BM39291" s="1025"/>
      <c r="BO39291" s="43"/>
    </row>
    <row r="39292" spans="65:67" ht="18.75" customHeight="1">
      <c r="BM39292" s="1025"/>
      <c r="BO39292" s="43"/>
    </row>
    <row r="39293" spans="65:67" ht="18.75" customHeight="1">
      <c r="BM39293" s="1025"/>
      <c r="BO39293" s="43"/>
    </row>
    <row r="39294" spans="65:67" ht="18.75" customHeight="1">
      <c r="BM39294" s="1025"/>
      <c r="BO39294" s="43"/>
    </row>
    <row r="39295" spans="65:67" ht="18.75" customHeight="1">
      <c r="BM39295" s="1025"/>
      <c r="BO39295" s="43"/>
    </row>
    <row r="39296" spans="65:67" ht="18.75" customHeight="1">
      <c r="BM39296" s="1025"/>
      <c r="BO39296" s="43"/>
    </row>
    <row r="39297" spans="65:67" ht="18.75" customHeight="1">
      <c r="BM39297" s="1025"/>
      <c r="BO39297" s="43"/>
    </row>
    <row r="39298" spans="65:67" ht="18.75" customHeight="1">
      <c r="BM39298" s="1025"/>
      <c r="BO39298" s="43"/>
    </row>
    <row r="39299" spans="65:67" ht="18.75" customHeight="1">
      <c r="BM39299" s="1025"/>
      <c r="BO39299" s="43"/>
    </row>
    <row r="39300" spans="65:67" ht="18.75" customHeight="1">
      <c r="BM39300" s="1025"/>
      <c r="BO39300" s="43"/>
    </row>
    <row r="39301" spans="65:67" ht="18.75" customHeight="1">
      <c r="BM39301" s="1025"/>
      <c r="BO39301" s="43"/>
    </row>
    <row r="39302" spans="65:67" ht="18.75" customHeight="1">
      <c r="BM39302" s="1025"/>
      <c r="BO39302" s="43"/>
    </row>
    <row r="39303" spans="65:67" ht="18.75" customHeight="1">
      <c r="BM39303" s="1025"/>
      <c r="BO39303" s="43"/>
    </row>
    <row r="39304" spans="65:67" ht="18.75" customHeight="1">
      <c r="BM39304" s="1025"/>
      <c r="BO39304" s="43"/>
    </row>
    <row r="39305" spans="65:67" ht="18.75" customHeight="1">
      <c r="BM39305" s="1025"/>
      <c r="BO39305" s="43"/>
    </row>
    <row r="39306" spans="65:67" ht="18.75" customHeight="1">
      <c r="BM39306" s="1025"/>
      <c r="BO39306" s="43"/>
    </row>
    <row r="39307" spans="65:67" ht="18.75" customHeight="1">
      <c r="BM39307" s="1025"/>
      <c r="BO39307" s="43"/>
    </row>
    <row r="39308" spans="65:67" ht="18.75" customHeight="1">
      <c r="BM39308" s="1025"/>
      <c r="BO39308" s="43"/>
    </row>
    <row r="39309" spans="65:67" ht="18.75" customHeight="1">
      <c r="BM39309" s="1025"/>
      <c r="BO39309" s="43"/>
    </row>
    <row r="39310" spans="65:67" ht="18.75" customHeight="1">
      <c r="BM39310" s="1025"/>
      <c r="BO39310" s="43"/>
    </row>
    <row r="39311" spans="65:67" ht="18.75" customHeight="1">
      <c r="BM39311" s="1025"/>
      <c r="BO39311" s="43"/>
    </row>
    <row r="39312" spans="65:67" ht="18.75" customHeight="1">
      <c r="BM39312" s="1025"/>
      <c r="BO39312" s="43"/>
    </row>
    <row r="39313" spans="65:67" ht="18.75" customHeight="1">
      <c r="BM39313" s="1025"/>
      <c r="BO39313" s="43"/>
    </row>
    <row r="39314" spans="65:67" ht="18.75" customHeight="1">
      <c r="BM39314" s="1025"/>
      <c r="BO39314" s="43"/>
    </row>
    <row r="39315" spans="65:67" ht="18.75" customHeight="1">
      <c r="BM39315" s="1025"/>
      <c r="BO39315" s="43"/>
    </row>
    <row r="39316" spans="65:67" ht="18.75" customHeight="1">
      <c r="BM39316" s="1025"/>
      <c r="BO39316" s="43"/>
    </row>
    <row r="39317" spans="65:67" ht="18.75" customHeight="1">
      <c r="BM39317" s="1025"/>
      <c r="BO39317" s="43"/>
    </row>
    <row r="39318" spans="65:67" ht="18.75" customHeight="1">
      <c r="BM39318" s="1025"/>
      <c r="BO39318" s="43"/>
    </row>
    <row r="39319" spans="65:67" ht="18.75" customHeight="1">
      <c r="BM39319" s="1025"/>
      <c r="BO39319" s="43"/>
    </row>
    <row r="39320" spans="65:67" ht="18.75" customHeight="1">
      <c r="BM39320" s="1025"/>
      <c r="BO39320" s="43"/>
    </row>
    <row r="39321" spans="65:67" ht="18.75" customHeight="1">
      <c r="BM39321" s="1025"/>
      <c r="BO39321" s="43"/>
    </row>
    <row r="39322" spans="65:67" ht="18.75" customHeight="1">
      <c r="BM39322" s="1025"/>
      <c r="BO39322" s="43"/>
    </row>
    <row r="39323" spans="65:67" ht="18.75" customHeight="1">
      <c r="BM39323" s="1025"/>
      <c r="BO39323" s="43"/>
    </row>
    <row r="39324" spans="65:67" ht="18.75" customHeight="1">
      <c r="BM39324" s="1025"/>
      <c r="BO39324" s="43"/>
    </row>
    <row r="39325" spans="65:67" ht="18.75" customHeight="1">
      <c r="BM39325" s="1025"/>
      <c r="BO39325" s="43"/>
    </row>
    <row r="39326" spans="65:67" ht="18.75" customHeight="1">
      <c r="BM39326" s="1025"/>
      <c r="BO39326" s="43"/>
    </row>
    <row r="39327" spans="65:67" ht="18.75" customHeight="1">
      <c r="BM39327" s="1025"/>
      <c r="BO39327" s="43"/>
    </row>
    <row r="39328" spans="65:67" ht="18.75" customHeight="1">
      <c r="BM39328" s="1025"/>
      <c r="BO39328" s="43"/>
    </row>
    <row r="39329" spans="65:67" ht="18.75" customHeight="1">
      <c r="BM39329" s="1025"/>
      <c r="BO39329" s="43"/>
    </row>
    <row r="39330" spans="65:67" ht="18.75" customHeight="1">
      <c r="BM39330" s="1025"/>
      <c r="BO39330" s="43"/>
    </row>
    <row r="39331" spans="65:67" ht="18.75" customHeight="1">
      <c r="BM39331" s="1025"/>
      <c r="BO39331" s="43"/>
    </row>
    <row r="39332" spans="65:67" ht="18.75" customHeight="1">
      <c r="BM39332" s="1025"/>
      <c r="BO39332" s="43"/>
    </row>
    <row r="39333" spans="65:67" ht="18.75" customHeight="1">
      <c r="BM39333" s="1025"/>
      <c r="BO39333" s="43"/>
    </row>
    <row r="39334" spans="65:67" ht="18.75" customHeight="1">
      <c r="BM39334" s="1025"/>
      <c r="BO39334" s="43"/>
    </row>
    <row r="39335" spans="65:67" ht="18.75" customHeight="1">
      <c r="BM39335" s="1025"/>
      <c r="BO39335" s="43"/>
    </row>
    <row r="39336" spans="65:67" ht="18.75" customHeight="1">
      <c r="BM39336" s="1025"/>
      <c r="BO39336" s="43"/>
    </row>
    <row r="39337" spans="65:67" ht="18.75" customHeight="1">
      <c r="BM39337" s="1025"/>
      <c r="BO39337" s="43"/>
    </row>
    <row r="39338" spans="65:67" ht="18.75" customHeight="1">
      <c r="BM39338" s="1025"/>
      <c r="BO39338" s="43"/>
    </row>
    <row r="39339" spans="65:67" ht="18.75" customHeight="1">
      <c r="BM39339" s="1025"/>
      <c r="BO39339" s="43"/>
    </row>
    <row r="39340" spans="65:67" ht="18.75" customHeight="1">
      <c r="BM39340" s="1025"/>
      <c r="BO39340" s="43"/>
    </row>
    <row r="39341" spans="65:67" ht="18.75" customHeight="1">
      <c r="BM39341" s="1025"/>
      <c r="BO39341" s="43"/>
    </row>
    <row r="39342" spans="65:67" ht="18.75" customHeight="1">
      <c r="BM39342" s="1025"/>
      <c r="BO39342" s="43"/>
    </row>
    <row r="39343" spans="65:67" ht="18.75" customHeight="1">
      <c r="BM39343" s="1025"/>
      <c r="BO39343" s="43"/>
    </row>
    <row r="39344" spans="65:67" ht="18.75" customHeight="1">
      <c r="BM39344" s="1025"/>
      <c r="BO39344" s="43"/>
    </row>
    <row r="39345" spans="65:67" ht="18.75" customHeight="1">
      <c r="BM39345" s="1025"/>
      <c r="BO39345" s="43"/>
    </row>
    <row r="39346" spans="65:67" ht="18.75" customHeight="1">
      <c r="BM39346" s="1025"/>
      <c r="BO39346" s="43"/>
    </row>
    <row r="39347" spans="65:67" ht="18.75" customHeight="1">
      <c r="BM39347" s="1025"/>
      <c r="BO39347" s="43"/>
    </row>
    <row r="39348" spans="65:67" ht="18.75" customHeight="1">
      <c r="BM39348" s="1025"/>
      <c r="BO39348" s="43"/>
    </row>
    <row r="39349" spans="65:67" ht="18.75" customHeight="1">
      <c r="BM39349" s="1025"/>
      <c r="BO39349" s="43"/>
    </row>
    <row r="39350" spans="65:67" ht="18.75" customHeight="1">
      <c r="BM39350" s="1025"/>
      <c r="BO39350" s="43"/>
    </row>
    <row r="39351" spans="65:67" ht="18.75" customHeight="1">
      <c r="BM39351" s="1025"/>
      <c r="BO39351" s="43"/>
    </row>
    <row r="39352" spans="65:67" ht="18.75" customHeight="1">
      <c r="BM39352" s="1025"/>
      <c r="BO39352" s="43"/>
    </row>
    <row r="39353" spans="65:67" ht="18.75" customHeight="1">
      <c r="BM39353" s="1025"/>
      <c r="BO39353" s="43"/>
    </row>
    <row r="39354" spans="65:67" ht="18.75" customHeight="1">
      <c r="BM39354" s="1025"/>
      <c r="BO39354" s="43"/>
    </row>
    <row r="39355" spans="65:67" ht="18.75" customHeight="1">
      <c r="BM39355" s="1025"/>
      <c r="BO39355" s="43"/>
    </row>
    <row r="39356" spans="65:67" ht="18.75" customHeight="1">
      <c r="BM39356" s="1025"/>
      <c r="BO39356" s="43"/>
    </row>
    <row r="39357" spans="65:67" ht="18.75" customHeight="1">
      <c r="BM39357" s="1025"/>
      <c r="BO39357" s="43"/>
    </row>
    <row r="39358" spans="65:67" ht="18.75" customHeight="1">
      <c r="BM39358" s="1025"/>
      <c r="BO39358" s="43"/>
    </row>
    <row r="39359" spans="65:67" ht="18.75" customHeight="1">
      <c r="BM39359" s="1025"/>
      <c r="BO39359" s="43"/>
    </row>
    <row r="39360" spans="65:67" ht="18.75" customHeight="1">
      <c r="BM39360" s="1025"/>
      <c r="BO39360" s="43"/>
    </row>
    <row r="39361" spans="65:67" ht="18.75" customHeight="1">
      <c r="BM39361" s="1025"/>
      <c r="BO39361" s="43"/>
    </row>
    <row r="39362" spans="65:67" ht="18.75" customHeight="1">
      <c r="BM39362" s="1025"/>
      <c r="BO39362" s="43"/>
    </row>
    <row r="39363" spans="65:67" ht="18.75" customHeight="1">
      <c r="BM39363" s="1025"/>
      <c r="BO39363" s="43"/>
    </row>
    <row r="39364" spans="65:67" ht="18.75" customHeight="1">
      <c r="BM39364" s="1025"/>
      <c r="BO39364" s="43"/>
    </row>
    <row r="39365" spans="65:67" ht="18.75" customHeight="1">
      <c r="BM39365" s="1025"/>
      <c r="BO39365" s="43"/>
    </row>
    <row r="39366" spans="65:67" ht="18.75" customHeight="1">
      <c r="BM39366" s="1025"/>
      <c r="BO39366" s="43"/>
    </row>
    <row r="39367" spans="65:67" ht="18.75" customHeight="1">
      <c r="BM39367" s="1025"/>
      <c r="BO39367" s="43"/>
    </row>
    <row r="39368" spans="65:67" ht="18.75" customHeight="1">
      <c r="BM39368" s="1025"/>
      <c r="BO39368" s="43"/>
    </row>
    <row r="39369" spans="65:67" ht="18.75" customHeight="1">
      <c r="BM39369" s="1025"/>
      <c r="BO39369" s="43"/>
    </row>
    <row r="39370" spans="65:67" ht="18.75" customHeight="1">
      <c r="BM39370" s="1025"/>
      <c r="BO39370" s="43"/>
    </row>
    <row r="39371" spans="65:67" ht="18.75" customHeight="1">
      <c r="BM39371" s="1025"/>
      <c r="BO39371" s="43"/>
    </row>
    <row r="39372" spans="65:67" ht="18.75" customHeight="1">
      <c r="BM39372" s="1025"/>
      <c r="BO39372" s="43"/>
    </row>
    <row r="39373" spans="65:67" ht="18.75" customHeight="1">
      <c r="BM39373" s="1025"/>
      <c r="BO39373" s="43"/>
    </row>
    <row r="39374" spans="65:67" ht="18.75" customHeight="1">
      <c r="BM39374" s="1025"/>
      <c r="BO39374" s="43"/>
    </row>
    <row r="39375" spans="65:67" ht="18.75" customHeight="1">
      <c r="BM39375" s="1025"/>
      <c r="BO39375" s="43"/>
    </row>
    <row r="39376" spans="65:67" ht="18.75" customHeight="1">
      <c r="BM39376" s="1025"/>
      <c r="BO39376" s="43"/>
    </row>
    <row r="39377" spans="65:67" ht="18.75" customHeight="1">
      <c r="BM39377" s="1025"/>
      <c r="BO39377" s="43"/>
    </row>
    <row r="39378" spans="65:67" ht="18.75" customHeight="1">
      <c r="BM39378" s="1025"/>
      <c r="BO39378" s="43"/>
    </row>
    <row r="39379" spans="65:67" ht="18.75" customHeight="1">
      <c r="BM39379" s="1025"/>
      <c r="BO39379" s="43"/>
    </row>
    <row r="39380" spans="65:67" ht="18.75" customHeight="1">
      <c r="BM39380" s="1025"/>
      <c r="BO39380" s="43"/>
    </row>
    <row r="39381" spans="65:67" ht="18.75" customHeight="1">
      <c r="BM39381" s="1025"/>
      <c r="BO39381" s="43"/>
    </row>
    <row r="39382" spans="65:67" ht="18.75" customHeight="1">
      <c r="BM39382" s="1025"/>
      <c r="BO39382" s="43"/>
    </row>
    <row r="39383" spans="65:67" ht="18.75" customHeight="1">
      <c r="BM39383" s="1025"/>
      <c r="BO39383" s="43"/>
    </row>
    <row r="39384" spans="65:67" ht="18.75" customHeight="1">
      <c r="BM39384" s="1025"/>
      <c r="BO39384" s="43"/>
    </row>
    <row r="39385" spans="65:67" ht="18.75" customHeight="1">
      <c r="BM39385" s="1025"/>
      <c r="BO39385" s="43"/>
    </row>
    <row r="39386" spans="65:67" ht="18.75" customHeight="1">
      <c r="BM39386" s="1025"/>
      <c r="BO39386" s="43"/>
    </row>
    <row r="39387" spans="65:67" ht="18.75" customHeight="1">
      <c r="BM39387" s="1025"/>
      <c r="BO39387" s="43"/>
    </row>
    <row r="39388" spans="65:67" ht="18.75" customHeight="1">
      <c r="BM39388" s="1025"/>
      <c r="BO39388" s="43"/>
    </row>
    <row r="39389" spans="65:67" ht="18.75" customHeight="1">
      <c r="BM39389" s="1025"/>
      <c r="BO39389" s="43"/>
    </row>
    <row r="39390" spans="65:67" ht="18.75" customHeight="1">
      <c r="BM39390" s="1025"/>
      <c r="BO39390" s="43"/>
    </row>
    <row r="39391" spans="65:67" ht="18.75" customHeight="1">
      <c r="BM39391" s="1025"/>
      <c r="BO39391" s="43"/>
    </row>
    <row r="39392" spans="65:67" ht="18.75" customHeight="1">
      <c r="BM39392" s="1025"/>
      <c r="BO39392" s="43"/>
    </row>
    <row r="39393" spans="65:67" ht="18.75" customHeight="1">
      <c r="BM39393" s="1025"/>
      <c r="BO39393" s="43"/>
    </row>
    <row r="39394" spans="65:67" ht="18.75" customHeight="1">
      <c r="BM39394" s="1025"/>
      <c r="BO39394" s="43"/>
    </row>
    <row r="39395" spans="65:67" ht="18.75" customHeight="1">
      <c r="BM39395" s="1025"/>
      <c r="BO39395" s="43"/>
    </row>
    <row r="39396" spans="65:67" ht="18.75" customHeight="1">
      <c r="BM39396" s="1025"/>
      <c r="BO39396" s="43"/>
    </row>
    <row r="39397" spans="65:67" ht="18.75" customHeight="1">
      <c r="BM39397" s="1025"/>
      <c r="BO39397" s="43"/>
    </row>
    <row r="39398" spans="65:67" ht="18.75" customHeight="1">
      <c r="BM39398" s="1025"/>
      <c r="BO39398" s="43"/>
    </row>
    <row r="39399" spans="65:67" ht="18.75" customHeight="1">
      <c r="BM39399" s="1025"/>
      <c r="BO39399" s="43"/>
    </row>
    <row r="39400" spans="65:67" ht="18.75" customHeight="1">
      <c r="BM39400" s="1025"/>
      <c r="BO39400" s="43"/>
    </row>
    <row r="39401" spans="65:67" ht="18.75" customHeight="1">
      <c r="BM39401" s="1025"/>
      <c r="BO39401" s="43"/>
    </row>
    <row r="39402" spans="65:67" ht="18.75" customHeight="1">
      <c r="BM39402" s="1025"/>
      <c r="BO39402" s="43"/>
    </row>
    <row r="39403" spans="65:67" ht="18.75" customHeight="1">
      <c r="BM39403" s="1025"/>
      <c r="BO39403" s="43"/>
    </row>
    <row r="39404" spans="65:67" ht="18.75" customHeight="1">
      <c r="BM39404" s="1025"/>
      <c r="BO39404" s="43"/>
    </row>
    <row r="39405" spans="65:67" ht="18.75" customHeight="1">
      <c r="BM39405" s="1025"/>
      <c r="BO39405" s="43"/>
    </row>
    <row r="39406" spans="65:67" ht="18.75" customHeight="1">
      <c r="BM39406" s="1025"/>
      <c r="BO39406" s="43"/>
    </row>
    <row r="39407" spans="65:67" ht="18.75" customHeight="1">
      <c r="BM39407" s="1025"/>
      <c r="BO39407" s="43"/>
    </row>
    <row r="39408" spans="65:67" ht="18.75" customHeight="1">
      <c r="BM39408" s="1025"/>
      <c r="BO39408" s="43"/>
    </row>
    <row r="39409" spans="65:67" ht="18.75" customHeight="1">
      <c r="BM39409" s="1025"/>
      <c r="BO39409" s="43"/>
    </row>
    <row r="39410" spans="65:67" ht="18.75" customHeight="1">
      <c r="BM39410" s="1025"/>
      <c r="BO39410" s="43"/>
    </row>
    <row r="39411" spans="65:67" ht="18.75" customHeight="1">
      <c r="BM39411" s="1025"/>
      <c r="BO39411" s="43"/>
    </row>
    <row r="39412" spans="65:67" ht="18.75" customHeight="1">
      <c r="BM39412" s="1025"/>
      <c r="BO39412" s="43"/>
    </row>
    <row r="39413" spans="65:67" ht="18.75" customHeight="1">
      <c r="BM39413" s="1025"/>
      <c r="BO39413" s="43"/>
    </row>
    <row r="39414" spans="65:67" ht="18.75" customHeight="1">
      <c r="BM39414" s="1025"/>
      <c r="BO39414" s="43"/>
    </row>
    <row r="39415" spans="65:67" ht="18.75" customHeight="1">
      <c r="BM39415" s="1025"/>
      <c r="BO39415" s="43"/>
    </row>
    <row r="39416" spans="65:67" ht="18.75" customHeight="1">
      <c r="BM39416" s="1025"/>
      <c r="BO39416" s="43"/>
    </row>
    <row r="39417" spans="65:67" ht="18.75" customHeight="1">
      <c r="BM39417" s="1025"/>
      <c r="BO39417" s="43"/>
    </row>
    <row r="39418" spans="65:67" ht="18.75" customHeight="1">
      <c r="BM39418" s="1025"/>
      <c r="BO39418" s="43"/>
    </row>
    <row r="39419" spans="65:67" ht="18.75" customHeight="1">
      <c r="BM39419" s="1025"/>
      <c r="BO39419" s="43"/>
    </row>
    <row r="39420" spans="65:67" ht="18.75" customHeight="1">
      <c r="BM39420" s="1025"/>
      <c r="BO39420" s="43"/>
    </row>
    <row r="39421" spans="65:67" ht="18.75" customHeight="1">
      <c r="BM39421" s="1025"/>
      <c r="BO39421" s="43"/>
    </row>
    <row r="39422" spans="65:67" ht="18.75" customHeight="1">
      <c r="BM39422" s="1025"/>
      <c r="BO39422" s="43"/>
    </row>
    <row r="39423" spans="65:67" ht="18.75" customHeight="1">
      <c r="BM39423" s="1025"/>
      <c r="BO39423" s="43"/>
    </row>
    <row r="39424" spans="65:67" ht="18.75" customHeight="1">
      <c r="BM39424" s="1025"/>
      <c r="BO39424" s="43"/>
    </row>
    <row r="39425" spans="65:67" ht="18.75" customHeight="1">
      <c r="BM39425" s="1025"/>
      <c r="BO39425" s="43"/>
    </row>
    <row r="39426" spans="65:67" ht="18.75" customHeight="1">
      <c r="BM39426" s="1025"/>
      <c r="BO39426" s="43"/>
    </row>
    <row r="39427" spans="65:67" ht="18.75" customHeight="1">
      <c r="BM39427" s="1025"/>
      <c r="BO39427" s="43"/>
    </row>
    <row r="39428" spans="65:67" ht="18.75" customHeight="1">
      <c r="BM39428" s="1025"/>
      <c r="BO39428" s="43"/>
    </row>
    <row r="39429" spans="65:67" ht="18.75" customHeight="1">
      <c r="BM39429" s="1025"/>
      <c r="BO39429" s="43"/>
    </row>
    <row r="39430" spans="65:67" ht="18.75" customHeight="1">
      <c r="BM39430" s="1025"/>
      <c r="BO39430" s="43"/>
    </row>
    <row r="39431" spans="65:67" ht="18.75" customHeight="1">
      <c r="BM39431" s="1025"/>
      <c r="BO39431" s="43"/>
    </row>
    <row r="39432" spans="65:67" ht="18.75" customHeight="1">
      <c r="BM39432" s="1025"/>
      <c r="BO39432" s="43"/>
    </row>
    <row r="39433" spans="65:67" ht="18.75" customHeight="1">
      <c r="BM39433" s="1025"/>
      <c r="BO39433" s="43"/>
    </row>
    <row r="39434" spans="65:67" ht="18.75" customHeight="1">
      <c r="BM39434" s="1025"/>
      <c r="BO39434" s="43"/>
    </row>
    <row r="39435" spans="65:67" ht="18.75" customHeight="1">
      <c r="BM39435" s="1025"/>
      <c r="BO39435" s="43"/>
    </row>
    <row r="39436" spans="65:67" ht="18.75" customHeight="1">
      <c r="BM39436" s="1025"/>
      <c r="BO39436" s="43"/>
    </row>
    <row r="39437" spans="65:67" ht="18.75" customHeight="1">
      <c r="BM39437" s="1025"/>
      <c r="BO39437" s="43"/>
    </row>
    <row r="39438" spans="65:67" ht="18.75" customHeight="1">
      <c r="BM39438" s="1025"/>
      <c r="BO39438" s="43"/>
    </row>
    <row r="39439" spans="65:67" ht="18.75" customHeight="1">
      <c r="BM39439" s="1025"/>
      <c r="BO39439" s="43"/>
    </row>
    <row r="39440" spans="65:67" ht="18.75" customHeight="1">
      <c r="BM39440" s="1025"/>
      <c r="BO39440" s="43"/>
    </row>
    <row r="39441" spans="65:67" ht="18.75" customHeight="1">
      <c r="BM39441" s="1025"/>
      <c r="BO39441" s="43"/>
    </row>
    <row r="39442" spans="65:67" ht="18.75" customHeight="1">
      <c r="BM39442" s="1025"/>
      <c r="BO39442" s="43"/>
    </row>
    <row r="39443" spans="65:67" ht="18.75" customHeight="1">
      <c r="BM39443" s="1025"/>
      <c r="BO39443" s="43"/>
    </row>
    <row r="39444" spans="65:67" ht="18.75" customHeight="1">
      <c r="BM39444" s="1025"/>
      <c r="BO39444" s="43"/>
    </row>
    <row r="39445" spans="65:67" ht="18.75" customHeight="1">
      <c r="BM39445" s="1025"/>
      <c r="BO39445" s="43"/>
    </row>
    <row r="39446" spans="65:67" ht="18.75" customHeight="1">
      <c r="BM39446" s="1025"/>
      <c r="BO39446" s="43"/>
    </row>
    <row r="39447" spans="65:67" ht="18.75" customHeight="1">
      <c r="BM39447" s="1025"/>
      <c r="BO39447" s="43"/>
    </row>
    <row r="39448" spans="65:67" ht="18.75" customHeight="1">
      <c r="BM39448" s="1025"/>
      <c r="BO39448" s="43"/>
    </row>
    <row r="39449" spans="65:67" ht="18.75" customHeight="1">
      <c r="BM39449" s="1025"/>
      <c r="BO39449" s="43"/>
    </row>
    <row r="39450" spans="65:67" ht="18.75" customHeight="1">
      <c r="BM39450" s="1025"/>
      <c r="BO39450" s="43"/>
    </row>
    <row r="39451" spans="65:67" ht="18.75" customHeight="1">
      <c r="BM39451" s="1025"/>
      <c r="BO39451" s="43"/>
    </row>
    <row r="39452" spans="65:67" ht="18.75" customHeight="1">
      <c r="BM39452" s="1025"/>
      <c r="BO39452" s="43"/>
    </row>
    <row r="39453" spans="65:67" ht="18.75" customHeight="1">
      <c r="BM39453" s="1025"/>
      <c r="BO39453" s="43"/>
    </row>
    <row r="39454" spans="65:67" ht="18.75" customHeight="1">
      <c r="BM39454" s="1025"/>
      <c r="BO39454" s="43"/>
    </row>
    <row r="39455" spans="65:67" ht="18.75" customHeight="1">
      <c r="BM39455" s="1025"/>
      <c r="BO39455" s="43"/>
    </row>
    <row r="39456" spans="65:67" ht="18.75" customHeight="1">
      <c r="BM39456" s="1025"/>
      <c r="BO39456" s="43"/>
    </row>
    <row r="39457" spans="65:67" ht="18.75" customHeight="1">
      <c r="BM39457" s="1025"/>
      <c r="BO39457" s="43"/>
    </row>
    <row r="39458" spans="65:67" ht="18.75" customHeight="1">
      <c r="BM39458" s="1025"/>
      <c r="BO39458" s="43"/>
    </row>
    <row r="39459" spans="65:67" ht="18.75" customHeight="1">
      <c r="BM39459" s="1025"/>
      <c r="BO39459" s="43"/>
    </row>
    <row r="39460" spans="65:67" ht="18.75" customHeight="1">
      <c r="BM39460" s="1025"/>
      <c r="BO39460" s="43"/>
    </row>
    <row r="39461" spans="65:67" ht="18.75" customHeight="1">
      <c r="BM39461" s="1025"/>
      <c r="BO39461" s="43"/>
    </row>
    <row r="39462" spans="65:67" ht="18.75" customHeight="1">
      <c r="BM39462" s="1025"/>
      <c r="BO39462" s="43"/>
    </row>
    <row r="39463" spans="65:67" ht="18.75" customHeight="1">
      <c r="BM39463" s="1025"/>
      <c r="BO39463" s="43"/>
    </row>
    <row r="39464" spans="65:67" ht="18.75" customHeight="1">
      <c r="BM39464" s="1025"/>
      <c r="BO39464" s="43"/>
    </row>
    <row r="39465" spans="65:67" ht="18.75" customHeight="1">
      <c r="BM39465" s="1025"/>
      <c r="BO39465" s="43"/>
    </row>
    <row r="39466" spans="65:67" ht="18.75" customHeight="1">
      <c r="BM39466" s="1025"/>
      <c r="BO39466" s="43"/>
    </row>
    <row r="39467" spans="65:67" ht="18.75" customHeight="1">
      <c r="BM39467" s="1025"/>
      <c r="BO39467" s="43"/>
    </row>
    <row r="39468" spans="65:67" ht="18.75" customHeight="1">
      <c r="BM39468" s="1025"/>
      <c r="BO39468" s="43"/>
    </row>
    <row r="39469" spans="65:67" ht="18.75" customHeight="1">
      <c r="BM39469" s="1025"/>
      <c r="BO39469" s="43"/>
    </row>
    <row r="39470" spans="65:67" ht="18.75" customHeight="1">
      <c r="BM39470" s="1025"/>
      <c r="BO39470" s="43"/>
    </row>
    <row r="39471" spans="65:67" ht="18.75" customHeight="1">
      <c r="BM39471" s="1025"/>
      <c r="BO39471" s="43"/>
    </row>
    <row r="39472" spans="65:67" ht="18.75" customHeight="1">
      <c r="BM39472" s="1025"/>
      <c r="BO39472" s="43"/>
    </row>
    <row r="39473" spans="65:67" ht="18.75" customHeight="1">
      <c r="BM39473" s="1025"/>
      <c r="BO39473" s="43"/>
    </row>
    <row r="39474" spans="65:67" ht="18.75" customHeight="1">
      <c r="BM39474" s="1025"/>
      <c r="BO39474" s="43"/>
    </row>
    <row r="39475" spans="65:67" ht="18.75" customHeight="1">
      <c r="BM39475" s="1025"/>
      <c r="BO39475" s="43"/>
    </row>
    <row r="39476" spans="65:67" ht="18.75" customHeight="1">
      <c r="BM39476" s="1025"/>
      <c r="BO39476" s="43"/>
    </row>
    <row r="39477" spans="65:67" ht="18.75" customHeight="1">
      <c r="BM39477" s="1025"/>
      <c r="BO39477" s="43"/>
    </row>
    <row r="39478" spans="65:67" ht="18.75" customHeight="1">
      <c r="BM39478" s="1025"/>
      <c r="BO39478" s="43"/>
    </row>
    <row r="39479" spans="65:67" ht="18.75" customHeight="1">
      <c r="BM39479" s="1025"/>
      <c r="BO39479" s="43"/>
    </row>
    <row r="39480" spans="65:67" ht="18.75" customHeight="1">
      <c r="BM39480" s="1025"/>
      <c r="BO39480" s="43"/>
    </row>
    <row r="39481" spans="65:67" ht="18.75" customHeight="1">
      <c r="BM39481" s="1025"/>
      <c r="BO39481" s="43"/>
    </row>
    <row r="39482" spans="65:67" ht="18.75" customHeight="1">
      <c r="BM39482" s="1025"/>
      <c r="BO39482" s="43"/>
    </row>
    <row r="39483" spans="65:67" ht="18.75" customHeight="1">
      <c r="BM39483" s="1025"/>
      <c r="BO39483" s="43"/>
    </row>
    <row r="39484" spans="65:67" ht="18.75" customHeight="1">
      <c r="BM39484" s="1025"/>
      <c r="BO39484" s="43"/>
    </row>
    <row r="39485" spans="65:67" ht="18.75" customHeight="1">
      <c r="BM39485" s="1025"/>
      <c r="BO39485" s="43"/>
    </row>
    <row r="39486" spans="65:67" ht="18.75" customHeight="1">
      <c r="BM39486" s="1025"/>
      <c r="BO39486" s="43"/>
    </row>
    <row r="39487" spans="65:67" ht="18.75" customHeight="1">
      <c r="BM39487" s="1025"/>
      <c r="BO39487" s="43"/>
    </row>
    <row r="39488" spans="65:67" ht="18.75" customHeight="1">
      <c r="BM39488" s="1025"/>
      <c r="BO39488" s="43"/>
    </row>
    <row r="39489" spans="65:67" ht="18.75" customHeight="1">
      <c r="BM39489" s="1025"/>
      <c r="BO39489" s="43"/>
    </row>
    <row r="39490" spans="65:67" ht="18.75" customHeight="1">
      <c r="BM39490" s="1025"/>
      <c r="BO39490" s="43"/>
    </row>
    <row r="39491" spans="65:67" ht="18.75" customHeight="1">
      <c r="BM39491" s="1025"/>
      <c r="BO39491" s="43"/>
    </row>
    <row r="39492" spans="65:67" ht="18.75" customHeight="1">
      <c r="BM39492" s="1025"/>
      <c r="BO39492" s="43"/>
    </row>
    <row r="39493" spans="65:67" ht="18.75" customHeight="1">
      <c r="BM39493" s="1025"/>
      <c r="BO39493" s="43"/>
    </row>
    <row r="39494" spans="65:67" ht="18.75" customHeight="1">
      <c r="BM39494" s="1025"/>
      <c r="BO39494" s="43"/>
    </row>
    <row r="39495" spans="65:67" ht="18.75" customHeight="1">
      <c r="BM39495" s="1025"/>
      <c r="BO39495" s="43"/>
    </row>
    <row r="39496" spans="65:67" ht="18.75" customHeight="1">
      <c r="BM39496" s="1025"/>
      <c r="BO39496" s="43"/>
    </row>
    <row r="39497" spans="65:67" ht="18.75" customHeight="1">
      <c r="BM39497" s="1025"/>
      <c r="BO39497" s="43"/>
    </row>
    <row r="39498" spans="65:67" ht="18.75" customHeight="1">
      <c r="BM39498" s="1025"/>
      <c r="BO39498" s="43"/>
    </row>
    <row r="39499" spans="65:67" ht="18.75" customHeight="1">
      <c r="BM39499" s="1025"/>
      <c r="BO39499" s="43"/>
    </row>
    <row r="39500" spans="65:67" ht="18.75" customHeight="1">
      <c r="BM39500" s="1025"/>
      <c r="BO39500" s="43"/>
    </row>
    <row r="39501" spans="65:67" ht="18.75" customHeight="1">
      <c r="BM39501" s="1025"/>
      <c r="BO39501" s="43"/>
    </row>
    <row r="39502" spans="65:67" ht="18.75" customHeight="1">
      <c r="BM39502" s="1025"/>
      <c r="BO39502" s="43"/>
    </row>
    <row r="39503" spans="65:67" ht="18.75" customHeight="1">
      <c r="BM39503" s="1025"/>
      <c r="BO39503" s="43"/>
    </row>
    <row r="39504" spans="65:67" ht="18.75" customHeight="1">
      <c r="BM39504" s="1025"/>
      <c r="BO39504" s="43"/>
    </row>
    <row r="39505" spans="65:67" ht="18.75" customHeight="1">
      <c r="BM39505" s="1025"/>
      <c r="BO39505" s="43"/>
    </row>
    <row r="39506" spans="65:67" ht="18.75" customHeight="1">
      <c r="BM39506" s="1025"/>
      <c r="BO39506" s="43"/>
    </row>
    <row r="39507" spans="65:67" ht="18.75" customHeight="1">
      <c r="BM39507" s="1025"/>
      <c r="BO39507" s="43"/>
    </row>
    <row r="39508" spans="65:67" ht="18.75" customHeight="1">
      <c r="BM39508" s="1025"/>
      <c r="BO39508" s="43"/>
    </row>
    <row r="39509" spans="65:67" ht="18.75" customHeight="1">
      <c r="BM39509" s="1025"/>
      <c r="BO39509" s="43"/>
    </row>
    <row r="39510" spans="65:67" ht="18.75" customHeight="1">
      <c r="BM39510" s="1025"/>
      <c r="BO39510" s="43"/>
    </row>
    <row r="39511" spans="65:67" ht="18.75" customHeight="1">
      <c r="BM39511" s="1025"/>
      <c r="BO39511" s="43"/>
    </row>
    <row r="39512" spans="65:67" ht="18.75" customHeight="1">
      <c r="BM39512" s="1025"/>
      <c r="BO39512" s="43"/>
    </row>
    <row r="39513" spans="65:67" ht="18.75" customHeight="1">
      <c r="BM39513" s="1025"/>
      <c r="BO39513" s="43"/>
    </row>
    <row r="39514" spans="65:67" ht="18.75" customHeight="1">
      <c r="BM39514" s="1025"/>
      <c r="BO39514" s="43"/>
    </row>
    <row r="39515" spans="65:67" ht="18.75" customHeight="1">
      <c r="BM39515" s="1025"/>
      <c r="BO39515" s="43"/>
    </row>
    <row r="39516" spans="65:67" ht="18.75" customHeight="1">
      <c r="BM39516" s="1025"/>
      <c r="BO39516" s="43"/>
    </row>
    <row r="39517" spans="65:67" ht="18.75" customHeight="1">
      <c r="BM39517" s="1025"/>
      <c r="BO39517" s="43"/>
    </row>
    <row r="39518" spans="65:67" ht="18.75" customHeight="1">
      <c r="BM39518" s="1025"/>
      <c r="BO39518" s="43"/>
    </row>
    <row r="39519" spans="65:67" ht="18.75" customHeight="1">
      <c r="BM39519" s="1025"/>
      <c r="BO39519" s="43"/>
    </row>
    <row r="39520" spans="65:67" ht="18.75" customHeight="1">
      <c r="BM39520" s="1025"/>
      <c r="BO39520" s="43"/>
    </row>
    <row r="39521" spans="65:67" ht="18.75" customHeight="1">
      <c r="BM39521" s="1025"/>
      <c r="BO39521" s="43"/>
    </row>
    <row r="39522" spans="65:67" ht="18.75" customHeight="1">
      <c r="BM39522" s="1025"/>
      <c r="BO39522" s="43"/>
    </row>
    <row r="39523" spans="65:67" ht="18.75" customHeight="1">
      <c r="BM39523" s="1025"/>
      <c r="BO39523" s="43"/>
    </row>
    <row r="39524" spans="65:67" ht="18.75" customHeight="1">
      <c r="BM39524" s="1025"/>
      <c r="BO39524" s="43"/>
    </row>
    <row r="39525" spans="65:67" ht="18.75" customHeight="1">
      <c r="BM39525" s="1025"/>
      <c r="BO39525" s="43"/>
    </row>
    <row r="39526" spans="65:67" ht="18.75" customHeight="1">
      <c r="BM39526" s="1025"/>
      <c r="BO39526" s="43"/>
    </row>
    <row r="39527" spans="65:67" ht="18.75" customHeight="1">
      <c r="BM39527" s="1025"/>
      <c r="BO39527" s="43"/>
    </row>
    <row r="39528" spans="65:67" ht="18.75" customHeight="1">
      <c r="BM39528" s="1025"/>
      <c r="BO39528" s="43"/>
    </row>
    <row r="39529" spans="65:67" ht="18.75" customHeight="1">
      <c r="BM39529" s="1025"/>
      <c r="BO39529" s="43"/>
    </row>
    <row r="39530" spans="65:67" ht="18.75" customHeight="1">
      <c r="BM39530" s="1025"/>
      <c r="BO39530" s="43"/>
    </row>
    <row r="39531" spans="65:67" ht="18.75" customHeight="1">
      <c r="BM39531" s="1025"/>
      <c r="BO39531" s="43"/>
    </row>
    <row r="39532" spans="65:67" ht="18.75" customHeight="1">
      <c r="BM39532" s="1025"/>
      <c r="BO39532" s="43"/>
    </row>
    <row r="39533" spans="65:67" ht="18.75" customHeight="1">
      <c r="BM39533" s="1025"/>
      <c r="BO39533" s="43"/>
    </row>
    <row r="39534" spans="65:67" ht="18.75" customHeight="1">
      <c r="BM39534" s="1025"/>
      <c r="BO39534" s="43"/>
    </row>
    <row r="39535" spans="65:67" ht="18.75" customHeight="1">
      <c r="BM39535" s="1025"/>
      <c r="BO39535" s="43"/>
    </row>
    <row r="39536" spans="65:67" ht="18.75" customHeight="1">
      <c r="BM39536" s="1025"/>
      <c r="BO39536" s="43"/>
    </row>
    <row r="39537" spans="65:67" ht="18.75" customHeight="1">
      <c r="BM39537" s="1025"/>
      <c r="BO39537" s="43"/>
    </row>
    <row r="39538" spans="65:67" ht="18.75" customHeight="1">
      <c r="BM39538" s="1025"/>
      <c r="BO39538" s="43"/>
    </row>
    <row r="39539" spans="65:67" ht="18.75" customHeight="1">
      <c r="BM39539" s="1025"/>
      <c r="BO39539" s="43"/>
    </row>
    <row r="39540" spans="65:67" ht="18.75" customHeight="1">
      <c r="BM39540" s="1025"/>
      <c r="BO39540" s="43"/>
    </row>
    <row r="39541" spans="65:67" ht="18.75" customHeight="1">
      <c r="BM39541" s="1025"/>
      <c r="BO39541" s="43"/>
    </row>
    <row r="39542" spans="65:67" ht="18.75" customHeight="1">
      <c r="BM39542" s="1025"/>
      <c r="BO39542" s="43"/>
    </row>
    <row r="39543" spans="65:67" ht="18.75" customHeight="1">
      <c r="BM39543" s="1025"/>
      <c r="BO39543" s="43"/>
    </row>
    <row r="39544" spans="65:67" ht="18.75" customHeight="1">
      <c r="BM39544" s="1025"/>
      <c r="BO39544" s="43"/>
    </row>
    <row r="39545" spans="65:67" ht="18.75" customHeight="1">
      <c r="BM39545" s="1025"/>
      <c r="BO39545" s="43"/>
    </row>
    <row r="39546" spans="65:67" ht="18.75" customHeight="1">
      <c r="BM39546" s="1025"/>
      <c r="BO39546" s="43"/>
    </row>
    <row r="39547" spans="65:67" ht="18.75" customHeight="1">
      <c r="BM39547" s="1025"/>
      <c r="BO39547" s="43"/>
    </row>
    <row r="39548" spans="65:67" ht="18.75" customHeight="1">
      <c r="BM39548" s="1025"/>
      <c r="BO39548" s="43"/>
    </row>
    <row r="39549" spans="65:67" ht="18.75" customHeight="1">
      <c r="BM39549" s="1025"/>
      <c r="BO39549" s="43"/>
    </row>
    <row r="39550" spans="65:67" ht="18.75" customHeight="1">
      <c r="BM39550" s="1025"/>
      <c r="BO39550" s="43"/>
    </row>
    <row r="39551" spans="65:67" ht="18.75" customHeight="1">
      <c r="BM39551" s="1025"/>
      <c r="BO39551" s="43"/>
    </row>
    <row r="39552" spans="65:67" ht="18.75" customHeight="1">
      <c r="BM39552" s="1025"/>
      <c r="BO39552" s="43"/>
    </row>
    <row r="39553" spans="65:67" ht="18.75" customHeight="1">
      <c r="BM39553" s="1025"/>
      <c r="BO39553" s="43"/>
    </row>
    <row r="39554" spans="65:67" ht="18.75" customHeight="1">
      <c r="BM39554" s="1025"/>
      <c r="BO39554" s="43"/>
    </row>
    <row r="39555" spans="65:67" ht="18.75" customHeight="1">
      <c r="BM39555" s="1025"/>
      <c r="BO39555" s="43"/>
    </row>
    <row r="39556" spans="65:67" ht="18.75" customHeight="1">
      <c r="BM39556" s="1025"/>
      <c r="BO39556" s="43"/>
    </row>
    <row r="39557" spans="65:67" ht="18.75" customHeight="1">
      <c r="BM39557" s="1025"/>
      <c r="BO39557" s="43"/>
    </row>
    <row r="39558" spans="65:67" ht="18.75" customHeight="1">
      <c r="BM39558" s="1025"/>
      <c r="BO39558" s="43"/>
    </row>
    <row r="39559" spans="65:67" ht="18.75" customHeight="1">
      <c r="BM39559" s="1025"/>
      <c r="BO39559" s="43"/>
    </row>
    <row r="39560" spans="65:67" ht="18.75" customHeight="1">
      <c r="BM39560" s="1025"/>
      <c r="BO39560" s="43"/>
    </row>
    <row r="39561" spans="65:67" ht="18.75" customHeight="1">
      <c r="BM39561" s="1025"/>
      <c r="BO39561" s="43"/>
    </row>
    <row r="39562" spans="65:67" ht="18.75" customHeight="1">
      <c r="BM39562" s="1025"/>
      <c r="BO39562" s="43"/>
    </row>
    <row r="39563" spans="65:67" ht="18.75" customHeight="1">
      <c r="BM39563" s="1025"/>
      <c r="BO39563" s="43"/>
    </row>
    <row r="39564" spans="65:67" ht="18.75" customHeight="1">
      <c r="BM39564" s="1025"/>
      <c r="BO39564" s="43"/>
    </row>
    <row r="39565" spans="65:67" ht="18.75" customHeight="1">
      <c r="BM39565" s="1025"/>
      <c r="BO39565" s="43"/>
    </row>
    <row r="39566" spans="65:67" ht="18.75" customHeight="1">
      <c r="BM39566" s="1025"/>
      <c r="BO39566" s="43"/>
    </row>
    <row r="39567" spans="65:67" ht="18.75" customHeight="1">
      <c r="BM39567" s="1025"/>
      <c r="BO39567" s="43"/>
    </row>
    <row r="39568" spans="65:67" ht="18.75" customHeight="1">
      <c r="BM39568" s="1025"/>
      <c r="BO39568" s="43"/>
    </row>
    <row r="39569" spans="65:67" ht="18.75" customHeight="1">
      <c r="BM39569" s="1025"/>
      <c r="BO39569" s="43"/>
    </row>
    <row r="39570" spans="65:67" ht="18.75" customHeight="1">
      <c r="BM39570" s="1025"/>
      <c r="BO39570" s="43"/>
    </row>
    <row r="39571" spans="65:67" ht="18.75" customHeight="1">
      <c r="BM39571" s="1025"/>
      <c r="BO39571" s="43"/>
    </row>
    <row r="39572" spans="65:67" ht="18.75" customHeight="1">
      <c r="BM39572" s="1025"/>
      <c r="BO39572" s="43"/>
    </row>
    <row r="39573" spans="65:67" ht="18.75" customHeight="1">
      <c r="BM39573" s="1025"/>
      <c r="BO39573" s="43"/>
    </row>
    <row r="39574" spans="65:67" ht="18.75" customHeight="1">
      <c r="BM39574" s="1025"/>
      <c r="BO39574" s="43"/>
    </row>
    <row r="39575" spans="65:67" ht="18.75" customHeight="1">
      <c r="BM39575" s="1025"/>
      <c r="BO39575" s="43"/>
    </row>
    <row r="39576" spans="65:67" ht="18.75" customHeight="1">
      <c r="BM39576" s="1025"/>
      <c r="BO39576" s="43"/>
    </row>
    <row r="39577" spans="65:67" ht="18.75" customHeight="1">
      <c r="BM39577" s="1025"/>
      <c r="BO39577" s="43"/>
    </row>
    <row r="39578" spans="65:67" ht="18.75" customHeight="1">
      <c r="BM39578" s="1025"/>
      <c r="BO39578" s="43"/>
    </row>
    <row r="39579" spans="65:67" ht="18.75" customHeight="1">
      <c r="BM39579" s="1025"/>
      <c r="BO39579" s="43"/>
    </row>
    <row r="39580" spans="65:67" ht="18.75" customHeight="1">
      <c r="BM39580" s="1025"/>
      <c r="BO39580" s="43"/>
    </row>
    <row r="39581" spans="65:67" ht="18.75" customHeight="1">
      <c r="BM39581" s="1025"/>
      <c r="BO39581" s="43"/>
    </row>
    <row r="39582" spans="65:67" ht="18.75" customHeight="1">
      <c r="BM39582" s="1025"/>
      <c r="BO39582" s="43"/>
    </row>
    <row r="39583" spans="65:67" ht="18.75" customHeight="1">
      <c r="BM39583" s="1025"/>
      <c r="BO39583" s="43"/>
    </row>
    <row r="39584" spans="65:67" ht="18.75" customHeight="1">
      <c r="BM39584" s="1025"/>
      <c r="BO39584" s="43"/>
    </row>
    <row r="39585" spans="65:67" ht="18.75" customHeight="1">
      <c r="BM39585" s="1025"/>
      <c r="BO39585" s="43"/>
    </row>
    <row r="39586" spans="65:67" ht="18.75" customHeight="1">
      <c r="BM39586" s="1025"/>
      <c r="BO39586" s="43"/>
    </row>
    <row r="39587" spans="65:67" ht="18.75" customHeight="1">
      <c r="BM39587" s="1025"/>
      <c r="BO39587" s="43"/>
    </row>
    <row r="39588" spans="65:67" ht="18.75" customHeight="1">
      <c r="BM39588" s="1025"/>
      <c r="BO39588" s="43"/>
    </row>
    <row r="39589" spans="65:67" ht="18.75" customHeight="1">
      <c r="BM39589" s="1025"/>
      <c r="BO39589" s="43"/>
    </row>
    <row r="39590" spans="65:67" ht="18.75" customHeight="1">
      <c r="BM39590" s="1025"/>
      <c r="BO39590" s="43"/>
    </row>
    <row r="39591" spans="65:67" ht="18.75" customHeight="1">
      <c r="BM39591" s="1025"/>
      <c r="BO39591" s="43"/>
    </row>
    <row r="39592" spans="65:67" ht="18.75" customHeight="1">
      <c r="BM39592" s="1025"/>
      <c r="BO39592" s="43"/>
    </row>
    <row r="39593" spans="65:67" ht="18.75" customHeight="1">
      <c r="BM39593" s="1025"/>
      <c r="BO39593" s="43"/>
    </row>
    <row r="39594" spans="65:67" ht="18.75" customHeight="1">
      <c r="BM39594" s="1025"/>
      <c r="BO39594" s="43"/>
    </row>
    <row r="39595" spans="65:67" ht="18.75" customHeight="1">
      <c r="BM39595" s="1025"/>
      <c r="BO39595" s="43"/>
    </row>
    <row r="39596" spans="65:67" ht="18.75" customHeight="1">
      <c r="BM39596" s="1025"/>
      <c r="BO39596" s="43"/>
    </row>
    <row r="39597" spans="65:67" ht="18.75" customHeight="1">
      <c r="BM39597" s="1025"/>
      <c r="BO39597" s="43"/>
    </row>
    <row r="39598" spans="65:67" ht="18.75" customHeight="1">
      <c r="BM39598" s="1025"/>
      <c r="BO39598" s="43"/>
    </row>
    <row r="39599" spans="65:67" ht="18.75" customHeight="1">
      <c r="BM39599" s="1025"/>
      <c r="BO39599" s="43"/>
    </row>
    <row r="39600" spans="65:67" ht="18.75" customHeight="1">
      <c r="BM39600" s="1025"/>
      <c r="BO39600" s="43"/>
    </row>
    <row r="39601" spans="65:67" ht="18.75" customHeight="1">
      <c r="BM39601" s="1025"/>
      <c r="BO39601" s="43"/>
    </row>
    <row r="39602" spans="65:67" ht="18.75" customHeight="1">
      <c r="BM39602" s="1025"/>
      <c r="BO39602" s="43"/>
    </row>
    <row r="39603" spans="65:67" ht="18.75" customHeight="1">
      <c r="BM39603" s="1025"/>
      <c r="BO39603" s="43"/>
    </row>
    <row r="39604" spans="65:67" ht="18.75" customHeight="1">
      <c r="BM39604" s="1025"/>
      <c r="BO39604" s="43"/>
    </row>
    <row r="39605" spans="65:67" ht="18.75" customHeight="1">
      <c r="BM39605" s="1025"/>
      <c r="BO39605" s="43"/>
    </row>
    <row r="39606" spans="65:67" ht="18.75" customHeight="1">
      <c r="BM39606" s="1025"/>
      <c r="BO39606" s="43"/>
    </row>
    <row r="39607" spans="65:67" ht="18.75" customHeight="1">
      <c r="BM39607" s="1025"/>
      <c r="BO39607" s="43"/>
    </row>
    <row r="39608" spans="65:67" ht="18.75" customHeight="1">
      <c r="BM39608" s="1025"/>
      <c r="BO39608" s="43"/>
    </row>
    <row r="39609" spans="65:67" ht="18.75" customHeight="1">
      <c r="BM39609" s="1025"/>
      <c r="BO39609" s="43"/>
    </row>
    <row r="39610" spans="65:67" ht="18.75" customHeight="1">
      <c r="BM39610" s="1025"/>
      <c r="BO39610" s="43"/>
    </row>
    <row r="39611" spans="65:67" ht="18.75" customHeight="1">
      <c r="BM39611" s="1025"/>
      <c r="BO39611" s="43"/>
    </row>
    <row r="39612" spans="65:67" ht="18.75" customHeight="1">
      <c r="BM39612" s="1025"/>
      <c r="BO39612" s="43"/>
    </row>
    <row r="39613" spans="65:67" ht="18.75" customHeight="1">
      <c r="BM39613" s="1025"/>
      <c r="BO39613" s="43"/>
    </row>
    <row r="39614" spans="65:67" ht="18.75" customHeight="1">
      <c r="BM39614" s="1025"/>
      <c r="BO39614" s="43"/>
    </row>
    <row r="39615" spans="65:67" ht="18.75" customHeight="1">
      <c r="BM39615" s="1025"/>
      <c r="BO39615" s="43"/>
    </row>
    <row r="39616" spans="65:67" ht="18.75" customHeight="1">
      <c r="BM39616" s="1025"/>
      <c r="BO39616" s="43"/>
    </row>
    <row r="39617" spans="65:67" ht="18.75" customHeight="1">
      <c r="BM39617" s="1025"/>
      <c r="BO39617" s="43"/>
    </row>
    <row r="39618" spans="65:67" ht="18.75" customHeight="1">
      <c r="BM39618" s="1025"/>
      <c r="BO39618" s="43"/>
    </row>
    <row r="39619" spans="65:67" ht="18.75" customHeight="1">
      <c r="BM39619" s="1025"/>
      <c r="BO39619" s="43"/>
    </row>
    <row r="39620" spans="65:67" ht="18.75" customHeight="1">
      <c r="BM39620" s="1025"/>
      <c r="BO39620" s="43"/>
    </row>
    <row r="39621" spans="65:67" ht="18.75" customHeight="1">
      <c r="BM39621" s="1025"/>
      <c r="BO39621" s="43"/>
    </row>
    <row r="39622" spans="65:67" ht="18.75" customHeight="1">
      <c r="BM39622" s="1025"/>
      <c r="BO39622" s="43"/>
    </row>
    <row r="39623" spans="65:67" ht="18.75" customHeight="1">
      <c r="BM39623" s="1025"/>
      <c r="BO39623" s="43"/>
    </row>
    <row r="39624" spans="65:67" ht="18.75" customHeight="1">
      <c r="BM39624" s="1025"/>
      <c r="BO39624" s="43"/>
    </row>
    <row r="39625" spans="65:67" ht="18.75" customHeight="1">
      <c r="BM39625" s="1025"/>
      <c r="BO39625" s="43"/>
    </row>
    <row r="39626" spans="65:67" ht="18.75" customHeight="1">
      <c r="BM39626" s="1025"/>
      <c r="BO39626" s="43"/>
    </row>
    <row r="39627" spans="65:67" ht="18.75" customHeight="1">
      <c r="BM39627" s="1025"/>
      <c r="BO39627" s="43"/>
    </row>
    <row r="39628" spans="65:67" ht="18.75" customHeight="1">
      <c r="BM39628" s="1025"/>
      <c r="BO39628" s="43"/>
    </row>
    <row r="39629" spans="65:67" ht="18.75" customHeight="1">
      <c r="BM39629" s="1025"/>
      <c r="BO39629" s="43"/>
    </row>
    <row r="39630" spans="65:67" ht="18.75" customHeight="1">
      <c r="BM39630" s="1025"/>
      <c r="BO39630" s="43"/>
    </row>
    <row r="39631" spans="65:67" ht="18.75" customHeight="1">
      <c r="BM39631" s="1025"/>
      <c r="BO39631" s="43"/>
    </row>
    <row r="39632" spans="65:67" ht="18.75" customHeight="1">
      <c r="BM39632" s="1025"/>
      <c r="BO39632" s="43"/>
    </row>
    <row r="39633" spans="65:67" ht="18.75" customHeight="1">
      <c r="BM39633" s="1025"/>
      <c r="BO39633" s="43"/>
    </row>
    <row r="39634" spans="65:67" ht="18.75" customHeight="1">
      <c r="BM39634" s="1025"/>
      <c r="BO39634" s="43"/>
    </row>
    <row r="39635" spans="65:67" ht="18.75" customHeight="1">
      <c r="BM39635" s="1025"/>
      <c r="BO39635" s="43"/>
    </row>
    <row r="39636" spans="65:67" ht="18.75" customHeight="1">
      <c r="BM39636" s="1025"/>
      <c r="BO39636" s="43"/>
    </row>
    <row r="39637" spans="65:67" ht="18.75" customHeight="1">
      <c r="BM39637" s="1025"/>
      <c r="BO39637" s="43"/>
    </row>
    <row r="39638" spans="65:67" ht="18.75" customHeight="1">
      <c r="BM39638" s="1025"/>
      <c r="BO39638" s="43"/>
    </row>
    <row r="39639" spans="65:67" ht="18.75" customHeight="1">
      <c r="BM39639" s="1025"/>
      <c r="BO39639" s="43"/>
    </row>
    <row r="39640" spans="65:67" ht="18.75" customHeight="1">
      <c r="BM39640" s="1025"/>
      <c r="BO39640" s="43"/>
    </row>
    <row r="39641" spans="65:67" ht="18.75" customHeight="1">
      <c r="BM39641" s="1025"/>
      <c r="BO39641" s="43"/>
    </row>
    <row r="39642" spans="65:67" ht="18.75" customHeight="1">
      <c r="BM39642" s="1025"/>
      <c r="BO39642" s="43"/>
    </row>
    <row r="39643" spans="65:67" ht="18.75" customHeight="1">
      <c r="BM39643" s="1025"/>
      <c r="BO39643" s="43"/>
    </row>
    <row r="39644" spans="65:67" ht="18.75" customHeight="1">
      <c r="BM39644" s="1025"/>
      <c r="BO39644" s="43"/>
    </row>
    <row r="39645" spans="65:67" ht="18.75" customHeight="1">
      <c r="BM39645" s="1025"/>
      <c r="BO39645" s="43"/>
    </row>
    <row r="39646" spans="65:67" ht="18.75" customHeight="1">
      <c r="BM39646" s="1025"/>
      <c r="BO39646" s="43"/>
    </row>
    <row r="39647" spans="65:67" ht="18.75" customHeight="1">
      <c r="BM39647" s="1025"/>
      <c r="BO39647" s="43"/>
    </row>
    <row r="39648" spans="65:67" ht="18.75" customHeight="1">
      <c r="BM39648" s="1025"/>
      <c r="BO39648" s="43"/>
    </row>
    <row r="39649" spans="65:67" ht="18.75" customHeight="1">
      <c r="BM39649" s="1025"/>
      <c r="BO39649" s="43"/>
    </row>
    <row r="39650" spans="65:67" ht="18.75" customHeight="1">
      <c r="BM39650" s="1025"/>
      <c r="BO39650" s="43"/>
    </row>
    <row r="39651" spans="65:67" ht="18.75" customHeight="1">
      <c r="BM39651" s="1025"/>
      <c r="BO39651" s="43"/>
    </row>
    <row r="39652" spans="65:67" ht="18.75" customHeight="1">
      <c r="BM39652" s="1025"/>
      <c r="BO39652" s="43"/>
    </row>
    <row r="39653" spans="65:67" ht="18.75" customHeight="1">
      <c r="BM39653" s="1025"/>
      <c r="BO39653" s="43"/>
    </row>
    <row r="39654" spans="65:67" ht="18.75" customHeight="1">
      <c r="BM39654" s="1025"/>
      <c r="BO39654" s="43"/>
    </row>
    <row r="39655" spans="65:67" ht="18.75" customHeight="1">
      <c r="BM39655" s="1025"/>
      <c r="BO39655" s="43"/>
    </row>
    <row r="39656" spans="65:67" ht="18.75" customHeight="1">
      <c r="BM39656" s="1025"/>
      <c r="BO39656" s="43"/>
    </row>
    <row r="39657" spans="65:67" ht="18.75" customHeight="1">
      <c r="BM39657" s="1025"/>
      <c r="BO39657" s="43"/>
    </row>
    <row r="39658" spans="65:67" ht="18.75" customHeight="1">
      <c r="BM39658" s="1025"/>
      <c r="BO39658" s="43"/>
    </row>
    <row r="39659" spans="65:67" ht="18.75" customHeight="1">
      <c r="BM39659" s="1025"/>
      <c r="BO39659" s="43"/>
    </row>
    <row r="39660" spans="65:67" ht="18.75" customHeight="1">
      <c r="BM39660" s="1025"/>
      <c r="BO39660" s="43"/>
    </row>
    <row r="39661" spans="65:67" ht="18.75" customHeight="1">
      <c r="BM39661" s="1025"/>
      <c r="BO39661" s="43"/>
    </row>
    <row r="39662" spans="65:67" ht="18.75" customHeight="1">
      <c r="BM39662" s="1025"/>
      <c r="BO39662" s="43"/>
    </row>
    <row r="39663" spans="65:67" ht="18.75" customHeight="1">
      <c r="BM39663" s="1025"/>
      <c r="BO39663" s="43"/>
    </row>
    <row r="39664" spans="65:67" ht="18.75" customHeight="1">
      <c r="BM39664" s="1025"/>
      <c r="BO39664" s="43"/>
    </row>
    <row r="39665" spans="65:67" ht="18.75" customHeight="1">
      <c r="BM39665" s="1025"/>
      <c r="BO39665" s="43"/>
    </row>
    <row r="39666" spans="65:67" ht="18.75" customHeight="1">
      <c r="BM39666" s="1025"/>
      <c r="BO39666" s="43"/>
    </row>
    <row r="39667" spans="65:67" ht="18.75" customHeight="1">
      <c r="BM39667" s="1025"/>
      <c r="BO39667" s="43"/>
    </row>
    <row r="39668" spans="65:67" ht="18.75" customHeight="1">
      <c r="BM39668" s="1025"/>
      <c r="BO39668" s="43"/>
    </row>
    <row r="39669" spans="65:67" ht="18.75" customHeight="1">
      <c r="BM39669" s="1025"/>
      <c r="BO39669" s="43"/>
    </row>
    <row r="39670" spans="65:67" ht="18.75" customHeight="1">
      <c r="BM39670" s="1025"/>
      <c r="BO39670" s="43"/>
    </row>
    <row r="39671" spans="65:67" ht="18.75" customHeight="1">
      <c r="BM39671" s="1025"/>
      <c r="BO39671" s="43"/>
    </row>
    <row r="39672" spans="65:67" ht="18.75" customHeight="1">
      <c r="BM39672" s="1025"/>
      <c r="BO39672" s="43"/>
    </row>
    <row r="39673" spans="65:67" ht="18.75" customHeight="1">
      <c r="BM39673" s="1025"/>
      <c r="BO39673" s="43"/>
    </row>
    <row r="39674" spans="65:67" ht="18.75" customHeight="1">
      <c r="BM39674" s="1025"/>
      <c r="BO39674" s="43"/>
    </row>
    <row r="39675" spans="65:67" ht="18.75" customHeight="1">
      <c r="BM39675" s="1025"/>
      <c r="BO39675" s="43"/>
    </row>
    <row r="39676" spans="65:67" ht="18.75" customHeight="1">
      <c r="BM39676" s="1025"/>
      <c r="BO39676" s="43"/>
    </row>
    <row r="39677" spans="65:67" ht="18.75" customHeight="1">
      <c r="BM39677" s="1025"/>
      <c r="BO39677" s="43"/>
    </row>
    <row r="39678" spans="65:67" ht="18.75" customHeight="1">
      <c r="BM39678" s="1025"/>
      <c r="BO39678" s="43"/>
    </row>
    <row r="39679" spans="65:67" ht="18.75" customHeight="1">
      <c r="BM39679" s="1025"/>
      <c r="BO39679" s="43"/>
    </row>
    <row r="39680" spans="65:67" ht="18.75" customHeight="1">
      <c r="BM39680" s="1025"/>
      <c r="BO39680" s="43"/>
    </row>
    <row r="39681" spans="65:67" ht="18.75" customHeight="1">
      <c r="BM39681" s="1025"/>
      <c r="BO39681" s="43"/>
    </row>
    <row r="39682" spans="65:67" ht="18.75" customHeight="1">
      <c r="BM39682" s="1025"/>
      <c r="BO39682" s="43"/>
    </row>
    <row r="39683" spans="65:67" ht="18.75" customHeight="1">
      <c r="BM39683" s="1025"/>
      <c r="BO39683" s="43"/>
    </row>
    <row r="39684" spans="65:67" ht="18.75" customHeight="1">
      <c r="BM39684" s="1025"/>
      <c r="BO39684" s="43"/>
    </row>
    <row r="39685" spans="65:67" ht="18.75" customHeight="1">
      <c r="BM39685" s="1025"/>
      <c r="BO39685" s="43"/>
    </row>
    <row r="39686" spans="65:67" ht="18.75" customHeight="1">
      <c r="BM39686" s="1025"/>
      <c r="BO39686" s="43"/>
    </row>
    <row r="39687" spans="65:67" ht="18.75" customHeight="1">
      <c r="BM39687" s="1025"/>
      <c r="BO39687" s="43"/>
    </row>
    <row r="39688" spans="65:67" ht="18.75" customHeight="1">
      <c r="BM39688" s="1025"/>
      <c r="BO39688" s="43"/>
    </row>
    <row r="39689" spans="65:67" ht="18.75" customHeight="1">
      <c r="BM39689" s="1025"/>
      <c r="BO39689" s="43"/>
    </row>
    <row r="39690" spans="65:67" ht="18.75" customHeight="1">
      <c r="BM39690" s="1025"/>
      <c r="BO39690" s="43"/>
    </row>
    <row r="39691" spans="65:67" ht="18.75" customHeight="1">
      <c r="BM39691" s="1025"/>
      <c r="BO39691" s="43"/>
    </row>
    <row r="39692" spans="65:67" ht="18.75" customHeight="1">
      <c r="BM39692" s="1025"/>
      <c r="BO39692" s="43"/>
    </row>
    <row r="39693" spans="65:67" ht="18.75" customHeight="1">
      <c r="BM39693" s="1025"/>
      <c r="BO39693" s="43"/>
    </row>
    <row r="39694" spans="65:67" ht="18.75" customHeight="1">
      <c r="BM39694" s="1025"/>
      <c r="BO39694" s="43"/>
    </row>
    <row r="39695" spans="65:67" ht="18.75" customHeight="1">
      <c r="BM39695" s="1025"/>
      <c r="BO39695" s="43"/>
    </row>
    <row r="39696" spans="65:67" ht="18.75" customHeight="1">
      <c r="BM39696" s="1025"/>
      <c r="BO39696" s="43"/>
    </row>
    <row r="39697" spans="65:67" ht="18.75" customHeight="1">
      <c r="BM39697" s="1025"/>
      <c r="BO39697" s="43"/>
    </row>
    <row r="39698" spans="65:67" ht="18.75" customHeight="1">
      <c r="BM39698" s="1025"/>
      <c r="BO39698" s="43"/>
    </row>
    <row r="39699" spans="65:67" ht="18.75" customHeight="1">
      <c r="BM39699" s="1025"/>
      <c r="BO39699" s="43"/>
    </row>
    <row r="39700" spans="65:67" ht="18.75" customHeight="1">
      <c r="BM39700" s="1025"/>
      <c r="BO39700" s="43"/>
    </row>
    <row r="39701" spans="65:67" ht="18.75" customHeight="1">
      <c r="BM39701" s="1025"/>
      <c r="BO39701" s="43"/>
    </row>
    <row r="39702" spans="65:67" ht="18.75" customHeight="1">
      <c r="BM39702" s="1025"/>
      <c r="BO39702" s="43"/>
    </row>
    <row r="39703" spans="65:67" ht="18.75" customHeight="1">
      <c r="BM39703" s="1025"/>
      <c r="BO39703" s="43"/>
    </row>
    <row r="39704" spans="65:67" ht="18.75" customHeight="1">
      <c r="BM39704" s="1025"/>
      <c r="BO39704" s="43"/>
    </row>
    <row r="39705" spans="65:67" ht="18.75" customHeight="1">
      <c r="BM39705" s="1025"/>
      <c r="BO39705" s="43"/>
    </row>
    <row r="39706" spans="65:67" ht="18.75" customHeight="1">
      <c r="BM39706" s="1025"/>
      <c r="BO39706" s="43"/>
    </row>
    <row r="39707" spans="65:67" ht="18.75" customHeight="1">
      <c r="BM39707" s="1025"/>
      <c r="BO39707" s="43"/>
    </row>
    <row r="39708" spans="65:67" ht="18.75" customHeight="1">
      <c r="BM39708" s="1025"/>
      <c r="BO39708" s="43"/>
    </row>
    <row r="39709" spans="65:67" ht="18.75" customHeight="1">
      <c r="BM39709" s="1025"/>
      <c r="BO39709" s="43"/>
    </row>
    <row r="39710" spans="65:67" ht="18.75" customHeight="1">
      <c r="BM39710" s="1025"/>
      <c r="BO39710" s="43"/>
    </row>
    <row r="39711" spans="65:67" ht="18.75" customHeight="1">
      <c r="BM39711" s="1025"/>
      <c r="BO39711" s="43"/>
    </row>
    <row r="39712" spans="65:67" ht="18.75" customHeight="1">
      <c r="BM39712" s="1025"/>
      <c r="BO39712" s="43"/>
    </row>
    <row r="39713" spans="65:67" ht="18.75" customHeight="1">
      <c r="BM39713" s="1025"/>
      <c r="BO39713" s="43"/>
    </row>
    <row r="39714" spans="65:67" ht="18.75" customHeight="1">
      <c r="BM39714" s="1025"/>
      <c r="BO39714" s="43"/>
    </row>
    <row r="39715" spans="65:67" ht="18.75" customHeight="1">
      <c r="BM39715" s="1025"/>
      <c r="BO39715" s="43"/>
    </row>
    <row r="39716" spans="65:67" ht="18.75" customHeight="1">
      <c r="BM39716" s="1025"/>
      <c r="BO39716" s="43"/>
    </row>
    <row r="39717" spans="65:67" ht="18.75" customHeight="1">
      <c r="BM39717" s="1025"/>
      <c r="BO39717" s="43"/>
    </row>
    <row r="39718" spans="65:67" ht="18.75" customHeight="1">
      <c r="BM39718" s="1025"/>
      <c r="BO39718" s="43"/>
    </row>
    <row r="39719" spans="65:67" ht="18.75" customHeight="1">
      <c r="BM39719" s="1025"/>
      <c r="BO39719" s="43"/>
    </row>
    <row r="39720" spans="65:67" ht="18.75" customHeight="1">
      <c r="BM39720" s="1025"/>
      <c r="BO39720" s="43"/>
    </row>
    <row r="39721" spans="65:67" ht="18.75" customHeight="1">
      <c r="BM39721" s="1025"/>
      <c r="BO39721" s="43"/>
    </row>
    <row r="39722" spans="65:67" ht="18.75" customHeight="1">
      <c r="BM39722" s="1025"/>
      <c r="BO39722" s="43"/>
    </row>
    <row r="39723" spans="65:67" ht="18.75" customHeight="1">
      <c r="BM39723" s="1025"/>
      <c r="BO39723" s="43"/>
    </row>
    <row r="39724" spans="65:67" ht="18.75" customHeight="1">
      <c r="BM39724" s="1025"/>
      <c r="BO39724" s="43"/>
    </row>
    <row r="39725" spans="65:67" ht="18.75" customHeight="1">
      <c r="BM39725" s="1025"/>
      <c r="BO39725" s="43"/>
    </row>
    <row r="39726" spans="65:67" ht="18.75" customHeight="1">
      <c r="BM39726" s="1025"/>
      <c r="BO39726" s="43"/>
    </row>
    <row r="39727" spans="65:67" ht="18.75" customHeight="1">
      <c r="BM39727" s="1025"/>
      <c r="BO39727" s="43"/>
    </row>
    <row r="39728" spans="65:67" ht="18.75" customHeight="1">
      <c r="BM39728" s="1025"/>
      <c r="BO39728" s="43"/>
    </row>
    <row r="39729" spans="65:67" ht="18.75" customHeight="1">
      <c r="BM39729" s="1025"/>
      <c r="BO39729" s="43"/>
    </row>
    <row r="39730" spans="65:67" ht="18.75" customHeight="1">
      <c r="BM39730" s="1025"/>
      <c r="BO39730" s="43"/>
    </row>
    <row r="39731" spans="65:67" ht="18.75" customHeight="1">
      <c r="BM39731" s="1025"/>
      <c r="BO39731" s="43"/>
    </row>
    <row r="39732" spans="65:67" ht="18.75" customHeight="1">
      <c r="BM39732" s="1025"/>
      <c r="BO39732" s="43"/>
    </row>
    <row r="39733" spans="65:67" ht="18.75" customHeight="1">
      <c r="BM39733" s="1025"/>
      <c r="BO39733" s="43"/>
    </row>
    <row r="39734" spans="65:67" ht="18.75" customHeight="1">
      <c r="BM39734" s="1025"/>
      <c r="BO39734" s="43"/>
    </row>
    <row r="39735" spans="65:67" ht="18.75" customHeight="1">
      <c r="BM39735" s="1025"/>
      <c r="BO39735" s="43"/>
    </row>
    <row r="39736" spans="65:67" ht="18.75" customHeight="1">
      <c r="BM39736" s="1025"/>
      <c r="BO39736" s="43"/>
    </row>
    <row r="39737" spans="65:67" ht="18.75" customHeight="1">
      <c r="BM39737" s="1025"/>
      <c r="BO39737" s="43"/>
    </row>
    <row r="39738" spans="65:67" ht="18.75" customHeight="1">
      <c r="BM39738" s="1025"/>
      <c r="BO39738" s="43"/>
    </row>
    <row r="39739" spans="65:67" ht="18.75" customHeight="1">
      <c r="BM39739" s="1025"/>
      <c r="BO39739" s="43"/>
    </row>
    <row r="39740" spans="65:67" ht="18.75" customHeight="1">
      <c r="BM39740" s="1025"/>
      <c r="BO39740" s="43"/>
    </row>
    <row r="39741" spans="65:67" ht="18.75" customHeight="1">
      <c r="BM39741" s="1025"/>
      <c r="BO39741" s="43"/>
    </row>
    <row r="39742" spans="65:67" ht="18.75" customHeight="1">
      <c r="BM39742" s="1025"/>
      <c r="BO39742" s="43"/>
    </row>
    <row r="39743" spans="65:67" ht="18.75" customHeight="1">
      <c r="BM39743" s="1025"/>
      <c r="BO39743" s="43"/>
    </row>
    <row r="39744" spans="65:67" ht="18.75" customHeight="1">
      <c r="BM39744" s="1025"/>
      <c r="BO39744" s="43"/>
    </row>
    <row r="39745" spans="65:67" ht="18.75" customHeight="1">
      <c r="BM39745" s="1025"/>
      <c r="BO39745" s="43"/>
    </row>
    <row r="39746" spans="65:67" ht="18.75" customHeight="1">
      <c r="BM39746" s="1025"/>
      <c r="BO39746" s="43"/>
    </row>
    <row r="39747" spans="65:67" ht="18.75" customHeight="1">
      <c r="BM39747" s="1025"/>
      <c r="BO39747" s="43"/>
    </row>
    <row r="39748" spans="65:67" ht="18.75" customHeight="1">
      <c r="BM39748" s="1025"/>
      <c r="BO39748" s="43"/>
    </row>
    <row r="39749" spans="65:67" ht="18.75" customHeight="1">
      <c r="BM39749" s="1025"/>
      <c r="BO39749" s="43"/>
    </row>
    <row r="39750" spans="65:67" ht="18.75" customHeight="1">
      <c r="BM39750" s="1025"/>
      <c r="BO39750" s="43"/>
    </row>
    <row r="39751" spans="65:67" ht="18.75" customHeight="1">
      <c r="BM39751" s="1025"/>
      <c r="BO39751" s="43"/>
    </row>
    <row r="39752" spans="65:67" ht="18.75" customHeight="1">
      <c r="BM39752" s="1025"/>
      <c r="BO39752" s="43"/>
    </row>
    <row r="39753" spans="65:67" ht="18.75" customHeight="1">
      <c r="BM39753" s="1025"/>
      <c r="BO39753" s="43"/>
    </row>
    <row r="39754" spans="65:67" ht="18.75" customHeight="1">
      <c r="BM39754" s="1025"/>
      <c r="BO39754" s="43"/>
    </row>
    <row r="39755" spans="65:67" ht="18.75" customHeight="1">
      <c r="BM39755" s="1025"/>
      <c r="BO39755" s="43"/>
    </row>
    <row r="39756" spans="65:67" ht="18.75" customHeight="1">
      <c r="BM39756" s="1025"/>
      <c r="BO39756" s="43"/>
    </row>
    <row r="39757" spans="65:67" ht="18.75" customHeight="1">
      <c r="BM39757" s="1025"/>
      <c r="BO39757" s="43"/>
    </row>
    <row r="39758" spans="65:67" ht="18.75" customHeight="1">
      <c r="BM39758" s="1025"/>
      <c r="BO39758" s="43"/>
    </row>
    <row r="39759" spans="65:67" ht="18.75" customHeight="1">
      <c r="BM39759" s="1025"/>
      <c r="BO39759" s="43"/>
    </row>
    <row r="39760" spans="65:67" ht="18.75" customHeight="1">
      <c r="BM39760" s="1025"/>
      <c r="BO39760" s="43"/>
    </row>
    <row r="39761" spans="65:67" ht="18.75" customHeight="1">
      <c r="BM39761" s="1025"/>
      <c r="BO39761" s="43"/>
    </row>
    <row r="39762" spans="65:67" ht="18.75" customHeight="1">
      <c r="BM39762" s="1025"/>
      <c r="BO39762" s="43"/>
    </row>
    <row r="39763" spans="65:67" ht="18.75" customHeight="1">
      <c r="BM39763" s="1025"/>
      <c r="BO39763" s="43"/>
    </row>
    <row r="39764" spans="65:67" ht="18.75" customHeight="1">
      <c r="BM39764" s="1025"/>
      <c r="BO39764" s="43"/>
    </row>
    <row r="39765" spans="65:67" ht="18.75" customHeight="1">
      <c r="BM39765" s="1025"/>
      <c r="BO39765" s="43"/>
    </row>
    <row r="39766" spans="65:67" ht="18.75" customHeight="1">
      <c r="BM39766" s="1025"/>
      <c r="BO39766" s="43"/>
    </row>
    <row r="39767" spans="65:67" ht="18.75" customHeight="1">
      <c r="BM39767" s="1025"/>
      <c r="BO39767" s="43"/>
    </row>
    <row r="39768" spans="65:67" ht="18.75" customHeight="1">
      <c r="BM39768" s="1025"/>
      <c r="BO39768" s="43"/>
    </row>
    <row r="39769" spans="65:67" ht="18.75" customHeight="1">
      <c r="BM39769" s="1025"/>
      <c r="BO39769" s="43"/>
    </row>
    <row r="39770" spans="65:67" ht="18.75" customHeight="1">
      <c r="BM39770" s="1025"/>
      <c r="BO39770" s="43"/>
    </row>
    <row r="39771" spans="65:67" ht="18.75" customHeight="1">
      <c r="BM39771" s="1025"/>
      <c r="BO39771" s="43"/>
    </row>
    <row r="39772" spans="65:67" ht="18.75" customHeight="1">
      <c r="BM39772" s="1025"/>
      <c r="BO39772" s="43"/>
    </row>
    <row r="39773" spans="65:67" ht="18.75" customHeight="1">
      <c r="BM39773" s="1025"/>
      <c r="BO39773" s="43"/>
    </row>
    <row r="39774" spans="65:67" ht="18.75" customHeight="1">
      <c r="BM39774" s="1025"/>
      <c r="BO39774" s="43"/>
    </row>
    <row r="39775" spans="65:67" ht="18.75" customHeight="1">
      <c r="BM39775" s="1025"/>
      <c r="BO39775" s="43"/>
    </row>
    <row r="39776" spans="65:67" ht="18.75" customHeight="1">
      <c r="BM39776" s="1025"/>
      <c r="BO39776" s="43"/>
    </row>
    <row r="39777" spans="65:67" ht="18.75" customHeight="1">
      <c r="BM39777" s="1025"/>
      <c r="BO39777" s="43"/>
    </row>
    <row r="39778" spans="65:67" ht="18.75" customHeight="1">
      <c r="BM39778" s="1025"/>
      <c r="BO39778" s="43"/>
    </row>
    <row r="39779" spans="65:67" ht="18.75" customHeight="1">
      <c r="BM39779" s="1025"/>
      <c r="BO39779" s="43"/>
    </row>
    <row r="39780" spans="65:67" ht="18.75" customHeight="1">
      <c r="BM39780" s="1025"/>
      <c r="BO39780" s="43"/>
    </row>
    <row r="39781" spans="65:67" ht="18.75" customHeight="1">
      <c r="BM39781" s="1025"/>
      <c r="BO39781" s="43"/>
    </row>
    <row r="39782" spans="65:67" ht="18.75" customHeight="1">
      <c r="BM39782" s="1025"/>
      <c r="BO39782" s="43"/>
    </row>
    <row r="39783" spans="65:67" ht="18.75" customHeight="1">
      <c r="BM39783" s="1025"/>
      <c r="BO39783" s="43"/>
    </row>
    <row r="39784" spans="65:67" ht="18.75" customHeight="1">
      <c r="BM39784" s="1025"/>
      <c r="BO39784" s="43"/>
    </row>
    <row r="39785" spans="65:67" ht="18.75" customHeight="1">
      <c r="BM39785" s="1025"/>
      <c r="BO39785" s="43"/>
    </row>
    <row r="39786" spans="65:67" ht="18.75" customHeight="1">
      <c r="BM39786" s="1025"/>
      <c r="BO39786" s="43"/>
    </row>
    <row r="39787" spans="65:67" ht="18.75" customHeight="1">
      <c r="BM39787" s="1025"/>
      <c r="BO39787" s="43"/>
    </row>
    <row r="39788" spans="65:67" ht="18.75" customHeight="1">
      <c r="BM39788" s="1025"/>
      <c r="BO39788" s="43"/>
    </row>
    <row r="39789" spans="65:67" ht="18.75" customHeight="1">
      <c r="BM39789" s="1025"/>
      <c r="BO39789" s="43"/>
    </row>
    <row r="39790" spans="65:67" ht="18.75" customHeight="1">
      <c r="BM39790" s="1025"/>
      <c r="BO39790" s="43"/>
    </row>
    <row r="39791" spans="65:67" ht="18.75" customHeight="1">
      <c r="BM39791" s="1025"/>
      <c r="BO39791" s="43"/>
    </row>
    <row r="39792" spans="65:67" ht="18.75" customHeight="1">
      <c r="BM39792" s="1025"/>
      <c r="BO39792" s="43"/>
    </row>
    <row r="39793" spans="65:67" ht="18.75" customHeight="1">
      <c r="BM39793" s="1025"/>
      <c r="BO39793" s="43"/>
    </row>
    <row r="39794" spans="65:67" ht="18.75" customHeight="1">
      <c r="BM39794" s="1025"/>
      <c r="BO39794" s="43"/>
    </row>
    <row r="39795" spans="65:67" ht="18.75" customHeight="1">
      <c r="BM39795" s="1025"/>
      <c r="BO39795" s="43"/>
    </row>
    <row r="39796" spans="65:67" ht="18.75" customHeight="1">
      <c r="BM39796" s="1025"/>
      <c r="BO39796" s="43"/>
    </row>
    <row r="39797" spans="65:67" ht="18.75" customHeight="1">
      <c r="BM39797" s="1025"/>
      <c r="BO39797" s="43"/>
    </row>
    <row r="39798" spans="65:67" ht="18.75" customHeight="1">
      <c r="BM39798" s="1025"/>
      <c r="BO39798" s="43"/>
    </row>
    <row r="39799" spans="65:67" ht="18.75" customHeight="1">
      <c r="BM39799" s="1025"/>
      <c r="BO39799" s="43"/>
    </row>
    <row r="39800" spans="65:67" ht="18.75" customHeight="1">
      <c r="BM39800" s="1025"/>
      <c r="BO39800" s="43"/>
    </row>
    <row r="39801" spans="65:67" ht="18.75" customHeight="1">
      <c r="BM39801" s="1025"/>
      <c r="BO39801" s="43"/>
    </row>
    <row r="39802" spans="65:67" ht="18.75" customHeight="1">
      <c r="BM39802" s="1025"/>
      <c r="BO39802" s="43"/>
    </row>
    <row r="39803" spans="65:67" ht="18.75" customHeight="1">
      <c r="BM39803" s="1025"/>
      <c r="BO39803" s="43"/>
    </row>
    <row r="39804" spans="65:67" ht="18.75" customHeight="1">
      <c r="BM39804" s="1025"/>
      <c r="BO39804" s="43"/>
    </row>
    <row r="39805" spans="65:67" ht="18.75" customHeight="1">
      <c r="BM39805" s="1025"/>
      <c r="BO39805" s="43"/>
    </row>
    <row r="39806" spans="65:67" ht="18.75" customHeight="1">
      <c r="BM39806" s="1025"/>
      <c r="BO39806" s="43"/>
    </row>
    <row r="39807" spans="65:67" ht="18.75" customHeight="1">
      <c r="BM39807" s="1025"/>
      <c r="BO39807" s="43"/>
    </row>
    <row r="39808" spans="65:67" ht="18.75" customHeight="1">
      <c r="BM39808" s="1025"/>
      <c r="BO39808" s="43"/>
    </row>
    <row r="39809" spans="65:67" ht="18.75" customHeight="1">
      <c r="BM39809" s="1025"/>
      <c r="BO39809" s="43"/>
    </row>
    <row r="39810" spans="65:67" ht="18.75" customHeight="1">
      <c r="BM39810" s="1025"/>
      <c r="BO39810" s="43"/>
    </row>
    <row r="39811" spans="65:67" ht="18.75" customHeight="1">
      <c r="BM39811" s="1025"/>
      <c r="BO39811" s="43"/>
    </row>
    <row r="39812" spans="65:67" ht="18.75" customHeight="1">
      <c r="BM39812" s="1025"/>
      <c r="BO39812" s="43"/>
    </row>
    <row r="39813" spans="65:67" ht="18.75" customHeight="1">
      <c r="BM39813" s="1025"/>
      <c r="BO39813" s="43"/>
    </row>
    <row r="39814" spans="65:67" ht="18.75" customHeight="1">
      <c r="BM39814" s="1025"/>
      <c r="BO39814" s="43"/>
    </row>
    <row r="39815" spans="65:67" ht="18.75" customHeight="1">
      <c r="BM39815" s="1025"/>
      <c r="BO39815" s="43"/>
    </row>
    <row r="39816" spans="65:67" ht="18.75" customHeight="1">
      <c r="BM39816" s="1025"/>
      <c r="BO39816" s="43"/>
    </row>
    <row r="39817" spans="65:67" ht="18.75" customHeight="1">
      <c r="BM39817" s="1025"/>
      <c r="BO39817" s="43"/>
    </row>
    <row r="39818" spans="65:67" ht="18.75" customHeight="1">
      <c r="BM39818" s="1025"/>
      <c r="BO39818" s="43"/>
    </row>
    <row r="39819" spans="65:67" ht="18.75" customHeight="1">
      <c r="BM39819" s="1025"/>
      <c r="BO39819" s="43"/>
    </row>
    <row r="39820" spans="65:67" ht="18.75" customHeight="1">
      <c r="BM39820" s="1025"/>
      <c r="BO39820" s="43"/>
    </row>
    <row r="39821" spans="65:67" ht="18.75" customHeight="1">
      <c r="BM39821" s="1025"/>
      <c r="BO39821" s="43"/>
    </row>
    <row r="39822" spans="65:67" ht="18.75" customHeight="1">
      <c r="BM39822" s="1025"/>
      <c r="BO39822" s="43"/>
    </row>
    <row r="39823" spans="65:67" ht="18.75" customHeight="1">
      <c r="BM39823" s="1025"/>
      <c r="BO39823" s="43"/>
    </row>
    <row r="39824" spans="65:67" ht="18.75" customHeight="1">
      <c r="BM39824" s="1025"/>
      <c r="BO39824" s="43"/>
    </row>
    <row r="39825" spans="65:67" ht="18.75" customHeight="1">
      <c r="BM39825" s="1025"/>
      <c r="BO39825" s="43"/>
    </row>
    <row r="39826" spans="65:67" ht="18.75" customHeight="1">
      <c r="BM39826" s="1025"/>
      <c r="BO39826" s="43"/>
    </row>
    <row r="39827" spans="65:67" ht="18.75" customHeight="1">
      <c r="BM39827" s="1025"/>
      <c r="BO39827" s="43"/>
    </row>
    <row r="39828" spans="65:67" ht="18.75" customHeight="1">
      <c r="BM39828" s="1025"/>
      <c r="BO39828" s="43"/>
    </row>
    <row r="39829" spans="65:67" ht="18.75" customHeight="1">
      <c r="BM39829" s="1025"/>
      <c r="BO39829" s="43"/>
    </row>
    <row r="39830" spans="65:67" ht="18.75" customHeight="1">
      <c r="BM39830" s="1025"/>
      <c r="BO39830" s="43"/>
    </row>
    <row r="39831" spans="65:67" ht="18.75" customHeight="1">
      <c r="BM39831" s="1025"/>
      <c r="BO39831" s="43"/>
    </row>
    <row r="39832" spans="65:67" ht="18.75" customHeight="1">
      <c r="BM39832" s="1025"/>
      <c r="BO39832" s="43"/>
    </row>
    <row r="39833" spans="65:67" ht="18.75" customHeight="1">
      <c r="BM39833" s="1025"/>
      <c r="BO39833" s="43"/>
    </row>
    <row r="39834" spans="65:67" ht="18.75" customHeight="1">
      <c r="BM39834" s="1025"/>
      <c r="BO39834" s="43"/>
    </row>
    <row r="39835" spans="65:67" ht="18.75" customHeight="1">
      <c r="BM39835" s="1025"/>
      <c r="BO39835" s="43"/>
    </row>
    <row r="39836" spans="65:67" ht="18.75" customHeight="1">
      <c r="BM39836" s="1025"/>
      <c r="BO39836" s="43"/>
    </row>
    <row r="39837" spans="65:67" ht="18.75" customHeight="1">
      <c r="BM39837" s="1025"/>
      <c r="BO39837" s="43"/>
    </row>
    <row r="39838" spans="65:67" ht="18.75" customHeight="1">
      <c r="BM39838" s="1025"/>
      <c r="BO39838" s="43"/>
    </row>
    <row r="39839" spans="65:67" ht="18.75" customHeight="1">
      <c r="BM39839" s="1025"/>
      <c r="BO39839" s="43"/>
    </row>
    <row r="39840" spans="65:67" ht="18.75" customHeight="1">
      <c r="BM39840" s="1025"/>
      <c r="BO39840" s="43"/>
    </row>
    <row r="39841" spans="65:67" ht="18.75" customHeight="1">
      <c r="BM39841" s="1025"/>
      <c r="BO39841" s="43"/>
    </row>
    <row r="39842" spans="65:67" ht="18.75" customHeight="1">
      <c r="BM39842" s="1025"/>
      <c r="BO39842" s="43"/>
    </row>
    <row r="39843" spans="65:67" ht="18.75" customHeight="1">
      <c r="BM39843" s="1025"/>
      <c r="BO39843" s="43"/>
    </row>
    <row r="39844" spans="65:67" ht="18.75" customHeight="1">
      <c r="BM39844" s="1025"/>
      <c r="BO39844" s="43"/>
    </row>
    <row r="39845" spans="65:67" ht="18.75" customHeight="1">
      <c r="BM39845" s="1025"/>
      <c r="BO39845" s="43"/>
    </row>
    <row r="39846" spans="65:67" ht="18.75" customHeight="1">
      <c r="BM39846" s="1025"/>
      <c r="BO39846" s="43"/>
    </row>
    <row r="39847" spans="65:67" ht="18.75" customHeight="1">
      <c r="BM39847" s="1025"/>
      <c r="BO39847" s="43"/>
    </row>
    <row r="39848" spans="65:67" ht="18.75" customHeight="1">
      <c r="BM39848" s="1025"/>
      <c r="BO39848" s="43"/>
    </row>
    <row r="39849" spans="65:67" ht="18.75" customHeight="1">
      <c r="BM39849" s="1025"/>
      <c r="BO39849" s="43"/>
    </row>
    <row r="39850" spans="65:67" ht="18.75" customHeight="1">
      <c r="BM39850" s="1025"/>
      <c r="BO39850" s="43"/>
    </row>
    <row r="39851" spans="65:67" ht="18.75" customHeight="1">
      <c r="BM39851" s="1025"/>
      <c r="BO39851" s="43"/>
    </row>
    <row r="39852" spans="65:67" ht="18.75" customHeight="1">
      <c r="BM39852" s="1025"/>
      <c r="BO39852" s="43"/>
    </row>
    <row r="39853" spans="65:67" ht="18.75" customHeight="1">
      <c r="BM39853" s="1025"/>
      <c r="BO39853" s="43"/>
    </row>
    <row r="39854" spans="65:67" ht="18.75" customHeight="1">
      <c r="BM39854" s="1025"/>
      <c r="BO39854" s="43"/>
    </row>
    <row r="39855" spans="65:67" ht="18.75" customHeight="1">
      <c r="BM39855" s="1025"/>
      <c r="BO39855" s="43"/>
    </row>
    <row r="39856" spans="65:67" ht="18.75" customHeight="1">
      <c r="BM39856" s="1025"/>
      <c r="BO39856" s="43"/>
    </row>
    <row r="39857" spans="65:67" ht="18.75" customHeight="1">
      <c r="BM39857" s="1025"/>
      <c r="BO39857" s="43"/>
    </row>
    <row r="39858" spans="65:67" ht="18.75" customHeight="1">
      <c r="BM39858" s="1025"/>
      <c r="BO39858" s="43"/>
    </row>
    <row r="39859" spans="65:67" ht="18.75" customHeight="1">
      <c r="BM39859" s="1025"/>
      <c r="BO39859" s="43"/>
    </row>
    <row r="39860" spans="65:67" ht="18.75" customHeight="1">
      <c r="BM39860" s="1025"/>
      <c r="BO39860" s="43"/>
    </row>
    <row r="39861" spans="65:67" ht="18.75" customHeight="1">
      <c r="BM39861" s="1025"/>
      <c r="BO39861" s="43"/>
    </row>
    <row r="39862" spans="65:67" ht="18.75" customHeight="1">
      <c r="BM39862" s="1025"/>
      <c r="BO39862" s="43"/>
    </row>
    <row r="39863" spans="65:67" ht="18.75" customHeight="1">
      <c r="BM39863" s="1025"/>
      <c r="BO39863" s="43"/>
    </row>
    <row r="39864" spans="65:67" ht="18.75" customHeight="1">
      <c r="BM39864" s="1025"/>
      <c r="BO39864" s="43"/>
    </row>
    <row r="39865" spans="65:67" ht="18.75" customHeight="1">
      <c r="BM39865" s="1025"/>
      <c r="BO39865" s="43"/>
    </row>
    <row r="39866" spans="65:67" ht="18.75" customHeight="1">
      <c r="BM39866" s="1025"/>
      <c r="BO39866" s="43"/>
    </row>
    <row r="39867" spans="65:67" ht="18.75" customHeight="1">
      <c r="BM39867" s="1025"/>
      <c r="BO39867" s="43"/>
    </row>
    <row r="39868" spans="65:67" ht="18.75" customHeight="1">
      <c r="BM39868" s="1025"/>
      <c r="BO39868" s="43"/>
    </row>
    <row r="39869" spans="65:67" ht="18.75" customHeight="1">
      <c r="BM39869" s="1025"/>
      <c r="BO39869" s="43"/>
    </row>
    <row r="39870" spans="65:67" ht="18.75" customHeight="1">
      <c r="BM39870" s="1025"/>
      <c r="BO39870" s="43"/>
    </row>
    <row r="39871" spans="65:67" ht="18.75" customHeight="1">
      <c r="BM39871" s="1025"/>
      <c r="BO39871" s="43"/>
    </row>
    <row r="39872" spans="65:67" ht="18.75" customHeight="1">
      <c r="BM39872" s="1025"/>
      <c r="BO39872" s="43"/>
    </row>
    <row r="39873" spans="65:67" ht="18.75" customHeight="1">
      <c r="BM39873" s="1025"/>
      <c r="BO39873" s="43"/>
    </row>
    <row r="39874" spans="65:67" ht="18.75" customHeight="1">
      <c r="BM39874" s="1025"/>
      <c r="BO39874" s="43"/>
    </row>
    <row r="39875" spans="65:67" ht="18.75" customHeight="1">
      <c r="BM39875" s="1025"/>
      <c r="BO39875" s="43"/>
    </row>
    <row r="39876" spans="65:67" ht="18.75" customHeight="1">
      <c r="BM39876" s="1025"/>
      <c r="BO39876" s="43"/>
    </row>
    <row r="39877" spans="65:67" ht="18.75" customHeight="1">
      <c r="BM39877" s="1025"/>
      <c r="BO39877" s="43"/>
    </row>
    <row r="39878" spans="65:67" ht="18.75" customHeight="1">
      <c r="BM39878" s="1025"/>
      <c r="BO39878" s="43"/>
    </row>
    <row r="39879" spans="65:67" ht="18.75" customHeight="1">
      <c r="BM39879" s="1025"/>
      <c r="BO39879" s="43"/>
    </row>
    <row r="39880" spans="65:67" ht="18.75" customHeight="1">
      <c r="BM39880" s="1025"/>
      <c r="BO39880" s="43"/>
    </row>
    <row r="39881" spans="65:67" ht="18.75" customHeight="1">
      <c r="BM39881" s="1025"/>
      <c r="BO39881" s="43"/>
    </row>
    <row r="39882" spans="65:67" ht="18.75" customHeight="1">
      <c r="BM39882" s="1025"/>
      <c r="BO39882" s="43"/>
    </row>
    <row r="39883" spans="65:67" ht="18.75" customHeight="1">
      <c r="BM39883" s="1025"/>
      <c r="BO39883" s="43"/>
    </row>
    <row r="39884" spans="65:67" ht="18.75" customHeight="1">
      <c r="BM39884" s="1025"/>
      <c r="BO39884" s="43"/>
    </row>
    <row r="39885" spans="65:67" ht="18.75" customHeight="1">
      <c r="BM39885" s="1025"/>
      <c r="BO39885" s="43"/>
    </row>
    <row r="39886" spans="65:67" ht="18.75" customHeight="1">
      <c r="BM39886" s="1025"/>
      <c r="BO39886" s="43"/>
    </row>
    <row r="39887" spans="65:67" ht="18.75" customHeight="1">
      <c r="BM39887" s="1025"/>
      <c r="BO39887" s="43"/>
    </row>
    <row r="39888" spans="65:67" ht="18.75" customHeight="1">
      <c r="BM39888" s="1025"/>
      <c r="BO39888" s="43"/>
    </row>
    <row r="39889" spans="65:67" ht="18.75" customHeight="1">
      <c r="BM39889" s="1025"/>
      <c r="BO39889" s="43"/>
    </row>
    <row r="39890" spans="65:67" ht="18.75" customHeight="1">
      <c r="BM39890" s="1025"/>
      <c r="BO39890" s="43"/>
    </row>
    <row r="39891" spans="65:67" ht="18.75" customHeight="1">
      <c r="BM39891" s="1025"/>
      <c r="BO39891" s="43"/>
    </row>
    <row r="39892" spans="65:67" ht="18.75" customHeight="1">
      <c r="BM39892" s="1025"/>
      <c r="BO39892" s="43"/>
    </row>
    <row r="39893" spans="65:67" ht="18.75" customHeight="1">
      <c r="BM39893" s="1025"/>
      <c r="BO39893" s="43"/>
    </row>
    <row r="39894" spans="65:67" ht="18.75" customHeight="1">
      <c r="BM39894" s="1025"/>
      <c r="BO39894" s="43"/>
    </row>
    <row r="39895" spans="65:67" ht="18.75" customHeight="1">
      <c r="BM39895" s="1025"/>
      <c r="BO39895" s="43"/>
    </row>
    <row r="39896" spans="65:67" ht="18.75" customHeight="1">
      <c r="BM39896" s="1025"/>
      <c r="BO39896" s="43"/>
    </row>
    <row r="39897" spans="65:67" ht="18.75" customHeight="1">
      <c r="BM39897" s="1025"/>
      <c r="BO39897" s="43"/>
    </row>
    <row r="39898" spans="65:67" ht="18.75" customHeight="1">
      <c r="BM39898" s="1025"/>
      <c r="BO39898" s="43"/>
    </row>
    <row r="39899" spans="65:67" ht="18.75" customHeight="1">
      <c r="BM39899" s="1025"/>
      <c r="BO39899" s="43"/>
    </row>
    <row r="39900" spans="65:67" ht="18.75" customHeight="1">
      <c r="BM39900" s="1025"/>
      <c r="BO39900" s="43"/>
    </row>
    <row r="39901" spans="65:67" ht="18.75" customHeight="1">
      <c r="BM39901" s="1025"/>
      <c r="BO39901" s="43"/>
    </row>
    <row r="39902" spans="65:67" ht="18.75" customHeight="1">
      <c r="BM39902" s="1025"/>
      <c r="BO39902" s="43"/>
    </row>
    <row r="39903" spans="65:67" ht="18.75" customHeight="1">
      <c r="BM39903" s="1025"/>
      <c r="BO39903" s="43"/>
    </row>
    <row r="39904" spans="65:67" ht="18.75" customHeight="1">
      <c r="BM39904" s="1025"/>
      <c r="BO39904" s="43"/>
    </row>
    <row r="39905" spans="65:67" ht="18.75" customHeight="1">
      <c r="BM39905" s="1025"/>
      <c r="BO39905" s="43"/>
    </row>
    <row r="39906" spans="65:67" ht="18.75" customHeight="1">
      <c r="BM39906" s="1025"/>
      <c r="BO39906" s="43"/>
    </row>
    <row r="39907" spans="65:67" ht="18.75" customHeight="1">
      <c r="BM39907" s="1025"/>
      <c r="BO39907" s="43"/>
    </row>
    <row r="39908" spans="65:67" ht="18.75" customHeight="1">
      <c r="BM39908" s="1025"/>
      <c r="BO39908" s="43"/>
    </row>
    <row r="39909" spans="65:67" ht="18.75" customHeight="1">
      <c r="BM39909" s="1025"/>
      <c r="BO39909" s="43"/>
    </row>
    <row r="39910" spans="65:67" ht="18.75" customHeight="1">
      <c r="BM39910" s="1025"/>
      <c r="BO39910" s="43"/>
    </row>
    <row r="39911" spans="65:67" ht="18.75" customHeight="1">
      <c r="BM39911" s="1025"/>
      <c r="BO39911" s="43"/>
    </row>
    <row r="39912" spans="65:67" ht="18.75" customHeight="1">
      <c r="BM39912" s="1025"/>
      <c r="BO39912" s="43"/>
    </row>
    <row r="39913" spans="65:67" ht="18.75" customHeight="1">
      <c r="BM39913" s="1025"/>
      <c r="BO39913" s="43"/>
    </row>
    <row r="39914" spans="65:67" ht="18.75" customHeight="1">
      <c r="BM39914" s="1025"/>
      <c r="BO39914" s="43"/>
    </row>
    <row r="39915" spans="65:67" ht="18.75" customHeight="1">
      <c r="BM39915" s="1025"/>
      <c r="BO39915" s="43"/>
    </row>
    <row r="39916" spans="65:67" ht="18.75" customHeight="1">
      <c r="BM39916" s="1025"/>
      <c r="BO39916" s="43"/>
    </row>
    <row r="39917" spans="65:67" ht="18.75" customHeight="1">
      <c r="BM39917" s="1025"/>
      <c r="BO39917" s="43"/>
    </row>
    <row r="39918" spans="65:67" ht="18.75" customHeight="1">
      <c r="BM39918" s="1025"/>
      <c r="BO39918" s="43"/>
    </row>
    <row r="39919" spans="65:67" ht="18.75" customHeight="1">
      <c r="BM39919" s="1025"/>
      <c r="BO39919" s="43"/>
    </row>
    <row r="39920" spans="65:67" ht="18.75" customHeight="1">
      <c r="BM39920" s="1025"/>
      <c r="BO39920" s="43"/>
    </row>
    <row r="39921" spans="65:67" ht="18.75" customHeight="1">
      <c r="BM39921" s="1025"/>
      <c r="BO39921" s="43"/>
    </row>
    <row r="39922" spans="65:67" ht="18.75" customHeight="1">
      <c r="BM39922" s="1025"/>
      <c r="BO39922" s="43"/>
    </row>
    <row r="39923" spans="65:67" ht="18.75" customHeight="1">
      <c r="BM39923" s="1025"/>
      <c r="BO39923" s="43"/>
    </row>
    <row r="39924" spans="65:67" ht="18.75" customHeight="1">
      <c r="BM39924" s="1025"/>
      <c r="BO39924" s="43"/>
    </row>
    <row r="39925" spans="65:67" ht="18.75" customHeight="1">
      <c r="BM39925" s="1025"/>
      <c r="BO39925" s="43"/>
    </row>
    <row r="39926" spans="65:67" ht="18.75" customHeight="1">
      <c r="BM39926" s="1025"/>
      <c r="BO39926" s="43"/>
    </row>
    <row r="39927" spans="65:67" ht="18.75" customHeight="1">
      <c r="BM39927" s="1025"/>
      <c r="BO39927" s="43"/>
    </row>
    <row r="39928" spans="65:67" ht="18.75" customHeight="1">
      <c r="BM39928" s="1025"/>
      <c r="BO39928" s="43"/>
    </row>
    <row r="39929" spans="65:67" ht="18.75" customHeight="1">
      <c r="BM39929" s="1025"/>
      <c r="BO39929" s="43"/>
    </row>
    <row r="39930" spans="65:67" ht="18.75" customHeight="1">
      <c r="BM39930" s="1025"/>
      <c r="BO39930" s="43"/>
    </row>
    <row r="39931" spans="65:67" ht="18.75" customHeight="1">
      <c r="BM39931" s="1025"/>
      <c r="BO39931" s="43"/>
    </row>
    <row r="39932" spans="65:67" ht="18.75" customHeight="1">
      <c r="BM39932" s="1025"/>
      <c r="BO39932" s="43"/>
    </row>
    <row r="39933" spans="65:67" ht="18.75" customHeight="1">
      <c r="BM39933" s="1025"/>
      <c r="BO39933" s="43"/>
    </row>
    <row r="39934" spans="65:67" ht="18.75" customHeight="1">
      <c r="BM39934" s="1025"/>
      <c r="BO39934" s="43"/>
    </row>
    <row r="39935" spans="65:67" ht="18.75" customHeight="1">
      <c r="BM39935" s="1025"/>
      <c r="BO39935" s="43"/>
    </row>
    <row r="39936" spans="65:67" ht="18.75" customHeight="1">
      <c r="BM39936" s="1025"/>
      <c r="BO39936" s="43"/>
    </row>
    <row r="39937" spans="65:67" ht="18.75" customHeight="1">
      <c r="BM39937" s="1025"/>
      <c r="BO39937" s="43"/>
    </row>
    <row r="39938" spans="65:67" ht="18.75" customHeight="1">
      <c r="BM39938" s="1025"/>
      <c r="BO39938" s="43"/>
    </row>
    <row r="39939" spans="65:67" ht="18.75" customHeight="1">
      <c r="BM39939" s="1025"/>
      <c r="BO39939" s="43"/>
    </row>
    <row r="39940" spans="65:67" ht="18.75" customHeight="1">
      <c r="BM39940" s="1025"/>
      <c r="BO39940" s="43"/>
    </row>
    <row r="39941" spans="65:67" ht="18.75" customHeight="1">
      <c r="BM39941" s="1025"/>
      <c r="BO39941" s="43"/>
    </row>
    <row r="39942" spans="65:67" ht="18.75" customHeight="1">
      <c r="BM39942" s="1025"/>
      <c r="BO39942" s="43"/>
    </row>
    <row r="39943" spans="65:67" ht="18.75" customHeight="1">
      <c r="BM39943" s="1025"/>
      <c r="BO39943" s="43"/>
    </row>
    <row r="39944" spans="65:67" ht="18.75" customHeight="1">
      <c r="BM39944" s="1025"/>
      <c r="BO39944" s="43"/>
    </row>
    <row r="39945" spans="65:67" ht="18.75" customHeight="1">
      <c r="BM39945" s="1025"/>
      <c r="BO39945" s="43"/>
    </row>
    <row r="39946" spans="65:67" ht="18.75" customHeight="1">
      <c r="BM39946" s="1025"/>
      <c r="BO39946" s="43"/>
    </row>
    <row r="39947" spans="65:67" ht="18.75" customHeight="1">
      <c r="BM39947" s="1025"/>
      <c r="BO39947" s="43"/>
    </row>
    <row r="39948" spans="65:67" ht="18.75" customHeight="1">
      <c r="BM39948" s="1025"/>
      <c r="BO39948" s="43"/>
    </row>
    <row r="39949" spans="65:67" ht="18.75" customHeight="1">
      <c r="BM39949" s="1025"/>
      <c r="BO39949" s="43"/>
    </row>
    <row r="39950" spans="65:67" ht="18.75" customHeight="1">
      <c r="BM39950" s="1025"/>
      <c r="BO39950" s="43"/>
    </row>
    <row r="39951" spans="65:67" ht="18.75" customHeight="1">
      <c r="BM39951" s="1025"/>
      <c r="BO39951" s="43"/>
    </row>
    <row r="39952" spans="65:67" ht="18.75" customHeight="1">
      <c r="BM39952" s="1025"/>
      <c r="BO39952" s="43"/>
    </row>
    <row r="39953" spans="65:67" ht="18.75" customHeight="1">
      <c r="BM39953" s="1025"/>
      <c r="BO39953" s="43"/>
    </row>
    <row r="39954" spans="65:67" ht="18.75" customHeight="1">
      <c r="BM39954" s="1025"/>
      <c r="BO39954" s="43"/>
    </row>
    <row r="39955" spans="65:67" ht="18.75" customHeight="1">
      <c r="BM39955" s="1025"/>
      <c r="BO39955" s="43"/>
    </row>
    <row r="39956" spans="65:67" ht="18.75" customHeight="1">
      <c r="BM39956" s="1025"/>
      <c r="BO39956" s="43"/>
    </row>
    <row r="39957" spans="65:67" ht="18.75" customHeight="1">
      <c r="BM39957" s="1025"/>
      <c r="BO39957" s="43"/>
    </row>
    <row r="39958" spans="65:67" ht="18.75" customHeight="1">
      <c r="BM39958" s="1025"/>
      <c r="BO39958" s="43"/>
    </row>
    <row r="39959" spans="65:67" ht="18.75" customHeight="1">
      <c r="BM39959" s="1025"/>
      <c r="BO39959" s="43"/>
    </row>
    <row r="39960" spans="65:67" ht="18.75" customHeight="1">
      <c r="BM39960" s="1025"/>
      <c r="BO39960" s="43"/>
    </row>
    <row r="39961" spans="65:67" ht="18.75" customHeight="1">
      <c r="BM39961" s="1025"/>
      <c r="BO39961" s="43"/>
    </row>
    <row r="39962" spans="65:67" ht="18.75" customHeight="1">
      <c r="BM39962" s="1025"/>
      <c r="BO39962" s="43"/>
    </row>
    <row r="39963" spans="65:67" ht="18.75" customHeight="1">
      <c r="BM39963" s="1025"/>
      <c r="BO39963" s="43"/>
    </row>
    <row r="39964" spans="65:67" ht="18.75" customHeight="1">
      <c r="BM39964" s="1025"/>
      <c r="BO39964" s="43"/>
    </row>
    <row r="39965" spans="65:67" ht="18.75" customHeight="1">
      <c r="BM39965" s="1025"/>
      <c r="BO39965" s="43"/>
    </row>
    <row r="39966" spans="65:67" ht="18.75" customHeight="1">
      <c r="BM39966" s="1025"/>
      <c r="BO39966" s="43"/>
    </row>
    <row r="39967" spans="65:67" ht="18.75" customHeight="1">
      <c r="BM39967" s="1025"/>
      <c r="BO39967" s="43"/>
    </row>
    <row r="39968" spans="65:67" ht="18.75" customHeight="1">
      <c r="BM39968" s="1025"/>
      <c r="BO39968" s="43"/>
    </row>
    <row r="39969" spans="65:67" ht="18.75" customHeight="1">
      <c r="BM39969" s="1025"/>
      <c r="BO39969" s="43"/>
    </row>
    <row r="39970" spans="65:67" ht="18.75" customHeight="1">
      <c r="BM39970" s="1025"/>
      <c r="BO39970" s="43"/>
    </row>
    <row r="39971" spans="65:67" ht="18.75" customHeight="1">
      <c r="BM39971" s="1025"/>
      <c r="BO39971" s="43"/>
    </row>
    <row r="39972" spans="65:67" ht="18.75" customHeight="1">
      <c r="BM39972" s="1025"/>
      <c r="BO39972" s="43"/>
    </row>
    <row r="39973" spans="65:67" ht="18.75" customHeight="1">
      <c r="BM39973" s="1025"/>
      <c r="BO39973" s="43"/>
    </row>
    <row r="39974" spans="65:67" ht="18.75" customHeight="1">
      <c r="BM39974" s="1025"/>
      <c r="BO39974" s="43"/>
    </row>
    <row r="39975" spans="65:67" ht="18.75" customHeight="1">
      <c r="BM39975" s="1025"/>
      <c r="BO39975" s="43"/>
    </row>
    <row r="39976" spans="65:67" ht="18.75" customHeight="1">
      <c r="BM39976" s="1025"/>
      <c r="BO39976" s="43"/>
    </row>
    <row r="39977" spans="65:67" ht="18.75" customHeight="1">
      <c r="BM39977" s="1025"/>
      <c r="BO39977" s="43"/>
    </row>
    <row r="39978" spans="65:67" ht="18.75" customHeight="1">
      <c r="BM39978" s="1025"/>
      <c r="BO39978" s="43"/>
    </row>
    <row r="39979" spans="65:67" ht="18.75" customHeight="1">
      <c r="BM39979" s="1025"/>
      <c r="BO39979" s="43"/>
    </row>
    <row r="39980" spans="65:67" ht="18.75" customHeight="1">
      <c r="BM39980" s="1025"/>
      <c r="BO39980" s="43"/>
    </row>
    <row r="39981" spans="65:67" ht="18.75" customHeight="1">
      <c r="BM39981" s="1025"/>
      <c r="BO39981" s="43"/>
    </row>
    <row r="39982" spans="65:67" ht="18.75" customHeight="1">
      <c r="BM39982" s="1025"/>
      <c r="BO39982" s="43"/>
    </row>
    <row r="39983" spans="65:67" ht="18.75" customHeight="1">
      <c r="BM39983" s="1025"/>
      <c r="BO39983" s="43"/>
    </row>
    <row r="39984" spans="65:67" ht="18.75" customHeight="1">
      <c r="BM39984" s="1025"/>
      <c r="BO39984" s="43"/>
    </row>
    <row r="39985" spans="65:67" ht="18.75" customHeight="1">
      <c r="BM39985" s="1025"/>
      <c r="BO39985" s="43"/>
    </row>
    <row r="39986" spans="65:67" ht="18.75" customHeight="1">
      <c r="BM39986" s="1025"/>
      <c r="BO39986" s="43"/>
    </row>
    <row r="39987" spans="65:67" ht="18.75" customHeight="1">
      <c r="BM39987" s="1025"/>
      <c r="BO39987" s="43"/>
    </row>
    <row r="39988" spans="65:67" ht="18.75" customHeight="1">
      <c r="BM39988" s="1025"/>
      <c r="BO39988" s="43"/>
    </row>
    <row r="39989" spans="65:67" ht="18.75" customHeight="1">
      <c r="BM39989" s="1025"/>
      <c r="BO39989" s="43"/>
    </row>
    <row r="39990" spans="65:67" ht="18.75" customHeight="1">
      <c r="BM39990" s="1025"/>
      <c r="BO39990" s="43"/>
    </row>
    <row r="39991" spans="65:67" ht="18.75" customHeight="1">
      <c r="BM39991" s="1025"/>
      <c r="BO39991" s="43"/>
    </row>
    <row r="39992" spans="65:67" ht="18.75" customHeight="1">
      <c r="BM39992" s="1025"/>
      <c r="BO39992" s="43"/>
    </row>
    <row r="39993" spans="65:67" ht="18.75" customHeight="1">
      <c r="BM39993" s="1025"/>
      <c r="BO39993" s="43"/>
    </row>
    <row r="39994" spans="65:67" ht="18.75" customHeight="1">
      <c r="BM39994" s="1025"/>
      <c r="BO39994" s="43"/>
    </row>
    <row r="39995" spans="65:67" ht="18.75" customHeight="1">
      <c r="BM39995" s="1025"/>
      <c r="BO39995" s="43"/>
    </row>
    <row r="39996" spans="65:67" ht="18.75" customHeight="1">
      <c r="BM39996" s="1025"/>
      <c r="BO39996" s="43"/>
    </row>
    <row r="39997" spans="65:67" ht="18.75" customHeight="1">
      <c r="BM39997" s="1025"/>
      <c r="BO39997" s="43"/>
    </row>
    <row r="39998" spans="65:67" ht="18.75" customHeight="1">
      <c r="BM39998" s="1025"/>
      <c r="BO39998" s="43"/>
    </row>
    <row r="39999" spans="65:67" ht="18.75" customHeight="1">
      <c r="BM39999" s="1025"/>
      <c r="BO39999" s="43"/>
    </row>
    <row r="40000" spans="65:67" ht="18.75" customHeight="1">
      <c r="BM40000" s="1025"/>
      <c r="BO40000" s="43"/>
    </row>
    <row r="40001" spans="65:67" ht="18.75" customHeight="1">
      <c r="BM40001" s="1025"/>
      <c r="BO40001" s="43"/>
    </row>
    <row r="40002" spans="65:67" ht="18.75" customHeight="1">
      <c r="BM40002" s="1025"/>
      <c r="BO40002" s="43"/>
    </row>
    <row r="40003" spans="65:67" ht="18.75" customHeight="1">
      <c r="BM40003" s="1025"/>
      <c r="BO40003" s="43"/>
    </row>
    <row r="40004" spans="65:67" ht="18.75" customHeight="1">
      <c r="BM40004" s="1025"/>
      <c r="BO40004" s="43"/>
    </row>
    <row r="40005" spans="65:67" ht="18.75" customHeight="1">
      <c r="BM40005" s="1025"/>
      <c r="BO40005" s="43"/>
    </row>
    <row r="40006" spans="65:67" ht="18.75" customHeight="1">
      <c r="BM40006" s="1025"/>
      <c r="BO40006" s="43"/>
    </row>
    <row r="40007" spans="65:67" ht="18.75" customHeight="1">
      <c r="BM40007" s="1025"/>
      <c r="BO40007" s="43"/>
    </row>
    <row r="40008" spans="65:67" ht="18.75" customHeight="1">
      <c r="BM40008" s="1025"/>
      <c r="BO40008" s="43"/>
    </row>
    <row r="40009" spans="65:67" ht="18.75" customHeight="1">
      <c r="BM40009" s="1025"/>
      <c r="BO40009" s="43"/>
    </row>
    <row r="40010" spans="65:67" ht="18.75" customHeight="1">
      <c r="BM40010" s="1025"/>
      <c r="BO40010" s="43"/>
    </row>
    <row r="40011" spans="65:67" ht="18.75" customHeight="1">
      <c r="BM40011" s="1025"/>
      <c r="BO40011" s="43"/>
    </row>
    <row r="40012" spans="65:67" ht="18.75" customHeight="1">
      <c r="BM40012" s="1025"/>
      <c r="BO40012" s="43"/>
    </row>
    <row r="40013" spans="65:67" ht="18.75" customHeight="1">
      <c r="BM40013" s="1025"/>
      <c r="BO40013" s="43"/>
    </row>
    <row r="40014" spans="65:67" ht="18.75" customHeight="1">
      <c r="BM40014" s="1025"/>
      <c r="BO40014" s="43"/>
    </row>
    <row r="40015" spans="65:67" ht="18.75" customHeight="1">
      <c r="BM40015" s="1025"/>
      <c r="BO40015" s="43"/>
    </row>
    <row r="40016" spans="65:67" ht="18.75" customHeight="1">
      <c r="BM40016" s="1025"/>
      <c r="BO40016" s="43"/>
    </row>
    <row r="40017" spans="65:67" ht="18.75" customHeight="1">
      <c r="BM40017" s="1025"/>
      <c r="BO40017" s="43"/>
    </row>
    <row r="40018" spans="65:67" ht="18.75" customHeight="1">
      <c r="BM40018" s="1025"/>
      <c r="BO40018" s="43"/>
    </row>
    <row r="40019" spans="65:67" ht="18.75" customHeight="1">
      <c r="BM40019" s="1025"/>
      <c r="BO40019" s="43"/>
    </row>
    <row r="40020" spans="65:67" ht="18.75" customHeight="1">
      <c r="BM40020" s="1025"/>
      <c r="BO40020" s="43"/>
    </row>
    <row r="40021" spans="65:67" ht="18.75" customHeight="1">
      <c r="BM40021" s="1025"/>
      <c r="BO40021" s="43"/>
    </row>
    <row r="40022" spans="65:67" ht="18.75" customHeight="1">
      <c r="BM40022" s="1025"/>
      <c r="BO40022" s="43"/>
    </row>
    <row r="40023" spans="65:67" ht="18.75" customHeight="1">
      <c r="BM40023" s="1025"/>
      <c r="BO40023" s="43"/>
    </row>
    <row r="40024" spans="65:67" ht="18.75" customHeight="1">
      <c r="BM40024" s="1025"/>
      <c r="BO40024" s="43"/>
    </row>
    <row r="40025" spans="65:67" ht="18.75" customHeight="1">
      <c r="BM40025" s="1025"/>
      <c r="BO40025" s="43"/>
    </row>
    <row r="40026" spans="65:67" ht="18.75" customHeight="1">
      <c r="BM40026" s="1025"/>
      <c r="BO40026" s="43"/>
    </row>
    <row r="40027" spans="65:67" ht="18.75" customHeight="1">
      <c r="BM40027" s="1025"/>
      <c r="BO40027" s="43"/>
    </row>
    <row r="40028" spans="65:67" ht="18.75" customHeight="1">
      <c r="BM40028" s="1025"/>
      <c r="BO40028" s="43"/>
    </row>
    <row r="40029" spans="65:67" ht="18.75" customHeight="1">
      <c r="BM40029" s="1025"/>
      <c r="BO40029" s="43"/>
    </row>
    <row r="40030" spans="65:67" ht="18.75" customHeight="1">
      <c r="BM40030" s="1025"/>
      <c r="BO40030" s="43"/>
    </row>
    <row r="40031" spans="65:67" ht="18.75" customHeight="1">
      <c r="BM40031" s="1025"/>
      <c r="BO40031" s="43"/>
    </row>
    <row r="40032" spans="65:67" ht="18.75" customHeight="1">
      <c r="BM40032" s="1025"/>
      <c r="BO40032" s="43"/>
    </row>
    <row r="40033" spans="65:67" ht="18.75" customHeight="1">
      <c r="BM40033" s="1025"/>
      <c r="BO40033" s="43"/>
    </row>
    <row r="40034" spans="65:67" ht="18.75" customHeight="1">
      <c r="BM40034" s="1025"/>
      <c r="BO40034" s="43"/>
    </row>
    <row r="40035" spans="65:67" ht="18.75" customHeight="1">
      <c r="BM40035" s="1025"/>
      <c r="BO40035" s="43"/>
    </row>
    <row r="40036" spans="65:67" ht="18.75" customHeight="1">
      <c r="BM40036" s="1025"/>
      <c r="BO40036" s="43"/>
    </row>
    <row r="40037" spans="65:67" ht="18.75" customHeight="1">
      <c r="BM40037" s="1025"/>
      <c r="BO40037" s="43"/>
    </row>
    <row r="40038" spans="65:67" ht="18.75" customHeight="1">
      <c r="BM40038" s="1025"/>
      <c r="BO40038" s="43"/>
    </row>
    <row r="40039" spans="65:67" ht="18.75" customHeight="1">
      <c r="BM40039" s="1025"/>
      <c r="BO40039" s="43"/>
    </row>
    <row r="40040" spans="65:67" ht="18.75" customHeight="1">
      <c r="BM40040" s="1025"/>
      <c r="BO40040" s="43"/>
    </row>
    <row r="40041" spans="65:67" ht="18.75" customHeight="1">
      <c r="BM40041" s="1025"/>
      <c r="BO40041" s="43"/>
    </row>
    <row r="40042" spans="65:67" ht="18.75" customHeight="1">
      <c r="BM40042" s="1025"/>
      <c r="BO40042" s="43"/>
    </row>
    <row r="40043" spans="65:67" ht="18.75" customHeight="1">
      <c r="BM40043" s="1025"/>
      <c r="BO40043" s="43"/>
    </row>
    <row r="40044" spans="65:67" ht="18.75" customHeight="1">
      <c r="BM40044" s="1025"/>
      <c r="BO40044" s="43"/>
    </row>
    <row r="40045" spans="65:67" ht="18.75" customHeight="1">
      <c r="BM40045" s="1025"/>
      <c r="BO40045" s="43"/>
    </row>
    <row r="40046" spans="65:67" ht="18.75" customHeight="1">
      <c r="BM40046" s="1025"/>
      <c r="BO40046" s="43"/>
    </row>
    <row r="40047" spans="65:67" ht="18.75" customHeight="1">
      <c r="BM40047" s="1025"/>
      <c r="BO40047" s="43"/>
    </row>
    <row r="40048" spans="65:67" ht="18.75" customHeight="1">
      <c r="BM40048" s="1025"/>
      <c r="BO40048" s="43"/>
    </row>
    <row r="40049" spans="65:67" ht="18.75" customHeight="1">
      <c r="BM40049" s="1025"/>
      <c r="BO40049" s="43"/>
    </row>
    <row r="40050" spans="65:67" ht="18.75" customHeight="1">
      <c r="BM40050" s="1025"/>
      <c r="BO40050" s="43"/>
    </row>
    <row r="40051" spans="65:67" ht="18.75" customHeight="1">
      <c r="BM40051" s="1025"/>
      <c r="BO40051" s="43"/>
    </row>
    <row r="40052" spans="65:67" ht="18.75" customHeight="1">
      <c r="BM40052" s="1025"/>
      <c r="BO40052" s="43"/>
    </row>
    <row r="40053" spans="65:67" ht="18.75" customHeight="1">
      <c r="BM40053" s="1025"/>
      <c r="BO40053" s="43"/>
    </row>
    <row r="40054" spans="65:67" ht="18.75" customHeight="1">
      <c r="BM40054" s="1025"/>
      <c r="BO40054" s="43"/>
    </row>
    <row r="40055" spans="65:67" ht="18.75" customHeight="1">
      <c r="BM40055" s="1025"/>
      <c r="BO40055" s="43"/>
    </row>
    <row r="40056" spans="65:67" ht="18.75" customHeight="1">
      <c r="BM40056" s="1025"/>
      <c r="BO40056" s="43"/>
    </row>
    <row r="40057" spans="65:67" ht="18.75" customHeight="1">
      <c r="BM40057" s="1025"/>
      <c r="BO40057" s="43"/>
    </row>
    <row r="40058" spans="65:67" ht="18.75" customHeight="1">
      <c r="BM40058" s="1025"/>
      <c r="BO40058" s="43"/>
    </row>
    <row r="40059" spans="65:67" ht="18.75" customHeight="1">
      <c r="BM40059" s="1025"/>
      <c r="BO40059" s="43"/>
    </row>
    <row r="40060" spans="65:67" ht="18.75" customHeight="1">
      <c r="BM40060" s="1025"/>
      <c r="BO40060" s="43"/>
    </row>
    <row r="40061" spans="65:67" ht="18.75" customHeight="1">
      <c r="BM40061" s="1025"/>
      <c r="BO40061" s="43"/>
    </row>
    <row r="40062" spans="65:67" ht="18.75" customHeight="1">
      <c r="BM40062" s="1025"/>
      <c r="BO40062" s="43"/>
    </row>
    <row r="40063" spans="65:67" ht="18.75" customHeight="1">
      <c r="BM40063" s="1025"/>
      <c r="BO40063" s="43"/>
    </row>
    <row r="40064" spans="65:67" ht="18.75" customHeight="1">
      <c r="BM40064" s="1025"/>
      <c r="BO40064" s="43"/>
    </row>
    <row r="40065" spans="65:67" ht="18.75" customHeight="1">
      <c r="BM40065" s="1025"/>
      <c r="BO40065" s="43"/>
    </row>
    <row r="40066" spans="65:67" ht="18.75" customHeight="1">
      <c r="BM40066" s="1025"/>
      <c r="BO40066" s="43"/>
    </row>
    <row r="40067" spans="65:67" ht="18.75" customHeight="1">
      <c r="BM40067" s="1025"/>
      <c r="BO40067" s="43"/>
    </row>
    <row r="40068" spans="65:67" ht="18.75" customHeight="1">
      <c r="BM40068" s="1025"/>
      <c r="BO40068" s="43"/>
    </row>
    <row r="40069" spans="65:67" ht="18.75" customHeight="1">
      <c r="BM40069" s="1025"/>
      <c r="BO40069" s="43"/>
    </row>
    <row r="40070" spans="65:67" ht="18.75" customHeight="1">
      <c r="BM40070" s="1025"/>
      <c r="BO40070" s="43"/>
    </row>
    <row r="40071" spans="65:67" ht="18.75" customHeight="1">
      <c r="BM40071" s="1025"/>
      <c r="BO40071" s="43"/>
    </row>
    <row r="40072" spans="65:67" ht="18.75" customHeight="1">
      <c r="BM40072" s="1025"/>
      <c r="BO40072" s="43"/>
    </row>
    <row r="40073" spans="65:67" ht="18.75" customHeight="1">
      <c r="BM40073" s="1025"/>
      <c r="BO40073" s="43"/>
    </row>
    <row r="40074" spans="65:67" ht="18.75" customHeight="1">
      <c r="BM40074" s="1025"/>
      <c r="BO40074" s="43"/>
    </row>
    <row r="40075" spans="65:67" ht="18.75" customHeight="1">
      <c r="BM40075" s="1025"/>
      <c r="BO40075" s="43"/>
    </row>
    <row r="40076" spans="65:67" ht="18.75" customHeight="1">
      <c r="BM40076" s="1025"/>
      <c r="BO40076" s="43"/>
    </row>
    <row r="40077" spans="65:67" ht="18.75" customHeight="1">
      <c r="BM40077" s="1025"/>
      <c r="BO40077" s="43"/>
    </row>
    <row r="40078" spans="65:67" ht="18.75" customHeight="1">
      <c r="BM40078" s="1025"/>
      <c r="BO40078" s="43"/>
    </row>
    <row r="40079" spans="65:67" ht="18.75" customHeight="1">
      <c r="BM40079" s="1025"/>
      <c r="BO40079" s="43"/>
    </row>
    <row r="40080" spans="65:67" ht="18.75" customHeight="1">
      <c r="BM40080" s="1025"/>
      <c r="BO40080" s="43"/>
    </row>
    <row r="40081" spans="65:67" ht="18.75" customHeight="1">
      <c r="BM40081" s="1025"/>
      <c r="BO40081" s="43"/>
    </row>
    <row r="40082" spans="65:67" ht="18.75" customHeight="1">
      <c r="BM40082" s="1025"/>
      <c r="BO40082" s="43"/>
    </row>
    <row r="40083" spans="65:67" ht="18.75" customHeight="1">
      <c r="BM40083" s="1025"/>
      <c r="BO40083" s="43"/>
    </row>
    <row r="40084" spans="65:67" ht="18.75" customHeight="1">
      <c r="BM40084" s="1025"/>
      <c r="BO40084" s="43"/>
    </row>
    <row r="40085" spans="65:67" ht="18.75" customHeight="1">
      <c r="BM40085" s="1025"/>
      <c r="BO40085" s="43"/>
    </row>
    <row r="40086" spans="65:67" ht="18.75" customHeight="1">
      <c r="BM40086" s="1025"/>
      <c r="BO40086" s="43"/>
    </row>
    <row r="40087" spans="65:67" ht="18.75" customHeight="1">
      <c r="BM40087" s="1025"/>
      <c r="BO40087" s="43"/>
    </row>
    <row r="40088" spans="65:67" ht="18.75" customHeight="1">
      <c r="BM40088" s="1025"/>
      <c r="BO40088" s="43"/>
    </row>
    <row r="40089" spans="65:67" ht="18.75" customHeight="1">
      <c r="BM40089" s="1025"/>
      <c r="BO40089" s="43"/>
    </row>
    <row r="40090" spans="65:67" ht="18.75" customHeight="1">
      <c r="BM40090" s="1025"/>
      <c r="BO40090" s="43"/>
    </row>
    <row r="40091" spans="65:67" ht="18.75" customHeight="1">
      <c r="BM40091" s="1025"/>
      <c r="BO40091" s="43"/>
    </row>
    <row r="40092" spans="65:67" ht="18.75" customHeight="1">
      <c r="BM40092" s="1025"/>
      <c r="BO40092" s="43"/>
    </row>
    <row r="40093" spans="65:67" ht="18.75" customHeight="1">
      <c r="BM40093" s="1025"/>
      <c r="BO40093" s="43"/>
    </row>
    <row r="40094" spans="65:67" ht="18.75" customHeight="1">
      <c r="BM40094" s="1025"/>
      <c r="BO40094" s="43"/>
    </row>
    <row r="40095" spans="65:67" ht="18.75" customHeight="1">
      <c r="BM40095" s="1025"/>
      <c r="BO40095" s="43"/>
    </row>
    <row r="40096" spans="65:67" ht="18.75" customHeight="1">
      <c r="BM40096" s="1025"/>
      <c r="BO40096" s="43"/>
    </row>
    <row r="40097" spans="65:67" ht="18.75" customHeight="1">
      <c r="BM40097" s="1025"/>
      <c r="BO40097" s="43"/>
    </row>
    <row r="40098" spans="65:67" ht="18.75" customHeight="1">
      <c r="BM40098" s="1025"/>
      <c r="BO40098" s="43"/>
    </row>
    <row r="40099" spans="65:67" ht="18.75" customHeight="1">
      <c r="BM40099" s="1025"/>
      <c r="BO40099" s="43"/>
    </row>
    <row r="40100" spans="65:67" ht="18.75" customHeight="1">
      <c r="BM40100" s="1025"/>
      <c r="BO40100" s="43"/>
    </row>
    <row r="40101" spans="65:67" ht="18.75" customHeight="1">
      <c r="BM40101" s="1025"/>
      <c r="BO40101" s="43"/>
    </row>
    <row r="40102" spans="65:67" ht="18.75" customHeight="1">
      <c r="BM40102" s="1025"/>
      <c r="BO40102" s="43"/>
    </row>
    <row r="40103" spans="65:67" ht="18.75" customHeight="1">
      <c r="BM40103" s="1025"/>
      <c r="BO40103" s="43"/>
    </row>
    <row r="40104" spans="65:67" ht="18.75" customHeight="1">
      <c r="BM40104" s="1025"/>
      <c r="BO40104" s="43"/>
    </row>
    <row r="40105" spans="65:67" ht="18.75" customHeight="1">
      <c r="BM40105" s="1025"/>
      <c r="BO40105" s="43"/>
    </row>
    <row r="40106" spans="65:67" ht="18.75" customHeight="1">
      <c r="BM40106" s="1025"/>
      <c r="BO40106" s="43"/>
    </row>
    <row r="40107" spans="65:67" ht="18.75" customHeight="1">
      <c r="BM40107" s="1025"/>
      <c r="BO40107" s="43"/>
    </row>
    <row r="40108" spans="65:67" ht="18.75" customHeight="1">
      <c r="BM40108" s="1025"/>
      <c r="BO40108" s="43"/>
    </row>
    <row r="40109" spans="65:67" ht="18.75" customHeight="1">
      <c r="BM40109" s="1025"/>
      <c r="BO40109" s="43"/>
    </row>
    <row r="40110" spans="65:67" ht="18.75" customHeight="1">
      <c r="BM40110" s="1025"/>
      <c r="BO40110" s="43"/>
    </row>
    <row r="40111" spans="65:67" ht="18.75" customHeight="1">
      <c r="BM40111" s="1025"/>
      <c r="BO40111" s="43"/>
    </row>
    <row r="40112" spans="65:67" ht="18.75" customHeight="1">
      <c r="BM40112" s="1025"/>
      <c r="BO40112" s="43"/>
    </row>
    <row r="40113" spans="65:67" ht="18.75" customHeight="1">
      <c r="BM40113" s="1025"/>
      <c r="BO40113" s="43"/>
    </row>
    <row r="40114" spans="65:67" ht="18.75" customHeight="1">
      <c r="BM40114" s="1025"/>
      <c r="BO40114" s="43"/>
    </row>
    <row r="40115" spans="65:67" ht="18.75" customHeight="1">
      <c r="BM40115" s="1025"/>
      <c r="BO40115" s="43"/>
    </row>
    <row r="40116" spans="65:67" ht="18.75" customHeight="1">
      <c r="BM40116" s="1025"/>
      <c r="BO40116" s="43"/>
    </row>
    <row r="40117" spans="65:67" ht="18.75" customHeight="1">
      <c r="BM40117" s="1025"/>
      <c r="BO40117" s="43"/>
    </row>
    <row r="40118" spans="65:67" ht="18.75" customHeight="1">
      <c r="BM40118" s="1025"/>
      <c r="BO40118" s="43"/>
    </row>
    <row r="40119" spans="65:67" ht="18.75" customHeight="1">
      <c r="BM40119" s="1025"/>
      <c r="BO40119" s="43"/>
    </row>
    <row r="40120" spans="65:67" ht="18.75" customHeight="1">
      <c r="BM40120" s="1025"/>
      <c r="BO40120" s="43"/>
    </row>
    <row r="40121" spans="65:67" ht="18.75" customHeight="1">
      <c r="BM40121" s="1025"/>
      <c r="BO40121" s="43"/>
    </row>
    <row r="40122" spans="65:67" ht="18.75" customHeight="1">
      <c r="BM40122" s="1025"/>
      <c r="BO40122" s="43"/>
    </row>
    <row r="40123" spans="65:67" ht="18.75" customHeight="1">
      <c r="BM40123" s="1025"/>
      <c r="BO40123" s="43"/>
    </row>
    <row r="40124" spans="65:67" ht="18.75" customHeight="1">
      <c r="BM40124" s="1025"/>
      <c r="BO40124" s="43"/>
    </row>
    <row r="40125" spans="65:67" ht="18.75" customHeight="1">
      <c r="BM40125" s="1025"/>
      <c r="BO40125" s="43"/>
    </row>
    <row r="40126" spans="65:67" ht="18.75" customHeight="1">
      <c r="BM40126" s="1025"/>
      <c r="BO40126" s="43"/>
    </row>
    <row r="40127" spans="65:67" ht="18.75" customHeight="1">
      <c r="BM40127" s="1025"/>
      <c r="BO40127" s="43"/>
    </row>
    <row r="40128" spans="65:67" ht="18.75" customHeight="1">
      <c r="BM40128" s="1025"/>
      <c r="BO40128" s="43"/>
    </row>
    <row r="40129" spans="65:67" ht="18.75" customHeight="1">
      <c r="BM40129" s="1025"/>
      <c r="BO40129" s="43"/>
    </row>
    <row r="40130" spans="65:67" ht="18.75" customHeight="1">
      <c r="BM40130" s="1025"/>
      <c r="BO40130" s="43"/>
    </row>
    <row r="40131" spans="65:67" ht="18.75" customHeight="1">
      <c r="BM40131" s="1025"/>
      <c r="BO40131" s="43"/>
    </row>
    <row r="40132" spans="65:67" ht="18.75" customHeight="1">
      <c r="BM40132" s="1025"/>
      <c r="BO40132" s="43"/>
    </row>
    <row r="40133" spans="65:67" ht="18.75" customHeight="1">
      <c r="BM40133" s="1025"/>
      <c r="BO40133" s="43"/>
    </row>
    <row r="40134" spans="65:67" ht="18.75" customHeight="1">
      <c r="BM40134" s="1025"/>
      <c r="BO40134" s="43"/>
    </row>
    <row r="40135" spans="65:67" ht="18.75" customHeight="1">
      <c r="BM40135" s="1025"/>
      <c r="BO40135" s="43"/>
    </row>
    <row r="40136" spans="65:67" ht="18.75" customHeight="1">
      <c r="BM40136" s="1025"/>
      <c r="BO40136" s="43"/>
    </row>
    <row r="40137" spans="65:67" ht="18.75" customHeight="1">
      <c r="BM40137" s="1025"/>
      <c r="BO40137" s="43"/>
    </row>
    <row r="40138" spans="65:67" ht="18.75" customHeight="1">
      <c r="BM40138" s="1025"/>
      <c r="BO40138" s="43"/>
    </row>
    <row r="40139" spans="65:67" ht="18.75" customHeight="1">
      <c r="BM40139" s="1025"/>
      <c r="BO40139" s="43"/>
    </row>
    <row r="40140" spans="65:67" ht="18.75" customHeight="1">
      <c r="BM40140" s="1025"/>
      <c r="BO40140" s="43"/>
    </row>
    <row r="40141" spans="65:67" ht="18.75" customHeight="1">
      <c r="BM40141" s="1025"/>
      <c r="BO40141" s="43"/>
    </row>
    <row r="40142" spans="65:67" ht="18.75" customHeight="1">
      <c r="BM40142" s="1025"/>
      <c r="BO40142" s="43"/>
    </row>
    <row r="40143" spans="65:67" ht="18.75" customHeight="1">
      <c r="BM40143" s="1025"/>
      <c r="BO40143" s="43"/>
    </row>
    <row r="40144" spans="65:67" ht="18.75" customHeight="1">
      <c r="BM40144" s="1025"/>
      <c r="BO40144" s="43"/>
    </row>
    <row r="40145" spans="65:67" ht="18.75" customHeight="1">
      <c r="BM40145" s="1025"/>
      <c r="BO40145" s="43"/>
    </row>
    <row r="40146" spans="65:67" ht="18.75" customHeight="1">
      <c r="BM40146" s="1025"/>
      <c r="BO40146" s="43"/>
    </row>
    <row r="40147" spans="65:67" ht="18.75" customHeight="1">
      <c r="BM40147" s="1025"/>
      <c r="BO40147" s="43"/>
    </row>
    <row r="40148" spans="65:67" ht="18.75" customHeight="1">
      <c r="BM40148" s="1025"/>
      <c r="BO40148" s="43"/>
    </row>
    <row r="40149" spans="65:67" ht="18.75" customHeight="1">
      <c r="BM40149" s="1025"/>
      <c r="BO40149" s="43"/>
    </row>
    <row r="40150" spans="65:67" ht="18.75" customHeight="1">
      <c r="BM40150" s="1025"/>
      <c r="BO40150" s="43"/>
    </row>
    <row r="40151" spans="65:67" ht="18.75" customHeight="1">
      <c r="BM40151" s="1025"/>
      <c r="BO40151" s="43"/>
    </row>
    <row r="40152" spans="65:67" ht="18.75" customHeight="1">
      <c r="BM40152" s="1025"/>
      <c r="BO40152" s="43"/>
    </row>
    <row r="40153" spans="65:67" ht="18.75" customHeight="1">
      <c r="BM40153" s="1025"/>
      <c r="BO40153" s="43"/>
    </row>
    <row r="40154" spans="65:67" ht="18.75" customHeight="1">
      <c r="BM40154" s="1025"/>
      <c r="BO40154" s="43"/>
    </row>
    <row r="40155" spans="65:67" ht="18.75" customHeight="1">
      <c r="BM40155" s="1025"/>
      <c r="BO40155" s="43"/>
    </row>
    <row r="40156" spans="65:67" ht="18.75" customHeight="1">
      <c r="BM40156" s="1025"/>
      <c r="BO40156" s="43"/>
    </row>
    <row r="40157" spans="65:67" ht="18.75" customHeight="1">
      <c r="BM40157" s="1025"/>
      <c r="BO40157" s="43"/>
    </row>
    <row r="40158" spans="65:67" ht="18.75" customHeight="1">
      <c r="BM40158" s="1025"/>
      <c r="BO40158" s="43"/>
    </row>
    <row r="40159" spans="65:67" ht="18.75" customHeight="1">
      <c r="BM40159" s="1025"/>
      <c r="BO40159" s="43"/>
    </row>
    <row r="40160" spans="65:67" ht="18.75" customHeight="1">
      <c r="BM40160" s="1025"/>
      <c r="BO40160" s="43"/>
    </row>
    <row r="40161" spans="65:67" ht="18.75" customHeight="1">
      <c r="BM40161" s="1025"/>
      <c r="BO40161" s="43"/>
    </row>
    <row r="40162" spans="65:67" ht="18.75" customHeight="1">
      <c r="BM40162" s="1025"/>
      <c r="BO40162" s="43"/>
    </row>
    <row r="40163" spans="65:67" ht="18.75" customHeight="1">
      <c r="BM40163" s="1025"/>
      <c r="BO40163" s="43"/>
    </row>
    <row r="40164" spans="65:67" ht="18.75" customHeight="1">
      <c r="BM40164" s="1025"/>
      <c r="BO40164" s="43"/>
    </row>
    <row r="40165" spans="65:67" ht="18.75" customHeight="1">
      <c r="BM40165" s="1025"/>
      <c r="BO40165" s="43"/>
    </row>
    <row r="40166" spans="65:67" ht="18.75" customHeight="1">
      <c r="BM40166" s="1025"/>
      <c r="BO40166" s="43"/>
    </row>
    <row r="40167" spans="65:67" ht="18.75" customHeight="1">
      <c r="BM40167" s="1025"/>
      <c r="BO40167" s="43"/>
    </row>
    <row r="40168" spans="65:67" ht="18.75" customHeight="1">
      <c r="BM40168" s="1025"/>
      <c r="BO40168" s="43"/>
    </row>
    <row r="40169" spans="65:67" ht="18.75" customHeight="1">
      <c r="BM40169" s="1025"/>
      <c r="BO40169" s="43"/>
    </row>
    <row r="40170" spans="65:67" ht="18.75" customHeight="1">
      <c r="BM40170" s="1025"/>
      <c r="BO40170" s="43"/>
    </row>
    <row r="40171" spans="65:67" ht="18.75" customHeight="1">
      <c r="BM40171" s="1025"/>
      <c r="BO40171" s="43"/>
    </row>
    <row r="40172" spans="65:67" ht="18.75" customHeight="1">
      <c r="BM40172" s="1025"/>
      <c r="BO40172" s="43"/>
    </row>
    <row r="40173" spans="65:67" ht="18.75" customHeight="1">
      <c r="BM40173" s="1025"/>
      <c r="BO40173" s="43"/>
    </row>
    <row r="40174" spans="65:67" ht="18.75" customHeight="1">
      <c r="BM40174" s="1025"/>
      <c r="BO40174" s="43"/>
    </row>
    <row r="40175" spans="65:67" ht="18.75" customHeight="1">
      <c r="BM40175" s="1025"/>
      <c r="BO40175" s="43"/>
    </row>
    <row r="40176" spans="65:67" ht="18.75" customHeight="1">
      <c r="BM40176" s="1025"/>
      <c r="BO40176" s="43"/>
    </row>
    <row r="40177" spans="65:67" ht="18.75" customHeight="1">
      <c r="BM40177" s="1025"/>
      <c r="BO40177" s="43"/>
    </row>
    <row r="40178" spans="65:67" ht="18.75" customHeight="1">
      <c r="BM40178" s="1025"/>
      <c r="BO40178" s="43"/>
    </row>
    <row r="40179" spans="65:67" ht="18.75" customHeight="1">
      <c r="BM40179" s="1025"/>
      <c r="BO40179" s="43"/>
    </row>
    <row r="40180" spans="65:67" ht="18.75" customHeight="1">
      <c r="BM40180" s="1025"/>
      <c r="BO40180" s="43"/>
    </row>
    <row r="40181" spans="65:67" ht="18.75" customHeight="1">
      <c r="BM40181" s="1025"/>
      <c r="BO40181" s="43"/>
    </row>
    <row r="40182" spans="65:67" ht="18.75" customHeight="1">
      <c r="BM40182" s="1025"/>
      <c r="BO40182" s="43"/>
    </row>
    <row r="40183" spans="65:67" ht="18.75" customHeight="1">
      <c r="BM40183" s="1025"/>
      <c r="BO40183" s="43"/>
    </row>
    <row r="40184" spans="65:67" ht="18.75" customHeight="1">
      <c r="BM40184" s="1025"/>
      <c r="BO40184" s="43"/>
    </row>
    <row r="40185" spans="65:67" ht="18.75" customHeight="1">
      <c r="BM40185" s="1025"/>
      <c r="BO40185" s="43"/>
    </row>
    <row r="40186" spans="65:67" ht="18.75" customHeight="1">
      <c r="BM40186" s="1025"/>
      <c r="BO40186" s="43"/>
    </row>
    <row r="40187" spans="65:67" ht="18.75" customHeight="1">
      <c r="BM40187" s="1025"/>
      <c r="BO40187" s="43"/>
    </row>
    <row r="40188" spans="65:67" ht="18.75" customHeight="1">
      <c r="BM40188" s="1025"/>
      <c r="BO40188" s="43"/>
    </row>
    <row r="40189" spans="65:67" ht="18.75" customHeight="1">
      <c r="BM40189" s="1025"/>
      <c r="BO40189" s="43"/>
    </row>
    <row r="40190" spans="65:67" ht="18.75" customHeight="1">
      <c r="BM40190" s="1025"/>
      <c r="BO40190" s="43"/>
    </row>
    <row r="40191" spans="65:67" ht="18.75" customHeight="1">
      <c r="BM40191" s="1025"/>
      <c r="BO40191" s="43"/>
    </row>
    <row r="40192" spans="65:67" ht="18.75" customHeight="1">
      <c r="BM40192" s="1025"/>
      <c r="BO40192" s="43"/>
    </row>
    <row r="40193" spans="65:67" ht="18.75" customHeight="1">
      <c r="BM40193" s="1025"/>
      <c r="BO40193" s="43"/>
    </row>
    <row r="40194" spans="65:67" ht="18.75" customHeight="1">
      <c r="BM40194" s="1025"/>
      <c r="BO40194" s="43"/>
    </row>
    <row r="40195" spans="65:67" ht="18.75" customHeight="1">
      <c r="BM40195" s="1025"/>
      <c r="BO40195" s="43"/>
    </row>
    <row r="40196" spans="65:67" ht="18.75" customHeight="1">
      <c r="BM40196" s="1025"/>
      <c r="BO40196" s="43"/>
    </row>
    <row r="40197" spans="65:67" ht="18.75" customHeight="1">
      <c r="BM40197" s="1025"/>
      <c r="BO40197" s="43"/>
    </row>
    <row r="40198" spans="65:67" ht="18.75" customHeight="1">
      <c r="BM40198" s="1025"/>
      <c r="BO40198" s="43"/>
    </row>
    <row r="40199" spans="65:67" ht="18.75" customHeight="1">
      <c r="BM40199" s="1025"/>
      <c r="BO40199" s="43"/>
    </row>
    <row r="40200" spans="65:67" ht="18.75" customHeight="1">
      <c r="BM40200" s="1025"/>
      <c r="BO40200" s="43"/>
    </row>
    <row r="40201" spans="65:67" ht="18.75" customHeight="1">
      <c r="BM40201" s="1025"/>
      <c r="BO40201" s="43"/>
    </row>
    <row r="40202" spans="65:67" ht="18.75" customHeight="1">
      <c r="BM40202" s="1025"/>
      <c r="BO40202" s="43"/>
    </row>
    <row r="40203" spans="65:67" ht="18.75" customHeight="1">
      <c r="BM40203" s="1025"/>
      <c r="BO40203" s="43"/>
    </row>
    <row r="40204" spans="65:67" ht="18.75" customHeight="1">
      <c r="BM40204" s="1025"/>
      <c r="BO40204" s="43"/>
    </row>
    <row r="40205" spans="65:67" ht="18.75" customHeight="1">
      <c r="BM40205" s="1025"/>
      <c r="BO40205" s="43"/>
    </row>
    <row r="40206" spans="65:67" ht="18.75" customHeight="1">
      <c r="BM40206" s="1025"/>
      <c r="BO40206" s="43"/>
    </row>
    <row r="40207" spans="65:67" ht="18.75" customHeight="1">
      <c r="BM40207" s="1025"/>
      <c r="BO40207" s="43"/>
    </row>
    <row r="40208" spans="65:67" ht="18.75" customHeight="1">
      <c r="BM40208" s="1025"/>
      <c r="BO40208" s="43"/>
    </row>
    <row r="40209" spans="65:67" ht="18.75" customHeight="1">
      <c r="BM40209" s="1025"/>
      <c r="BO40209" s="43"/>
    </row>
    <row r="40210" spans="65:67" ht="18.75" customHeight="1">
      <c r="BM40210" s="1025"/>
      <c r="BO40210" s="43"/>
    </row>
    <row r="40211" spans="65:67" ht="18.75" customHeight="1">
      <c r="BM40211" s="1025"/>
      <c r="BO40211" s="43"/>
    </row>
    <row r="40212" spans="65:67" ht="18.75" customHeight="1">
      <c r="BM40212" s="1025"/>
      <c r="BO40212" s="43"/>
    </row>
    <row r="40213" spans="65:67" ht="18.75" customHeight="1">
      <c r="BM40213" s="1025"/>
      <c r="BO40213" s="43"/>
    </row>
    <row r="40214" spans="65:67" ht="18.75" customHeight="1">
      <c r="BM40214" s="1025"/>
      <c r="BO40214" s="43"/>
    </row>
    <row r="40215" spans="65:67" ht="18.75" customHeight="1">
      <c r="BM40215" s="1025"/>
      <c r="BO40215" s="43"/>
    </row>
    <row r="40216" spans="65:67" ht="18.75" customHeight="1">
      <c r="BM40216" s="1025"/>
      <c r="BO40216" s="43"/>
    </row>
    <row r="40217" spans="65:67" ht="18.75" customHeight="1">
      <c r="BM40217" s="1025"/>
      <c r="BO40217" s="43"/>
    </row>
    <row r="40218" spans="65:67" ht="18.75" customHeight="1">
      <c r="BM40218" s="1025"/>
      <c r="BO40218" s="43"/>
    </row>
    <row r="40219" spans="65:67" ht="18.75" customHeight="1">
      <c r="BM40219" s="1025"/>
      <c r="BO40219" s="43"/>
    </row>
    <row r="40220" spans="65:67" ht="18.75" customHeight="1">
      <c r="BM40220" s="1025"/>
      <c r="BO40220" s="43"/>
    </row>
    <row r="40221" spans="65:67" ht="18.75" customHeight="1">
      <c r="BM40221" s="1025"/>
      <c r="BO40221" s="43"/>
    </row>
    <row r="40222" spans="65:67" ht="18.75" customHeight="1">
      <c r="BM40222" s="1025"/>
      <c r="BO40222" s="43"/>
    </row>
    <row r="40223" spans="65:67" ht="18.75" customHeight="1">
      <c r="BM40223" s="1025"/>
      <c r="BO40223" s="43"/>
    </row>
    <row r="40224" spans="65:67" ht="18.75" customHeight="1">
      <c r="BM40224" s="1025"/>
      <c r="BO40224" s="43"/>
    </row>
    <row r="40225" spans="65:67" ht="18.75" customHeight="1">
      <c r="BM40225" s="1025"/>
      <c r="BO40225" s="43"/>
    </row>
    <row r="40226" spans="65:67" ht="18.75" customHeight="1">
      <c r="BM40226" s="1025"/>
      <c r="BO40226" s="43"/>
    </row>
    <row r="40227" spans="65:67" ht="18.75" customHeight="1">
      <c r="BM40227" s="1025"/>
      <c r="BO40227" s="43"/>
    </row>
    <row r="40228" spans="65:67" ht="18.75" customHeight="1">
      <c r="BM40228" s="1025"/>
      <c r="BO40228" s="43"/>
    </row>
    <row r="40229" spans="65:67" ht="18.75" customHeight="1">
      <c r="BM40229" s="1025"/>
      <c r="BO40229" s="43"/>
    </row>
    <row r="40230" spans="65:67" ht="18.75" customHeight="1">
      <c r="BM40230" s="1025"/>
      <c r="BO40230" s="43"/>
    </row>
    <row r="40231" spans="65:67" ht="18.75" customHeight="1">
      <c r="BM40231" s="1025"/>
      <c r="BO40231" s="43"/>
    </row>
    <row r="40232" spans="65:67" ht="18.75" customHeight="1">
      <c r="BM40232" s="1025"/>
      <c r="BO40232" s="43"/>
    </row>
    <row r="40233" spans="65:67" ht="18.75" customHeight="1">
      <c r="BM40233" s="1025"/>
      <c r="BO40233" s="43"/>
    </row>
    <row r="40234" spans="65:67" ht="18.75" customHeight="1">
      <c r="BM40234" s="1025"/>
      <c r="BO40234" s="43"/>
    </row>
    <row r="40235" spans="65:67" ht="18.75" customHeight="1">
      <c r="BM40235" s="1025"/>
      <c r="BO40235" s="43"/>
    </row>
    <row r="40236" spans="65:67" ht="18.75" customHeight="1">
      <c r="BM40236" s="1025"/>
      <c r="BO40236" s="43"/>
    </row>
    <row r="40237" spans="65:67" ht="18.75" customHeight="1">
      <c r="BM40237" s="1025"/>
      <c r="BO40237" s="43"/>
    </row>
    <row r="40238" spans="65:67" ht="18.75" customHeight="1">
      <c r="BM40238" s="1025"/>
      <c r="BO40238" s="43"/>
    </row>
    <row r="40239" spans="65:67" ht="18.75" customHeight="1">
      <c r="BM40239" s="1025"/>
      <c r="BO40239" s="43"/>
    </row>
    <row r="40240" spans="65:67" ht="18.75" customHeight="1">
      <c r="BM40240" s="1025"/>
      <c r="BO40240" s="43"/>
    </row>
    <row r="40241" spans="65:67" ht="18.75" customHeight="1">
      <c r="BM40241" s="1025"/>
      <c r="BO40241" s="43"/>
    </row>
    <row r="40242" spans="65:67" ht="18.75" customHeight="1">
      <c r="BM40242" s="1025"/>
      <c r="BO40242" s="43"/>
    </row>
    <row r="40243" spans="65:67" ht="18.75" customHeight="1">
      <c r="BM40243" s="1025"/>
      <c r="BO40243" s="43"/>
    </row>
    <row r="40244" spans="65:67" ht="18.75" customHeight="1">
      <c r="BM40244" s="1025"/>
      <c r="BO40244" s="43"/>
    </row>
    <row r="40245" spans="65:67" ht="18.75" customHeight="1">
      <c r="BM40245" s="1025"/>
      <c r="BO40245" s="43"/>
    </row>
    <row r="40246" spans="65:67" ht="18.75" customHeight="1">
      <c r="BM40246" s="1025"/>
      <c r="BO40246" s="43"/>
    </row>
    <row r="40247" spans="65:67" ht="18.75" customHeight="1">
      <c r="BM40247" s="1025"/>
      <c r="BO40247" s="43"/>
    </row>
    <row r="40248" spans="65:67" ht="18.75" customHeight="1">
      <c r="BM40248" s="1025"/>
      <c r="BO40248" s="43"/>
    </row>
    <row r="40249" spans="65:67" ht="18.75" customHeight="1">
      <c r="BM40249" s="1025"/>
      <c r="BO40249" s="43"/>
    </row>
    <row r="40250" spans="65:67" ht="18.75" customHeight="1">
      <c r="BM40250" s="1025"/>
      <c r="BO40250" s="43"/>
    </row>
    <row r="40251" spans="65:67" ht="18.75" customHeight="1">
      <c r="BM40251" s="1025"/>
      <c r="BO40251" s="43"/>
    </row>
    <row r="40252" spans="65:67" ht="18.75" customHeight="1">
      <c r="BM40252" s="1025"/>
      <c r="BO40252" s="43"/>
    </row>
    <row r="40253" spans="65:67" ht="18.75" customHeight="1">
      <c r="BM40253" s="1025"/>
      <c r="BO40253" s="43"/>
    </row>
    <row r="40254" spans="65:67" ht="18.75" customHeight="1">
      <c r="BM40254" s="1025"/>
      <c r="BO40254" s="43"/>
    </row>
    <row r="40255" spans="65:67" ht="18.75" customHeight="1">
      <c r="BM40255" s="1025"/>
      <c r="BO40255" s="43"/>
    </row>
    <row r="40256" spans="65:67" ht="18.75" customHeight="1">
      <c r="BM40256" s="1025"/>
      <c r="BO40256" s="43"/>
    </row>
    <row r="40257" spans="65:67" ht="18.75" customHeight="1">
      <c r="BM40257" s="1025"/>
      <c r="BO40257" s="43"/>
    </row>
    <row r="40258" spans="65:67" ht="18.75" customHeight="1">
      <c r="BM40258" s="1025"/>
      <c r="BO40258" s="43"/>
    </row>
    <row r="40259" spans="65:67" ht="18.75" customHeight="1">
      <c r="BM40259" s="1025"/>
      <c r="BO40259" s="43"/>
    </row>
    <row r="40260" spans="65:67" ht="18.75" customHeight="1">
      <c r="BM40260" s="1025"/>
      <c r="BO40260" s="43"/>
    </row>
    <row r="40261" spans="65:67" ht="18.75" customHeight="1">
      <c r="BM40261" s="1025"/>
      <c r="BO40261" s="43"/>
    </row>
    <row r="40262" spans="65:67" ht="18.75" customHeight="1">
      <c r="BM40262" s="1025"/>
      <c r="BO40262" s="43"/>
    </row>
    <row r="40263" spans="65:67" ht="18.75" customHeight="1">
      <c r="BM40263" s="1025"/>
      <c r="BO40263" s="43"/>
    </row>
    <row r="40264" spans="65:67" ht="18.75" customHeight="1">
      <c r="BM40264" s="1025"/>
      <c r="BO40264" s="43"/>
    </row>
    <row r="40265" spans="65:67" ht="18.75" customHeight="1">
      <c r="BM40265" s="1025"/>
      <c r="BO40265" s="43"/>
    </row>
    <row r="40266" spans="65:67" ht="18.75" customHeight="1">
      <c r="BM40266" s="1025"/>
      <c r="BO40266" s="43"/>
    </row>
    <row r="40267" spans="65:67" ht="18.75" customHeight="1">
      <c r="BM40267" s="1025"/>
      <c r="BO40267" s="43"/>
    </row>
    <row r="40268" spans="65:67" ht="18.75" customHeight="1">
      <c r="BM40268" s="1025"/>
      <c r="BO40268" s="43"/>
    </row>
    <row r="40269" spans="65:67" ht="18.75" customHeight="1">
      <c r="BM40269" s="1025"/>
      <c r="BO40269" s="43"/>
    </row>
    <row r="40270" spans="65:67" ht="18.75" customHeight="1">
      <c r="BM40270" s="1025"/>
      <c r="BO40270" s="43"/>
    </row>
    <row r="40271" spans="65:67" ht="18.75" customHeight="1">
      <c r="BM40271" s="1025"/>
      <c r="BO40271" s="43"/>
    </row>
    <row r="40272" spans="65:67" ht="18.75" customHeight="1">
      <c r="BM40272" s="1025"/>
      <c r="BO40272" s="43"/>
    </row>
    <row r="40273" spans="65:67" ht="18.75" customHeight="1">
      <c r="BM40273" s="1025"/>
      <c r="BO40273" s="43"/>
    </row>
    <row r="40274" spans="65:67" ht="18.75" customHeight="1">
      <c r="BM40274" s="1025"/>
      <c r="BO40274" s="43"/>
    </row>
    <row r="40275" spans="65:67" ht="18.75" customHeight="1">
      <c r="BM40275" s="1025"/>
      <c r="BO40275" s="43"/>
    </row>
    <row r="40276" spans="65:67" ht="18.75" customHeight="1">
      <c r="BM40276" s="1025"/>
      <c r="BO40276" s="43"/>
    </row>
    <row r="40277" spans="65:67" ht="18.75" customHeight="1">
      <c r="BM40277" s="1025"/>
      <c r="BO40277" s="43"/>
    </row>
    <row r="40278" spans="65:67" ht="18.75" customHeight="1">
      <c r="BM40278" s="1025"/>
      <c r="BO40278" s="43"/>
    </row>
    <row r="40279" spans="65:67" ht="18.75" customHeight="1">
      <c r="BM40279" s="1025"/>
      <c r="BO40279" s="43"/>
    </row>
    <row r="40280" spans="65:67" ht="18.75" customHeight="1">
      <c r="BM40280" s="1025"/>
      <c r="BO40280" s="43"/>
    </row>
    <row r="40281" spans="65:67" ht="18.75" customHeight="1">
      <c r="BM40281" s="1025"/>
      <c r="BO40281" s="43"/>
    </row>
    <row r="40282" spans="65:67" ht="18.75" customHeight="1">
      <c r="BM40282" s="1025"/>
      <c r="BO40282" s="43"/>
    </row>
    <row r="40283" spans="65:67" ht="18.75" customHeight="1">
      <c r="BM40283" s="1025"/>
      <c r="BO40283" s="43"/>
    </row>
    <row r="40284" spans="65:67" ht="18.75" customHeight="1">
      <c r="BM40284" s="1025"/>
      <c r="BO40284" s="43"/>
    </row>
    <row r="40285" spans="65:67" ht="18.75" customHeight="1">
      <c r="BM40285" s="1025"/>
      <c r="BO40285" s="43"/>
    </row>
    <row r="40286" spans="65:67" ht="18.75" customHeight="1">
      <c r="BM40286" s="1025"/>
      <c r="BO40286" s="43"/>
    </row>
    <row r="40287" spans="65:67" ht="18.75" customHeight="1">
      <c r="BM40287" s="1025"/>
      <c r="BO40287" s="43"/>
    </row>
    <row r="40288" spans="65:67" ht="18.75" customHeight="1">
      <c r="BM40288" s="1025"/>
      <c r="BO40288" s="43"/>
    </row>
    <row r="40289" spans="65:67" ht="18.75" customHeight="1">
      <c r="BM40289" s="1025"/>
      <c r="BO40289" s="43"/>
    </row>
    <row r="40290" spans="65:67" ht="18.75" customHeight="1">
      <c r="BM40290" s="1025"/>
      <c r="BO40290" s="43"/>
    </row>
    <row r="40291" spans="65:67" ht="18.75" customHeight="1">
      <c r="BM40291" s="1025"/>
      <c r="BO40291" s="43"/>
    </row>
    <row r="40292" spans="65:67" ht="18.75" customHeight="1">
      <c r="BM40292" s="1025"/>
      <c r="BO40292" s="43"/>
    </row>
    <row r="40293" spans="65:67" ht="18.75" customHeight="1">
      <c r="BM40293" s="1025"/>
      <c r="BO40293" s="43"/>
    </row>
    <row r="40294" spans="65:67" ht="18.75" customHeight="1">
      <c r="BM40294" s="1025"/>
      <c r="BO40294" s="43"/>
    </row>
    <row r="40295" spans="65:67" ht="18.75" customHeight="1">
      <c r="BM40295" s="1025"/>
      <c r="BO40295" s="43"/>
    </row>
    <row r="40296" spans="65:67" ht="18.75" customHeight="1">
      <c r="BM40296" s="1025"/>
      <c r="BO40296" s="43"/>
    </row>
    <row r="40297" spans="65:67" ht="18.75" customHeight="1">
      <c r="BM40297" s="1025"/>
      <c r="BO40297" s="43"/>
    </row>
    <row r="40298" spans="65:67" ht="18.75" customHeight="1">
      <c r="BM40298" s="1025"/>
      <c r="BO40298" s="43"/>
    </row>
    <row r="40299" spans="65:67" ht="18.75" customHeight="1">
      <c r="BM40299" s="1025"/>
      <c r="BO40299" s="43"/>
    </row>
    <row r="40300" spans="65:67" ht="18.75" customHeight="1">
      <c r="BM40300" s="1025"/>
      <c r="BO40300" s="43"/>
    </row>
    <row r="40301" spans="65:67" ht="18.75" customHeight="1">
      <c r="BM40301" s="1025"/>
      <c r="BO40301" s="43"/>
    </row>
    <row r="40302" spans="65:67" ht="18.75" customHeight="1">
      <c r="BM40302" s="1025"/>
      <c r="BO40302" s="43"/>
    </row>
    <row r="40303" spans="65:67" ht="18.75" customHeight="1">
      <c r="BM40303" s="1025"/>
      <c r="BO40303" s="43"/>
    </row>
    <row r="40304" spans="65:67" ht="18.75" customHeight="1">
      <c r="BM40304" s="1025"/>
      <c r="BO40304" s="43"/>
    </row>
    <row r="40305" spans="65:67" ht="18.75" customHeight="1">
      <c r="BM40305" s="1025"/>
      <c r="BO40305" s="43"/>
    </row>
    <row r="40306" spans="65:67" ht="18.75" customHeight="1">
      <c r="BM40306" s="1025"/>
      <c r="BO40306" s="43"/>
    </row>
    <row r="40307" spans="65:67" ht="18.75" customHeight="1">
      <c r="BM40307" s="1025"/>
      <c r="BO40307" s="43"/>
    </row>
    <row r="40308" spans="65:67" ht="18.75" customHeight="1">
      <c r="BM40308" s="1025"/>
      <c r="BO40308" s="43"/>
    </row>
    <row r="40309" spans="65:67" ht="18.75" customHeight="1">
      <c r="BM40309" s="1025"/>
      <c r="BO40309" s="43"/>
    </row>
    <row r="40310" spans="65:67" ht="18.75" customHeight="1">
      <c r="BM40310" s="1025"/>
      <c r="BO40310" s="43"/>
    </row>
    <row r="40311" spans="65:67" ht="18.75" customHeight="1">
      <c r="BM40311" s="1025"/>
      <c r="BO40311" s="43"/>
    </row>
    <row r="40312" spans="65:67" ht="18.75" customHeight="1">
      <c r="BM40312" s="1025"/>
      <c r="BO40312" s="43"/>
    </row>
    <row r="40313" spans="65:67" ht="18.75" customHeight="1">
      <c r="BM40313" s="1025"/>
      <c r="BO40313" s="43"/>
    </row>
    <row r="40314" spans="65:67" ht="18.75" customHeight="1">
      <c r="BM40314" s="1025"/>
      <c r="BO40314" s="43"/>
    </row>
    <row r="40315" spans="65:67" ht="18.75" customHeight="1">
      <c r="BM40315" s="1025"/>
      <c r="BO40315" s="43"/>
    </row>
    <row r="40316" spans="65:67" ht="18.75" customHeight="1">
      <c r="BM40316" s="1025"/>
      <c r="BO40316" s="43"/>
    </row>
    <row r="40317" spans="65:67" ht="18.75" customHeight="1">
      <c r="BM40317" s="1025"/>
      <c r="BO40317" s="43"/>
    </row>
    <row r="40318" spans="65:67" ht="18.75" customHeight="1">
      <c r="BM40318" s="1025"/>
      <c r="BO40318" s="43"/>
    </row>
    <row r="40319" spans="65:67" ht="18.75" customHeight="1">
      <c r="BM40319" s="1025"/>
      <c r="BO40319" s="43"/>
    </row>
    <row r="40320" spans="65:67" ht="18.75" customHeight="1">
      <c r="BM40320" s="1025"/>
      <c r="BO40320" s="43"/>
    </row>
    <row r="40321" spans="65:67" ht="18.75" customHeight="1">
      <c r="BM40321" s="1025"/>
      <c r="BO40321" s="43"/>
    </row>
    <row r="40322" spans="65:67" ht="18.75" customHeight="1">
      <c r="BM40322" s="1025"/>
      <c r="BO40322" s="43"/>
    </row>
    <row r="40323" spans="65:67" ht="18.75" customHeight="1">
      <c r="BM40323" s="1025"/>
      <c r="BO40323" s="43"/>
    </row>
    <row r="40324" spans="65:67" ht="18.75" customHeight="1">
      <c r="BM40324" s="1025"/>
      <c r="BO40324" s="43"/>
    </row>
    <row r="40325" spans="65:67" ht="18.75" customHeight="1">
      <c r="BM40325" s="1025"/>
      <c r="BO40325" s="43"/>
    </row>
    <row r="40326" spans="65:67" ht="18.75" customHeight="1">
      <c r="BM40326" s="1025"/>
      <c r="BO40326" s="43"/>
    </row>
    <row r="40327" spans="65:67" ht="18.75" customHeight="1">
      <c r="BM40327" s="1025"/>
      <c r="BO40327" s="43"/>
    </row>
    <row r="40328" spans="65:67" ht="18.75" customHeight="1">
      <c r="BM40328" s="1025"/>
      <c r="BO40328" s="43"/>
    </row>
    <row r="40329" spans="65:67" ht="18.75" customHeight="1">
      <c r="BM40329" s="1025"/>
      <c r="BO40329" s="43"/>
    </row>
    <row r="40330" spans="65:67" ht="18.75" customHeight="1">
      <c r="BM40330" s="1025"/>
      <c r="BO40330" s="43"/>
    </row>
    <row r="40331" spans="65:67" ht="18.75" customHeight="1">
      <c r="BM40331" s="1025"/>
      <c r="BO40331" s="43"/>
    </row>
    <row r="40332" spans="65:67" ht="18.75" customHeight="1">
      <c r="BM40332" s="1025"/>
      <c r="BO40332" s="43"/>
    </row>
    <row r="40333" spans="65:67" ht="18.75" customHeight="1">
      <c r="BM40333" s="1025"/>
      <c r="BO40333" s="43"/>
    </row>
    <row r="40334" spans="65:67" ht="18.75" customHeight="1">
      <c r="BM40334" s="1025"/>
      <c r="BO40334" s="43"/>
    </row>
    <row r="40335" spans="65:67" ht="18.75" customHeight="1">
      <c r="BM40335" s="1025"/>
      <c r="BO40335" s="43"/>
    </row>
    <row r="40336" spans="65:67" ht="18.75" customHeight="1">
      <c r="BM40336" s="1025"/>
      <c r="BO40336" s="43"/>
    </row>
    <row r="40337" spans="65:67" ht="18.75" customHeight="1">
      <c r="BM40337" s="1025"/>
      <c r="BO40337" s="43"/>
    </row>
    <row r="40338" spans="65:67" ht="18.75" customHeight="1">
      <c r="BM40338" s="1025"/>
      <c r="BO40338" s="43"/>
    </row>
    <row r="40339" spans="65:67" ht="18.75" customHeight="1">
      <c r="BM40339" s="1025"/>
      <c r="BO40339" s="43"/>
    </row>
    <row r="40340" spans="65:67" ht="18.75" customHeight="1">
      <c r="BM40340" s="1025"/>
      <c r="BO40340" s="43"/>
    </row>
    <row r="40341" spans="65:67" ht="18.75" customHeight="1">
      <c r="BM40341" s="1025"/>
      <c r="BO40341" s="43"/>
    </row>
    <row r="40342" spans="65:67" ht="18.75" customHeight="1">
      <c r="BM40342" s="1025"/>
      <c r="BO40342" s="43"/>
    </row>
    <row r="40343" spans="65:67" ht="18.75" customHeight="1">
      <c r="BM40343" s="1025"/>
      <c r="BO40343" s="43"/>
    </row>
    <row r="40344" spans="65:67" ht="18.75" customHeight="1">
      <c r="BM40344" s="1025"/>
      <c r="BO40344" s="43"/>
    </row>
    <row r="40345" spans="65:67" ht="18.75" customHeight="1">
      <c r="BM40345" s="1025"/>
      <c r="BO40345" s="43"/>
    </row>
    <row r="40346" spans="65:67" ht="18.75" customHeight="1">
      <c r="BM40346" s="1025"/>
      <c r="BO40346" s="43"/>
    </row>
    <row r="40347" spans="65:67" ht="18.75" customHeight="1">
      <c r="BM40347" s="1025"/>
      <c r="BO40347" s="43"/>
    </row>
    <row r="40348" spans="65:67" ht="18.75" customHeight="1">
      <c r="BM40348" s="1025"/>
      <c r="BO40348" s="43"/>
    </row>
    <row r="40349" spans="65:67" ht="18.75" customHeight="1">
      <c r="BM40349" s="1025"/>
      <c r="BO40349" s="43"/>
    </row>
    <row r="40350" spans="65:67" ht="18.75" customHeight="1">
      <c r="BM40350" s="1025"/>
      <c r="BO40350" s="43"/>
    </row>
    <row r="40351" spans="65:67" ht="18.75" customHeight="1">
      <c r="BM40351" s="1025"/>
      <c r="BO40351" s="43"/>
    </row>
    <row r="40352" spans="65:67" ht="18.75" customHeight="1">
      <c r="BM40352" s="1025"/>
      <c r="BO40352" s="43"/>
    </row>
    <row r="40353" spans="65:67" ht="18.75" customHeight="1">
      <c r="BM40353" s="1025"/>
      <c r="BO40353" s="43"/>
    </row>
    <row r="40354" spans="65:67" ht="18.75" customHeight="1">
      <c r="BM40354" s="1025"/>
      <c r="BO40354" s="43"/>
    </row>
    <row r="40355" spans="65:67" ht="18.75" customHeight="1">
      <c r="BM40355" s="1025"/>
      <c r="BO40355" s="43"/>
    </row>
    <row r="40356" spans="65:67" ht="18.75" customHeight="1">
      <c r="BM40356" s="1025"/>
      <c r="BO40356" s="43"/>
    </row>
    <row r="40357" spans="65:67" ht="18.75" customHeight="1">
      <c r="BM40357" s="1025"/>
      <c r="BO40357" s="43"/>
    </row>
    <row r="40358" spans="65:67" ht="18.75" customHeight="1">
      <c r="BM40358" s="1025"/>
      <c r="BO40358" s="43"/>
    </row>
    <row r="40359" spans="65:67" ht="18.75" customHeight="1">
      <c r="BM40359" s="1025"/>
      <c r="BO40359" s="43"/>
    </row>
    <row r="40360" spans="65:67" ht="18.75" customHeight="1">
      <c r="BM40360" s="1025"/>
      <c r="BO40360" s="43"/>
    </row>
    <row r="40361" spans="65:67" ht="18.75" customHeight="1">
      <c r="BM40361" s="1025"/>
      <c r="BO40361" s="43"/>
    </row>
    <row r="40362" spans="65:67" ht="18.75" customHeight="1">
      <c r="BM40362" s="1025"/>
      <c r="BO40362" s="43"/>
    </row>
    <row r="40363" spans="65:67" ht="18.75" customHeight="1">
      <c r="BM40363" s="1025"/>
      <c r="BO40363" s="43"/>
    </row>
    <row r="40364" spans="65:67" ht="18.75" customHeight="1">
      <c r="BM40364" s="1025"/>
      <c r="BO40364" s="43"/>
    </row>
    <row r="40365" spans="65:67" ht="18.75" customHeight="1">
      <c r="BM40365" s="1025"/>
      <c r="BO40365" s="43"/>
    </row>
    <row r="40366" spans="65:67" ht="18.75" customHeight="1">
      <c r="BM40366" s="1025"/>
      <c r="BO40366" s="43"/>
    </row>
    <row r="40367" spans="65:67" ht="18.75" customHeight="1">
      <c r="BM40367" s="1025"/>
      <c r="BO40367" s="43"/>
    </row>
    <row r="40368" spans="65:67" ht="18.75" customHeight="1">
      <c r="BM40368" s="1025"/>
      <c r="BO40368" s="43"/>
    </row>
    <row r="40369" spans="65:67" ht="18.75" customHeight="1">
      <c r="BM40369" s="1025"/>
      <c r="BO40369" s="43"/>
    </row>
    <row r="40370" spans="65:67" ht="18.75" customHeight="1">
      <c r="BM40370" s="1025"/>
      <c r="BO40370" s="43"/>
    </row>
    <row r="40371" spans="65:67" ht="18.75" customHeight="1">
      <c r="BM40371" s="1025"/>
      <c r="BO40371" s="43"/>
    </row>
    <row r="40372" spans="65:67" ht="18.75" customHeight="1">
      <c r="BM40372" s="1025"/>
      <c r="BO40372" s="43"/>
    </row>
    <row r="40373" spans="65:67" ht="18.75" customHeight="1">
      <c r="BM40373" s="1025"/>
      <c r="BO40373" s="43"/>
    </row>
    <row r="40374" spans="65:67" ht="18.75" customHeight="1">
      <c r="BM40374" s="1025"/>
      <c r="BO40374" s="43"/>
    </row>
    <row r="40375" spans="65:67" ht="18.75" customHeight="1">
      <c r="BM40375" s="1025"/>
      <c r="BO40375" s="43"/>
    </row>
    <row r="40376" spans="65:67" ht="18.75" customHeight="1">
      <c r="BM40376" s="1025"/>
      <c r="BO40376" s="43"/>
    </row>
    <row r="40377" spans="65:67" ht="18.75" customHeight="1">
      <c r="BM40377" s="1025"/>
      <c r="BO40377" s="43"/>
    </row>
    <row r="40378" spans="65:67" ht="18.75" customHeight="1">
      <c r="BM40378" s="1025"/>
      <c r="BO40378" s="43"/>
    </row>
    <row r="40379" spans="65:67" ht="18.75" customHeight="1">
      <c r="BM40379" s="1025"/>
      <c r="BO40379" s="43"/>
    </row>
    <row r="40380" spans="65:67" ht="18.75" customHeight="1">
      <c r="BM40380" s="1025"/>
      <c r="BO40380" s="43"/>
    </row>
    <row r="40381" spans="65:67" ht="18.75" customHeight="1">
      <c r="BM40381" s="1025"/>
      <c r="BO40381" s="43"/>
    </row>
    <row r="40382" spans="65:67" ht="18.75" customHeight="1">
      <c r="BM40382" s="1025"/>
      <c r="BO40382" s="43"/>
    </row>
    <row r="40383" spans="65:67" ht="18.75" customHeight="1">
      <c r="BM40383" s="1025"/>
      <c r="BO40383" s="43"/>
    </row>
    <row r="40384" spans="65:67" ht="18.75" customHeight="1">
      <c r="BM40384" s="1025"/>
      <c r="BO40384" s="43"/>
    </row>
    <row r="40385" spans="65:67" ht="18.75" customHeight="1">
      <c r="BM40385" s="1025"/>
      <c r="BO40385" s="43"/>
    </row>
    <row r="40386" spans="65:67" ht="18.75" customHeight="1">
      <c r="BM40386" s="1025"/>
      <c r="BO40386" s="43"/>
    </row>
    <row r="40387" spans="65:67" ht="18.75" customHeight="1">
      <c r="BM40387" s="1025"/>
      <c r="BO40387" s="43"/>
    </row>
    <row r="40388" spans="65:67" ht="18.75" customHeight="1">
      <c r="BM40388" s="1025"/>
      <c r="BO40388" s="43"/>
    </row>
    <row r="40389" spans="65:67" ht="18.75" customHeight="1">
      <c r="BM40389" s="1025"/>
      <c r="BO40389" s="43"/>
    </row>
    <row r="40390" spans="65:67" ht="18.75" customHeight="1">
      <c r="BM40390" s="1025"/>
      <c r="BO40390" s="43"/>
    </row>
    <row r="40391" spans="65:67" ht="18.75" customHeight="1">
      <c r="BM40391" s="1025"/>
      <c r="BO40391" s="43"/>
    </row>
    <row r="40392" spans="65:67" ht="18.75" customHeight="1">
      <c r="BM40392" s="1025"/>
      <c r="BO40392" s="43"/>
    </row>
    <row r="40393" spans="65:67" ht="18.75" customHeight="1">
      <c r="BM40393" s="1025"/>
      <c r="BO40393" s="43"/>
    </row>
    <row r="40394" spans="65:67" ht="18.75" customHeight="1">
      <c r="BM40394" s="1025"/>
      <c r="BO40394" s="43"/>
    </row>
    <row r="40395" spans="65:67" ht="18.75" customHeight="1">
      <c r="BM40395" s="1025"/>
      <c r="BO40395" s="43"/>
    </row>
    <row r="40396" spans="65:67" ht="18.75" customHeight="1">
      <c r="BM40396" s="1025"/>
      <c r="BO40396" s="43"/>
    </row>
    <row r="40397" spans="65:67" ht="18.75" customHeight="1">
      <c r="BM40397" s="1025"/>
      <c r="BO40397" s="43"/>
    </row>
    <row r="40398" spans="65:67" ht="18.75" customHeight="1">
      <c r="BM40398" s="1025"/>
      <c r="BO40398" s="43"/>
    </row>
    <row r="40399" spans="65:67" ht="18.75" customHeight="1">
      <c r="BM40399" s="1025"/>
      <c r="BO40399" s="43"/>
    </row>
    <row r="40400" spans="65:67" ht="18.75" customHeight="1">
      <c r="BM40400" s="1025"/>
      <c r="BO40400" s="43"/>
    </row>
    <row r="40401" spans="65:67" ht="18.75" customHeight="1">
      <c r="BM40401" s="1025"/>
      <c r="BO40401" s="43"/>
    </row>
    <row r="40402" spans="65:67" ht="18.75" customHeight="1">
      <c r="BM40402" s="1025"/>
      <c r="BO40402" s="43"/>
    </row>
    <row r="40403" spans="65:67" ht="18.75" customHeight="1">
      <c r="BM40403" s="1025"/>
      <c r="BO40403" s="43"/>
    </row>
    <row r="40404" spans="65:67" ht="18.75" customHeight="1">
      <c r="BM40404" s="1025"/>
      <c r="BO40404" s="43"/>
    </row>
    <row r="40405" spans="65:67" ht="18.75" customHeight="1">
      <c r="BM40405" s="1025"/>
      <c r="BO40405" s="43"/>
    </row>
    <row r="40406" spans="65:67" ht="18.75" customHeight="1">
      <c r="BM40406" s="1025"/>
      <c r="BO40406" s="43"/>
    </row>
    <row r="40407" spans="65:67" ht="18.75" customHeight="1">
      <c r="BM40407" s="1025"/>
      <c r="BO40407" s="43"/>
    </row>
    <row r="40408" spans="65:67" ht="18.75" customHeight="1">
      <c r="BM40408" s="1025"/>
      <c r="BO40408" s="43"/>
    </row>
    <row r="40409" spans="65:67" ht="18.75" customHeight="1">
      <c r="BM40409" s="1025"/>
      <c r="BO40409" s="43"/>
    </row>
    <row r="40410" spans="65:67" ht="18.75" customHeight="1">
      <c r="BM40410" s="1025"/>
      <c r="BO40410" s="43"/>
    </row>
    <row r="40411" spans="65:67" ht="18.75" customHeight="1">
      <c r="BM40411" s="1025"/>
      <c r="BO40411" s="43"/>
    </row>
    <row r="40412" spans="65:67" ht="18.75" customHeight="1">
      <c r="BM40412" s="1025"/>
      <c r="BO40412" s="43"/>
    </row>
    <row r="40413" spans="65:67" ht="18.75" customHeight="1">
      <c r="BM40413" s="1025"/>
      <c r="BO40413" s="43"/>
    </row>
    <row r="40414" spans="65:67" ht="18.75" customHeight="1">
      <c r="BM40414" s="1025"/>
      <c r="BO40414" s="43"/>
    </row>
    <row r="40415" spans="65:67" ht="18.75" customHeight="1">
      <c r="BM40415" s="1025"/>
      <c r="BO40415" s="43"/>
    </row>
    <row r="40416" spans="65:67" ht="18.75" customHeight="1">
      <c r="BM40416" s="1025"/>
      <c r="BO40416" s="43"/>
    </row>
    <row r="40417" spans="65:67" ht="18.75" customHeight="1">
      <c r="BM40417" s="1025"/>
      <c r="BO40417" s="43"/>
    </row>
    <row r="40418" spans="65:67" ht="18.75" customHeight="1">
      <c r="BM40418" s="1025"/>
      <c r="BO40418" s="43"/>
    </row>
    <row r="40419" spans="65:67" ht="18.75" customHeight="1">
      <c r="BM40419" s="1025"/>
      <c r="BO40419" s="43"/>
    </row>
    <row r="40420" spans="65:67" ht="18.75" customHeight="1">
      <c r="BM40420" s="1025"/>
      <c r="BO40420" s="43"/>
    </row>
    <row r="40421" spans="65:67" ht="18.75" customHeight="1">
      <c r="BM40421" s="1025"/>
      <c r="BO40421" s="43"/>
    </row>
    <row r="40422" spans="65:67" ht="18.75" customHeight="1">
      <c r="BM40422" s="1025"/>
      <c r="BO40422" s="43"/>
    </row>
    <row r="40423" spans="65:67" ht="18.75" customHeight="1">
      <c r="BM40423" s="1025"/>
      <c r="BO40423" s="43"/>
    </row>
    <row r="40424" spans="65:67" ht="18.75" customHeight="1">
      <c r="BM40424" s="1025"/>
      <c r="BO40424" s="43"/>
    </row>
    <row r="40425" spans="65:67" ht="18.75" customHeight="1">
      <c r="BM40425" s="1025"/>
      <c r="BO40425" s="43"/>
    </row>
    <row r="40426" spans="65:67" ht="18.75" customHeight="1">
      <c r="BM40426" s="1025"/>
      <c r="BO40426" s="43"/>
    </row>
    <row r="40427" spans="65:67" ht="18.75" customHeight="1">
      <c r="BM40427" s="1025"/>
      <c r="BO40427" s="43"/>
    </row>
    <row r="40428" spans="65:67" ht="18.75" customHeight="1">
      <c r="BM40428" s="1025"/>
      <c r="BO40428" s="43"/>
    </row>
    <row r="40429" spans="65:67" ht="18.75" customHeight="1">
      <c r="BM40429" s="1025"/>
      <c r="BO40429" s="43"/>
    </row>
    <row r="40430" spans="65:67" ht="18.75" customHeight="1">
      <c r="BM40430" s="1025"/>
      <c r="BO40430" s="43"/>
    </row>
    <row r="40431" spans="65:67" ht="18.75" customHeight="1">
      <c r="BM40431" s="1025"/>
      <c r="BO40431" s="43"/>
    </row>
    <row r="40432" spans="65:67" ht="18.75" customHeight="1">
      <c r="BM40432" s="1025"/>
      <c r="BO40432" s="43"/>
    </row>
    <row r="40433" spans="65:67" ht="18.75" customHeight="1">
      <c r="BM40433" s="1025"/>
      <c r="BO40433" s="43"/>
    </row>
    <row r="40434" spans="65:67" ht="18.75" customHeight="1">
      <c r="BM40434" s="1025"/>
      <c r="BO40434" s="43"/>
    </row>
    <row r="40435" spans="65:67" ht="18.75" customHeight="1">
      <c r="BM40435" s="1025"/>
      <c r="BO40435" s="43"/>
    </row>
    <row r="40436" spans="65:67" ht="18.75" customHeight="1">
      <c r="BM40436" s="1025"/>
      <c r="BO40436" s="43"/>
    </row>
    <row r="40437" spans="65:67" ht="18.75" customHeight="1">
      <c r="BM40437" s="1025"/>
      <c r="BO40437" s="43"/>
    </row>
    <row r="40438" spans="65:67" ht="18.75" customHeight="1">
      <c r="BM40438" s="1025"/>
      <c r="BO40438" s="43"/>
    </row>
    <row r="40439" spans="65:67" ht="18.75" customHeight="1">
      <c r="BM40439" s="1025"/>
      <c r="BO40439" s="43"/>
    </row>
    <row r="40440" spans="65:67" ht="18.75" customHeight="1">
      <c r="BM40440" s="1025"/>
      <c r="BO40440" s="43"/>
    </row>
    <row r="40441" spans="65:67" ht="18.75" customHeight="1">
      <c r="BM40441" s="1025"/>
      <c r="BO40441" s="43"/>
    </row>
    <row r="40442" spans="65:67" ht="18.75" customHeight="1">
      <c r="BM40442" s="1025"/>
      <c r="BO40442" s="43"/>
    </row>
    <row r="40443" spans="65:67" ht="18.75" customHeight="1">
      <c r="BM40443" s="1025"/>
      <c r="BO40443" s="43"/>
    </row>
    <row r="40444" spans="65:67" ht="18.75" customHeight="1">
      <c r="BM40444" s="1025"/>
      <c r="BO40444" s="43"/>
    </row>
    <row r="40445" spans="65:67" ht="18.75" customHeight="1">
      <c r="BM40445" s="1025"/>
      <c r="BO40445" s="43"/>
    </row>
    <row r="40446" spans="65:67" ht="18.75" customHeight="1">
      <c r="BM40446" s="1025"/>
      <c r="BO40446" s="43"/>
    </row>
    <row r="40447" spans="65:67" ht="18.75" customHeight="1">
      <c r="BM40447" s="1025"/>
      <c r="BO40447" s="43"/>
    </row>
    <row r="40448" spans="65:67" ht="18.75" customHeight="1">
      <c r="BM40448" s="1025"/>
      <c r="BO40448" s="43"/>
    </row>
    <row r="40449" spans="65:67" ht="18.75" customHeight="1">
      <c r="BM40449" s="1025"/>
      <c r="BO40449" s="43"/>
    </row>
    <row r="40450" spans="65:67" ht="18.75" customHeight="1">
      <c r="BM40450" s="1025"/>
      <c r="BO40450" s="43"/>
    </row>
    <row r="40451" spans="65:67" ht="18.75" customHeight="1">
      <c r="BM40451" s="1025"/>
      <c r="BO40451" s="43"/>
    </row>
    <row r="40452" spans="65:67" ht="18.75" customHeight="1">
      <c r="BM40452" s="1025"/>
      <c r="BO40452" s="43"/>
    </row>
    <row r="40453" spans="65:67" ht="18.75" customHeight="1">
      <c r="BM40453" s="1025"/>
      <c r="BO40453" s="43"/>
    </row>
    <row r="40454" spans="65:67" ht="18.75" customHeight="1">
      <c r="BM40454" s="1025"/>
      <c r="BO40454" s="43"/>
    </row>
    <row r="40455" spans="65:67" ht="18.75" customHeight="1">
      <c r="BM40455" s="1025"/>
      <c r="BO40455" s="43"/>
    </row>
    <row r="40456" spans="65:67" ht="18.75" customHeight="1">
      <c r="BM40456" s="1025"/>
      <c r="BO40456" s="43"/>
    </row>
    <row r="40457" spans="65:67" ht="18.75" customHeight="1">
      <c r="BM40457" s="1025"/>
      <c r="BO40457" s="43"/>
    </row>
    <row r="40458" spans="65:67" ht="18.75" customHeight="1">
      <c r="BM40458" s="1025"/>
      <c r="BO40458" s="43"/>
    </row>
    <row r="40459" spans="65:67" ht="18.75" customHeight="1">
      <c r="BM40459" s="1025"/>
      <c r="BO40459" s="43"/>
    </row>
    <row r="40460" spans="65:67" ht="18.75" customHeight="1">
      <c r="BM40460" s="1025"/>
      <c r="BO40460" s="43"/>
    </row>
    <row r="40461" spans="65:67" ht="18.75" customHeight="1">
      <c r="BM40461" s="1025"/>
      <c r="BO40461" s="43"/>
    </row>
    <row r="40462" spans="65:67" ht="18.75" customHeight="1">
      <c r="BM40462" s="1025"/>
      <c r="BO40462" s="43"/>
    </row>
    <row r="40463" spans="65:67" ht="18.75" customHeight="1">
      <c r="BM40463" s="1025"/>
      <c r="BO40463" s="43"/>
    </row>
    <row r="40464" spans="65:67" ht="18.75" customHeight="1">
      <c r="BM40464" s="1025"/>
      <c r="BO40464" s="43"/>
    </row>
    <row r="40465" spans="65:67" ht="18.75" customHeight="1">
      <c r="BM40465" s="1025"/>
      <c r="BO40465" s="43"/>
    </row>
    <row r="40466" spans="65:67" ht="18.75" customHeight="1">
      <c r="BM40466" s="1025"/>
      <c r="BO40466" s="43"/>
    </row>
    <row r="40467" spans="65:67" ht="18.75" customHeight="1">
      <c r="BM40467" s="1025"/>
      <c r="BO40467" s="43"/>
    </row>
    <row r="40468" spans="65:67" ht="18.75" customHeight="1">
      <c r="BM40468" s="1025"/>
      <c r="BO40468" s="43"/>
    </row>
    <row r="40469" spans="65:67" ht="18.75" customHeight="1">
      <c r="BM40469" s="1025"/>
      <c r="BO40469" s="43"/>
    </row>
    <row r="40470" spans="65:67" ht="18.75" customHeight="1">
      <c r="BM40470" s="1025"/>
      <c r="BO40470" s="43"/>
    </row>
    <row r="40471" spans="65:67" ht="18.75" customHeight="1">
      <c r="BM40471" s="1025"/>
      <c r="BO40471" s="43"/>
    </row>
    <row r="40472" spans="65:67" ht="18.75" customHeight="1">
      <c r="BM40472" s="1025"/>
      <c r="BO40472" s="43"/>
    </row>
    <row r="40473" spans="65:67" ht="18.75" customHeight="1">
      <c r="BM40473" s="1025"/>
      <c r="BO40473" s="43"/>
    </row>
    <row r="40474" spans="65:67" ht="18.75" customHeight="1">
      <c r="BM40474" s="1025"/>
      <c r="BO40474" s="43"/>
    </row>
    <row r="40475" spans="65:67" ht="18.75" customHeight="1">
      <c r="BM40475" s="1025"/>
      <c r="BO40475" s="43"/>
    </row>
    <row r="40476" spans="65:67" ht="18.75" customHeight="1">
      <c r="BM40476" s="1025"/>
      <c r="BO40476" s="43"/>
    </row>
    <row r="40477" spans="65:67" ht="18.75" customHeight="1">
      <c r="BM40477" s="1025"/>
      <c r="BO40477" s="43"/>
    </row>
    <row r="40478" spans="65:67" ht="18.75" customHeight="1">
      <c r="BM40478" s="1025"/>
      <c r="BO40478" s="43"/>
    </row>
    <row r="40479" spans="65:67" ht="18.75" customHeight="1">
      <c r="BM40479" s="1025"/>
      <c r="BO40479" s="43"/>
    </row>
    <row r="40480" spans="65:67" ht="18.75" customHeight="1">
      <c r="BM40480" s="1025"/>
      <c r="BO40480" s="43"/>
    </row>
    <row r="40481" spans="65:67" ht="18.75" customHeight="1">
      <c r="BM40481" s="1025"/>
      <c r="BO40481" s="43"/>
    </row>
    <row r="40482" spans="65:67" ht="18.75" customHeight="1">
      <c r="BM40482" s="1025"/>
      <c r="BO40482" s="43"/>
    </row>
    <row r="40483" spans="65:67" ht="18.75" customHeight="1">
      <c r="BM40483" s="1025"/>
      <c r="BO40483" s="43"/>
    </row>
    <row r="40484" spans="65:67" ht="18.75" customHeight="1">
      <c r="BM40484" s="1025"/>
      <c r="BO40484" s="43"/>
    </row>
    <row r="40485" spans="65:67" ht="18.75" customHeight="1">
      <c r="BM40485" s="1025"/>
      <c r="BO40485" s="43"/>
    </row>
    <row r="40486" spans="65:67" ht="18.75" customHeight="1">
      <c r="BM40486" s="1025"/>
      <c r="BO40486" s="43"/>
    </row>
    <row r="40487" spans="65:67" ht="18.75" customHeight="1">
      <c r="BM40487" s="1025"/>
      <c r="BO40487" s="43"/>
    </row>
    <row r="40488" spans="65:67" ht="18.75" customHeight="1">
      <c r="BM40488" s="1025"/>
      <c r="BO40488" s="43"/>
    </row>
    <row r="40489" spans="65:67" ht="18.75" customHeight="1">
      <c r="BM40489" s="1025"/>
      <c r="BO40489" s="43"/>
    </row>
    <row r="40490" spans="65:67" ht="18.75" customHeight="1">
      <c r="BM40490" s="1025"/>
      <c r="BO40490" s="43"/>
    </row>
    <row r="40491" spans="65:67" ht="18.75" customHeight="1">
      <c r="BM40491" s="1025"/>
      <c r="BO40491" s="43"/>
    </row>
    <row r="40492" spans="65:67" ht="18.75" customHeight="1">
      <c r="BM40492" s="1025"/>
      <c r="BO40492" s="43"/>
    </row>
    <row r="40493" spans="65:67" ht="18.75" customHeight="1">
      <c r="BM40493" s="1025"/>
      <c r="BO40493" s="43"/>
    </row>
    <row r="40494" spans="65:67" ht="18.75" customHeight="1">
      <c r="BM40494" s="1025"/>
      <c r="BO40494" s="43"/>
    </row>
    <row r="40495" spans="65:67" ht="18.75" customHeight="1">
      <c r="BM40495" s="1025"/>
      <c r="BO40495" s="43"/>
    </row>
    <row r="40496" spans="65:67" ht="18.75" customHeight="1">
      <c r="BM40496" s="1025"/>
      <c r="BO40496" s="43"/>
    </row>
    <row r="40497" spans="65:67" ht="18.75" customHeight="1">
      <c r="BM40497" s="1025"/>
      <c r="BO40497" s="43"/>
    </row>
    <row r="40498" spans="65:67" ht="18.75" customHeight="1">
      <c r="BM40498" s="1025"/>
      <c r="BO40498" s="43"/>
    </row>
    <row r="40499" spans="65:67" ht="18.75" customHeight="1">
      <c r="BM40499" s="1025"/>
      <c r="BO40499" s="43"/>
    </row>
    <row r="40500" spans="65:67" ht="18.75" customHeight="1">
      <c r="BM40500" s="1025"/>
      <c r="BO40500" s="43"/>
    </row>
    <row r="40501" spans="65:67" ht="18.75" customHeight="1">
      <c r="BM40501" s="1025"/>
      <c r="BO40501" s="43"/>
    </row>
    <row r="40502" spans="65:67" ht="18.75" customHeight="1">
      <c r="BM40502" s="1025"/>
      <c r="BO40502" s="43"/>
    </row>
    <row r="40503" spans="65:67" ht="18.75" customHeight="1">
      <c r="BM40503" s="1025"/>
      <c r="BO40503" s="43"/>
    </row>
    <row r="40504" spans="65:67" ht="18.75" customHeight="1">
      <c r="BM40504" s="1025"/>
      <c r="BO40504" s="43"/>
    </row>
    <row r="40505" spans="65:67" ht="18.75" customHeight="1">
      <c r="BM40505" s="1025"/>
      <c r="BO40505" s="43"/>
    </row>
    <row r="40506" spans="65:67" ht="18.75" customHeight="1">
      <c r="BM40506" s="1025"/>
      <c r="BO40506" s="43"/>
    </row>
    <row r="40507" spans="65:67" ht="18.75" customHeight="1">
      <c r="BM40507" s="1025"/>
      <c r="BO40507" s="43"/>
    </row>
    <row r="40508" spans="65:67" ht="18.75" customHeight="1">
      <c r="BM40508" s="1025"/>
      <c r="BO40508" s="43"/>
    </row>
    <row r="40509" spans="65:67" ht="18.75" customHeight="1">
      <c r="BM40509" s="1025"/>
      <c r="BO40509" s="43"/>
    </row>
    <row r="40510" spans="65:67" ht="18.75" customHeight="1">
      <c r="BM40510" s="1025"/>
      <c r="BO40510" s="43"/>
    </row>
    <row r="40511" spans="65:67" ht="18.75" customHeight="1">
      <c r="BM40511" s="1025"/>
      <c r="BO40511" s="43"/>
    </row>
    <row r="40512" spans="65:67" ht="18.75" customHeight="1">
      <c r="BM40512" s="1025"/>
      <c r="BO40512" s="43"/>
    </row>
    <row r="40513" spans="65:67" ht="18.75" customHeight="1">
      <c r="BM40513" s="1025"/>
      <c r="BO40513" s="43"/>
    </row>
    <row r="40514" spans="65:67" ht="18.75" customHeight="1">
      <c r="BM40514" s="1025"/>
      <c r="BO40514" s="43"/>
    </row>
    <row r="40515" spans="65:67" ht="18.75" customHeight="1">
      <c r="BM40515" s="1025"/>
      <c r="BO40515" s="43"/>
    </row>
    <row r="40516" spans="65:67" ht="18.75" customHeight="1">
      <c r="BM40516" s="1025"/>
      <c r="BO40516" s="43"/>
    </row>
    <row r="40517" spans="65:67" ht="18.75" customHeight="1">
      <c r="BM40517" s="1025"/>
      <c r="BO40517" s="43"/>
    </row>
    <row r="40518" spans="65:67" ht="18.75" customHeight="1">
      <c r="BM40518" s="1025"/>
      <c r="BO40518" s="43"/>
    </row>
    <row r="40519" spans="65:67" ht="18.75" customHeight="1">
      <c r="BM40519" s="1025"/>
      <c r="BO40519" s="43"/>
    </row>
    <row r="40520" spans="65:67" ht="18.75" customHeight="1">
      <c r="BM40520" s="1025"/>
      <c r="BO40520" s="43"/>
    </row>
    <row r="40521" spans="65:67" ht="18.75" customHeight="1">
      <c r="BM40521" s="1025"/>
      <c r="BO40521" s="43"/>
    </row>
    <row r="40522" spans="65:67" ht="18.75" customHeight="1">
      <c r="BM40522" s="1025"/>
      <c r="BO40522" s="43"/>
    </row>
    <row r="40523" spans="65:67" ht="18.75" customHeight="1">
      <c r="BM40523" s="1025"/>
      <c r="BO40523" s="43"/>
    </row>
    <row r="40524" spans="65:67" ht="18.75" customHeight="1">
      <c r="BM40524" s="1025"/>
      <c r="BO40524" s="43"/>
    </row>
    <row r="40525" spans="65:67" ht="18.75" customHeight="1">
      <c r="BM40525" s="1025"/>
      <c r="BO40525" s="43"/>
    </row>
    <row r="40526" spans="65:67" ht="18.75" customHeight="1">
      <c r="BM40526" s="1025"/>
      <c r="BO40526" s="43"/>
    </row>
    <row r="40527" spans="65:67" ht="18.75" customHeight="1">
      <c r="BM40527" s="1025"/>
      <c r="BO40527" s="43"/>
    </row>
    <row r="40528" spans="65:67" ht="18.75" customHeight="1">
      <c r="BM40528" s="1025"/>
      <c r="BO40528" s="43"/>
    </row>
    <row r="40529" spans="65:67" ht="18.75" customHeight="1">
      <c r="BM40529" s="1025"/>
      <c r="BO40529" s="43"/>
    </row>
    <row r="40530" spans="65:67" ht="18.75" customHeight="1">
      <c r="BM40530" s="1025"/>
      <c r="BO40530" s="43"/>
    </row>
    <row r="40531" spans="65:67" ht="18.75" customHeight="1">
      <c r="BM40531" s="1025"/>
      <c r="BO40531" s="43"/>
    </row>
    <row r="40532" spans="65:67" ht="18.75" customHeight="1">
      <c r="BM40532" s="1025"/>
      <c r="BO40532" s="43"/>
    </row>
    <row r="40533" spans="65:67" ht="18.75" customHeight="1">
      <c r="BM40533" s="1025"/>
      <c r="BO40533" s="43"/>
    </row>
    <row r="40534" spans="65:67" ht="18.75" customHeight="1">
      <c r="BM40534" s="1025"/>
      <c r="BO40534" s="43"/>
    </row>
    <row r="40535" spans="65:67" ht="18.75" customHeight="1">
      <c r="BM40535" s="1025"/>
      <c r="BO40535" s="43"/>
    </row>
    <row r="40536" spans="65:67" ht="18.75" customHeight="1">
      <c r="BM40536" s="1025"/>
      <c r="BO40536" s="43"/>
    </row>
    <row r="40537" spans="65:67" ht="18.75" customHeight="1">
      <c r="BM40537" s="1025"/>
      <c r="BO40537" s="43"/>
    </row>
    <row r="40538" spans="65:67" ht="18.75" customHeight="1">
      <c r="BM40538" s="1025"/>
      <c r="BO40538" s="43"/>
    </row>
    <row r="40539" spans="65:67" ht="18.75" customHeight="1">
      <c r="BM40539" s="1025"/>
      <c r="BO40539" s="43"/>
    </row>
    <row r="40540" spans="65:67" ht="18.75" customHeight="1">
      <c r="BM40540" s="1025"/>
      <c r="BO40540" s="43"/>
    </row>
    <row r="40541" spans="65:67" ht="18.75" customHeight="1">
      <c r="BM40541" s="1025"/>
      <c r="BO40541" s="43"/>
    </row>
    <row r="40542" spans="65:67" ht="18.75" customHeight="1">
      <c r="BM40542" s="1025"/>
      <c r="BO40542" s="43"/>
    </row>
    <row r="40543" spans="65:67" ht="18.75" customHeight="1">
      <c r="BM40543" s="1025"/>
      <c r="BO40543" s="43"/>
    </row>
    <row r="40544" spans="65:67" ht="18.75" customHeight="1">
      <c r="BM40544" s="1025"/>
      <c r="BO40544" s="43"/>
    </row>
    <row r="40545" spans="65:67" ht="18.75" customHeight="1">
      <c r="BM40545" s="1025"/>
      <c r="BO40545" s="43"/>
    </row>
    <row r="40546" spans="65:67" ht="18.75" customHeight="1">
      <c r="BM40546" s="1025"/>
      <c r="BO40546" s="43"/>
    </row>
    <row r="40547" spans="65:67" ht="18.75" customHeight="1">
      <c r="BM40547" s="1025"/>
      <c r="BO40547" s="43"/>
    </row>
    <row r="40548" spans="65:67" ht="18.75" customHeight="1">
      <c r="BM40548" s="1025"/>
      <c r="BO40548" s="43"/>
    </row>
    <row r="40549" spans="65:67" ht="18.75" customHeight="1">
      <c r="BM40549" s="1025"/>
      <c r="BO40549" s="43"/>
    </row>
    <row r="40550" spans="65:67" ht="18.75" customHeight="1">
      <c r="BM40550" s="1025"/>
      <c r="BO40550" s="43"/>
    </row>
    <row r="40551" spans="65:67" ht="18.75" customHeight="1">
      <c r="BM40551" s="1025"/>
      <c r="BO40551" s="43"/>
    </row>
    <row r="40552" spans="65:67" ht="18.75" customHeight="1">
      <c r="BM40552" s="1025"/>
      <c r="BO40552" s="43"/>
    </row>
    <row r="40553" spans="65:67" ht="18.75" customHeight="1">
      <c r="BM40553" s="1025"/>
      <c r="BO40553" s="43"/>
    </row>
    <row r="40554" spans="65:67" ht="18.75" customHeight="1">
      <c r="BM40554" s="1025"/>
      <c r="BO40554" s="43"/>
    </row>
    <row r="40555" spans="65:67" ht="18.75" customHeight="1">
      <c r="BM40555" s="1025"/>
      <c r="BO40555" s="43"/>
    </row>
    <row r="40556" spans="65:67" ht="18.75" customHeight="1">
      <c r="BM40556" s="1025"/>
      <c r="BO40556" s="43"/>
    </row>
    <row r="40557" spans="65:67" ht="18.75" customHeight="1">
      <c r="BM40557" s="1025"/>
      <c r="BO40557" s="43"/>
    </row>
    <row r="40558" spans="65:67" ht="18.75" customHeight="1">
      <c r="BM40558" s="1025"/>
      <c r="BO40558" s="43"/>
    </row>
    <row r="40559" spans="65:67" ht="18.75" customHeight="1">
      <c r="BM40559" s="1025"/>
      <c r="BO40559" s="43"/>
    </row>
    <row r="40560" spans="65:67" ht="18.75" customHeight="1">
      <c r="BM40560" s="1025"/>
      <c r="BO40560" s="43"/>
    </row>
    <row r="40561" spans="65:67" ht="18.75" customHeight="1">
      <c r="BM40561" s="1025"/>
      <c r="BO40561" s="43"/>
    </row>
    <row r="40562" spans="65:67" ht="18.75" customHeight="1">
      <c r="BM40562" s="1025"/>
      <c r="BO40562" s="43"/>
    </row>
    <row r="40563" spans="65:67" ht="18.75" customHeight="1">
      <c r="BM40563" s="1025"/>
      <c r="BO40563" s="43"/>
    </row>
    <row r="40564" spans="65:67" ht="18.75" customHeight="1">
      <c r="BM40564" s="1025"/>
      <c r="BO40564" s="43"/>
    </row>
    <row r="40565" spans="65:67" ht="18.75" customHeight="1">
      <c r="BM40565" s="1025"/>
      <c r="BO40565" s="43"/>
    </row>
    <row r="40566" spans="65:67" ht="18.75" customHeight="1">
      <c r="BM40566" s="1025"/>
      <c r="BO40566" s="43"/>
    </row>
    <row r="40567" spans="65:67" ht="18.75" customHeight="1">
      <c r="BM40567" s="1025"/>
      <c r="BO40567" s="43"/>
    </row>
    <row r="40568" spans="65:67" ht="18.75" customHeight="1">
      <c r="BM40568" s="1025"/>
      <c r="BO40568" s="43"/>
    </row>
    <row r="40569" spans="65:67" ht="18.75" customHeight="1">
      <c r="BM40569" s="1025"/>
      <c r="BO40569" s="43"/>
    </row>
    <row r="40570" spans="65:67" ht="18.75" customHeight="1">
      <c r="BM40570" s="1025"/>
      <c r="BO40570" s="43"/>
    </row>
    <row r="40571" spans="65:67" ht="18.75" customHeight="1">
      <c r="BM40571" s="1025"/>
      <c r="BO40571" s="43"/>
    </row>
    <row r="40572" spans="65:67" ht="18.75" customHeight="1">
      <c r="BM40572" s="1025"/>
      <c r="BO40572" s="43"/>
    </row>
    <row r="40573" spans="65:67" ht="18.75" customHeight="1">
      <c r="BM40573" s="1025"/>
      <c r="BO40573" s="43"/>
    </row>
    <row r="40574" spans="65:67" ht="18.75" customHeight="1">
      <c r="BM40574" s="1025"/>
      <c r="BO40574" s="43"/>
    </row>
    <row r="40575" spans="65:67" ht="18.75" customHeight="1">
      <c r="BM40575" s="1025"/>
      <c r="BO40575" s="43"/>
    </row>
    <row r="40576" spans="65:67" ht="18.75" customHeight="1">
      <c r="BM40576" s="1025"/>
      <c r="BO40576" s="43"/>
    </row>
    <row r="40577" spans="65:67" ht="18.75" customHeight="1">
      <c r="BM40577" s="1025"/>
      <c r="BO40577" s="43"/>
    </row>
    <row r="40578" spans="65:67" ht="18.75" customHeight="1">
      <c r="BM40578" s="1025"/>
      <c r="BO40578" s="43"/>
    </row>
    <row r="40579" spans="65:67" ht="18.75" customHeight="1">
      <c r="BM40579" s="1025"/>
      <c r="BO40579" s="43"/>
    </row>
    <row r="40580" spans="65:67" ht="18.75" customHeight="1">
      <c r="BM40580" s="1025"/>
      <c r="BO40580" s="43"/>
    </row>
    <row r="40581" spans="65:67" ht="18.75" customHeight="1">
      <c r="BM40581" s="1025"/>
      <c r="BO40581" s="43"/>
    </row>
    <row r="40582" spans="65:67" ht="18.75" customHeight="1">
      <c r="BM40582" s="1025"/>
      <c r="BO40582" s="43"/>
    </row>
    <row r="40583" spans="65:67" ht="18.75" customHeight="1">
      <c r="BM40583" s="1025"/>
      <c r="BO40583" s="43"/>
    </row>
    <row r="40584" spans="65:67" ht="18.75" customHeight="1">
      <c r="BM40584" s="1025"/>
      <c r="BO40584" s="43"/>
    </row>
    <row r="40585" spans="65:67" ht="18.75" customHeight="1">
      <c r="BM40585" s="1025"/>
      <c r="BO40585" s="43"/>
    </row>
    <row r="40586" spans="65:67" ht="18.75" customHeight="1">
      <c r="BM40586" s="1025"/>
      <c r="BO40586" s="43"/>
    </row>
    <row r="40587" spans="65:67" ht="18.75" customHeight="1">
      <c r="BM40587" s="1025"/>
      <c r="BO40587" s="43"/>
    </row>
    <row r="40588" spans="65:67" ht="18.75" customHeight="1">
      <c r="BM40588" s="1025"/>
      <c r="BO40588" s="43"/>
    </row>
    <row r="40589" spans="65:67" ht="18.75" customHeight="1">
      <c r="BM40589" s="1025"/>
      <c r="BO40589" s="43"/>
    </row>
    <row r="40590" spans="65:67" ht="18.75" customHeight="1">
      <c r="BM40590" s="1025"/>
      <c r="BO40590" s="43"/>
    </row>
    <row r="40591" spans="65:67" ht="18.75" customHeight="1">
      <c r="BM40591" s="1025"/>
      <c r="BO40591" s="43"/>
    </row>
    <row r="40592" spans="65:67" ht="18.75" customHeight="1">
      <c r="BM40592" s="1025"/>
      <c r="BO40592" s="43"/>
    </row>
    <row r="40593" spans="65:67" ht="18.75" customHeight="1">
      <c r="BM40593" s="1025"/>
      <c r="BO40593" s="43"/>
    </row>
    <row r="40594" spans="65:67" ht="18.75" customHeight="1">
      <c r="BM40594" s="1025"/>
      <c r="BO40594" s="43"/>
    </row>
    <row r="40595" spans="65:67" ht="18.75" customHeight="1">
      <c r="BM40595" s="1025"/>
      <c r="BO40595" s="43"/>
    </row>
    <row r="40596" spans="65:67" ht="18.75" customHeight="1">
      <c r="BM40596" s="1025"/>
      <c r="BO40596" s="43"/>
    </row>
    <row r="40597" spans="65:67" ht="18.75" customHeight="1">
      <c r="BM40597" s="1025"/>
      <c r="BO40597" s="43"/>
    </row>
    <row r="40598" spans="65:67" ht="18.75" customHeight="1">
      <c r="BM40598" s="1025"/>
      <c r="BO40598" s="43"/>
    </row>
    <row r="40599" spans="65:67" ht="18.75" customHeight="1">
      <c r="BM40599" s="1025"/>
      <c r="BO40599" s="43"/>
    </row>
    <row r="40600" spans="65:67" ht="18.75" customHeight="1">
      <c r="BM40600" s="1025"/>
      <c r="BO40600" s="43"/>
    </row>
    <row r="40601" spans="65:67" ht="18.75" customHeight="1">
      <c r="BM40601" s="1025"/>
      <c r="BO40601" s="43"/>
    </row>
    <row r="40602" spans="65:67" ht="18.75" customHeight="1">
      <c r="BM40602" s="1025"/>
      <c r="BO40602" s="43"/>
    </row>
    <row r="40603" spans="65:67" ht="18.75" customHeight="1">
      <c r="BM40603" s="1025"/>
      <c r="BO40603" s="43"/>
    </row>
    <row r="40604" spans="65:67" ht="18.75" customHeight="1">
      <c r="BM40604" s="1025"/>
      <c r="BO40604" s="43"/>
    </row>
    <row r="40605" spans="65:67" ht="18.75" customHeight="1">
      <c r="BM40605" s="1025"/>
      <c r="BO40605" s="43"/>
    </row>
    <row r="40606" spans="65:67" ht="18.75" customHeight="1">
      <c r="BM40606" s="1025"/>
      <c r="BO40606" s="43"/>
    </row>
    <row r="40607" spans="65:67" ht="18.75" customHeight="1">
      <c r="BM40607" s="1025"/>
      <c r="BO40607" s="43"/>
    </row>
    <row r="40608" spans="65:67" ht="18.75" customHeight="1">
      <c r="BM40608" s="1025"/>
      <c r="BO40608" s="43"/>
    </row>
    <row r="40609" spans="65:67" ht="18.75" customHeight="1">
      <c r="BM40609" s="1025"/>
      <c r="BO40609" s="43"/>
    </row>
    <row r="40610" spans="65:67" ht="18.75" customHeight="1">
      <c r="BM40610" s="1025"/>
      <c r="BO40610" s="43"/>
    </row>
    <row r="40611" spans="65:67" ht="18.75" customHeight="1">
      <c r="BM40611" s="1025"/>
      <c r="BO40611" s="43"/>
    </row>
    <row r="40612" spans="65:67" ht="18.75" customHeight="1">
      <c r="BM40612" s="1025"/>
      <c r="BO40612" s="43"/>
    </row>
    <row r="40613" spans="65:67" ht="18.75" customHeight="1">
      <c r="BM40613" s="1025"/>
      <c r="BO40613" s="43"/>
    </row>
    <row r="40614" spans="65:67" ht="18.75" customHeight="1">
      <c r="BM40614" s="1025"/>
      <c r="BO40614" s="43"/>
    </row>
    <row r="40615" spans="65:67" ht="18.75" customHeight="1">
      <c r="BM40615" s="1025"/>
      <c r="BO40615" s="43"/>
    </row>
    <row r="40616" spans="65:67" ht="18.75" customHeight="1">
      <c r="BM40616" s="1025"/>
      <c r="BO40616" s="43"/>
    </row>
    <row r="40617" spans="65:67" ht="18.75" customHeight="1">
      <c r="BM40617" s="1025"/>
      <c r="BO40617" s="43"/>
    </row>
    <row r="40618" spans="65:67" ht="18.75" customHeight="1">
      <c r="BM40618" s="1025"/>
      <c r="BO40618" s="43"/>
    </row>
    <row r="40619" spans="65:67" ht="18.75" customHeight="1">
      <c r="BM40619" s="1025"/>
      <c r="BO40619" s="43"/>
    </row>
    <row r="40620" spans="65:67" ht="18.75" customHeight="1">
      <c r="BM40620" s="1025"/>
      <c r="BO40620" s="43"/>
    </row>
    <row r="40621" spans="65:67" ht="18.75" customHeight="1">
      <c r="BM40621" s="1025"/>
      <c r="BO40621" s="43"/>
    </row>
    <row r="40622" spans="65:67" ht="18.75" customHeight="1">
      <c r="BM40622" s="1025"/>
      <c r="BO40622" s="43"/>
    </row>
    <row r="40623" spans="65:67" ht="18.75" customHeight="1">
      <c r="BM40623" s="1025"/>
      <c r="BO40623" s="43"/>
    </row>
    <row r="40624" spans="65:67" ht="18.75" customHeight="1">
      <c r="BM40624" s="1025"/>
      <c r="BO40624" s="43"/>
    </row>
    <row r="40625" spans="65:67" ht="18.75" customHeight="1">
      <c r="BM40625" s="1025"/>
      <c r="BO40625" s="43"/>
    </row>
    <row r="40626" spans="65:67" ht="18.75" customHeight="1">
      <c r="BM40626" s="1025"/>
      <c r="BO40626" s="43"/>
    </row>
    <row r="40627" spans="65:67" ht="18.75" customHeight="1">
      <c r="BM40627" s="1025"/>
      <c r="BO40627" s="43"/>
    </row>
    <row r="40628" spans="65:67" ht="18.75" customHeight="1">
      <c r="BM40628" s="1025"/>
      <c r="BO40628" s="43"/>
    </row>
    <row r="40629" spans="65:67" ht="18.75" customHeight="1">
      <c r="BM40629" s="1025"/>
      <c r="BO40629" s="43"/>
    </row>
    <row r="40630" spans="65:67" ht="18.75" customHeight="1">
      <c r="BM40630" s="1025"/>
      <c r="BO40630" s="43"/>
    </row>
    <row r="40631" spans="65:67" ht="18.75" customHeight="1">
      <c r="BM40631" s="1025"/>
      <c r="BO40631" s="43"/>
    </row>
    <row r="40632" spans="65:67" ht="18.75" customHeight="1">
      <c r="BM40632" s="1025"/>
      <c r="BO40632" s="43"/>
    </row>
    <row r="40633" spans="65:67" ht="18.75" customHeight="1">
      <c r="BM40633" s="1025"/>
      <c r="BO40633" s="43"/>
    </row>
    <row r="40634" spans="65:67" ht="18.75" customHeight="1">
      <c r="BM40634" s="1025"/>
      <c r="BO40634" s="43"/>
    </row>
    <row r="40635" spans="65:67" ht="18.75" customHeight="1">
      <c r="BM40635" s="1025"/>
      <c r="BO40635" s="43"/>
    </row>
    <row r="40636" spans="65:67" ht="18.75" customHeight="1">
      <c r="BM40636" s="1025"/>
      <c r="BO40636" s="43"/>
    </row>
    <row r="40637" spans="65:67" ht="18.75" customHeight="1">
      <c r="BM40637" s="1025"/>
      <c r="BO40637" s="43"/>
    </row>
    <row r="40638" spans="65:67" ht="18.75" customHeight="1">
      <c r="BM40638" s="1025"/>
      <c r="BO40638" s="43"/>
    </row>
    <row r="40639" spans="65:67" ht="18.75" customHeight="1">
      <c r="BM40639" s="1025"/>
      <c r="BO40639" s="43"/>
    </row>
    <row r="40640" spans="65:67" ht="18.75" customHeight="1">
      <c r="BM40640" s="1025"/>
      <c r="BO40640" s="43"/>
    </row>
    <row r="40641" spans="65:67" ht="18.75" customHeight="1">
      <c r="BM40641" s="1025"/>
      <c r="BO40641" s="43"/>
    </row>
    <row r="40642" spans="65:67" ht="18.75" customHeight="1">
      <c r="BM40642" s="1025"/>
      <c r="BO40642" s="43"/>
    </row>
    <row r="40643" spans="65:67" ht="18.75" customHeight="1">
      <c r="BM40643" s="1025"/>
      <c r="BO40643" s="43"/>
    </row>
    <row r="40644" spans="65:67" ht="18.75" customHeight="1">
      <c r="BM40644" s="1025"/>
      <c r="BO40644" s="43"/>
    </row>
    <row r="40645" spans="65:67" ht="18.75" customHeight="1">
      <c r="BM40645" s="1025"/>
      <c r="BO40645" s="43"/>
    </row>
    <row r="40646" spans="65:67" ht="18.75" customHeight="1">
      <c r="BM40646" s="1025"/>
      <c r="BO40646" s="43"/>
    </row>
    <row r="40647" spans="65:67" ht="18.75" customHeight="1">
      <c r="BM40647" s="1025"/>
      <c r="BO40647" s="43"/>
    </row>
    <row r="40648" spans="65:67" ht="18.75" customHeight="1">
      <c r="BM40648" s="1025"/>
      <c r="BO40648" s="43"/>
    </row>
    <row r="40649" spans="65:67" ht="18.75" customHeight="1">
      <c r="BM40649" s="1025"/>
      <c r="BO40649" s="43"/>
    </row>
    <row r="40650" spans="65:67" ht="18.75" customHeight="1">
      <c r="BM40650" s="1025"/>
      <c r="BO40650" s="43"/>
    </row>
    <row r="40651" spans="65:67" ht="18.75" customHeight="1">
      <c r="BM40651" s="1025"/>
      <c r="BO40651" s="43"/>
    </row>
    <row r="40652" spans="65:67" ht="18.75" customHeight="1">
      <c r="BM40652" s="1025"/>
      <c r="BO40652" s="43"/>
    </row>
    <row r="40653" spans="65:67" ht="18.75" customHeight="1">
      <c r="BM40653" s="1025"/>
      <c r="BO40653" s="43"/>
    </row>
    <row r="40654" spans="65:67" ht="18.75" customHeight="1">
      <c r="BM40654" s="1025"/>
      <c r="BO40654" s="43"/>
    </row>
    <row r="40655" spans="65:67" ht="18.75" customHeight="1">
      <c r="BM40655" s="1025"/>
      <c r="BO40655" s="43"/>
    </row>
    <row r="40656" spans="65:67" ht="18.75" customHeight="1">
      <c r="BM40656" s="1025"/>
      <c r="BO40656" s="43"/>
    </row>
    <row r="40657" spans="65:67" ht="18.75" customHeight="1">
      <c r="BM40657" s="1025"/>
      <c r="BO40657" s="43"/>
    </row>
    <row r="40658" spans="65:67" ht="18.75" customHeight="1">
      <c r="BM40658" s="1025"/>
      <c r="BO40658" s="43"/>
    </row>
    <row r="40659" spans="65:67" ht="18.75" customHeight="1">
      <c r="BM40659" s="1025"/>
      <c r="BO40659" s="43"/>
    </row>
    <row r="40660" spans="65:67" ht="18.75" customHeight="1">
      <c r="BM40660" s="1025"/>
      <c r="BO40660" s="43"/>
    </row>
    <row r="40661" spans="65:67" ht="18.75" customHeight="1">
      <c r="BM40661" s="1025"/>
      <c r="BO40661" s="43"/>
    </row>
    <row r="40662" spans="65:67" ht="18.75" customHeight="1">
      <c r="BM40662" s="1025"/>
      <c r="BO40662" s="43"/>
    </row>
    <row r="40663" spans="65:67" ht="18.75" customHeight="1">
      <c r="BM40663" s="1025"/>
      <c r="BO40663" s="43"/>
    </row>
    <row r="40664" spans="65:67" ht="18.75" customHeight="1">
      <c r="BM40664" s="1025"/>
      <c r="BO40664" s="43"/>
    </row>
    <row r="40665" spans="65:67" ht="18.75" customHeight="1">
      <c r="BM40665" s="1025"/>
      <c r="BO40665" s="43"/>
    </row>
    <row r="40666" spans="65:67" ht="18.75" customHeight="1">
      <c r="BM40666" s="1025"/>
      <c r="BO40666" s="43"/>
    </row>
    <row r="40667" spans="65:67" ht="18.75" customHeight="1">
      <c r="BM40667" s="1025"/>
      <c r="BO40667" s="43"/>
    </row>
    <row r="40668" spans="65:67" ht="18.75" customHeight="1">
      <c r="BM40668" s="1025"/>
      <c r="BO40668" s="43"/>
    </row>
    <row r="40669" spans="65:67" ht="18.75" customHeight="1">
      <c r="BM40669" s="1025"/>
      <c r="BO40669" s="43"/>
    </row>
    <row r="40670" spans="65:67" ht="18.75" customHeight="1">
      <c r="BM40670" s="1025"/>
      <c r="BO40670" s="43"/>
    </row>
    <row r="40671" spans="65:67" ht="18.75" customHeight="1">
      <c r="BM40671" s="1025"/>
      <c r="BO40671" s="43"/>
    </row>
    <row r="40672" spans="65:67" ht="18.75" customHeight="1">
      <c r="BM40672" s="1025"/>
      <c r="BO40672" s="43"/>
    </row>
    <row r="40673" spans="65:67" ht="18.75" customHeight="1">
      <c r="BM40673" s="1025"/>
      <c r="BO40673" s="43"/>
    </row>
    <row r="40674" spans="65:67" ht="18.75" customHeight="1">
      <c r="BM40674" s="1025"/>
      <c r="BO40674" s="43"/>
    </row>
    <row r="40675" spans="65:67" ht="18.75" customHeight="1">
      <c r="BM40675" s="1025"/>
      <c r="BO40675" s="43"/>
    </row>
    <row r="40676" spans="65:67" ht="18.75" customHeight="1">
      <c r="BM40676" s="1025"/>
      <c r="BO40676" s="43"/>
    </row>
    <row r="40677" spans="65:67" ht="18.75" customHeight="1">
      <c r="BM40677" s="1025"/>
      <c r="BO40677" s="43"/>
    </row>
    <row r="40678" spans="65:67" ht="18.75" customHeight="1">
      <c r="BM40678" s="1025"/>
      <c r="BO40678" s="43"/>
    </row>
    <row r="40679" spans="65:67" ht="18.75" customHeight="1">
      <c r="BM40679" s="1025"/>
      <c r="BO40679" s="43"/>
    </row>
    <row r="40680" spans="65:67" ht="18.75" customHeight="1">
      <c r="BM40680" s="1025"/>
      <c r="BO40680" s="43"/>
    </row>
    <row r="40681" spans="65:67" ht="18.75" customHeight="1">
      <c r="BM40681" s="1025"/>
      <c r="BO40681" s="43"/>
    </row>
    <row r="40682" spans="65:67" ht="18.75" customHeight="1">
      <c r="BM40682" s="1025"/>
      <c r="BO40682" s="43"/>
    </row>
    <row r="40683" spans="65:67" ht="18.75" customHeight="1">
      <c r="BM40683" s="1025"/>
      <c r="BO40683" s="43"/>
    </row>
    <row r="40684" spans="65:67" ht="18.75" customHeight="1">
      <c r="BM40684" s="1025"/>
      <c r="BO40684" s="43"/>
    </row>
    <row r="40685" spans="65:67" ht="18.75" customHeight="1">
      <c r="BM40685" s="1025"/>
      <c r="BO40685" s="43"/>
    </row>
    <row r="40686" spans="65:67" ht="18.75" customHeight="1">
      <c r="BM40686" s="1025"/>
      <c r="BO40686" s="43"/>
    </row>
    <row r="40687" spans="65:67" ht="18.75" customHeight="1">
      <c r="BM40687" s="1025"/>
      <c r="BO40687" s="43"/>
    </row>
    <row r="40688" spans="65:67" ht="18.75" customHeight="1">
      <c r="BM40688" s="1025"/>
      <c r="BO40688" s="43"/>
    </row>
    <row r="40689" spans="65:67" ht="18.75" customHeight="1">
      <c r="BM40689" s="1025"/>
      <c r="BO40689" s="43"/>
    </row>
    <row r="40690" spans="65:67" ht="18.75" customHeight="1">
      <c r="BM40690" s="1025"/>
      <c r="BO40690" s="43"/>
    </row>
    <row r="40691" spans="65:67" ht="18.75" customHeight="1">
      <c r="BM40691" s="1025"/>
      <c r="BO40691" s="43"/>
    </row>
    <row r="40692" spans="65:67" ht="18.75" customHeight="1">
      <c r="BM40692" s="1025"/>
      <c r="BO40692" s="43"/>
    </row>
    <row r="40693" spans="65:67" ht="18.75" customHeight="1">
      <c r="BM40693" s="1025"/>
      <c r="BO40693" s="43"/>
    </row>
    <row r="40694" spans="65:67" ht="18.75" customHeight="1">
      <c r="BM40694" s="1025"/>
      <c r="BO40694" s="43"/>
    </row>
    <row r="40695" spans="65:67" ht="18.75" customHeight="1">
      <c r="BM40695" s="1025"/>
      <c r="BO40695" s="43"/>
    </row>
    <row r="40696" spans="65:67" ht="18.75" customHeight="1">
      <c r="BM40696" s="1025"/>
      <c r="BO40696" s="43"/>
    </row>
    <row r="40697" spans="65:67" ht="18.75" customHeight="1">
      <c r="BM40697" s="1025"/>
      <c r="BO40697" s="43"/>
    </row>
    <row r="40698" spans="65:67" ht="18.75" customHeight="1">
      <c r="BM40698" s="1025"/>
      <c r="BO40698" s="43"/>
    </row>
    <row r="40699" spans="65:67" ht="18.75" customHeight="1">
      <c r="BM40699" s="1025"/>
      <c r="BO40699" s="43"/>
    </row>
    <row r="40700" spans="65:67" ht="18.75" customHeight="1">
      <c r="BM40700" s="1025"/>
      <c r="BO40700" s="43"/>
    </row>
    <row r="40701" spans="65:67" ht="18.75" customHeight="1">
      <c r="BM40701" s="1025"/>
      <c r="BO40701" s="43"/>
    </row>
    <row r="40702" spans="65:67" ht="18.75" customHeight="1">
      <c r="BM40702" s="1025"/>
      <c r="BO40702" s="43"/>
    </row>
    <row r="40703" spans="65:67" ht="18.75" customHeight="1">
      <c r="BM40703" s="1025"/>
      <c r="BO40703" s="43"/>
    </row>
    <row r="40704" spans="65:67" ht="18.75" customHeight="1">
      <c r="BM40704" s="1025"/>
      <c r="BO40704" s="43"/>
    </row>
    <row r="40705" spans="65:67" ht="18.75" customHeight="1">
      <c r="BM40705" s="1025"/>
      <c r="BO40705" s="43"/>
    </row>
    <row r="40706" spans="65:67" ht="18.75" customHeight="1">
      <c r="BM40706" s="1025"/>
      <c r="BO40706" s="43"/>
    </row>
    <row r="40707" spans="65:67" ht="18.75" customHeight="1">
      <c r="BM40707" s="1025"/>
      <c r="BO40707" s="43"/>
    </row>
    <row r="40708" spans="65:67" ht="18.75" customHeight="1">
      <c r="BM40708" s="1025"/>
      <c r="BO40708" s="43"/>
    </row>
    <row r="40709" spans="65:67" ht="18.75" customHeight="1">
      <c r="BM40709" s="1025"/>
      <c r="BO40709" s="43"/>
    </row>
    <row r="40710" spans="65:67" ht="18.75" customHeight="1">
      <c r="BM40710" s="1025"/>
      <c r="BO40710" s="43"/>
    </row>
    <row r="40711" spans="65:67" ht="18.75" customHeight="1">
      <c r="BM40711" s="1025"/>
      <c r="BO40711" s="43"/>
    </row>
    <row r="40712" spans="65:67" ht="18.75" customHeight="1">
      <c r="BM40712" s="1025"/>
      <c r="BO40712" s="43"/>
    </row>
    <row r="40713" spans="65:67" ht="18.75" customHeight="1">
      <c r="BM40713" s="1025"/>
      <c r="BO40713" s="43"/>
    </row>
    <row r="40714" spans="65:67" ht="18.75" customHeight="1">
      <c r="BM40714" s="1025"/>
      <c r="BO40714" s="43"/>
    </row>
    <row r="40715" spans="65:67" ht="18.75" customHeight="1">
      <c r="BM40715" s="1025"/>
      <c r="BO40715" s="43"/>
    </row>
    <row r="40716" spans="65:67" ht="18.75" customHeight="1">
      <c r="BM40716" s="1025"/>
      <c r="BO40716" s="43"/>
    </row>
    <row r="40717" spans="65:67" ht="18.75" customHeight="1">
      <c r="BM40717" s="1025"/>
      <c r="BO40717" s="43"/>
    </row>
    <row r="40718" spans="65:67" ht="18.75" customHeight="1">
      <c r="BM40718" s="1025"/>
      <c r="BO40718" s="43"/>
    </row>
    <row r="40719" spans="65:67" ht="18.75" customHeight="1">
      <c r="BM40719" s="1025"/>
      <c r="BO40719" s="43"/>
    </row>
    <row r="40720" spans="65:67" ht="18.75" customHeight="1">
      <c r="BM40720" s="1025"/>
      <c r="BO40720" s="43"/>
    </row>
    <row r="40721" spans="65:67" ht="18.75" customHeight="1">
      <c r="BM40721" s="1025"/>
      <c r="BO40721" s="43"/>
    </row>
    <row r="40722" spans="65:67" ht="18.75" customHeight="1">
      <c r="BM40722" s="1025"/>
      <c r="BO40722" s="43"/>
    </row>
    <row r="40723" spans="65:67" ht="18.75" customHeight="1">
      <c r="BM40723" s="1025"/>
      <c r="BO40723" s="43"/>
    </row>
    <row r="40724" spans="65:67" ht="18.75" customHeight="1">
      <c r="BM40724" s="1025"/>
      <c r="BO40724" s="43"/>
    </row>
    <row r="40725" spans="65:67" ht="18.75" customHeight="1">
      <c r="BM40725" s="1025"/>
      <c r="BO40725" s="43"/>
    </row>
    <row r="40726" spans="65:67" ht="18.75" customHeight="1">
      <c r="BM40726" s="1025"/>
      <c r="BO40726" s="43"/>
    </row>
    <row r="40727" spans="65:67" ht="18.75" customHeight="1">
      <c r="BM40727" s="1025"/>
      <c r="BO40727" s="43"/>
    </row>
    <row r="40728" spans="65:67" ht="18.75" customHeight="1">
      <c r="BM40728" s="1025"/>
      <c r="BO40728" s="43"/>
    </row>
    <row r="40729" spans="65:67" ht="18.75" customHeight="1">
      <c r="BM40729" s="1025"/>
      <c r="BO40729" s="43"/>
    </row>
    <row r="40730" spans="65:67" ht="18.75" customHeight="1">
      <c r="BM40730" s="1025"/>
      <c r="BO40730" s="43"/>
    </row>
    <row r="40731" spans="65:67" ht="18.75" customHeight="1">
      <c r="BM40731" s="1025"/>
      <c r="BO40731" s="43"/>
    </row>
    <row r="40732" spans="65:67" ht="18.75" customHeight="1">
      <c r="BM40732" s="1025"/>
      <c r="BO40732" s="43"/>
    </row>
    <row r="40733" spans="65:67" ht="18.75" customHeight="1">
      <c r="BM40733" s="1025"/>
      <c r="BO40733" s="43"/>
    </row>
    <row r="40734" spans="65:67" ht="18.75" customHeight="1">
      <c r="BM40734" s="1025"/>
      <c r="BO40734" s="43"/>
    </row>
    <row r="40735" spans="65:67" ht="18.75" customHeight="1">
      <c r="BM40735" s="1025"/>
      <c r="BO40735" s="43"/>
    </row>
    <row r="40736" spans="65:67" ht="18.75" customHeight="1">
      <c r="BM40736" s="1025"/>
      <c r="BO40736" s="43"/>
    </row>
    <row r="40737" spans="65:67" ht="18.75" customHeight="1">
      <c r="BM40737" s="1025"/>
      <c r="BO40737" s="43"/>
    </row>
    <row r="40738" spans="65:67" ht="18.75" customHeight="1">
      <c r="BM40738" s="1025"/>
      <c r="BO40738" s="43"/>
    </row>
    <row r="40739" spans="65:67" ht="18.75" customHeight="1">
      <c r="BM40739" s="1025"/>
      <c r="BO40739" s="43"/>
    </row>
    <row r="40740" spans="65:67" ht="18.75" customHeight="1">
      <c r="BM40740" s="1025"/>
      <c r="BO40740" s="43"/>
    </row>
    <row r="40741" spans="65:67" ht="18.75" customHeight="1">
      <c r="BM40741" s="1025"/>
      <c r="BO40741" s="43"/>
    </row>
    <row r="40742" spans="65:67" ht="18.75" customHeight="1">
      <c r="BM40742" s="1025"/>
      <c r="BO40742" s="43"/>
    </row>
    <row r="40743" spans="65:67" ht="18.75" customHeight="1">
      <c r="BM40743" s="1025"/>
      <c r="BO40743" s="43"/>
    </row>
    <row r="40744" spans="65:67" ht="18.75" customHeight="1">
      <c r="BM40744" s="1025"/>
      <c r="BO40744" s="43"/>
    </row>
    <row r="40745" spans="65:67" ht="18.75" customHeight="1">
      <c r="BM40745" s="1025"/>
      <c r="BO40745" s="43"/>
    </row>
    <row r="40746" spans="65:67" ht="18.75" customHeight="1">
      <c r="BM40746" s="1025"/>
      <c r="BO40746" s="43"/>
    </row>
    <row r="40747" spans="65:67" ht="18.75" customHeight="1">
      <c r="BM40747" s="1025"/>
      <c r="BO40747" s="43"/>
    </row>
    <row r="40748" spans="65:67" ht="18.75" customHeight="1">
      <c r="BM40748" s="1025"/>
      <c r="BO40748" s="43"/>
    </row>
    <row r="40749" spans="65:67" ht="18.75" customHeight="1">
      <c r="BM40749" s="1025"/>
      <c r="BO40749" s="43"/>
    </row>
    <row r="40750" spans="65:67" ht="18.75" customHeight="1">
      <c r="BM40750" s="1025"/>
      <c r="BO40750" s="43"/>
    </row>
    <row r="40751" spans="65:67" ht="18.75" customHeight="1">
      <c r="BM40751" s="1025"/>
      <c r="BO40751" s="43"/>
    </row>
    <row r="40752" spans="65:67" ht="18.75" customHeight="1">
      <c r="BM40752" s="1025"/>
      <c r="BO40752" s="43"/>
    </row>
    <row r="40753" spans="65:67" ht="18.75" customHeight="1">
      <c r="BM40753" s="1025"/>
      <c r="BO40753" s="43"/>
    </row>
    <row r="40754" spans="65:67" ht="18.75" customHeight="1">
      <c r="BM40754" s="1025"/>
      <c r="BO40754" s="43"/>
    </row>
    <row r="40755" spans="65:67" ht="18.75" customHeight="1">
      <c r="BM40755" s="1025"/>
      <c r="BO40755" s="43"/>
    </row>
    <row r="40756" spans="65:67" ht="18.75" customHeight="1">
      <c r="BM40756" s="1025"/>
      <c r="BO40756" s="43"/>
    </row>
    <row r="40757" spans="65:67" ht="18.75" customHeight="1">
      <c r="BM40757" s="1025"/>
      <c r="BO40757" s="43"/>
    </row>
    <row r="40758" spans="65:67" ht="18.75" customHeight="1">
      <c r="BM40758" s="1025"/>
      <c r="BO40758" s="43"/>
    </row>
    <row r="40759" spans="65:67" ht="18.75" customHeight="1">
      <c r="BM40759" s="1025"/>
      <c r="BO40759" s="43"/>
    </row>
    <row r="40760" spans="65:67" ht="18.75" customHeight="1">
      <c r="BM40760" s="1025"/>
      <c r="BO40760" s="43"/>
    </row>
    <row r="40761" spans="65:67" ht="18.75" customHeight="1">
      <c r="BM40761" s="1025"/>
      <c r="BO40761" s="43"/>
    </row>
    <row r="40762" spans="65:67" ht="18.75" customHeight="1">
      <c r="BM40762" s="1025"/>
      <c r="BO40762" s="43"/>
    </row>
    <row r="40763" spans="65:67" ht="18.75" customHeight="1">
      <c r="BM40763" s="1025"/>
      <c r="BO40763" s="43"/>
    </row>
    <row r="40764" spans="65:67" ht="18.75" customHeight="1">
      <c r="BM40764" s="1025"/>
      <c r="BO40764" s="43"/>
    </row>
    <row r="40765" spans="65:67" ht="18.75" customHeight="1">
      <c r="BM40765" s="1025"/>
      <c r="BO40765" s="43"/>
    </row>
    <row r="40766" spans="65:67" ht="18.75" customHeight="1">
      <c r="BM40766" s="1025"/>
      <c r="BO40766" s="43"/>
    </row>
    <row r="40767" spans="65:67" ht="18.75" customHeight="1">
      <c r="BM40767" s="1025"/>
      <c r="BO40767" s="43"/>
    </row>
    <row r="40768" spans="65:67" ht="18.75" customHeight="1">
      <c r="BM40768" s="1025"/>
      <c r="BO40768" s="43"/>
    </row>
    <row r="40769" spans="65:67" ht="18.75" customHeight="1">
      <c r="BM40769" s="1025"/>
      <c r="BO40769" s="43"/>
    </row>
    <row r="40770" spans="65:67" ht="18.75" customHeight="1">
      <c r="BM40770" s="1025"/>
      <c r="BO40770" s="43"/>
    </row>
    <row r="40771" spans="65:67" ht="18.75" customHeight="1">
      <c r="BM40771" s="1025"/>
      <c r="BO40771" s="43"/>
    </row>
    <row r="40772" spans="65:67" ht="18.75" customHeight="1">
      <c r="BM40772" s="1025"/>
      <c r="BO40772" s="43"/>
    </row>
    <row r="40773" spans="65:67" ht="18.75" customHeight="1">
      <c r="BM40773" s="1025"/>
      <c r="BO40773" s="43"/>
    </row>
    <row r="40774" spans="65:67" ht="18.75" customHeight="1">
      <c r="BM40774" s="1025"/>
      <c r="BO40774" s="43"/>
    </row>
    <row r="40775" spans="65:67" ht="18.75" customHeight="1">
      <c r="BM40775" s="1025"/>
      <c r="BO40775" s="43"/>
    </row>
    <row r="40776" spans="65:67" ht="18.75" customHeight="1">
      <c r="BM40776" s="1025"/>
      <c r="BO40776" s="43"/>
    </row>
    <row r="40777" spans="65:67" ht="18.75" customHeight="1">
      <c r="BM40777" s="1025"/>
      <c r="BO40777" s="43"/>
    </row>
    <row r="40778" spans="65:67" ht="18.75" customHeight="1">
      <c r="BM40778" s="1025"/>
      <c r="BO40778" s="43"/>
    </row>
    <row r="40779" spans="65:67" ht="18.75" customHeight="1">
      <c r="BM40779" s="1025"/>
      <c r="BO40779" s="43"/>
    </row>
    <row r="40780" spans="65:67" ht="18.75" customHeight="1">
      <c r="BM40780" s="1025"/>
      <c r="BO40780" s="43"/>
    </row>
    <row r="40781" spans="65:67" ht="18.75" customHeight="1">
      <c r="BM40781" s="1025"/>
      <c r="BO40781" s="43"/>
    </row>
    <row r="40782" spans="65:67" ht="18.75" customHeight="1">
      <c r="BM40782" s="1025"/>
      <c r="BO40782" s="43"/>
    </row>
    <row r="40783" spans="65:67" ht="18.75" customHeight="1">
      <c r="BM40783" s="1025"/>
      <c r="BO40783" s="43"/>
    </row>
    <row r="40784" spans="65:67" ht="18.75" customHeight="1">
      <c r="BM40784" s="1025"/>
      <c r="BO40784" s="43"/>
    </row>
    <row r="40785" spans="65:67" ht="18.75" customHeight="1">
      <c r="BM40785" s="1025"/>
      <c r="BO40785" s="43"/>
    </row>
    <row r="40786" spans="65:67" ht="18.75" customHeight="1">
      <c r="BM40786" s="1025"/>
      <c r="BO40786" s="43"/>
    </row>
    <row r="40787" spans="65:67" ht="18.75" customHeight="1">
      <c r="BM40787" s="1025"/>
      <c r="BO40787" s="43"/>
    </row>
    <row r="40788" spans="65:67" ht="18.75" customHeight="1">
      <c r="BM40788" s="1025"/>
      <c r="BO40788" s="43"/>
    </row>
    <row r="40789" spans="65:67" ht="18.75" customHeight="1">
      <c r="BM40789" s="1025"/>
      <c r="BO40789" s="43"/>
    </row>
    <row r="40790" spans="65:67" ht="18.75" customHeight="1">
      <c r="BM40790" s="1025"/>
      <c r="BO40790" s="43"/>
    </row>
    <row r="40791" spans="65:67" ht="18.75" customHeight="1">
      <c r="BM40791" s="1025"/>
      <c r="BO40791" s="43"/>
    </row>
    <row r="40792" spans="65:67" ht="18.75" customHeight="1">
      <c r="BM40792" s="1025"/>
      <c r="BO40792" s="43"/>
    </row>
    <row r="40793" spans="65:67" ht="18.75" customHeight="1">
      <c r="BM40793" s="1025"/>
      <c r="BO40793" s="43"/>
    </row>
    <row r="40794" spans="65:67" ht="18.75" customHeight="1">
      <c r="BM40794" s="1025"/>
      <c r="BO40794" s="43"/>
    </row>
    <row r="40795" spans="65:67" ht="18.75" customHeight="1">
      <c r="BM40795" s="1025"/>
      <c r="BO40795" s="43"/>
    </row>
    <row r="40796" spans="65:67" ht="18.75" customHeight="1">
      <c r="BM40796" s="1025"/>
      <c r="BO40796" s="43"/>
    </row>
    <row r="40797" spans="65:67" ht="18.75" customHeight="1">
      <c r="BM40797" s="1025"/>
      <c r="BO40797" s="43"/>
    </row>
    <row r="40798" spans="65:67" ht="18.75" customHeight="1">
      <c r="BM40798" s="1025"/>
      <c r="BO40798" s="43"/>
    </row>
    <row r="40799" spans="65:67" ht="18.75" customHeight="1">
      <c r="BM40799" s="1025"/>
      <c r="BO40799" s="43"/>
    </row>
    <row r="40800" spans="65:67" ht="18.75" customHeight="1">
      <c r="BM40800" s="1025"/>
      <c r="BO40800" s="43"/>
    </row>
    <row r="40801" spans="65:67" ht="18.75" customHeight="1">
      <c r="BM40801" s="1025"/>
      <c r="BO40801" s="43"/>
    </row>
    <row r="40802" spans="65:67" ht="18.75" customHeight="1">
      <c r="BM40802" s="1025"/>
      <c r="BO40802" s="43"/>
    </row>
    <row r="40803" spans="65:67" ht="18.75" customHeight="1">
      <c r="BM40803" s="1025"/>
      <c r="BO40803" s="43"/>
    </row>
    <row r="40804" spans="65:67" ht="18.75" customHeight="1">
      <c r="BM40804" s="1025"/>
      <c r="BO40804" s="43"/>
    </row>
    <row r="40805" spans="65:67" ht="18.75" customHeight="1">
      <c r="BM40805" s="1025"/>
      <c r="BO40805" s="43"/>
    </row>
    <row r="40806" spans="65:67" ht="18.75" customHeight="1">
      <c r="BM40806" s="1025"/>
      <c r="BO40806" s="43"/>
    </row>
    <row r="40807" spans="65:67" ht="18.75" customHeight="1">
      <c r="BM40807" s="1025"/>
      <c r="BO40807" s="43"/>
    </row>
    <row r="40808" spans="65:67" ht="18.75" customHeight="1">
      <c r="BM40808" s="1025"/>
      <c r="BO40808" s="43"/>
    </row>
    <row r="40809" spans="65:67" ht="18.75" customHeight="1">
      <c r="BM40809" s="1025"/>
      <c r="BO40809" s="43"/>
    </row>
    <row r="40810" spans="65:67" ht="18.75" customHeight="1">
      <c r="BM40810" s="1025"/>
      <c r="BO40810" s="43"/>
    </row>
    <row r="40811" spans="65:67" ht="18.75" customHeight="1">
      <c r="BM40811" s="1025"/>
      <c r="BO40811" s="43"/>
    </row>
    <row r="40812" spans="65:67" ht="18.75" customHeight="1">
      <c r="BM40812" s="1025"/>
      <c r="BO40812" s="43"/>
    </row>
    <row r="40813" spans="65:67" ht="18.75" customHeight="1">
      <c r="BM40813" s="1025"/>
      <c r="BO40813" s="43"/>
    </row>
    <row r="40814" spans="65:67" ht="18.75" customHeight="1">
      <c r="BM40814" s="1025"/>
      <c r="BO40814" s="43"/>
    </row>
    <row r="40815" spans="65:67" ht="18.75" customHeight="1">
      <c r="BM40815" s="1025"/>
      <c r="BO40815" s="43"/>
    </row>
    <row r="40816" spans="65:67" ht="18.75" customHeight="1">
      <c r="BM40816" s="1025"/>
      <c r="BO40816" s="43"/>
    </row>
    <row r="40817" spans="65:67" ht="18.75" customHeight="1">
      <c r="BM40817" s="1025"/>
      <c r="BO40817" s="43"/>
    </row>
    <row r="40818" spans="65:67" ht="18.75" customHeight="1">
      <c r="BM40818" s="1025"/>
      <c r="BO40818" s="43"/>
    </row>
    <row r="40819" spans="65:67" ht="18.75" customHeight="1">
      <c r="BM40819" s="1025"/>
      <c r="BO40819" s="43"/>
    </row>
    <row r="40820" spans="65:67" ht="18.75" customHeight="1">
      <c r="BM40820" s="1025"/>
      <c r="BO40820" s="43"/>
    </row>
    <row r="40821" spans="65:67" ht="18.75" customHeight="1">
      <c r="BM40821" s="1025"/>
      <c r="BO40821" s="43"/>
    </row>
    <row r="40822" spans="65:67" ht="18.75" customHeight="1">
      <c r="BM40822" s="1025"/>
      <c r="BO40822" s="43"/>
    </row>
    <row r="40823" spans="65:67" ht="18.75" customHeight="1">
      <c r="BM40823" s="1025"/>
      <c r="BO40823" s="43"/>
    </row>
    <row r="40824" spans="65:67" ht="18.75" customHeight="1">
      <c r="BM40824" s="1025"/>
      <c r="BO40824" s="43"/>
    </row>
    <row r="40825" spans="65:67" ht="18.75" customHeight="1">
      <c r="BM40825" s="1025"/>
      <c r="BO40825" s="43"/>
    </row>
    <row r="40826" spans="65:67" ht="18.75" customHeight="1">
      <c r="BM40826" s="1025"/>
      <c r="BO40826" s="43"/>
    </row>
    <row r="40827" spans="65:67" ht="18.75" customHeight="1">
      <c r="BM40827" s="1025"/>
      <c r="BO40827" s="43"/>
    </row>
    <row r="40828" spans="65:67" ht="18.75" customHeight="1">
      <c r="BM40828" s="1025"/>
      <c r="BO40828" s="43"/>
    </row>
    <row r="40829" spans="65:67" ht="18.75" customHeight="1">
      <c r="BM40829" s="1025"/>
      <c r="BO40829" s="43"/>
    </row>
    <row r="40830" spans="65:67" ht="18.75" customHeight="1">
      <c r="BM40830" s="1025"/>
      <c r="BO40830" s="43"/>
    </row>
    <row r="40831" spans="65:67" ht="18.75" customHeight="1">
      <c r="BM40831" s="1025"/>
      <c r="BO40831" s="43"/>
    </row>
    <row r="40832" spans="65:67" ht="18.75" customHeight="1">
      <c r="BM40832" s="1025"/>
      <c r="BO40832" s="43"/>
    </row>
    <row r="40833" spans="65:67" ht="18.75" customHeight="1">
      <c r="BM40833" s="1025"/>
      <c r="BO40833" s="43"/>
    </row>
    <row r="40834" spans="65:67" ht="18.75" customHeight="1">
      <c r="BM40834" s="1025"/>
      <c r="BO40834" s="43"/>
    </row>
    <row r="40835" spans="65:67" ht="18.75" customHeight="1">
      <c r="BM40835" s="1025"/>
      <c r="BO40835" s="43"/>
    </row>
    <row r="40836" spans="65:67" ht="18.75" customHeight="1">
      <c r="BM40836" s="1025"/>
      <c r="BO40836" s="43"/>
    </row>
    <row r="40837" spans="65:67" ht="18.75" customHeight="1">
      <c r="BM40837" s="1025"/>
      <c r="BO40837" s="43"/>
    </row>
    <row r="40838" spans="65:67" ht="18.75" customHeight="1">
      <c r="BM40838" s="1025"/>
      <c r="BO40838" s="43"/>
    </row>
    <row r="40839" spans="65:67" ht="18.75" customHeight="1">
      <c r="BM40839" s="1025"/>
      <c r="BO40839" s="43"/>
    </row>
    <row r="40840" spans="65:67" ht="18.75" customHeight="1">
      <c r="BM40840" s="1025"/>
      <c r="BO40840" s="43"/>
    </row>
    <row r="40841" spans="65:67" ht="18.75" customHeight="1">
      <c r="BM40841" s="1025"/>
      <c r="BO40841" s="43"/>
    </row>
    <row r="40842" spans="65:67" ht="18.75" customHeight="1">
      <c r="BM40842" s="1025"/>
      <c r="BO40842" s="43"/>
    </row>
    <row r="40843" spans="65:67" ht="18.75" customHeight="1">
      <c r="BM40843" s="1025"/>
      <c r="BO40843" s="43"/>
    </row>
    <row r="40844" spans="65:67" ht="18.75" customHeight="1">
      <c r="BM40844" s="1025"/>
      <c r="BO40844" s="43"/>
    </row>
    <row r="40845" spans="65:67" ht="18.75" customHeight="1">
      <c r="BM40845" s="1025"/>
      <c r="BO40845" s="43"/>
    </row>
    <row r="40846" spans="65:67" ht="18.75" customHeight="1">
      <c r="BM40846" s="1025"/>
      <c r="BO40846" s="43"/>
    </row>
    <row r="40847" spans="65:67" ht="18.75" customHeight="1">
      <c r="BM40847" s="1025"/>
      <c r="BO40847" s="43"/>
    </row>
    <row r="40848" spans="65:67" ht="18.75" customHeight="1">
      <c r="BM40848" s="1025"/>
      <c r="BO40848" s="43"/>
    </row>
    <row r="40849" spans="65:67" ht="18.75" customHeight="1">
      <c r="BM40849" s="1025"/>
      <c r="BO40849" s="43"/>
    </row>
    <row r="40850" spans="65:67" ht="18.75" customHeight="1">
      <c r="BM40850" s="1025"/>
      <c r="BO40850" s="43"/>
    </row>
    <row r="40851" spans="65:67" ht="18.75" customHeight="1">
      <c r="BM40851" s="1025"/>
      <c r="BO40851" s="43"/>
    </row>
    <row r="40852" spans="65:67" ht="18.75" customHeight="1">
      <c r="BM40852" s="1025"/>
      <c r="BO40852" s="43"/>
    </row>
    <row r="40853" spans="65:67" ht="18.75" customHeight="1">
      <c r="BM40853" s="1025"/>
      <c r="BO40853" s="43"/>
    </row>
    <row r="40854" spans="65:67" ht="18.75" customHeight="1">
      <c r="BM40854" s="1025"/>
      <c r="BO40854" s="43"/>
    </row>
    <row r="40855" spans="65:67" ht="18.75" customHeight="1">
      <c r="BM40855" s="1025"/>
      <c r="BO40855" s="43"/>
    </row>
    <row r="40856" spans="65:67" ht="18.75" customHeight="1">
      <c r="BM40856" s="1025"/>
      <c r="BO40856" s="43"/>
    </row>
    <row r="40857" spans="65:67" ht="18.75" customHeight="1">
      <c r="BM40857" s="1025"/>
      <c r="BO40857" s="43"/>
    </row>
    <row r="40858" spans="65:67" ht="18.75" customHeight="1">
      <c r="BM40858" s="1025"/>
      <c r="BO40858" s="43"/>
    </row>
    <row r="40859" spans="65:67" ht="18.75" customHeight="1">
      <c r="BM40859" s="1025"/>
      <c r="BO40859" s="43"/>
    </row>
    <row r="40860" spans="65:67" ht="18.75" customHeight="1">
      <c r="BM40860" s="1025"/>
      <c r="BO40860" s="43"/>
    </row>
    <row r="40861" spans="65:67" ht="18.75" customHeight="1">
      <c r="BM40861" s="1025"/>
      <c r="BO40861" s="43"/>
    </row>
    <row r="40862" spans="65:67" ht="18.75" customHeight="1">
      <c r="BM40862" s="1025"/>
      <c r="BO40862" s="43"/>
    </row>
    <row r="40863" spans="65:67" ht="18.75" customHeight="1">
      <c r="BM40863" s="1025"/>
      <c r="BO40863" s="43"/>
    </row>
    <row r="40864" spans="65:67" ht="18.75" customHeight="1">
      <c r="BM40864" s="1025"/>
      <c r="BO40864" s="43"/>
    </row>
    <row r="40865" spans="65:67" ht="18.75" customHeight="1">
      <c r="BM40865" s="1025"/>
      <c r="BO40865" s="43"/>
    </row>
    <row r="40866" spans="65:67" ht="18.75" customHeight="1">
      <c r="BM40866" s="1025"/>
      <c r="BO40866" s="43"/>
    </row>
    <row r="40867" spans="65:67" ht="18.75" customHeight="1">
      <c r="BM40867" s="1025"/>
      <c r="BO40867" s="43"/>
    </row>
    <row r="40868" spans="65:67" ht="18.75" customHeight="1">
      <c r="BM40868" s="1025"/>
      <c r="BO40868" s="43"/>
    </row>
    <row r="40869" spans="65:67" ht="18.75" customHeight="1">
      <c r="BM40869" s="1025"/>
      <c r="BO40869" s="43"/>
    </row>
    <row r="40870" spans="65:67" ht="18.75" customHeight="1">
      <c r="BM40870" s="1025"/>
      <c r="BO40870" s="43"/>
    </row>
    <row r="40871" spans="65:67" ht="18.75" customHeight="1">
      <c r="BM40871" s="1025"/>
      <c r="BO40871" s="43"/>
    </row>
    <row r="40872" spans="65:67" ht="18.75" customHeight="1">
      <c r="BM40872" s="1025"/>
      <c r="BO40872" s="43"/>
    </row>
    <row r="40873" spans="65:67" ht="18.75" customHeight="1">
      <c r="BM40873" s="1025"/>
      <c r="BO40873" s="43"/>
    </row>
    <row r="40874" spans="65:67" ht="18.75" customHeight="1">
      <c r="BM40874" s="1025"/>
      <c r="BO40874" s="43"/>
    </row>
    <row r="40875" spans="65:67" ht="18.75" customHeight="1">
      <c r="BM40875" s="1025"/>
      <c r="BO40875" s="43"/>
    </row>
    <row r="40876" spans="65:67" ht="18.75" customHeight="1">
      <c r="BM40876" s="1025"/>
      <c r="BO40876" s="43"/>
    </row>
    <row r="40877" spans="65:67" ht="18.75" customHeight="1">
      <c r="BM40877" s="1025"/>
      <c r="BO40877" s="43"/>
    </row>
    <row r="40878" spans="65:67" ht="18.75" customHeight="1">
      <c r="BM40878" s="1025"/>
      <c r="BO40878" s="43"/>
    </row>
    <row r="40879" spans="65:67" ht="18.75" customHeight="1">
      <c r="BM40879" s="1025"/>
      <c r="BO40879" s="43"/>
    </row>
    <row r="40880" spans="65:67" ht="18.75" customHeight="1">
      <c r="BM40880" s="1025"/>
      <c r="BO40880" s="43"/>
    </row>
    <row r="40881" spans="65:67" ht="18.75" customHeight="1">
      <c r="BM40881" s="1025"/>
      <c r="BO40881" s="43"/>
    </row>
    <row r="40882" spans="65:67" ht="18.75" customHeight="1">
      <c r="BM40882" s="1025"/>
      <c r="BO40882" s="43"/>
    </row>
    <row r="40883" spans="65:67" ht="18.75" customHeight="1">
      <c r="BM40883" s="1025"/>
      <c r="BO40883" s="43"/>
    </row>
    <row r="40884" spans="65:67" ht="18.75" customHeight="1">
      <c r="BM40884" s="1025"/>
      <c r="BO40884" s="43"/>
    </row>
    <row r="40885" spans="65:67" ht="18.75" customHeight="1">
      <c r="BM40885" s="1025"/>
      <c r="BO40885" s="43"/>
    </row>
    <row r="40886" spans="65:67" ht="18.75" customHeight="1">
      <c r="BM40886" s="1025"/>
      <c r="BO40886" s="43"/>
    </row>
    <row r="40887" spans="65:67" ht="18.75" customHeight="1">
      <c r="BM40887" s="1025"/>
      <c r="BO40887" s="43"/>
    </row>
    <row r="40888" spans="65:67" ht="18.75" customHeight="1">
      <c r="BM40888" s="1025"/>
      <c r="BO40888" s="43"/>
    </row>
    <row r="40889" spans="65:67" ht="18.75" customHeight="1">
      <c r="BM40889" s="1025"/>
      <c r="BO40889" s="43"/>
    </row>
    <row r="40890" spans="65:67" ht="18.75" customHeight="1">
      <c r="BM40890" s="1025"/>
      <c r="BO40890" s="43"/>
    </row>
    <row r="40891" spans="65:67" ht="18.75" customHeight="1">
      <c r="BM40891" s="1025"/>
      <c r="BO40891" s="43"/>
    </row>
    <row r="40892" spans="65:67" ht="18.75" customHeight="1">
      <c r="BM40892" s="1025"/>
      <c r="BO40892" s="43"/>
    </row>
    <row r="40893" spans="65:67" ht="18.75" customHeight="1">
      <c r="BM40893" s="1025"/>
      <c r="BO40893" s="43"/>
    </row>
    <row r="40894" spans="65:67" ht="18.75" customHeight="1">
      <c r="BM40894" s="1025"/>
      <c r="BO40894" s="43"/>
    </row>
    <row r="40895" spans="65:67" ht="18.75" customHeight="1">
      <c r="BM40895" s="1025"/>
      <c r="BO40895" s="43"/>
    </row>
    <row r="40896" spans="65:67" ht="18.75" customHeight="1">
      <c r="BM40896" s="1025"/>
      <c r="BO40896" s="43"/>
    </row>
    <row r="40897" spans="65:67" ht="18.75" customHeight="1">
      <c r="BM40897" s="1025"/>
      <c r="BO40897" s="43"/>
    </row>
    <row r="40898" spans="65:67" ht="18.75" customHeight="1">
      <c r="BM40898" s="1025"/>
      <c r="BO40898" s="43"/>
    </row>
    <row r="40899" spans="65:67" ht="18.75" customHeight="1">
      <c r="BM40899" s="1025"/>
      <c r="BO40899" s="43"/>
    </row>
    <row r="40900" spans="65:67" ht="18.75" customHeight="1">
      <c r="BM40900" s="1025"/>
      <c r="BO40900" s="43"/>
    </row>
    <row r="40901" spans="65:67" ht="18.75" customHeight="1">
      <c r="BM40901" s="1025"/>
      <c r="BO40901" s="43"/>
    </row>
    <row r="40902" spans="65:67" ht="18.75" customHeight="1">
      <c r="BM40902" s="1025"/>
      <c r="BO40902" s="43"/>
    </row>
    <row r="40903" spans="65:67" ht="18.75" customHeight="1">
      <c r="BM40903" s="1025"/>
      <c r="BO40903" s="43"/>
    </row>
    <row r="40904" spans="65:67" ht="18.75" customHeight="1">
      <c r="BM40904" s="1025"/>
      <c r="BO40904" s="43"/>
    </row>
    <row r="40905" spans="65:67" ht="18.75" customHeight="1">
      <c r="BM40905" s="1025"/>
      <c r="BO40905" s="43"/>
    </row>
    <row r="40906" spans="65:67" ht="18.75" customHeight="1">
      <c r="BM40906" s="1025"/>
      <c r="BO40906" s="43"/>
    </row>
    <row r="40907" spans="65:67" ht="18.75" customHeight="1">
      <c r="BM40907" s="1025"/>
      <c r="BO40907" s="43"/>
    </row>
    <row r="40908" spans="65:67" ht="18.75" customHeight="1">
      <c r="BM40908" s="1025"/>
      <c r="BO40908" s="43"/>
    </row>
    <row r="40909" spans="65:67" ht="18.75" customHeight="1">
      <c r="BM40909" s="1025"/>
      <c r="BO40909" s="43"/>
    </row>
    <row r="40910" spans="65:67" ht="18.75" customHeight="1">
      <c r="BM40910" s="1025"/>
      <c r="BO40910" s="43"/>
    </row>
    <row r="40911" spans="65:67" ht="18.75" customHeight="1">
      <c r="BM40911" s="1025"/>
      <c r="BO40911" s="43"/>
    </row>
    <row r="40912" spans="65:67" ht="18.75" customHeight="1">
      <c r="BM40912" s="1025"/>
      <c r="BO40912" s="43"/>
    </row>
    <row r="40913" spans="65:67" ht="18.75" customHeight="1">
      <c r="BM40913" s="1025"/>
      <c r="BO40913" s="43"/>
    </row>
    <row r="40914" spans="65:67" ht="18.75" customHeight="1">
      <c r="BM40914" s="1025"/>
      <c r="BO40914" s="43"/>
    </row>
    <row r="40915" spans="65:67" ht="18.75" customHeight="1">
      <c r="BM40915" s="1025"/>
      <c r="BO40915" s="43"/>
    </row>
    <row r="40916" spans="65:67" ht="18.75" customHeight="1">
      <c r="BM40916" s="1025"/>
      <c r="BO40916" s="43"/>
    </row>
    <row r="40917" spans="65:67" ht="18.75" customHeight="1">
      <c r="BM40917" s="1025"/>
      <c r="BO40917" s="43"/>
    </row>
    <row r="40918" spans="65:67" ht="18.75" customHeight="1">
      <c r="BM40918" s="1025"/>
      <c r="BO40918" s="43"/>
    </row>
    <row r="40919" spans="65:67" ht="18.75" customHeight="1">
      <c r="BM40919" s="1025"/>
      <c r="BO40919" s="43"/>
    </row>
    <row r="40920" spans="65:67" ht="18.75" customHeight="1">
      <c r="BM40920" s="1025"/>
      <c r="BO40920" s="43"/>
    </row>
    <row r="40921" spans="65:67" ht="18.75" customHeight="1">
      <c r="BM40921" s="1025"/>
      <c r="BO40921" s="43"/>
    </row>
    <row r="40922" spans="65:67" ht="18.75" customHeight="1">
      <c r="BM40922" s="1025"/>
      <c r="BO40922" s="43"/>
    </row>
    <row r="40923" spans="65:67" ht="18.75" customHeight="1">
      <c r="BM40923" s="1025"/>
      <c r="BO40923" s="43"/>
    </row>
    <row r="40924" spans="65:67" ht="18.75" customHeight="1">
      <c r="BM40924" s="1025"/>
      <c r="BO40924" s="43"/>
    </row>
    <row r="40925" spans="65:67" ht="18.75" customHeight="1">
      <c r="BM40925" s="1025"/>
      <c r="BO40925" s="43"/>
    </row>
    <row r="40926" spans="65:67" ht="18.75" customHeight="1">
      <c r="BM40926" s="1025"/>
      <c r="BO40926" s="43"/>
    </row>
    <row r="40927" spans="65:67" ht="18.75" customHeight="1">
      <c r="BM40927" s="1025"/>
      <c r="BO40927" s="43"/>
    </row>
    <row r="40928" spans="65:67" ht="18.75" customHeight="1">
      <c r="BM40928" s="1025"/>
      <c r="BO40928" s="43"/>
    </row>
    <row r="40929" spans="65:67" ht="18.75" customHeight="1">
      <c r="BM40929" s="1025"/>
      <c r="BO40929" s="43"/>
    </row>
    <row r="40930" spans="65:67" ht="18.75" customHeight="1">
      <c r="BM40930" s="1025"/>
      <c r="BO40930" s="43"/>
    </row>
    <row r="40931" spans="65:67" ht="18.75" customHeight="1">
      <c r="BM40931" s="1025"/>
      <c r="BO40931" s="43"/>
    </row>
    <row r="40932" spans="65:67" ht="18.75" customHeight="1">
      <c r="BM40932" s="1025"/>
      <c r="BO40932" s="43"/>
    </row>
    <row r="40933" spans="65:67" ht="18.75" customHeight="1">
      <c r="BM40933" s="1025"/>
      <c r="BO40933" s="43"/>
    </row>
    <row r="40934" spans="65:67" ht="18.75" customHeight="1">
      <c r="BM40934" s="1025"/>
      <c r="BO40934" s="43"/>
    </row>
    <row r="40935" spans="65:67" ht="18.75" customHeight="1">
      <c r="BM40935" s="1025"/>
      <c r="BO40935" s="43"/>
    </row>
    <row r="40936" spans="65:67" ht="18.75" customHeight="1">
      <c r="BM40936" s="1025"/>
      <c r="BO40936" s="43"/>
    </row>
    <row r="40937" spans="65:67" ht="18.75" customHeight="1">
      <c r="BM40937" s="1025"/>
      <c r="BO40937" s="43"/>
    </row>
    <row r="40938" spans="65:67" ht="18.75" customHeight="1">
      <c r="BM40938" s="1025"/>
      <c r="BO40938" s="43"/>
    </row>
    <row r="40939" spans="65:67" ht="18.75" customHeight="1">
      <c r="BM40939" s="1025"/>
      <c r="BO40939" s="43"/>
    </row>
    <row r="40940" spans="65:67" ht="18.75" customHeight="1">
      <c r="BM40940" s="1025"/>
      <c r="BO40940" s="43"/>
    </row>
    <row r="40941" spans="65:67" ht="18.75" customHeight="1">
      <c r="BM40941" s="1025"/>
      <c r="BO40941" s="43"/>
    </row>
    <row r="40942" spans="65:67" ht="18.75" customHeight="1">
      <c r="BM40942" s="1025"/>
      <c r="BO40942" s="43"/>
    </row>
    <row r="40943" spans="65:67" ht="18.75" customHeight="1">
      <c r="BM40943" s="1025"/>
      <c r="BO40943" s="43"/>
    </row>
    <row r="40944" spans="65:67" ht="18.75" customHeight="1">
      <c r="BM40944" s="1025"/>
      <c r="BO40944" s="43"/>
    </row>
    <row r="40945" spans="65:67" ht="18.75" customHeight="1">
      <c r="BM40945" s="1025"/>
      <c r="BO40945" s="43"/>
    </row>
    <row r="40946" spans="65:67" ht="18.75" customHeight="1">
      <c r="BM40946" s="1025"/>
      <c r="BO40946" s="43"/>
    </row>
    <row r="40947" spans="65:67" ht="18.75" customHeight="1">
      <c r="BM40947" s="1025"/>
      <c r="BO40947" s="43"/>
    </row>
    <row r="40948" spans="65:67" ht="18.75" customHeight="1">
      <c r="BM40948" s="1025"/>
      <c r="BO40948" s="43"/>
    </row>
    <row r="40949" spans="65:67" ht="18.75" customHeight="1">
      <c r="BM40949" s="1025"/>
      <c r="BO40949" s="43"/>
    </row>
    <row r="40950" spans="65:67" ht="18.75" customHeight="1">
      <c r="BM40950" s="1025"/>
      <c r="BO40950" s="43"/>
    </row>
    <row r="40951" spans="65:67" ht="18.75" customHeight="1">
      <c r="BM40951" s="1025"/>
      <c r="BO40951" s="43"/>
    </row>
    <row r="40952" spans="65:67" ht="18.75" customHeight="1">
      <c r="BM40952" s="1025"/>
      <c r="BO40952" s="43"/>
    </row>
    <row r="40953" spans="65:67" ht="18.75" customHeight="1">
      <c r="BM40953" s="1025"/>
      <c r="BO40953" s="43"/>
    </row>
    <row r="40954" spans="65:67" ht="18.75" customHeight="1">
      <c r="BM40954" s="1025"/>
      <c r="BO40954" s="43"/>
    </row>
    <row r="40955" spans="65:67" ht="18.75" customHeight="1">
      <c r="BM40955" s="1025"/>
      <c r="BO40955" s="43"/>
    </row>
    <row r="40956" spans="65:67" ht="18.75" customHeight="1">
      <c r="BM40956" s="1025"/>
      <c r="BO40956" s="43"/>
    </row>
    <row r="40957" spans="65:67" ht="18.75" customHeight="1">
      <c r="BM40957" s="1025"/>
      <c r="BO40957" s="43"/>
    </row>
    <row r="40958" spans="65:67" ht="18.75" customHeight="1">
      <c r="BM40958" s="1025"/>
      <c r="BO40958" s="43"/>
    </row>
    <row r="40959" spans="65:67" ht="18.75" customHeight="1">
      <c r="BM40959" s="1025"/>
      <c r="BO40959" s="43"/>
    </row>
    <row r="40960" spans="65:67" ht="18.75" customHeight="1">
      <c r="BM40960" s="1025"/>
      <c r="BO40960" s="43"/>
    </row>
    <row r="40961" spans="65:67" ht="18.75" customHeight="1">
      <c r="BM40961" s="1025"/>
      <c r="BO40961" s="43"/>
    </row>
    <row r="40962" spans="65:67" ht="18.75" customHeight="1">
      <c r="BM40962" s="1025"/>
      <c r="BO40962" s="43"/>
    </row>
    <row r="40963" spans="65:67" ht="18.75" customHeight="1">
      <c r="BM40963" s="1025"/>
      <c r="BO40963" s="43"/>
    </row>
    <row r="40964" spans="65:67" ht="18.75" customHeight="1">
      <c r="BM40964" s="1025"/>
      <c r="BO40964" s="43"/>
    </row>
    <row r="40965" spans="65:67" ht="18.75" customHeight="1">
      <c r="BM40965" s="1025"/>
      <c r="BO40965" s="43"/>
    </row>
    <row r="40966" spans="65:67" ht="18.75" customHeight="1">
      <c r="BM40966" s="1025"/>
      <c r="BO40966" s="43"/>
    </row>
    <row r="40967" spans="65:67" ht="18.75" customHeight="1">
      <c r="BM40967" s="1025"/>
      <c r="BO40967" s="43"/>
    </row>
    <row r="40968" spans="65:67" ht="18.75" customHeight="1">
      <c r="BM40968" s="1025"/>
      <c r="BO40968" s="43"/>
    </row>
    <row r="40969" spans="65:67" ht="18.75" customHeight="1">
      <c r="BM40969" s="1025"/>
      <c r="BO40969" s="43"/>
    </row>
    <row r="40970" spans="65:67" ht="18.75" customHeight="1">
      <c r="BM40970" s="1025"/>
      <c r="BO40970" s="43"/>
    </row>
    <row r="40971" spans="65:67" ht="18.75" customHeight="1">
      <c r="BM40971" s="1025"/>
      <c r="BO40971" s="43"/>
    </row>
    <row r="40972" spans="65:67" ht="18.75" customHeight="1">
      <c r="BM40972" s="1025"/>
      <c r="BO40972" s="43"/>
    </row>
    <row r="40973" spans="65:67" ht="18.75" customHeight="1">
      <c r="BM40973" s="1025"/>
      <c r="BO40973" s="43"/>
    </row>
    <row r="40974" spans="65:67" ht="18.75" customHeight="1">
      <c r="BM40974" s="1025"/>
      <c r="BO40974" s="43"/>
    </row>
    <row r="40975" spans="65:67" ht="18.75" customHeight="1">
      <c r="BM40975" s="1025"/>
      <c r="BO40975" s="43"/>
    </row>
    <row r="40976" spans="65:67" ht="18.75" customHeight="1">
      <c r="BM40976" s="1025"/>
      <c r="BO40976" s="43"/>
    </row>
    <row r="40977" spans="65:67" ht="18.75" customHeight="1">
      <c r="BM40977" s="1025"/>
      <c r="BO40977" s="43"/>
    </row>
    <row r="40978" spans="65:67" ht="18.75" customHeight="1">
      <c r="BM40978" s="1025"/>
      <c r="BO40978" s="43"/>
    </row>
    <row r="40979" spans="65:67" ht="18.75" customHeight="1">
      <c r="BM40979" s="1025"/>
      <c r="BO40979" s="43"/>
    </row>
    <row r="40980" spans="65:67" ht="18.75" customHeight="1">
      <c r="BM40980" s="1025"/>
      <c r="BO40980" s="43"/>
    </row>
    <row r="40981" spans="65:67" ht="18.75" customHeight="1">
      <c r="BM40981" s="1025"/>
      <c r="BO40981" s="43"/>
    </row>
    <row r="40982" spans="65:67" ht="18.75" customHeight="1">
      <c r="BM40982" s="1025"/>
      <c r="BO40982" s="43"/>
    </row>
    <row r="40983" spans="65:67" ht="18.75" customHeight="1">
      <c r="BM40983" s="1025"/>
      <c r="BO40983" s="43"/>
    </row>
    <row r="40984" spans="65:67" ht="18.75" customHeight="1">
      <c r="BM40984" s="1025"/>
      <c r="BO40984" s="43"/>
    </row>
    <row r="40985" spans="65:67" ht="18.75" customHeight="1">
      <c r="BM40985" s="1025"/>
      <c r="BO40985" s="43"/>
    </row>
    <row r="40986" spans="65:67" ht="18.75" customHeight="1">
      <c r="BM40986" s="1025"/>
      <c r="BO40986" s="43"/>
    </row>
    <row r="40987" spans="65:67" ht="18.75" customHeight="1">
      <c r="BM40987" s="1025"/>
      <c r="BO40987" s="43"/>
    </row>
    <row r="40988" spans="65:67" ht="18.75" customHeight="1">
      <c r="BM40988" s="1025"/>
      <c r="BO40988" s="43"/>
    </row>
    <row r="40989" spans="65:67" ht="18.75" customHeight="1">
      <c r="BM40989" s="1025"/>
      <c r="BO40989" s="43"/>
    </row>
    <row r="40990" spans="65:67" ht="18.75" customHeight="1">
      <c r="BM40990" s="1025"/>
      <c r="BO40990" s="43"/>
    </row>
    <row r="40991" spans="65:67" ht="18.75" customHeight="1">
      <c r="BM40991" s="1025"/>
      <c r="BO40991" s="43"/>
    </row>
    <row r="40992" spans="65:67" ht="18.75" customHeight="1">
      <c r="BM40992" s="1025"/>
      <c r="BO40992" s="43"/>
    </row>
    <row r="40993" spans="65:67" ht="18.75" customHeight="1">
      <c r="BM40993" s="1025"/>
      <c r="BO40993" s="43"/>
    </row>
    <row r="40994" spans="65:67" ht="18.75" customHeight="1">
      <c r="BM40994" s="1025"/>
      <c r="BO40994" s="43"/>
    </row>
    <row r="40995" spans="65:67" ht="18.75" customHeight="1">
      <c r="BM40995" s="1025"/>
      <c r="BO40995" s="43"/>
    </row>
    <row r="40996" spans="65:67" ht="18.75" customHeight="1">
      <c r="BM40996" s="1025"/>
      <c r="BO40996" s="43"/>
    </row>
    <row r="40997" spans="65:67" ht="18.75" customHeight="1">
      <c r="BM40997" s="1025"/>
      <c r="BO40997" s="43"/>
    </row>
    <row r="40998" spans="65:67" ht="18.75" customHeight="1">
      <c r="BM40998" s="1025"/>
      <c r="BO40998" s="43"/>
    </row>
    <row r="40999" spans="65:67" ht="18.75" customHeight="1">
      <c r="BM40999" s="1025"/>
      <c r="BO40999" s="43"/>
    </row>
    <row r="41000" spans="65:67" ht="18.75" customHeight="1">
      <c r="BM41000" s="1025"/>
      <c r="BO41000" s="43"/>
    </row>
    <row r="41001" spans="65:67" ht="18.75" customHeight="1">
      <c r="BM41001" s="1025"/>
      <c r="BO41001" s="43"/>
    </row>
    <row r="41002" spans="65:67" ht="18.75" customHeight="1">
      <c r="BM41002" s="1025"/>
      <c r="BO41002" s="43"/>
    </row>
    <row r="41003" spans="65:67" ht="18.75" customHeight="1">
      <c r="BM41003" s="1025"/>
      <c r="BO41003" s="43"/>
    </row>
    <row r="41004" spans="65:67" ht="18.75" customHeight="1">
      <c r="BM41004" s="1025"/>
      <c r="BO41004" s="43"/>
    </row>
    <row r="41005" spans="65:67" ht="18.75" customHeight="1">
      <c r="BM41005" s="1025"/>
      <c r="BO41005" s="43"/>
    </row>
    <row r="41006" spans="65:67" ht="18.75" customHeight="1">
      <c r="BM41006" s="1025"/>
      <c r="BO41006" s="43"/>
    </row>
    <row r="41007" spans="65:67" ht="18.75" customHeight="1">
      <c r="BM41007" s="1025"/>
      <c r="BO41007" s="43"/>
    </row>
    <row r="41008" spans="65:67" ht="18.75" customHeight="1">
      <c r="BM41008" s="1025"/>
      <c r="BO41008" s="43"/>
    </row>
    <row r="41009" spans="65:67" ht="18.75" customHeight="1">
      <c r="BM41009" s="1025"/>
      <c r="BO41009" s="43"/>
    </row>
    <row r="41010" spans="65:67" ht="18.75" customHeight="1">
      <c r="BM41010" s="1025"/>
      <c r="BO41010" s="43"/>
    </row>
    <row r="41011" spans="65:67" ht="18.75" customHeight="1">
      <c r="BM41011" s="1025"/>
      <c r="BO41011" s="43"/>
    </row>
    <row r="41012" spans="65:67" ht="18.75" customHeight="1">
      <c r="BM41012" s="1025"/>
      <c r="BO41012" s="43"/>
    </row>
    <row r="41013" spans="65:67" ht="18.75" customHeight="1">
      <c r="BM41013" s="1025"/>
      <c r="BO41013" s="43"/>
    </row>
    <row r="41014" spans="65:67" ht="18.75" customHeight="1">
      <c r="BM41014" s="1025"/>
      <c r="BO41014" s="43"/>
    </row>
    <row r="41015" spans="65:67" ht="18.75" customHeight="1">
      <c r="BM41015" s="1025"/>
      <c r="BO41015" s="43"/>
    </row>
    <row r="41016" spans="65:67" ht="18.75" customHeight="1">
      <c r="BM41016" s="1025"/>
      <c r="BO41016" s="43"/>
    </row>
    <row r="41017" spans="65:67" ht="18.75" customHeight="1">
      <c r="BM41017" s="1025"/>
      <c r="BO41017" s="43"/>
    </row>
    <row r="41018" spans="65:67" ht="18.75" customHeight="1">
      <c r="BM41018" s="1025"/>
      <c r="BO41018" s="43"/>
    </row>
    <row r="41019" spans="65:67" ht="18.75" customHeight="1">
      <c r="BM41019" s="1025"/>
      <c r="BO41019" s="43"/>
    </row>
    <row r="41020" spans="65:67" ht="18.75" customHeight="1">
      <c r="BM41020" s="1025"/>
      <c r="BO41020" s="43"/>
    </row>
    <row r="41021" spans="65:67" ht="18.75" customHeight="1">
      <c r="BM41021" s="1025"/>
      <c r="BO41021" s="43"/>
    </row>
    <row r="41022" spans="65:67" ht="18.75" customHeight="1">
      <c r="BM41022" s="1025"/>
      <c r="BO41022" s="43"/>
    </row>
    <row r="41023" spans="65:67" ht="18.75" customHeight="1">
      <c r="BM41023" s="1025"/>
      <c r="BO41023" s="43"/>
    </row>
    <row r="41024" spans="65:67" ht="18.75" customHeight="1">
      <c r="BM41024" s="1025"/>
      <c r="BO41024" s="43"/>
    </row>
    <row r="41025" spans="65:67" ht="18.75" customHeight="1">
      <c r="BM41025" s="1025"/>
      <c r="BO41025" s="43"/>
    </row>
    <row r="41026" spans="65:67" ht="18.75" customHeight="1">
      <c r="BM41026" s="1025"/>
      <c r="BO41026" s="43"/>
    </row>
    <row r="41027" spans="65:67" ht="18.75" customHeight="1">
      <c r="BM41027" s="1025"/>
      <c r="BO41027" s="43"/>
    </row>
    <row r="41028" spans="65:67" ht="18.75" customHeight="1">
      <c r="BM41028" s="1025"/>
      <c r="BO41028" s="43"/>
    </row>
    <row r="41029" spans="65:67" ht="18.75" customHeight="1">
      <c r="BM41029" s="1025"/>
      <c r="BO41029" s="43"/>
    </row>
    <row r="41030" spans="65:67" ht="18.75" customHeight="1">
      <c r="BM41030" s="1025"/>
      <c r="BO41030" s="43"/>
    </row>
    <row r="41031" spans="65:67" ht="18.75" customHeight="1">
      <c r="BM41031" s="1025"/>
      <c r="BO41031" s="43"/>
    </row>
    <row r="41032" spans="65:67" ht="18.75" customHeight="1">
      <c r="BM41032" s="1025"/>
      <c r="BO41032" s="43"/>
    </row>
    <row r="41033" spans="65:67" ht="18.75" customHeight="1">
      <c r="BM41033" s="1025"/>
      <c r="BO41033" s="43"/>
    </row>
    <row r="41034" spans="65:67" ht="18.75" customHeight="1">
      <c r="BM41034" s="1025"/>
      <c r="BO41034" s="43"/>
    </row>
    <row r="41035" spans="65:67" ht="18.75" customHeight="1">
      <c r="BM41035" s="1025"/>
      <c r="BO41035" s="43"/>
    </row>
    <row r="41036" spans="65:67" ht="18.75" customHeight="1">
      <c r="BM41036" s="1025"/>
      <c r="BO41036" s="43"/>
    </row>
    <row r="41037" spans="65:67" ht="18.75" customHeight="1">
      <c r="BM41037" s="1025"/>
      <c r="BO41037" s="43"/>
    </row>
    <row r="41038" spans="65:67" ht="18.75" customHeight="1">
      <c r="BM41038" s="1025"/>
      <c r="BO41038" s="43"/>
    </row>
    <row r="41039" spans="65:67" ht="18.75" customHeight="1">
      <c r="BM41039" s="1025"/>
      <c r="BO41039" s="43"/>
    </row>
    <row r="41040" spans="65:67" ht="18.75" customHeight="1">
      <c r="BM41040" s="1025"/>
      <c r="BO41040" s="43"/>
    </row>
    <row r="41041" spans="65:67" ht="18.75" customHeight="1">
      <c r="BM41041" s="1025"/>
      <c r="BO41041" s="43"/>
    </row>
    <row r="41042" spans="65:67" ht="18.75" customHeight="1">
      <c r="BM41042" s="1025"/>
      <c r="BO41042" s="43"/>
    </row>
    <row r="41043" spans="65:67" ht="18.75" customHeight="1">
      <c r="BM41043" s="1025"/>
      <c r="BO41043" s="43"/>
    </row>
    <row r="41044" spans="65:67" ht="18.75" customHeight="1">
      <c r="BM41044" s="1025"/>
      <c r="BO41044" s="43"/>
    </row>
    <row r="41045" spans="65:67" ht="18.75" customHeight="1">
      <c r="BM41045" s="1025"/>
      <c r="BO41045" s="43"/>
    </row>
    <row r="41046" spans="65:67" ht="18.75" customHeight="1">
      <c r="BM41046" s="1025"/>
      <c r="BO41046" s="43"/>
    </row>
    <row r="41047" spans="65:67" ht="18.75" customHeight="1">
      <c r="BM41047" s="1025"/>
      <c r="BO41047" s="43"/>
    </row>
    <row r="41048" spans="65:67" ht="18.75" customHeight="1">
      <c r="BM41048" s="1025"/>
      <c r="BO41048" s="43"/>
    </row>
    <row r="41049" spans="65:67" ht="18.75" customHeight="1">
      <c r="BM41049" s="1025"/>
      <c r="BO41049" s="43"/>
    </row>
    <row r="41050" spans="65:67" ht="18.75" customHeight="1">
      <c r="BM41050" s="1025"/>
      <c r="BO41050" s="43"/>
    </row>
    <row r="41051" spans="65:67" ht="18.75" customHeight="1">
      <c r="BM41051" s="1025"/>
      <c r="BO41051" s="43"/>
    </row>
    <row r="41052" spans="65:67" ht="18.75" customHeight="1">
      <c r="BM41052" s="1025"/>
      <c r="BO41052" s="43"/>
    </row>
    <row r="41053" spans="65:67" ht="18.75" customHeight="1">
      <c r="BM41053" s="1025"/>
      <c r="BO41053" s="43"/>
    </row>
    <row r="41054" spans="65:67" ht="18.75" customHeight="1">
      <c r="BM41054" s="1025"/>
      <c r="BO41054" s="43"/>
    </row>
    <row r="41055" spans="65:67" ht="18.75" customHeight="1">
      <c r="BM41055" s="1025"/>
      <c r="BO41055" s="43"/>
    </row>
    <row r="41056" spans="65:67" ht="18.75" customHeight="1">
      <c r="BM41056" s="1025"/>
      <c r="BO41056" s="43"/>
    </row>
    <row r="41057" spans="65:67" ht="18.75" customHeight="1">
      <c r="BM41057" s="1025"/>
      <c r="BO41057" s="43"/>
    </row>
    <row r="41058" spans="65:67" ht="18.75" customHeight="1">
      <c r="BM41058" s="1025"/>
      <c r="BO41058" s="43"/>
    </row>
    <row r="41059" spans="65:67" ht="18.75" customHeight="1">
      <c r="BM41059" s="1025"/>
      <c r="BO41059" s="43"/>
    </row>
    <row r="41060" spans="65:67" ht="18.75" customHeight="1">
      <c r="BM41060" s="1025"/>
      <c r="BO41060" s="43"/>
    </row>
    <row r="41061" spans="65:67" ht="18.75" customHeight="1">
      <c r="BM41061" s="1025"/>
      <c r="BO41061" s="43"/>
    </row>
    <row r="41062" spans="65:67" ht="18.75" customHeight="1">
      <c r="BM41062" s="1025"/>
      <c r="BO41062" s="43"/>
    </row>
    <row r="41063" spans="65:67" ht="18.75" customHeight="1">
      <c r="BM41063" s="1025"/>
      <c r="BO41063" s="43"/>
    </row>
    <row r="41064" spans="65:67" ht="18.75" customHeight="1">
      <c r="BM41064" s="1025"/>
      <c r="BO41064" s="43"/>
    </row>
    <row r="41065" spans="65:67" ht="18.75" customHeight="1">
      <c r="BM41065" s="1025"/>
      <c r="BO41065" s="43"/>
    </row>
    <row r="41066" spans="65:67" ht="18.75" customHeight="1">
      <c r="BM41066" s="1025"/>
      <c r="BO41066" s="43"/>
    </row>
    <row r="41067" spans="65:67" ht="18.75" customHeight="1">
      <c r="BM41067" s="1025"/>
      <c r="BO41067" s="43"/>
    </row>
    <row r="41068" spans="65:67" ht="18.75" customHeight="1">
      <c r="BM41068" s="1025"/>
      <c r="BO41068" s="43"/>
    </row>
    <row r="41069" spans="65:67" ht="18.75" customHeight="1">
      <c r="BM41069" s="1025"/>
      <c r="BO41069" s="43"/>
    </row>
    <row r="41070" spans="65:67" ht="18.75" customHeight="1">
      <c r="BM41070" s="1025"/>
      <c r="BO41070" s="43"/>
    </row>
    <row r="41071" spans="65:67" ht="18.75" customHeight="1">
      <c r="BM41071" s="1025"/>
      <c r="BO41071" s="43"/>
    </row>
    <row r="41072" spans="65:67" ht="18.75" customHeight="1">
      <c r="BM41072" s="1025"/>
      <c r="BO41072" s="43"/>
    </row>
    <row r="41073" spans="65:67" ht="18.75" customHeight="1">
      <c r="BM41073" s="1025"/>
      <c r="BO41073" s="43"/>
    </row>
    <row r="41074" spans="65:67" ht="18.75" customHeight="1">
      <c r="BM41074" s="1025"/>
      <c r="BO41074" s="43"/>
    </row>
    <row r="41075" spans="65:67" ht="18.75" customHeight="1">
      <c r="BM41075" s="1025"/>
      <c r="BO41075" s="43"/>
    </row>
    <row r="41076" spans="65:67" ht="18.75" customHeight="1">
      <c r="BM41076" s="1025"/>
      <c r="BO41076" s="43"/>
    </row>
    <row r="41077" spans="65:67" ht="18.75" customHeight="1">
      <c r="BM41077" s="1025"/>
      <c r="BO41077" s="43"/>
    </row>
    <row r="41078" spans="65:67" ht="18.75" customHeight="1">
      <c r="BM41078" s="1025"/>
      <c r="BO41078" s="43"/>
    </row>
    <row r="41079" spans="65:67" ht="18.75" customHeight="1">
      <c r="BM41079" s="1025"/>
      <c r="BO41079" s="43"/>
    </row>
    <row r="41080" spans="65:67" ht="18.75" customHeight="1">
      <c r="BM41080" s="1025"/>
      <c r="BO41080" s="43"/>
    </row>
    <row r="41081" spans="65:67" ht="18.75" customHeight="1">
      <c r="BM41081" s="1025"/>
      <c r="BO41081" s="43"/>
    </row>
    <row r="41082" spans="65:67" ht="18.75" customHeight="1">
      <c r="BM41082" s="1025"/>
      <c r="BO41082" s="43"/>
    </row>
    <row r="41083" spans="65:67" ht="18.75" customHeight="1">
      <c r="BM41083" s="1025"/>
      <c r="BO41083" s="43"/>
    </row>
    <row r="41084" spans="65:67" ht="18.75" customHeight="1">
      <c r="BM41084" s="1025"/>
      <c r="BO41084" s="43"/>
    </row>
    <row r="41085" spans="65:67" ht="18.75" customHeight="1">
      <c r="BM41085" s="1025"/>
      <c r="BO41085" s="43"/>
    </row>
    <row r="41086" spans="65:67" ht="18.75" customHeight="1">
      <c r="BM41086" s="1025"/>
      <c r="BO41086" s="43"/>
    </row>
    <row r="41087" spans="65:67" ht="18.75" customHeight="1">
      <c r="BM41087" s="1025"/>
      <c r="BO41087" s="43"/>
    </row>
    <row r="41088" spans="65:67" ht="18.75" customHeight="1">
      <c r="BM41088" s="1025"/>
      <c r="BO41088" s="43"/>
    </row>
    <row r="41089" spans="65:67" ht="18.75" customHeight="1">
      <c r="BM41089" s="1025"/>
      <c r="BO41089" s="43"/>
    </row>
    <row r="41090" spans="65:67" ht="18.75" customHeight="1">
      <c r="BM41090" s="1025"/>
      <c r="BO41090" s="43"/>
    </row>
    <row r="41091" spans="65:67" ht="18.75" customHeight="1">
      <c r="BM41091" s="1025"/>
      <c r="BO41091" s="43"/>
    </row>
    <row r="41092" spans="65:67" ht="18.75" customHeight="1">
      <c r="BM41092" s="1025"/>
      <c r="BO41092" s="43"/>
    </row>
    <row r="41093" spans="65:67" ht="18.75" customHeight="1">
      <c r="BM41093" s="1025"/>
      <c r="BO41093" s="43"/>
    </row>
    <row r="41094" spans="65:67" ht="18.75" customHeight="1">
      <c r="BM41094" s="1025"/>
      <c r="BO41094" s="43"/>
    </row>
    <row r="41095" spans="65:67" ht="18.75" customHeight="1">
      <c r="BM41095" s="1025"/>
      <c r="BO41095" s="43"/>
    </row>
    <row r="41096" spans="65:67" ht="18.75" customHeight="1">
      <c r="BM41096" s="1025"/>
      <c r="BO41096" s="43"/>
    </row>
    <row r="41097" spans="65:67" ht="18.75" customHeight="1">
      <c r="BM41097" s="1025"/>
      <c r="BO41097" s="43"/>
    </row>
    <row r="41098" spans="65:67" ht="18.75" customHeight="1">
      <c r="BM41098" s="1025"/>
      <c r="BO41098" s="43"/>
    </row>
    <row r="41099" spans="65:67" ht="18.75" customHeight="1">
      <c r="BM41099" s="1025"/>
      <c r="BO41099" s="43"/>
    </row>
    <row r="41100" spans="65:67" ht="18.75" customHeight="1">
      <c r="BM41100" s="1025"/>
      <c r="BO41100" s="43"/>
    </row>
    <row r="41101" spans="65:67" ht="18.75" customHeight="1">
      <c r="BM41101" s="1025"/>
      <c r="BO41101" s="43"/>
    </row>
    <row r="41102" spans="65:67" ht="18.75" customHeight="1">
      <c r="BM41102" s="1025"/>
      <c r="BO41102" s="43"/>
    </row>
    <row r="41103" spans="65:67" ht="18.75" customHeight="1">
      <c r="BM41103" s="1025"/>
      <c r="BO41103" s="43"/>
    </row>
    <row r="41104" spans="65:67" ht="18.75" customHeight="1">
      <c r="BM41104" s="1025"/>
      <c r="BO41104" s="43"/>
    </row>
    <row r="41105" spans="65:67" ht="18.75" customHeight="1">
      <c r="BM41105" s="1025"/>
      <c r="BO41105" s="43"/>
    </row>
    <row r="41106" spans="65:67" ht="18.75" customHeight="1">
      <c r="BM41106" s="1025"/>
      <c r="BO41106" s="43"/>
    </row>
    <row r="41107" spans="65:67" ht="18.75" customHeight="1">
      <c r="BM41107" s="1025"/>
      <c r="BO41107" s="43"/>
    </row>
    <row r="41108" spans="65:67" ht="18.75" customHeight="1">
      <c r="BM41108" s="1025"/>
      <c r="BO41108" s="43"/>
    </row>
    <row r="41109" spans="65:67" ht="18.75" customHeight="1">
      <c r="BM41109" s="1025"/>
      <c r="BO41109" s="43"/>
    </row>
    <row r="41110" spans="65:67" ht="18.75" customHeight="1">
      <c r="BM41110" s="1025"/>
      <c r="BO41110" s="43"/>
    </row>
    <row r="41111" spans="65:67" ht="18.75" customHeight="1">
      <c r="BM41111" s="1025"/>
      <c r="BO41111" s="43"/>
    </row>
    <row r="41112" spans="65:67" ht="18.75" customHeight="1">
      <c r="BM41112" s="1025"/>
      <c r="BO41112" s="43"/>
    </row>
    <row r="41113" spans="65:67" ht="18.75" customHeight="1">
      <c r="BM41113" s="1025"/>
      <c r="BO41113" s="43"/>
    </row>
    <row r="41114" spans="65:67" ht="18.75" customHeight="1">
      <c r="BM41114" s="1025"/>
      <c r="BO41114" s="43"/>
    </row>
    <row r="41115" spans="65:67" ht="18.75" customHeight="1">
      <c r="BM41115" s="1025"/>
      <c r="BO41115" s="43"/>
    </row>
    <row r="41116" spans="65:67" ht="18.75" customHeight="1">
      <c r="BM41116" s="1025"/>
      <c r="BO41116" s="43"/>
    </row>
    <row r="41117" spans="65:67" ht="18.75" customHeight="1">
      <c r="BM41117" s="1025"/>
      <c r="BO41117" s="43"/>
    </row>
    <row r="41118" spans="65:67" ht="18.75" customHeight="1">
      <c r="BM41118" s="1025"/>
      <c r="BO41118" s="43"/>
    </row>
    <row r="41119" spans="65:67" ht="18.75" customHeight="1">
      <c r="BM41119" s="1025"/>
      <c r="BO41119" s="43"/>
    </row>
    <row r="41120" spans="65:67" ht="18.75" customHeight="1">
      <c r="BM41120" s="1025"/>
      <c r="BO41120" s="43"/>
    </row>
    <row r="41121" spans="65:67" ht="18.75" customHeight="1">
      <c r="BM41121" s="1025"/>
      <c r="BO41121" s="43"/>
    </row>
    <row r="41122" spans="65:67" ht="18.75" customHeight="1">
      <c r="BM41122" s="1025"/>
      <c r="BO41122" s="43"/>
    </row>
    <row r="41123" spans="65:67" ht="18.75" customHeight="1">
      <c r="BM41123" s="1025"/>
      <c r="BO41123" s="43"/>
    </row>
    <row r="41124" spans="65:67" ht="18.75" customHeight="1">
      <c r="BM41124" s="1025"/>
      <c r="BO41124" s="43"/>
    </row>
    <row r="41125" spans="65:67" ht="18.75" customHeight="1">
      <c r="BM41125" s="1025"/>
      <c r="BO41125" s="43"/>
    </row>
    <row r="41126" spans="65:67" ht="18.75" customHeight="1">
      <c r="BM41126" s="1025"/>
      <c r="BO41126" s="43"/>
    </row>
    <row r="41127" spans="65:67" ht="18.75" customHeight="1">
      <c r="BM41127" s="1025"/>
      <c r="BO41127" s="43"/>
    </row>
    <row r="41128" spans="65:67" ht="18.75" customHeight="1">
      <c r="BM41128" s="1025"/>
      <c r="BO41128" s="43"/>
    </row>
    <row r="41129" spans="65:67" ht="18.75" customHeight="1">
      <c r="BM41129" s="1025"/>
      <c r="BO41129" s="43"/>
    </row>
    <row r="41130" spans="65:67" ht="18.75" customHeight="1">
      <c r="BM41130" s="1025"/>
      <c r="BO41130" s="43"/>
    </row>
    <row r="41131" spans="65:67" ht="18.75" customHeight="1">
      <c r="BM41131" s="1025"/>
      <c r="BO41131" s="43"/>
    </row>
    <row r="41132" spans="65:67" ht="18.75" customHeight="1">
      <c r="BM41132" s="1025"/>
      <c r="BO41132" s="43"/>
    </row>
    <row r="41133" spans="65:67" ht="18.75" customHeight="1">
      <c r="BM41133" s="1025"/>
      <c r="BO41133" s="43"/>
    </row>
    <row r="41134" spans="65:67" ht="18.75" customHeight="1">
      <c r="BM41134" s="1025"/>
      <c r="BO41134" s="43"/>
    </row>
    <row r="41135" spans="65:67" ht="18.75" customHeight="1">
      <c r="BM41135" s="1025"/>
      <c r="BO41135" s="43"/>
    </row>
    <row r="41136" spans="65:67" ht="18.75" customHeight="1">
      <c r="BM41136" s="1025"/>
      <c r="BO41136" s="43"/>
    </row>
    <row r="41137" spans="65:67" ht="18.75" customHeight="1">
      <c r="BM41137" s="1025"/>
      <c r="BO41137" s="43"/>
    </row>
    <row r="41138" spans="65:67" ht="18.75" customHeight="1">
      <c r="BM41138" s="1025"/>
      <c r="BO41138" s="43"/>
    </row>
    <row r="41139" spans="65:67" ht="18.75" customHeight="1">
      <c r="BM41139" s="1025"/>
      <c r="BO41139" s="43"/>
    </row>
    <row r="41140" spans="65:67" ht="18.75" customHeight="1">
      <c r="BM41140" s="1025"/>
      <c r="BO41140" s="43"/>
    </row>
    <row r="41141" spans="65:67" ht="18.75" customHeight="1">
      <c r="BM41141" s="1025"/>
      <c r="BO41141" s="43"/>
    </row>
    <row r="41142" spans="65:67" ht="18.75" customHeight="1">
      <c r="BM41142" s="1025"/>
      <c r="BO41142" s="43"/>
    </row>
    <row r="41143" spans="65:67" ht="18.75" customHeight="1">
      <c r="BM41143" s="1025"/>
      <c r="BO41143" s="43"/>
    </row>
    <row r="41144" spans="65:67" ht="18.75" customHeight="1">
      <c r="BM41144" s="1025"/>
      <c r="BO41144" s="43"/>
    </row>
    <row r="41145" spans="65:67" ht="18.75" customHeight="1">
      <c r="BM41145" s="1025"/>
      <c r="BO41145" s="43"/>
    </row>
    <row r="41146" spans="65:67" ht="18.75" customHeight="1">
      <c r="BM41146" s="1025"/>
      <c r="BO41146" s="43"/>
    </row>
    <row r="41147" spans="65:67" ht="18.75" customHeight="1">
      <c r="BM41147" s="1025"/>
      <c r="BO41147" s="43"/>
    </row>
    <row r="41148" spans="65:67" ht="18.75" customHeight="1">
      <c r="BM41148" s="1025"/>
      <c r="BO41148" s="43"/>
    </row>
    <row r="41149" spans="65:67" ht="18.75" customHeight="1">
      <c r="BM41149" s="1025"/>
      <c r="BO41149" s="43"/>
    </row>
    <row r="41150" spans="65:67" ht="18.75" customHeight="1">
      <c r="BM41150" s="1025"/>
      <c r="BO41150" s="43"/>
    </row>
    <row r="41151" spans="65:67" ht="18.75" customHeight="1">
      <c r="BM41151" s="1025"/>
      <c r="BO41151" s="43"/>
    </row>
    <row r="41152" spans="65:67" ht="18.75" customHeight="1">
      <c r="BM41152" s="1025"/>
      <c r="BO41152" s="43"/>
    </row>
    <row r="41153" spans="65:67" ht="18.75" customHeight="1">
      <c r="BM41153" s="1025"/>
      <c r="BO41153" s="43"/>
    </row>
    <row r="41154" spans="65:67" ht="18.75" customHeight="1">
      <c r="BM41154" s="1025"/>
      <c r="BO41154" s="43"/>
    </row>
    <row r="41155" spans="65:67" ht="18.75" customHeight="1">
      <c r="BM41155" s="1025"/>
      <c r="BO41155" s="43"/>
    </row>
    <row r="41156" spans="65:67" ht="18.75" customHeight="1">
      <c r="BM41156" s="1025"/>
      <c r="BO41156" s="43"/>
    </row>
    <row r="41157" spans="65:67" ht="18.75" customHeight="1">
      <c r="BM41157" s="1025"/>
      <c r="BO41157" s="43"/>
    </row>
    <row r="41158" spans="65:67" ht="18.75" customHeight="1">
      <c r="BM41158" s="1025"/>
      <c r="BO41158" s="43"/>
    </row>
    <row r="41159" spans="65:67" ht="18.75" customHeight="1">
      <c r="BM41159" s="1025"/>
      <c r="BO41159" s="43"/>
    </row>
    <row r="41160" spans="65:67" ht="18.75" customHeight="1">
      <c r="BM41160" s="1025"/>
      <c r="BO41160" s="43"/>
    </row>
    <row r="41161" spans="65:67" ht="18.75" customHeight="1">
      <c r="BM41161" s="1025"/>
      <c r="BO41161" s="43"/>
    </row>
    <row r="41162" spans="65:67" ht="18.75" customHeight="1">
      <c r="BM41162" s="1025"/>
      <c r="BO41162" s="43"/>
    </row>
    <row r="41163" spans="65:67" ht="18.75" customHeight="1">
      <c r="BM41163" s="1025"/>
      <c r="BO41163" s="43"/>
    </row>
    <row r="41164" spans="65:67" ht="18.75" customHeight="1">
      <c r="BM41164" s="1025"/>
      <c r="BO41164" s="43"/>
    </row>
    <row r="41165" spans="65:67" ht="18.75" customHeight="1">
      <c r="BM41165" s="1025"/>
      <c r="BO41165" s="43"/>
    </row>
    <row r="41166" spans="65:67" ht="18.75" customHeight="1">
      <c r="BM41166" s="1025"/>
      <c r="BO41166" s="43"/>
    </row>
    <row r="41167" spans="65:67" ht="18.75" customHeight="1">
      <c r="BM41167" s="1025"/>
      <c r="BO41167" s="43"/>
    </row>
    <row r="41168" spans="65:67" ht="18.75" customHeight="1">
      <c r="BM41168" s="1025"/>
      <c r="BO41168" s="43"/>
    </row>
    <row r="41169" spans="65:67" ht="18.75" customHeight="1">
      <c r="BM41169" s="1025"/>
      <c r="BO41169" s="43"/>
    </row>
    <row r="41170" spans="65:67" ht="18.75" customHeight="1">
      <c r="BM41170" s="1025"/>
      <c r="BO41170" s="43"/>
    </row>
    <row r="41171" spans="65:67" ht="18.75" customHeight="1">
      <c r="BM41171" s="1025"/>
      <c r="BO41171" s="43"/>
    </row>
    <row r="41172" spans="65:67" ht="18.75" customHeight="1">
      <c r="BM41172" s="1025"/>
      <c r="BO41172" s="43"/>
    </row>
    <row r="41173" spans="65:67" ht="18.75" customHeight="1">
      <c r="BM41173" s="1025"/>
      <c r="BO41173" s="43"/>
    </row>
    <row r="41174" spans="65:67" ht="18.75" customHeight="1">
      <c r="BM41174" s="1025"/>
      <c r="BO41174" s="43"/>
    </row>
    <row r="41175" spans="65:67" ht="18.75" customHeight="1">
      <c r="BM41175" s="1025"/>
      <c r="BO41175" s="43"/>
    </row>
    <row r="41176" spans="65:67" ht="18.75" customHeight="1">
      <c r="BM41176" s="1025"/>
      <c r="BO41176" s="43"/>
    </row>
    <row r="41177" spans="65:67" ht="18.75" customHeight="1">
      <c r="BM41177" s="1025"/>
      <c r="BO41177" s="43"/>
    </row>
    <row r="41178" spans="65:67" ht="18.75" customHeight="1">
      <c r="BM41178" s="1025"/>
      <c r="BO41178" s="43"/>
    </row>
    <row r="41179" spans="65:67" ht="18.75" customHeight="1">
      <c r="BM41179" s="1025"/>
      <c r="BO41179" s="43"/>
    </row>
    <row r="41180" spans="65:67" ht="18.75" customHeight="1">
      <c r="BM41180" s="1025"/>
      <c r="BO41180" s="43"/>
    </row>
    <row r="41181" spans="65:67" ht="18.75" customHeight="1">
      <c r="BM41181" s="1025"/>
      <c r="BO41181" s="43"/>
    </row>
    <row r="41182" spans="65:67" ht="18.75" customHeight="1">
      <c r="BM41182" s="1025"/>
      <c r="BO41182" s="43"/>
    </row>
    <row r="41183" spans="65:67" ht="18.75" customHeight="1">
      <c r="BM41183" s="1025"/>
      <c r="BO41183" s="43"/>
    </row>
    <row r="41184" spans="65:67" ht="18.75" customHeight="1">
      <c r="BM41184" s="1025"/>
      <c r="BO41184" s="43"/>
    </row>
    <row r="41185" spans="65:67" ht="18.75" customHeight="1">
      <c r="BM41185" s="1025"/>
      <c r="BO41185" s="43"/>
    </row>
    <row r="41186" spans="65:67" ht="18.75" customHeight="1">
      <c r="BM41186" s="1025"/>
      <c r="BO41186" s="43"/>
    </row>
    <row r="41187" spans="65:67" ht="18.75" customHeight="1">
      <c r="BM41187" s="1025"/>
      <c r="BO41187" s="43"/>
    </row>
    <row r="41188" spans="65:67" ht="18.75" customHeight="1">
      <c r="BM41188" s="1025"/>
      <c r="BO41188" s="43"/>
    </row>
    <row r="41189" spans="65:67" ht="18.75" customHeight="1">
      <c r="BM41189" s="1025"/>
      <c r="BO41189" s="43"/>
    </row>
    <row r="41190" spans="65:67" ht="18.75" customHeight="1">
      <c r="BM41190" s="1025"/>
      <c r="BO41190" s="43"/>
    </row>
    <row r="41191" spans="65:67" ht="18.75" customHeight="1">
      <c r="BM41191" s="1025"/>
      <c r="BO41191" s="43"/>
    </row>
    <row r="41192" spans="65:67" ht="18.75" customHeight="1">
      <c r="BM41192" s="1025"/>
      <c r="BO41192" s="43"/>
    </row>
    <row r="41193" spans="65:67" ht="18.75" customHeight="1">
      <c r="BM41193" s="1025"/>
      <c r="BO41193" s="43"/>
    </row>
    <row r="41194" spans="65:67" ht="18.75" customHeight="1">
      <c r="BM41194" s="1025"/>
      <c r="BO41194" s="43"/>
    </row>
    <row r="41195" spans="65:67" ht="18.75" customHeight="1">
      <c r="BM41195" s="1025"/>
      <c r="BO41195" s="43"/>
    </row>
    <row r="41196" spans="65:67" ht="18.75" customHeight="1">
      <c r="BM41196" s="1025"/>
      <c r="BO41196" s="43"/>
    </row>
    <row r="41197" spans="65:67" ht="18.75" customHeight="1">
      <c r="BM41197" s="1025"/>
      <c r="BO41197" s="43"/>
    </row>
    <row r="41198" spans="65:67" ht="18.75" customHeight="1">
      <c r="BM41198" s="1025"/>
      <c r="BO41198" s="43"/>
    </row>
    <row r="41199" spans="65:67" ht="18.75" customHeight="1">
      <c r="BM41199" s="1025"/>
      <c r="BO41199" s="43"/>
    </row>
    <row r="41200" spans="65:67" ht="18.75" customHeight="1">
      <c r="BM41200" s="1025"/>
      <c r="BO41200" s="43"/>
    </row>
    <row r="41201" spans="65:67" ht="18.75" customHeight="1">
      <c r="BM41201" s="1025"/>
      <c r="BO41201" s="43"/>
    </row>
    <row r="41202" spans="65:67" ht="18.75" customHeight="1">
      <c r="BM41202" s="1025"/>
      <c r="BO41202" s="43"/>
    </row>
    <row r="41203" spans="65:67" ht="18.75" customHeight="1">
      <c r="BM41203" s="1025"/>
      <c r="BO41203" s="43"/>
    </row>
    <row r="41204" spans="65:67" ht="18.75" customHeight="1">
      <c r="BM41204" s="1025"/>
      <c r="BO41204" s="43"/>
    </row>
    <row r="41205" spans="65:67" ht="18.75" customHeight="1">
      <c r="BM41205" s="1025"/>
      <c r="BO41205" s="43"/>
    </row>
    <row r="41206" spans="65:67" ht="18.75" customHeight="1">
      <c r="BM41206" s="1025"/>
      <c r="BO41206" s="43"/>
    </row>
    <row r="41207" spans="65:67" ht="18.75" customHeight="1">
      <c r="BM41207" s="1025"/>
      <c r="BO41207" s="43"/>
    </row>
    <row r="41208" spans="65:67" ht="18.75" customHeight="1">
      <c r="BM41208" s="1025"/>
      <c r="BO41208" s="43"/>
    </row>
    <row r="41209" spans="65:67" ht="18.75" customHeight="1">
      <c r="BM41209" s="1025"/>
      <c r="BO41209" s="43"/>
    </row>
    <row r="41210" spans="65:67" ht="18.75" customHeight="1">
      <c r="BM41210" s="1025"/>
      <c r="BO41210" s="43"/>
    </row>
    <row r="41211" spans="65:67" ht="18.75" customHeight="1">
      <c r="BM41211" s="1025"/>
      <c r="BO41211" s="43"/>
    </row>
    <row r="41212" spans="65:67" ht="18.75" customHeight="1">
      <c r="BM41212" s="1025"/>
      <c r="BO41212" s="43"/>
    </row>
    <row r="41213" spans="65:67" ht="18.75" customHeight="1">
      <c r="BM41213" s="1025"/>
      <c r="BO41213" s="43"/>
    </row>
    <row r="41214" spans="65:67" ht="18.75" customHeight="1">
      <c r="BM41214" s="1025"/>
      <c r="BO41214" s="43"/>
    </row>
    <row r="41215" spans="65:67" ht="18.75" customHeight="1">
      <c r="BM41215" s="1025"/>
      <c r="BO41215" s="43"/>
    </row>
    <row r="41216" spans="65:67" ht="18.75" customHeight="1">
      <c r="BM41216" s="1025"/>
      <c r="BO41216" s="43"/>
    </row>
    <row r="41217" spans="65:67" ht="18.75" customHeight="1">
      <c r="BM41217" s="1025"/>
      <c r="BO41217" s="43"/>
    </row>
    <row r="41218" spans="65:67" ht="18.75" customHeight="1">
      <c r="BM41218" s="1025"/>
      <c r="BO41218" s="43"/>
    </row>
    <row r="41219" spans="65:67" ht="18.75" customHeight="1">
      <c r="BM41219" s="1025"/>
      <c r="BO41219" s="43"/>
    </row>
    <row r="41220" spans="65:67" ht="18.75" customHeight="1">
      <c r="BM41220" s="1025"/>
      <c r="BO41220" s="43"/>
    </row>
    <row r="41221" spans="65:67" ht="18.75" customHeight="1">
      <c r="BM41221" s="1025"/>
      <c r="BO41221" s="43"/>
    </row>
    <row r="41222" spans="65:67" ht="18.75" customHeight="1">
      <c r="BM41222" s="1025"/>
      <c r="BO41222" s="43"/>
    </row>
    <row r="41223" spans="65:67" ht="18.75" customHeight="1">
      <c r="BM41223" s="1025"/>
      <c r="BO41223" s="43"/>
    </row>
    <row r="41224" spans="65:67" ht="18.75" customHeight="1">
      <c r="BM41224" s="1025"/>
      <c r="BO41224" s="43"/>
    </row>
    <row r="41225" spans="65:67" ht="18.75" customHeight="1">
      <c r="BM41225" s="1025"/>
      <c r="BO41225" s="43"/>
    </row>
    <row r="41226" spans="65:67" ht="18.75" customHeight="1">
      <c r="BM41226" s="1025"/>
      <c r="BO41226" s="43"/>
    </row>
    <row r="41227" spans="65:67" ht="18.75" customHeight="1">
      <c r="BM41227" s="1025"/>
      <c r="BO41227" s="43"/>
    </row>
    <row r="41228" spans="65:67" ht="18.75" customHeight="1">
      <c r="BM41228" s="1025"/>
      <c r="BO41228" s="43"/>
    </row>
    <row r="41229" spans="65:67" ht="18.75" customHeight="1">
      <c r="BM41229" s="1025"/>
      <c r="BO41229" s="43"/>
    </row>
    <row r="41230" spans="65:67" ht="18.75" customHeight="1">
      <c r="BM41230" s="1025"/>
      <c r="BO41230" s="43"/>
    </row>
    <row r="41231" spans="65:67" ht="18.75" customHeight="1">
      <c r="BM41231" s="1025"/>
      <c r="BO41231" s="43"/>
    </row>
    <row r="41232" spans="65:67" ht="18.75" customHeight="1">
      <c r="BM41232" s="1025"/>
      <c r="BO41232" s="43"/>
    </row>
    <row r="41233" spans="65:67" ht="18.75" customHeight="1">
      <c r="BM41233" s="1025"/>
      <c r="BO41233" s="43"/>
    </row>
    <row r="41234" spans="65:67" ht="18.75" customHeight="1">
      <c r="BM41234" s="1025"/>
      <c r="BO41234" s="43"/>
    </row>
    <row r="41235" spans="65:67" ht="18.75" customHeight="1">
      <c r="BM41235" s="1025"/>
      <c r="BO41235" s="43"/>
    </row>
    <row r="41236" spans="65:67" ht="18.75" customHeight="1">
      <c r="BM41236" s="1025"/>
      <c r="BO41236" s="43"/>
    </row>
    <row r="41237" spans="65:67" ht="18.75" customHeight="1">
      <c r="BM41237" s="1025"/>
      <c r="BO41237" s="43"/>
    </row>
    <row r="41238" spans="65:67" ht="18.75" customHeight="1">
      <c r="BM41238" s="1025"/>
      <c r="BO41238" s="43"/>
    </row>
    <row r="41239" spans="65:67" ht="18.75" customHeight="1">
      <c r="BM41239" s="1025"/>
      <c r="BO41239" s="43"/>
    </row>
    <row r="41240" spans="65:67" ht="18.75" customHeight="1">
      <c r="BM41240" s="1025"/>
      <c r="BO41240" s="43"/>
    </row>
    <row r="41241" spans="65:67" ht="18.75" customHeight="1">
      <c r="BM41241" s="1025"/>
      <c r="BO41241" s="43"/>
    </row>
    <row r="41242" spans="65:67" ht="18.75" customHeight="1">
      <c r="BM41242" s="1025"/>
      <c r="BO41242" s="43"/>
    </row>
    <row r="41243" spans="65:67" ht="18.75" customHeight="1">
      <c r="BM41243" s="1025"/>
      <c r="BO41243" s="43"/>
    </row>
    <row r="41244" spans="65:67" ht="18.75" customHeight="1">
      <c r="BM41244" s="1025"/>
      <c r="BO41244" s="43"/>
    </row>
    <row r="41245" spans="65:67" ht="18.75" customHeight="1">
      <c r="BM41245" s="1025"/>
      <c r="BO41245" s="43"/>
    </row>
    <row r="41246" spans="65:67" ht="18.75" customHeight="1">
      <c r="BM41246" s="1025"/>
      <c r="BO41246" s="43"/>
    </row>
    <row r="41247" spans="65:67" ht="18.75" customHeight="1">
      <c r="BM41247" s="1025"/>
      <c r="BO41247" s="43"/>
    </row>
    <row r="41248" spans="65:67" ht="18.75" customHeight="1">
      <c r="BM41248" s="1025"/>
      <c r="BO41248" s="43"/>
    </row>
    <row r="41249" spans="65:67" ht="18.75" customHeight="1">
      <c r="BM41249" s="1025"/>
      <c r="BO41249" s="43"/>
    </row>
    <row r="41250" spans="65:67" ht="18.75" customHeight="1">
      <c r="BM41250" s="1025"/>
      <c r="BO41250" s="43"/>
    </row>
    <row r="41251" spans="65:67" ht="18.75" customHeight="1">
      <c r="BM41251" s="1025"/>
      <c r="BO41251" s="43"/>
    </row>
    <row r="41252" spans="65:67" ht="18.75" customHeight="1">
      <c r="BM41252" s="1025"/>
      <c r="BO41252" s="43"/>
    </row>
    <row r="41253" spans="65:67" ht="18.75" customHeight="1">
      <c r="BM41253" s="1025"/>
      <c r="BO41253" s="43"/>
    </row>
    <row r="41254" spans="65:67" ht="18.75" customHeight="1">
      <c r="BM41254" s="1025"/>
      <c r="BO41254" s="43"/>
    </row>
    <row r="41255" spans="65:67" ht="18.75" customHeight="1">
      <c r="BM41255" s="1025"/>
      <c r="BO41255" s="43"/>
    </row>
    <row r="41256" spans="65:67" ht="18.75" customHeight="1">
      <c r="BM41256" s="1025"/>
      <c r="BO41256" s="43"/>
    </row>
    <row r="41257" spans="65:67" ht="18.75" customHeight="1">
      <c r="BM41257" s="1025"/>
      <c r="BO41257" s="43"/>
    </row>
    <row r="41258" spans="65:67" ht="18.75" customHeight="1">
      <c r="BM41258" s="1025"/>
      <c r="BO41258" s="43"/>
    </row>
    <row r="41259" spans="65:67" ht="18.75" customHeight="1">
      <c r="BM41259" s="1025"/>
      <c r="BO41259" s="43"/>
    </row>
    <row r="41260" spans="65:67" ht="18.75" customHeight="1">
      <c r="BM41260" s="1025"/>
      <c r="BO41260" s="43"/>
    </row>
    <row r="41261" spans="65:67" ht="18.75" customHeight="1">
      <c r="BM41261" s="1025"/>
      <c r="BO41261" s="43"/>
    </row>
    <row r="41262" spans="65:67" ht="18.75" customHeight="1">
      <c r="BM41262" s="1025"/>
      <c r="BO41262" s="43"/>
    </row>
    <row r="41263" spans="65:67" ht="18.75" customHeight="1">
      <c r="BM41263" s="1025"/>
      <c r="BO41263" s="43"/>
    </row>
    <row r="41264" spans="65:67" ht="18.75" customHeight="1">
      <c r="BM41264" s="1025"/>
      <c r="BO41264" s="43"/>
    </row>
    <row r="41265" spans="65:67" ht="18.75" customHeight="1">
      <c r="BM41265" s="1025"/>
      <c r="BO41265" s="43"/>
    </row>
    <row r="41266" spans="65:67" ht="18.75" customHeight="1">
      <c r="BM41266" s="1025"/>
      <c r="BO41266" s="43"/>
    </row>
    <row r="41267" spans="65:67" ht="18.75" customHeight="1">
      <c r="BM41267" s="1025"/>
      <c r="BO41267" s="43"/>
    </row>
    <row r="41268" spans="65:67" ht="18.75" customHeight="1">
      <c r="BM41268" s="1025"/>
      <c r="BO41268" s="43"/>
    </row>
    <row r="41269" spans="65:67" ht="18.75" customHeight="1">
      <c r="BM41269" s="1025"/>
      <c r="BO41269" s="43"/>
    </row>
    <row r="41270" spans="65:67" ht="18.75" customHeight="1">
      <c r="BM41270" s="1025"/>
      <c r="BO41270" s="43"/>
    </row>
    <row r="41271" spans="65:67" ht="18.75" customHeight="1">
      <c r="BM41271" s="1025"/>
      <c r="BO41271" s="43"/>
    </row>
    <row r="41272" spans="65:67" ht="18.75" customHeight="1">
      <c r="BM41272" s="1025"/>
      <c r="BO41272" s="43"/>
    </row>
    <row r="41273" spans="65:67" ht="18.75" customHeight="1">
      <c r="BM41273" s="1025"/>
      <c r="BO41273" s="43"/>
    </row>
    <row r="41274" spans="65:67" ht="18.75" customHeight="1">
      <c r="BM41274" s="1025"/>
      <c r="BO41274" s="43"/>
    </row>
    <row r="41275" spans="65:67" ht="18.75" customHeight="1">
      <c r="BM41275" s="1025"/>
      <c r="BO41275" s="43"/>
    </row>
    <row r="41276" spans="65:67" ht="18.75" customHeight="1">
      <c r="BM41276" s="1025"/>
      <c r="BO41276" s="43"/>
    </row>
    <row r="41277" spans="65:67" ht="18.75" customHeight="1">
      <c r="BM41277" s="1025"/>
      <c r="BO41277" s="43"/>
    </row>
    <row r="41278" spans="65:67" ht="18.75" customHeight="1">
      <c r="BM41278" s="1025"/>
      <c r="BO41278" s="43"/>
    </row>
    <row r="41279" spans="65:67" ht="18.75" customHeight="1">
      <c r="BM41279" s="1025"/>
      <c r="BO41279" s="43"/>
    </row>
    <row r="41280" spans="65:67" ht="18.75" customHeight="1">
      <c r="BM41280" s="1025"/>
      <c r="BO41280" s="43"/>
    </row>
    <row r="41281" spans="65:67" ht="18.75" customHeight="1">
      <c r="BM41281" s="1025"/>
      <c r="BO41281" s="43"/>
    </row>
    <row r="41282" spans="65:67" ht="18.75" customHeight="1">
      <c r="BM41282" s="1025"/>
      <c r="BO41282" s="43"/>
    </row>
    <row r="41283" spans="65:67" ht="18.75" customHeight="1">
      <c r="BM41283" s="1025"/>
      <c r="BO41283" s="43"/>
    </row>
    <row r="41284" spans="65:67" ht="18.75" customHeight="1">
      <c r="BM41284" s="1025"/>
      <c r="BO41284" s="43"/>
    </row>
    <row r="41285" spans="65:67" ht="18.75" customHeight="1">
      <c r="BM41285" s="1025"/>
      <c r="BO41285" s="43"/>
    </row>
    <row r="41286" spans="65:67" ht="18.75" customHeight="1">
      <c r="BM41286" s="1025"/>
      <c r="BO41286" s="43"/>
    </row>
    <row r="41287" spans="65:67" ht="18.75" customHeight="1">
      <c r="BM41287" s="1025"/>
      <c r="BO41287" s="43"/>
    </row>
    <row r="41288" spans="65:67" ht="18.75" customHeight="1">
      <c r="BM41288" s="1025"/>
      <c r="BO41288" s="43"/>
    </row>
    <row r="41289" spans="65:67" ht="18.75" customHeight="1">
      <c r="BM41289" s="1025"/>
      <c r="BO41289" s="43"/>
    </row>
    <row r="41290" spans="65:67" ht="18.75" customHeight="1">
      <c r="BM41290" s="1025"/>
      <c r="BO41290" s="43"/>
    </row>
    <row r="41291" spans="65:67" ht="18.75" customHeight="1">
      <c r="BM41291" s="1025"/>
      <c r="BO41291" s="43"/>
    </row>
    <row r="41292" spans="65:67" ht="18.75" customHeight="1">
      <c r="BM41292" s="1025"/>
      <c r="BO41292" s="43"/>
    </row>
    <row r="41293" spans="65:67" ht="18.75" customHeight="1">
      <c r="BM41293" s="1025"/>
      <c r="BO41293" s="43"/>
    </row>
    <row r="41294" spans="65:67" ht="18.75" customHeight="1">
      <c r="BM41294" s="1025"/>
      <c r="BO41294" s="43"/>
    </row>
    <row r="41295" spans="65:67" ht="18.75" customHeight="1">
      <c r="BM41295" s="1025"/>
      <c r="BO41295" s="43"/>
    </row>
    <row r="41296" spans="65:67" ht="18.75" customHeight="1">
      <c r="BM41296" s="1025"/>
      <c r="BO41296" s="43"/>
    </row>
    <row r="41297" spans="65:67" ht="18.75" customHeight="1">
      <c r="BM41297" s="1025"/>
      <c r="BO41297" s="43"/>
    </row>
    <row r="41298" spans="65:67" ht="18.75" customHeight="1">
      <c r="BM41298" s="1025"/>
      <c r="BO41298" s="43"/>
    </row>
    <row r="41299" spans="65:67" ht="18.75" customHeight="1">
      <c r="BM41299" s="1025"/>
      <c r="BO41299" s="43"/>
    </row>
    <row r="41300" spans="65:67" ht="18.75" customHeight="1">
      <c r="BM41300" s="1025"/>
      <c r="BO41300" s="43"/>
    </row>
    <row r="41301" spans="65:67" ht="18.75" customHeight="1">
      <c r="BM41301" s="1025"/>
      <c r="BO41301" s="43"/>
    </row>
    <row r="41302" spans="65:67" ht="18.75" customHeight="1">
      <c r="BM41302" s="1025"/>
      <c r="BO41302" s="43"/>
    </row>
    <row r="41303" spans="65:67" ht="18.75" customHeight="1">
      <c r="BM41303" s="1025"/>
      <c r="BO41303" s="43"/>
    </row>
    <row r="41304" spans="65:67" ht="18.75" customHeight="1">
      <c r="BM41304" s="1025"/>
      <c r="BO41304" s="43"/>
    </row>
    <row r="41305" spans="65:67" ht="18.75" customHeight="1">
      <c r="BM41305" s="1025"/>
      <c r="BO41305" s="43"/>
    </row>
    <row r="41306" spans="65:67" ht="18.75" customHeight="1">
      <c r="BM41306" s="1025"/>
      <c r="BO41306" s="43"/>
    </row>
    <row r="41307" spans="65:67" ht="18.75" customHeight="1">
      <c r="BM41307" s="1025"/>
      <c r="BO41307" s="43"/>
    </row>
    <row r="41308" spans="65:67" ht="18.75" customHeight="1">
      <c r="BM41308" s="1025"/>
      <c r="BO41308" s="43"/>
    </row>
    <row r="41309" spans="65:67" ht="18.75" customHeight="1">
      <c r="BM41309" s="1025"/>
      <c r="BO41309" s="43"/>
    </row>
    <row r="41310" spans="65:67" ht="18.75" customHeight="1">
      <c r="BM41310" s="1025"/>
      <c r="BO41310" s="43"/>
    </row>
    <row r="41311" spans="65:67" ht="18.75" customHeight="1">
      <c r="BM41311" s="1025"/>
      <c r="BO41311" s="43"/>
    </row>
    <row r="41312" spans="65:67" ht="18.75" customHeight="1">
      <c r="BM41312" s="1025"/>
      <c r="BO41312" s="43"/>
    </row>
    <row r="41313" spans="65:67" ht="18.75" customHeight="1">
      <c r="BM41313" s="1025"/>
      <c r="BO41313" s="43"/>
    </row>
    <row r="41314" spans="65:67" ht="18.75" customHeight="1">
      <c r="BM41314" s="1025"/>
      <c r="BO41314" s="43"/>
    </row>
    <row r="41315" spans="65:67" ht="18.75" customHeight="1">
      <c r="BM41315" s="1025"/>
      <c r="BO41315" s="43"/>
    </row>
    <row r="41316" spans="65:67" ht="18.75" customHeight="1">
      <c r="BM41316" s="1025"/>
      <c r="BO41316" s="43"/>
    </row>
    <row r="41317" spans="65:67" ht="18.75" customHeight="1">
      <c r="BM41317" s="1025"/>
      <c r="BO41317" s="43"/>
    </row>
    <row r="41318" spans="65:67" ht="18.75" customHeight="1">
      <c r="BM41318" s="1025"/>
      <c r="BO41318" s="43"/>
    </row>
    <row r="41319" spans="65:67" ht="18.75" customHeight="1">
      <c r="BM41319" s="1025"/>
      <c r="BO41319" s="43"/>
    </row>
    <row r="41320" spans="65:67" ht="18.75" customHeight="1">
      <c r="BM41320" s="1025"/>
      <c r="BO41320" s="43"/>
    </row>
    <row r="41321" spans="65:67" ht="18.75" customHeight="1">
      <c r="BM41321" s="1025"/>
      <c r="BO41321" s="43"/>
    </row>
    <row r="41322" spans="65:67" ht="18.75" customHeight="1">
      <c r="BM41322" s="1025"/>
      <c r="BO41322" s="43"/>
    </row>
    <row r="41323" spans="65:67" ht="18.75" customHeight="1">
      <c r="BM41323" s="1025"/>
      <c r="BO41323" s="43"/>
    </row>
    <row r="41324" spans="65:67" ht="18.75" customHeight="1">
      <c r="BM41324" s="1025"/>
      <c r="BO41324" s="43"/>
    </row>
    <row r="41325" spans="65:67" ht="18.75" customHeight="1">
      <c r="BM41325" s="1025"/>
      <c r="BO41325" s="43"/>
    </row>
    <row r="41326" spans="65:67" ht="18.75" customHeight="1">
      <c r="BM41326" s="1025"/>
      <c r="BO41326" s="43"/>
    </row>
    <row r="41327" spans="65:67" ht="18.75" customHeight="1">
      <c r="BM41327" s="1025"/>
      <c r="BO41327" s="43"/>
    </row>
    <row r="41328" spans="65:67" ht="18.75" customHeight="1">
      <c r="BM41328" s="1025"/>
      <c r="BO41328" s="43"/>
    </row>
    <row r="41329" spans="65:67" ht="18.75" customHeight="1">
      <c r="BM41329" s="1025"/>
      <c r="BO41329" s="43"/>
    </row>
    <row r="41330" spans="65:67" ht="18.75" customHeight="1">
      <c r="BM41330" s="1025"/>
      <c r="BO41330" s="43"/>
    </row>
    <row r="41331" spans="65:67" ht="18.75" customHeight="1">
      <c r="BM41331" s="1025"/>
      <c r="BO41331" s="43"/>
    </row>
    <row r="41332" spans="65:67" ht="18.75" customHeight="1">
      <c r="BM41332" s="1025"/>
      <c r="BO41332" s="43"/>
    </row>
    <row r="41333" spans="65:67" ht="18.75" customHeight="1">
      <c r="BM41333" s="1025"/>
      <c r="BO41333" s="43"/>
    </row>
    <row r="41334" spans="65:67" ht="18.75" customHeight="1">
      <c r="BM41334" s="1025"/>
      <c r="BO41334" s="43"/>
    </row>
    <row r="41335" spans="65:67" ht="18.75" customHeight="1">
      <c r="BM41335" s="1025"/>
      <c r="BO41335" s="43"/>
    </row>
    <row r="41336" spans="65:67" ht="18.75" customHeight="1">
      <c r="BM41336" s="1025"/>
      <c r="BO41336" s="43"/>
    </row>
    <row r="41337" spans="65:67" ht="18.75" customHeight="1">
      <c r="BM41337" s="1025"/>
      <c r="BO41337" s="43"/>
    </row>
    <row r="41338" spans="65:67" ht="18.75" customHeight="1">
      <c r="BM41338" s="1025"/>
      <c r="BO41338" s="43"/>
    </row>
    <row r="41339" spans="65:67" ht="18.75" customHeight="1">
      <c r="BM41339" s="1025"/>
      <c r="BO41339" s="43"/>
    </row>
    <row r="41340" spans="65:67" ht="18.75" customHeight="1">
      <c r="BM41340" s="1025"/>
      <c r="BO41340" s="43"/>
    </row>
    <row r="41341" spans="65:67" ht="18.75" customHeight="1">
      <c r="BM41341" s="1025"/>
      <c r="BO41341" s="43"/>
    </row>
    <row r="41342" spans="65:67" ht="18.75" customHeight="1">
      <c r="BM41342" s="1025"/>
      <c r="BO41342" s="43"/>
    </row>
    <row r="41343" spans="65:67" ht="18.75" customHeight="1">
      <c r="BM41343" s="1025"/>
      <c r="BO41343" s="43"/>
    </row>
    <row r="41344" spans="65:67" ht="18.75" customHeight="1">
      <c r="BM41344" s="1025"/>
      <c r="BO41344" s="43"/>
    </row>
    <row r="41345" spans="65:67" ht="18.75" customHeight="1">
      <c r="BM41345" s="1025"/>
      <c r="BO41345" s="43"/>
    </row>
    <row r="41346" spans="65:67" ht="18.75" customHeight="1">
      <c r="BM41346" s="1025"/>
      <c r="BO41346" s="43"/>
    </row>
    <row r="41347" spans="65:67" ht="18.75" customHeight="1">
      <c r="BM41347" s="1025"/>
      <c r="BO41347" s="43"/>
    </row>
    <row r="41348" spans="65:67" ht="18.75" customHeight="1">
      <c r="BM41348" s="1025"/>
      <c r="BO41348" s="43"/>
    </row>
    <row r="41349" spans="65:67" ht="18.75" customHeight="1">
      <c r="BM41349" s="1025"/>
      <c r="BO41349" s="43"/>
    </row>
    <row r="41350" spans="65:67" ht="18.75" customHeight="1">
      <c r="BM41350" s="1025"/>
      <c r="BO41350" s="43"/>
    </row>
    <row r="41351" spans="65:67" ht="18.75" customHeight="1">
      <c r="BM41351" s="1025"/>
      <c r="BO41351" s="43"/>
    </row>
    <row r="41352" spans="65:67" ht="18.75" customHeight="1">
      <c r="BM41352" s="1025"/>
      <c r="BO41352" s="43"/>
    </row>
    <row r="41353" spans="65:67" ht="18.75" customHeight="1">
      <c r="BM41353" s="1025"/>
      <c r="BO41353" s="43"/>
    </row>
    <row r="41354" spans="65:67" ht="18.75" customHeight="1">
      <c r="BM41354" s="1025"/>
      <c r="BO41354" s="43"/>
    </row>
    <row r="41355" spans="65:67" ht="18.75" customHeight="1">
      <c r="BM41355" s="1025"/>
      <c r="BO41355" s="43"/>
    </row>
    <row r="41356" spans="65:67" ht="18.75" customHeight="1">
      <c r="BM41356" s="1025"/>
      <c r="BO41356" s="43"/>
    </row>
    <row r="41357" spans="65:67" ht="18.75" customHeight="1">
      <c r="BM41357" s="1025"/>
      <c r="BO41357" s="43"/>
    </row>
    <row r="41358" spans="65:67" ht="18.75" customHeight="1">
      <c r="BM41358" s="1025"/>
      <c r="BO41358" s="43"/>
    </row>
    <row r="41359" spans="65:67" ht="18.75" customHeight="1">
      <c r="BM41359" s="1025"/>
      <c r="BO41359" s="43"/>
    </row>
    <row r="41360" spans="65:67" ht="18.75" customHeight="1">
      <c r="BM41360" s="1025"/>
      <c r="BO41360" s="43"/>
    </row>
    <row r="41361" spans="65:67" ht="18.75" customHeight="1">
      <c r="BM41361" s="1025"/>
      <c r="BO41361" s="43"/>
    </row>
    <row r="41362" spans="65:67" ht="18.75" customHeight="1">
      <c r="BM41362" s="1025"/>
      <c r="BO41362" s="43"/>
    </row>
    <row r="41363" spans="65:67" ht="18.75" customHeight="1">
      <c r="BM41363" s="1025"/>
      <c r="BO41363" s="43"/>
    </row>
    <row r="41364" spans="65:67" ht="18.75" customHeight="1">
      <c r="BM41364" s="1025"/>
      <c r="BO41364" s="43"/>
    </row>
    <row r="41365" spans="65:67" ht="18.75" customHeight="1">
      <c r="BM41365" s="1025"/>
      <c r="BO41365" s="43"/>
    </row>
    <row r="41366" spans="65:67" ht="18.75" customHeight="1">
      <c r="BM41366" s="1025"/>
      <c r="BO41366" s="43"/>
    </row>
    <row r="41367" spans="65:67" ht="18.75" customHeight="1">
      <c r="BM41367" s="1025"/>
      <c r="BO41367" s="43"/>
    </row>
    <row r="41368" spans="65:67" ht="18.75" customHeight="1">
      <c r="BM41368" s="1025"/>
      <c r="BO41368" s="43"/>
    </row>
    <row r="41369" spans="65:67" ht="18.75" customHeight="1">
      <c r="BM41369" s="1025"/>
      <c r="BO41369" s="43"/>
    </row>
    <row r="41370" spans="65:67" ht="18.75" customHeight="1">
      <c r="BM41370" s="1025"/>
      <c r="BO41370" s="43"/>
    </row>
    <row r="41371" spans="65:67" ht="18.75" customHeight="1">
      <c r="BM41371" s="1025"/>
      <c r="BO41371" s="43"/>
    </row>
    <row r="41372" spans="65:67" ht="18.75" customHeight="1">
      <c r="BM41372" s="1025"/>
      <c r="BO41372" s="43"/>
    </row>
    <row r="41373" spans="65:67" ht="18.75" customHeight="1">
      <c r="BM41373" s="1025"/>
      <c r="BO41373" s="43"/>
    </row>
    <row r="41374" spans="65:67" ht="18.75" customHeight="1">
      <c r="BM41374" s="1025"/>
      <c r="BO41374" s="43"/>
    </row>
    <row r="41375" spans="65:67" ht="18.75" customHeight="1">
      <c r="BM41375" s="1025"/>
      <c r="BO41375" s="43"/>
    </row>
    <row r="41376" spans="65:67" ht="18.75" customHeight="1">
      <c r="BM41376" s="1025"/>
      <c r="BO41376" s="43"/>
    </row>
    <row r="41377" spans="65:67" ht="18.75" customHeight="1">
      <c r="BM41377" s="1025"/>
      <c r="BO41377" s="43"/>
    </row>
    <row r="41378" spans="65:67" ht="18.75" customHeight="1">
      <c r="BM41378" s="1025"/>
      <c r="BO41378" s="43"/>
    </row>
    <row r="41379" spans="65:67" ht="18.75" customHeight="1">
      <c r="BM41379" s="1025"/>
      <c r="BO41379" s="43"/>
    </row>
    <row r="41380" spans="65:67" ht="18.75" customHeight="1">
      <c r="BM41380" s="1025"/>
      <c r="BO41380" s="43"/>
    </row>
    <row r="41381" spans="65:67" ht="18.75" customHeight="1">
      <c r="BM41381" s="1025"/>
      <c r="BO41381" s="43"/>
    </row>
    <row r="41382" spans="65:67" ht="18.75" customHeight="1">
      <c r="BM41382" s="1025"/>
      <c r="BO41382" s="43"/>
    </row>
    <row r="41383" spans="65:67" ht="18.75" customHeight="1">
      <c r="BM41383" s="1025"/>
      <c r="BO41383" s="43"/>
    </row>
    <row r="41384" spans="65:67" ht="18.75" customHeight="1">
      <c r="BM41384" s="1025"/>
      <c r="BO41384" s="43"/>
    </row>
    <row r="41385" spans="65:67" ht="18.75" customHeight="1">
      <c r="BM41385" s="1025"/>
      <c r="BO41385" s="43"/>
    </row>
    <row r="41386" spans="65:67" ht="18.75" customHeight="1">
      <c r="BM41386" s="1025"/>
      <c r="BO41386" s="43"/>
    </row>
    <row r="41387" spans="65:67" ht="18.75" customHeight="1">
      <c r="BM41387" s="1025"/>
      <c r="BO41387" s="43"/>
    </row>
    <row r="41388" spans="65:67" ht="18.75" customHeight="1">
      <c r="BM41388" s="1025"/>
      <c r="BO41388" s="43"/>
    </row>
    <row r="41389" spans="65:67" ht="18.75" customHeight="1">
      <c r="BM41389" s="1025"/>
      <c r="BO41389" s="43"/>
    </row>
    <row r="41390" spans="65:67" ht="18.75" customHeight="1">
      <c r="BM41390" s="1025"/>
      <c r="BO41390" s="43"/>
    </row>
    <row r="41391" spans="65:67" ht="18.75" customHeight="1">
      <c r="BM41391" s="1025"/>
      <c r="BO41391" s="43"/>
    </row>
    <row r="41392" spans="65:67" ht="18.75" customHeight="1">
      <c r="BM41392" s="1025"/>
      <c r="BO41392" s="43"/>
    </row>
    <row r="41393" spans="65:67" ht="18.75" customHeight="1">
      <c r="BM41393" s="1025"/>
      <c r="BO41393" s="43"/>
    </row>
    <row r="41394" spans="65:67" ht="18.75" customHeight="1">
      <c r="BM41394" s="1025"/>
      <c r="BO41394" s="43"/>
    </row>
    <row r="41395" spans="65:67" ht="18.75" customHeight="1">
      <c r="BM41395" s="1025"/>
      <c r="BO41395" s="43"/>
    </row>
    <row r="41396" spans="65:67" ht="18.75" customHeight="1">
      <c r="BM41396" s="1025"/>
      <c r="BO41396" s="43"/>
    </row>
    <row r="41397" spans="65:67" ht="18.75" customHeight="1">
      <c r="BM41397" s="1025"/>
      <c r="BO41397" s="43"/>
    </row>
    <row r="41398" spans="65:67" ht="18.75" customHeight="1">
      <c r="BM41398" s="1025"/>
      <c r="BO41398" s="43"/>
    </row>
    <row r="41399" spans="65:67" ht="18.75" customHeight="1">
      <c r="BM41399" s="1025"/>
      <c r="BO41399" s="43"/>
    </row>
    <row r="41400" spans="65:67" ht="18.75" customHeight="1">
      <c r="BM41400" s="1025"/>
      <c r="BO41400" s="43"/>
    </row>
    <row r="41401" spans="65:67" ht="18.75" customHeight="1">
      <c r="BM41401" s="1025"/>
      <c r="BO41401" s="43"/>
    </row>
    <row r="41402" spans="65:67" ht="18.75" customHeight="1">
      <c r="BM41402" s="1025"/>
      <c r="BO41402" s="43"/>
    </row>
    <row r="41403" spans="65:67" ht="18.75" customHeight="1">
      <c r="BM41403" s="1025"/>
      <c r="BO41403" s="43"/>
    </row>
    <row r="41404" spans="65:67" ht="18.75" customHeight="1">
      <c r="BM41404" s="1025"/>
      <c r="BO41404" s="43"/>
    </row>
    <row r="41405" spans="65:67" ht="18.75" customHeight="1">
      <c r="BM41405" s="1025"/>
      <c r="BO41405" s="43"/>
    </row>
    <row r="41406" spans="65:67" ht="18.75" customHeight="1">
      <c r="BM41406" s="1025"/>
      <c r="BO41406" s="43"/>
    </row>
    <row r="41407" spans="65:67" ht="18.75" customHeight="1">
      <c r="BM41407" s="1025"/>
      <c r="BO41407" s="43"/>
    </row>
    <row r="41408" spans="65:67" ht="18.75" customHeight="1">
      <c r="BM41408" s="1025"/>
      <c r="BO41408" s="43"/>
    </row>
    <row r="41409" spans="65:67" ht="18.75" customHeight="1">
      <c r="BM41409" s="1025"/>
      <c r="BO41409" s="43"/>
    </row>
    <row r="41410" spans="65:67" ht="18.75" customHeight="1">
      <c r="BM41410" s="1025"/>
      <c r="BO41410" s="43"/>
    </row>
    <row r="41411" spans="65:67" ht="18.75" customHeight="1">
      <c r="BM41411" s="1025"/>
      <c r="BO41411" s="43"/>
    </row>
    <row r="41412" spans="65:67" ht="18.75" customHeight="1">
      <c r="BM41412" s="1025"/>
      <c r="BO41412" s="43"/>
    </row>
    <row r="41413" spans="65:67" ht="18.75" customHeight="1">
      <c r="BM41413" s="1025"/>
      <c r="BO41413" s="43"/>
    </row>
    <row r="41414" spans="65:67" ht="18.75" customHeight="1">
      <c r="BM41414" s="1025"/>
      <c r="BO41414" s="43"/>
    </row>
    <row r="41415" spans="65:67" ht="18.75" customHeight="1">
      <c r="BM41415" s="1025"/>
      <c r="BO41415" s="43"/>
    </row>
    <row r="41416" spans="65:67" ht="18.75" customHeight="1">
      <c r="BM41416" s="1025"/>
      <c r="BO41416" s="43"/>
    </row>
    <row r="41417" spans="65:67" ht="18.75" customHeight="1">
      <c r="BM41417" s="1025"/>
      <c r="BO41417" s="43"/>
    </row>
    <row r="41418" spans="65:67" ht="18.75" customHeight="1">
      <c r="BM41418" s="1025"/>
      <c r="BO41418" s="43"/>
    </row>
    <row r="41419" spans="65:67" ht="18.75" customHeight="1">
      <c r="BM41419" s="1025"/>
      <c r="BO41419" s="43"/>
    </row>
    <row r="41420" spans="65:67" ht="18.75" customHeight="1">
      <c r="BM41420" s="1025"/>
      <c r="BO41420" s="43"/>
    </row>
    <row r="41421" spans="65:67" ht="18.75" customHeight="1">
      <c r="BM41421" s="1025"/>
      <c r="BO41421" s="43"/>
    </row>
    <row r="41422" spans="65:67" ht="18.75" customHeight="1">
      <c r="BM41422" s="1025"/>
      <c r="BO41422" s="43"/>
    </row>
    <row r="41423" spans="65:67" ht="18.75" customHeight="1">
      <c r="BM41423" s="1025"/>
      <c r="BO41423" s="43"/>
    </row>
    <row r="41424" spans="65:67" ht="18.75" customHeight="1">
      <c r="BM41424" s="1025"/>
      <c r="BO41424" s="43"/>
    </row>
    <row r="41425" spans="65:67" ht="18.75" customHeight="1">
      <c r="BM41425" s="1025"/>
      <c r="BO41425" s="43"/>
    </row>
    <row r="41426" spans="65:67" ht="18.75" customHeight="1">
      <c r="BM41426" s="1025"/>
      <c r="BO41426" s="43"/>
    </row>
    <row r="41427" spans="65:67" ht="18.75" customHeight="1">
      <c r="BM41427" s="1025"/>
      <c r="BO41427" s="43"/>
    </row>
    <row r="41428" spans="65:67" ht="18.75" customHeight="1">
      <c r="BM41428" s="1025"/>
      <c r="BO41428" s="43"/>
    </row>
    <row r="41429" spans="65:67" ht="18.75" customHeight="1">
      <c r="BM41429" s="1025"/>
      <c r="BO41429" s="43"/>
    </row>
    <row r="41430" spans="65:67" ht="18.75" customHeight="1">
      <c r="BM41430" s="1025"/>
      <c r="BO41430" s="43"/>
    </row>
    <row r="41431" spans="65:67" ht="18.75" customHeight="1">
      <c r="BM41431" s="1025"/>
      <c r="BO41431" s="43"/>
    </row>
    <row r="41432" spans="65:67" ht="18.75" customHeight="1">
      <c r="BM41432" s="1025"/>
      <c r="BO41432" s="43"/>
    </row>
    <row r="41433" spans="65:67" ht="18.75" customHeight="1">
      <c r="BM41433" s="1025"/>
      <c r="BO41433" s="43"/>
    </row>
    <row r="41434" spans="65:67" ht="18.75" customHeight="1">
      <c r="BM41434" s="1025"/>
      <c r="BO41434" s="43"/>
    </row>
    <row r="41435" spans="65:67" ht="18.75" customHeight="1">
      <c r="BM41435" s="1025"/>
      <c r="BO41435" s="43"/>
    </row>
    <row r="41436" spans="65:67" ht="18.75" customHeight="1">
      <c r="BM41436" s="1025"/>
      <c r="BO41436" s="43"/>
    </row>
    <row r="41437" spans="65:67" ht="18.75" customHeight="1">
      <c r="BM41437" s="1025"/>
      <c r="BO41437" s="43"/>
    </row>
    <row r="41438" spans="65:67" ht="18.75" customHeight="1">
      <c r="BM41438" s="1025"/>
      <c r="BO41438" s="43"/>
    </row>
    <row r="41439" spans="65:67" ht="18.75" customHeight="1">
      <c r="BM41439" s="1025"/>
      <c r="BO41439" s="43"/>
    </row>
    <row r="41440" spans="65:67" ht="18.75" customHeight="1">
      <c r="BM41440" s="1025"/>
      <c r="BO41440" s="43"/>
    </row>
    <row r="41441" spans="65:67" ht="18.75" customHeight="1">
      <c r="BM41441" s="1025"/>
      <c r="BO41441" s="43"/>
    </row>
    <row r="41442" spans="65:67" ht="18.75" customHeight="1">
      <c r="BM41442" s="1025"/>
      <c r="BO41442" s="43"/>
    </row>
    <row r="41443" spans="65:67" ht="18.75" customHeight="1">
      <c r="BM41443" s="1025"/>
      <c r="BO41443" s="43"/>
    </row>
    <row r="41444" spans="65:67" ht="18.75" customHeight="1">
      <c r="BM41444" s="1025"/>
      <c r="BO41444" s="43"/>
    </row>
    <row r="41445" spans="65:67" ht="18.75" customHeight="1">
      <c r="BM41445" s="1025"/>
      <c r="BO41445" s="43"/>
    </row>
    <row r="41446" spans="65:67" ht="18.75" customHeight="1">
      <c r="BM41446" s="1025"/>
      <c r="BO41446" s="43"/>
    </row>
    <row r="41447" spans="65:67" ht="18.75" customHeight="1">
      <c r="BM41447" s="1025"/>
      <c r="BO41447" s="43"/>
    </row>
    <row r="41448" spans="65:67" ht="18.75" customHeight="1">
      <c r="BM41448" s="1025"/>
      <c r="BO41448" s="43"/>
    </row>
    <row r="41449" spans="65:67" ht="18.75" customHeight="1">
      <c r="BM41449" s="1025"/>
      <c r="BO41449" s="43"/>
    </row>
    <row r="41450" spans="65:67" ht="18.75" customHeight="1">
      <c r="BM41450" s="1025"/>
      <c r="BO41450" s="43"/>
    </row>
    <row r="41451" spans="65:67" ht="18.75" customHeight="1">
      <c r="BM41451" s="1025"/>
      <c r="BO41451" s="43"/>
    </row>
    <row r="41452" spans="65:67" ht="18.75" customHeight="1">
      <c r="BM41452" s="1025"/>
      <c r="BO41452" s="43"/>
    </row>
    <row r="41453" spans="65:67" ht="18.75" customHeight="1">
      <c r="BM41453" s="1025"/>
      <c r="BO41453" s="43"/>
    </row>
    <row r="41454" spans="65:67" ht="18.75" customHeight="1">
      <c r="BM41454" s="1025"/>
      <c r="BO41454" s="43"/>
    </row>
    <row r="41455" spans="65:67" ht="18.75" customHeight="1">
      <c r="BM41455" s="1025"/>
      <c r="BO41455" s="43"/>
    </row>
    <row r="41456" spans="65:67" ht="18.75" customHeight="1">
      <c r="BM41456" s="1025"/>
      <c r="BO41456" s="43"/>
    </row>
    <row r="41457" spans="65:67" ht="18.75" customHeight="1">
      <c r="BM41457" s="1025"/>
      <c r="BO41457" s="43"/>
    </row>
    <row r="41458" spans="65:67" ht="18.75" customHeight="1">
      <c r="BM41458" s="1025"/>
      <c r="BO41458" s="43"/>
    </row>
    <row r="41459" spans="65:67" ht="18.75" customHeight="1">
      <c r="BM41459" s="1025"/>
      <c r="BO41459" s="43"/>
    </row>
    <row r="41460" spans="65:67" ht="18.75" customHeight="1">
      <c r="BM41460" s="1025"/>
      <c r="BO41460" s="43"/>
    </row>
    <row r="41461" spans="65:67" ht="18.75" customHeight="1">
      <c r="BM41461" s="1025"/>
      <c r="BO41461" s="43"/>
    </row>
    <row r="41462" spans="65:67" ht="18.75" customHeight="1">
      <c r="BM41462" s="1025"/>
      <c r="BO41462" s="43"/>
    </row>
    <row r="41463" spans="65:67" ht="18.75" customHeight="1">
      <c r="BM41463" s="1025"/>
      <c r="BO41463" s="43"/>
    </row>
    <row r="41464" spans="65:67" ht="18.75" customHeight="1">
      <c r="BM41464" s="1025"/>
      <c r="BO41464" s="43"/>
    </row>
    <row r="41465" spans="65:67" ht="18.75" customHeight="1">
      <c r="BM41465" s="1025"/>
      <c r="BO41465" s="43"/>
    </row>
    <row r="41466" spans="65:67" ht="18.75" customHeight="1">
      <c r="BM41466" s="1025"/>
      <c r="BO41466" s="43"/>
    </row>
    <row r="41467" spans="65:67" ht="18.75" customHeight="1">
      <c r="BM41467" s="1025"/>
      <c r="BO41467" s="43"/>
    </row>
    <row r="41468" spans="65:67" ht="18.75" customHeight="1">
      <c r="BM41468" s="1025"/>
      <c r="BO41468" s="43"/>
    </row>
    <row r="41469" spans="65:67" ht="18.75" customHeight="1">
      <c r="BM41469" s="1025"/>
      <c r="BO41469" s="43"/>
    </row>
    <row r="41470" spans="65:67" ht="18.75" customHeight="1">
      <c r="BM41470" s="1025"/>
      <c r="BO41470" s="43"/>
    </row>
    <row r="41471" spans="65:67" ht="18.75" customHeight="1">
      <c r="BM41471" s="1025"/>
      <c r="BO41471" s="43"/>
    </row>
    <row r="41472" spans="65:67" ht="18.75" customHeight="1">
      <c r="BM41472" s="1025"/>
      <c r="BO41472" s="43"/>
    </row>
    <row r="41473" spans="65:67" ht="18.75" customHeight="1">
      <c r="BM41473" s="1025"/>
      <c r="BO41473" s="43"/>
    </row>
    <row r="41474" spans="65:67" ht="18.75" customHeight="1">
      <c r="BM41474" s="1025"/>
      <c r="BO41474" s="43"/>
    </row>
    <row r="41475" spans="65:67" ht="18.75" customHeight="1">
      <c r="BM41475" s="1025"/>
      <c r="BO41475" s="43"/>
    </row>
    <row r="41476" spans="65:67" ht="18.75" customHeight="1">
      <c r="BM41476" s="1025"/>
      <c r="BO41476" s="43"/>
    </row>
    <row r="41477" spans="65:67" ht="18.75" customHeight="1">
      <c r="BM41477" s="1025"/>
      <c r="BO41477" s="43"/>
    </row>
    <row r="41478" spans="65:67" ht="18.75" customHeight="1">
      <c r="BM41478" s="1025"/>
      <c r="BO41478" s="43"/>
    </row>
    <row r="41479" spans="65:67" ht="18.75" customHeight="1">
      <c r="BM41479" s="1025"/>
      <c r="BO41479" s="43"/>
    </row>
    <row r="41480" spans="65:67" ht="18.75" customHeight="1">
      <c r="BM41480" s="1025"/>
      <c r="BO41480" s="43"/>
    </row>
    <row r="41481" spans="65:67" ht="18.75" customHeight="1">
      <c r="BM41481" s="1025"/>
      <c r="BO41481" s="43"/>
    </row>
    <row r="41482" spans="65:67" ht="18.75" customHeight="1">
      <c r="BM41482" s="1025"/>
      <c r="BO41482" s="43"/>
    </row>
    <row r="41483" spans="65:67" ht="18.75" customHeight="1">
      <c r="BM41483" s="1025"/>
      <c r="BO41483" s="43"/>
    </row>
    <row r="41484" spans="65:67" ht="18.75" customHeight="1">
      <c r="BM41484" s="1025"/>
      <c r="BO41484" s="43"/>
    </row>
    <row r="41485" spans="65:67" ht="18.75" customHeight="1">
      <c r="BM41485" s="1025"/>
      <c r="BO41485" s="43"/>
    </row>
    <row r="41486" spans="65:67" ht="18.75" customHeight="1">
      <c r="BM41486" s="1025"/>
      <c r="BO41486" s="43"/>
    </row>
    <row r="41487" spans="65:67" ht="18.75" customHeight="1">
      <c r="BM41487" s="1025"/>
      <c r="BO41487" s="43"/>
    </row>
    <row r="41488" spans="65:67" ht="18.75" customHeight="1">
      <c r="BM41488" s="1025"/>
      <c r="BO41488" s="43"/>
    </row>
    <row r="41489" spans="65:67" ht="18.75" customHeight="1">
      <c r="BM41489" s="1025"/>
      <c r="BO41489" s="43"/>
    </row>
    <row r="41490" spans="65:67" ht="18.75" customHeight="1">
      <c r="BM41490" s="1025"/>
      <c r="BO41490" s="43"/>
    </row>
    <row r="41491" spans="65:67" ht="18.75" customHeight="1">
      <c r="BM41491" s="1025"/>
      <c r="BO41491" s="43"/>
    </row>
    <row r="41492" spans="65:67" ht="18.75" customHeight="1">
      <c r="BM41492" s="1025"/>
      <c r="BO41492" s="43"/>
    </row>
    <row r="41493" spans="65:67" ht="18.75" customHeight="1">
      <c r="BM41493" s="1025"/>
      <c r="BO41493" s="43"/>
    </row>
    <row r="41494" spans="65:67" ht="18.75" customHeight="1">
      <c r="BM41494" s="1025"/>
      <c r="BO41494" s="43"/>
    </row>
    <row r="41495" spans="65:67" ht="18.75" customHeight="1">
      <c r="BM41495" s="1025"/>
      <c r="BO41495" s="43"/>
    </row>
    <row r="41496" spans="65:67" ht="18.75" customHeight="1">
      <c r="BM41496" s="1025"/>
      <c r="BO41496" s="43"/>
    </row>
    <row r="41497" spans="65:67" ht="18.75" customHeight="1">
      <c r="BM41497" s="1025"/>
      <c r="BO41497" s="43"/>
    </row>
    <row r="41498" spans="65:67" ht="18.75" customHeight="1">
      <c r="BM41498" s="1025"/>
      <c r="BO41498" s="43"/>
    </row>
    <row r="41499" spans="65:67" ht="18.75" customHeight="1">
      <c r="BM41499" s="1025"/>
      <c r="BO41499" s="43"/>
    </row>
    <row r="41500" spans="65:67" ht="18.75" customHeight="1">
      <c r="BM41500" s="1025"/>
      <c r="BO41500" s="43"/>
    </row>
    <row r="41501" spans="65:67" ht="18.75" customHeight="1">
      <c r="BM41501" s="1025"/>
      <c r="BO41501" s="43"/>
    </row>
    <row r="41502" spans="65:67" ht="18.75" customHeight="1">
      <c r="BM41502" s="1025"/>
      <c r="BO41502" s="43"/>
    </row>
    <row r="41503" spans="65:67" ht="18.75" customHeight="1">
      <c r="BM41503" s="1025"/>
      <c r="BO41503" s="43"/>
    </row>
    <row r="41504" spans="65:67" ht="18.75" customHeight="1">
      <c r="BM41504" s="1025"/>
      <c r="BO41504" s="43"/>
    </row>
    <row r="41505" spans="65:67" ht="18.75" customHeight="1">
      <c r="BM41505" s="1025"/>
      <c r="BO41505" s="43"/>
    </row>
    <row r="41506" spans="65:67" ht="18.75" customHeight="1">
      <c r="BM41506" s="1025"/>
      <c r="BO41506" s="43"/>
    </row>
    <row r="41507" spans="65:67" ht="18.75" customHeight="1">
      <c r="BM41507" s="1025"/>
      <c r="BO41507" s="43"/>
    </row>
    <row r="41508" spans="65:67" ht="18.75" customHeight="1">
      <c r="BM41508" s="1025"/>
      <c r="BO41508" s="43"/>
    </row>
    <row r="41509" spans="65:67" ht="18.75" customHeight="1">
      <c r="BM41509" s="1025"/>
      <c r="BO41509" s="43"/>
    </row>
    <row r="41510" spans="65:67" ht="18.75" customHeight="1">
      <c r="BM41510" s="1025"/>
      <c r="BO41510" s="43"/>
    </row>
    <row r="41511" spans="65:67" ht="18.75" customHeight="1">
      <c r="BM41511" s="1025"/>
      <c r="BO41511" s="43"/>
    </row>
    <row r="41512" spans="65:67" ht="18.75" customHeight="1">
      <c r="BM41512" s="1025"/>
      <c r="BO41512" s="43"/>
    </row>
    <row r="41513" spans="65:67" ht="18.75" customHeight="1">
      <c r="BM41513" s="1025"/>
      <c r="BO41513" s="43"/>
    </row>
    <row r="41514" spans="65:67" ht="18.75" customHeight="1">
      <c r="BM41514" s="1025"/>
      <c r="BO41514" s="43"/>
    </row>
    <row r="41515" spans="65:67" ht="18.75" customHeight="1">
      <c r="BM41515" s="1025"/>
      <c r="BO41515" s="43"/>
    </row>
    <row r="41516" spans="65:67" ht="18.75" customHeight="1">
      <c r="BM41516" s="1025"/>
      <c r="BO41516" s="43"/>
    </row>
    <row r="41517" spans="65:67" ht="18.75" customHeight="1">
      <c r="BM41517" s="1025"/>
      <c r="BO41517" s="43"/>
    </row>
    <row r="41518" spans="65:67" ht="18.75" customHeight="1">
      <c r="BM41518" s="1025"/>
      <c r="BO41518" s="43"/>
    </row>
    <row r="41519" spans="65:67" ht="18.75" customHeight="1">
      <c r="BM41519" s="1025"/>
      <c r="BO41519" s="43"/>
    </row>
    <row r="41520" spans="65:67" ht="18.75" customHeight="1">
      <c r="BM41520" s="1025"/>
      <c r="BO41520" s="43"/>
    </row>
    <row r="41521" spans="65:67" ht="18.75" customHeight="1">
      <c r="BM41521" s="1025"/>
      <c r="BO41521" s="43"/>
    </row>
    <row r="41522" spans="65:67" ht="18.75" customHeight="1">
      <c r="BM41522" s="1025"/>
      <c r="BO41522" s="43"/>
    </row>
    <row r="41523" spans="65:67" ht="18.75" customHeight="1">
      <c r="BM41523" s="1025"/>
      <c r="BO41523" s="43"/>
    </row>
    <row r="41524" spans="65:67" ht="18.75" customHeight="1">
      <c r="BM41524" s="1025"/>
      <c r="BO41524" s="43"/>
    </row>
    <row r="41525" spans="65:67" ht="18.75" customHeight="1">
      <c r="BM41525" s="1025"/>
      <c r="BO41525" s="43"/>
    </row>
    <row r="41526" spans="65:67" ht="18.75" customHeight="1">
      <c r="BM41526" s="1025"/>
      <c r="BO41526" s="43"/>
    </row>
    <row r="41527" spans="65:67" ht="18.75" customHeight="1">
      <c r="BM41527" s="1025"/>
      <c r="BO41527" s="43"/>
    </row>
    <row r="41528" spans="65:67" ht="18.75" customHeight="1">
      <c r="BM41528" s="1025"/>
      <c r="BO41528" s="43"/>
    </row>
    <row r="41529" spans="65:67" ht="18.75" customHeight="1">
      <c r="BM41529" s="1025"/>
      <c r="BO41529" s="43"/>
    </row>
    <row r="41530" spans="65:67" ht="18.75" customHeight="1">
      <c r="BM41530" s="1025"/>
      <c r="BO41530" s="43"/>
    </row>
    <row r="41531" spans="65:67" ht="18.75" customHeight="1">
      <c r="BM41531" s="1025"/>
      <c r="BO41531" s="43"/>
    </row>
    <row r="41532" spans="65:67" ht="18.75" customHeight="1">
      <c r="BM41532" s="1025"/>
      <c r="BO41532" s="43"/>
    </row>
    <row r="41533" spans="65:67" ht="18.75" customHeight="1">
      <c r="BM41533" s="1025"/>
      <c r="BO41533" s="43"/>
    </row>
    <row r="41534" spans="65:67" ht="18.75" customHeight="1">
      <c r="BM41534" s="1025"/>
      <c r="BO41534" s="43"/>
    </row>
    <row r="41535" spans="65:67" ht="18.75" customHeight="1">
      <c r="BM41535" s="1025"/>
      <c r="BO41535" s="43"/>
    </row>
    <row r="41536" spans="65:67" ht="18.75" customHeight="1">
      <c r="BM41536" s="1025"/>
      <c r="BO41536" s="43"/>
    </row>
    <row r="41537" spans="65:67" ht="18.75" customHeight="1">
      <c r="BM41537" s="1025"/>
      <c r="BO41537" s="43"/>
    </row>
    <row r="41538" spans="65:67" ht="18.75" customHeight="1">
      <c r="BM41538" s="1025"/>
      <c r="BO41538" s="43"/>
    </row>
    <row r="41539" spans="65:67" ht="18.75" customHeight="1">
      <c r="BM41539" s="1025"/>
      <c r="BO41539" s="43"/>
    </row>
    <row r="41540" spans="65:67" ht="18.75" customHeight="1">
      <c r="BM41540" s="1025"/>
      <c r="BO41540" s="43"/>
    </row>
    <row r="41541" spans="65:67" ht="18.75" customHeight="1">
      <c r="BM41541" s="1025"/>
      <c r="BO41541" s="43"/>
    </row>
    <row r="41542" spans="65:67" ht="18.75" customHeight="1">
      <c r="BM41542" s="1025"/>
      <c r="BO41542" s="43"/>
    </row>
    <row r="41543" spans="65:67" ht="18.75" customHeight="1">
      <c r="BM41543" s="1025"/>
      <c r="BO41543" s="43"/>
    </row>
    <row r="41544" spans="65:67" ht="18.75" customHeight="1">
      <c r="BM41544" s="1025"/>
      <c r="BO41544" s="43"/>
    </row>
    <row r="41545" spans="65:67" ht="18.75" customHeight="1">
      <c r="BM41545" s="1025"/>
      <c r="BO41545" s="43"/>
    </row>
    <row r="41546" spans="65:67" ht="18.75" customHeight="1">
      <c r="BM41546" s="1025"/>
      <c r="BO41546" s="43"/>
    </row>
    <row r="41547" spans="65:67" ht="18.75" customHeight="1">
      <c r="BM41547" s="1025"/>
      <c r="BO41547" s="43"/>
    </row>
    <row r="41548" spans="65:67" ht="18.75" customHeight="1">
      <c r="BM41548" s="1025"/>
      <c r="BO41548" s="43"/>
    </row>
    <row r="41549" spans="65:67" ht="18.75" customHeight="1">
      <c r="BM41549" s="1025"/>
      <c r="BO41549" s="43"/>
    </row>
    <row r="41550" spans="65:67" ht="18.75" customHeight="1">
      <c r="BM41550" s="1025"/>
      <c r="BO41550" s="43"/>
    </row>
    <row r="41551" spans="65:67" ht="18.75" customHeight="1">
      <c r="BM41551" s="1025"/>
      <c r="BO41551" s="43"/>
    </row>
    <row r="41552" spans="65:67" ht="18.75" customHeight="1">
      <c r="BM41552" s="1025"/>
      <c r="BO41552" s="43"/>
    </row>
    <row r="41553" spans="65:67" ht="18.75" customHeight="1">
      <c r="BM41553" s="1025"/>
      <c r="BO41553" s="43"/>
    </row>
    <row r="41554" spans="65:67" ht="18.75" customHeight="1">
      <c r="BM41554" s="1025"/>
      <c r="BO41554" s="43"/>
    </row>
    <row r="41555" spans="65:67" ht="18.75" customHeight="1">
      <c r="BM41555" s="1025"/>
      <c r="BO41555" s="43"/>
    </row>
    <row r="41556" spans="65:67" ht="18.75" customHeight="1">
      <c r="BM41556" s="1025"/>
      <c r="BO41556" s="43"/>
    </row>
    <row r="41557" spans="65:67" ht="18.75" customHeight="1">
      <c r="BM41557" s="1025"/>
      <c r="BO41557" s="43"/>
    </row>
    <row r="41558" spans="65:67" ht="18.75" customHeight="1">
      <c r="BM41558" s="1025"/>
      <c r="BO41558" s="43"/>
    </row>
    <row r="41559" spans="65:67" ht="18.75" customHeight="1">
      <c r="BM41559" s="1025"/>
      <c r="BO41559" s="43"/>
    </row>
    <row r="41560" spans="65:67" ht="18.75" customHeight="1">
      <c r="BM41560" s="1025"/>
      <c r="BO41560" s="43"/>
    </row>
    <row r="41561" spans="65:67" ht="18.75" customHeight="1">
      <c r="BM41561" s="1025"/>
      <c r="BO41561" s="43"/>
    </row>
    <row r="41562" spans="65:67" ht="18.75" customHeight="1">
      <c r="BM41562" s="1025"/>
      <c r="BO41562" s="43"/>
    </row>
    <row r="41563" spans="65:67" ht="18.75" customHeight="1">
      <c r="BM41563" s="1025"/>
      <c r="BO41563" s="43"/>
    </row>
    <row r="41564" spans="65:67" ht="18.75" customHeight="1">
      <c r="BM41564" s="1025"/>
      <c r="BO41564" s="43"/>
    </row>
    <row r="41565" spans="65:67" ht="18.75" customHeight="1">
      <c r="BM41565" s="1025"/>
      <c r="BO41565" s="43"/>
    </row>
    <row r="41566" spans="65:67" ht="18.75" customHeight="1">
      <c r="BM41566" s="1025"/>
      <c r="BO41566" s="43"/>
    </row>
    <row r="41567" spans="65:67" ht="18.75" customHeight="1">
      <c r="BM41567" s="1025"/>
      <c r="BO41567" s="43"/>
    </row>
    <row r="41568" spans="65:67" ht="18.75" customHeight="1">
      <c r="BM41568" s="1025"/>
      <c r="BO41568" s="43"/>
    </row>
    <row r="41569" spans="65:67" ht="18.75" customHeight="1">
      <c r="BM41569" s="1025"/>
      <c r="BO41569" s="43"/>
    </row>
    <row r="41570" spans="65:67" ht="18.75" customHeight="1">
      <c r="BM41570" s="1025"/>
      <c r="BO41570" s="43"/>
    </row>
    <row r="41571" spans="65:67" ht="18.75" customHeight="1">
      <c r="BM41571" s="1025"/>
      <c r="BO41571" s="43"/>
    </row>
    <row r="41572" spans="65:67" ht="18.75" customHeight="1">
      <c r="BM41572" s="1025"/>
      <c r="BO41572" s="43"/>
    </row>
    <row r="41573" spans="65:67" ht="18.75" customHeight="1">
      <c r="BM41573" s="1025"/>
      <c r="BO41573" s="43"/>
    </row>
    <row r="41574" spans="65:67" ht="18.75" customHeight="1">
      <c r="BM41574" s="1025"/>
      <c r="BO41574" s="43"/>
    </row>
    <row r="41575" spans="65:67" ht="18.75" customHeight="1">
      <c r="BM41575" s="1025"/>
      <c r="BO41575" s="43"/>
    </row>
    <row r="41576" spans="65:67" ht="18.75" customHeight="1">
      <c r="BM41576" s="1025"/>
      <c r="BO41576" s="43"/>
    </row>
    <row r="41577" spans="65:67" ht="18.75" customHeight="1">
      <c r="BM41577" s="1025"/>
      <c r="BO41577" s="43"/>
    </row>
    <row r="41578" spans="65:67" ht="18.75" customHeight="1">
      <c r="BM41578" s="1025"/>
      <c r="BO41578" s="43"/>
    </row>
    <row r="41579" spans="65:67" ht="18.75" customHeight="1">
      <c r="BM41579" s="1025"/>
      <c r="BO41579" s="43"/>
    </row>
    <row r="41580" spans="65:67" ht="18.75" customHeight="1">
      <c r="BM41580" s="1025"/>
      <c r="BO41580" s="43"/>
    </row>
    <row r="41581" spans="65:67" ht="18.75" customHeight="1">
      <c r="BM41581" s="1025"/>
      <c r="BO41581" s="43"/>
    </row>
    <row r="41582" spans="65:67" ht="18.75" customHeight="1">
      <c r="BM41582" s="1025"/>
      <c r="BO41582" s="43"/>
    </row>
    <row r="41583" spans="65:67" ht="18.75" customHeight="1">
      <c r="BM41583" s="1025"/>
      <c r="BO41583" s="43"/>
    </row>
    <row r="41584" spans="65:67" ht="18.75" customHeight="1">
      <c r="BM41584" s="1025"/>
      <c r="BO41584" s="43"/>
    </row>
    <row r="41585" spans="65:67" ht="18.75" customHeight="1">
      <c r="BM41585" s="1025"/>
      <c r="BO41585" s="43"/>
    </row>
    <row r="41586" spans="65:67" ht="18.75" customHeight="1">
      <c r="BM41586" s="1025"/>
      <c r="BO41586" s="43"/>
    </row>
    <row r="41587" spans="65:67" ht="18.75" customHeight="1">
      <c r="BM41587" s="1025"/>
      <c r="BO41587" s="43"/>
    </row>
    <row r="41588" spans="65:67" ht="18.75" customHeight="1">
      <c r="BM41588" s="1025"/>
      <c r="BO41588" s="43"/>
    </row>
    <row r="41589" spans="65:67" ht="18.75" customHeight="1">
      <c r="BM41589" s="1025"/>
      <c r="BO41589" s="43"/>
    </row>
    <row r="41590" spans="65:67" ht="18.75" customHeight="1">
      <c r="BM41590" s="1025"/>
      <c r="BO41590" s="43"/>
    </row>
    <row r="41591" spans="65:67" ht="18.75" customHeight="1">
      <c r="BM41591" s="1025"/>
      <c r="BO41591" s="43"/>
    </row>
    <row r="41592" spans="65:67" ht="18.75" customHeight="1">
      <c r="BM41592" s="1025"/>
      <c r="BO41592" s="43"/>
    </row>
    <row r="41593" spans="65:67" ht="18.75" customHeight="1">
      <c r="BM41593" s="1025"/>
      <c r="BO41593" s="43"/>
    </row>
    <row r="41594" spans="65:67" ht="18.75" customHeight="1">
      <c r="BM41594" s="1025"/>
      <c r="BO41594" s="43"/>
    </row>
    <row r="41595" spans="65:67" ht="18.75" customHeight="1">
      <c r="BM41595" s="1025"/>
      <c r="BO41595" s="43"/>
    </row>
    <row r="41596" spans="65:67" ht="18.75" customHeight="1">
      <c r="BM41596" s="1025"/>
      <c r="BO41596" s="43"/>
    </row>
    <row r="41597" spans="65:67" ht="18.75" customHeight="1">
      <c r="BM41597" s="1025"/>
      <c r="BO41597" s="43"/>
    </row>
    <row r="41598" spans="65:67" ht="18.75" customHeight="1">
      <c r="BM41598" s="1025"/>
      <c r="BO41598" s="43"/>
    </row>
    <row r="41599" spans="65:67" ht="18.75" customHeight="1">
      <c r="BM41599" s="1025"/>
      <c r="BO41599" s="43"/>
    </row>
    <row r="41600" spans="65:67" ht="18.75" customHeight="1">
      <c r="BM41600" s="1025"/>
      <c r="BO41600" s="43"/>
    </row>
    <row r="41601" spans="65:67" ht="18.75" customHeight="1">
      <c r="BM41601" s="1025"/>
      <c r="BO41601" s="43"/>
    </row>
    <row r="41602" spans="65:67" ht="18.75" customHeight="1">
      <c r="BM41602" s="1025"/>
      <c r="BO41602" s="43"/>
    </row>
    <row r="41603" spans="65:67" ht="18.75" customHeight="1">
      <c r="BM41603" s="1025"/>
      <c r="BO41603" s="43"/>
    </row>
    <row r="41604" spans="65:67" ht="18.75" customHeight="1">
      <c r="BM41604" s="1025"/>
      <c r="BO41604" s="43"/>
    </row>
    <row r="41605" spans="65:67" ht="18.75" customHeight="1">
      <c r="BM41605" s="1025"/>
      <c r="BO41605" s="43"/>
    </row>
    <row r="41606" spans="65:67" ht="18.75" customHeight="1">
      <c r="BM41606" s="1025"/>
      <c r="BO41606" s="43"/>
    </row>
    <row r="41607" spans="65:67" ht="18.75" customHeight="1">
      <c r="BM41607" s="1025"/>
      <c r="BO41607" s="43"/>
    </row>
    <row r="41608" spans="65:67" ht="18.75" customHeight="1">
      <c r="BM41608" s="1025"/>
      <c r="BO41608" s="43"/>
    </row>
    <row r="41609" spans="65:67" ht="18.75" customHeight="1">
      <c r="BM41609" s="1025"/>
      <c r="BO41609" s="43"/>
    </row>
    <row r="41610" spans="65:67" ht="18.75" customHeight="1">
      <c r="BM41610" s="1025"/>
      <c r="BO41610" s="43"/>
    </row>
    <row r="41611" spans="65:67" ht="18.75" customHeight="1">
      <c r="BM41611" s="1025"/>
      <c r="BO41611" s="43"/>
    </row>
    <row r="41612" spans="65:67" ht="18.75" customHeight="1">
      <c r="BM41612" s="1025"/>
      <c r="BO41612" s="43"/>
    </row>
    <row r="41613" spans="65:67" ht="18.75" customHeight="1">
      <c r="BM41613" s="1025"/>
      <c r="BO41613" s="43"/>
    </row>
    <row r="41614" spans="65:67" ht="18.75" customHeight="1">
      <c r="BM41614" s="1025"/>
      <c r="BO41614" s="43"/>
    </row>
    <row r="41615" spans="65:67" ht="18.75" customHeight="1">
      <c r="BM41615" s="1025"/>
      <c r="BO41615" s="43"/>
    </row>
    <row r="41616" spans="65:67" ht="18.75" customHeight="1">
      <c r="BM41616" s="1025"/>
      <c r="BO41616" s="43"/>
    </row>
    <row r="41617" spans="65:67" ht="18.75" customHeight="1">
      <c r="BM41617" s="1025"/>
      <c r="BO41617" s="43"/>
    </row>
    <row r="41618" spans="65:67" ht="18.75" customHeight="1">
      <c r="BM41618" s="1025"/>
      <c r="BO41618" s="43"/>
    </row>
    <row r="41619" spans="65:67" ht="18.75" customHeight="1">
      <c r="BM41619" s="1025"/>
      <c r="BO41619" s="43"/>
    </row>
    <row r="41620" spans="65:67" ht="18.75" customHeight="1">
      <c r="BM41620" s="1025"/>
      <c r="BO41620" s="43"/>
    </row>
    <row r="41621" spans="65:67" ht="18.75" customHeight="1">
      <c r="BM41621" s="1025"/>
      <c r="BO41621" s="43"/>
    </row>
    <row r="41622" spans="65:67" ht="18.75" customHeight="1">
      <c r="BM41622" s="1025"/>
      <c r="BO41622" s="43"/>
    </row>
    <row r="41623" spans="65:67" ht="18.75" customHeight="1">
      <c r="BM41623" s="1025"/>
      <c r="BO41623" s="43"/>
    </row>
    <row r="41624" spans="65:67" ht="18.75" customHeight="1">
      <c r="BM41624" s="1025"/>
      <c r="BO41624" s="43"/>
    </row>
    <row r="41625" spans="65:67" ht="18.75" customHeight="1">
      <c r="BM41625" s="1025"/>
      <c r="BO41625" s="43"/>
    </row>
    <row r="41626" spans="65:67" ht="18.75" customHeight="1">
      <c r="BM41626" s="1025"/>
      <c r="BO41626" s="43"/>
    </row>
    <row r="41627" spans="65:67" ht="18.75" customHeight="1">
      <c r="BM41627" s="1025"/>
      <c r="BO41627" s="43"/>
    </row>
    <row r="41628" spans="65:67" ht="18.75" customHeight="1">
      <c r="BM41628" s="1025"/>
      <c r="BO41628" s="43"/>
    </row>
    <row r="41629" spans="65:67" ht="18.75" customHeight="1">
      <c r="BM41629" s="1025"/>
      <c r="BO41629" s="43"/>
    </row>
    <row r="41630" spans="65:67" ht="18.75" customHeight="1">
      <c r="BM41630" s="1025"/>
      <c r="BO41630" s="43"/>
    </row>
    <row r="41631" spans="65:67" ht="18.75" customHeight="1">
      <c r="BM41631" s="1025"/>
      <c r="BO41631" s="43"/>
    </row>
    <row r="41632" spans="65:67" ht="18.75" customHeight="1">
      <c r="BM41632" s="1025"/>
      <c r="BO41632" s="43"/>
    </row>
    <row r="41633" spans="65:67" ht="18.75" customHeight="1">
      <c r="BM41633" s="1025"/>
      <c r="BO41633" s="43"/>
    </row>
    <row r="41634" spans="65:67" ht="18.75" customHeight="1">
      <c r="BM41634" s="1025"/>
      <c r="BO41634" s="43"/>
    </row>
    <row r="41635" spans="65:67" ht="18.75" customHeight="1">
      <c r="BM41635" s="1025"/>
      <c r="BO41635" s="43"/>
    </row>
    <row r="41636" spans="65:67" ht="18.75" customHeight="1">
      <c r="BM41636" s="1025"/>
      <c r="BO41636" s="43"/>
    </row>
    <row r="41637" spans="65:67" ht="18.75" customHeight="1">
      <c r="BM41637" s="1025"/>
      <c r="BO41637" s="43"/>
    </row>
    <row r="41638" spans="65:67" ht="18.75" customHeight="1">
      <c r="BM41638" s="1025"/>
      <c r="BO41638" s="43"/>
    </row>
    <row r="41639" spans="65:67" ht="18.75" customHeight="1">
      <c r="BM41639" s="1025"/>
      <c r="BO41639" s="43"/>
    </row>
    <row r="41640" spans="65:67" ht="18.75" customHeight="1">
      <c r="BM41640" s="1025"/>
      <c r="BO41640" s="43"/>
    </row>
    <row r="41641" spans="65:67" ht="18.75" customHeight="1">
      <c r="BM41641" s="1025"/>
      <c r="BO41641" s="43"/>
    </row>
    <row r="41642" spans="65:67" ht="18.75" customHeight="1">
      <c r="BM41642" s="1025"/>
      <c r="BO41642" s="43"/>
    </row>
    <row r="41643" spans="65:67" ht="18.75" customHeight="1">
      <c r="BM41643" s="1025"/>
      <c r="BO41643" s="43"/>
    </row>
    <row r="41644" spans="65:67" ht="18.75" customHeight="1">
      <c r="BM41644" s="1025"/>
      <c r="BO41644" s="43"/>
    </row>
    <row r="41645" spans="65:67" ht="18.75" customHeight="1">
      <c r="BM41645" s="1025"/>
      <c r="BO41645" s="43"/>
    </row>
    <row r="41646" spans="65:67" ht="18.75" customHeight="1">
      <c r="BM41646" s="1025"/>
      <c r="BO41646" s="43"/>
    </row>
    <row r="41647" spans="65:67" ht="18.75" customHeight="1">
      <c r="BM41647" s="1025"/>
      <c r="BO41647" s="43"/>
    </row>
    <row r="41648" spans="65:67" ht="18.75" customHeight="1">
      <c r="BM41648" s="1025"/>
      <c r="BO41648" s="43"/>
    </row>
    <row r="41649" spans="65:67" ht="18.75" customHeight="1">
      <c r="BM41649" s="1025"/>
      <c r="BO41649" s="43"/>
    </row>
    <row r="41650" spans="65:67" ht="18.75" customHeight="1">
      <c r="BM41650" s="1025"/>
      <c r="BO41650" s="43"/>
    </row>
    <row r="41651" spans="65:67" ht="18.75" customHeight="1">
      <c r="BM41651" s="1025"/>
      <c r="BO41651" s="43"/>
    </row>
    <row r="41652" spans="65:67" ht="18.75" customHeight="1">
      <c r="BM41652" s="1025"/>
      <c r="BO41652" s="43"/>
    </row>
    <row r="41653" spans="65:67" ht="18.75" customHeight="1">
      <c r="BM41653" s="1025"/>
      <c r="BO41653" s="43"/>
    </row>
    <row r="41654" spans="65:67" ht="18.75" customHeight="1">
      <c r="BM41654" s="1025"/>
      <c r="BO41654" s="43"/>
    </row>
    <row r="41655" spans="65:67" ht="18.75" customHeight="1">
      <c r="BM41655" s="1025"/>
      <c r="BO41655" s="43"/>
    </row>
    <row r="41656" spans="65:67" ht="18.75" customHeight="1">
      <c r="BM41656" s="1025"/>
      <c r="BO41656" s="43"/>
    </row>
    <row r="41657" spans="65:67" ht="18.75" customHeight="1">
      <c r="BM41657" s="1025"/>
      <c r="BO41657" s="43"/>
    </row>
    <row r="41658" spans="65:67" ht="18.75" customHeight="1">
      <c r="BM41658" s="1025"/>
      <c r="BO41658" s="43"/>
    </row>
    <row r="41659" spans="65:67" ht="18.75" customHeight="1">
      <c r="BM41659" s="1025"/>
      <c r="BO41659" s="43"/>
    </row>
    <row r="41660" spans="65:67" ht="18.75" customHeight="1">
      <c r="BM41660" s="1025"/>
      <c r="BO41660" s="43"/>
    </row>
    <row r="41661" spans="65:67" ht="18.75" customHeight="1">
      <c r="BM41661" s="1025"/>
      <c r="BO41661" s="43"/>
    </row>
    <row r="41662" spans="65:67" ht="18.75" customHeight="1">
      <c r="BM41662" s="1025"/>
      <c r="BO41662" s="43"/>
    </row>
    <row r="41663" spans="65:67" ht="18.75" customHeight="1">
      <c r="BM41663" s="1025"/>
      <c r="BO41663" s="43"/>
    </row>
    <row r="41664" spans="65:67" ht="18.75" customHeight="1">
      <c r="BM41664" s="1025"/>
      <c r="BO41664" s="43"/>
    </row>
    <row r="41665" spans="65:67" ht="18.75" customHeight="1">
      <c r="BM41665" s="1025"/>
      <c r="BO41665" s="43"/>
    </row>
    <row r="41666" spans="65:67" ht="18.75" customHeight="1">
      <c r="BM41666" s="1025"/>
      <c r="BO41666" s="43"/>
    </row>
    <row r="41667" spans="65:67" ht="18.75" customHeight="1">
      <c r="BM41667" s="1025"/>
      <c r="BO41667" s="43"/>
    </row>
    <row r="41668" spans="65:67" ht="18.75" customHeight="1">
      <c r="BM41668" s="1025"/>
      <c r="BO41668" s="43"/>
    </row>
    <row r="41669" spans="65:67" ht="18.75" customHeight="1">
      <c r="BM41669" s="1025"/>
      <c r="BO41669" s="43"/>
    </row>
    <row r="41670" spans="65:67" ht="18.75" customHeight="1">
      <c r="BM41670" s="1025"/>
      <c r="BO41670" s="43"/>
    </row>
    <row r="41671" spans="65:67" ht="18.75" customHeight="1">
      <c r="BM41671" s="1025"/>
      <c r="BO41671" s="43"/>
    </row>
    <row r="41672" spans="65:67" ht="18.75" customHeight="1">
      <c r="BM41672" s="1025"/>
      <c r="BO41672" s="43"/>
    </row>
    <row r="41673" spans="65:67" ht="18.75" customHeight="1">
      <c r="BM41673" s="1025"/>
      <c r="BO41673" s="43"/>
    </row>
    <row r="41674" spans="65:67" ht="18.75" customHeight="1">
      <c r="BM41674" s="1025"/>
      <c r="BO41674" s="43"/>
    </row>
    <row r="41675" spans="65:67" ht="18.75" customHeight="1">
      <c r="BM41675" s="1025"/>
      <c r="BO41675" s="43"/>
    </row>
    <row r="41676" spans="65:67" ht="18.75" customHeight="1">
      <c r="BM41676" s="1025"/>
      <c r="BO41676" s="43"/>
    </row>
    <row r="41677" spans="65:67" ht="18.75" customHeight="1">
      <c r="BM41677" s="1025"/>
      <c r="BO41677" s="43"/>
    </row>
    <row r="41678" spans="65:67" ht="18.75" customHeight="1">
      <c r="BM41678" s="1025"/>
      <c r="BO41678" s="43"/>
    </row>
    <row r="41679" spans="65:67" ht="18.75" customHeight="1">
      <c r="BM41679" s="1025"/>
      <c r="BO41679" s="43"/>
    </row>
    <row r="41680" spans="65:67" ht="18.75" customHeight="1">
      <c r="BM41680" s="1025"/>
      <c r="BO41680" s="43"/>
    </row>
    <row r="41681" spans="65:67" ht="18.75" customHeight="1">
      <c r="BM41681" s="1025"/>
      <c r="BO41681" s="43"/>
    </row>
    <row r="41682" spans="65:67" ht="18.75" customHeight="1">
      <c r="BM41682" s="1025"/>
      <c r="BO41682" s="43"/>
    </row>
    <row r="41683" spans="65:67" ht="18.75" customHeight="1">
      <c r="BM41683" s="1025"/>
      <c r="BO41683" s="43"/>
    </row>
    <row r="41684" spans="65:67" ht="18.75" customHeight="1">
      <c r="BM41684" s="1025"/>
      <c r="BO41684" s="43"/>
    </row>
    <row r="41685" spans="65:67" ht="18.75" customHeight="1">
      <c r="BM41685" s="1025"/>
      <c r="BO41685" s="43"/>
    </row>
    <row r="41686" spans="65:67" ht="18.75" customHeight="1">
      <c r="BM41686" s="1025"/>
      <c r="BO41686" s="43"/>
    </row>
    <row r="41687" spans="65:67" ht="18.75" customHeight="1">
      <c r="BM41687" s="1025"/>
      <c r="BO41687" s="43"/>
    </row>
    <row r="41688" spans="65:67" ht="18.75" customHeight="1">
      <c r="BM41688" s="1025"/>
      <c r="BO41688" s="43"/>
    </row>
    <row r="41689" spans="65:67" ht="18.75" customHeight="1">
      <c r="BM41689" s="1025"/>
      <c r="BO41689" s="43"/>
    </row>
    <row r="41690" spans="65:67" ht="18.75" customHeight="1">
      <c r="BM41690" s="1025"/>
      <c r="BO41690" s="43"/>
    </row>
    <row r="41691" spans="65:67" ht="18.75" customHeight="1">
      <c r="BM41691" s="1025"/>
      <c r="BO41691" s="43"/>
    </row>
    <row r="41692" spans="65:67" ht="18.75" customHeight="1">
      <c r="BM41692" s="1025"/>
      <c r="BO41692" s="43"/>
    </row>
    <row r="41693" spans="65:67" ht="18.75" customHeight="1">
      <c r="BM41693" s="1025"/>
      <c r="BO41693" s="43"/>
    </row>
    <row r="41694" spans="65:67" ht="18.75" customHeight="1">
      <c r="BM41694" s="1025"/>
      <c r="BO41694" s="43"/>
    </row>
    <row r="41695" spans="65:67" ht="18.75" customHeight="1">
      <c r="BM41695" s="1025"/>
      <c r="BO41695" s="43"/>
    </row>
    <row r="41696" spans="65:67" ht="18.75" customHeight="1">
      <c r="BM41696" s="1025"/>
      <c r="BO41696" s="43"/>
    </row>
    <row r="41697" spans="65:67" ht="18.75" customHeight="1">
      <c r="BM41697" s="1025"/>
      <c r="BO41697" s="43"/>
    </row>
    <row r="41698" spans="65:67" ht="18.75" customHeight="1">
      <c r="BM41698" s="1025"/>
      <c r="BO41698" s="43"/>
    </row>
    <row r="41699" spans="65:67" ht="18.75" customHeight="1">
      <c r="BM41699" s="1025"/>
      <c r="BO41699" s="43"/>
    </row>
    <row r="41700" spans="65:67" ht="18.75" customHeight="1">
      <c r="BM41700" s="1025"/>
      <c r="BO41700" s="43"/>
    </row>
    <row r="41701" spans="65:67" ht="18.75" customHeight="1">
      <c r="BM41701" s="1025"/>
      <c r="BO41701" s="43"/>
    </row>
    <row r="41702" spans="65:67" ht="18.75" customHeight="1">
      <c r="BM41702" s="1025"/>
      <c r="BO41702" s="43"/>
    </row>
    <row r="41703" spans="65:67" ht="18.75" customHeight="1">
      <c r="BM41703" s="1025"/>
      <c r="BO41703" s="43"/>
    </row>
    <row r="41704" spans="65:67" ht="18.75" customHeight="1">
      <c r="BM41704" s="1025"/>
      <c r="BO41704" s="43"/>
    </row>
    <row r="41705" spans="65:67" ht="18.75" customHeight="1">
      <c r="BM41705" s="1025"/>
      <c r="BO41705" s="43"/>
    </row>
    <row r="41706" spans="65:67" ht="18.75" customHeight="1">
      <c r="BM41706" s="1025"/>
      <c r="BO41706" s="43"/>
    </row>
    <row r="41707" spans="65:67" ht="18.75" customHeight="1">
      <c r="BM41707" s="1025"/>
      <c r="BO41707" s="43"/>
    </row>
    <row r="41708" spans="65:67" ht="18.75" customHeight="1">
      <c r="BM41708" s="1025"/>
      <c r="BO41708" s="43"/>
    </row>
    <row r="41709" spans="65:67" ht="18.75" customHeight="1">
      <c r="BM41709" s="1025"/>
      <c r="BO41709" s="43"/>
    </row>
    <row r="41710" spans="65:67" ht="18.75" customHeight="1">
      <c r="BM41710" s="1025"/>
      <c r="BO41710" s="43"/>
    </row>
    <row r="41711" spans="65:67" ht="18.75" customHeight="1">
      <c r="BM41711" s="1025"/>
      <c r="BO41711" s="43"/>
    </row>
    <row r="41712" spans="65:67" ht="18.75" customHeight="1">
      <c r="BM41712" s="1025"/>
      <c r="BO41712" s="43"/>
    </row>
    <row r="41713" spans="65:67" ht="18.75" customHeight="1">
      <c r="BM41713" s="1025"/>
      <c r="BO41713" s="43"/>
    </row>
    <row r="41714" spans="65:67" ht="18.75" customHeight="1">
      <c r="BM41714" s="1025"/>
      <c r="BO41714" s="43"/>
    </row>
    <row r="41715" spans="65:67" ht="18.75" customHeight="1">
      <c r="BM41715" s="1025"/>
      <c r="BO41715" s="43"/>
    </row>
    <row r="41716" spans="65:67" ht="18.75" customHeight="1">
      <c r="BM41716" s="1025"/>
      <c r="BO41716" s="43"/>
    </row>
    <row r="41717" spans="65:67" ht="18.75" customHeight="1">
      <c r="BM41717" s="1025"/>
      <c r="BO41717" s="43"/>
    </row>
    <row r="41718" spans="65:67" ht="18.75" customHeight="1">
      <c r="BM41718" s="1025"/>
      <c r="BO41718" s="43"/>
    </row>
    <row r="41719" spans="65:67" ht="18.75" customHeight="1">
      <c r="BM41719" s="1025"/>
      <c r="BO41719" s="43"/>
    </row>
    <row r="41720" spans="65:67" ht="18.75" customHeight="1">
      <c r="BM41720" s="1025"/>
      <c r="BO41720" s="43"/>
    </row>
    <row r="41721" spans="65:67" ht="18.75" customHeight="1">
      <c r="BM41721" s="1025"/>
      <c r="BO41721" s="43"/>
    </row>
    <row r="41722" spans="65:67" ht="18.75" customHeight="1">
      <c r="BM41722" s="1025"/>
      <c r="BO41722" s="43"/>
    </row>
    <row r="41723" spans="65:67" ht="18.75" customHeight="1">
      <c r="BM41723" s="1025"/>
      <c r="BO41723" s="43"/>
    </row>
    <row r="41724" spans="65:67" ht="18.75" customHeight="1">
      <c r="BM41724" s="1025"/>
      <c r="BO41724" s="43"/>
    </row>
    <row r="41725" spans="65:67" ht="18.75" customHeight="1">
      <c r="BM41725" s="1025"/>
      <c r="BO41725" s="43"/>
    </row>
    <row r="41726" spans="65:67" ht="18.75" customHeight="1">
      <c r="BM41726" s="1025"/>
      <c r="BO41726" s="43"/>
    </row>
    <row r="41727" spans="65:67" ht="18.75" customHeight="1">
      <c r="BM41727" s="1025"/>
      <c r="BO41727" s="43"/>
    </row>
    <row r="41728" spans="65:67" ht="18.75" customHeight="1">
      <c r="BM41728" s="1025"/>
      <c r="BO41728" s="43"/>
    </row>
    <row r="41729" spans="65:67" ht="18.75" customHeight="1">
      <c r="BM41729" s="1025"/>
      <c r="BO41729" s="43"/>
    </row>
    <row r="41730" spans="65:67" ht="18.75" customHeight="1">
      <c r="BM41730" s="1025"/>
      <c r="BO41730" s="43"/>
    </row>
    <row r="41731" spans="65:67" ht="18.75" customHeight="1">
      <c r="BM41731" s="1025"/>
      <c r="BO41731" s="43"/>
    </row>
    <row r="41732" spans="65:67" ht="18.75" customHeight="1">
      <c r="BM41732" s="1025"/>
      <c r="BO41732" s="43"/>
    </row>
    <row r="41733" spans="65:67" ht="18.75" customHeight="1">
      <c r="BM41733" s="1025"/>
      <c r="BO41733" s="43"/>
    </row>
    <row r="41734" spans="65:67" ht="18.75" customHeight="1">
      <c r="BM41734" s="1025"/>
      <c r="BO41734" s="43"/>
    </row>
    <row r="41735" spans="65:67" ht="18.75" customHeight="1">
      <c r="BM41735" s="1025"/>
      <c r="BO41735" s="43"/>
    </row>
    <row r="41736" spans="65:67" ht="18.75" customHeight="1">
      <c r="BM41736" s="1025"/>
      <c r="BO41736" s="43"/>
    </row>
    <row r="41737" spans="65:67" ht="18.75" customHeight="1">
      <c r="BM41737" s="1025"/>
      <c r="BO41737" s="43"/>
    </row>
    <row r="41738" spans="65:67" ht="18.75" customHeight="1">
      <c r="BM41738" s="1025"/>
      <c r="BO41738" s="43"/>
    </row>
    <row r="41739" spans="65:67" ht="18.75" customHeight="1">
      <c r="BM41739" s="1025"/>
      <c r="BO41739" s="43"/>
    </row>
    <row r="41740" spans="65:67" ht="18.75" customHeight="1">
      <c r="BM41740" s="1025"/>
      <c r="BO41740" s="43"/>
    </row>
    <row r="41741" spans="65:67" ht="18.75" customHeight="1">
      <c r="BM41741" s="1025"/>
      <c r="BO41741" s="43"/>
    </row>
    <row r="41742" spans="65:67" ht="18.75" customHeight="1">
      <c r="BM41742" s="1025"/>
      <c r="BO41742" s="43"/>
    </row>
    <row r="41743" spans="65:67" ht="18.75" customHeight="1">
      <c r="BM41743" s="1025"/>
      <c r="BO41743" s="43"/>
    </row>
    <row r="41744" spans="65:67" ht="18.75" customHeight="1">
      <c r="BM41744" s="1025"/>
      <c r="BO41744" s="43"/>
    </row>
    <row r="41745" spans="65:67" ht="18.75" customHeight="1">
      <c r="BM41745" s="1025"/>
      <c r="BO41745" s="43"/>
    </row>
    <row r="41746" spans="65:67" ht="18.75" customHeight="1">
      <c r="BM41746" s="1025"/>
      <c r="BO41746" s="43"/>
    </row>
    <row r="41747" spans="65:67" ht="18.75" customHeight="1">
      <c r="BM41747" s="1025"/>
      <c r="BO41747" s="43"/>
    </row>
    <row r="41748" spans="65:67" ht="18.75" customHeight="1">
      <c r="BM41748" s="1025"/>
      <c r="BO41748" s="43"/>
    </row>
    <row r="41749" spans="65:67" ht="18.75" customHeight="1">
      <c r="BM41749" s="1025"/>
      <c r="BO41749" s="43"/>
    </row>
    <row r="41750" spans="65:67" ht="18.75" customHeight="1">
      <c r="BM41750" s="1025"/>
      <c r="BO41750" s="43"/>
    </row>
    <row r="41751" spans="65:67" ht="18.75" customHeight="1">
      <c r="BM41751" s="1025"/>
      <c r="BO41751" s="43"/>
    </row>
    <row r="41752" spans="65:67" ht="18.75" customHeight="1">
      <c r="BM41752" s="1025"/>
      <c r="BO41752" s="43"/>
    </row>
    <row r="41753" spans="65:67" ht="18.75" customHeight="1">
      <c r="BM41753" s="1025"/>
      <c r="BO41753" s="43"/>
    </row>
    <row r="41754" spans="65:67" ht="18.75" customHeight="1">
      <c r="BM41754" s="1025"/>
      <c r="BO41754" s="43"/>
    </row>
    <row r="41755" spans="65:67" ht="18.75" customHeight="1">
      <c r="BM41755" s="1025"/>
      <c r="BO41755" s="43"/>
    </row>
    <row r="41756" spans="65:67" ht="18.75" customHeight="1">
      <c r="BM41756" s="1025"/>
      <c r="BO41756" s="43"/>
    </row>
    <row r="41757" spans="65:67" ht="18.75" customHeight="1">
      <c r="BM41757" s="1025"/>
      <c r="BO41757" s="43"/>
    </row>
    <row r="41758" spans="65:67" ht="18.75" customHeight="1">
      <c r="BM41758" s="1025"/>
      <c r="BO41758" s="43"/>
    </row>
    <row r="41759" spans="65:67" ht="18.75" customHeight="1">
      <c r="BM41759" s="1025"/>
      <c r="BO41759" s="43"/>
    </row>
    <row r="41760" spans="65:67" ht="18.75" customHeight="1">
      <c r="BM41760" s="1025"/>
      <c r="BO41760" s="43"/>
    </row>
    <row r="41761" spans="65:67" ht="18.75" customHeight="1">
      <c r="BM41761" s="1025"/>
      <c r="BO41761" s="43"/>
    </row>
    <row r="41762" spans="65:67" ht="18.75" customHeight="1">
      <c r="BM41762" s="1025"/>
      <c r="BO41762" s="43"/>
    </row>
    <row r="41763" spans="65:67" ht="18.75" customHeight="1">
      <c r="BM41763" s="1025"/>
      <c r="BO41763" s="43"/>
    </row>
    <row r="41764" spans="65:67" ht="18.75" customHeight="1">
      <c r="BM41764" s="1025"/>
      <c r="BO41764" s="43"/>
    </row>
    <row r="41765" spans="65:67" ht="18.75" customHeight="1">
      <c r="BM41765" s="1025"/>
      <c r="BO41765" s="43"/>
    </row>
    <row r="41766" spans="65:67" ht="18.75" customHeight="1">
      <c r="BM41766" s="1025"/>
      <c r="BO41766" s="43"/>
    </row>
    <row r="41767" spans="65:67" ht="18.75" customHeight="1">
      <c r="BM41767" s="1025"/>
      <c r="BO41767" s="43"/>
    </row>
    <row r="41768" spans="65:67" ht="18.75" customHeight="1">
      <c r="BM41768" s="1025"/>
      <c r="BO41768" s="43"/>
    </row>
    <row r="41769" spans="65:67" ht="18.75" customHeight="1">
      <c r="BM41769" s="1025"/>
      <c r="BO41769" s="43"/>
    </row>
    <row r="41770" spans="65:67" ht="18.75" customHeight="1">
      <c r="BM41770" s="1025"/>
      <c r="BO41770" s="43"/>
    </row>
    <row r="41771" spans="65:67" ht="18.75" customHeight="1">
      <c r="BM41771" s="1025"/>
      <c r="BO41771" s="43"/>
    </row>
    <row r="41772" spans="65:67" ht="18.75" customHeight="1">
      <c r="BM41772" s="1025"/>
      <c r="BO41772" s="43"/>
    </row>
    <row r="41773" spans="65:67" ht="18.75" customHeight="1">
      <c r="BM41773" s="1025"/>
      <c r="BO41773" s="43"/>
    </row>
    <row r="41774" spans="65:67" ht="18.75" customHeight="1">
      <c r="BM41774" s="1025"/>
      <c r="BO41774" s="43"/>
    </row>
    <row r="41775" spans="65:67" ht="18.75" customHeight="1">
      <c r="BM41775" s="1025"/>
      <c r="BO41775" s="43"/>
    </row>
    <row r="41776" spans="65:67" ht="18.75" customHeight="1">
      <c r="BM41776" s="1025"/>
      <c r="BO41776" s="43"/>
    </row>
    <row r="41777" spans="65:67" ht="18.75" customHeight="1">
      <c r="BM41777" s="1025"/>
      <c r="BO41777" s="43"/>
    </row>
    <row r="41778" spans="65:67" ht="18.75" customHeight="1">
      <c r="BM41778" s="1025"/>
      <c r="BO41778" s="43"/>
    </row>
    <row r="41779" spans="65:67" ht="18.75" customHeight="1">
      <c r="BM41779" s="1025"/>
      <c r="BO41779" s="43"/>
    </row>
    <row r="41780" spans="65:67" ht="18.75" customHeight="1">
      <c r="BM41780" s="1025"/>
      <c r="BO41780" s="43"/>
    </row>
    <row r="41781" spans="65:67" ht="18.75" customHeight="1">
      <c r="BM41781" s="1025"/>
      <c r="BO41781" s="43"/>
    </row>
    <row r="41782" spans="65:67" ht="18.75" customHeight="1">
      <c r="BM41782" s="1025"/>
      <c r="BO41782" s="43"/>
    </row>
    <row r="41783" spans="65:67" ht="18.75" customHeight="1">
      <c r="BM41783" s="1025"/>
      <c r="BO41783" s="43"/>
    </row>
    <row r="41784" spans="65:67" ht="18.75" customHeight="1">
      <c r="BM41784" s="1025"/>
      <c r="BO41784" s="43"/>
    </row>
    <row r="41785" spans="65:67" ht="18.75" customHeight="1">
      <c r="BM41785" s="1025"/>
      <c r="BO41785" s="43"/>
    </row>
    <row r="41786" spans="65:67" ht="18.75" customHeight="1">
      <c r="BM41786" s="1025"/>
      <c r="BO41786" s="43"/>
    </row>
    <row r="41787" spans="65:67" ht="18.75" customHeight="1">
      <c r="BM41787" s="1025"/>
      <c r="BO41787" s="43"/>
    </row>
    <row r="41788" spans="65:67" ht="18.75" customHeight="1">
      <c r="BM41788" s="1025"/>
      <c r="BO41788" s="43"/>
    </row>
    <row r="41789" spans="65:67" ht="18.75" customHeight="1">
      <c r="BM41789" s="1025"/>
      <c r="BO41789" s="43"/>
    </row>
    <row r="41790" spans="65:67" ht="18.75" customHeight="1">
      <c r="BM41790" s="1025"/>
      <c r="BO41790" s="43"/>
    </row>
    <row r="41791" spans="65:67" ht="18.75" customHeight="1">
      <c r="BM41791" s="1025"/>
      <c r="BO41791" s="43"/>
    </row>
    <row r="41792" spans="65:67" ht="18.75" customHeight="1">
      <c r="BM41792" s="1025"/>
      <c r="BO41792" s="43"/>
    </row>
    <row r="41793" spans="65:67" ht="18.75" customHeight="1">
      <c r="BM41793" s="1025"/>
      <c r="BO41793" s="43"/>
    </row>
    <row r="41794" spans="65:67" ht="18.75" customHeight="1">
      <c r="BM41794" s="1025"/>
      <c r="BO41794" s="43"/>
    </row>
    <row r="41795" spans="65:67" ht="18.75" customHeight="1">
      <c r="BM41795" s="1025"/>
      <c r="BO41795" s="43"/>
    </row>
    <row r="41796" spans="65:67" ht="18.75" customHeight="1">
      <c r="BM41796" s="1025"/>
      <c r="BO41796" s="43"/>
    </row>
    <row r="41797" spans="65:67" ht="18.75" customHeight="1">
      <c r="BM41797" s="1025"/>
      <c r="BO41797" s="43"/>
    </row>
    <row r="41798" spans="65:67" ht="18.75" customHeight="1">
      <c r="BM41798" s="1025"/>
      <c r="BO41798" s="43"/>
    </row>
    <row r="41799" spans="65:67" ht="18.75" customHeight="1">
      <c r="BM41799" s="1025"/>
      <c r="BO41799" s="43"/>
    </row>
    <row r="41800" spans="65:67" ht="18.75" customHeight="1">
      <c r="BM41800" s="1025"/>
      <c r="BO41800" s="43"/>
    </row>
    <row r="41801" spans="65:67" ht="18.75" customHeight="1">
      <c r="BM41801" s="1025"/>
      <c r="BO41801" s="43"/>
    </row>
    <row r="41802" spans="65:67" ht="18.75" customHeight="1">
      <c r="BM41802" s="1025"/>
      <c r="BO41802" s="43"/>
    </row>
    <row r="41803" spans="65:67" ht="18.75" customHeight="1">
      <c r="BM41803" s="1025"/>
      <c r="BO41803" s="43"/>
    </row>
    <row r="41804" spans="65:67" ht="18.75" customHeight="1">
      <c r="BM41804" s="1025"/>
      <c r="BO41804" s="43"/>
    </row>
    <row r="41805" spans="65:67" ht="18.75" customHeight="1">
      <c r="BM41805" s="1025"/>
      <c r="BO41805" s="43"/>
    </row>
    <row r="41806" spans="65:67" ht="18.75" customHeight="1">
      <c r="BM41806" s="1025"/>
      <c r="BO41806" s="43"/>
    </row>
    <row r="41807" spans="65:67" ht="18.75" customHeight="1">
      <c r="BM41807" s="1025"/>
      <c r="BO41807" s="43"/>
    </row>
    <row r="41808" spans="65:67" ht="18.75" customHeight="1">
      <c r="BM41808" s="1025"/>
      <c r="BO41808" s="43"/>
    </row>
    <row r="41809" spans="65:67" ht="18.75" customHeight="1">
      <c r="BM41809" s="1025"/>
      <c r="BO41809" s="43"/>
    </row>
    <row r="41810" spans="65:67" ht="18.75" customHeight="1">
      <c r="BM41810" s="1025"/>
      <c r="BO41810" s="43"/>
    </row>
    <row r="41811" spans="65:67" ht="18.75" customHeight="1">
      <c r="BM41811" s="1025"/>
      <c r="BO41811" s="43"/>
    </row>
    <row r="41812" spans="65:67" ht="18.75" customHeight="1">
      <c r="BM41812" s="1025"/>
      <c r="BO41812" s="43"/>
    </row>
    <row r="41813" spans="65:67" ht="18.75" customHeight="1">
      <c r="BM41813" s="1025"/>
      <c r="BO41813" s="43"/>
    </row>
    <row r="41814" spans="65:67" ht="18.75" customHeight="1">
      <c r="BM41814" s="1025"/>
      <c r="BO41814" s="43"/>
    </row>
    <row r="41815" spans="65:67" ht="18.75" customHeight="1">
      <c r="BM41815" s="1025"/>
      <c r="BO41815" s="43"/>
    </row>
    <row r="41816" spans="65:67" ht="18.75" customHeight="1">
      <c r="BM41816" s="1025"/>
      <c r="BO41816" s="43"/>
    </row>
    <row r="41817" spans="65:67" ht="18.75" customHeight="1">
      <c r="BM41817" s="1025"/>
      <c r="BO41817" s="43"/>
    </row>
    <row r="41818" spans="65:67" ht="18.75" customHeight="1">
      <c r="BM41818" s="1025"/>
      <c r="BO41818" s="43"/>
    </row>
    <row r="41819" spans="65:67" ht="18.75" customHeight="1">
      <c r="BM41819" s="1025"/>
      <c r="BO41819" s="43"/>
    </row>
    <row r="41820" spans="65:67" ht="18.75" customHeight="1">
      <c r="BM41820" s="1025"/>
      <c r="BO41820" s="43"/>
    </row>
    <row r="41821" spans="65:67" ht="18.75" customHeight="1">
      <c r="BM41821" s="1025"/>
      <c r="BO41821" s="43"/>
    </row>
    <row r="41822" spans="65:67" ht="18.75" customHeight="1">
      <c r="BM41822" s="1025"/>
      <c r="BO41822" s="43"/>
    </row>
    <row r="41823" spans="65:67" ht="18.75" customHeight="1">
      <c r="BM41823" s="1025"/>
      <c r="BO41823" s="43"/>
    </row>
    <row r="41824" spans="65:67" ht="18.75" customHeight="1">
      <c r="BM41824" s="1025"/>
      <c r="BO41824" s="43"/>
    </row>
    <row r="41825" spans="65:67" ht="18.75" customHeight="1">
      <c r="BM41825" s="1025"/>
      <c r="BO41825" s="43"/>
    </row>
    <row r="41826" spans="65:67" ht="18.75" customHeight="1">
      <c r="BM41826" s="1025"/>
      <c r="BO41826" s="43"/>
    </row>
    <row r="41827" spans="65:67" ht="18.75" customHeight="1">
      <c r="BM41827" s="1025"/>
      <c r="BO41827" s="43"/>
    </row>
    <row r="41828" spans="65:67" ht="18.75" customHeight="1">
      <c r="BM41828" s="1025"/>
      <c r="BO41828" s="43"/>
    </row>
    <row r="41829" spans="65:67" ht="18.75" customHeight="1">
      <c r="BM41829" s="1025"/>
      <c r="BO41829" s="43"/>
    </row>
    <row r="41830" spans="65:67" ht="18.75" customHeight="1">
      <c r="BM41830" s="1025"/>
      <c r="BO41830" s="43"/>
    </row>
    <row r="41831" spans="65:67" ht="18.75" customHeight="1">
      <c r="BM41831" s="1025"/>
      <c r="BO41831" s="43"/>
    </row>
    <row r="41832" spans="65:67" ht="18.75" customHeight="1">
      <c r="BM41832" s="1025"/>
      <c r="BO41832" s="43"/>
    </row>
    <row r="41833" spans="65:67" ht="18.75" customHeight="1">
      <c r="BM41833" s="1025"/>
      <c r="BO41833" s="43"/>
    </row>
    <row r="41834" spans="65:67" ht="18.75" customHeight="1">
      <c r="BM41834" s="1025"/>
      <c r="BO41834" s="43"/>
    </row>
    <row r="41835" spans="65:67" ht="18.75" customHeight="1">
      <c r="BM41835" s="1025"/>
      <c r="BO41835" s="43"/>
    </row>
    <row r="41836" spans="65:67" ht="18.75" customHeight="1">
      <c r="BM41836" s="1025"/>
      <c r="BO41836" s="43"/>
    </row>
    <row r="41837" spans="65:67" ht="18.75" customHeight="1">
      <c r="BM41837" s="1025"/>
      <c r="BO41837" s="43"/>
    </row>
    <row r="41838" spans="65:67" ht="18.75" customHeight="1">
      <c r="BM41838" s="1025"/>
      <c r="BO41838" s="43"/>
    </row>
    <row r="41839" spans="65:67" ht="18.75" customHeight="1">
      <c r="BM41839" s="1025"/>
      <c r="BO41839" s="43"/>
    </row>
    <row r="41840" spans="65:67" ht="18.75" customHeight="1">
      <c r="BM41840" s="1025"/>
      <c r="BO41840" s="43"/>
    </row>
    <row r="41841" spans="65:67" ht="18.75" customHeight="1">
      <c r="BM41841" s="1025"/>
      <c r="BO41841" s="43"/>
    </row>
    <row r="41842" spans="65:67" ht="18.75" customHeight="1">
      <c r="BM41842" s="1025"/>
      <c r="BO41842" s="43"/>
    </row>
    <row r="41843" spans="65:67" ht="18.75" customHeight="1">
      <c r="BM41843" s="1025"/>
      <c r="BO41843" s="43"/>
    </row>
    <row r="41844" spans="65:67" ht="18.75" customHeight="1">
      <c r="BM41844" s="1025"/>
      <c r="BO41844" s="43"/>
    </row>
    <row r="41845" spans="65:67" ht="18.75" customHeight="1">
      <c r="BM41845" s="1025"/>
      <c r="BO41845" s="43"/>
    </row>
    <row r="41846" spans="65:67" ht="18.75" customHeight="1">
      <c r="BM41846" s="1025"/>
      <c r="BO41846" s="43"/>
    </row>
    <row r="41847" spans="65:67" ht="18.75" customHeight="1">
      <c r="BM41847" s="1025"/>
      <c r="BO41847" s="43"/>
    </row>
    <row r="41848" spans="65:67" ht="18.75" customHeight="1">
      <c r="BM41848" s="1025"/>
      <c r="BO41848" s="43"/>
    </row>
    <row r="41849" spans="65:67" ht="18.75" customHeight="1">
      <c r="BM41849" s="1025"/>
      <c r="BO41849" s="43"/>
    </row>
    <row r="41850" spans="65:67" ht="18.75" customHeight="1">
      <c r="BM41850" s="1025"/>
      <c r="BO41850" s="43"/>
    </row>
    <row r="41851" spans="65:67" ht="18.75" customHeight="1">
      <c r="BM41851" s="1025"/>
      <c r="BO41851" s="43"/>
    </row>
    <row r="41852" spans="65:67" ht="18.75" customHeight="1">
      <c r="BM41852" s="1025"/>
      <c r="BO41852" s="43"/>
    </row>
    <row r="41853" spans="65:67" ht="18.75" customHeight="1">
      <c r="BM41853" s="1025"/>
      <c r="BO41853" s="43"/>
    </row>
    <row r="41854" spans="65:67" ht="18.75" customHeight="1">
      <c r="BM41854" s="1025"/>
      <c r="BO41854" s="43"/>
    </row>
    <row r="41855" spans="65:67" ht="18.75" customHeight="1">
      <c r="BM41855" s="1025"/>
      <c r="BO41855" s="43"/>
    </row>
    <row r="41856" spans="65:67" ht="18.75" customHeight="1">
      <c r="BM41856" s="1025"/>
      <c r="BO41856" s="43"/>
    </row>
    <row r="41857" spans="65:67" ht="18.75" customHeight="1">
      <c r="BM41857" s="1025"/>
      <c r="BO41857" s="43"/>
    </row>
    <row r="41858" spans="65:67" ht="18.75" customHeight="1">
      <c r="BM41858" s="1025"/>
      <c r="BO41858" s="43"/>
    </row>
    <row r="41859" spans="65:67" ht="18.75" customHeight="1">
      <c r="BM41859" s="1025"/>
      <c r="BO41859" s="43"/>
    </row>
    <row r="41860" spans="65:67" ht="18.75" customHeight="1">
      <c r="BM41860" s="1025"/>
      <c r="BO41860" s="43"/>
    </row>
    <row r="41861" spans="65:67" ht="18.75" customHeight="1">
      <c r="BM41861" s="1025"/>
      <c r="BO41861" s="43"/>
    </row>
    <row r="41862" spans="65:67" ht="18.75" customHeight="1">
      <c r="BM41862" s="1025"/>
      <c r="BO41862" s="43"/>
    </row>
    <row r="41863" spans="65:67" ht="18.75" customHeight="1">
      <c r="BM41863" s="1025"/>
      <c r="BO41863" s="43"/>
    </row>
    <row r="41864" spans="65:67" ht="18.75" customHeight="1">
      <c r="BM41864" s="1025"/>
      <c r="BO41864" s="43"/>
    </row>
    <row r="41865" spans="65:67" ht="18.75" customHeight="1">
      <c r="BM41865" s="1025"/>
      <c r="BO41865" s="43"/>
    </row>
    <row r="41866" spans="65:67" ht="18.75" customHeight="1">
      <c r="BM41866" s="1025"/>
      <c r="BO41866" s="43"/>
    </row>
    <row r="41867" spans="65:67" ht="18.75" customHeight="1">
      <c r="BM41867" s="1025"/>
      <c r="BO41867" s="43"/>
    </row>
    <row r="41868" spans="65:67" ht="18.75" customHeight="1">
      <c r="BM41868" s="1025"/>
      <c r="BO41868" s="43"/>
    </row>
    <row r="41869" spans="65:67" ht="18.75" customHeight="1">
      <c r="BM41869" s="1025"/>
      <c r="BO41869" s="43"/>
    </row>
    <row r="41870" spans="65:67" ht="18.75" customHeight="1">
      <c r="BM41870" s="1025"/>
      <c r="BO41870" s="43"/>
    </row>
    <row r="41871" spans="65:67" ht="18.75" customHeight="1">
      <c r="BM41871" s="1025"/>
      <c r="BO41871" s="43"/>
    </row>
    <row r="41872" spans="65:67" ht="18.75" customHeight="1">
      <c r="BM41872" s="1025"/>
      <c r="BO41872" s="43"/>
    </row>
    <row r="41873" spans="65:67" ht="18.75" customHeight="1">
      <c r="BM41873" s="1025"/>
      <c r="BO41873" s="43"/>
    </row>
    <row r="41874" spans="65:67" ht="18.75" customHeight="1">
      <c r="BM41874" s="1025"/>
      <c r="BO41874" s="43"/>
    </row>
    <row r="41875" spans="65:67" ht="18.75" customHeight="1">
      <c r="BM41875" s="1025"/>
      <c r="BO41875" s="43"/>
    </row>
    <row r="41876" spans="65:67" ht="18.75" customHeight="1">
      <c r="BM41876" s="1025"/>
      <c r="BO41876" s="43"/>
    </row>
    <row r="41877" spans="65:67" ht="18.75" customHeight="1">
      <c r="BM41877" s="1025"/>
      <c r="BO41877" s="43"/>
    </row>
    <row r="41878" spans="65:67" ht="18.75" customHeight="1">
      <c r="BM41878" s="1025"/>
      <c r="BO41878" s="43"/>
    </row>
    <row r="41879" spans="65:67" ht="18.75" customHeight="1">
      <c r="BM41879" s="1025"/>
      <c r="BO41879" s="43"/>
    </row>
    <row r="41880" spans="65:67" ht="18.75" customHeight="1">
      <c r="BM41880" s="1025"/>
      <c r="BO41880" s="43"/>
    </row>
    <row r="41881" spans="65:67" ht="18.75" customHeight="1">
      <c r="BM41881" s="1025"/>
      <c r="BO41881" s="43"/>
    </row>
    <row r="41882" spans="65:67" ht="18.75" customHeight="1">
      <c r="BM41882" s="1025"/>
      <c r="BO41882" s="43"/>
    </row>
    <row r="41883" spans="65:67" ht="18.75" customHeight="1">
      <c r="BM41883" s="1025"/>
      <c r="BO41883" s="43"/>
    </row>
    <row r="41884" spans="65:67" ht="18.75" customHeight="1">
      <c r="BM41884" s="1025"/>
      <c r="BO41884" s="43"/>
    </row>
    <row r="41885" spans="65:67" ht="18.75" customHeight="1">
      <c r="BM41885" s="1025"/>
      <c r="BO41885" s="43"/>
    </row>
    <row r="41886" spans="65:67" ht="18.75" customHeight="1">
      <c r="BM41886" s="1025"/>
      <c r="BO41886" s="43"/>
    </row>
    <row r="41887" spans="65:67" ht="18.75" customHeight="1">
      <c r="BM41887" s="1025"/>
      <c r="BO41887" s="43"/>
    </row>
    <row r="41888" spans="65:67" ht="18.75" customHeight="1">
      <c r="BM41888" s="1025"/>
      <c r="BO41888" s="43"/>
    </row>
    <row r="41889" spans="65:67" ht="18.75" customHeight="1">
      <c r="BM41889" s="1025"/>
      <c r="BO41889" s="43"/>
    </row>
    <row r="41890" spans="65:67" ht="18.75" customHeight="1">
      <c r="BM41890" s="1025"/>
      <c r="BO41890" s="43"/>
    </row>
    <row r="41891" spans="65:67" ht="18.75" customHeight="1">
      <c r="BM41891" s="1025"/>
      <c r="BO41891" s="43"/>
    </row>
    <row r="41892" spans="65:67" ht="18.75" customHeight="1">
      <c r="BM41892" s="1025"/>
      <c r="BO41892" s="43"/>
    </row>
    <row r="41893" spans="65:67" ht="18.75" customHeight="1">
      <c r="BM41893" s="1025"/>
      <c r="BO41893" s="43"/>
    </row>
    <row r="41894" spans="65:67" ht="18.75" customHeight="1">
      <c r="BM41894" s="1025"/>
      <c r="BO41894" s="43"/>
    </row>
    <row r="41895" spans="65:67" ht="18.75" customHeight="1">
      <c r="BM41895" s="1025"/>
      <c r="BO41895" s="43"/>
    </row>
    <row r="41896" spans="65:67" ht="18.75" customHeight="1">
      <c r="BM41896" s="1025"/>
      <c r="BO41896" s="43"/>
    </row>
    <row r="41897" spans="65:67" ht="18.75" customHeight="1">
      <c r="BM41897" s="1025"/>
      <c r="BO41897" s="43"/>
    </row>
    <row r="41898" spans="65:67" ht="18.75" customHeight="1">
      <c r="BM41898" s="1025"/>
      <c r="BO41898" s="43"/>
    </row>
    <row r="41899" spans="65:67" ht="18.75" customHeight="1">
      <c r="BM41899" s="1025"/>
      <c r="BO41899" s="43"/>
    </row>
    <row r="41900" spans="65:67" ht="18.75" customHeight="1">
      <c r="BM41900" s="1025"/>
      <c r="BO41900" s="43"/>
    </row>
    <row r="41901" spans="65:67" ht="18.75" customHeight="1">
      <c r="BM41901" s="1025"/>
      <c r="BO41901" s="43"/>
    </row>
    <row r="41902" spans="65:67" ht="18.75" customHeight="1">
      <c r="BM41902" s="1025"/>
      <c r="BO41902" s="43"/>
    </row>
    <row r="41903" spans="65:67" ht="18.75" customHeight="1">
      <c r="BM41903" s="1025"/>
      <c r="BO41903" s="43"/>
    </row>
    <row r="41904" spans="65:67" ht="18.75" customHeight="1">
      <c r="BM41904" s="1025"/>
      <c r="BO41904" s="43"/>
    </row>
    <row r="41905" spans="65:67" ht="18.75" customHeight="1">
      <c r="BM41905" s="1025"/>
      <c r="BO41905" s="43"/>
    </row>
    <row r="41906" spans="65:67" ht="18.75" customHeight="1">
      <c r="BM41906" s="1025"/>
      <c r="BO41906" s="43"/>
    </row>
    <row r="41907" spans="65:67" ht="18.75" customHeight="1">
      <c r="BM41907" s="1025"/>
      <c r="BO41907" s="43"/>
    </row>
    <row r="41908" spans="65:67" ht="18.75" customHeight="1">
      <c r="BM41908" s="1025"/>
      <c r="BO41908" s="43"/>
    </row>
    <row r="41909" spans="65:67" ht="18.75" customHeight="1">
      <c r="BM41909" s="1025"/>
      <c r="BO41909" s="43"/>
    </row>
    <row r="41910" spans="65:67" ht="18.75" customHeight="1">
      <c r="BM41910" s="1025"/>
      <c r="BO41910" s="43"/>
    </row>
    <row r="41911" spans="65:67" ht="18.75" customHeight="1">
      <c r="BM41911" s="1025"/>
      <c r="BO41911" s="43"/>
    </row>
    <row r="41912" spans="65:67" ht="18.75" customHeight="1">
      <c r="BM41912" s="1025"/>
      <c r="BO41912" s="43"/>
    </row>
    <row r="41913" spans="65:67" ht="18.75" customHeight="1">
      <c r="BM41913" s="1025"/>
      <c r="BO41913" s="43"/>
    </row>
    <row r="41914" spans="65:67" ht="18.75" customHeight="1">
      <c r="BM41914" s="1025"/>
      <c r="BO41914" s="43"/>
    </row>
    <row r="41915" spans="65:67" ht="18.75" customHeight="1">
      <c r="BM41915" s="1025"/>
      <c r="BO41915" s="43"/>
    </row>
    <row r="41916" spans="65:67" ht="18.75" customHeight="1">
      <c r="BM41916" s="1025"/>
      <c r="BO41916" s="43"/>
    </row>
    <row r="41917" spans="65:67" ht="18.75" customHeight="1">
      <c r="BM41917" s="1025"/>
      <c r="BO41917" s="43"/>
    </row>
    <row r="41918" spans="65:67" ht="18.75" customHeight="1">
      <c r="BM41918" s="1025"/>
      <c r="BO41918" s="43"/>
    </row>
    <row r="41919" spans="65:67" ht="18.75" customHeight="1">
      <c r="BM41919" s="1025"/>
      <c r="BO41919" s="43"/>
    </row>
    <row r="41920" spans="65:67" ht="18.75" customHeight="1">
      <c r="BM41920" s="1025"/>
      <c r="BO41920" s="43"/>
    </row>
    <row r="41921" spans="65:67" ht="18.75" customHeight="1">
      <c r="BM41921" s="1025"/>
      <c r="BO41921" s="43"/>
    </row>
    <row r="41922" spans="65:67" ht="18.75" customHeight="1">
      <c r="BM41922" s="1025"/>
      <c r="BO41922" s="43"/>
    </row>
    <row r="41923" spans="65:67" ht="18.75" customHeight="1">
      <c r="BM41923" s="1025"/>
      <c r="BO41923" s="43"/>
    </row>
    <row r="41924" spans="65:67" ht="18.75" customHeight="1">
      <c r="BM41924" s="1025"/>
      <c r="BO41924" s="43"/>
    </row>
    <row r="41925" spans="65:67" ht="18.75" customHeight="1">
      <c r="BM41925" s="1025"/>
      <c r="BO41925" s="43"/>
    </row>
    <row r="41926" spans="65:67" ht="18.75" customHeight="1">
      <c r="BM41926" s="1025"/>
      <c r="BO41926" s="43"/>
    </row>
    <row r="41927" spans="65:67" ht="18.75" customHeight="1">
      <c r="BM41927" s="1025"/>
      <c r="BO41927" s="43"/>
    </row>
    <row r="41928" spans="65:67" ht="18.75" customHeight="1">
      <c r="BM41928" s="1025"/>
      <c r="BO41928" s="43"/>
    </row>
    <row r="41929" spans="65:67" ht="18.75" customHeight="1">
      <c r="BM41929" s="1025"/>
      <c r="BO41929" s="43"/>
    </row>
    <row r="41930" spans="65:67" ht="18.75" customHeight="1">
      <c r="BM41930" s="1025"/>
      <c r="BO41930" s="43"/>
    </row>
    <row r="41931" spans="65:67" ht="18.75" customHeight="1">
      <c r="BM41931" s="1025"/>
      <c r="BO41931" s="43"/>
    </row>
    <row r="41932" spans="65:67" ht="18.75" customHeight="1">
      <c r="BM41932" s="1025"/>
      <c r="BO41932" s="43"/>
    </row>
    <row r="41933" spans="65:67" ht="18.75" customHeight="1">
      <c r="BM41933" s="1025"/>
      <c r="BO41933" s="43"/>
    </row>
    <row r="41934" spans="65:67" ht="18.75" customHeight="1">
      <c r="BM41934" s="1025"/>
      <c r="BO41934" s="43"/>
    </row>
    <row r="41935" spans="65:67" ht="18.75" customHeight="1">
      <c r="BM41935" s="1025"/>
      <c r="BO41935" s="43"/>
    </row>
    <row r="41936" spans="65:67" ht="18.75" customHeight="1">
      <c r="BM41936" s="1025"/>
      <c r="BO41936" s="43"/>
    </row>
    <row r="41937" spans="65:67" ht="18.75" customHeight="1">
      <c r="BM41937" s="1025"/>
      <c r="BO41937" s="43"/>
    </row>
    <row r="41938" spans="65:67" ht="18.75" customHeight="1">
      <c r="BM41938" s="1025"/>
      <c r="BO41938" s="43"/>
    </row>
    <row r="41939" spans="65:67" ht="18.75" customHeight="1">
      <c r="BM41939" s="1025"/>
      <c r="BO41939" s="43"/>
    </row>
    <row r="41940" spans="65:67" ht="18.75" customHeight="1">
      <c r="BM41940" s="1025"/>
      <c r="BO41940" s="43"/>
    </row>
    <row r="41941" spans="65:67" ht="18.75" customHeight="1">
      <c r="BM41941" s="1025"/>
      <c r="BO41941" s="43"/>
    </row>
    <row r="41942" spans="65:67" ht="18.75" customHeight="1">
      <c r="BM41942" s="1025"/>
      <c r="BO41942" s="43"/>
    </row>
    <row r="41943" spans="65:67" ht="18.75" customHeight="1">
      <c r="BM41943" s="1025"/>
      <c r="BO41943" s="43"/>
    </row>
    <row r="41944" spans="65:67" ht="18.75" customHeight="1">
      <c r="BM41944" s="1025"/>
      <c r="BO41944" s="43"/>
    </row>
    <row r="41945" spans="65:67" ht="18.75" customHeight="1">
      <c r="BM41945" s="1025"/>
      <c r="BO41945" s="43"/>
    </row>
    <row r="41946" spans="65:67" ht="18.75" customHeight="1">
      <c r="BM41946" s="1025"/>
      <c r="BO41946" s="43"/>
    </row>
    <row r="41947" spans="65:67" ht="18.75" customHeight="1">
      <c r="BM41947" s="1025"/>
      <c r="BO41947" s="43"/>
    </row>
    <row r="41948" spans="65:67" ht="18.75" customHeight="1">
      <c r="BM41948" s="1025"/>
      <c r="BO41948" s="43"/>
    </row>
    <row r="41949" spans="65:67" ht="18.75" customHeight="1">
      <c r="BM41949" s="1025"/>
      <c r="BO41949" s="43"/>
    </row>
    <row r="41950" spans="65:67" ht="18.75" customHeight="1">
      <c r="BM41950" s="1025"/>
      <c r="BO41950" s="43"/>
    </row>
    <row r="41951" spans="65:67" ht="18.75" customHeight="1">
      <c r="BM41951" s="1025"/>
      <c r="BO41951" s="43"/>
    </row>
    <row r="41952" spans="65:67" ht="18.75" customHeight="1">
      <c r="BM41952" s="1025"/>
      <c r="BO41952" s="43"/>
    </row>
    <row r="41953" spans="65:67" ht="18.75" customHeight="1">
      <c r="BM41953" s="1025"/>
      <c r="BO41953" s="43"/>
    </row>
    <row r="41954" spans="65:67" ht="18.75" customHeight="1">
      <c r="BM41954" s="1025"/>
      <c r="BO41954" s="43"/>
    </row>
    <row r="41955" spans="65:67" ht="18.75" customHeight="1">
      <c r="BM41955" s="1025"/>
      <c r="BO41955" s="43"/>
    </row>
    <row r="41956" spans="65:67" ht="18.75" customHeight="1">
      <c r="BM41956" s="1025"/>
      <c r="BO41956" s="43"/>
    </row>
    <row r="41957" spans="65:67" ht="18.75" customHeight="1">
      <c r="BM41957" s="1025"/>
      <c r="BO41957" s="43"/>
    </row>
    <row r="41958" spans="65:67" ht="18.75" customHeight="1">
      <c r="BM41958" s="1025"/>
      <c r="BO41958" s="43"/>
    </row>
    <row r="41959" spans="65:67" ht="18.75" customHeight="1">
      <c r="BM41959" s="1025"/>
      <c r="BO41959" s="43"/>
    </row>
    <row r="41960" spans="65:67" ht="18.75" customHeight="1">
      <c r="BM41960" s="1025"/>
      <c r="BO41960" s="43"/>
    </row>
    <row r="41961" spans="65:67" ht="18.75" customHeight="1">
      <c r="BM41961" s="1025"/>
      <c r="BO41961" s="43"/>
    </row>
    <row r="41962" spans="65:67" ht="18.75" customHeight="1">
      <c r="BM41962" s="1025"/>
      <c r="BO41962" s="43"/>
    </row>
    <row r="41963" spans="65:67" ht="18.75" customHeight="1">
      <c r="BM41963" s="1025"/>
      <c r="BO41963" s="43"/>
    </row>
    <row r="41964" spans="65:67" ht="18.75" customHeight="1">
      <c r="BM41964" s="1025"/>
      <c r="BO41964" s="43"/>
    </row>
    <row r="41965" spans="65:67" ht="18.75" customHeight="1">
      <c r="BM41965" s="1025"/>
      <c r="BO41965" s="43"/>
    </row>
    <row r="41966" spans="65:67" ht="18.75" customHeight="1">
      <c r="BM41966" s="1025"/>
      <c r="BO41966" s="43"/>
    </row>
    <row r="41967" spans="65:67" ht="18.75" customHeight="1">
      <c r="BM41967" s="1025"/>
      <c r="BO41967" s="43"/>
    </row>
    <row r="41968" spans="65:67" ht="18.75" customHeight="1">
      <c r="BM41968" s="1025"/>
      <c r="BO41968" s="43"/>
    </row>
    <row r="41969" spans="65:67" ht="18.75" customHeight="1">
      <c r="BM41969" s="1025"/>
      <c r="BO41969" s="43"/>
    </row>
    <row r="41970" spans="65:67" ht="18.75" customHeight="1">
      <c r="BM41970" s="1025"/>
      <c r="BO41970" s="43"/>
    </row>
    <row r="41971" spans="65:67" ht="18.75" customHeight="1">
      <c r="BM41971" s="1025"/>
      <c r="BO41971" s="43"/>
    </row>
    <row r="41972" spans="65:67" ht="18.75" customHeight="1">
      <c r="BM41972" s="1025"/>
      <c r="BO41972" s="43"/>
    </row>
    <row r="41973" spans="65:67" ht="18.75" customHeight="1">
      <c r="BM41973" s="1025"/>
      <c r="BO41973" s="43"/>
    </row>
    <row r="41974" spans="65:67" ht="18.75" customHeight="1">
      <c r="BM41974" s="1025"/>
      <c r="BO41974" s="43"/>
    </row>
    <row r="41975" spans="65:67" ht="18.75" customHeight="1">
      <c r="BM41975" s="1025"/>
      <c r="BO41975" s="43"/>
    </row>
    <row r="41976" spans="65:67" ht="18.75" customHeight="1">
      <c r="BM41976" s="1025"/>
      <c r="BO41976" s="43"/>
    </row>
    <row r="41977" spans="65:67" ht="18.75" customHeight="1">
      <c r="BM41977" s="1025"/>
      <c r="BO41977" s="43"/>
    </row>
    <row r="41978" spans="65:67" ht="18.75" customHeight="1">
      <c r="BM41978" s="1025"/>
      <c r="BO41978" s="43"/>
    </row>
    <row r="41979" spans="65:67" ht="18.75" customHeight="1">
      <c r="BM41979" s="1025"/>
      <c r="BO41979" s="43"/>
    </row>
    <row r="41980" spans="65:67" ht="18.75" customHeight="1">
      <c r="BM41980" s="1025"/>
      <c r="BO41980" s="43"/>
    </row>
    <row r="41981" spans="65:67" ht="18.75" customHeight="1">
      <c r="BM41981" s="1025"/>
      <c r="BO41981" s="43"/>
    </row>
    <row r="41982" spans="65:67" ht="18.75" customHeight="1">
      <c r="BM41982" s="1025"/>
      <c r="BO41982" s="43"/>
    </row>
    <row r="41983" spans="65:67" ht="18.75" customHeight="1">
      <c r="BM41983" s="1025"/>
      <c r="BO41983" s="43"/>
    </row>
    <row r="41984" spans="65:67" ht="18.75" customHeight="1">
      <c r="BM41984" s="1025"/>
      <c r="BO41984" s="43"/>
    </row>
    <row r="41985" spans="65:67" ht="18.75" customHeight="1">
      <c r="BM41985" s="1025"/>
      <c r="BO41985" s="43"/>
    </row>
    <row r="41986" spans="65:67" ht="18.75" customHeight="1">
      <c r="BM41986" s="1025"/>
      <c r="BO41986" s="43"/>
    </row>
    <row r="41987" spans="65:67" ht="18.75" customHeight="1">
      <c r="BM41987" s="1025"/>
      <c r="BO41987" s="43"/>
    </row>
    <row r="41988" spans="65:67" ht="18.75" customHeight="1">
      <c r="BM41988" s="1025"/>
      <c r="BO41988" s="43"/>
    </row>
    <row r="41989" spans="65:67" ht="18.75" customHeight="1">
      <c r="BM41989" s="1025"/>
      <c r="BO41989" s="43"/>
    </row>
    <row r="41990" spans="65:67" ht="18.75" customHeight="1">
      <c r="BM41990" s="1025"/>
      <c r="BO41990" s="43"/>
    </row>
    <row r="41991" spans="65:67" ht="18.75" customHeight="1">
      <c r="BM41991" s="1025"/>
      <c r="BO41991" s="43"/>
    </row>
    <row r="41992" spans="65:67" ht="18.75" customHeight="1">
      <c r="BM41992" s="1025"/>
      <c r="BO41992" s="43"/>
    </row>
    <row r="41993" spans="65:67" ht="18.75" customHeight="1">
      <c r="BM41993" s="1025"/>
      <c r="BO41993" s="43"/>
    </row>
    <row r="41994" spans="65:67" ht="18.75" customHeight="1">
      <c r="BM41994" s="1025"/>
      <c r="BO41994" s="43"/>
    </row>
    <row r="41995" spans="65:67" ht="18.75" customHeight="1">
      <c r="BM41995" s="1025"/>
      <c r="BO41995" s="43"/>
    </row>
    <row r="41996" spans="65:67" ht="18.75" customHeight="1">
      <c r="BM41996" s="1025"/>
      <c r="BO41996" s="43"/>
    </row>
    <row r="41997" spans="65:67" ht="18.75" customHeight="1">
      <c r="BM41997" s="1025"/>
      <c r="BO41997" s="43"/>
    </row>
    <row r="41998" spans="65:67" ht="18.75" customHeight="1">
      <c r="BM41998" s="1025"/>
      <c r="BO41998" s="43"/>
    </row>
    <row r="41999" spans="65:67" ht="18.75" customHeight="1">
      <c r="BM41999" s="1025"/>
      <c r="BO41999" s="43"/>
    </row>
    <row r="42000" spans="65:67" ht="18.75" customHeight="1">
      <c r="BM42000" s="1025"/>
      <c r="BO42000" s="43"/>
    </row>
    <row r="42001" spans="65:67" ht="18.75" customHeight="1">
      <c r="BM42001" s="1025"/>
      <c r="BO42001" s="43"/>
    </row>
    <row r="42002" spans="65:67" ht="18.75" customHeight="1">
      <c r="BM42002" s="1025"/>
      <c r="BO42002" s="43"/>
    </row>
    <row r="42003" spans="65:67" ht="18.75" customHeight="1">
      <c r="BM42003" s="1025"/>
      <c r="BO42003" s="43"/>
    </row>
    <row r="42004" spans="65:67" ht="18.75" customHeight="1">
      <c r="BM42004" s="1025"/>
      <c r="BO42004" s="43"/>
    </row>
    <row r="42005" spans="65:67" ht="18.75" customHeight="1">
      <c r="BM42005" s="1025"/>
      <c r="BO42005" s="43"/>
    </row>
    <row r="42006" spans="65:67" ht="18.75" customHeight="1">
      <c r="BM42006" s="1025"/>
      <c r="BO42006" s="43"/>
    </row>
    <row r="42007" spans="65:67" ht="18.75" customHeight="1">
      <c r="BM42007" s="1025"/>
      <c r="BO42007" s="43"/>
    </row>
    <row r="42008" spans="65:67" ht="18.75" customHeight="1">
      <c r="BM42008" s="1025"/>
      <c r="BO42008" s="43"/>
    </row>
    <row r="42009" spans="65:67" ht="18.75" customHeight="1">
      <c r="BM42009" s="1025"/>
      <c r="BO42009" s="43"/>
    </row>
    <row r="42010" spans="65:67" ht="18.75" customHeight="1">
      <c r="BM42010" s="1025"/>
      <c r="BO42010" s="43"/>
    </row>
    <row r="42011" spans="65:67" ht="18.75" customHeight="1">
      <c r="BM42011" s="1025"/>
      <c r="BO42011" s="43"/>
    </row>
    <row r="42012" spans="65:67" ht="18.75" customHeight="1">
      <c r="BM42012" s="1025"/>
      <c r="BO42012" s="43"/>
    </row>
    <row r="42013" spans="65:67" ht="18.75" customHeight="1">
      <c r="BM42013" s="1025"/>
      <c r="BO42013" s="43"/>
    </row>
    <row r="42014" spans="65:67" ht="18.75" customHeight="1">
      <c r="BM42014" s="1025"/>
      <c r="BO42014" s="43"/>
    </row>
    <row r="42015" spans="65:67" ht="18.75" customHeight="1">
      <c r="BM42015" s="1025"/>
      <c r="BO42015" s="43"/>
    </row>
    <row r="42016" spans="65:67" ht="18.75" customHeight="1">
      <c r="BM42016" s="1025"/>
      <c r="BO42016" s="43"/>
    </row>
    <row r="42017" spans="65:67" ht="18.75" customHeight="1">
      <c r="BM42017" s="1025"/>
      <c r="BO42017" s="43"/>
    </row>
    <row r="42018" spans="65:67" ht="18.75" customHeight="1">
      <c r="BM42018" s="1025"/>
      <c r="BO42018" s="43"/>
    </row>
    <row r="42019" spans="65:67" ht="18.75" customHeight="1">
      <c r="BM42019" s="1025"/>
      <c r="BO42019" s="43"/>
    </row>
    <row r="42020" spans="65:67" ht="18.75" customHeight="1">
      <c r="BM42020" s="1025"/>
      <c r="BO42020" s="43"/>
    </row>
    <row r="42021" spans="65:67" ht="18.75" customHeight="1">
      <c r="BM42021" s="1025"/>
      <c r="BO42021" s="43"/>
    </row>
    <row r="42022" spans="65:67" ht="18.75" customHeight="1">
      <c r="BM42022" s="1025"/>
      <c r="BO42022" s="43"/>
    </row>
    <row r="42023" spans="65:67" ht="18.75" customHeight="1">
      <c r="BM42023" s="1025"/>
      <c r="BO42023" s="43"/>
    </row>
    <row r="42024" spans="65:67" ht="18.75" customHeight="1">
      <c r="BM42024" s="1025"/>
      <c r="BO42024" s="43"/>
    </row>
    <row r="42025" spans="65:67" ht="18.75" customHeight="1">
      <c r="BM42025" s="1025"/>
      <c r="BO42025" s="43"/>
    </row>
    <row r="42026" spans="65:67" ht="18.75" customHeight="1">
      <c r="BM42026" s="1025"/>
      <c r="BO42026" s="43"/>
    </row>
    <row r="42027" spans="65:67" ht="18.75" customHeight="1">
      <c r="BM42027" s="1025"/>
      <c r="BO42027" s="43"/>
    </row>
    <row r="42028" spans="65:67" ht="18.75" customHeight="1">
      <c r="BM42028" s="1025"/>
      <c r="BO42028" s="43"/>
    </row>
    <row r="42029" spans="65:67" ht="18.75" customHeight="1">
      <c r="BM42029" s="1025"/>
      <c r="BO42029" s="43"/>
    </row>
    <row r="42030" spans="65:67" ht="18.75" customHeight="1">
      <c r="BM42030" s="1025"/>
      <c r="BO42030" s="43"/>
    </row>
    <row r="42031" spans="65:67" ht="18.75" customHeight="1">
      <c r="BM42031" s="1025"/>
      <c r="BO42031" s="43"/>
    </row>
    <row r="42032" spans="65:67" ht="18.75" customHeight="1">
      <c r="BM42032" s="1025"/>
      <c r="BO42032" s="43"/>
    </row>
    <row r="42033" spans="65:67" ht="18.75" customHeight="1">
      <c r="BM42033" s="1025"/>
      <c r="BO42033" s="43"/>
    </row>
    <row r="42034" spans="65:67" ht="18.75" customHeight="1">
      <c r="BM42034" s="1025"/>
      <c r="BO42034" s="43"/>
    </row>
    <row r="42035" spans="65:67" ht="18.75" customHeight="1">
      <c r="BM42035" s="1025"/>
      <c r="BO42035" s="43"/>
    </row>
    <row r="42036" spans="65:67" ht="18.75" customHeight="1">
      <c r="BM42036" s="1025"/>
      <c r="BO42036" s="43"/>
    </row>
    <row r="42037" spans="65:67" ht="18.75" customHeight="1">
      <c r="BM42037" s="1025"/>
      <c r="BO42037" s="43"/>
    </row>
    <row r="42038" spans="65:67" ht="18.75" customHeight="1">
      <c r="BM42038" s="1025"/>
      <c r="BO42038" s="43"/>
    </row>
    <row r="42039" spans="65:67" ht="18.75" customHeight="1">
      <c r="BM42039" s="1025"/>
      <c r="BO42039" s="43"/>
    </row>
    <row r="42040" spans="65:67" ht="18.75" customHeight="1">
      <c r="BM42040" s="1025"/>
      <c r="BO42040" s="43"/>
    </row>
    <row r="42041" spans="65:67" ht="18.75" customHeight="1">
      <c r="BM42041" s="1025"/>
      <c r="BO42041" s="43"/>
    </row>
    <row r="42042" spans="65:67" ht="18.75" customHeight="1">
      <c r="BM42042" s="1025"/>
      <c r="BO42042" s="43"/>
    </row>
    <row r="42043" spans="65:67" ht="18.75" customHeight="1">
      <c r="BM42043" s="1025"/>
      <c r="BO42043" s="43"/>
    </row>
    <row r="42044" spans="65:67" ht="18.75" customHeight="1">
      <c r="BM42044" s="1025"/>
      <c r="BO42044" s="43"/>
    </row>
    <row r="42045" spans="65:67" ht="18.75" customHeight="1">
      <c r="BM42045" s="1025"/>
      <c r="BO42045" s="43"/>
    </row>
    <row r="42046" spans="65:67" ht="18.75" customHeight="1">
      <c r="BM42046" s="1025"/>
      <c r="BO42046" s="43"/>
    </row>
    <row r="42047" spans="65:67" ht="18.75" customHeight="1">
      <c r="BM42047" s="1025"/>
      <c r="BO42047" s="43"/>
    </row>
    <row r="42048" spans="65:67" ht="18.75" customHeight="1">
      <c r="BM42048" s="1025"/>
      <c r="BO42048" s="43"/>
    </row>
    <row r="42049" spans="65:67" ht="18.75" customHeight="1">
      <c r="BM42049" s="1025"/>
      <c r="BO42049" s="43"/>
    </row>
    <row r="42050" spans="65:67" ht="18.75" customHeight="1">
      <c r="BM42050" s="1025"/>
      <c r="BO42050" s="43"/>
    </row>
    <row r="42051" spans="65:67" ht="18.75" customHeight="1">
      <c r="BM42051" s="1025"/>
      <c r="BO42051" s="43"/>
    </row>
    <row r="42052" spans="65:67" ht="18.75" customHeight="1">
      <c r="BM42052" s="1025"/>
      <c r="BO42052" s="43"/>
    </row>
    <row r="42053" spans="65:67" ht="18.75" customHeight="1">
      <c r="BM42053" s="1025"/>
      <c r="BO42053" s="43"/>
    </row>
    <row r="42054" spans="65:67" ht="18.75" customHeight="1">
      <c r="BM42054" s="1025"/>
      <c r="BO42054" s="43"/>
    </row>
    <row r="42055" spans="65:67" ht="18.75" customHeight="1">
      <c r="BM42055" s="1025"/>
      <c r="BO42055" s="43"/>
    </row>
    <row r="42056" spans="65:67" ht="18.75" customHeight="1">
      <c r="BM42056" s="1025"/>
      <c r="BO42056" s="43"/>
    </row>
    <row r="42057" spans="65:67" ht="18.75" customHeight="1">
      <c r="BM42057" s="1025"/>
      <c r="BO42057" s="43"/>
    </row>
    <row r="42058" spans="65:67" ht="18.75" customHeight="1">
      <c r="BM42058" s="1025"/>
      <c r="BO42058" s="43"/>
    </row>
    <row r="42059" spans="65:67" ht="18.75" customHeight="1">
      <c r="BM42059" s="1025"/>
      <c r="BO42059" s="43"/>
    </row>
    <row r="42060" spans="65:67" ht="18.75" customHeight="1">
      <c r="BM42060" s="1025"/>
      <c r="BO42060" s="43"/>
    </row>
    <row r="42061" spans="65:67" ht="18.75" customHeight="1">
      <c r="BM42061" s="1025"/>
      <c r="BO42061" s="43"/>
    </row>
    <row r="42062" spans="65:67" ht="18.75" customHeight="1">
      <c r="BM42062" s="1025"/>
      <c r="BO42062" s="43"/>
    </row>
    <row r="42063" spans="65:67" ht="18.75" customHeight="1">
      <c r="BM42063" s="1025"/>
      <c r="BO42063" s="43"/>
    </row>
    <row r="42064" spans="65:67" ht="18.75" customHeight="1">
      <c r="BM42064" s="1025"/>
      <c r="BO42064" s="43"/>
    </row>
    <row r="42065" spans="65:67" ht="18.75" customHeight="1">
      <c r="BM42065" s="1025"/>
      <c r="BO42065" s="43"/>
    </row>
    <row r="42066" spans="65:67" ht="18.75" customHeight="1">
      <c r="BM42066" s="1025"/>
      <c r="BO42066" s="43"/>
    </row>
    <row r="42067" spans="65:67" ht="18.75" customHeight="1">
      <c r="BM42067" s="1025"/>
      <c r="BO42067" s="43"/>
    </row>
    <row r="42068" spans="65:67" ht="18.75" customHeight="1">
      <c r="BM42068" s="1025"/>
      <c r="BO42068" s="43"/>
    </row>
    <row r="42069" spans="65:67" ht="18.75" customHeight="1">
      <c r="BM42069" s="1025"/>
      <c r="BO42069" s="43"/>
    </row>
    <row r="42070" spans="65:67" ht="18.75" customHeight="1">
      <c r="BM42070" s="1025"/>
      <c r="BO42070" s="43"/>
    </row>
    <row r="42071" spans="65:67" ht="18.75" customHeight="1">
      <c r="BM42071" s="1025"/>
      <c r="BO42071" s="43"/>
    </row>
    <row r="42072" spans="65:67" ht="18.75" customHeight="1">
      <c r="BM42072" s="1025"/>
      <c r="BO42072" s="43"/>
    </row>
    <row r="42073" spans="65:67" ht="18.75" customHeight="1">
      <c r="BM42073" s="1025"/>
      <c r="BO42073" s="43"/>
    </row>
    <row r="42074" spans="65:67" ht="18.75" customHeight="1">
      <c r="BM42074" s="1025"/>
      <c r="BO42074" s="43"/>
    </row>
    <row r="42075" spans="65:67" ht="18.75" customHeight="1">
      <c r="BM42075" s="1025"/>
      <c r="BO42075" s="43"/>
    </row>
    <row r="42076" spans="65:67" ht="18.75" customHeight="1">
      <c r="BM42076" s="1025"/>
      <c r="BO42076" s="43"/>
    </row>
    <row r="42077" spans="65:67" ht="18.75" customHeight="1">
      <c r="BM42077" s="1025"/>
      <c r="BO42077" s="43"/>
    </row>
    <row r="42078" spans="65:67" ht="18.75" customHeight="1">
      <c r="BM42078" s="1025"/>
      <c r="BO42078" s="43"/>
    </row>
    <row r="42079" spans="65:67" ht="18.75" customHeight="1">
      <c r="BM42079" s="1025"/>
      <c r="BO42079" s="43"/>
    </row>
    <row r="42080" spans="65:67" ht="18.75" customHeight="1">
      <c r="BM42080" s="1025"/>
      <c r="BO42080" s="43"/>
    </row>
    <row r="42081" spans="65:67" ht="18.75" customHeight="1">
      <c r="BM42081" s="1025"/>
      <c r="BO42081" s="43"/>
    </row>
    <row r="42082" spans="65:67" ht="18.75" customHeight="1">
      <c r="BM42082" s="1025"/>
      <c r="BO42082" s="43"/>
    </row>
    <row r="42083" spans="65:67" ht="18.75" customHeight="1">
      <c r="BM42083" s="1025"/>
      <c r="BO42083" s="43"/>
    </row>
    <row r="42084" spans="65:67" ht="18.75" customHeight="1">
      <c r="BM42084" s="1025"/>
      <c r="BO42084" s="43"/>
    </row>
    <row r="42085" spans="65:67" ht="18.75" customHeight="1">
      <c r="BM42085" s="1025"/>
      <c r="BO42085" s="43"/>
    </row>
    <row r="42086" spans="65:67" ht="18.75" customHeight="1">
      <c r="BM42086" s="1025"/>
      <c r="BO42086" s="43"/>
    </row>
    <row r="42087" spans="65:67" ht="18.75" customHeight="1">
      <c r="BM42087" s="1025"/>
      <c r="BO42087" s="43"/>
    </row>
    <row r="42088" spans="65:67" ht="18.75" customHeight="1">
      <c r="BM42088" s="1025"/>
      <c r="BO42088" s="43"/>
    </row>
    <row r="42089" spans="65:67" ht="18.75" customHeight="1">
      <c r="BM42089" s="1025"/>
      <c r="BO42089" s="43"/>
    </row>
    <row r="42090" spans="65:67" ht="18.75" customHeight="1">
      <c r="BM42090" s="1025"/>
      <c r="BO42090" s="43"/>
    </row>
    <row r="42091" spans="65:67" ht="18.75" customHeight="1">
      <c r="BM42091" s="1025"/>
      <c r="BO42091" s="43"/>
    </row>
    <row r="42092" spans="65:67" ht="18.75" customHeight="1">
      <c r="BM42092" s="1025"/>
      <c r="BO42092" s="43"/>
    </row>
    <row r="42093" spans="65:67" ht="18.75" customHeight="1">
      <c r="BM42093" s="1025"/>
      <c r="BO42093" s="43"/>
    </row>
    <row r="42094" spans="65:67" ht="18.75" customHeight="1">
      <c r="BM42094" s="1025"/>
      <c r="BO42094" s="43"/>
    </row>
    <row r="42095" spans="65:67" ht="18.75" customHeight="1">
      <c r="BM42095" s="1025"/>
      <c r="BO42095" s="43"/>
    </row>
    <row r="42096" spans="65:67" ht="18.75" customHeight="1">
      <c r="BM42096" s="1025"/>
      <c r="BO42096" s="43"/>
    </row>
    <row r="42097" spans="65:67" ht="18.75" customHeight="1">
      <c r="BM42097" s="1025"/>
      <c r="BO42097" s="43"/>
    </row>
    <row r="42098" spans="65:67" ht="18.75" customHeight="1">
      <c r="BM42098" s="1025"/>
      <c r="BO42098" s="43"/>
    </row>
    <row r="42099" spans="65:67" ht="18.75" customHeight="1">
      <c r="BM42099" s="1025"/>
      <c r="BO42099" s="43"/>
    </row>
    <row r="42100" spans="65:67" ht="18.75" customHeight="1">
      <c r="BM42100" s="1025"/>
      <c r="BO42100" s="43"/>
    </row>
    <row r="42101" spans="65:67" ht="18.75" customHeight="1">
      <c r="BM42101" s="1025"/>
      <c r="BO42101" s="43"/>
    </row>
    <row r="42102" spans="65:67" ht="18.75" customHeight="1">
      <c r="BM42102" s="1025"/>
      <c r="BO42102" s="43"/>
    </row>
    <row r="42103" spans="65:67" ht="18.75" customHeight="1">
      <c r="BM42103" s="1025"/>
      <c r="BO42103" s="43"/>
    </row>
    <row r="42104" spans="65:67" ht="18.75" customHeight="1">
      <c r="BM42104" s="1025"/>
      <c r="BO42104" s="43"/>
    </row>
    <row r="42105" spans="65:67" ht="18.75" customHeight="1">
      <c r="BM42105" s="1025"/>
      <c r="BO42105" s="43"/>
    </row>
    <row r="42106" spans="65:67" ht="18.75" customHeight="1">
      <c r="BM42106" s="1025"/>
      <c r="BO42106" s="43"/>
    </row>
    <row r="42107" spans="65:67" ht="18.75" customHeight="1">
      <c r="BM42107" s="1025"/>
      <c r="BO42107" s="43"/>
    </row>
    <row r="42108" spans="65:67" ht="18.75" customHeight="1">
      <c r="BM42108" s="1025"/>
      <c r="BO42108" s="43"/>
    </row>
    <row r="42109" spans="65:67" ht="18.75" customHeight="1">
      <c r="BM42109" s="1025"/>
      <c r="BO42109" s="43"/>
    </row>
    <row r="42110" spans="65:67" ht="18.75" customHeight="1">
      <c r="BM42110" s="1025"/>
      <c r="BO42110" s="43"/>
    </row>
    <row r="42111" spans="65:67" ht="18.75" customHeight="1">
      <c r="BM42111" s="1025"/>
      <c r="BO42111" s="43"/>
    </row>
    <row r="42112" spans="65:67" ht="18.75" customHeight="1">
      <c r="BM42112" s="1025"/>
      <c r="BO42112" s="43"/>
    </row>
    <row r="42113" spans="65:67" ht="18.75" customHeight="1">
      <c r="BM42113" s="1025"/>
      <c r="BO42113" s="43"/>
    </row>
    <row r="42114" spans="65:67" ht="18.75" customHeight="1">
      <c r="BM42114" s="1025"/>
      <c r="BO42114" s="43"/>
    </row>
    <row r="42115" spans="65:67" ht="18.75" customHeight="1">
      <c r="BM42115" s="1025"/>
      <c r="BO42115" s="43"/>
    </row>
    <row r="42116" spans="65:67" ht="18.75" customHeight="1">
      <c r="BM42116" s="1025"/>
      <c r="BO42116" s="43"/>
    </row>
    <row r="42117" spans="65:67" ht="18.75" customHeight="1">
      <c r="BM42117" s="1025"/>
      <c r="BO42117" s="43"/>
    </row>
    <row r="42118" spans="65:67" ht="18.75" customHeight="1">
      <c r="BM42118" s="1025"/>
      <c r="BO42118" s="43"/>
    </row>
    <row r="42119" spans="65:67" ht="18.75" customHeight="1">
      <c r="BM42119" s="1025"/>
      <c r="BO42119" s="43"/>
    </row>
    <row r="42120" spans="65:67" ht="18.75" customHeight="1">
      <c r="BM42120" s="1025"/>
      <c r="BO42120" s="43"/>
    </row>
    <row r="42121" spans="65:67" ht="18.75" customHeight="1">
      <c r="BM42121" s="1025"/>
      <c r="BO42121" s="43"/>
    </row>
    <row r="42122" spans="65:67" ht="18.75" customHeight="1">
      <c r="BM42122" s="1025"/>
      <c r="BO42122" s="43"/>
    </row>
    <row r="42123" spans="65:67" ht="18.75" customHeight="1">
      <c r="BM42123" s="1025"/>
      <c r="BO42123" s="43"/>
    </row>
    <row r="42124" spans="65:67" ht="18.75" customHeight="1">
      <c r="BM42124" s="1025"/>
      <c r="BO42124" s="43"/>
    </row>
    <row r="42125" spans="65:67" ht="18.75" customHeight="1">
      <c r="BM42125" s="1025"/>
      <c r="BO42125" s="43"/>
    </row>
    <row r="42126" spans="65:67" ht="18.75" customHeight="1">
      <c r="BM42126" s="1025"/>
      <c r="BO42126" s="43"/>
    </row>
    <row r="42127" spans="65:67" ht="18.75" customHeight="1">
      <c r="BM42127" s="1025"/>
      <c r="BO42127" s="43"/>
    </row>
    <row r="42128" spans="65:67" ht="18.75" customHeight="1">
      <c r="BM42128" s="1025"/>
      <c r="BO42128" s="43"/>
    </row>
    <row r="42129" spans="65:67" ht="18.75" customHeight="1">
      <c r="BM42129" s="1025"/>
      <c r="BO42129" s="43"/>
    </row>
    <row r="42130" spans="65:67" ht="18.75" customHeight="1">
      <c r="BM42130" s="1025"/>
      <c r="BO42130" s="43"/>
    </row>
    <row r="42131" spans="65:67" ht="18.75" customHeight="1">
      <c r="BM42131" s="1025"/>
      <c r="BO42131" s="43"/>
    </row>
    <row r="42132" spans="65:67" ht="18.75" customHeight="1">
      <c r="BM42132" s="1025"/>
      <c r="BO42132" s="43"/>
    </row>
    <row r="42133" spans="65:67" ht="18.75" customHeight="1">
      <c r="BM42133" s="1025"/>
      <c r="BO42133" s="43"/>
    </row>
    <row r="42134" spans="65:67" ht="18.75" customHeight="1">
      <c r="BM42134" s="1025"/>
      <c r="BO42134" s="43"/>
    </row>
    <row r="42135" spans="65:67" ht="18.75" customHeight="1">
      <c r="BM42135" s="1025"/>
      <c r="BO42135" s="43"/>
    </row>
    <row r="42136" spans="65:67" ht="18.75" customHeight="1">
      <c r="BM42136" s="1025"/>
      <c r="BO42136" s="43"/>
    </row>
    <row r="42137" spans="65:67" ht="18.75" customHeight="1">
      <c r="BM42137" s="1025"/>
      <c r="BO42137" s="43"/>
    </row>
    <row r="42138" spans="65:67" ht="18.75" customHeight="1">
      <c r="BM42138" s="1025"/>
      <c r="BO42138" s="43"/>
    </row>
    <row r="42139" spans="65:67" ht="18.75" customHeight="1">
      <c r="BM42139" s="1025"/>
      <c r="BO42139" s="43"/>
    </row>
    <row r="42140" spans="65:67" ht="18.75" customHeight="1">
      <c r="BM42140" s="1025"/>
      <c r="BO42140" s="43"/>
    </row>
    <row r="42141" spans="65:67" ht="18.75" customHeight="1">
      <c r="BM42141" s="1025"/>
      <c r="BO42141" s="43"/>
    </row>
    <row r="42142" spans="65:67" ht="18.75" customHeight="1">
      <c r="BM42142" s="1025"/>
      <c r="BO42142" s="43"/>
    </row>
    <row r="42143" spans="65:67" ht="18.75" customHeight="1">
      <c r="BM42143" s="1025"/>
      <c r="BO42143" s="43"/>
    </row>
    <row r="42144" spans="65:67" ht="18.75" customHeight="1">
      <c r="BM42144" s="1025"/>
      <c r="BO42144" s="43"/>
    </row>
    <row r="42145" spans="65:67" ht="18.75" customHeight="1">
      <c r="BM42145" s="1025"/>
      <c r="BO42145" s="43"/>
    </row>
    <row r="42146" spans="65:67" ht="18.75" customHeight="1">
      <c r="BM42146" s="1025"/>
      <c r="BO42146" s="43"/>
    </row>
    <row r="42147" spans="65:67" ht="18.75" customHeight="1">
      <c r="BM42147" s="1025"/>
      <c r="BO42147" s="43"/>
    </row>
    <row r="42148" spans="65:67" ht="18.75" customHeight="1">
      <c r="BM42148" s="1025"/>
      <c r="BO42148" s="43"/>
    </row>
    <row r="42149" spans="65:67" ht="18.75" customHeight="1">
      <c r="BM42149" s="1025"/>
      <c r="BO42149" s="43"/>
    </row>
    <row r="42150" spans="65:67" ht="18.75" customHeight="1">
      <c r="BM42150" s="1025"/>
      <c r="BO42150" s="43"/>
    </row>
    <row r="42151" spans="65:67" ht="18.75" customHeight="1">
      <c r="BM42151" s="1025"/>
      <c r="BO42151" s="43"/>
    </row>
    <row r="42152" spans="65:67" ht="18.75" customHeight="1">
      <c r="BM42152" s="1025"/>
      <c r="BO42152" s="43"/>
    </row>
    <row r="42153" spans="65:67" ht="18.75" customHeight="1">
      <c r="BM42153" s="1025"/>
      <c r="BO42153" s="43"/>
    </row>
    <row r="42154" spans="65:67" ht="18.75" customHeight="1">
      <c r="BM42154" s="1025"/>
      <c r="BO42154" s="43"/>
    </row>
    <row r="42155" spans="65:67" ht="18.75" customHeight="1">
      <c r="BM42155" s="1025"/>
      <c r="BO42155" s="43"/>
    </row>
    <row r="42156" spans="65:67" ht="18.75" customHeight="1">
      <c r="BM42156" s="1025"/>
      <c r="BO42156" s="43"/>
    </row>
    <row r="42157" spans="65:67" ht="18.75" customHeight="1">
      <c r="BM42157" s="1025"/>
      <c r="BO42157" s="43"/>
    </row>
    <row r="42158" spans="65:67" ht="18.75" customHeight="1">
      <c r="BM42158" s="1025"/>
      <c r="BO42158" s="43"/>
    </row>
    <row r="42159" spans="65:67" ht="18.75" customHeight="1">
      <c r="BM42159" s="1025"/>
      <c r="BO42159" s="43"/>
    </row>
    <row r="42160" spans="65:67" ht="18.75" customHeight="1">
      <c r="BM42160" s="1025"/>
      <c r="BO42160" s="43"/>
    </row>
    <row r="42161" spans="65:67" ht="18.75" customHeight="1">
      <c r="BM42161" s="1025"/>
      <c r="BO42161" s="43"/>
    </row>
    <row r="42162" spans="65:67" ht="18.75" customHeight="1">
      <c r="BM42162" s="1025"/>
      <c r="BO42162" s="43"/>
    </row>
    <row r="42163" spans="65:67" ht="18.75" customHeight="1">
      <c r="BM42163" s="1025"/>
      <c r="BO42163" s="43"/>
    </row>
    <row r="42164" spans="65:67" ht="18.75" customHeight="1">
      <c r="BM42164" s="1025"/>
      <c r="BO42164" s="43"/>
    </row>
    <row r="42165" spans="65:67" ht="18.75" customHeight="1">
      <c r="BM42165" s="1025"/>
      <c r="BO42165" s="43"/>
    </row>
    <row r="42166" spans="65:67" ht="18.75" customHeight="1">
      <c r="BM42166" s="1025"/>
      <c r="BO42166" s="43"/>
    </row>
    <row r="42167" spans="65:67" ht="18.75" customHeight="1">
      <c r="BM42167" s="1025"/>
      <c r="BO42167" s="43"/>
    </row>
    <row r="42168" spans="65:67" ht="18.75" customHeight="1">
      <c r="BM42168" s="1025"/>
      <c r="BO42168" s="43"/>
    </row>
    <row r="42169" spans="65:67" ht="18.75" customHeight="1">
      <c r="BM42169" s="1025"/>
      <c r="BO42169" s="43"/>
    </row>
    <row r="42170" spans="65:67" ht="18.75" customHeight="1">
      <c r="BM42170" s="1025"/>
      <c r="BO42170" s="43"/>
    </row>
    <row r="42171" spans="65:67" ht="18.75" customHeight="1">
      <c r="BM42171" s="1025"/>
      <c r="BO42171" s="43"/>
    </row>
    <row r="42172" spans="65:67" ht="18.75" customHeight="1">
      <c r="BM42172" s="1025"/>
      <c r="BO42172" s="43"/>
    </row>
    <row r="42173" spans="65:67" ht="18.75" customHeight="1">
      <c r="BM42173" s="1025"/>
      <c r="BO42173" s="43"/>
    </row>
    <row r="42174" spans="65:67" ht="18.75" customHeight="1">
      <c r="BM42174" s="1025"/>
      <c r="BO42174" s="43"/>
    </row>
    <row r="42175" spans="65:67" ht="18.75" customHeight="1">
      <c r="BM42175" s="1025"/>
      <c r="BO42175" s="43"/>
    </row>
    <row r="42176" spans="65:67" ht="18.75" customHeight="1">
      <c r="BM42176" s="1025"/>
      <c r="BO42176" s="43"/>
    </row>
    <row r="42177" spans="65:67" ht="18.75" customHeight="1">
      <c r="BM42177" s="1025"/>
      <c r="BO42177" s="43"/>
    </row>
    <row r="42178" spans="65:67" ht="18.75" customHeight="1">
      <c r="BM42178" s="1025"/>
      <c r="BO42178" s="43"/>
    </row>
    <row r="42179" spans="65:67" ht="18.75" customHeight="1">
      <c r="BM42179" s="1025"/>
      <c r="BO42179" s="43"/>
    </row>
    <row r="42180" spans="65:67" ht="18.75" customHeight="1">
      <c r="BM42180" s="1025"/>
      <c r="BO42180" s="43"/>
    </row>
    <row r="42181" spans="65:67" ht="18.75" customHeight="1">
      <c r="BM42181" s="1025"/>
      <c r="BO42181" s="43"/>
    </row>
    <row r="42182" spans="65:67" ht="18.75" customHeight="1">
      <c r="BM42182" s="1025"/>
      <c r="BO42182" s="43"/>
    </row>
    <row r="42183" spans="65:67" ht="18.75" customHeight="1">
      <c r="BM42183" s="1025"/>
      <c r="BO42183" s="43"/>
    </row>
    <row r="42184" spans="65:67" ht="18.75" customHeight="1">
      <c r="BM42184" s="1025"/>
      <c r="BO42184" s="43"/>
    </row>
    <row r="42185" spans="65:67" ht="18.75" customHeight="1">
      <c r="BM42185" s="1025"/>
      <c r="BO42185" s="43"/>
    </row>
    <row r="42186" spans="65:67" ht="18.75" customHeight="1">
      <c r="BM42186" s="1025"/>
      <c r="BO42186" s="43"/>
    </row>
    <row r="42187" spans="65:67" ht="18.75" customHeight="1">
      <c r="BM42187" s="1025"/>
      <c r="BO42187" s="43"/>
    </row>
    <row r="42188" spans="65:67" ht="18.75" customHeight="1">
      <c r="BM42188" s="1025"/>
      <c r="BO42188" s="43"/>
    </row>
    <row r="42189" spans="65:67" ht="18.75" customHeight="1">
      <c r="BM42189" s="1025"/>
      <c r="BO42189" s="43"/>
    </row>
    <row r="42190" spans="65:67" ht="18.75" customHeight="1">
      <c r="BM42190" s="1025"/>
      <c r="BO42190" s="43"/>
    </row>
    <row r="42191" spans="65:67" ht="18.75" customHeight="1">
      <c r="BM42191" s="1025"/>
      <c r="BO42191" s="43"/>
    </row>
    <row r="42192" spans="65:67" ht="18.75" customHeight="1">
      <c r="BM42192" s="1025"/>
      <c r="BO42192" s="43"/>
    </row>
    <row r="42193" spans="65:67" ht="18.75" customHeight="1">
      <c r="BM42193" s="1025"/>
      <c r="BO42193" s="43"/>
    </row>
    <row r="42194" spans="65:67" ht="18.75" customHeight="1">
      <c r="BM42194" s="1025"/>
      <c r="BO42194" s="43"/>
    </row>
    <row r="42195" spans="65:67" ht="18.75" customHeight="1">
      <c r="BM42195" s="1025"/>
      <c r="BO42195" s="43"/>
    </row>
    <row r="42196" spans="65:67" ht="18.75" customHeight="1">
      <c r="BM42196" s="1025"/>
      <c r="BO42196" s="43"/>
    </row>
    <row r="42197" spans="65:67" ht="18.75" customHeight="1">
      <c r="BM42197" s="1025"/>
      <c r="BO42197" s="43"/>
    </row>
    <row r="42198" spans="65:67" ht="18.75" customHeight="1">
      <c r="BM42198" s="1025"/>
      <c r="BO42198" s="43"/>
    </row>
    <row r="42199" spans="65:67" ht="18.75" customHeight="1">
      <c r="BM42199" s="1025"/>
      <c r="BO42199" s="43"/>
    </row>
    <row r="42200" spans="65:67" ht="18.75" customHeight="1">
      <c r="BM42200" s="1025"/>
      <c r="BO42200" s="43"/>
    </row>
    <row r="42201" spans="65:67" ht="18.75" customHeight="1">
      <c r="BM42201" s="1025"/>
      <c r="BO42201" s="43"/>
    </row>
    <row r="42202" spans="65:67" ht="18.75" customHeight="1">
      <c r="BM42202" s="1025"/>
      <c r="BO42202" s="43"/>
    </row>
    <row r="42203" spans="65:67" ht="18.75" customHeight="1">
      <c r="BM42203" s="1025"/>
      <c r="BO42203" s="43"/>
    </row>
    <row r="42204" spans="65:67" ht="18.75" customHeight="1">
      <c r="BM42204" s="1025"/>
      <c r="BO42204" s="43"/>
    </row>
    <row r="42205" spans="65:67" ht="18.75" customHeight="1">
      <c r="BM42205" s="1025"/>
      <c r="BO42205" s="43"/>
    </row>
    <row r="42206" spans="65:67" ht="18.75" customHeight="1">
      <c r="BM42206" s="1025"/>
      <c r="BO42206" s="43"/>
    </row>
    <row r="42207" spans="65:67" ht="18.75" customHeight="1">
      <c r="BM42207" s="1025"/>
      <c r="BO42207" s="43"/>
    </row>
    <row r="42208" spans="65:67" ht="18.75" customHeight="1">
      <c r="BM42208" s="1025"/>
      <c r="BO42208" s="43"/>
    </row>
    <row r="42209" spans="65:67" ht="18.75" customHeight="1">
      <c r="BM42209" s="1025"/>
      <c r="BO42209" s="43"/>
    </row>
    <row r="42210" spans="65:67" ht="18.75" customHeight="1">
      <c r="BM42210" s="1025"/>
      <c r="BO42210" s="43"/>
    </row>
    <row r="42211" spans="65:67" ht="18.75" customHeight="1">
      <c r="BM42211" s="1025"/>
      <c r="BO42211" s="43"/>
    </row>
    <row r="42212" spans="65:67" ht="18.75" customHeight="1">
      <c r="BM42212" s="1025"/>
      <c r="BO42212" s="43"/>
    </row>
    <row r="42213" spans="65:67" ht="18.75" customHeight="1">
      <c r="BM42213" s="1025"/>
      <c r="BO42213" s="43"/>
    </row>
    <row r="42214" spans="65:67" ht="18.75" customHeight="1">
      <c r="BM42214" s="1025"/>
      <c r="BO42214" s="43"/>
    </row>
    <row r="42215" spans="65:67" ht="18.75" customHeight="1">
      <c r="BM42215" s="1025"/>
      <c r="BO42215" s="43"/>
    </row>
    <row r="42216" spans="65:67" ht="18.75" customHeight="1">
      <c r="BM42216" s="1025"/>
      <c r="BO42216" s="43"/>
    </row>
    <row r="42217" spans="65:67" ht="18.75" customHeight="1">
      <c r="BM42217" s="1025"/>
      <c r="BO42217" s="43"/>
    </row>
    <row r="42218" spans="65:67" ht="18.75" customHeight="1">
      <c r="BM42218" s="1025"/>
      <c r="BO42218" s="43"/>
    </row>
    <row r="42219" spans="65:67" ht="18.75" customHeight="1">
      <c r="BM42219" s="1025"/>
      <c r="BO42219" s="43"/>
    </row>
    <row r="42220" spans="65:67" ht="18.75" customHeight="1">
      <c r="BM42220" s="1025"/>
      <c r="BO42220" s="43"/>
    </row>
    <row r="42221" spans="65:67" ht="18.75" customHeight="1">
      <c r="BM42221" s="1025"/>
      <c r="BO42221" s="43"/>
    </row>
    <row r="42222" spans="65:67" ht="18.75" customHeight="1">
      <c r="BM42222" s="1025"/>
      <c r="BO42222" s="43"/>
    </row>
    <row r="42223" spans="65:67" ht="18.75" customHeight="1">
      <c r="BM42223" s="1025"/>
      <c r="BO42223" s="43"/>
    </row>
    <row r="42224" spans="65:67" ht="18.75" customHeight="1">
      <c r="BM42224" s="1025"/>
      <c r="BO42224" s="43"/>
    </row>
    <row r="42225" spans="65:67" ht="18.75" customHeight="1">
      <c r="BM42225" s="1025"/>
      <c r="BO42225" s="43"/>
    </row>
    <row r="42226" spans="65:67" ht="18.75" customHeight="1">
      <c r="BM42226" s="1025"/>
      <c r="BO42226" s="43"/>
    </row>
    <row r="42227" spans="65:67" ht="18.75" customHeight="1">
      <c r="BM42227" s="1025"/>
      <c r="BO42227" s="43"/>
    </row>
    <row r="42228" spans="65:67" ht="18.75" customHeight="1">
      <c r="BM42228" s="1025"/>
      <c r="BO42228" s="43"/>
    </row>
    <row r="42229" spans="65:67" ht="18.75" customHeight="1">
      <c r="BM42229" s="1025"/>
      <c r="BO42229" s="43"/>
    </row>
    <row r="42230" spans="65:67" ht="18.75" customHeight="1">
      <c r="BM42230" s="1025"/>
      <c r="BO42230" s="43"/>
    </row>
    <row r="42231" spans="65:67" ht="18.75" customHeight="1">
      <c r="BM42231" s="1025"/>
      <c r="BO42231" s="43"/>
    </row>
    <row r="42232" spans="65:67" ht="18.75" customHeight="1">
      <c r="BM42232" s="1025"/>
      <c r="BO42232" s="43"/>
    </row>
    <row r="42233" spans="65:67" ht="18.75" customHeight="1">
      <c r="BM42233" s="1025"/>
      <c r="BO42233" s="43"/>
    </row>
    <row r="42234" spans="65:67" ht="18.75" customHeight="1">
      <c r="BM42234" s="1025"/>
      <c r="BO42234" s="43"/>
    </row>
    <row r="42235" spans="65:67" ht="18.75" customHeight="1">
      <c r="BM42235" s="1025"/>
      <c r="BO42235" s="43"/>
    </row>
    <row r="42236" spans="65:67" ht="18.75" customHeight="1">
      <c r="BM42236" s="1025"/>
      <c r="BO42236" s="43"/>
    </row>
    <row r="42237" spans="65:67" ht="18.75" customHeight="1">
      <c r="BM42237" s="1025"/>
      <c r="BO42237" s="43"/>
    </row>
    <row r="42238" spans="65:67" ht="18.75" customHeight="1">
      <c r="BM42238" s="1025"/>
      <c r="BO42238" s="43"/>
    </row>
    <row r="42239" spans="65:67" ht="18.75" customHeight="1">
      <c r="BM42239" s="1025"/>
      <c r="BO42239" s="43"/>
    </row>
    <row r="42240" spans="65:67" ht="18.75" customHeight="1">
      <c r="BM42240" s="1025"/>
      <c r="BO42240" s="43"/>
    </row>
    <row r="42241" spans="65:67" ht="18.75" customHeight="1">
      <c r="BM42241" s="1025"/>
      <c r="BO42241" s="43"/>
    </row>
    <row r="42242" spans="65:67" ht="18.75" customHeight="1">
      <c r="BM42242" s="1025"/>
      <c r="BO42242" s="43"/>
    </row>
    <row r="42243" spans="65:67" ht="18.75" customHeight="1">
      <c r="BM42243" s="1025"/>
      <c r="BO42243" s="43"/>
    </row>
    <row r="42244" spans="65:67" ht="18.75" customHeight="1">
      <c r="BM42244" s="1025"/>
      <c r="BO42244" s="43"/>
    </row>
    <row r="42245" spans="65:67" ht="18.75" customHeight="1">
      <c r="BM42245" s="1025"/>
      <c r="BO42245" s="43"/>
    </row>
    <row r="42246" spans="65:67" ht="18.75" customHeight="1">
      <c r="BM42246" s="1025"/>
      <c r="BO42246" s="43"/>
    </row>
    <row r="42247" spans="65:67" ht="18.75" customHeight="1">
      <c r="BM42247" s="1025"/>
      <c r="BO42247" s="43"/>
    </row>
    <row r="42248" spans="65:67" ht="18.75" customHeight="1">
      <c r="BM42248" s="1025"/>
      <c r="BO42248" s="43"/>
    </row>
    <row r="42249" spans="65:67" ht="18.75" customHeight="1">
      <c r="BM42249" s="1025"/>
      <c r="BO42249" s="43"/>
    </row>
    <row r="42250" spans="65:67" ht="18.75" customHeight="1">
      <c r="BM42250" s="1025"/>
      <c r="BO42250" s="43"/>
    </row>
    <row r="42251" spans="65:67" ht="18.75" customHeight="1">
      <c r="BM42251" s="1025"/>
      <c r="BO42251" s="43"/>
    </row>
    <row r="42252" spans="65:67" ht="18.75" customHeight="1">
      <c r="BM42252" s="1025"/>
      <c r="BO42252" s="43"/>
    </row>
    <row r="42253" spans="65:67" ht="18.75" customHeight="1">
      <c r="BM42253" s="1025"/>
      <c r="BO42253" s="43"/>
    </row>
    <row r="42254" spans="65:67" ht="18.75" customHeight="1">
      <c r="BM42254" s="1025"/>
      <c r="BO42254" s="43"/>
    </row>
    <row r="42255" spans="65:67" ht="18.75" customHeight="1">
      <c r="BM42255" s="1025"/>
      <c r="BO42255" s="43"/>
    </row>
    <row r="42256" spans="65:67" ht="18.75" customHeight="1">
      <c r="BM42256" s="1025"/>
      <c r="BO42256" s="43"/>
    </row>
    <row r="42257" spans="65:67" ht="18.75" customHeight="1">
      <c r="BM42257" s="1025"/>
      <c r="BO42257" s="43"/>
    </row>
    <row r="42258" spans="65:67" ht="18.75" customHeight="1">
      <c r="BM42258" s="1025"/>
      <c r="BO42258" s="43"/>
    </row>
    <row r="42259" spans="65:67" ht="18.75" customHeight="1">
      <c r="BM42259" s="1025"/>
      <c r="BO42259" s="43"/>
    </row>
    <row r="42260" spans="65:67" ht="18.75" customHeight="1">
      <c r="BM42260" s="1025"/>
      <c r="BO42260" s="43"/>
    </row>
    <row r="42261" spans="65:67" ht="18.75" customHeight="1">
      <c r="BM42261" s="1025"/>
      <c r="BO42261" s="43"/>
    </row>
    <row r="42262" spans="65:67" ht="18.75" customHeight="1">
      <c r="BM42262" s="1025"/>
      <c r="BO42262" s="43"/>
    </row>
    <row r="42263" spans="65:67" ht="18.75" customHeight="1">
      <c r="BM42263" s="1025"/>
      <c r="BO42263" s="43"/>
    </row>
    <row r="42264" spans="65:67" ht="18.75" customHeight="1">
      <c r="BM42264" s="1025"/>
      <c r="BO42264" s="43"/>
    </row>
    <row r="42265" spans="65:67" ht="18.75" customHeight="1">
      <c r="BM42265" s="1025"/>
      <c r="BO42265" s="43"/>
    </row>
    <row r="42266" spans="65:67" ht="18.75" customHeight="1">
      <c r="BM42266" s="1025"/>
      <c r="BO42266" s="43"/>
    </row>
    <row r="42267" spans="65:67" ht="18.75" customHeight="1">
      <c r="BM42267" s="1025"/>
      <c r="BO42267" s="43"/>
    </row>
    <row r="42268" spans="65:67" ht="18.75" customHeight="1">
      <c r="BM42268" s="1025"/>
      <c r="BO42268" s="43"/>
    </row>
    <row r="42269" spans="65:67" ht="18.75" customHeight="1">
      <c r="BM42269" s="1025"/>
      <c r="BO42269" s="43"/>
    </row>
    <row r="42270" spans="65:67" ht="18.75" customHeight="1">
      <c r="BM42270" s="1025"/>
      <c r="BO42270" s="43"/>
    </row>
    <row r="42271" spans="65:67" ht="18.75" customHeight="1">
      <c r="BM42271" s="1025"/>
      <c r="BO42271" s="43"/>
    </row>
    <row r="42272" spans="65:67" ht="18.75" customHeight="1">
      <c r="BM42272" s="1025"/>
      <c r="BO42272" s="43"/>
    </row>
    <row r="42273" spans="65:67" ht="18.75" customHeight="1">
      <c r="BM42273" s="1025"/>
      <c r="BO42273" s="43"/>
    </row>
    <row r="42274" spans="65:67" ht="18.75" customHeight="1">
      <c r="BM42274" s="1025"/>
      <c r="BO42274" s="43"/>
    </row>
    <row r="42275" spans="65:67" ht="18.75" customHeight="1">
      <c r="BM42275" s="1025"/>
      <c r="BO42275" s="43"/>
    </row>
    <row r="42276" spans="65:67" ht="18.75" customHeight="1">
      <c r="BM42276" s="1025"/>
      <c r="BO42276" s="43"/>
    </row>
    <row r="42277" spans="65:67" ht="18.75" customHeight="1">
      <c r="BM42277" s="1025"/>
      <c r="BO42277" s="43"/>
    </row>
    <row r="42278" spans="65:67" ht="18.75" customHeight="1">
      <c r="BM42278" s="1025"/>
      <c r="BO42278" s="43"/>
    </row>
    <row r="42279" spans="65:67" ht="18.75" customHeight="1">
      <c r="BM42279" s="1025"/>
      <c r="BO42279" s="43"/>
    </row>
    <row r="42280" spans="65:67" ht="18.75" customHeight="1">
      <c r="BM42280" s="1025"/>
      <c r="BO42280" s="43"/>
    </row>
    <row r="42281" spans="65:67" ht="18.75" customHeight="1">
      <c r="BM42281" s="1025"/>
      <c r="BO42281" s="43"/>
    </row>
    <row r="42282" spans="65:67" ht="18.75" customHeight="1">
      <c r="BM42282" s="1025"/>
      <c r="BO42282" s="43"/>
    </row>
    <row r="42283" spans="65:67" ht="18.75" customHeight="1">
      <c r="BM42283" s="1025"/>
      <c r="BO42283" s="43"/>
    </row>
    <row r="42284" spans="65:67" ht="18.75" customHeight="1">
      <c r="BM42284" s="1025"/>
      <c r="BO42284" s="43"/>
    </row>
    <row r="42285" spans="65:67" ht="18.75" customHeight="1">
      <c r="BM42285" s="1025"/>
      <c r="BO42285" s="43"/>
    </row>
    <row r="42286" spans="65:67" ht="18.75" customHeight="1">
      <c r="BM42286" s="1025"/>
      <c r="BO42286" s="43"/>
    </row>
    <row r="42287" spans="65:67" ht="18.75" customHeight="1">
      <c r="BM42287" s="1025"/>
      <c r="BO42287" s="43"/>
    </row>
    <row r="42288" spans="65:67" ht="18.75" customHeight="1">
      <c r="BM42288" s="1025"/>
      <c r="BO42288" s="43"/>
    </row>
    <row r="42289" spans="65:67" ht="18.75" customHeight="1">
      <c r="BM42289" s="1025"/>
      <c r="BO42289" s="43"/>
    </row>
    <row r="42290" spans="65:67" ht="18.75" customHeight="1">
      <c r="BM42290" s="1025"/>
      <c r="BO42290" s="43"/>
    </row>
    <row r="42291" spans="65:67" ht="18.75" customHeight="1">
      <c r="BM42291" s="1025"/>
      <c r="BO42291" s="43"/>
    </row>
    <row r="42292" spans="65:67" ht="18.75" customHeight="1">
      <c r="BM42292" s="1025"/>
      <c r="BO42292" s="43"/>
    </row>
    <row r="42293" spans="65:67" ht="18.75" customHeight="1">
      <c r="BM42293" s="1025"/>
      <c r="BO42293" s="43"/>
    </row>
    <row r="42294" spans="65:67" ht="18.75" customHeight="1">
      <c r="BM42294" s="1025"/>
      <c r="BO42294" s="43"/>
    </row>
    <row r="42295" spans="65:67" ht="18.75" customHeight="1">
      <c r="BM42295" s="1025"/>
      <c r="BO42295" s="43"/>
    </row>
    <row r="42296" spans="65:67" ht="18.75" customHeight="1">
      <c r="BM42296" s="1025"/>
      <c r="BO42296" s="43"/>
    </row>
    <row r="42297" spans="65:67" ht="18.75" customHeight="1">
      <c r="BM42297" s="1025"/>
      <c r="BO42297" s="43"/>
    </row>
    <row r="42298" spans="65:67" ht="18.75" customHeight="1">
      <c r="BM42298" s="1025"/>
      <c r="BO42298" s="43"/>
    </row>
    <row r="42299" spans="65:67" ht="18.75" customHeight="1">
      <c r="BM42299" s="1025"/>
      <c r="BO42299" s="43"/>
    </row>
    <row r="42300" spans="65:67" ht="18.75" customHeight="1">
      <c r="BM42300" s="1025"/>
      <c r="BO42300" s="43"/>
    </row>
    <row r="42301" spans="65:67" ht="18.75" customHeight="1">
      <c r="BM42301" s="1025"/>
      <c r="BO42301" s="43"/>
    </row>
    <row r="42302" spans="65:67" ht="18.75" customHeight="1">
      <c r="BM42302" s="1025"/>
      <c r="BO42302" s="43"/>
    </row>
    <row r="42303" spans="65:67" ht="18.75" customHeight="1">
      <c r="BM42303" s="1025"/>
      <c r="BO42303" s="43"/>
    </row>
    <row r="42304" spans="65:67" ht="18.75" customHeight="1">
      <c r="BM42304" s="1025"/>
      <c r="BO42304" s="43"/>
    </row>
    <row r="42305" spans="65:67" ht="18.75" customHeight="1">
      <c r="BM42305" s="1025"/>
      <c r="BO42305" s="43"/>
    </row>
    <row r="42306" spans="65:67" ht="18.75" customHeight="1">
      <c r="BM42306" s="1025"/>
      <c r="BO42306" s="43"/>
    </row>
    <row r="42307" spans="65:67" ht="18.75" customHeight="1">
      <c r="BM42307" s="1025"/>
      <c r="BO42307" s="43"/>
    </row>
    <row r="42308" spans="65:67" ht="18.75" customHeight="1">
      <c r="BM42308" s="1025"/>
      <c r="BO42308" s="43"/>
    </row>
    <row r="42309" spans="65:67" ht="18.75" customHeight="1">
      <c r="BM42309" s="1025"/>
      <c r="BO42309" s="43"/>
    </row>
    <row r="42310" spans="65:67" ht="18.75" customHeight="1">
      <c r="BM42310" s="1025"/>
      <c r="BO42310" s="43"/>
    </row>
    <row r="42311" spans="65:67" ht="18.75" customHeight="1">
      <c r="BM42311" s="1025"/>
      <c r="BO42311" s="43"/>
    </row>
    <row r="42312" spans="65:67" ht="18.75" customHeight="1">
      <c r="BM42312" s="1025"/>
      <c r="BO42312" s="43"/>
    </row>
    <row r="42313" spans="65:67" ht="18.75" customHeight="1">
      <c r="BM42313" s="1025"/>
      <c r="BO42313" s="43"/>
    </row>
    <row r="42314" spans="65:67" ht="18.75" customHeight="1">
      <c r="BM42314" s="1025"/>
      <c r="BO42314" s="43"/>
    </row>
    <row r="42315" spans="65:67" ht="18.75" customHeight="1">
      <c r="BM42315" s="1025"/>
      <c r="BO42315" s="43"/>
    </row>
    <row r="42316" spans="65:67" ht="18.75" customHeight="1">
      <c r="BM42316" s="1025"/>
      <c r="BO42316" s="43"/>
    </row>
    <row r="42317" spans="65:67" ht="18.75" customHeight="1">
      <c r="BM42317" s="1025"/>
      <c r="BO42317" s="43"/>
    </row>
    <row r="42318" spans="65:67" ht="18.75" customHeight="1">
      <c r="BM42318" s="1025"/>
      <c r="BO42318" s="43"/>
    </row>
    <row r="42319" spans="65:67" ht="18.75" customHeight="1">
      <c r="BM42319" s="1025"/>
      <c r="BO42319" s="43"/>
    </row>
    <row r="42320" spans="65:67" ht="18.75" customHeight="1">
      <c r="BM42320" s="1025"/>
      <c r="BO42320" s="43"/>
    </row>
    <row r="42321" spans="65:67" ht="18.75" customHeight="1">
      <c r="BM42321" s="1025"/>
      <c r="BO42321" s="43"/>
    </row>
    <row r="42322" spans="65:67" ht="18.75" customHeight="1">
      <c r="BM42322" s="1025"/>
      <c r="BO42322" s="43"/>
    </row>
    <row r="42323" spans="65:67" ht="18.75" customHeight="1">
      <c r="BM42323" s="1025"/>
      <c r="BO42323" s="43"/>
    </row>
    <row r="42324" spans="65:67" ht="18.75" customHeight="1">
      <c r="BM42324" s="1025"/>
      <c r="BO42324" s="43"/>
    </row>
    <row r="42325" spans="65:67" ht="18.75" customHeight="1">
      <c r="BM42325" s="1025"/>
      <c r="BO42325" s="43"/>
    </row>
    <row r="42326" spans="65:67" ht="18.75" customHeight="1">
      <c r="BM42326" s="1025"/>
      <c r="BO42326" s="43"/>
    </row>
    <row r="42327" spans="65:67" ht="18.75" customHeight="1">
      <c r="BM42327" s="1025"/>
      <c r="BO42327" s="43"/>
    </row>
    <row r="42328" spans="65:67" ht="18.75" customHeight="1">
      <c r="BM42328" s="1025"/>
      <c r="BO42328" s="43"/>
    </row>
    <row r="42329" spans="65:67" ht="18.75" customHeight="1">
      <c r="BM42329" s="1025"/>
      <c r="BO42329" s="43"/>
    </row>
    <row r="42330" spans="65:67" ht="18.75" customHeight="1">
      <c r="BM42330" s="1025"/>
      <c r="BO42330" s="43"/>
    </row>
    <row r="42331" spans="65:67" ht="18.75" customHeight="1">
      <c r="BM42331" s="1025"/>
      <c r="BO42331" s="43"/>
    </row>
    <row r="42332" spans="65:67" ht="18.75" customHeight="1">
      <c r="BM42332" s="1025"/>
      <c r="BO42332" s="43"/>
    </row>
    <row r="42333" spans="65:67" ht="18.75" customHeight="1">
      <c r="BM42333" s="1025"/>
      <c r="BO42333" s="43"/>
    </row>
    <row r="42334" spans="65:67" ht="18.75" customHeight="1">
      <c r="BM42334" s="1025"/>
      <c r="BO42334" s="43"/>
    </row>
    <row r="42335" spans="65:67" ht="18.75" customHeight="1">
      <c r="BM42335" s="1025"/>
      <c r="BO42335" s="43"/>
    </row>
    <row r="42336" spans="65:67" ht="18.75" customHeight="1">
      <c r="BM42336" s="1025"/>
      <c r="BO42336" s="43"/>
    </row>
    <row r="42337" spans="65:67" ht="18.75" customHeight="1">
      <c r="BM42337" s="1025"/>
      <c r="BO42337" s="43"/>
    </row>
    <row r="42338" spans="65:67" ht="18.75" customHeight="1">
      <c r="BM42338" s="1025"/>
      <c r="BO42338" s="43"/>
    </row>
    <row r="42339" spans="65:67" ht="18.75" customHeight="1">
      <c r="BM42339" s="1025"/>
      <c r="BO42339" s="43"/>
    </row>
    <row r="42340" spans="65:67" ht="18.75" customHeight="1">
      <c r="BM42340" s="1025"/>
      <c r="BO42340" s="43"/>
    </row>
    <row r="42341" spans="65:67" ht="18.75" customHeight="1">
      <c r="BM42341" s="1025"/>
      <c r="BO42341" s="43"/>
    </row>
    <row r="42342" spans="65:67" ht="18.75" customHeight="1">
      <c r="BM42342" s="1025"/>
      <c r="BO42342" s="43"/>
    </row>
    <row r="42343" spans="65:67" ht="18.75" customHeight="1">
      <c r="BM42343" s="1025"/>
      <c r="BO42343" s="43"/>
    </row>
    <row r="42344" spans="65:67" ht="18.75" customHeight="1">
      <c r="BM42344" s="1025"/>
      <c r="BO42344" s="43"/>
    </row>
    <row r="42345" spans="65:67" ht="18.75" customHeight="1">
      <c r="BM42345" s="1025"/>
      <c r="BO42345" s="43"/>
    </row>
    <row r="42346" spans="65:67" ht="18.75" customHeight="1">
      <c r="BM42346" s="1025"/>
      <c r="BO42346" s="43"/>
    </row>
    <row r="42347" spans="65:67" ht="18.75" customHeight="1">
      <c r="BM42347" s="1025"/>
      <c r="BO42347" s="43"/>
    </row>
    <row r="42348" spans="65:67" ht="18.75" customHeight="1">
      <c r="BM42348" s="1025"/>
      <c r="BO42348" s="43"/>
    </row>
    <row r="42349" spans="65:67" ht="18.75" customHeight="1">
      <c r="BM42349" s="1025"/>
      <c r="BO42349" s="43"/>
    </row>
    <row r="42350" spans="65:67" ht="18.75" customHeight="1">
      <c r="BM42350" s="1025"/>
      <c r="BO42350" s="43"/>
    </row>
    <row r="42351" spans="65:67" ht="18.75" customHeight="1">
      <c r="BM42351" s="1025"/>
      <c r="BO42351" s="43"/>
    </row>
    <row r="42352" spans="65:67" ht="18.75" customHeight="1">
      <c r="BM42352" s="1025"/>
      <c r="BO42352" s="43"/>
    </row>
    <row r="42353" spans="65:67" ht="18.75" customHeight="1">
      <c r="BM42353" s="1025"/>
      <c r="BO42353" s="43"/>
    </row>
    <row r="42354" spans="65:67" ht="18.75" customHeight="1">
      <c r="BM42354" s="1025"/>
      <c r="BO42354" s="43"/>
    </row>
    <row r="42355" spans="65:67" ht="18.75" customHeight="1">
      <c r="BM42355" s="1025"/>
      <c r="BO42355" s="43"/>
    </row>
    <row r="42356" spans="65:67" ht="18.75" customHeight="1">
      <c r="BM42356" s="1025"/>
      <c r="BO42356" s="43"/>
    </row>
    <row r="42357" spans="65:67" ht="18.75" customHeight="1">
      <c r="BM42357" s="1025"/>
      <c r="BO42357" s="43"/>
    </row>
    <row r="42358" spans="65:67" ht="18.75" customHeight="1">
      <c r="BM42358" s="1025"/>
      <c r="BO42358" s="43"/>
    </row>
    <row r="42359" spans="65:67" ht="18.75" customHeight="1">
      <c r="BM42359" s="1025"/>
      <c r="BO42359" s="43"/>
    </row>
    <row r="42360" spans="65:67" ht="18.75" customHeight="1">
      <c r="BM42360" s="1025"/>
      <c r="BO42360" s="43"/>
    </row>
    <row r="42361" spans="65:67" ht="18.75" customHeight="1">
      <c r="BM42361" s="1025"/>
      <c r="BO42361" s="43"/>
    </row>
    <row r="42362" spans="65:67" ht="18.75" customHeight="1">
      <c r="BM42362" s="1025"/>
      <c r="BO42362" s="43"/>
    </row>
    <row r="42363" spans="65:67" ht="18.75" customHeight="1">
      <c r="BM42363" s="1025"/>
      <c r="BO42363" s="43"/>
    </row>
    <row r="42364" spans="65:67" ht="18.75" customHeight="1">
      <c r="BM42364" s="1025"/>
      <c r="BO42364" s="43"/>
    </row>
    <row r="42365" spans="65:67" ht="18.75" customHeight="1">
      <c r="BM42365" s="1025"/>
      <c r="BO42365" s="43"/>
    </row>
    <row r="42366" spans="65:67" ht="18.75" customHeight="1">
      <c r="BM42366" s="1025"/>
      <c r="BO42366" s="43"/>
    </row>
    <row r="42367" spans="65:67" ht="18.75" customHeight="1">
      <c r="BM42367" s="1025"/>
      <c r="BO42367" s="43"/>
    </row>
    <row r="42368" spans="65:67" ht="18.75" customHeight="1">
      <c r="BM42368" s="1025"/>
      <c r="BO42368" s="43"/>
    </row>
    <row r="42369" spans="65:67" ht="18.75" customHeight="1">
      <c r="BM42369" s="1025"/>
      <c r="BO42369" s="43"/>
    </row>
    <row r="42370" spans="65:67" ht="18.75" customHeight="1">
      <c r="BM42370" s="1025"/>
      <c r="BO42370" s="43"/>
    </row>
    <row r="42371" spans="65:67" ht="18.75" customHeight="1">
      <c r="BM42371" s="1025"/>
      <c r="BO42371" s="43"/>
    </row>
    <row r="42372" spans="65:67" ht="18.75" customHeight="1">
      <c r="BM42372" s="1025"/>
      <c r="BO42372" s="43"/>
    </row>
    <row r="42373" spans="65:67" ht="18.75" customHeight="1">
      <c r="BM42373" s="1025"/>
      <c r="BO42373" s="43"/>
    </row>
    <row r="42374" spans="65:67" ht="18.75" customHeight="1">
      <c r="BM42374" s="1025"/>
      <c r="BO42374" s="43"/>
    </row>
    <row r="42375" spans="65:67" ht="18.75" customHeight="1">
      <c r="BM42375" s="1025"/>
      <c r="BO42375" s="43"/>
    </row>
    <row r="42376" spans="65:67" ht="18.75" customHeight="1">
      <c r="BM42376" s="1025"/>
      <c r="BO42376" s="43"/>
    </row>
    <row r="42377" spans="65:67" ht="18.75" customHeight="1">
      <c r="BM42377" s="1025"/>
      <c r="BO42377" s="43"/>
    </row>
    <row r="42378" spans="65:67" ht="18.75" customHeight="1">
      <c r="BM42378" s="1025"/>
      <c r="BO42378" s="43"/>
    </row>
    <row r="42379" spans="65:67" ht="18.75" customHeight="1">
      <c r="BM42379" s="1025"/>
      <c r="BO42379" s="43"/>
    </row>
    <row r="42380" spans="65:67" ht="18.75" customHeight="1">
      <c r="BM42380" s="1025"/>
      <c r="BO42380" s="43"/>
    </row>
    <row r="42381" spans="65:67" ht="18.75" customHeight="1">
      <c r="BM42381" s="1025"/>
      <c r="BO42381" s="43"/>
    </row>
    <row r="42382" spans="65:67" ht="18.75" customHeight="1">
      <c r="BM42382" s="1025"/>
      <c r="BO42382" s="43"/>
    </row>
    <row r="42383" spans="65:67" ht="18.75" customHeight="1">
      <c r="BM42383" s="1025"/>
      <c r="BO42383" s="43"/>
    </row>
    <row r="42384" spans="65:67" ht="18.75" customHeight="1">
      <c r="BM42384" s="1025"/>
      <c r="BO42384" s="43"/>
    </row>
    <row r="42385" spans="65:67" ht="18.75" customHeight="1">
      <c r="BM42385" s="1025"/>
      <c r="BO42385" s="43"/>
    </row>
    <row r="42386" spans="65:67" ht="18.75" customHeight="1">
      <c r="BM42386" s="1025"/>
      <c r="BO42386" s="43"/>
    </row>
    <row r="42387" spans="65:67" ht="18.75" customHeight="1">
      <c r="BM42387" s="1025"/>
      <c r="BO42387" s="43"/>
    </row>
    <row r="42388" spans="65:67" ht="18.75" customHeight="1">
      <c r="BM42388" s="1025"/>
      <c r="BO42388" s="43"/>
    </row>
    <row r="42389" spans="65:67" ht="18.75" customHeight="1">
      <c r="BM42389" s="1025"/>
      <c r="BO42389" s="43"/>
    </row>
    <row r="42390" spans="65:67" ht="18.75" customHeight="1">
      <c r="BM42390" s="1025"/>
      <c r="BO42390" s="43"/>
    </row>
    <row r="42391" spans="65:67" ht="18.75" customHeight="1">
      <c r="BM42391" s="1025"/>
      <c r="BO42391" s="43"/>
    </row>
    <row r="42392" spans="65:67" ht="18.75" customHeight="1">
      <c r="BM42392" s="1025"/>
      <c r="BO42392" s="43"/>
    </row>
    <row r="42393" spans="65:67" ht="18.75" customHeight="1">
      <c r="BM42393" s="1025"/>
      <c r="BO42393" s="43"/>
    </row>
    <row r="42394" spans="65:67" ht="18.75" customHeight="1">
      <c r="BM42394" s="1025"/>
      <c r="BO42394" s="43"/>
    </row>
    <row r="42395" spans="65:67" ht="18.75" customHeight="1">
      <c r="BM42395" s="1025"/>
      <c r="BO42395" s="43"/>
    </row>
    <row r="42396" spans="65:67" ht="18.75" customHeight="1">
      <c r="BM42396" s="1025"/>
      <c r="BO42396" s="43"/>
    </row>
    <row r="42397" spans="65:67" ht="18.75" customHeight="1">
      <c r="BM42397" s="1025"/>
      <c r="BO42397" s="43"/>
    </row>
    <row r="42398" spans="65:67" ht="18.75" customHeight="1">
      <c r="BM42398" s="1025"/>
      <c r="BO42398" s="43"/>
    </row>
    <row r="42399" spans="65:67" ht="18.75" customHeight="1">
      <c r="BM42399" s="1025"/>
      <c r="BO42399" s="43"/>
    </row>
    <row r="42400" spans="65:67" ht="18.75" customHeight="1">
      <c r="BM42400" s="1025"/>
      <c r="BO42400" s="43"/>
    </row>
    <row r="42401" spans="65:67" ht="18.75" customHeight="1">
      <c r="BM42401" s="1025"/>
      <c r="BO42401" s="43"/>
    </row>
    <row r="42402" spans="65:67" ht="18.75" customHeight="1">
      <c r="BM42402" s="1025"/>
      <c r="BO42402" s="43"/>
    </row>
    <row r="42403" spans="65:67" ht="18.75" customHeight="1">
      <c r="BM42403" s="1025"/>
      <c r="BO42403" s="43"/>
    </row>
    <row r="42404" spans="65:67" ht="18.75" customHeight="1">
      <c r="BM42404" s="1025"/>
      <c r="BO42404" s="43"/>
    </row>
    <row r="42405" spans="65:67" ht="18.75" customHeight="1">
      <c r="BM42405" s="1025"/>
      <c r="BO42405" s="43"/>
    </row>
    <row r="42406" spans="65:67" ht="18.75" customHeight="1">
      <c r="BM42406" s="1025"/>
      <c r="BO42406" s="43"/>
    </row>
    <row r="42407" spans="65:67" ht="18.75" customHeight="1">
      <c r="BM42407" s="1025"/>
      <c r="BO42407" s="43"/>
    </row>
    <row r="42408" spans="65:67" ht="18.75" customHeight="1">
      <c r="BM42408" s="1025"/>
      <c r="BO42408" s="43"/>
    </row>
    <row r="42409" spans="65:67" ht="18.75" customHeight="1">
      <c r="BM42409" s="1025"/>
      <c r="BO42409" s="43"/>
    </row>
    <row r="42410" spans="65:67" ht="18.75" customHeight="1">
      <c r="BM42410" s="1025"/>
      <c r="BO42410" s="43"/>
    </row>
    <row r="42411" spans="65:67" ht="18.75" customHeight="1">
      <c r="BM42411" s="1025"/>
      <c r="BO42411" s="43"/>
    </row>
    <row r="42412" spans="65:67" ht="18.75" customHeight="1">
      <c r="BM42412" s="1025"/>
      <c r="BO42412" s="43"/>
    </row>
    <row r="42413" spans="65:67" ht="18.75" customHeight="1">
      <c r="BM42413" s="1025"/>
      <c r="BO42413" s="43"/>
    </row>
    <row r="42414" spans="65:67" ht="18.75" customHeight="1">
      <c r="BM42414" s="1025"/>
      <c r="BO42414" s="43"/>
    </row>
    <row r="42415" spans="65:67" ht="18.75" customHeight="1">
      <c r="BM42415" s="1025"/>
      <c r="BO42415" s="43"/>
    </row>
    <row r="42416" spans="65:67" ht="18.75" customHeight="1">
      <c r="BM42416" s="1025"/>
      <c r="BO42416" s="43"/>
    </row>
    <row r="42417" spans="65:67" ht="18.75" customHeight="1">
      <c r="BM42417" s="1025"/>
      <c r="BO42417" s="43"/>
    </row>
    <row r="42418" spans="65:67" ht="18.75" customHeight="1">
      <c r="BM42418" s="1025"/>
      <c r="BO42418" s="43"/>
    </row>
    <row r="42419" spans="65:67" ht="18.75" customHeight="1">
      <c r="BM42419" s="1025"/>
      <c r="BO42419" s="43"/>
    </row>
    <row r="42420" spans="65:67" ht="18.75" customHeight="1">
      <c r="BM42420" s="1025"/>
      <c r="BO42420" s="43"/>
    </row>
    <row r="42421" spans="65:67" ht="18.75" customHeight="1">
      <c r="BM42421" s="1025"/>
      <c r="BO42421" s="43"/>
    </row>
    <row r="42422" spans="65:67" ht="18.75" customHeight="1">
      <c r="BM42422" s="1025"/>
      <c r="BO42422" s="43"/>
    </row>
    <row r="42423" spans="65:67" ht="18.75" customHeight="1">
      <c r="BM42423" s="1025"/>
      <c r="BO42423" s="43"/>
    </row>
    <row r="42424" spans="65:67" ht="18.75" customHeight="1">
      <c r="BM42424" s="1025"/>
      <c r="BO42424" s="43"/>
    </row>
    <row r="42425" spans="65:67" ht="18.75" customHeight="1">
      <c r="BM42425" s="1025"/>
      <c r="BO42425" s="43"/>
    </row>
    <row r="42426" spans="65:67" ht="18.75" customHeight="1">
      <c r="BM42426" s="1025"/>
      <c r="BO42426" s="43"/>
    </row>
    <row r="42427" spans="65:67" ht="18.75" customHeight="1">
      <c r="BM42427" s="1025"/>
      <c r="BO42427" s="43"/>
    </row>
    <row r="42428" spans="65:67" ht="18.75" customHeight="1">
      <c r="BM42428" s="1025"/>
      <c r="BO42428" s="43"/>
    </row>
    <row r="42429" spans="65:67" ht="18.75" customHeight="1">
      <c r="BM42429" s="1025"/>
      <c r="BO42429" s="43"/>
    </row>
    <row r="42430" spans="65:67" ht="18.75" customHeight="1">
      <c r="BM42430" s="1025"/>
      <c r="BO42430" s="43"/>
    </row>
    <row r="42431" spans="65:67" ht="18.75" customHeight="1">
      <c r="BM42431" s="1025"/>
      <c r="BO42431" s="43"/>
    </row>
    <row r="42432" spans="65:67" ht="18.75" customHeight="1">
      <c r="BM42432" s="1025"/>
      <c r="BO42432" s="43"/>
    </row>
    <row r="42433" spans="65:67" ht="18.75" customHeight="1">
      <c r="BM42433" s="1025"/>
      <c r="BO42433" s="43"/>
    </row>
    <row r="42434" spans="65:67" ht="18.75" customHeight="1">
      <c r="BM42434" s="1025"/>
      <c r="BO42434" s="43"/>
    </row>
    <row r="42435" spans="65:67" ht="18.75" customHeight="1">
      <c r="BM42435" s="1025"/>
      <c r="BO42435" s="43"/>
    </row>
    <row r="42436" spans="65:67" ht="18.75" customHeight="1">
      <c r="BM42436" s="1025"/>
      <c r="BO42436" s="43"/>
    </row>
    <row r="42437" spans="65:67" ht="18.75" customHeight="1">
      <c r="BM42437" s="1025"/>
      <c r="BO42437" s="43"/>
    </row>
    <row r="42438" spans="65:67" ht="18.75" customHeight="1">
      <c r="BM42438" s="1025"/>
      <c r="BO42438" s="43"/>
    </row>
    <row r="42439" spans="65:67" ht="18.75" customHeight="1">
      <c r="BM42439" s="1025"/>
      <c r="BO42439" s="43"/>
    </row>
    <row r="42440" spans="65:67" ht="18.75" customHeight="1">
      <c r="BM42440" s="1025"/>
      <c r="BO42440" s="43"/>
    </row>
    <row r="42441" spans="65:67" ht="18.75" customHeight="1">
      <c r="BM42441" s="1025"/>
      <c r="BO42441" s="43"/>
    </row>
    <row r="42442" spans="65:67" ht="18.75" customHeight="1">
      <c r="BM42442" s="1025"/>
      <c r="BO42442" s="43"/>
    </row>
    <row r="42443" spans="65:67" ht="18.75" customHeight="1">
      <c r="BM42443" s="1025"/>
      <c r="BO42443" s="43"/>
    </row>
    <row r="42444" spans="65:67" ht="18.75" customHeight="1">
      <c r="BM42444" s="1025"/>
      <c r="BO42444" s="43"/>
    </row>
    <row r="42445" spans="65:67" ht="18.75" customHeight="1">
      <c r="BM42445" s="1025"/>
      <c r="BO42445" s="43"/>
    </row>
    <row r="42446" spans="65:67" ht="18.75" customHeight="1">
      <c r="BM42446" s="1025"/>
      <c r="BO42446" s="43"/>
    </row>
    <row r="42447" spans="65:67" ht="18.75" customHeight="1">
      <c r="BM42447" s="1025"/>
      <c r="BO42447" s="43"/>
    </row>
    <row r="42448" spans="65:67" ht="18.75" customHeight="1">
      <c r="BM42448" s="1025"/>
      <c r="BO42448" s="43"/>
    </row>
    <row r="42449" spans="65:67" ht="18.75" customHeight="1">
      <c r="BM42449" s="1025"/>
      <c r="BO42449" s="43"/>
    </row>
    <row r="42450" spans="65:67" ht="18.75" customHeight="1">
      <c r="BM42450" s="1025"/>
      <c r="BO42450" s="43"/>
    </row>
    <row r="42451" spans="65:67" ht="18.75" customHeight="1">
      <c r="BM42451" s="1025"/>
      <c r="BO42451" s="43"/>
    </row>
    <row r="42452" spans="65:67" ht="18.75" customHeight="1">
      <c r="BM42452" s="1025"/>
      <c r="BO42452" s="43"/>
    </row>
    <row r="42453" spans="65:67" ht="18.75" customHeight="1">
      <c r="BM42453" s="1025"/>
      <c r="BO42453" s="43"/>
    </row>
    <row r="42454" spans="65:67" ht="18.75" customHeight="1">
      <c r="BM42454" s="1025"/>
      <c r="BO42454" s="43"/>
    </row>
    <row r="42455" spans="65:67" ht="18.75" customHeight="1">
      <c r="BM42455" s="1025"/>
      <c r="BO42455" s="43"/>
    </row>
    <row r="42456" spans="65:67" ht="18.75" customHeight="1">
      <c r="BM42456" s="1025"/>
      <c r="BO42456" s="43"/>
    </row>
    <row r="42457" spans="65:67" ht="18.75" customHeight="1">
      <c r="BM42457" s="1025"/>
      <c r="BO42457" s="43"/>
    </row>
    <row r="42458" spans="65:67" ht="18.75" customHeight="1">
      <c r="BM42458" s="1025"/>
      <c r="BO42458" s="43"/>
    </row>
    <row r="42459" spans="65:67" ht="18.75" customHeight="1">
      <c r="BM42459" s="1025"/>
      <c r="BO42459" s="43"/>
    </row>
    <row r="42460" spans="65:67" ht="18.75" customHeight="1">
      <c r="BM42460" s="1025"/>
      <c r="BO42460" s="43"/>
    </row>
    <row r="42461" spans="65:67" ht="18.75" customHeight="1">
      <c r="BM42461" s="1025"/>
      <c r="BO42461" s="43"/>
    </row>
    <row r="42462" spans="65:67" ht="18.75" customHeight="1">
      <c r="BM42462" s="1025"/>
      <c r="BO42462" s="43"/>
    </row>
    <row r="42463" spans="65:67" ht="18.75" customHeight="1">
      <c r="BM42463" s="1025"/>
      <c r="BO42463" s="43"/>
    </row>
    <row r="42464" spans="65:67" ht="18.75" customHeight="1">
      <c r="BM42464" s="1025"/>
      <c r="BO42464" s="43"/>
    </row>
    <row r="42465" spans="65:67" ht="18.75" customHeight="1">
      <c r="BM42465" s="1025"/>
      <c r="BO42465" s="43"/>
    </row>
    <row r="42466" spans="65:67" ht="18.75" customHeight="1">
      <c r="BM42466" s="1025"/>
      <c r="BO42466" s="43"/>
    </row>
    <row r="42467" spans="65:67" ht="18.75" customHeight="1">
      <c r="BM42467" s="1025"/>
      <c r="BO42467" s="43"/>
    </row>
    <row r="42468" spans="65:67" ht="18.75" customHeight="1">
      <c r="BM42468" s="1025"/>
      <c r="BO42468" s="43"/>
    </row>
    <row r="42469" spans="65:67" ht="18.75" customHeight="1">
      <c r="BM42469" s="1025"/>
      <c r="BO42469" s="43"/>
    </row>
    <row r="42470" spans="65:67" ht="18.75" customHeight="1">
      <c r="BM42470" s="1025"/>
      <c r="BO42470" s="43"/>
    </row>
    <row r="42471" spans="65:67" ht="18.75" customHeight="1">
      <c r="BM42471" s="1025"/>
      <c r="BO42471" s="43"/>
    </row>
    <row r="42472" spans="65:67" ht="18.75" customHeight="1">
      <c r="BM42472" s="1025"/>
      <c r="BO42472" s="43"/>
    </row>
    <row r="42473" spans="65:67" ht="18.75" customHeight="1">
      <c r="BM42473" s="1025"/>
      <c r="BO42473" s="43"/>
    </row>
    <row r="42474" spans="65:67" ht="18.75" customHeight="1">
      <c r="BM42474" s="1025"/>
      <c r="BO42474" s="43"/>
    </row>
    <row r="42475" spans="65:67" ht="18.75" customHeight="1">
      <c r="BM42475" s="1025"/>
      <c r="BO42475" s="43"/>
    </row>
    <row r="42476" spans="65:67" ht="18.75" customHeight="1">
      <c r="BM42476" s="1025"/>
      <c r="BO42476" s="43"/>
    </row>
    <row r="42477" spans="65:67" ht="18.75" customHeight="1">
      <c r="BM42477" s="1025"/>
      <c r="BO42477" s="43"/>
    </row>
    <row r="42478" spans="65:67" ht="18.75" customHeight="1">
      <c r="BM42478" s="1025"/>
      <c r="BO42478" s="43"/>
    </row>
    <row r="42479" spans="65:67" ht="18.75" customHeight="1">
      <c r="BM42479" s="1025"/>
      <c r="BO42479" s="43"/>
    </row>
    <row r="42480" spans="65:67" ht="18.75" customHeight="1">
      <c r="BM42480" s="1025"/>
      <c r="BO42480" s="43"/>
    </row>
    <row r="42481" spans="65:67" ht="18.75" customHeight="1">
      <c r="BM42481" s="1025"/>
      <c r="BO42481" s="43"/>
    </row>
    <row r="42482" spans="65:67" ht="18.75" customHeight="1">
      <c r="BM42482" s="1025"/>
      <c r="BO42482" s="43"/>
    </row>
    <row r="42483" spans="65:67" ht="18.75" customHeight="1">
      <c r="BM42483" s="1025"/>
      <c r="BO42483" s="43"/>
    </row>
    <row r="42484" spans="65:67" ht="18.75" customHeight="1">
      <c r="BM42484" s="1025"/>
      <c r="BO42484" s="43"/>
    </row>
    <row r="42485" spans="65:67" ht="18.75" customHeight="1">
      <c r="BM42485" s="1025"/>
      <c r="BO42485" s="43"/>
    </row>
    <row r="42486" spans="65:67" ht="18.75" customHeight="1">
      <c r="BM42486" s="1025"/>
      <c r="BO42486" s="43"/>
    </row>
    <row r="42487" spans="65:67" ht="18.75" customHeight="1">
      <c r="BM42487" s="1025"/>
      <c r="BO42487" s="43"/>
    </row>
    <row r="42488" spans="65:67" ht="18.75" customHeight="1">
      <c r="BM42488" s="1025"/>
      <c r="BO42488" s="43"/>
    </row>
    <row r="42489" spans="65:67" ht="18.75" customHeight="1">
      <c r="BM42489" s="1025"/>
      <c r="BO42489" s="43"/>
    </row>
    <row r="42490" spans="65:67" ht="18.75" customHeight="1">
      <c r="BM42490" s="1025"/>
      <c r="BO42490" s="43"/>
    </row>
    <row r="42491" spans="65:67" ht="18.75" customHeight="1">
      <c r="BM42491" s="1025"/>
      <c r="BO42491" s="43"/>
    </row>
    <row r="42492" spans="65:67" ht="18.75" customHeight="1">
      <c r="BM42492" s="1025"/>
      <c r="BO42492" s="43"/>
    </row>
    <row r="42493" spans="65:67" ht="18.75" customHeight="1">
      <c r="BM42493" s="1025"/>
      <c r="BO42493" s="43"/>
    </row>
    <row r="42494" spans="65:67" ht="18.75" customHeight="1">
      <c r="BM42494" s="1025"/>
      <c r="BO42494" s="43"/>
    </row>
    <row r="42495" spans="65:67" ht="18.75" customHeight="1">
      <c r="BM42495" s="1025"/>
      <c r="BO42495" s="43"/>
    </row>
    <row r="42496" spans="65:67" ht="18.75" customHeight="1">
      <c r="BM42496" s="1025"/>
      <c r="BO42496" s="43"/>
    </row>
    <row r="42497" spans="65:67" ht="18.75" customHeight="1">
      <c r="BM42497" s="1025"/>
      <c r="BO42497" s="43"/>
    </row>
    <row r="42498" spans="65:67" ht="18.75" customHeight="1">
      <c r="BM42498" s="1025"/>
      <c r="BO42498" s="43"/>
    </row>
    <row r="42499" spans="65:67" ht="18.75" customHeight="1">
      <c r="BM42499" s="1025"/>
      <c r="BO42499" s="43"/>
    </row>
    <row r="42500" spans="65:67" ht="18.75" customHeight="1">
      <c r="BM42500" s="1025"/>
      <c r="BO42500" s="43"/>
    </row>
    <row r="42501" spans="65:67" ht="18.75" customHeight="1">
      <c r="BM42501" s="1025"/>
      <c r="BO42501" s="43"/>
    </row>
    <row r="42502" spans="65:67" ht="18.75" customHeight="1">
      <c r="BM42502" s="1025"/>
      <c r="BO42502" s="43"/>
    </row>
    <row r="42503" spans="65:67" ht="18.75" customHeight="1">
      <c r="BM42503" s="1025"/>
      <c r="BO42503" s="43"/>
    </row>
    <row r="42504" spans="65:67" ht="18.75" customHeight="1">
      <c r="BM42504" s="1025"/>
      <c r="BO42504" s="43"/>
    </row>
    <row r="42505" spans="65:67" ht="18.75" customHeight="1">
      <c r="BM42505" s="1025"/>
      <c r="BO42505" s="43"/>
    </row>
    <row r="42506" spans="65:67" ht="18.75" customHeight="1">
      <c r="BM42506" s="1025"/>
      <c r="BO42506" s="43"/>
    </row>
    <row r="42507" spans="65:67" ht="18.75" customHeight="1">
      <c r="BM42507" s="1025"/>
      <c r="BO42507" s="43"/>
    </row>
    <row r="42508" spans="65:67" ht="18.75" customHeight="1">
      <c r="BM42508" s="1025"/>
      <c r="BO42508" s="43"/>
    </row>
    <row r="42509" spans="65:67" ht="18.75" customHeight="1">
      <c r="BM42509" s="1025"/>
      <c r="BO42509" s="43"/>
    </row>
    <row r="42510" spans="65:67" ht="18.75" customHeight="1">
      <c r="BM42510" s="1025"/>
      <c r="BO42510" s="43"/>
    </row>
    <row r="42511" spans="65:67" ht="18.75" customHeight="1">
      <c r="BM42511" s="1025"/>
      <c r="BO42511" s="43"/>
    </row>
    <row r="42512" spans="65:67" ht="18.75" customHeight="1">
      <c r="BM42512" s="1025"/>
      <c r="BO42512" s="43"/>
    </row>
    <row r="42513" spans="65:67" ht="18.75" customHeight="1">
      <c r="BM42513" s="1025"/>
      <c r="BO42513" s="43"/>
    </row>
    <row r="42514" spans="65:67" ht="18.75" customHeight="1">
      <c r="BM42514" s="1025"/>
      <c r="BO42514" s="43"/>
    </row>
    <row r="42515" spans="65:67" ht="18.75" customHeight="1">
      <c r="BM42515" s="1025"/>
      <c r="BO42515" s="43"/>
    </row>
    <row r="42516" spans="65:67" ht="18.75" customHeight="1">
      <c r="BM42516" s="1025"/>
      <c r="BO42516" s="43"/>
    </row>
    <row r="42517" spans="65:67" ht="18.75" customHeight="1">
      <c r="BM42517" s="1025"/>
      <c r="BO42517" s="43"/>
    </row>
    <row r="42518" spans="65:67" ht="18.75" customHeight="1">
      <c r="BM42518" s="1025"/>
      <c r="BO42518" s="43"/>
    </row>
    <row r="42519" spans="65:67" ht="18.75" customHeight="1">
      <c r="BM42519" s="1025"/>
      <c r="BO42519" s="43"/>
    </row>
    <row r="42520" spans="65:67" ht="18.75" customHeight="1">
      <c r="BM42520" s="1025"/>
      <c r="BO42520" s="43"/>
    </row>
    <row r="42521" spans="65:67" ht="18.75" customHeight="1">
      <c r="BM42521" s="1025"/>
      <c r="BO42521" s="43"/>
    </row>
    <row r="42522" spans="65:67" ht="18.75" customHeight="1">
      <c r="BM42522" s="1025"/>
      <c r="BO42522" s="43"/>
    </row>
    <row r="42523" spans="65:67" ht="18.75" customHeight="1">
      <c r="BM42523" s="1025"/>
      <c r="BO42523" s="43"/>
    </row>
    <row r="42524" spans="65:67" ht="18.75" customHeight="1">
      <c r="BM42524" s="1025"/>
      <c r="BO42524" s="43"/>
    </row>
    <row r="42525" spans="65:67" ht="18.75" customHeight="1">
      <c r="BM42525" s="1025"/>
      <c r="BO42525" s="43"/>
    </row>
    <row r="42526" spans="65:67" ht="18.75" customHeight="1">
      <c r="BM42526" s="1025"/>
      <c r="BO42526" s="43"/>
    </row>
    <row r="42527" spans="65:67" ht="18.75" customHeight="1">
      <c r="BM42527" s="1025"/>
      <c r="BO42527" s="43"/>
    </row>
    <row r="42528" spans="65:67" ht="18.75" customHeight="1">
      <c r="BM42528" s="1025"/>
      <c r="BO42528" s="43"/>
    </row>
    <row r="42529" spans="65:67" ht="18.75" customHeight="1">
      <c r="BM42529" s="1025"/>
      <c r="BO42529" s="43"/>
    </row>
    <row r="42530" spans="65:67" ht="18.75" customHeight="1">
      <c r="BM42530" s="1025"/>
      <c r="BO42530" s="43"/>
    </row>
    <row r="42531" spans="65:67" ht="18.75" customHeight="1">
      <c r="BM42531" s="1025"/>
      <c r="BO42531" s="43"/>
    </row>
    <row r="42532" spans="65:67" ht="18.75" customHeight="1">
      <c r="BM42532" s="1025"/>
      <c r="BO42532" s="43"/>
    </row>
    <row r="42533" spans="65:67" ht="18.75" customHeight="1">
      <c r="BM42533" s="1025"/>
      <c r="BO42533" s="43"/>
    </row>
    <row r="42534" spans="65:67" ht="18.75" customHeight="1">
      <c r="BM42534" s="1025"/>
      <c r="BO42534" s="43"/>
    </row>
    <row r="42535" spans="65:67" ht="18.75" customHeight="1">
      <c r="BM42535" s="1025"/>
      <c r="BO42535" s="43"/>
    </row>
    <row r="42536" spans="65:67" ht="18.75" customHeight="1">
      <c r="BM42536" s="1025"/>
      <c r="BO42536" s="43"/>
    </row>
    <row r="42537" spans="65:67" ht="18.75" customHeight="1">
      <c r="BM42537" s="1025"/>
      <c r="BO42537" s="43"/>
    </row>
    <row r="42538" spans="65:67" ht="18.75" customHeight="1">
      <c r="BM42538" s="1025"/>
      <c r="BO42538" s="43"/>
    </row>
    <row r="42539" spans="65:67" ht="18.75" customHeight="1">
      <c r="BM42539" s="1025"/>
      <c r="BO42539" s="43"/>
    </row>
    <row r="42540" spans="65:67" ht="18.75" customHeight="1">
      <c r="BM42540" s="1025"/>
      <c r="BO42540" s="43"/>
    </row>
    <row r="42541" spans="65:67" ht="18.75" customHeight="1">
      <c r="BM42541" s="1025"/>
      <c r="BO42541" s="43"/>
    </row>
    <row r="42542" spans="65:67" ht="18.75" customHeight="1">
      <c r="BM42542" s="1025"/>
      <c r="BO42542" s="43"/>
    </row>
    <row r="42543" spans="65:67" ht="18.75" customHeight="1">
      <c r="BM42543" s="1025"/>
      <c r="BO42543" s="43"/>
    </row>
    <row r="42544" spans="65:67" ht="18.75" customHeight="1">
      <c r="BM42544" s="1025"/>
      <c r="BO42544" s="43"/>
    </row>
    <row r="42545" spans="65:67" ht="18.75" customHeight="1">
      <c r="BM42545" s="1025"/>
      <c r="BO42545" s="43"/>
    </row>
    <row r="42546" spans="65:67" ht="18.75" customHeight="1">
      <c r="BM42546" s="1025"/>
      <c r="BO42546" s="43"/>
    </row>
    <row r="42547" spans="65:67" ht="18.75" customHeight="1">
      <c r="BM42547" s="1025"/>
      <c r="BO42547" s="43"/>
    </row>
    <row r="42548" spans="65:67" ht="18.75" customHeight="1">
      <c r="BM42548" s="1025"/>
      <c r="BO42548" s="43"/>
    </row>
    <row r="42549" spans="65:67" ht="18.75" customHeight="1">
      <c r="BM42549" s="1025"/>
      <c r="BO42549" s="43"/>
    </row>
    <row r="42550" spans="65:67" ht="18.75" customHeight="1">
      <c r="BM42550" s="1025"/>
      <c r="BO42550" s="43"/>
    </row>
    <row r="42551" spans="65:67" ht="18.75" customHeight="1">
      <c r="BM42551" s="1025"/>
      <c r="BO42551" s="43"/>
    </row>
    <row r="42552" spans="65:67" ht="18.75" customHeight="1">
      <c r="BM42552" s="1025"/>
      <c r="BO42552" s="43"/>
    </row>
    <row r="42553" spans="65:67" ht="18.75" customHeight="1">
      <c r="BM42553" s="1025"/>
      <c r="BO42553" s="43"/>
    </row>
    <row r="42554" spans="65:67" ht="18.75" customHeight="1">
      <c r="BM42554" s="1025"/>
      <c r="BO42554" s="43"/>
    </row>
    <row r="42555" spans="65:67" ht="18.75" customHeight="1">
      <c r="BM42555" s="1025"/>
      <c r="BO42555" s="43"/>
    </row>
    <row r="42556" spans="65:67" ht="18.75" customHeight="1">
      <c r="BM42556" s="1025"/>
      <c r="BO42556" s="43"/>
    </row>
    <row r="42557" spans="65:67" ht="18.75" customHeight="1">
      <c r="BM42557" s="1025"/>
      <c r="BO42557" s="43"/>
    </row>
    <row r="42558" spans="65:67" ht="18.75" customHeight="1">
      <c r="BM42558" s="1025"/>
      <c r="BO42558" s="43"/>
    </row>
    <row r="42559" spans="65:67" ht="18.75" customHeight="1">
      <c r="BM42559" s="1025"/>
      <c r="BO42559" s="43"/>
    </row>
    <row r="42560" spans="65:67" ht="18.75" customHeight="1">
      <c r="BM42560" s="1025"/>
      <c r="BO42560" s="43"/>
    </row>
    <row r="42561" spans="65:67" ht="18.75" customHeight="1">
      <c r="BM42561" s="1025"/>
      <c r="BO42561" s="43"/>
    </row>
    <row r="42562" spans="65:67" ht="18.75" customHeight="1">
      <c r="BM42562" s="1025"/>
      <c r="BO42562" s="43"/>
    </row>
    <row r="42563" spans="65:67" ht="18.75" customHeight="1">
      <c r="BM42563" s="1025"/>
      <c r="BO42563" s="43"/>
    </row>
    <row r="42564" spans="65:67" ht="18.75" customHeight="1">
      <c r="BM42564" s="1025"/>
      <c r="BO42564" s="43"/>
    </row>
    <row r="42565" spans="65:67" ht="18.75" customHeight="1">
      <c r="BM42565" s="1025"/>
      <c r="BO42565" s="43"/>
    </row>
    <row r="42566" spans="65:67" ht="18.75" customHeight="1">
      <c r="BM42566" s="1025"/>
      <c r="BO42566" s="43"/>
    </row>
    <row r="42567" spans="65:67" ht="18.75" customHeight="1">
      <c r="BM42567" s="1025"/>
      <c r="BO42567" s="43"/>
    </row>
    <row r="42568" spans="65:67" ht="18.75" customHeight="1">
      <c r="BM42568" s="1025"/>
      <c r="BO42568" s="43"/>
    </row>
    <row r="42569" spans="65:67" ht="18.75" customHeight="1">
      <c r="BM42569" s="1025"/>
      <c r="BO42569" s="43"/>
    </row>
    <row r="42570" spans="65:67" ht="18.75" customHeight="1">
      <c r="BM42570" s="1025"/>
      <c r="BO42570" s="43"/>
    </row>
    <row r="42571" spans="65:67" ht="18.75" customHeight="1">
      <c r="BM42571" s="1025"/>
      <c r="BO42571" s="43"/>
    </row>
    <row r="42572" spans="65:67" ht="18.75" customHeight="1">
      <c r="BM42572" s="1025"/>
      <c r="BO42572" s="43"/>
    </row>
    <row r="42573" spans="65:67" ht="18.75" customHeight="1">
      <c r="BM42573" s="1025"/>
      <c r="BO42573" s="43"/>
    </row>
    <row r="42574" spans="65:67" ht="18.75" customHeight="1">
      <c r="BM42574" s="1025"/>
      <c r="BO42574" s="43"/>
    </row>
    <row r="42575" spans="65:67" ht="18.75" customHeight="1">
      <c r="BM42575" s="1025"/>
      <c r="BO42575" s="43"/>
    </row>
    <row r="42576" spans="65:67" ht="18.75" customHeight="1">
      <c r="BM42576" s="1025"/>
      <c r="BO42576" s="43"/>
    </row>
    <row r="42577" spans="65:67" ht="18.75" customHeight="1">
      <c r="BM42577" s="1025"/>
      <c r="BO42577" s="43"/>
    </row>
    <row r="42578" spans="65:67" ht="18.75" customHeight="1">
      <c r="BM42578" s="1025"/>
      <c r="BO42578" s="43"/>
    </row>
    <row r="42579" spans="65:67" ht="18.75" customHeight="1">
      <c r="BM42579" s="1025"/>
      <c r="BO42579" s="43"/>
    </row>
    <row r="42580" spans="65:67" ht="18.75" customHeight="1">
      <c r="BM42580" s="1025"/>
      <c r="BO42580" s="43"/>
    </row>
    <row r="42581" spans="65:67" ht="18.75" customHeight="1">
      <c r="BM42581" s="1025"/>
      <c r="BO42581" s="43"/>
    </row>
    <row r="42582" spans="65:67" ht="18.75" customHeight="1">
      <c r="BM42582" s="1025"/>
      <c r="BO42582" s="43"/>
    </row>
    <row r="42583" spans="65:67" ht="18.75" customHeight="1">
      <c r="BM42583" s="1025"/>
      <c r="BO42583" s="43"/>
    </row>
    <row r="42584" spans="65:67" ht="18.75" customHeight="1">
      <c r="BM42584" s="1025"/>
      <c r="BO42584" s="43"/>
    </row>
    <row r="42585" spans="65:67" ht="18.75" customHeight="1">
      <c r="BM42585" s="1025"/>
      <c r="BO42585" s="43"/>
    </row>
    <row r="42586" spans="65:67" ht="18.75" customHeight="1">
      <c r="BM42586" s="1025"/>
      <c r="BO42586" s="43"/>
    </row>
    <row r="42587" spans="65:67" ht="18.75" customHeight="1">
      <c r="BM42587" s="1025"/>
      <c r="BO42587" s="43"/>
    </row>
    <row r="42588" spans="65:67" ht="18.75" customHeight="1">
      <c r="BM42588" s="1025"/>
      <c r="BO42588" s="43"/>
    </row>
    <row r="42589" spans="65:67" ht="18.75" customHeight="1">
      <c r="BM42589" s="1025"/>
      <c r="BO42589" s="43"/>
    </row>
    <row r="42590" spans="65:67" ht="18.75" customHeight="1">
      <c r="BM42590" s="1025"/>
      <c r="BO42590" s="43"/>
    </row>
    <row r="42591" spans="65:67" ht="18.75" customHeight="1">
      <c r="BM42591" s="1025"/>
      <c r="BO42591" s="43"/>
    </row>
    <row r="42592" spans="65:67" ht="18.75" customHeight="1">
      <c r="BM42592" s="1025"/>
      <c r="BO42592" s="43"/>
    </row>
    <row r="42593" spans="65:67" ht="18.75" customHeight="1">
      <c r="BM42593" s="1025"/>
      <c r="BO42593" s="43"/>
    </row>
    <row r="42594" spans="65:67" ht="18.75" customHeight="1">
      <c r="BM42594" s="1025"/>
      <c r="BO42594" s="43"/>
    </row>
    <row r="42595" spans="65:67" ht="18.75" customHeight="1">
      <c r="BM42595" s="1025"/>
      <c r="BO42595" s="43"/>
    </row>
    <row r="42596" spans="65:67" ht="18.75" customHeight="1">
      <c r="BM42596" s="1025"/>
      <c r="BO42596" s="43"/>
    </row>
    <row r="42597" spans="65:67" ht="18.75" customHeight="1">
      <c r="BM42597" s="1025"/>
      <c r="BO42597" s="43"/>
    </row>
    <row r="42598" spans="65:67" ht="18.75" customHeight="1">
      <c r="BM42598" s="1025"/>
      <c r="BO42598" s="43"/>
    </row>
    <row r="42599" spans="65:67" ht="18.75" customHeight="1">
      <c r="BM42599" s="1025"/>
      <c r="BO42599" s="43"/>
    </row>
    <row r="42600" spans="65:67" ht="18.75" customHeight="1">
      <c r="BM42600" s="1025"/>
      <c r="BO42600" s="43"/>
    </row>
    <row r="42601" spans="65:67" ht="18.75" customHeight="1">
      <c r="BM42601" s="1025"/>
      <c r="BO42601" s="43"/>
    </row>
    <row r="42602" spans="65:67" ht="18.75" customHeight="1">
      <c r="BM42602" s="1025"/>
      <c r="BO42602" s="43"/>
    </row>
    <row r="42603" spans="65:67" ht="18.75" customHeight="1">
      <c r="BM42603" s="1025"/>
      <c r="BO42603" s="43"/>
    </row>
    <row r="42604" spans="65:67" ht="18.75" customHeight="1">
      <c r="BM42604" s="1025"/>
      <c r="BO42604" s="43"/>
    </row>
    <row r="42605" spans="65:67" ht="18.75" customHeight="1">
      <c r="BM42605" s="1025"/>
      <c r="BO42605" s="43"/>
    </row>
    <row r="42606" spans="65:67" ht="18.75" customHeight="1">
      <c r="BM42606" s="1025"/>
      <c r="BO42606" s="43"/>
    </row>
    <row r="42607" spans="65:67" ht="18.75" customHeight="1">
      <c r="BM42607" s="1025"/>
      <c r="BO42607" s="43"/>
    </row>
    <row r="42608" spans="65:67" ht="18.75" customHeight="1">
      <c r="BM42608" s="1025"/>
      <c r="BO42608" s="43"/>
    </row>
    <row r="42609" spans="65:67" ht="18.75" customHeight="1">
      <c r="BM42609" s="1025"/>
      <c r="BO42609" s="43"/>
    </row>
    <row r="42610" spans="65:67" ht="18.75" customHeight="1">
      <c r="BM42610" s="1025"/>
      <c r="BO42610" s="43"/>
    </row>
    <row r="42611" spans="65:67" ht="18.75" customHeight="1">
      <c r="BM42611" s="1025"/>
      <c r="BO42611" s="43"/>
    </row>
    <row r="42612" spans="65:67" ht="18.75" customHeight="1">
      <c r="BM42612" s="1025"/>
      <c r="BO42612" s="43"/>
    </row>
    <row r="42613" spans="65:67" ht="18.75" customHeight="1">
      <c r="BM42613" s="1025"/>
      <c r="BO42613" s="43"/>
    </row>
    <row r="42614" spans="65:67" ht="18.75" customHeight="1">
      <c r="BM42614" s="1025"/>
      <c r="BO42614" s="43"/>
    </row>
    <row r="42615" spans="65:67" ht="18.75" customHeight="1">
      <c r="BM42615" s="1025"/>
      <c r="BO42615" s="43"/>
    </row>
    <row r="42616" spans="65:67" ht="18.75" customHeight="1">
      <c r="BM42616" s="1025"/>
      <c r="BO42616" s="43"/>
    </row>
    <row r="42617" spans="65:67" ht="18.75" customHeight="1">
      <c r="BM42617" s="1025"/>
      <c r="BO42617" s="43"/>
    </row>
    <row r="42618" spans="65:67" ht="18.75" customHeight="1">
      <c r="BM42618" s="1025"/>
      <c r="BO42618" s="43"/>
    </row>
    <row r="42619" spans="65:67" ht="18.75" customHeight="1">
      <c r="BM42619" s="1025"/>
      <c r="BO42619" s="43"/>
    </row>
    <row r="42620" spans="65:67" ht="18.75" customHeight="1">
      <c r="BM42620" s="1025"/>
      <c r="BO42620" s="43"/>
    </row>
    <row r="42621" spans="65:67" ht="18.75" customHeight="1">
      <c r="BM42621" s="1025"/>
      <c r="BO42621" s="43"/>
    </row>
    <row r="42622" spans="65:67" ht="18.75" customHeight="1">
      <c r="BM42622" s="1025"/>
      <c r="BO42622" s="43"/>
    </row>
    <row r="42623" spans="65:67" ht="18.75" customHeight="1">
      <c r="BM42623" s="1025"/>
      <c r="BO42623" s="43"/>
    </row>
    <row r="42624" spans="65:67" ht="18.75" customHeight="1">
      <c r="BM42624" s="1025"/>
      <c r="BO42624" s="43"/>
    </row>
    <row r="42625" spans="65:67" ht="18.75" customHeight="1">
      <c r="BM42625" s="1025"/>
      <c r="BO42625" s="43"/>
    </row>
    <row r="42626" spans="65:67" ht="18.75" customHeight="1">
      <c r="BM42626" s="1025"/>
      <c r="BO42626" s="43"/>
    </row>
    <row r="42627" spans="65:67" ht="18.75" customHeight="1">
      <c r="BM42627" s="1025"/>
      <c r="BO42627" s="43"/>
    </row>
    <row r="42628" spans="65:67" ht="18.75" customHeight="1">
      <c r="BM42628" s="1025"/>
      <c r="BO42628" s="43"/>
    </row>
    <row r="42629" spans="65:67" ht="18.75" customHeight="1">
      <c r="BM42629" s="1025"/>
      <c r="BO42629" s="43"/>
    </row>
    <row r="42630" spans="65:67" ht="18.75" customHeight="1">
      <c r="BM42630" s="1025"/>
      <c r="BO42630" s="43"/>
    </row>
    <row r="42631" spans="65:67" ht="18.75" customHeight="1">
      <c r="BM42631" s="1025"/>
      <c r="BO42631" s="43"/>
    </row>
    <row r="42632" spans="65:67" ht="18.75" customHeight="1">
      <c r="BM42632" s="1025"/>
      <c r="BO42632" s="43"/>
    </row>
    <row r="42633" spans="65:67" ht="18.75" customHeight="1">
      <c r="BM42633" s="1025"/>
      <c r="BO42633" s="43"/>
    </row>
    <row r="42634" spans="65:67" ht="18.75" customHeight="1">
      <c r="BM42634" s="1025"/>
      <c r="BO42634" s="43"/>
    </row>
    <row r="42635" spans="65:67" ht="18.75" customHeight="1">
      <c r="BM42635" s="1025"/>
      <c r="BO42635" s="43"/>
    </row>
    <row r="42636" spans="65:67" ht="18.75" customHeight="1">
      <c r="BM42636" s="1025"/>
      <c r="BO42636" s="43"/>
    </row>
    <row r="42637" spans="65:67" ht="18.75" customHeight="1">
      <c r="BM42637" s="1025"/>
      <c r="BO42637" s="43"/>
    </row>
    <row r="42638" spans="65:67" ht="18.75" customHeight="1">
      <c r="BM42638" s="1025"/>
      <c r="BO42638" s="43"/>
    </row>
    <row r="42639" spans="65:67" ht="18.75" customHeight="1">
      <c r="BM42639" s="1025"/>
      <c r="BO42639" s="43"/>
    </row>
    <row r="42640" spans="65:67" ht="18.75" customHeight="1">
      <c r="BM42640" s="1025"/>
      <c r="BO42640" s="43"/>
    </row>
    <row r="42641" spans="65:67" ht="18.75" customHeight="1">
      <c r="BM42641" s="1025"/>
      <c r="BO42641" s="43"/>
    </row>
    <row r="42642" spans="65:67" ht="18.75" customHeight="1">
      <c r="BM42642" s="1025"/>
      <c r="BO42642" s="43"/>
    </row>
    <row r="42643" spans="65:67" ht="18.75" customHeight="1">
      <c r="BM42643" s="1025"/>
      <c r="BO42643" s="43"/>
    </row>
    <row r="42644" spans="65:67" ht="18.75" customHeight="1">
      <c r="BM42644" s="1025"/>
      <c r="BO42644" s="43"/>
    </row>
    <row r="42645" spans="65:67" ht="18.75" customHeight="1">
      <c r="BM42645" s="1025"/>
      <c r="BO42645" s="43"/>
    </row>
    <row r="42646" spans="65:67" ht="18.75" customHeight="1">
      <c r="BM42646" s="1025"/>
      <c r="BO42646" s="43"/>
    </row>
    <row r="42647" spans="65:67" ht="18.75" customHeight="1">
      <c r="BM42647" s="1025"/>
      <c r="BO42647" s="43"/>
    </row>
    <row r="42648" spans="65:67" ht="18.75" customHeight="1">
      <c r="BM42648" s="1025"/>
      <c r="BO42648" s="43"/>
    </row>
    <row r="42649" spans="65:67" ht="18.75" customHeight="1">
      <c r="BM42649" s="1025"/>
      <c r="BO42649" s="43"/>
    </row>
    <row r="42650" spans="65:67" ht="18.75" customHeight="1">
      <c r="BM42650" s="1025"/>
      <c r="BO42650" s="43"/>
    </row>
    <row r="42651" spans="65:67" ht="18.75" customHeight="1">
      <c r="BM42651" s="1025"/>
      <c r="BO42651" s="43"/>
    </row>
    <row r="42652" spans="65:67" ht="18.75" customHeight="1">
      <c r="BM42652" s="1025"/>
      <c r="BO42652" s="43"/>
    </row>
    <row r="42653" spans="65:67" ht="18.75" customHeight="1">
      <c r="BM42653" s="1025"/>
      <c r="BO42653" s="43"/>
    </row>
    <row r="42654" spans="65:67" ht="18.75" customHeight="1">
      <c r="BM42654" s="1025"/>
      <c r="BO42654" s="43"/>
    </row>
    <row r="42655" spans="65:67" ht="18.75" customHeight="1">
      <c r="BM42655" s="1025"/>
      <c r="BO42655" s="43"/>
    </row>
    <row r="42656" spans="65:67" ht="18.75" customHeight="1">
      <c r="BM42656" s="1025"/>
      <c r="BO42656" s="43"/>
    </row>
    <row r="42657" spans="65:67" ht="18.75" customHeight="1">
      <c r="BM42657" s="1025"/>
      <c r="BO42657" s="43"/>
    </row>
    <row r="42658" spans="65:67" ht="18.75" customHeight="1">
      <c r="BM42658" s="1025"/>
      <c r="BO42658" s="43"/>
    </row>
    <row r="42659" spans="65:67" ht="18.75" customHeight="1">
      <c r="BM42659" s="1025"/>
      <c r="BO42659" s="43"/>
    </row>
    <row r="42660" spans="65:67" ht="18.75" customHeight="1">
      <c r="BM42660" s="1025"/>
      <c r="BO42660" s="43"/>
    </row>
    <row r="42661" spans="65:67" ht="18.75" customHeight="1">
      <c r="BM42661" s="1025"/>
      <c r="BO42661" s="43"/>
    </row>
    <row r="42662" spans="65:67" ht="18.75" customHeight="1">
      <c r="BM42662" s="1025"/>
      <c r="BO42662" s="43"/>
    </row>
    <row r="42663" spans="65:67" ht="18.75" customHeight="1">
      <c r="BM42663" s="1025"/>
      <c r="BO42663" s="43"/>
    </row>
    <row r="42664" spans="65:67" ht="18.75" customHeight="1">
      <c r="BM42664" s="1025"/>
      <c r="BO42664" s="43"/>
    </row>
    <row r="42665" spans="65:67" ht="18.75" customHeight="1">
      <c r="BM42665" s="1025"/>
      <c r="BO42665" s="43"/>
    </row>
    <row r="42666" spans="65:67" ht="18.75" customHeight="1">
      <c r="BM42666" s="1025"/>
      <c r="BO42666" s="43"/>
    </row>
    <row r="42667" spans="65:67" ht="18.75" customHeight="1">
      <c r="BM42667" s="1025"/>
      <c r="BO42667" s="43"/>
    </row>
    <row r="42668" spans="65:67" ht="18.75" customHeight="1">
      <c r="BM42668" s="1025"/>
      <c r="BO42668" s="43"/>
    </row>
    <row r="42669" spans="65:67" ht="18.75" customHeight="1">
      <c r="BM42669" s="1025"/>
      <c r="BO42669" s="43"/>
    </row>
    <row r="42670" spans="65:67" ht="18.75" customHeight="1">
      <c r="BM42670" s="1025"/>
      <c r="BO42670" s="43"/>
    </row>
    <row r="42671" spans="65:67" ht="18.75" customHeight="1">
      <c r="BM42671" s="1025"/>
      <c r="BO42671" s="43"/>
    </row>
    <row r="42672" spans="65:67" ht="18.75" customHeight="1">
      <c r="BM42672" s="1025"/>
      <c r="BO42672" s="43"/>
    </row>
    <row r="42673" spans="65:67" ht="18.75" customHeight="1">
      <c r="BM42673" s="1025"/>
      <c r="BO42673" s="43"/>
    </row>
    <row r="42674" spans="65:67" ht="18.75" customHeight="1">
      <c r="BM42674" s="1025"/>
      <c r="BO42674" s="43"/>
    </row>
    <row r="42675" spans="65:67" ht="18.75" customHeight="1">
      <c r="BM42675" s="1025"/>
      <c r="BO42675" s="43"/>
    </row>
    <row r="42676" spans="65:67" ht="18.75" customHeight="1">
      <c r="BM42676" s="1025"/>
      <c r="BO42676" s="43"/>
    </row>
    <row r="42677" spans="65:67" ht="18.75" customHeight="1">
      <c r="BM42677" s="1025"/>
      <c r="BO42677" s="43"/>
    </row>
    <row r="42678" spans="65:67" ht="18.75" customHeight="1">
      <c r="BM42678" s="1025"/>
      <c r="BO42678" s="43"/>
    </row>
    <row r="42679" spans="65:67" ht="18.75" customHeight="1">
      <c r="BM42679" s="1025"/>
      <c r="BO42679" s="43"/>
    </row>
    <row r="42680" spans="65:67" ht="18.75" customHeight="1">
      <c r="BM42680" s="1025"/>
      <c r="BO42680" s="43"/>
    </row>
    <row r="42681" spans="65:67" ht="18.75" customHeight="1">
      <c r="BM42681" s="1025"/>
      <c r="BO42681" s="43"/>
    </row>
    <row r="42682" spans="65:67" ht="18.75" customHeight="1">
      <c r="BM42682" s="1025"/>
      <c r="BO42682" s="43"/>
    </row>
    <row r="42683" spans="65:67" ht="18.75" customHeight="1">
      <c r="BM42683" s="1025"/>
      <c r="BO42683" s="43"/>
    </row>
    <row r="42684" spans="65:67" ht="18.75" customHeight="1">
      <c r="BM42684" s="1025"/>
      <c r="BO42684" s="43"/>
    </row>
    <row r="42685" spans="65:67" ht="18.75" customHeight="1">
      <c r="BM42685" s="1025"/>
      <c r="BO42685" s="43"/>
    </row>
    <row r="42686" spans="65:67" ht="18.75" customHeight="1">
      <c r="BM42686" s="1025"/>
      <c r="BO42686" s="43"/>
    </row>
    <row r="42687" spans="65:67" ht="18.75" customHeight="1">
      <c r="BM42687" s="1025"/>
      <c r="BO42687" s="43"/>
    </row>
    <row r="42688" spans="65:67" ht="18.75" customHeight="1">
      <c r="BM42688" s="1025"/>
      <c r="BO42688" s="43"/>
    </row>
    <row r="42689" spans="65:67" ht="18.75" customHeight="1">
      <c r="BM42689" s="1025"/>
      <c r="BO42689" s="43"/>
    </row>
    <row r="42690" spans="65:67" ht="18.75" customHeight="1">
      <c r="BM42690" s="1025"/>
      <c r="BO42690" s="43"/>
    </row>
    <row r="42691" spans="65:67" ht="18.75" customHeight="1">
      <c r="BM42691" s="1025"/>
      <c r="BO42691" s="43"/>
    </row>
    <row r="42692" spans="65:67" ht="18.75" customHeight="1">
      <c r="BM42692" s="1025"/>
      <c r="BO42692" s="43"/>
    </row>
    <row r="42693" spans="65:67" ht="18.75" customHeight="1">
      <c r="BM42693" s="1025"/>
      <c r="BO42693" s="43"/>
    </row>
    <row r="42694" spans="65:67" ht="18.75" customHeight="1">
      <c r="BM42694" s="1025"/>
      <c r="BO42694" s="43"/>
    </row>
    <row r="42695" spans="65:67" ht="18.75" customHeight="1">
      <c r="BM42695" s="1025"/>
      <c r="BO42695" s="43"/>
    </row>
    <row r="42696" spans="65:67" ht="18.75" customHeight="1">
      <c r="BM42696" s="1025"/>
      <c r="BO42696" s="43"/>
    </row>
    <row r="42697" spans="65:67" ht="18.75" customHeight="1">
      <c r="BM42697" s="1025"/>
      <c r="BO42697" s="43"/>
    </row>
    <row r="42698" spans="65:67" ht="18.75" customHeight="1">
      <c r="BM42698" s="1025"/>
      <c r="BO42698" s="43"/>
    </row>
    <row r="42699" spans="65:67" ht="18.75" customHeight="1">
      <c r="BM42699" s="1025"/>
      <c r="BO42699" s="43"/>
    </row>
    <row r="42700" spans="65:67" ht="18.75" customHeight="1">
      <c r="BM42700" s="1025"/>
      <c r="BO42700" s="43"/>
    </row>
    <row r="42701" spans="65:67" ht="18.75" customHeight="1">
      <c r="BM42701" s="1025"/>
      <c r="BO42701" s="43"/>
    </row>
    <row r="42702" spans="65:67" ht="18.75" customHeight="1">
      <c r="BM42702" s="1025"/>
      <c r="BO42702" s="43"/>
    </row>
    <row r="42703" spans="65:67" ht="18.75" customHeight="1">
      <c r="BM42703" s="1025"/>
      <c r="BO42703" s="43"/>
    </row>
    <row r="42704" spans="65:67" ht="18.75" customHeight="1">
      <c r="BM42704" s="1025"/>
      <c r="BO42704" s="43"/>
    </row>
    <row r="42705" spans="65:67" ht="18.75" customHeight="1">
      <c r="BM42705" s="1025"/>
      <c r="BO42705" s="43"/>
    </row>
    <row r="42706" spans="65:67" ht="18.75" customHeight="1">
      <c r="BM42706" s="1025"/>
      <c r="BO42706" s="43"/>
    </row>
    <row r="42707" spans="65:67" ht="18.75" customHeight="1">
      <c r="BM42707" s="1025"/>
      <c r="BO42707" s="43"/>
    </row>
    <row r="42708" spans="65:67" ht="18.75" customHeight="1">
      <c r="BM42708" s="1025"/>
      <c r="BO42708" s="43"/>
    </row>
    <row r="42709" spans="65:67" ht="18.75" customHeight="1">
      <c r="BM42709" s="1025"/>
      <c r="BO42709" s="43"/>
    </row>
    <row r="42710" spans="65:67" ht="18.75" customHeight="1">
      <c r="BM42710" s="1025"/>
      <c r="BO42710" s="43"/>
    </row>
    <row r="42711" spans="65:67" ht="18.75" customHeight="1">
      <c r="BM42711" s="1025"/>
      <c r="BO42711" s="43"/>
    </row>
    <row r="42712" spans="65:67" ht="18.75" customHeight="1">
      <c r="BM42712" s="1025"/>
      <c r="BO42712" s="43"/>
    </row>
    <row r="42713" spans="65:67" ht="18.75" customHeight="1">
      <c r="BM42713" s="1025"/>
      <c r="BO42713" s="43"/>
    </row>
    <row r="42714" spans="65:67" ht="18.75" customHeight="1">
      <c r="BM42714" s="1025"/>
      <c r="BO42714" s="43"/>
    </row>
    <row r="42715" spans="65:67" ht="18.75" customHeight="1">
      <c r="BM42715" s="1025"/>
      <c r="BO42715" s="43"/>
    </row>
    <row r="42716" spans="65:67" ht="18.75" customHeight="1">
      <c r="BM42716" s="1025"/>
      <c r="BO42716" s="43"/>
    </row>
    <row r="42717" spans="65:67" ht="18.75" customHeight="1">
      <c r="BM42717" s="1025"/>
      <c r="BO42717" s="43"/>
    </row>
    <row r="42718" spans="65:67" ht="18.75" customHeight="1">
      <c r="BM42718" s="1025"/>
      <c r="BO42718" s="43"/>
    </row>
    <row r="42719" spans="65:67" ht="18.75" customHeight="1">
      <c r="BM42719" s="1025"/>
      <c r="BO42719" s="43"/>
    </row>
    <row r="42720" spans="65:67" ht="18.75" customHeight="1">
      <c r="BM42720" s="1025"/>
      <c r="BO42720" s="43"/>
    </row>
    <row r="42721" spans="65:67" ht="18.75" customHeight="1">
      <c r="BM42721" s="1025"/>
      <c r="BO42721" s="43"/>
    </row>
    <row r="42722" spans="65:67" ht="18.75" customHeight="1">
      <c r="BM42722" s="1025"/>
      <c r="BO42722" s="43"/>
    </row>
    <row r="42723" spans="65:67" ht="18.75" customHeight="1">
      <c r="BM42723" s="1025"/>
      <c r="BO42723" s="43"/>
    </row>
    <row r="42724" spans="65:67" ht="18.75" customHeight="1">
      <c r="BM42724" s="1025"/>
      <c r="BO42724" s="43"/>
    </row>
    <row r="42725" spans="65:67" ht="18.75" customHeight="1">
      <c r="BM42725" s="1025"/>
      <c r="BO42725" s="43"/>
    </row>
    <row r="42726" spans="65:67" ht="18.75" customHeight="1">
      <c r="BM42726" s="1025"/>
      <c r="BO42726" s="43"/>
    </row>
    <row r="42727" spans="65:67" ht="18.75" customHeight="1">
      <c r="BM42727" s="1025"/>
      <c r="BO42727" s="43"/>
    </row>
    <row r="42728" spans="65:67" ht="18.75" customHeight="1">
      <c r="BM42728" s="1025"/>
      <c r="BO42728" s="43"/>
    </row>
    <row r="42729" spans="65:67" ht="18.75" customHeight="1">
      <c r="BM42729" s="1025"/>
      <c r="BO42729" s="43"/>
    </row>
    <row r="42730" spans="65:67" ht="18.75" customHeight="1">
      <c r="BM42730" s="1025"/>
      <c r="BO42730" s="43"/>
    </row>
    <row r="42731" spans="65:67" ht="18.75" customHeight="1">
      <c r="BM42731" s="1025"/>
      <c r="BO42731" s="43"/>
    </row>
    <row r="42732" spans="65:67" ht="18.75" customHeight="1">
      <c r="BM42732" s="1025"/>
      <c r="BO42732" s="43"/>
    </row>
    <row r="42733" spans="65:67" ht="18.75" customHeight="1">
      <c r="BM42733" s="1025"/>
      <c r="BO42733" s="43"/>
    </row>
    <row r="42734" spans="65:67" ht="18.75" customHeight="1">
      <c r="BM42734" s="1025"/>
      <c r="BO42734" s="43"/>
    </row>
    <row r="42735" spans="65:67" ht="18.75" customHeight="1">
      <c r="BM42735" s="1025"/>
      <c r="BO42735" s="43"/>
    </row>
    <row r="42736" spans="65:67" ht="18.75" customHeight="1">
      <c r="BM42736" s="1025"/>
      <c r="BO42736" s="43"/>
    </row>
    <row r="42737" spans="65:67" ht="18.75" customHeight="1">
      <c r="BM42737" s="1025"/>
      <c r="BO42737" s="43"/>
    </row>
    <row r="42738" spans="65:67" ht="18.75" customHeight="1">
      <c r="BM42738" s="1025"/>
      <c r="BO42738" s="43"/>
    </row>
    <row r="42739" spans="65:67" ht="18.75" customHeight="1">
      <c r="BM42739" s="1025"/>
      <c r="BO42739" s="43"/>
    </row>
    <row r="42740" spans="65:67" ht="18.75" customHeight="1">
      <c r="BM42740" s="1025"/>
      <c r="BO42740" s="43"/>
    </row>
    <row r="42741" spans="65:67" ht="18.75" customHeight="1">
      <c r="BM42741" s="1025"/>
      <c r="BO42741" s="43"/>
    </row>
    <row r="42742" spans="65:67" ht="18.75" customHeight="1">
      <c r="BM42742" s="1025"/>
      <c r="BO42742" s="43"/>
    </row>
    <row r="42743" spans="65:67" ht="18.75" customHeight="1">
      <c r="BM42743" s="1025"/>
      <c r="BO42743" s="43"/>
    </row>
    <row r="42744" spans="65:67" ht="18.75" customHeight="1">
      <c r="BM42744" s="1025"/>
      <c r="BO42744" s="43"/>
    </row>
    <row r="42745" spans="65:67" ht="18.75" customHeight="1">
      <c r="BM42745" s="1025"/>
      <c r="BO42745" s="43"/>
    </row>
    <row r="42746" spans="65:67" ht="18.75" customHeight="1">
      <c r="BM42746" s="1025"/>
      <c r="BO42746" s="43"/>
    </row>
    <row r="42747" spans="65:67" ht="18.75" customHeight="1">
      <c r="BM42747" s="1025"/>
      <c r="BO42747" s="43"/>
    </row>
    <row r="42748" spans="65:67" ht="18.75" customHeight="1">
      <c r="BM42748" s="1025"/>
      <c r="BO42748" s="43"/>
    </row>
    <row r="42749" spans="65:67" ht="18.75" customHeight="1">
      <c r="BM42749" s="1025"/>
      <c r="BO42749" s="43"/>
    </row>
    <row r="42750" spans="65:67" ht="18.75" customHeight="1">
      <c r="BM42750" s="1025"/>
      <c r="BO42750" s="43"/>
    </row>
    <row r="42751" spans="65:67" ht="18.75" customHeight="1">
      <c r="BM42751" s="1025"/>
      <c r="BO42751" s="43"/>
    </row>
    <row r="42752" spans="65:67" ht="18.75" customHeight="1">
      <c r="BM42752" s="1025"/>
      <c r="BO42752" s="43"/>
    </row>
    <row r="42753" spans="65:67" ht="18.75" customHeight="1">
      <c r="BM42753" s="1025"/>
      <c r="BO42753" s="43"/>
    </row>
    <row r="42754" spans="65:67" ht="18.75" customHeight="1">
      <c r="BM42754" s="1025"/>
      <c r="BO42754" s="43"/>
    </row>
    <row r="42755" spans="65:67" ht="18.75" customHeight="1">
      <c r="BM42755" s="1025"/>
      <c r="BO42755" s="43"/>
    </row>
    <row r="42756" spans="65:67" ht="18.75" customHeight="1">
      <c r="BM42756" s="1025"/>
      <c r="BO42756" s="43"/>
    </row>
    <row r="42757" spans="65:67" ht="18.75" customHeight="1">
      <c r="BM42757" s="1025"/>
      <c r="BO42757" s="43"/>
    </row>
    <row r="42758" spans="65:67" ht="18.75" customHeight="1">
      <c r="BM42758" s="1025"/>
      <c r="BO42758" s="43"/>
    </row>
    <row r="42759" spans="65:67" ht="18.75" customHeight="1">
      <c r="BM42759" s="1025"/>
      <c r="BO42759" s="43"/>
    </row>
    <row r="42760" spans="65:67" ht="18.75" customHeight="1">
      <c r="BM42760" s="1025"/>
      <c r="BO42760" s="43"/>
    </row>
    <row r="42761" spans="65:67" ht="18.75" customHeight="1">
      <c r="BM42761" s="1025"/>
      <c r="BO42761" s="43"/>
    </row>
    <row r="42762" spans="65:67" ht="18.75" customHeight="1">
      <c r="BM42762" s="1025"/>
      <c r="BO42762" s="43"/>
    </row>
    <row r="42763" spans="65:67" ht="18.75" customHeight="1">
      <c r="BM42763" s="1025"/>
      <c r="BO42763" s="43"/>
    </row>
    <row r="42764" spans="65:67" ht="18.75" customHeight="1">
      <c r="BM42764" s="1025"/>
      <c r="BO42764" s="43"/>
    </row>
    <row r="42765" spans="65:67" ht="18.75" customHeight="1">
      <c r="BM42765" s="1025"/>
      <c r="BO42765" s="43"/>
    </row>
    <row r="42766" spans="65:67" ht="18.75" customHeight="1">
      <c r="BM42766" s="1025"/>
      <c r="BO42766" s="43"/>
    </row>
    <row r="42767" spans="65:67" ht="18.75" customHeight="1">
      <c r="BM42767" s="1025"/>
      <c r="BO42767" s="43"/>
    </row>
    <row r="42768" spans="65:67" ht="18.75" customHeight="1">
      <c r="BM42768" s="1025"/>
      <c r="BO42768" s="43"/>
    </row>
    <row r="42769" spans="65:67" ht="18.75" customHeight="1">
      <c r="BM42769" s="1025"/>
      <c r="BO42769" s="43"/>
    </row>
    <row r="42770" spans="65:67" ht="18.75" customHeight="1">
      <c r="BM42770" s="1025"/>
      <c r="BO42770" s="43"/>
    </row>
    <row r="42771" spans="65:67" ht="18.75" customHeight="1">
      <c r="BM42771" s="1025"/>
      <c r="BO42771" s="43"/>
    </row>
    <row r="42772" spans="65:67" ht="18.75" customHeight="1">
      <c r="BM42772" s="1025"/>
      <c r="BO42772" s="43"/>
    </row>
    <row r="42773" spans="65:67" ht="18.75" customHeight="1">
      <c r="BM42773" s="1025"/>
      <c r="BO42773" s="43"/>
    </row>
    <row r="42774" spans="65:67" ht="18.75" customHeight="1">
      <c r="BM42774" s="1025"/>
      <c r="BO42774" s="43"/>
    </row>
    <row r="42775" spans="65:67" ht="18.75" customHeight="1">
      <c r="BM42775" s="1025"/>
      <c r="BO42775" s="43"/>
    </row>
    <row r="42776" spans="65:67" ht="18.75" customHeight="1">
      <c r="BM42776" s="1025"/>
      <c r="BO42776" s="43"/>
    </row>
    <row r="42777" spans="65:67" ht="18.75" customHeight="1">
      <c r="BM42777" s="1025"/>
      <c r="BO42777" s="43"/>
    </row>
    <row r="42778" spans="65:67" ht="18.75" customHeight="1">
      <c r="BM42778" s="1025"/>
      <c r="BO42778" s="43"/>
    </row>
    <row r="42779" spans="65:67" ht="18.75" customHeight="1">
      <c r="BM42779" s="1025"/>
      <c r="BO42779" s="43"/>
    </row>
    <row r="42780" spans="65:67" ht="18.75" customHeight="1">
      <c r="BM42780" s="1025"/>
      <c r="BO42780" s="43"/>
    </row>
    <row r="42781" spans="65:67" ht="18.75" customHeight="1">
      <c r="BM42781" s="1025"/>
      <c r="BO42781" s="43"/>
    </row>
    <row r="42782" spans="65:67" ht="18.75" customHeight="1">
      <c r="BM42782" s="1025"/>
      <c r="BO42782" s="43"/>
    </row>
    <row r="42783" spans="65:67" ht="18.75" customHeight="1">
      <c r="BM42783" s="1025"/>
      <c r="BO42783" s="43"/>
    </row>
    <row r="42784" spans="65:67" ht="18.75" customHeight="1">
      <c r="BM42784" s="1025"/>
      <c r="BO42784" s="43"/>
    </row>
    <row r="42785" spans="65:67" ht="18.75" customHeight="1">
      <c r="BM42785" s="1025"/>
      <c r="BO42785" s="43"/>
    </row>
    <row r="42786" spans="65:67" ht="18.75" customHeight="1">
      <c r="BM42786" s="1025"/>
      <c r="BO42786" s="43"/>
    </row>
    <row r="42787" spans="65:67" ht="18.75" customHeight="1">
      <c r="BM42787" s="1025"/>
      <c r="BO42787" s="43"/>
    </row>
    <row r="42788" spans="65:67" ht="18.75" customHeight="1">
      <c r="BM42788" s="1025"/>
      <c r="BO42788" s="43"/>
    </row>
    <row r="42789" spans="65:67" ht="18.75" customHeight="1">
      <c r="BM42789" s="1025"/>
      <c r="BO42789" s="43"/>
    </row>
    <row r="42790" spans="65:67" ht="18.75" customHeight="1">
      <c r="BM42790" s="1025"/>
      <c r="BO42790" s="43"/>
    </row>
    <row r="42791" spans="65:67" ht="18.75" customHeight="1">
      <c r="BM42791" s="1025"/>
      <c r="BO42791" s="43"/>
    </row>
    <row r="42792" spans="65:67" ht="18.75" customHeight="1">
      <c r="BM42792" s="1025"/>
      <c r="BO42792" s="43"/>
    </row>
    <row r="42793" spans="65:67" ht="18.75" customHeight="1">
      <c r="BM42793" s="1025"/>
      <c r="BO42793" s="43"/>
    </row>
    <row r="42794" spans="65:67" ht="18.75" customHeight="1">
      <c r="BM42794" s="1025"/>
      <c r="BO42794" s="43"/>
    </row>
    <row r="42795" spans="65:67" ht="18.75" customHeight="1">
      <c r="BM42795" s="1025"/>
      <c r="BO42795" s="43"/>
    </row>
    <row r="42796" spans="65:67" ht="18.75" customHeight="1">
      <c r="BM42796" s="1025"/>
      <c r="BO42796" s="43"/>
    </row>
    <row r="42797" spans="65:67" ht="18.75" customHeight="1">
      <c r="BM42797" s="1025"/>
      <c r="BO42797" s="43"/>
    </row>
    <row r="42798" spans="65:67" ht="18.75" customHeight="1">
      <c r="BM42798" s="1025"/>
      <c r="BO42798" s="43"/>
    </row>
    <row r="42799" spans="65:67" ht="18.75" customHeight="1">
      <c r="BM42799" s="1025"/>
      <c r="BO42799" s="43"/>
    </row>
    <row r="42800" spans="65:67" ht="18.75" customHeight="1">
      <c r="BM42800" s="1025"/>
      <c r="BO42800" s="43"/>
    </row>
    <row r="42801" spans="65:67" ht="18.75" customHeight="1">
      <c r="BM42801" s="1025"/>
      <c r="BO42801" s="43"/>
    </row>
    <row r="42802" spans="65:67" ht="18.75" customHeight="1">
      <c r="BM42802" s="1025"/>
      <c r="BO42802" s="43"/>
    </row>
    <row r="42803" spans="65:67" ht="18.75" customHeight="1">
      <c r="BM42803" s="1025"/>
      <c r="BO42803" s="43"/>
    </row>
    <row r="42804" spans="65:67" ht="18.75" customHeight="1">
      <c r="BM42804" s="1025"/>
      <c r="BO42804" s="43"/>
    </row>
    <row r="42805" spans="65:67" ht="18.75" customHeight="1">
      <c r="BM42805" s="1025"/>
      <c r="BO42805" s="43"/>
    </row>
    <row r="42806" spans="65:67" ht="18.75" customHeight="1">
      <c r="BM42806" s="1025"/>
      <c r="BO42806" s="43"/>
    </row>
    <row r="42807" spans="65:67" ht="18.75" customHeight="1">
      <c r="BM42807" s="1025"/>
      <c r="BO42807" s="43"/>
    </row>
    <row r="42808" spans="65:67" ht="18.75" customHeight="1">
      <c r="BM42808" s="1025"/>
      <c r="BO42808" s="43"/>
    </row>
    <row r="42809" spans="65:67" ht="18.75" customHeight="1">
      <c r="BM42809" s="1025"/>
      <c r="BO42809" s="43"/>
    </row>
    <row r="42810" spans="65:67" ht="18.75" customHeight="1">
      <c r="BM42810" s="1025"/>
      <c r="BO42810" s="43"/>
    </row>
    <row r="42811" spans="65:67" ht="18.75" customHeight="1">
      <c r="BM42811" s="1025"/>
      <c r="BO42811" s="43"/>
    </row>
    <row r="42812" spans="65:67" ht="18.75" customHeight="1">
      <c r="BM42812" s="1025"/>
      <c r="BO42812" s="43"/>
    </row>
    <row r="42813" spans="65:67" ht="18.75" customHeight="1">
      <c r="BM42813" s="1025"/>
      <c r="BO42813" s="43"/>
    </row>
    <row r="42814" spans="65:67" ht="18.75" customHeight="1">
      <c r="BM42814" s="1025"/>
      <c r="BO42814" s="43"/>
    </row>
    <row r="42815" spans="65:67" ht="18.75" customHeight="1">
      <c r="BM42815" s="1025"/>
      <c r="BO42815" s="43"/>
    </row>
    <row r="42816" spans="65:67" ht="18.75" customHeight="1">
      <c r="BM42816" s="1025"/>
      <c r="BO42816" s="43"/>
    </row>
    <row r="42817" spans="65:67" ht="18.75" customHeight="1">
      <c r="BM42817" s="1025"/>
      <c r="BO42817" s="43"/>
    </row>
    <row r="42818" spans="65:67" ht="18.75" customHeight="1">
      <c r="BM42818" s="1025"/>
      <c r="BO42818" s="43"/>
    </row>
    <row r="42819" spans="65:67" ht="18.75" customHeight="1">
      <c r="BM42819" s="1025"/>
      <c r="BO42819" s="43"/>
    </row>
    <row r="42820" spans="65:67" ht="18.75" customHeight="1">
      <c r="BM42820" s="1025"/>
      <c r="BO42820" s="43"/>
    </row>
    <row r="42821" spans="65:67" ht="18.75" customHeight="1">
      <c r="BM42821" s="1025"/>
      <c r="BO42821" s="43"/>
    </row>
    <row r="42822" spans="65:67" ht="18.75" customHeight="1">
      <c r="BM42822" s="1025"/>
      <c r="BO42822" s="43"/>
    </row>
    <row r="42823" spans="65:67" ht="18.75" customHeight="1">
      <c r="BM42823" s="1025"/>
      <c r="BO42823" s="43"/>
    </row>
    <row r="42824" spans="65:67" ht="18.75" customHeight="1">
      <c r="BM42824" s="1025"/>
      <c r="BO42824" s="43"/>
    </row>
    <row r="42825" spans="65:67" ht="18.75" customHeight="1">
      <c r="BM42825" s="1025"/>
      <c r="BO42825" s="43"/>
    </row>
    <row r="42826" spans="65:67" ht="18.75" customHeight="1">
      <c r="BM42826" s="1025"/>
      <c r="BO42826" s="43"/>
    </row>
    <row r="42827" spans="65:67" ht="18.75" customHeight="1">
      <c r="BM42827" s="1025"/>
      <c r="BO42827" s="43"/>
    </row>
    <row r="42828" spans="65:67" ht="18.75" customHeight="1">
      <c r="BM42828" s="1025"/>
      <c r="BO42828" s="43"/>
    </row>
    <row r="42829" spans="65:67" ht="18.75" customHeight="1">
      <c r="BM42829" s="1025"/>
      <c r="BO42829" s="43"/>
    </row>
    <row r="42830" spans="65:67" ht="18.75" customHeight="1">
      <c r="BM42830" s="1025"/>
      <c r="BO42830" s="43"/>
    </row>
    <row r="42831" spans="65:67" ht="18.75" customHeight="1">
      <c r="BM42831" s="1025"/>
      <c r="BO42831" s="43"/>
    </row>
    <row r="42832" spans="65:67" ht="18.75" customHeight="1">
      <c r="BM42832" s="1025"/>
      <c r="BO42832" s="43"/>
    </row>
    <row r="42833" spans="65:67" ht="18.75" customHeight="1">
      <c r="BM42833" s="1025"/>
      <c r="BO42833" s="43"/>
    </row>
    <row r="42834" spans="65:67" ht="18.75" customHeight="1">
      <c r="BM42834" s="1025"/>
      <c r="BO42834" s="43"/>
    </row>
    <row r="42835" spans="65:67" ht="18.75" customHeight="1">
      <c r="BM42835" s="1025"/>
      <c r="BO42835" s="43"/>
    </row>
    <row r="42836" spans="65:67" ht="18.75" customHeight="1">
      <c r="BM42836" s="1025"/>
      <c r="BO42836" s="43"/>
    </row>
    <row r="42837" spans="65:67" ht="18.75" customHeight="1">
      <c r="BM42837" s="1025"/>
      <c r="BO42837" s="43"/>
    </row>
    <row r="42838" spans="65:67" ht="18.75" customHeight="1">
      <c r="BM42838" s="1025"/>
      <c r="BO42838" s="43"/>
    </row>
    <row r="42839" spans="65:67" ht="18.75" customHeight="1">
      <c r="BM42839" s="1025"/>
      <c r="BO42839" s="43"/>
    </row>
    <row r="42840" spans="65:67" ht="18.75" customHeight="1">
      <c r="BM42840" s="1025"/>
      <c r="BO42840" s="43"/>
    </row>
    <row r="42841" spans="65:67" ht="18.75" customHeight="1">
      <c r="BM42841" s="1025"/>
      <c r="BO42841" s="43"/>
    </row>
    <row r="42842" spans="65:67" ht="18.75" customHeight="1">
      <c r="BM42842" s="1025"/>
      <c r="BO42842" s="43"/>
    </row>
    <row r="42843" spans="65:67" ht="18.75" customHeight="1">
      <c r="BM42843" s="1025"/>
      <c r="BO42843" s="43"/>
    </row>
    <row r="42844" spans="65:67" ht="18.75" customHeight="1">
      <c r="BM42844" s="1025"/>
      <c r="BO42844" s="43"/>
    </row>
    <row r="42845" spans="65:67" ht="18.75" customHeight="1">
      <c r="BM42845" s="1025"/>
      <c r="BO42845" s="43"/>
    </row>
    <row r="42846" spans="65:67" ht="18.75" customHeight="1">
      <c r="BM42846" s="1025"/>
      <c r="BO42846" s="43"/>
    </row>
    <row r="42847" spans="65:67" ht="18.75" customHeight="1">
      <c r="BM42847" s="1025"/>
      <c r="BO42847" s="43"/>
    </row>
    <row r="42848" spans="65:67" ht="18.75" customHeight="1">
      <c r="BM42848" s="1025"/>
      <c r="BO42848" s="43"/>
    </row>
    <row r="42849" spans="65:67" ht="18.75" customHeight="1">
      <c r="BM42849" s="1025"/>
      <c r="BO42849" s="43"/>
    </row>
    <row r="42850" spans="65:67" ht="18.75" customHeight="1">
      <c r="BM42850" s="1025"/>
      <c r="BO42850" s="43"/>
    </row>
    <row r="42851" spans="65:67" ht="18.75" customHeight="1">
      <c r="BM42851" s="1025"/>
      <c r="BO42851" s="43"/>
    </row>
    <row r="42852" spans="65:67" ht="18.75" customHeight="1">
      <c r="BM42852" s="1025"/>
      <c r="BO42852" s="43"/>
    </row>
    <row r="42853" spans="65:67" ht="18.75" customHeight="1">
      <c r="BM42853" s="1025"/>
      <c r="BO42853" s="43"/>
    </row>
    <row r="42854" spans="65:67" ht="18.75" customHeight="1">
      <c r="BM42854" s="1025"/>
      <c r="BO42854" s="43"/>
    </row>
    <row r="42855" spans="65:67" ht="18.75" customHeight="1">
      <c r="BM42855" s="1025"/>
      <c r="BO42855" s="43"/>
    </row>
    <row r="42856" spans="65:67" ht="18.75" customHeight="1">
      <c r="BM42856" s="1025"/>
      <c r="BO42856" s="43"/>
    </row>
    <row r="42857" spans="65:67" ht="18.75" customHeight="1">
      <c r="BM42857" s="1025"/>
      <c r="BO42857" s="43"/>
    </row>
    <row r="42858" spans="65:67" ht="18.75" customHeight="1">
      <c r="BM42858" s="1025"/>
      <c r="BO42858" s="43"/>
    </row>
    <row r="42859" spans="65:67" ht="18.75" customHeight="1">
      <c r="BM42859" s="1025"/>
      <c r="BO42859" s="43"/>
    </row>
    <row r="42860" spans="65:67" ht="18.75" customHeight="1">
      <c r="BM42860" s="1025"/>
      <c r="BO42860" s="43"/>
    </row>
    <row r="42861" spans="65:67" ht="18.75" customHeight="1">
      <c r="BM42861" s="1025"/>
      <c r="BO42861" s="43"/>
    </row>
    <row r="42862" spans="65:67" ht="18.75" customHeight="1">
      <c r="BM42862" s="1025"/>
      <c r="BO42862" s="43"/>
    </row>
    <row r="42863" spans="65:67" ht="18.75" customHeight="1">
      <c r="BM42863" s="1025"/>
      <c r="BO42863" s="43"/>
    </row>
    <row r="42864" spans="65:67" ht="18.75" customHeight="1">
      <c r="BM42864" s="1025"/>
      <c r="BO42864" s="43"/>
    </row>
    <row r="42865" spans="65:67" ht="18.75" customHeight="1">
      <c r="BM42865" s="1025"/>
      <c r="BO42865" s="43"/>
    </row>
    <row r="42866" spans="65:67" ht="18.75" customHeight="1">
      <c r="BM42866" s="1025"/>
      <c r="BO42866" s="43"/>
    </row>
    <row r="42867" spans="65:67" ht="18.75" customHeight="1">
      <c r="BM42867" s="1025"/>
      <c r="BO42867" s="43"/>
    </row>
    <row r="42868" spans="65:67" ht="18.75" customHeight="1">
      <c r="BM42868" s="1025"/>
      <c r="BO42868" s="43"/>
    </row>
    <row r="42869" spans="65:67" ht="18.75" customHeight="1">
      <c r="BM42869" s="1025"/>
      <c r="BO42869" s="43"/>
    </row>
    <row r="42870" spans="65:67" ht="18.75" customHeight="1">
      <c r="BM42870" s="1025"/>
      <c r="BO42870" s="43"/>
    </row>
    <row r="42871" spans="65:67" ht="18.75" customHeight="1">
      <c r="BM42871" s="1025"/>
      <c r="BO42871" s="43"/>
    </row>
    <row r="42872" spans="65:67" ht="18.75" customHeight="1">
      <c r="BM42872" s="1025"/>
      <c r="BO42872" s="43"/>
    </row>
    <row r="42873" spans="65:67" ht="18.75" customHeight="1">
      <c r="BM42873" s="1025"/>
      <c r="BO42873" s="43"/>
    </row>
    <row r="42874" spans="65:67" ht="18.75" customHeight="1">
      <c r="BM42874" s="1025"/>
      <c r="BO42874" s="43"/>
    </row>
    <row r="42875" spans="65:67" ht="18.75" customHeight="1">
      <c r="BM42875" s="1025"/>
      <c r="BO42875" s="43"/>
    </row>
    <row r="42876" spans="65:67" ht="18.75" customHeight="1">
      <c r="BM42876" s="1025"/>
      <c r="BO42876" s="43"/>
    </row>
    <row r="42877" spans="65:67" ht="18.75" customHeight="1">
      <c r="BM42877" s="1025"/>
      <c r="BO42877" s="43"/>
    </row>
    <row r="42878" spans="65:67" ht="18.75" customHeight="1">
      <c r="BM42878" s="1025"/>
      <c r="BO42878" s="43"/>
    </row>
    <row r="42879" spans="65:67" ht="18.75" customHeight="1">
      <c r="BM42879" s="1025"/>
      <c r="BO42879" s="43"/>
    </row>
    <row r="42880" spans="65:67" ht="18.75" customHeight="1">
      <c r="BM42880" s="1025"/>
      <c r="BO42880" s="43"/>
    </row>
    <row r="42881" spans="65:67" ht="18.75" customHeight="1">
      <c r="BM42881" s="1025"/>
      <c r="BO42881" s="43"/>
    </row>
    <row r="42882" spans="65:67" ht="18.75" customHeight="1">
      <c r="BM42882" s="1025"/>
      <c r="BO42882" s="43"/>
    </row>
    <row r="42883" spans="65:67" ht="18.75" customHeight="1">
      <c r="BM42883" s="1025"/>
      <c r="BO42883" s="43"/>
    </row>
    <row r="42884" spans="65:67" ht="18.75" customHeight="1">
      <c r="BM42884" s="1025"/>
      <c r="BO42884" s="43"/>
    </row>
    <row r="42885" spans="65:67" ht="18.75" customHeight="1">
      <c r="BM42885" s="1025"/>
      <c r="BO42885" s="43"/>
    </row>
    <row r="42886" spans="65:67" ht="18.75" customHeight="1">
      <c r="BM42886" s="1025"/>
      <c r="BO42886" s="43"/>
    </row>
    <row r="42887" spans="65:67" ht="18.75" customHeight="1">
      <c r="BM42887" s="1025"/>
      <c r="BO42887" s="43"/>
    </row>
    <row r="42888" spans="65:67" ht="18.75" customHeight="1">
      <c r="BM42888" s="1025"/>
      <c r="BO42888" s="43"/>
    </row>
    <row r="42889" spans="65:67" ht="18.75" customHeight="1">
      <c r="BM42889" s="1025"/>
      <c r="BO42889" s="43"/>
    </row>
    <row r="42890" spans="65:67" ht="18.75" customHeight="1">
      <c r="BM42890" s="1025"/>
      <c r="BO42890" s="43"/>
    </row>
    <row r="42891" spans="65:67" ht="18.75" customHeight="1">
      <c r="BM42891" s="1025"/>
      <c r="BO42891" s="43"/>
    </row>
    <row r="42892" spans="65:67" ht="18.75" customHeight="1">
      <c r="BM42892" s="1025"/>
      <c r="BO42892" s="43"/>
    </row>
    <row r="42893" spans="65:67" ht="18.75" customHeight="1">
      <c r="BM42893" s="1025"/>
      <c r="BO42893" s="43"/>
    </row>
    <row r="42894" spans="65:67" ht="18.75" customHeight="1">
      <c r="BM42894" s="1025"/>
      <c r="BO42894" s="43"/>
    </row>
    <row r="42895" spans="65:67" ht="18.75" customHeight="1">
      <c r="BM42895" s="1025"/>
      <c r="BO42895" s="43"/>
    </row>
    <row r="42896" spans="65:67" ht="18.75" customHeight="1">
      <c r="BM42896" s="1025"/>
      <c r="BO42896" s="43"/>
    </row>
    <row r="42897" spans="65:67" ht="18.75" customHeight="1">
      <c r="BM42897" s="1025"/>
      <c r="BO42897" s="43"/>
    </row>
    <row r="42898" spans="65:67" ht="18.75" customHeight="1">
      <c r="BM42898" s="1025"/>
      <c r="BO42898" s="43"/>
    </row>
    <row r="42899" spans="65:67" ht="18.75" customHeight="1">
      <c r="BM42899" s="1025"/>
      <c r="BO42899" s="43"/>
    </row>
    <row r="42900" spans="65:67" ht="18.75" customHeight="1">
      <c r="BM42900" s="1025"/>
      <c r="BO42900" s="43"/>
    </row>
    <row r="42901" spans="65:67" ht="18.75" customHeight="1">
      <c r="BM42901" s="1025"/>
      <c r="BO42901" s="43"/>
    </row>
    <row r="42902" spans="65:67" ht="18.75" customHeight="1">
      <c r="BM42902" s="1025"/>
      <c r="BO42902" s="43"/>
    </row>
    <row r="42903" spans="65:67" ht="18.75" customHeight="1">
      <c r="BM42903" s="1025"/>
      <c r="BO42903" s="43"/>
    </row>
    <row r="42904" spans="65:67" ht="18.75" customHeight="1">
      <c r="BM42904" s="1025"/>
      <c r="BO42904" s="43"/>
    </row>
    <row r="42905" spans="65:67" ht="18.75" customHeight="1">
      <c r="BM42905" s="1025"/>
      <c r="BO42905" s="43"/>
    </row>
    <row r="42906" spans="65:67" ht="18.75" customHeight="1">
      <c r="BM42906" s="1025"/>
      <c r="BO42906" s="43"/>
    </row>
    <row r="42907" spans="65:67" ht="18.75" customHeight="1">
      <c r="BM42907" s="1025"/>
      <c r="BO42907" s="43"/>
    </row>
    <row r="42908" spans="65:67" ht="18.75" customHeight="1">
      <c r="BM42908" s="1025"/>
      <c r="BO42908" s="43"/>
    </row>
    <row r="42909" spans="65:67" ht="18.75" customHeight="1">
      <c r="BM42909" s="1025"/>
      <c r="BO42909" s="43"/>
    </row>
    <row r="42910" spans="65:67" ht="18.75" customHeight="1">
      <c r="BM42910" s="1025"/>
      <c r="BO42910" s="43"/>
    </row>
    <row r="42911" spans="65:67" ht="18.75" customHeight="1">
      <c r="BM42911" s="1025"/>
      <c r="BO42911" s="43"/>
    </row>
    <row r="42912" spans="65:67" ht="18.75" customHeight="1">
      <c r="BM42912" s="1025"/>
      <c r="BO42912" s="43"/>
    </row>
    <row r="42913" spans="65:67" ht="18.75" customHeight="1">
      <c r="BM42913" s="1025"/>
      <c r="BO42913" s="43"/>
    </row>
    <row r="42914" spans="65:67" ht="18.75" customHeight="1">
      <c r="BM42914" s="1025"/>
      <c r="BO42914" s="43"/>
    </row>
    <row r="42915" spans="65:67" ht="18.75" customHeight="1">
      <c r="BM42915" s="1025"/>
      <c r="BO42915" s="43"/>
    </row>
    <row r="42916" spans="65:67" ht="18.75" customHeight="1">
      <c r="BM42916" s="1025"/>
      <c r="BO42916" s="43"/>
    </row>
    <row r="42917" spans="65:67" ht="18.75" customHeight="1">
      <c r="BM42917" s="1025"/>
      <c r="BO42917" s="43"/>
    </row>
    <row r="42918" spans="65:67" ht="18.75" customHeight="1">
      <c r="BM42918" s="1025"/>
      <c r="BO42918" s="43"/>
    </row>
    <row r="42919" spans="65:67" ht="18.75" customHeight="1">
      <c r="BM42919" s="1025"/>
      <c r="BO42919" s="43"/>
    </row>
    <row r="42920" spans="65:67" ht="18.75" customHeight="1">
      <c r="BM42920" s="1025"/>
      <c r="BO42920" s="43"/>
    </row>
    <row r="42921" spans="65:67" ht="18.75" customHeight="1">
      <c r="BM42921" s="1025"/>
      <c r="BO42921" s="43"/>
    </row>
    <row r="42922" spans="65:67" ht="18.75" customHeight="1">
      <c r="BM42922" s="1025"/>
      <c r="BO42922" s="43"/>
    </row>
    <row r="42923" spans="65:67" ht="18.75" customHeight="1">
      <c r="BM42923" s="1025"/>
      <c r="BO42923" s="43"/>
    </row>
    <row r="42924" spans="65:67" ht="18.75" customHeight="1">
      <c r="BM42924" s="1025"/>
      <c r="BO42924" s="43"/>
    </row>
    <row r="42925" spans="65:67" ht="18.75" customHeight="1">
      <c r="BM42925" s="1025"/>
      <c r="BO42925" s="43"/>
    </row>
    <row r="42926" spans="65:67" ht="18.75" customHeight="1">
      <c r="BM42926" s="1025"/>
      <c r="BO42926" s="43"/>
    </row>
    <row r="42927" spans="65:67" ht="18.75" customHeight="1">
      <c r="BM42927" s="1025"/>
      <c r="BO42927" s="43"/>
    </row>
    <row r="42928" spans="65:67" ht="18.75" customHeight="1">
      <c r="BM42928" s="1025"/>
      <c r="BO42928" s="43"/>
    </row>
    <row r="42929" spans="65:67" ht="18.75" customHeight="1">
      <c r="BM42929" s="1025"/>
      <c r="BO42929" s="43"/>
    </row>
    <row r="42930" spans="65:67" ht="18.75" customHeight="1">
      <c r="BM42930" s="1025"/>
      <c r="BO42930" s="43"/>
    </row>
    <row r="42931" spans="65:67" ht="18.75" customHeight="1">
      <c r="BM42931" s="1025"/>
      <c r="BO42931" s="43"/>
    </row>
    <row r="42932" spans="65:67" ht="18.75" customHeight="1">
      <c r="BM42932" s="1025"/>
      <c r="BO42932" s="43"/>
    </row>
    <row r="42933" spans="65:67" ht="18.75" customHeight="1">
      <c r="BM42933" s="1025"/>
      <c r="BO42933" s="43"/>
    </row>
    <row r="42934" spans="65:67" ht="18.75" customHeight="1">
      <c r="BM42934" s="1025"/>
      <c r="BO42934" s="43"/>
    </row>
    <row r="42935" spans="65:67" ht="18.75" customHeight="1">
      <c r="BM42935" s="1025"/>
      <c r="BO42935" s="43"/>
    </row>
    <row r="42936" spans="65:67" ht="18.75" customHeight="1">
      <c r="BM42936" s="1025"/>
      <c r="BO42936" s="43"/>
    </row>
    <row r="42937" spans="65:67" ht="18.75" customHeight="1">
      <c r="BM42937" s="1025"/>
      <c r="BO42937" s="43"/>
    </row>
    <row r="42938" spans="65:67" ht="18.75" customHeight="1">
      <c r="BM42938" s="1025"/>
      <c r="BO42938" s="43"/>
    </row>
    <row r="42939" spans="65:67" ht="18.75" customHeight="1">
      <c r="BM42939" s="1025"/>
      <c r="BO42939" s="43"/>
    </row>
    <row r="42940" spans="65:67" ht="18.75" customHeight="1">
      <c r="BM42940" s="1025"/>
      <c r="BO42940" s="43"/>
    </row>
    <row r="42941" spans="65:67" ht="18.75" customHeight="1">
      <c r="BM42941" s="1025"/>
      <c r="BO42941" s="43"/>
    </row>
    <row r="42942" spans="65:67" ht="18.75" customHeight="1">
      <c r="BM42942" s="1025"/>
      <c r="BO42942" s="43"/>
    </row>
    <row r="42943" spans="65:67" ht="18.75" customHeight="1">
      <c r="BM42943" s="1025"/>
      <c r="BO42943" s="43"/>
    </row>
    <row r="42944" spans="65:67" ht="18.75" customHeight="1">
      <c r="BM42944" s="1025"/>
      <c r="BO42944" s="43"/>
    </row>
    <row r="42945" spans="65:67" ht="18.75" customHeight="1">
      <c r="BM42945" s="1025"/>
      <c r="BO42945" s="43"/>
    </row>
    <row r="42946" spans="65:67" ht="18.75" customHeight="1">
      <c r="BM42946" s="1025"/>
      <c r="BO42946" s="43"/>
    </row>
    <row r="42947" spans="65:67" ht="18.75" customHeight="1">
      <c r="BM42947" s="1025"/>
      <c r="BO42947" s="43"/>
    </row>
    <row r="42948" spans="65:67" ht="18.75" customHeight="1">
      <c r="BM42948" s="1025"/>
      <c r="BO42948" s="43"/>
    </row>
    <row r="42949" spans="65:67" ht="18.75" customHeight="1">
      <c r="BM42949" s="1025"/>
      <c r="BO42949" s="43"/>
    </row>
    <row r="42950" spans="65:67" ht="18.75" customHeight="1">
      <c r="BM42950" s="1025"/>
      <c r="BO42950" s="43"/>
    </row>
    <row r="42951" spans="65:67" ht="18.75" customHeight="1">
      <c r="BM42951" s="1025"/>
      <c r="BO42951" s="43"/>
    </row>
    <row r="42952" spans="65:67" ht="18.75" customHeight="1">
      <c r="BM42952" s="1025"/>
      <c r="BO42952" s="43"/>
    </row>
    <row r="42953" spans="65:67" ht="18.75" customHeight="1">
      <c r="BM42953" s="1025"/>
      <c r="BO42953" s="43"/>
    </row>
    <row r="42954" spans="65:67" ht="18.75" customHeight="1">
      <c r="BM42954" s="1025"/>
      <c r="BO42954" s="43"/>
    </row>
    <row r="42955" spans="65:67" ht="18.75" customHeight="1">
      <c r="BM42955" s="1025"/>
      <c r="BO42955" s="43"/>
    </row>
    <row r="42956" spans="65:67" ht="18.75" customHeight="1">
      <c r="BM42956" s="1025"/>
      <c r="BO42956" s="43"/>
    </row>
    <row r="42957" spans="65:67" ht="18.75" customHeight="1">
      <c r="BM42957" s="1025"/>
      <c r="BO42957" s="43"/>
    </row>
    <row r="42958" spans="65:67" ht="18.75" customHeight="1">
      <c r="BM42958" s="1025"/>
      <c r="BO42958" s="43"/>
    </row>
    <row r="42959" spans="65:67" ht="18.75" customHeight="1">
      <c r="BM42959" s="1025"/>
      <c r="BO42959" s="43"/>
    </row>
    <row r="42960" spans="65:67" ht="18.75" customHeight="1">
      <c r="BM42960" s="1025"/>
      <c r="BO42960" s="43"/>
    </row>
    <row r="42961" spans="65:67" ht="18.75" customHeight="1">
      <c r="BM42961" s="1025"/>
      <c r="BO42961" s="43"/>
    </row>
    <row r="42962" spans="65:67" ht="18.75" customHeight="1">
      <c r="BM42962" s="1025"/>
      <c r="BO42962" s="43"/>
    </row>
    <row r="42963" spans="65:67" ht="18.75" customHeight="1">
      <c r="BM42963" s="1025"/>
      <c r="BO42963" s="43"/>
    </row>
    <row r="42964" spans="65:67" ht="18.75" customHeight="1">
      <c r="BM42964" s="1025"/>
      <c r="BO42964" s="43"/>
    </row>
    <row r="42965" spans="65:67" ht="18.75" customHeight="1">
      <c r="BM42965" s="1025"/>
      <c r="BO42965" s="43"/>
    </row>
    <row r="42966" spans="65:67" ht="18.75" customHeight="1">
      <c r="BM42966" s="1025"/>
      <c r="BO42966" s="43"/>
    </row>
    <row r="42967" spans="65:67" ht="18.75" customHeight="1">
      <c r="BM42967" s="1025"/>
      <c r="BO42967" s="43"/>
    </row>
    <row r="42968" spans="65:67" ht="18.75" customHeight="1">
      <c r="BM42968" s="1025"/>
      <c r="BO42968" s="43"/>
    </row>
    <row r="42969" spans="65:67" ht="18.75" customHeight="1">
      <c r="BM42969" s="1025"/>
      <c r="BO42969" s="43"/>
    </row>
    <row r="42970" spans="65:67" ht="18.75" customHeight="1">
      <c r="BM42970" s="1025"/>
      <c r="BO42970" s="43"/>
    </row>
    <row r="42971" spans="65:67" ht="18.75" customHeight="1">
      <c r="BM42971" s="1025"/>
      <c r="BO42971" s="43"/>
    </row>
    <row r="42972" spans="65:67" ht="18.75" customHeight="1">
      <c r="BM42972" s="1025"/>
      <c r="BO42972" s="43"/>
    </row>
    <row r="42973" spans="65:67" ht="18.75" customHeight="1">
      <c r="BM42973" s="1025"/>
      <c r="BO42973" s="43"/>
    </row>
    <row r="42974" spans="65:67" ht="18.75" customHeight="1">
      <c r="BM42974" s="1025"/>
      <c r="BO42974" s="43"/>
    </row>
    <row r="42975" spans="65:67" ht="18.75" customHeight="1">
      <c r="BM42975" s="1025"/>
      <c r="BO42975" s="43"/>
    </row>
    <row r="42976" spans="65:67" ht="18.75" customHeight="1">
      <c r="BM42976" s="1025"/>
      <c r="BO42976" s="43"/>
    </row>
    <row r="42977" spans="65:67" ht="18.75" customHeight="1">
      <c r="BM42977" s="1025"/>
      <c r="BO42977" s="43"/>
    </row>
    <row r="42978" spans="65:67" ht="18.75" customHeight="1">
      <c r="BM42978" s="1025"/>
      <c r="BO42978" s="43"/>
    </row>
    <row r="42979" spans="65:67" ht="18.75" customHeight="1">
      <c r="BM42979" s="1025"/>
      <c r="BO42979" s="43"/>
    </row>
    <row r="42980" spans="65:67" ht="18.75" customHeight="1">
      <c r="BM42980" s="1025"/>
      <c r="BO42980" s="43"/>
    </row>
    <row r="42981" spans="65:67" ht="18.75" customHeight="1">
      <c r="BM42981" s="1025"/>
      <c r="BO42981" s="43"/>
    </row>
    <row r="42982" spans="65:67" ht="18.75" customHeight="1">
      <c r="BM42982" s="1025"/>
      <c r="BO42982" s="43"/>
    </row>
    <row r="42983" spans="65:67" ht="18.75" customHeight="1">
      <c r="BM42983" s="1025"/>
      <c r="BO42983" s="43"/>
    </row>
    <row r="42984" spans="65:67" ht="18.75" customHeight="1">
      <c r="BM42984" s="1025"/>
      <c r="BO42984" s="43"/>
    </row>
    <row r="42985" spans="65:67" ht="18.75" customHeight="1">
      <c r="BM42985" s="1025"/>
      <c r="BO42985" s="43"/>
    </row>
    <row r="42986" spans="65:67" ht="18.75" customHeight="1">
      <c r="BM42986" s="1025"/>
      <c r="BO42986" s="43"/>
    </row>
    <row r="42987" spans="65:67" ht="18.75" customHeight="1">
      <c r="BM42987" s="1025"/>
      <c r="BO42987" s="43"/>
    </row>
    <row r="42988" spans="65:67" ht="18.75" customHeight="1">
      <c r="BM42988" s="1025"/>
      <c r="BO42988" s="43"/>
    </row>
    <row r="42989" spans="65:67" ht="18.75" customHeight="1">
      <c r="BM42989" s="1025"/>
      <c r="BO42989" s="43"/>
    </row>
    <row r="42990" spans="65:67" ht="18.75" customHeight="1">
      <c r="BM42990" s="1025"/>
      <c r="BO42990" s="43"/>
    </row>
    <row r="42991" spans="65:67" ht="18.75" customHeight="1">
      <c r="BM42991" s="1025"/>
      <c r="BO42991" s="43"/>
    </row>
    <row r="42992" spans="65:67" ht="18.75" customHeight="1">
      <c r="BM42992" s="1025"/>
      <c r="BO42992" s="43"/>
    </row>
    <row r="42993" spans="65:67" ht="18.75" customHeight="1">
      <c r="BM42993" s="1025"/>
      <c r="BO42993" s="43"/>
    </row>
    <row r="42994" spans="65:67" ht="18.75" customHeight="1">
      <c r="BM42994" s="1025"/>
      <c r="BO42994" s="43"/>
    </row>
    <row r="42995" spans="65:67" ht="18.75" customHeight="1">
      <c r="BM42995" s="1025"/>
      <c r="BO42995" s="43"/>
    </row>
    <row r="42996" spans="65:67" ht="18.75" customHeight="1">
      <c r="BM42996" s="1025"/>
      <c r="BO42996" s="43"/>
    </row>
    <row r="42997" spans="65:67" ht="18.75" customHeight="1">
      <c r="BM42997" s="1025"/>
      <c r="BO42997" s="43"/>
    </row>
    <row r="42998" spans="65:67" ht="18.75" customHeight="1">
      <c r="BM42998" s="1025"/>
      <c r="BO42998" s="43"/>
    </row>
    <row r="42999" spans="65:67" ht="18.75" customHeight="1">
      <c r="BM42999" s="1025"/>
      <c r="BO42999" s="43"/>
    </row>
    <row r="43000" spans="65:67" ht="18.75" customHeight="1">
      <c r="BM43000" s="1025"/>
      <c r="BO43000" s="43"/>
    </row>
    <row r="43001" spans="65:67" ht="18.75" customHeight="1">
      <c r="BM43001" s="1025"/>
      <c r="BO43001" s="43"/>
    </row>
    <row r="43002" spans="65:67" ht="18.75" customHeight="1">
      <c r="BM43002" s="1025"/>
      <c r="BO43002" s="43"/>
    </row>
    <row r="43003" spans="65:67" ht="18.75" customHeight="1">
      <c r="BM43003" s="1025"/>
      <c r="BO43003" s="43"/>
    </row>
    <row r="43004" spans="65:67" ht="18.75" customHeight="1">
      <c r="BM43004" s="1025"/>
      <c r="BO43004" s="43"/>
    </row>
    <row r="43005" spans="65:67" ht="18.75" customHeight="1">
      <c r="BM43005" s="1025"/>
      <c r="BO43005" s="43"/>
    </row>
    <row r="43006" spans="65:67" ht="18.75" customHeight="1">
      <c r="BM43006" s="1025"/>
      <c r="BO43006" s="43"/>
    </row>
    <row r="43007" spans="65:67" ht="18.75" customHeight="1">
      <c r="BM43007" s="1025"/>
      <c r="BO43007" s="43"/>
    </row>
    <row r="43008" spans="65:67" ht="18.75" customHeight="1">
      <c r="BM43008" s="1025"/>
      <c r="BO43008" s="43"/>
    </row>
    <row r="43009" spans="65:67" ht="18.75" customHeight="1">
      <c r="BM43009" s="1025"/>
      <c r="BO43009" s="43"/>
    </row>
    <row r="43010" spans="65:67" ht="18.75" customHeight="1">
      <c r="BM43010" s="1025"/>
      <c r="BO43010" s="43"/>
    </row>
    <row r="43011" spans="65:67" ht="18.75" customHeight="1">
      <c r="BM43011" s="1025"/>
      <c r="BO43011" s="43"/>
    </row>
    <row r="43012" spans="65:67" ht="18.75" customHeight="1">
      <c r="BM43012" s="1025"/>
      <c r="BO43012" s="43"/>
    </row>
    <row r="43013" spans="65:67" ht="18.75" customHeight="1">
      <c r="BM43013" s="1025"/>
      <c r="BO43013" s="43"/>
    </row>
    <row r="43014" spans="65:67" ht="18.75" customHeight="1">
      <c r="BM43014" s="1025"/>
      <c r="BO43014" s="43"/>
    </row>
    <row r="43015" spans="65:67" ht="18.75" customHeight="1">
      <c r="BM43015" s="1025"/>
      <c r="BO43015" s="43"/>
    </row>
    <row r="43016" spans="65:67" ht="18.75" customHeight="1">
      <c r="BM43016" s="1025"/>
      <c r="BO43016" s="43"/>
    </row>
    <row r="43017" spans="65:67" ht="18.75" customHeight="1">
      <c r="BM43017" s="1025"/>
      <c r="BO43017" s="43"/>
    </row>
    <row r="43018" spans="65:67" ht="18.75" customHeight="1">
      <c r="BM43018" s="1025"/>
      <c r="BO43018" s="43"/>
    </row>
    <row r="43019" spans="65:67" ht="18.75" customHeight="1">
      <c r="BM43019" s="1025"/>
      <c r="BO43019" s="43"/>
    </row>
    <row r="43020" spans="65:67" ht="18.75" customHeight="1">
      <c r="BM43020" s="1025"/>
      <c r="BO43020" s="43"/>
    </row>
    <row r="43021" spans="65:67" ht="18.75" customHeight="1">
      <c r="BM43021" s="1025"/>
      <c r="BO43021" s="43"/>
    </row>
    <row r="43022" spans="65:67" ht="18.75" customHeight="1">
      <c r="BM43022" s="1025"/>
      <c r="BO43022" s="43"/>
    </row>
    <row r="43023" spans="65:67" ht="18.75" customHeight="1">
      <c r="BM43023" s="1025"/>
      <c r="BO43023" s="43"/>
    </row>
    <row r="43024" spans="65:67" ht="18.75" customHeight="1">
      <c r="BM43024" s="1025"/>
      <c r="BO43024" s="43"/>
    </row>
    <row r="43025" spans="65:67" ht="18.75" customHeight="1">
      <c r="BM43025" s="1025"/>
      <c r="BO43025" s="43"/>
    </row>
    <row r="43026" spans="65:67" ht="18.75" customHeight="1">
      <c r="BM43026" s="1025"/>
      <c r="BO43026" s="43"/>
    </row>
    <row r="43027" spans="65:67" ht="18.75" customHeight="1">
      <c r="BM43027" s="1025"/>
      <c r="BO43027" s="43"/>
    </row>
    <row r="43028" spans="65:67" ht="18.75" customHeight="1">
      <c r="BM43028" s="1025"/>
      <c r="BO43028" s="43"/>
    </row>
    <row r="43029" spans="65:67" ht="18.75" customHeight="1">
      <c r="BM43029" s="1025"/>
      <c r="BO43029" s="43"/>
    </row>
    <row r="43030" spans="65:67" ht="18.75" customHeight="1">
      <c r="BM43030" s="1025"/>
      <c r="BO43030" s="43"/>
    </row>
    <row r="43031" spans="65:67" ht="18.75" customHeight="1">
      <c r="BM43031" s="1025"/>
      <c r="BO43031" s="43"/>
    </row>
    <row r="43032" spans="65:67" ht="18.75" customHeight="1">
      <c r="BM43032" s="1025"/>
      <c r="BO43032" s="43"/>
    </row>
    <row r="43033" spans="65:67" ht="18.75" customHeight="1">
      <c r="BM43033" s="1025"/>
      <c r="BO43033" s="43"/>
    </row>
    <row r="43034" spans="65:67" ht="18.75" customHeight="1">
      <c r="BM43034" s="1025"/>
      <c r="BO43034" s="43"/>
    </row>
    <row r="43035" spans="65:67" ht="18.75" customHeight="1">
      <c r="BM43035" s="1025"/>
      <c r="BO43035" s="43"/>
    </row>
    <row r="43036" spans="65:67" ht="18.75" customHeight="1">
      <c r="BM43036" s="1025"/>
      <c r="BO43036" s="43"/>
    </row>
    <row r="43037" spans="65:67" ht="18.75" customHeight="1">
      <c r="BM43037" s="1025"/>
      <c r="BO43037" s="43"/>
    </row>
    <row r="43038" spans="65:67" ht="18.75" customHeight="1">
      <c r="BM43038" s="1025"/>
      <c r="BO43038" s="43"/>
    </row>
    <row r="43039" spans="65:67" ht="18.75" customHeight="1">
      <c r="BM43039" s="1025"/>
      <c r="BO43039" s="43"/>
    </row>
    <row r="43040" spans="65:67" ht="18.75" customHeight="1">
      <c r="BM43040" s="1025"/>
      <c r="BO43040" s="43"/>
    </row>
    <row r="43041" spans="65:67" ht="18.75" customHeight="1">
      <c r="BM43041" s="1025"/>
      <c r="BO43041" s="43"/>
    </row>
    <row r="43042" spans="65:67" ht="18.75" customHeight="1">
      <c r="BM43042" s="1025"/>
      <c r="BO43042" s="43"/>
    </row>
    <row r="43043" spans="65:67" ht="18.75" customHeight="1">
      <c r="BM43043" s="1025"/>
      <c r="BO43043" s="43"/>
    </row>
    <row r="43044" spans="65:67" ht="18.75" customHeight="1">
      <c r="BM43044" s="1025"/>
      <c r="BO43044" s="43"/>
    </row>
    <row r="43045" spans="65:67" ht="18.75" customHeight="1">
      <c r="BM43045" s="1025"/>
      <c r="BO43045" s="43"/>
    </row>
    <row r="43046" spans="65:67" ht="18.75" customHeight="1">
      <c r="BM43046" s="1025"/>
      <c r="BO43046" s="43"/>
    </row>
    <row r="43047" spans="65:67" ht="18.75" customHeight="1">
      <c r="BM43047" s="1025"/>
      <c r="BO43047" s="43"/>
    </row>
    <row r="43048" spans="65:67" ht="18.75" customHeight="1">
      <c r="BM43048" s="1025"/>
      <c r="BO43048" s="43"/>
    </row>
    <row r="43049" spans="65:67" ht="18.75" customHeight="1">
      <c r="BM43049" s="1025"/>
      <c r="BO43049" s="43"/>
    </row>
    <row r="43050" spans="65:67" ht="18.75" customHeight="1">
      <c r="BM43050" s="1025"/>
      <c r="BO43050" s="43"/>
    </row>
    <row r="43051" spans="65:67" ht="18.75" customHeight="1">
      <c r="BM43051" s="1025"/>
      <c r="BO43051" s="43"/>
    </row>
    <row r="43052" spans="65:67" ht="18.75" customHeight="1">
      <c r="BM43052" s="1025"/>
      <c r="BO43052" s="43"/>
    </row>
    <row r="43053" spans="65:67" ht="18.75" customHeight="1">
      <c r="BM43053" s="1025"/>
      <c r="BO43053" s="43"/>
    </row>
    <row r="43054" spans="65:67" ht="18.75" customHeight="1">
      <c r="BM43054" s="1025"/>
      <c r="BO43054" s="43"/>
    </row>
    <row r="43055" spans="65:67" ht="18.75" customHeight="1">
      <c r="BM43055" s="1025"/>
      <c r="BO43055" s="43"/>
    </row>
    <row r="43056" spans="65:67" ht="18.75" customHeight="1">
      <c r="BM43056" s="1025"/>
      <c r="BO43056" s="43"/>
    </row>
    <row r="43057" spans="65:67" ht="18.75" customHeight="1">
      <c r="BM43057" s="1025"/>
      <c r="BO43057" s="43"/>
    </row>
    <row r="43058" spans="65:67" ht="18.75" customHeight="1">
      <c r="BM43058" s="1025"/>
      <c r="BO43058" s="43"/>
    </row>
    <row r="43059" spans="65:67" ht="18.75" customHeight="1">
      <c r="BM43059" s="1025"/>
      <c r="BO43059" s="43"/>
    </row>
    <row r="43060" spans="65:67" ht="18.75" customHeight="1">
      <c r="BM43060" s="1025"/>
      <c r="BO43060" s="43"/>
    </row>
    <row r="43061" spans="65:67" ht="18.75" customHeight="1">
      <c r="BM43061" s="1025"/>
      <c r="BO43061" s="43"/>
    </row>
    <row r="43062" spans="65:67" ht="18.75" customHeight="1">
      <c r="BM43062" s="1025"/>
      <c r="BO43062" s="43"/>
    </row>
    <row r="43063" spans="65:67" ht="18.75" customHeight="1">
      <c r="BM43063" s="1025"/>
      <c r="BO43063" s="43"/>
    </row>
    <row r="43064" spans="65:67" ht="18.75" customHeight="1">
      <c r="BM43064" s="1025"/>
      <c r="BO43064" s="43"/>
    </row>
    <row r="43065" spans="65:67" ht="18.75" customHeight="1">
      <c r="BM43065" s="1025"/>
      <c r="BO43065" s="43"/>
    </row>
    <row r="43066" spans="65:67" ht="18.75" customHeight="1">
      <c r="BM43066" s="1025"/>
      <c r="BO43066" s="43"/>
    </row>
    <row r="43067" spans="65:67" ht="18.75" customHeight="1">
      <c r="BM43067" s="1025"/>
      <c r="BO43067" s="43"/>
    </row>
    <row r="43068" spans="65:67" ht="18.75" customHeight="1">
      <c r="BM43068" s="1025"/>
      <c r="BO43068" s="43"/>
    </row>
    <row r="43069" spans="65:67" ht="18.75" customHeight="1">
      <c r="BM43069" s="1025"/>
      <c r="BO43069" s="43"/>
    </row>
    <row r="43070" spans="65:67" ht="18.75" customHeight="1">
      <c r="BM43070" s="1025"/>
      <c r="BO43070" s="43"/>
    </row>
    <row r="43071" spans="65:67" ht="18.75" customHeight="1">
      <c r="BM43071" s="1025"/>
      <c r="BO43071" s="43"/>
    </row>
    <row r="43072" spans="65:67" ht="18.75" customHeight="1">
      <c r="BM43072" s="1025"/>
      <c r="BO43072" s="43"/>
    </row>
    <row r="43073" spans="65:67" ht="18.75" customHeight="1">
      <c r="BM43073" s="1025"/>
      <c r="BO43073" s="43"/>
    </row>
    <row r="43074" spans="65:67" ht="18.75" customHeight="1">
      <c r="BM43074" s="1025"/>
      <c r="BO43074" s="43"/>
    </row>
    <row r="43075" spans="65:67" ht="18.75" customHeight="1">
      <c r="BM43075" s="1025"/>
      <c r="BO43075" s="43"/>
    </row>
    <row r="43076" spans="65:67" ht="18.75" customHeight="1">
      <c r="BM43076" s="1025"/>
      <c r="BO43076" s="43"/>
    </row>
    <row r="43077" spans="65:67" ht="18.75" customHeight="1">
      <c r="BM43077" s="1025"/>
      <c r="BO43077" s="43"/>
    </row>
    <row r="43078" spans="65:67" ht="18.75" customHeight="1">
      <c r="BM43078" s="1025"/>
      <c r="BO43078" s="43"/>
    </row>
    <row r="43079" spans="65:67" ht="18.75" customHeight="1">
      <c r="BM43079" s="1025"/>
      <c r="BO43079" s="43"/>
    </row>
    <row r="43080" spans="65:67" ht="18.75" customHeight="1">
      <c r="BM43080" s="1025"/>
      <c r="BO43080" s="43"/>
    </row>
    <row r="43081" spans="65:67" ht="18.75" customHeight="1">
      <c r="BM43081" s="1025"/>
      <c r="BO43081" s="43"/>
    </row>
    <row r="43082" spans="65:67" ht="18.75" customHeight="1">
      <c r="BM43082" s="1025"/>
      <c r="BO43082" s="43"/>
    </row>
    <row r="43083" spans="65:67" ht="18.75" customHeight="1">
      <c r="BM43083" s="1025"/>
      <c r="BO43083" s="43"/>
    </row>
    <row r="43084" spans="65:67" ht="18.75" customHeight="1">
      <c r="BM43084" s="1025"/>
      <c r="BO43084" s="43"/>
    </row>
    <row r="43085" spans="65:67" ht="18.75" customHeight="1">
      <c r="BM43085" s="1025"/>
      <c r="BO43085" s="43"/>
    </row>
    <row r="43086" spans="65:67" ht="18.75" customHeight="1">
      <c r="BM43086" s="1025"/>
      <c r="BO43086" s="43"/>
    </row>
    <row r="43087" spans="65:67" ht="18.75" customHeight="1">
      <c r="BM43087" s="1025"/>
      <c r="BO43087" s="43"/>
    </row>
    <row r="43088" spans="65:67" ht="18.75" customHeight="1">
      <c r="BM43088" s="1025"/>
      <c r="BO43088" s="43"/>
    </row>
    <row r="43089" spans="65:67" ht="18.75" customHeight="1">
      <c r="BM43089" s="1025"/>
      <c r="BO43089" s="43"/>
    </row>
    <row r="43090" spans="65:67" ht="18.75" customHeight="1">
      <c r="BM43090" s="1025"/>
      <c r="BO43090" s="43"/>
    </row>
    <row r="43091" spans="65:67" ht="18.75" customHeight="1">
      <c r="BM43091" s="1025"/>
      <c r="BO43091" s="43"/>
    </row>
    <row r="43092" spans="65:67" ht="18.75" customHeight="1">
      <c r="BM43092" s="1025"/>
      <c r="BO43092" s="43"/>
    </row>
    <row r="43093" spans="65:67" ht="18.75" customHeight="1">
      <c r="BM43093" s="1025"/>
      <c r="BO43093" s="43"/>
    </row>
    <row r="43094" spans="65:67" ht="18.75" customHeight="1">
      <c r="BM43094" s="1025"/>
      <c r="BO43094" s="43"/>
    </row>
    <row r="43095" spans="65:67" ht="18.75" customHeight="1">
      <c r="BM43095" s="1025"/>
      <c r="BO43095" s="43"/>
    </row>
    <row r="43096" spans="65:67" ht="18.75" customHeight="1">
      <c r="BM43096" s="1025"/>
      <c r="BO43096" s="43"/>
    </row>
    <row r="43097" spans="65:67" ht="18.75" customHeight="1">
      <c r="BM43097" s="1025"/>
      <c r="BO43097" s="43"/>
    </row>
    <row r="43098" spans="65:67" ht="18.75" customHeight="1">
      <c r="BM43098" s="1025"/>
      <c r="BO43098" s="43"/>
    </row>
    <row r="43099" spans="65:67" ht="18.75" customHeight="1">
      <c r="BM43099" s="1025"/>
      <c r="BO43099" s="43"/>
    </row>
    <row r="43100" spans="65:67" ht="18.75" customHeight="1">
      <c r="BM43100" s="1025"/>
      <c r="BO43100" s="43"/>
    </row>
    <row r="43101" spans="65:67" ht="18.75" customHeight="1">
      <c r="BM43101" s="1025"/>
      <c r="BO43101" s="43"/>
    </row>
    <row r="43102" spans="65:67" ht="18.75" customHeight="1">
      <c r="BM43102" s="1025"/>
      <c r="BO43102" s="43"/>
    </row>
    <row r="43103" spans="65:67" ht="18.75" customHeight="1">
      <c r="BM43103" s="1025"/>
      <c r="BO43103" s="43"/>
    </row>
    <row r="43104" spans="65:67" ht="18.75" customHeight="1">
      <c r="BM43104" s="1025"/>
      <c r="BO43104" s="43"/>
    </row>
    <row r="43105" spans="65:67" ht="18.75" customHeight="1">
      <c r="BM43105" s="1025"/>
      <c r="BO43105" s="43"/>
    </row>
    <row r="43106" spans="65:67" ht="18.75" customHeight="1">
      <c r="BM43106" s="1025"/>
      <c r="BO43106" s="43"/>
    </row>
    <row r="43107" spans="65:67" ht="18.75" customHeight="1">
      <c r="BM43107" s="1025"/>
      <c r="BO43107" s="43"/>
    </row>
    <row r="43108" spans="65:67" ht="18.75" customHeight="1">
      <c r="BM43108" s="1025"/>
      <c r="BO43108" s="43"/>
    </row>
    <row r="43109" spans="65:67" ht="18.75" customHeight="1">
      <c r="BM43109" s="1025"/>
      <c r="BO43109" s="43"/>
    </row>
    <row r="43110" spans="65:67" ht="18.75" customHeight="1">
      <c r="BM43110" s="1025"/>
      <c r="BO43110" s="43"/>
    </row>
    <row r="43111" spans="65:67" ht="18.75" customHeight="1">
      <c r="BM43111" s="1025"/>
      <c r="BO43111" s="43"/>
    </row>
    <row r="43112" spans="65:67" ht="18.75" customHeight="1">
      <c r="BM43112" s="1025"/>
      <c r="BO43112" s="43"/>
    </row>
    <row r="43113" spans="65:67" ht="18.75" customHeight="1">
      <c r="BM43113" s="1025"/>
      <c r="BO43113" s="43"/>
    </row>
    <row r="43114" spans="65:67" ht="18.75" customHeight="1">
      <c r="BM43114" s="1025"/>
      <c r="BO43114" s="43"/>
    </row>
    <row r="43115" spans="65:67" ht="18.75" customHeight="1">
      <c r="BM43115" s="1025"/>
      <c r="BO43115" s="43"/>
    </row>
    <row r="43116" spans="65:67" ht="18.75" customHeight="1">
      <c r="BM43116" s="1025"/>
      <c r="BO43116" s="43"/>
    </row>
    <row r="43117" spans="65:67" ht="18.75" customHeight="1">
      <c r="BM43117" s="1025"/>
      <c r="BO43117" s="43"/>
    </row>
    <row r="43118" spans="65:67" ht="18.75" customHeight="1">
      <c r="BM43118" s="1025"/>
      <c r="BO43118" s="43"/>
    </row>
    <row r="43119" spans="65:67" ht="18.75" customHeight="1">
      <c r="BM43119" s="1025"/>
      <c r="BO43119" s="43"/>
    </row>
    <row r="43120" spans="65:67" ht="18.75" customHeight="1">
      <c r="BM43120" s="1025"/>
      <c r="BO43120" s="43"/>
    </row>
    <row r="43121" spans="65:67" ht="18.75" customHeight="1">
      <c r="BM43121" s="1025"/>
      <c r="BO43121" s="43"/>
    </row>
    <row r="43122" spans="65:67" ht="18.75" customHeight="1">
      <c r="BM43122" s="1025"/>
      <c r="BO43122" s="43"/>
    </row>
    <row r="43123" spans="65:67" ht="18.75" customHeight="1">
      <c r="BM43123" s="1025"/>
      <c r="BO43123" s="43"/>
    </row>
    <row r="43124" spans="65:67" ht="18.75" customHeight="1">
      <c r="BM43124" s="1025"/>
      <c r="BO43124" s="43"/>
    </row>
    <row r="43125" spans="65:67" ht="18.75" customHeight="1">
      <c r="BM43125" s="1025"/>
      <c r="BO43125" s="43"/>
    </row>
    <row r="43126" spans="65:67" ht="18.75" customHeight="1">
      <c r="BM43126" s="1025"/>
      <c r="BO43126" s="43"/>
    </row>
    <row r="43127" spans="65:67" ht="18.75" customHeight="1">
      <c r="BM43127" s="1025"/>
      <c r="BO43127" s="43"/>
    </row>
    <row r="43128" spans="65:67" ht="18.75" customHeight="1">
      <c r="BM43128" s="1025"/>
      <c r="BO43128" s="43"/>
    </row>
    <row r="43129" spans="65:67" ht="18.75" customHeight="1">
      <c r="BM43129" s="1025"/>
      <c r="BO43129" s="43"/>
    </row>
    <row r="43130" spans="65:67" ht="18.75" customHeight="1">
      <c r="BM43130" s="1025"/>
      <c r="BO43130" s="43"/>
    </row>
    <row r="43131" spans="65:67" ht="18.75" customHeight="1">
      <c r="BM43131" s="1025"/>
      <c r="BO43131" s="43"/>
    </row>
    <row r="43132" spans="65:67" ht="18.75" customHeight="1">
      <c r="BM43132" s="1025"/>
      <c r="BO43132" s="43"/>
    </row>
    <row r="43133" spans="65:67" ht="18.75" customHeight="1">
      <c r="BM43133" s="1025"/>
      <c r="BO43133" s="43"/>
    </row>
    <row r="43134" spans="65:67" ht="18.75" customHeight="1">
      <c r="BM43134" s="1025"/>
      <c r="BO43134" s="43"/>
    </row>
    <row r="43135" spans="65:67" ht="18.75" customHeight="1">
      <c r="BM43135" s="1025"/>
      <c r="BO43135" s="43"/>
    </row>
    <row r="43136" spans="65:67" ht="18.75" customHeight="1">
      <c r="BM43136" s="1025"/>
      <c r="BO43136" s="43"/>
    </row>
    <row r="43137" spans="65:67" ht="18.75" customHeight="1">
      <c r="BM43137" s="1025"/>
      <c r="BO43137" s="43"/>
    </row>
    <row r="43138" spans="65:67" ht="18.75" customHeight="1">
      <c r="BM43138" s="1025"/>
      <c r="BO43138" s="43"/>
    </row>
    <row r="43139" spans="65:67" ht="18.75" customHeight="1">
      <c r="BM43139" s="1025"/>
      <c r="BO43139" s="43"/>
    </row>
    <row r="43140" spans="65:67" ht="18.75" customHeight="1">
      <c r="BM43140" s="1025"/>
      <c r="BO43140" s="43"/>
    </row>
    <row r="43141" spans="65:67" ht="18.75" customHeight="1">
      <c r="BM43141" s="1025"/>
      <c r="BO43141" s="43"/>
    </row>
    <row r="43142" spans="65:67" ht="18.75" customHeight="1">
      <c r="BM43142" s="1025"/>
      <c r="BO43142" s="43"/>
    </row>
    <row r="43143" spans="65:67" ht="18.75" customHeight="1">
      <c r="BM43143" s="1025"/>
      <c r="BO43143" s="43"/>
    </row>
    <row r="43144" spans="65:67" ht="18.75" customHeight="1">
      <c r="BM43144" s="1025"/>
      <c r="BO43144" s="43"/>
    </row>
    <row r="43145" spans="65:67" ht="18.75" customHeight="1">
      <c r="BM43145" s="1025"/>
      <c r="BO43145" s="43"/>
    </row>
    <row r="43146" spans="65:67" ht="18.75" customHeight="1">
      <c r="BM43146" s="1025"/>
      <c r="BO43146" s="43"/>
    </row>
    <row r="43147" spans="65:67" ht="18.75" customHeight="1">
      <c r="BM43147" s="1025"/>
      <c r="BO43147" s="43"/>
    </row>
    <row r="43148" spans="65:67" ht="18.75" customHeight="1">
      <c r="BM43148" s="1025"/>
      <c r="BO43148" s="43"/>
    </row>
    <row r="43149" spans="65:67" ht="18.75" customHeight="1">
      <c r="BM43149" s="1025"/>
      <c r="BO43149" s="43"/>
    </row>
    <row r="43150" spans="65:67" ht="18.75" customHeight="1">
      <c r="BM43150" s="1025"/>
      <c r="BO43150" s="43"/>
    </row>
    <row r="43151" spans="65:67" ht="18.75" customHeight="1">
      <c r="BM43151" s="1025"/>
      <c r="BO43151" s="43"/>
    </row>
    <row r="43152" spans="65:67" ht="18.75" customHeight="1">
      <c r="BM43152" s="1025"/>
      <c r="BO43152" s="43"/>
    </row>
    <row r="43153" spans="65:67" ht="18.75" customHeight="1">
      <c r="BM43153" s="1025"/>
      <c r="BO43153" s="43"/>
    </row>
    <row r="43154" spans="65:67" ht="18.75" customHeight="1">
      <c r="BM43154" s="1025"/>
      <c r="BO43154" s="43"/>
    </row>
    <row r="43155" spans="65:67" ht="18.75" customHeight="1">
      <c r="BM43155" s="1025"/>
      <c r="BO43155" s="43"/>
    </row>
    <row r="43156" spans="65:67" ht="18.75" customHeight="1">
      <c r="BM43156" s="1025"/>
      <c r="BO43156" s="43"/>
    </row>
    <row r="43157" spans="65:67" ht="18.75" customHeight="1">
      <c r="BM43157" s="1025"/>
      <c r="BO43157" s="43"/>
    </row>
    <row r="43158" spans="65:67" ht="18.75" customHeight="1">
      <c r="BM43158" s="1025"/>
      <c r="BO43158" s="43"/>
    </row>
    <row r="43159" spans="65:67" ht="18.75" customHeight="1">
      <c r="BM43159" s="1025"/>
      <c r="BO43159" s="43"/>
    </row>
    <row r="43160" spans="65:67" ht="18.75" customHeight="1">
      <c r="BM43160" s="1025"/>
      <c r="BO43160" s="43"/>
    </row>
    <row r="43161" spans="65:67" ht="18.75" customHeight="1">
      <c r="BM43161" s="1025"/>
      <c r="BO43161" s="43"/>
    </row>
    <row r="43162" spans="65:67" ht="18.75" customHeight="1">
      <c r="BM43162" s="1025"/>
      <c r="BO43162" s="43"/>
    </row>
    <row r="43163" spans="65:67" ht="18.75" customHeight="1">
      <c r="BM43163" s="1025"/>
      <c r="BO43163" s="43"/>
    </row>
    <row r="43164" spans="65:67" ht="18.75" customHeight="1">
      <c r="BM43164" s="1025"/>
      <c r="BO43164" s="43"/>
    </row>
    <row r="43165" spans="65:67" ht="18.75" customHeight="1">
      <c r="BM43165" s="1025"/>
      <c r="BO43165" s="43"/>
    </row>
    <row r="43166" spans="65:67" ht="18.75" customHeight="1">
      <c r="BM43166" s="1025"/>
      <c r="BO43166" s="43"/>
    </row>
    <row r="43167" spans="65:67" ht="18.75" customHeight="1">
      <c r="BM43167" s="1025"/>
      <c r="BO43167" s="43"/>
    </row>
    <row r="43168" spans="65:67" ht="18.75" customHeight="1">
      <c r="BM43168" s="1025"/>
      <c r="BO43168" s="43"/>
    </row>
    <row r="43169" spans="65:67" ht="18.75" customHeight="1">
      <c r="BM43169" s="1025"/>
      <c r="BO43169" s="43"/>
    </row>
    <row r="43170" spans="65:67" ht="18.75" customHeight="1">
      <c r="BM43170" s="1025"/>
      <c r="BO43170" s="43"/>
    </row>
    <row r="43171" spans="65:67" ht="18.75" customHeight="1">
      <c r="BM43171" s="1025"/>
      <c r="BO43171" s="43"/>
    </row>
    <row r="43172" spans="65:67" ht="18.75" customHeight="1">
      <c r="BM43172" s="1025"/>
      <c r="BO43172" s="43"/>
    </row>
    <row r="43173" spans="65:67" ht="18.75" customHeight="1">
      <c r="BM43173" s="1025"/>
      <c r="BO43173" s="43"/>
    </row>
    <row r="43174" spans="65:67" ht="18.75" customHeight="1">
      <c r="BM43174" s="1025"/>
      <c r="BO43174" s="43"/>
    </row>
    <row r="43175" spans="65:67" ht="18.75" customHeight="1">
      <c r="BM43175" s="1025"/>
      <c r="BO43175" s="43"/>
    </row>
    <row r="43176" spans="65:67" ht="18.75" customHeight="1">
      <c r="BM43176" s="1025"/>
      <c r="BO43176" s="43"/>
    </row>
    <row r="43177" spans="65:67" ht="18.75" customHeight="1">
      <c r="BM43177" s="1025"/>
      <c r="BO43177" s="43"/>
    </row>
    <row r="43178" spans="65:67" ht="18.75" customHeight="1">
      <c r="BM43178" s="1025"/>
      <c r="BO43178" s="43"/>
    </row>
    <row r="43179" spans="65:67" ht="18.75" customHeight="1">
      <c r="BM43179" s="1025"/>
      <c r="BO43179" s="43"/>
    </row>
    <row r="43180" spans="65:67" ht="18.75" customHeight="1">
      <c r="BM43180" s="1025"/>
      <c r="BO43180" s="43"/>
    </row>
    <row r="43181" spans="65:67" ht="18.75" customHeight="1">
      <c r="BM43181" s="1025"/>
      <c r="BO43181" s="43"/>
    </row>
    <row r="43182" spans="65:67" ht="18.75" customHeight="1">
      <c r="BM43182" s="1025"/>
      <c r="BO43182" s="43"/>
    </row>
    <row r="43183" spans="65:67" ht="18.75" customHeight="1">
      <c r="BM43183" s="1025"/>
      <c r="BO43183" s="43"/>
    </row>
    <row r="43184" spans="65:67" ht="18.75" customHeight="1">
      <c r="BM43184" s="1025"/>
      <c r="BO43184" s="43"/>
    </row>
    <row r="43185" spans="65:67" ht="18.75" customHeight="1">
      <c r="BM43185" s="1025"/>
      <c r="BO43185" s="43"/>
    </row>
    <row r="43186" spans="65:67" ht="18.75" customHeight="1">
      <c r="BM43186" s="1025"/>
      <c r="BO43186" s="43"/>
    </row>
    <row r="43187" spans="65:67" ht="18.75" customHeight="1">
      <c r="BM43187" s="1025"/>
      <c r="BO43187" s="43"/>
    </row>
    <row r="43188" spans="65:67" ht="18.75" customHeight="1">
      <c r="BM43188" s="1025"/>
      <c r="BO43188" s="43"/>
    </row>
    <row r="43189" spans="65:67" ht="18.75" customHeight="1">
      <c r="BM43189" s="1025"/>
      <c r="BO43189" s="43"/>
    </row>
    <row r="43190" spans="65:67" ht="18.75" customHeight="1">
      <c r="BM43190" s="1025"/>
      <c r="BO43190" s="43"/>
    </row>
    <row r="43191" spans="65:67" ht="18.75" customHeight="1">
      <c r="BM43191" s="1025"/>
      <c r="BO43191" s="43"/>
    </row>
    <row r="43192" spans="65:67" ht="18.75" customHeight="1">
      <c r="BM43192" s="1025"/>
      <c r="BO43192" s="43"/>
    </row>
    <row r="43193" spans="65:67" ht="18.75" customHeight="1">
      <c r="BM43193" s="1025"/>
      <c r="BO43193" s="43"/>
    </row>
    <row r="43194" spans="65:67" ht="18.75" customHeight="1">
      <c r="BM43194" s="1025"/>
      <c r="BO43194" s="43"/>
    </row>
    <row r="43195" spans="65:67" ht="18.75" customHeight="1">
      <c r="BM43195" s="1025"/>
      <c r="BO43195" s="43"/>
    </row>
    <row r="43196" spans="65:67" ht="18.75" customHeight="1">
      <c r="BM43196" s="1025"/>
      <c r="BO43196" s="43"/>
    </row>
    <row r="43197" spans="65:67" ht="18.75" customHeight="1">
      <c r="BM43197" s="1025"/>
      <c r="BO43197" s="43"/>
    </row>
    <row r="43198" spans="65:67" ht="18.75" customHeight="1">
      <c r="BM43198" s="1025"/>
      <c r="BO43198" s="43"/>
    </row>
    <row r="43199" spans="65:67" ht="18.75" customHeight="1">
      <c r="BM43199" s="1025"/>
      <c r="BO43199" s="43"/>
    </row>
    <row r="43200" spans="65:67" ht="18.75" customHeight="1">
      <c r="BM43200" s="1025"/>
      <c r="BO43200" s="43"/>
    </row>
    <row r="43201" spans="65:67" ht="18.75" customHeight="1">
      <c r="BM43201" s="1025"/>
      <c r="BO43201" s="43"/>
    </row>
    <row r="43202" spans="65:67" ht="18.75" customHeight="1">
      <c r="BM43202" s="1025"/>
      <c r="BO43202" s="43"/>
    </row>
    <row r="43203" spans="65:67" ht="18.75" customHeight="1">
      <c r="BM43203" s="1025"/>
      <c r="BO43203" s="43"/>
    </row>
    <row r="43204" spans="65:67" ht="18.75" customHeight="1">
      <c r="BM43204" s="1025"/>
      <c r="BO43204" s="43"/>
    </row>
    <row r="43205" spans="65:67" ht="18.75" customHeight="1">
      <c r="BM43205" s="1025"/>
      <c r="BO43205" s="43"/>
    </row>
    <row r="43206" spans="65:67" ht="18.75" customHeight="1">
      <c r="BM43206" s="1025"/>
      <c r="BO43206" s="43"/>
    </row>
    <row r="43207" spans="65:67" ht="18.75" customHeight="1">
      <c r="BM43207" s="1025"/>
      <c r="BO43207" s="43"/>
    </row>
    <row r="43208" spans="65:67" ht="18.75" customHeight="1">
      <c r="BM43208" s="1025"/>
      <c r="BO43208" s="43"/>
    </row>
    <row r="43209" spans="65:67" ht="18.75" customHeight="1">
      <c r="BM43209" s="1025"/>
      <c r="BO43209" s="43"/>
    </row>
    <row r="43210" spans="65:67" ht="18.75" customHeight="1">
      <c r="BM43210" s="1025"/>
      <c r="BO43210" s="43"/>
    </row>
    <row r="43211" spans="65:67" ht="18.75" customHeight="1">
      <c r="BM43211" s="1025"/>
      <c r="BO43211" s="43"/>
    </row>
    <row r="43212" spans="65:67" ht="18.75" customHeight="1">
      <c r="BM43212" s="1025"/>
      <c r="BO43212" s="43"/>
    </row>
    <row r="43213" spans="65:67" ht="18.75" customHeight="1">
      <c r="BM43213" s="1025"/>
      <c r="BO43213" s="43"/>
    </row>
    <row r="43214" spans="65:67" ht="18.75" customHeight="1">
      <c r="BM43214" s="1025"/>
      <c r="BO43214" s="43"/>
    </row>
    <row r="43215" spans="65:67" ht="18.75" customHeight="1">
      <c r="BM43215" s="1025"/>
      <c r="BO43215" s="43"/>
    </row>
    <row r="43216" spans="65:67" ht="18.75" customHeight="1">
      <c r="BM43216" s="1025"/>
      <c r="BO43216" s="43"/>
    </row>
    <row r="43217" spans="65:67" ht="18.75" customHeight="1">
      <c r="BM43217" s="1025"/>
      <c r="BO43217" s="43"/>
    </row>
    <row r="43218" spans="65:67" ht="18.75" customHeight="1">
      <c r="BM43218" s="1025"/>
      <c r="BO43218" s="43"/>
    </row>
    <row r="43219" spans="65:67" ht="18.75" customHeight="1">
      <c r="BM43219" s="1025"/>
      <c r="BO43219" s="43"/>
    </row>
    <row r="43220" spans="65:67" ht="18.75" customHeight="1">
      <c r="BM43220" s="1025"/>
      <c r="BO43220" s="43"/>
    </row>
    <row r="43221" spans="65:67" ht="18.75" customHeight="1">
      <c r="BM43221" s="1025"/>
      <c r="BO43221" s="43"/>
    </row>
    <row r="43222" spans="65:67" ht="18.75" customHeight="1">
      <c r="BM43222" s="1025"/>
      <c r="BO43222" s="43"/>
    </row>
    <row r="43223" spans="65:67" ht="18.75" customHeight="1">
      <c r="BM43223" s="1025"/>
      <c r="BO43223" s="43"/>
    </row>
    <row r="43224" spans="65:67" ht="18.75" customHeight="1">
      <c r="BM43224" s="1025"/>
      <c r="BO43224" s="43"/>
    </row>
    <row r="43225" spans="65:67" ht="18.75" customHeight="1">
      <c r="BM43225" s="1025"/>
      <c r="BO43225" s="43"/>
    </row>
    <row r="43226" spans="65:67" ht="18.75" customHeight="1">
      <c r="BM43226" s="1025"/>
      <c r="BO43226" s="43"/>
    </row>
    <row r="43227" spans="65:67" ht="18.75" customHeight="1">
      <c r="BM43227" s="1025"/>
      <c r="BO43227" s="43"/>
    </row>
    <row r="43228" spans="65:67" ht="18.75" customHeight="1">
      <c r="BM43228" s="1025"/>
      <c r="BO43228" s="43"/>
    </row>
    <row r="43229" spans="65:67" ht="18.75" customHeight="1">
      <c r="BM43229" s="1025"/>
      <c r="BO43229" s="43"/>
    </row>
    <row r="43230" spans="65:67" ht="18.75" customHeight="1">
      <c r="BM43230" s="1025"/>
      <c r="BO43230" s="43"/>
    </row>
    <row r="43231" spans="65:67" ht="18.75" customHeight="1">
      <c r="BM43231" s="1025"/>
      <c r="BO43231" s="43"/>
    </row>
    <row r="43232" spans="65:67" ht="18.75" customHeight="1">
      <c r="BM43232" s="1025"/>
      <c r="BO43232" s="43"/>
    </row>
    <row r="43233" spans="65:67" ht="18.75" customHeight="1">
      <c r="BM43233" s="1025"/>
      <c r="BO43233" s="43"/>
    </row>
    <row r="43234" spans="65:67" ht="18.75" customHeight="1">
      <c r="BM43234" s="1025"/>
      <c r="BO43234" s="43"/>
    </row>
    <row r="43235" spans="65:67" ht="18.75" customHeight="1">
      <c r="BM43235" s="1025"/>
      <c r="BO43235" s="43"/>
    </row>
    <row r="43236" spans="65:67" ht="18.75" customHeight="1">
      <c r="BM43236" s="1025"/>
      <c r="BO43236" s="43"/>
    </row>
    <row r="43237" spans="65:67" ht="18.75" customHeight="1">
      <c r="BM43237" s="1025"/>
      <c r="BO43237" s="43"/>
    </row>
    <row r="43238" spans="65:67" ht="18.75" customHeight="1">
      <c r="BM43238" s="1025"/>
      <c r="BO43238" s="43"/>
    </row>
    <row r="43239" spans="65:67" ht="18.75" customHeight="1">
      <c r="BM43239" s="1025"/>
      <c r="BO43239" s="43"/>
    </row>
    <row r="43240" spans="65:67" ht="18.75" customHeight="1">
      <c r="BM43240" s="1025"/>
      <c r="BO43240" s="43"/>
    </row>
    <row r="43241" spans="65:67" ht="18.75" customHeight="1">
      <c r="BM43241" s="1025"/>
      <c r="BO43241" s="43"/>
    </row>
    <row r="43242" spans="65:67" ht="18.75" customHeight="1">
      <c r="BM43242" s="1025"/>
      <c r="BO43242" s="43"/>
    </row>
    <row r="43243" spans="65:67" ht="18.75" customHeight="1">
      <c r="BM43243" s="1025"/>
      <c r="BO43243" s="43"/>
    </row>
    <row r="43244" spans="65:67" ht="18.75" customHeight="1">
      <c r="BM43244" s="1025"/>
      <c r="BO43244" s="43"/>
    </row>
    <row r="43245" spans="65:67" ht="18.75" customHeight="1">
      <c r="BM43245" s="1025"/>
      <c r="BO43245" s="43"/>
    </row>
    <row r="43246" spans="65:67" ht="18.75" customHeight="1">
      <c r="BM43246" s="1025"/>
      <c r="BO43246" s="43"/>
    </row>
    <row r="43247" spans="65:67" ht="18.75" customHeight="1">
      <c r="BM43247" s="1025"/>
      <c r="BO43247" s="43"/>
    </row>
    <row r="43248" spans="65:67" ht="18.75" customHeight="1">
      <c r="BM43248" s="1025"/>
      <c r="BO43248" s="43"/>
    </row>
    <row r="43249" spans="65:67" ht="18.75" customHeight="1">
      <c r="BM43249" s="1025"/>
      <c r="BO43249" s="43"/>
    </row>
    <row r="43250" spans="65:67" ht="18.75" customHeight="1">
      <c r="BM43250" s="1025"/>
      <c r="BO43250" s="43"/>
    </row>
    <row r="43251" spans="65:67" ht="18.75" customHeight="1">
      <c r="BM43251" s="1025"/>
      <c r="BO43251" s="43"/>
    </row>
    <row r="43252" spans="65:67" ht="18.75" customHeight="1">
      <c r="BM43252" s="1025"/>
      <c r="BO43252" s="43"/>
    </row>
    <row r="43253" spans="65:67" ht="18.75" customHeight="1">
      <c r="BM43253" s="1025"/>
      <c r="BO43253" s="43"/>
    </row>
    <row r="43254" spans="65:67" ht="18.75" customHeight="1">
      <c r="BM43254" s="1025"/>
      <c r="BO43254" s="43"/>
    </row>
    <row r="43255" spans="65:67" ht="18.75" customHeight="1">
      <c r="BM43255" s="1025"/>
      <c r="BO43255" s="43"/>
    </row>
    <row r="43256" spans="65:67" ht="18.75" customHeight="1">
      <c r="BM43256" s="1025"/>
      <c r="BO43256" s="43"/>
    </row>
    <row r="43257" spans="65:67" ht="18.75" customHeight="1">
      <c r="BM43257" s="1025"/>
      <c r="BO43257" s="43"/>
    </row>
    <row r="43258" spans="65:67" ht="18.75" customHeight="1">
      <c r="BM43258" s="1025"/>
      <c r="BO43258" s="43"/>
    </row>
    <row r="43259" spans="65:67" ht="18.75" customHeight="1">
      <c r="BM43259" s="1025"/>
      <c r="BO43259" s="43"/>
    </row>
    <row r="43260" spans="65:67" ht="18.75" customHeight="1">
      <c r="BM43260" s="1025"/>
      <c r="BO43260" s="43"/>
    </row>
    <row r="43261" spans="65:67" ht="18.75" customHeight="1">
      <c r="BM43261" s="1025"/>
      <c r="BO43261" s="43"/>
    </row>
    <row r="43262" spans="65:67" ht="18.75" customHeight="1">
      <c r="BM43262" s="1025"/>
      <c r="BO43262" s="43"/>
    </row>
    <row r="43263" spans="65:67" ht="18.75" customHeight="1">
      <c r="BM43263" s="1025"/>
      <c r="BO43263" s="43"/>
    </row>
    <row r="43264" spans="65:67" ht="18.75" customHeight="1">
      <c r="BM43264" s="1025"/>
      <c r="BO43264" s="43"/>
    </row>
    <row r="43265" spans="65:67" ht="18.75" customHeight="1">
      <c r="BM43265" s="1025"/>
      <c r="BO43265" s="43"/>
    </row>
    <row r="43266" spans="65:67" ht="18.75" customHeight="1">
      <c r="BM43266" s="1025"/>
      <c r="BO43266" s="43"/>
    </row>
    <row r="43267" spans="65:67" ht="18.75" customHeight="1">
      <c r="BM43267" s="1025"/>
      <c r="BO43267" s="43"/>
    </row>
    <row r="43268" spans="65:67" ht="18.75" customHeight="1">
      <c r="BM43268" s="1025"/>
      <c r="BO43268" s="43"/>
    </row>
    <row r="43269" spans="65:67" ht="18.75" customHeight="1">
      <c r="BM43269" s="1025"/>
      <c r="BO43269" s="43"/>
    </row>
    <row r="43270" spans="65:67" ht="18.75" customHeight="1">
      <c r="BM43270" s="1025"/>
      <c r="BO43270" s="43"/>
    </row>
    <row r="43271" spans="65:67" ht="18.75" customHeight="1">
      <c r="BM43271" s="1025"/>
      <c r="BO43271" s="43"/>
    </row>
    <row r="43272" spans="65:67" ht="18.75" customHeight="1">
      <c r="BM43272" s="1025"/>
      <c r="BO43272" s="43"/>
    </row>
    <row r="43273" spans="65:67" ht="18.75" customHeight="1">
      <c r="BM43273" s="1025"/>
      <c r="BO43273" s="43"/>
    </row>
    <row r="43274" spans="65:67" ht="18.75" customHeight="1">
      <c r="BM43274" s="1025"/>
      <c r="BO43274" s="43"/>
    </row>
    <row r="43275" spans="65:67" ht="18.75" customHeight="1">
      <c r="BM43275" s="1025"/>
      <c r="BO43275" s="43"/>
    </row>
    <row r="43276" spans="65:67" ht="18.75" customHeight="1">
      <c r="BM43276" s="1025"/>
      <c r="BO43276" s="43"/>
    </row>
    <row r="43277" spans="65:67" ht="18.75" customHeight="1">
      <c r="BM43277" s="1025"/>
      <c r="BO43277" s="43"/>
    </row>
    <row r="43278" spans="65:67" ht="18.75" customHeight="1">
      <c r="BM43278" s="1025"/>
      <c r="BO43278" s="43"/>
    </row>
    <row r="43279" spans="65:67" ht="18.75" customHeight="1">
      <c r="BM43279" s="1025"/>
      <c r="BO43279" s="43"/>
    </row>
    <row r="43280" spans="65:67" ht="18.75" customHeight="1">
      <c r="BM43280" s="1025"/>
      <c r="BO43280" s="43"/>
    </row>
    <row r="43281" spans="65:67" ht="18.75" customHeight="1">
      <c r="BM43281" s="1025"/>
      <c r="BO43281" s="43"/>
    </row>
    <row r="43282" spans="65:67" ht="18.75" customHeight="1">
      <c r="BM43282" s="1025"/>
      <c r="BO43282" s="43"/>
    </row>
    <row r="43283" spans="65:67" ht="18.75" customHeight="1">
      <c r="BM43283" s="1025"/>
      <c r="BO43283" s="43"/>
    </row>
    <row r="43284" spans="65:67" ht="18.75" customHeight="1">
      <c r="BM43284" s="1025"/>
      <c r="BO43284" s="43"/>
    </row>
    <row r="43285" spans="65:67" ht="18.75" customHeight="1">
      <c r="BM43285" s="1025"/>
      <c r="BO43285" s="43"/>
    </row>
    <row r="43286" spans="65:67" ht="18.75" customHeight="1">
      <c r="BM43286" s="1025"/>
      <c r="BO43286" s="43"/>
    </row>
    <row r="43287" spans="65:67" ht="18.75" customHeight="1">
      <c r="BM43287" s="1025"/>
      <c r="BO43287" s="43"/>
    </row>
    <row r="43288" spans="65:67" ht="18.75" customHeight="1">
      <c r="BM43288" s="1025"/>
      <c r="BO43288" s="43"/>
    </row>
    <row r="43289" spans="65:67" ht="18.75" customHeight="1">
      <c r="BM43289" s="1025"/>
      <c r="BO43289" s="43"/>
    </row>
    <row r="43290" spans="65:67" ht="18.75" customHeight="1">
      <c r="BM43290" s="1025"/>
      <c r="BO43290" s="43"/>
    </row>
    <row r="43291" spans="65:67" ht="18.75" customHeight="1">
      <c r="BM43291" s="1025"/>
      <c r="BO43291" s="43"/>
    </row>
    <row r="43292" spans="65:67" ht="18.75" customHeight="1">
      <c r="BM43292" s="1025"/>
      <c r="BO43292" s="43"/>
    </row>
    <row r="43293" spans="65:67" ht="18.75" customHeight="1">
      <c r="BM43293" s="1025"/>
      <c r="BO43293" s="43"/>
    </row>
    <row r="43294" spans="65:67" ht="18.75" customHeight="1">
      <c r="BM43294" s="1025"/>
      <c r="BO43294" s="43"/>
    </row>
    <row r="43295" spans="65:67" ht="18.75" customHeight="1">
      <c r="BM43295" s="1025"/>
      <c r="BO43295" s="43"/>
    </row>
    <row r="43296" spans="65:67" ht="18.75" customHeight="1">
      <c r="BM43296" s="1025"/>
      <c r="BO43296" s="43"/>
    </row>
    <row r="43297" spans="65:67" ht="18.75" customHeight="1">
      <c r="BM43297" s="1025"/>
      <c r="BO43297" s="43"/>
    </row>
    <row r="43298" spans="65:67" ht="18.75" customHeight="1">
      <c r="BM43298" s="1025"/>
      <c r="BO43298" s="43"/>
    </row>
    <row r="43299" spans="65:67" ht="18.75" customHeight="1">
      <c r="BM43299" s="1025"/>
      <c r="BO43299" s="43"/>
    </row>
    <row r="43300" spans="65:67" ht="18.75" customHeight="1">
      <c r="BM43300" s="1025"/>
      <c r="BO43300" s="43"/>
    </row>
    <row r="43301" spans="65:67" ht="18.75" customHeight="1">
      <c r="BM43301" s="1025"/>
      <c r="BO43301" s="43"/>
    </row>
    <row r="43302" spans="65:67" ht="18.75" customHeight="1">
      <c r="BM43302" s="1025"/>
      <c r="BO43302" s="43"/>
    </row>
    <row r="43303" spans="65:67" ht="18.75" customHeight="1">
      <c r="BM43303" s="1025"/>
      <c r="BO43303" s="43"/>
    </row>
    <row r="43304" spans="65:67" ht="18.75" customHeight="1">
      <c r="BM43304" s="1025"/>
      <c r="BO43304" s="43"/>
    </row>
    <row r="43305" spans="65:67" ht="18.75" customHeight="1">
      <c r="BM43305" s="1025"/>
      <c r="BO43305" s="43"/>
    </row>
    <row r="43306" spans="65:67" ht="18.75" customHeight="1">
      <c r="BM43306" s="1025"/>
      <c r="BO43306" s="43"/>
    </row>
    <row r="43307" spans="65:67" ht="18.75" customHeight="1">
      <c r="BM43307" s="1025"/>
      <c r="BO43307" s="43"/>
    </row>
    <row r="43308" spans="65:67" ht="18.75" customHeight="1">
      <c r="BM43308" s="1025"/>
      <c r="BO43308" s="43"/>
    </row>
    <row r="43309" spans="65:67" ht="18.75" customHeight="1">
      <c r="BM43309" s="1025"/>
      <c r="BO43309" s="43"/>
    </row>
    <row r="43310" spans="65:67" ht="18.75" customHeight="1">
      <c r="BM43310" s="1025"/>
      <c r="BO43310" s="43"/>
    </row>
    <row r="43311" spans="65:67" ht="18.75" customHeight="1">
      <c r="BM43311" s="1025"/>
      <c r="BO43311" s="43"/>
    </row>
    <row r="43312" spans="65:67" ht="18.75" customHeight="1">
      <c r="BM43312" s="1025"/>
      <c r="BO43312" s="43"/>
    </row>
    <row r="43313" spans="65:67" ht="18.75" customHeight="1">
      <c r="BM43313" s="1025"/>
      <c r="BO43313" s="43"/>
    </row>
    <row r="43314" spans="65:67" ht="18.75" customHeight="1">
      <c r="BM43314" s="1025"/>
      <c r="BO43314" s="43"/>
    </row>
    <row r="43315" spans="65:67" ht="18.75" customHeight="1">
      <c r="BM43315" s="1025"/>
      <c r="BO43315" s="43"/>
    </row>
    <row r="43316" spans="65:67" ht="18.75" customHeight="1">
      <c r="BM43316" s="1025"/>
      <c r="BO43316" s="43"/>
    </row>
    <row r="43317" spans="65:67" ht="18.75" customHeight="1">
      <c r="BM43317" s="1025"/>
      <c r="BO43317" s="43"/>
    </row>
    <row r="43318" spans="65:67" ht="18.75" customHeight="1">
      <c r="BM43318" s="1025"/>
      <c r="BO43318" s="43"/>
    </row>
    <row r="43319" spans="65:67" ht="18.75" customHeight="1">
      <c r="BM43319" s="1025"/>
      <c r="BO43319" s="43"/>
    </row>
    <row r="43320" spans="65:67" ht="18.75" customHeight="1">
      <c r="BM43320" s="1025"/>
      <c r="BO43320" s="43"/>
    </row>
    <row r="43321" spans="65:67" ht="18.75" customHeight="1">
      <c r="BM43321" s="1025"/>
      <c r="BO43321" s="43"/>
    </row>
    <row r="43322" spans="65:67" ht="18.75" customHeight="1">
      <c r="BM43322" s="1025"/>
      <c r="BO43322" s="43"/>
    </row>
    <row r="43323" spans="65:67" ht="18.75" customHeight="1">
      <c r="BM43323" s="1025"/>
      <c r="BO43323" s="43"/>
    </row>
    <row r="43324" spans="65:67" ht="18.75" customHeight="1">
      <c r="BM43324" s="1025"/>
      <c r="BO43324" s="43"/>
    </row>
    <row r="43325" spans="65:67" ht="18.75" customHeight="1">
      <c r="BM43325" s="1025"/>
      <c r="BO43325" s="43"/>
    </row>
    <row r="43326" spans="65:67" ht="18.75" customHeight="1">
      <c r="BM43326" s="1025"/>
      <c r="BO43326" s="43"/>
    </row>
    <row r="43327" spans="65:67" ht="18.75" customHeight="1">
      <c r="BM43327" s="1025"/>
      <c r="BO43327" s="43"/>
    </row>
    <row r="43328" spans="65:67" ht="18.75" customHeight="1">
      <c r="BM43328" s="1025"/>
      <c r="BO43328" s="43"/>
    </row>
    <row r="43329" spans="65:67" ht="18.75" customHeight="1">
      <c r="BM43329" s="1025"/>
      <c r="BO43329" s="43"/>
    </row>
    <row r="43330" spans="65:67" ht="18.75" customHeight="1">
      <c r="BM43330" s="1025"/>
      <c r="BO43330" s="43"/>
    </row>
    <row r="43331" spans="65:67" ht="18.75" customHeight="1">
      <c r="BM43331" s="1025"/>
      <c r="BO43331" s="43"/>
    </row>
    <row r="43332" spans="65:67" ht="18.75" customHeight="1">
      <c r="BM43332" s="1025"/>
      <c r="BO43332" s="43"/>
    </row>
    <row r="43333" spans="65:67" ht="18.75" customHeight="1">
      <c r="BM43333" s="1025"/>
      <c r="BO43333" s="43"/>
    </row>
    <row r="43334" spans="65:67" ht="18.75" customHeight="1">
      <c r="BM43334" s="1025"/>
      <c r="BO43334" s="43"/>
    </row>
    <row r="43335" spans="65:67" ht="18.75" customHeight="1">
      <c r="BM43335" s="1025"/>
      <c r="BO43335" s="43"/>
    </row>
    <row r="43336" spans="65:67" ht="18.75" customHeight="1">
      <c r="BM43336" s="1025"/>
      <c r="BO43336" s="43"/>
    </row>
    <row r="43337" spans="65:67" ht="18.75" customHeight="1">
      <c r="BM43337" s="1025"/>
      <c r="BO43337" s="43"/>
    </row>
    <row r="43338" spans="65:67" ht="18.75" customHeight="1">
      <c r="BM43338" s="1025"/>
      <c r="BO43338" s="43"/>
    </row>
    <row r="43339" spans="65:67" ht="18.75" customHeight="1">
      <c r="BM43339" s="1025"/>
      <c r="BO43339" s="43"/>
    </row>
    <row r="43340" spans="65:67" ht="18.75" customHeight="1">
      <c r="BM43340" s="1025"/>
      <c r="BO43340" s="43"/>
    </row>
    <row r="43341" spans="65:67" ht="18.75" customHeight="1">
      <c r="BM43341" s="1025"/>
      <c r="BO43341" s="43"/>
    </row>
    <row r="43342" spans="65:67" ht="18.75" customHeight="1">
      <c r="BM43342" s="1025"/>
      <c r="BO43342" s="43"/>
    </row>
    <row r="43343" spans="65:67" ht="18.75" customHeight="1">
      <c r="BM43343" s="1025"/>
      <c r="BO43343" s="43"/>
    </row>
    <row r="43344" spans="65:67" ht="18.75" customHeight="1">
      <c r="BM43344" s="1025"/>
      <c r="BO43344" s="43"/>
    </row>
    <row r="43345" spans="65:67" ht="18.75" customHeight="1">
      <c r="BM43345" s="1025"/>
      <c r="BO43345" s="43"/>
    </row>
    <row r="43346" spans="65:67" ht="18.75" customHeight="1">
      <c r="BM43346" s="1025"/>
      <c r="BO43346" s="43"/>
    </row>
    <row r="43347" spans="65:67" ht="18.75" customHeight="1">
      <c r="BM43347" s="1025"/>
      <c r="BO43347" s="43"/>
    </row>
    <row r="43348" spans="65:67" ht="18.75" customHeight="1">
      <c r="BM43348" s="1025"/>
      <c r="BO43348" s="43"/>
    </row>
    <row r="43349" spans="65:67" ht="18.75" customHeight="1">
      <c r="BM43349" s="1025"/>
      <c r="BO43349" s="43"/>
    </row>
    <row r="43350" spans="65:67" ht="18.75" customHeight="1">
      <c r="BM43350" s="1025"/>
      <c r="BO43350" s="43"/>
    </row>
    <row r="43351" spans="65:67" ht="18.75" customHeight="1">
      <c r="BM43351" s="1025"/>
      <c r="BO43351" s="43"/>
    </row>
    <row r="43352" spans="65:67" ht="18.75" customHeight="1">
      <c r="BM43352" s="1025"/>
      <c r="BO43352" s="43"/>
    </row>
    <row r="43353" spans="65:67" ht="18.75" customHeight="1">
      <c r="BM43353" s="1025"/>
      <c r="BO43353" s="43"/>
    </row>
    <row r="43354" spans="65:67" ht="18.75" customHeight="1">
      <c r="BM43354" s="1025"/>
      <c r="BO43354" s="43"/>
    </row>
    <row r="43355" spans="65:67" ht="18.75" customHeight="1">
      <c r="BM43355" s="1025"/>
      <c r="BO43355" s="43"/>
    </row>
    <row r="43356" spans="65:67" ht="18.75" customHeight="1">
      <c r="BM43356" s="1025"/>
      <c r="BO43356" s="43"/>
    </row>
    <row r="43357" spans="65:67" ht="18.75" customHeight="1">
      <c r="BM43357" s="1025"/>
      <c r="BO43357" s="43"/>
    </row>
    <row r="43358" spans="65:67" ht="18.75" customHeight="1">
      <c r="BM43358" s="1025"/>
      <c r="BO43358" s="43"/>
    </row>
    <row r="43359" spans="65:67" ht="18.75" customHeight="1">
      <c r="BM43359" s="1025"/>
      <c r="BO43359" s="43"/>
    </row>
    <row r="43360" spans="65:67" ht="18.75" customHeight="1">
      <c r="BM43360" s="1025"/>
      <c r="BO43360" s="43"/>
    </row>
    <row r="43361" spans="65:67" ht="18.75" customHeight="1">
      <c r="BM43361" s="1025"/>
      <c r="BO43361" s="43"/>
    </row>
    <row r="43362" spans="65:67" ht="18.75" customHeight="1">
      <c r="BM43362" s="1025"/>
      <c r="BO43362" s="43"/>
    </row>
    <row r="43363" spans="65:67" ht="18.75" customHeight="1">
      <c r="BM43363" s="1025"/>
      <c r="BO43363" s="43"/>
    </row>
    <row r="43364" spans="65:67" ht="18.75" customHeight="1">
      <c r="BM43364" s="1025"/>
      <c r="BO43364" s="43"/>
    </row>
    <row r="43365" spans="65:67" ht="18.75" customHeight="1">
      <c r="BM43365" s="1025"/>
      <c r="BO43365" s="43"/>
    </row>
    <row r="43366" spans="65:67" ht="18.75" customHeight="1">
      <c r="BM43366" s="1025"/>
      <c r="BO43366" s="43"/>
    </row>
    <row r="43367" spans="65:67" ht="18.75" customHeight="1">
      <c r="BM43367" s="1025"/>
      <c r="BO43367" s="43"/>
    </row>
    <row r="43368" spans="65:67" ht="18.75" customHeight="1">
      <c r="BM43368" s="1025"/>
      <c r="BO43368" s="43"/>
    </row>
    <row r="43369" spans="65:67" ht="18.75" customHeight="1">
      <c r="BM43369" s="1025"/>
      <c r="BO43369" s="43"/>
    </row>
    <row r="43370" spans="65:67" ht="18.75" customHeight="1">
      <c r="BM43370" s="1025"/>
      <c r="BO43370" s="43"/>
    </row>
    <row r="43371" spans="65:67" ht="18.75" customHeight="1">
      <c r="BM43371" s="1025"/>
      <c r="BO43371" s="43"/>
    </row>
    <row r="43372" spans="65:67" ht="18.75" customHeight="1">
      <c r="BM43372" s="1025"/>
      <c r="BO43372" s="43"/>
    </row>
    <row r="43373" spans="65:67" ht="18.75" customHeight="1">
      <c r="BM43373" s="1025"/>
      <c r="BO43373" s="43"/>
    </row>
    <row r="43374" spans="65:67" ht="18.75" customHeight="1">
      <c r="BM43374" s="1025"/>
      <c r="BO43374" s="43"/>
    </row>
    <row r="43375" spans="65:67" ht="18.75" customHeight="1">
      <c r="BM43375" s="1025"/>
      <c r="BO43375" s="43"/>
    </row>
    <row r="43376" spans="65:67" ht="18.75" customHeight="1">
      <c r="BM43376" s="1025"/>
      <c r="BO43376" s="43"/>
    </row>
    <row r="43377" spans="65:67" ht="18.75" customHeight="1">
      <c r="BM43377" s="1025"/>
      <c r="BO43377" s="43"/>
    </row>
    <row r="43378" spans="65:67" ht="18.75" customHeight="1">
      <c r="BM43378" s="1025"/>
      <c r="BO43378" s="43"/>
    </row>
    <row r="43379" spans="65:67" ht="18.75" customHeight="1">
      <c r="BM43379" s="1025"/>
      <c r="BO43379" s="43"/>
    </row>
    <row r="43380" spans="65:67" ht="18.75" customHeight="1">
      <c r="BM43380" s="1025"/>
      <c r="BO43380" s="43"/>
    </row>
    <row r="43381" spans="65:67" ht="18.75" customHeight="1">
      <c r="BM43381" s="1025"/>
      <c r="BO43381" s="43"/>
    </row>
    <row r="43382" spans="65:67" ht="18.75" customHeight="1">
      <c r="BM43382" s="1025"/>
      <c r="BO43382" s="43"/>
    </row>
    <row r="43383" spans="65:67" ht="18.75" customHeight="1">
      <c r="BM43383" s="1025"/>
      <c r="BO43383" s="43"/>
    </row>
    <row r="43384" spans="65:67" ht="18.75" customHeight="1">
      <c r="BM43384" s="1025"/>
      <c r="BO43384" s="43"/>
    </row>
    <row r="43385" spans="65:67" ht="18.75" customHeight="1">
      <c r="BM43385" s="1025"/>
      <c r="BO43385" s="43"/>
    </row>
    <row r="43386" spans="65:67" ht="18.75" customHeight="1">
      <c r="BM43386" s="1025"/>
      <c r="BO43386" s="43"/>
    </row>
    <row r="43387" spans="65:67" ht="18.75" customHeight="1">
      <c r="BM43387" s="1025"/>
      <c r="BO43387" s="43"/>
    </row>
    <row r="43388" spans="65:67" ht="18.75" customHeight="1">
      <c r="BM43388" s="1025"/>
      <c r="BO43388" s="43"/>
    </row>
    <row r="43389" spans="65:67" ht="18.75" customHeight="1">
      <c r="BM43389" s="1025"/>
      <c r="BO43389" s="43"/>
    </row>
    <row r="43390" spans="65:67" ht="18.75" customHeight="1">
      <c r="BM43390" s="1025"/>
      <c r="BO43390" s="43"/>
    </row>
    <row r="43391" spans="65:67" ht="18.75" customHeight="1">
      <c r="BM43391" s="1025"/>
      <c r="BO43391" s="43"/>
    </row>
    <row r="43392" spans="65:67" ht="18.75" customHeight="1">
      <c r="BM43392" s="1025"/>
      <c r="BO43392" s="43"/>
    </row>
    <row r="43393" spans="65:67" ht="18.75" customHeight="1">
      <c r="BM43393" s="1025"/>
      <c r="BO43393" s="43"/>
    </row>
    <row r="43394" spans="65:67" ht="18.75" customHeight="1">
      <c r="BM43394" s="1025"/>
      <c r="BO43394" s="43"/>
    </row>
    <row r="43395" spans="65:67" ht="18.75" customHeight="1">
      <c r="BM43395" s="1025"/>
      <c r="BO43395" s="43"/>
    </row>
    <row r="43396" spans="65:67" ht="18.75" customHeight="1">
      <c r="BM43396" s="1025"/>
      <c r="BO43396" s="43"/>
    </row>
    <row r="43397" spans="65:67" ht="18.75" customHeight="1">
      <c r="BM43397" s="1025"/>
      <c r="BO43397" s="43"/>
    </row>
    <row r="43398" spans="65:67" ht="18.75" customHeight="1">
      <c r="BM43398" s="1025"/>
      <c r="BO43398" s="43"/>
    </row>
    <row r="43399" spans="65:67" ht="18.75" customHeight="1">
      <c r="BM43399" s="1025"/>
      <c r="BO43399" s="43"/>
    </row>
    <row r="43400" spans="65:67" ht="18.75" customHeight="1">
      <c r="BM43400" s="1025"/>
      <c r="BO43400" s="43"/>
    </row>
    <row r="43401" spans="65:67" ht="18.75" customHeight="1">
      <c r="BM43401" s="1025"/>
      <c r="BO43401" s="43"/>
    </row>
    <row r="43402" spans="65:67" ht="18.75" customHeight="1">
      <c r="BM43402" s="1025"/>
      <c r="BO43402" s="43"/>
    </row>
    <row r="43403" spans="65:67" ht="18.75" customHeight="1">
      <c r="BM43403" s="1025"/>
      <c r="BO43403" s="43"/>
    </row>
    <row r="43404" spans="65:67" ht="18.75" customHeight="1">
      <c r="BM43404" s="1025"/>
      <c r="BO43404" s="43"/>
    </row>
    <row r="43405" spans="65:67" ht="18.75" customHeight="1">
      <c r="BM43405" s="1025"/>
      <c r="BO43405" s="43"/>
    </row>
    <row r="43406" spans="65:67" ht="18.75" customHeight="1">
      <c r="BM43406" s="1025"/>
      <c r="BO43406" s="43"/>
    </row>
    <row r="43407" spans="65:67" ht="18.75" customHeight="1">
      <c r="BM43407" s="1025"/>
      <c r="BO43407" s="43"/>
    </row>
    <row r="43408" spans="65:67" ht="18.75" customHeight="1">
      <c r="BM43408" s="1025"/>
      <c r="BO43408" s="43"/>
    </row>
    <row r="43409" spans="65:67" ht="18.75" customHeight="1">
      <c r="BM43409" s="1025"/>
      <c r="BO43409" s="43"/>
    </row>
    <row r="43410" spans="65:67" ht="18.75" customHeight="1">
      <c r="BM43410" s="1025"/>
      <c r="BO43410" s="43"/>
    </row>
    <row r="43411" spans="65:67" ht="18.75" customHeight="1">
      <c r="BM43411" s="1025"/>
      <c r="BO43411" s="43"/>
    </row>
    <row r="43412" spans="65:67" ht="18.75" customHeight="1">
      <c r="BM43412" s="1025"/>
      <c r="BO43412" s="43"/>
    </row>
    <row r="43413" spans="65:67" ht="18.75" customHeight="1">
      <c r="BM43413" s="1025"/>
      <c r="BO43413" s="43"/>
    </row>
    <row r="43414" spans="65:67" ht="18.75" customHeight="1">
      <c r="BM43414" s="1025"/>
      <c r="BO43414" s="43"/>
    </row>
    <row r="43415" spans="65:67" ht="18.75" customHeight="1">
      <c r="BM43415" s="1025"/>
      <c r="BO43415" s="43"/>
    </row>
    <row r="43416" spans="65:67" ht="18.75" customHeight="1">
      <c r="BM43416" s="1025"/>
      <c r="BO43416" s="43"/>
    </row>
    <row r="43417" spans="65:67" ht="18.75" customHeight="1">
      <c r="BM43417" s="1025"/>
      <c r="BO43417" s="43"/>
    </row>
    <row r="43418" spans="65:67" ht="18.75" customHeight="1">
      <c r="BM43418" s="1025"/>
      <c r="BO43418" s="43"/>
    </row>
    <row r="43419" spans="65:67" ht="18.75" customHeight="1">
      <c r="BM43419" s="1025"/>
      <c r="BO43419" s="43"/>
    </row>
    <row r="43420" spans="65:67" ht="18.75" customHeight="1">
      <c r="BM43420" s="1025"/>
      <c r="BO43420" s="43"/>
    </row>
    <row r="43421" spans="65:67" ht="18.75" customHeight="1">
      <c r="BM43421" s="1025"/>
      <c r="BO43421" s="43"/>
    </row>
    <row r="43422" spans="65:67" ht="18.75" customHeight="1">
      <c r="BM43422" s="1025"/>
      <c r="BO43422" s="43"/>
    </row>
    <row r="43423" spans="65:67" ht="18.75" customHeight="1">
      <c r="BM43423" s="1025"/>
      <c r="BO43423" s="43"/>
    </row>
    <row r="43424" spans="65:67" ht="18.75" customHeight="1">
      <c r="BM43424" s="1025"/>
      <c r="BO43424" s="43"/>
    </row>
    <row r="43425" spans="65:67" ht="18.75" customHeight="1">
      <c r="BM43425" s="1025"/>
      <c r="BO43425" s="43"/>
    </row>
    <row r="43426" spans="65:67" ht="18.75" customHeight="1">
      <c r="BM43426" s="1025"/>
      <c r="BO43426" s="43"/>
    </row>
    <row r="43427" spans="65:67" ht="18.75" customHeight="1">
      <c r="BM43427" s="1025"/>
      <c r="BO43427" s="43"/>
    </row>
    <row r="43428" spans="65:67" ht="18.75" customHeight="1">
      <c r="BM43428" s="1025"/>
      <c r="BO43428" s="43"/>
    </row>
    <row r="43429" spans="65:67" ht="18.75" customHeight="1">
      <c r="BM43429" s="1025"/>
      <c r="BO43429" s="43"/>
    </row>
    <row r="43430" spans="65:67" ht="18.75" customHeight="1">
      <c r="BM43430" s="1025"/>
      <c r="BO43430" s="43"/>
    </row>
    <row r="43431" spans="65:67" ht="18.75" customHeight="1">
      <c r="BM43431" s="1025"/>
      <c r="BO43431" s="43"/>
    </row>
    <row r="43432" spans="65:67" ht="18.75" customHeight="1">
      <c r="BM43432" s="1025"/>
      <c r="BO43432" s="43"/>
    </row>
    <row r="43433" spans="65:67" ht="18.75" customHeight="1">
      <c r="BM43433" s="1025"/>
      <c r="BO43433" s="43"/>
    </row>
    <row r="43434" spans="65:67" ht="18.75" customHeight="1">
      <c r="BM43434" s="1025"/>
      <c r="BO43434" s="43"/>
    </row>
    <row r="43435" spans="65:67" ht="18.75" customHeight="1">
      <c r="BM43435" s="1025"/>
      <c r="BO43435" s="43"/>
    </row>
    <row r="43436" spans="65:67" ht="18.75" customHeight="1">
      <c r="BM43436" s="1025"/>
      <c r="BO43436" s="43"/>
    </row>
    <row r="43437" spans="65:67" ht="18.75" customHeight="1">
      <c r="BM43437" s="1025"/>
      <c r="BO43437" s="43"/>
    </row>
    <row r="43438" spans="65:67" ht="18.75" customHeight="1">
      <c r="BM43438" s="1025"/>
      <c r="BO43438" s="43"/>
    </row>
    <row r="43439" spans="65:67" ht="18.75" customHeight="1">
      <c r="BM43439" s="1025"/>
      <c r="BO43439" s="43"/>
    </row>
    <row r="43440" spans="65:67" ht="18.75" customHeight="1">
      <c r="BM43440" s="1025"/>
      <c r="BO43440" s="43"/>
    </row>
    <row r="43441" spans="65:67" ht="18.75" customHeight="1">
      <c r="BM43441" s="1025"/>
      <c r="BO43441" s="43"/>
    </row>
    <row r="43442" spans="65:67" ht="18.75" customHeight="1">
      <c r="BM43442" s="1025"/>
      <c r="BO43442" s="43"/>
    </row>
    <row r="43443" spans="65:67" ht="18.75" customHeight="1">
      <c r="BM43443" s="1025"/>
      <c r="BO43443" s="43"/>
    </row>
    <row r="43444" spans="65:67" ht="18.75" customHeight="1">
      <c r="BM43444" s="1025"/>
      <c r="BO43444" s="43"/>
    </row>
    <row r="43445" spans="65:67" ht="18.75" customHeight="1">
      <c r="BM43445" s="1025"/>
      <c r="BO43445" s="43"/>
    </row>
    <row r="43446" spans="65:67" ht="18.75" customHeight="1">
      <c r="BM43446" s="1025"/>
      <c r="BO43446" s="43"/>
    </row>
    <row r="43447" spans="65:67" ht="18.75" customHeight="1">
      <c r="BM43447" s="1025"/>
      <c r="BO43447" s="43"/>
    </row>
    <row r="43448" spans="65:67" ht="18.75" customHeight="1">
      <c r="BM43448" s="1025"/>
      <c r="BO43448" s="43"/>
    </row>
    <row r="43449" spans="65:67" ht="18.75" customHeight="1">
      <c r="BM43449" s="1025"/>
      <c r="BO43449" s="43"/>
    </row>
    <row r="43450" spans="65:67" ht="18.75" customHeight="1">
      <c r="BM43450" s="1025"/>
      <c r="BO43450" s="43"/>
    </row>
    <row r="43451" spans="65:67" ht="18.75" customHeight="1">
      <c r="BM43451" s="1025"/>
      <c r="BO43451" s="43"/>
    </row>
    <row r="43452" spans="65:67" ht="18.75" customHeight="1">
      <c r="BM43452" s="1025"/>
      <c r="BO43452" s="43"/>
    </row>
    <row r="43453" spans="65:67" ht="18.75" customHeight="1">
      <c r="BM43453" s="1025"/>
      <c r="BO43453" s="43"/>
    </row>
    <row r="43454" spans="65:67" ht="18.75" customHeight="1">
      <c r="BM43454" s="1025"/>
      <c r="BO43454" s="43"/>
    </row>
    <row r="43455" spans="65:67" ht="18.75" customHeight="1">
      <c r="BM43455" s="1025"/>
      <c r="BO43455" s="43"/>
    </row>
    <row r="43456" spans="65:67" ht="18.75" customHeight="1">
      <c r="BM43456" s="1025"/>
      <c r="BO43456" s="43"/>
    </row>
    <row r="43457" spans="65:67" ht="18.75" customHeight="1">
      <c r="BM43457" s="1025"/>
      <c r="BO43457" s="43"/>
    </row>
    <row r="43458" spans="65:67" ht="18.75" customHeight="1">
      <c r="BM43458" s="1025"/>
      <c r="BO43458" s="43"/>
    </row>
    <row r="43459" spans="65:67" ht="18.75" customHeight="1">
      <c r="BM43459" s="1025"/>
      <c r="BO43459" s="43"/>
    </row>
    <row r="43460" spans="65:67" ht="18.75" customHeight="1">
      <c r="BM43460" s="1025"/>
      <c r="BO43460" s="43"/>
    </row>
    <row r="43461" spans="65:67" ht="18.75" customHeight="1">
      <c r="BM43461" s="1025"/>
      <c r="BO43461" s="43"/>
    </row>
    <row r="43462" spans="65:67" ht="18.75" customHeight="1">
      <c r="BM43462" s="1025"/>
      <c r="BO43462" s="43"/>
    </row>
    <row r="43463" spans="65:67" ht="18.75" customHeight="1">
      <c r="BM43463" s="1025"/>
      <c r="BO43463" s="43"/>
    </row>
    <row r="43464" spans="65:67" ht="18.75" customHeight="1">
      <c r="BM43464" s="1025"/>
      <c r="BO43464" s="43"/>
    </row>
    <row r="43465" spans="65:67" ht="18.75" customHeight="1">
      <c r="BM43465" s="1025"/>
      <c r="BO43465" s="43"/>
    </row>
    <row r="43466" spans="65:67" ht="18.75" customHeight="1">
      <c r="BM43466" s="1025"/>
      <c r="BO43466" s="43"/>
    </row>
    <row r="43467" spans="65:67" ht="18.75" customHeight="1">
      <c r="BM43467" s="1025"/>
      <c r="BO43467" s="43"/>
    </row>
    <row r="43468" spans="65:67" ht="18.75" customHeight="1">
      <c r="BM43468" s="1025"/>
      <c r="BO43468" s="43"/>
    </row>
    <row r="43469" spans="65:67" ht="18.75" customHeight="1">
      <c r="BM43469" s="1025"/>
      <c r="BO43469" s="43"/>
    </row>
    <row r="43470" spans="65:67" ht="18.75" customHeight="1">
      <c r="BM43470" s="1025"/>
      <c r="BO43470" s="43"/>
    </row>
    <row r="43471" spans="65:67" ht="18.75" customHeight="1">
      <c r="BM43471" s="1025"/>
      <c r="BO43471" s="43"/>
    </row>
    <row r="43472" spans="65:67" ht="18.75" customHeight="1">
      <c r="BM43472" s="1025"/>
      <c r="BO43472" s="43"/>
    </row>
    <row r="43473" spans="65:67" ht="18.75" customHeight="1">
      <c r="BM43473" s="1025"/>
      <c r="BO43473" s="43"/>
    </row>
    <row r="43474" spans="65:67" ht="18.75" customHeight="1">
      <c r="BM43474" s="1025"/>
      <c r="BO43474" s="43"/>
    </row>
    <row r="43475" spans="65:67" ht="18.75" customHeight="1">
      <c r="BM43475" s="1025"/>
      <c r="BO43475" s="43"/>
    </row>
    <row r="43476" spans="65:67" ht="18.75" customHeight="1">
      <c r="BM43476" s="1025"/>
      <c r="BO43476" s="43"/>
    </row>
    <row r="43477" spans="65:67" ht="18.75" customHeight="1">
      <c r="BM43477" s="1025"/>
      <c r="BO43477" s="43"/>
    </row>
    <row r="43478" spans="65:67" ht="18.75" customHeight="1">
      <c r="BM43478" s="1025"/>
      <c r="BO43478" s="43"/>
    </row>
    <row r="43479" spans="65:67" ht="18.75" customHeight="1">
      <c r="BM43479" s="1025"/>
      <c r="BO43479" s="43"/>
    </row>
    <row r="43480" spans="65:67" ht="18.75" customHeight="1">
      <c r="BM43480" s="1025"/>
      <c r="BO43480" s="43"/>
    </row>
    <row r="43481" spans="65:67" ht="18.75" customHeight="1">
      <c r="BM43481" s="1025"/>
      <c r="BO43481" s="43"/>
    </row>
    <row r="43482" spans="65:67" ht="18.75" customHeight="1">
      <c r="BM43482" s="1025"/>
      <c r="BO43482" s="43"/>
    </row>
    <row r="43483" spans="65:67" ht="18.75" customHeight="1">
      <c r="BM43483" s="1025"/>
      <c r="BO43483" s="43"/>
    </row>
    <row r="43484" spans="65:67" ht="18.75" customHeight="1">
      <c r="BM43484" s="1025"/>
      <c r="BO43484" s="43"/>
    </row>
    <row r="43485" spans="65:67" ht="18.75" customHeight="1">
      <c r="BM43485" s="1025"/>
      <c r="BO43485" s="43"/>
    </row>
    <row r="43486" spans="65:67" ht="18.75" customHeight="1">
      <c r="BM43486" s="1025"/>
      <c r="BO43486" s="43"/>
    </row>
    <row r="43487" spans="65:67" ht="18.75" customHeight="1">
      <c r="BM43487" s="1025"/>
      <c r="BO43487" s="43"/>
    </row>
    <row r="43488" spans="65:67" ht="18.75" customHeight="1">
      <c r="BM43488" s="1025"/>
      <c r="BO43488" s="43"/>
    </row>
    <row r="43489" spans="65:67" ht="18.75" customHeight="1">
      <c r="BM43489" s="1025"/>
      <c r="BO43489" s="43"/>
    </row>
    <row r="43490" spans="65:67" ht="18.75" customHeight="1">
      <c r="BM43490" s="1025"/>
      <c r="BO43490" s="43"/>
    </row>
    <row r="43491" spans="65:67" ht="18.75" customHeight="1">
      <c r="BM43491" s="1025"/>
      <c r="BO43491" s="43"/>
    </row>
    <row r="43492" spans="65:67" ht="18.75" customHeight="1">
      <c r="BM43492" s="1025"/>
      <c r="BO43492" s="43"/>
    </row>
    <row r="43493" spans="65:67" ht="18.75" customHeight="1">
      <c r="BM43493" s="1025"/>
      <c r="BO43493" s="43"/>
    </row>
    <row r="43494" spans="65:67" ht="18.75" customHeight="1">
      <c r="BM43494" s="1025"/>
      <c r="BO43494" s="43"/>
    </row>
    <row r="43495" spans="65:67" ht="18.75" customHeight="1">
      <c r="BM43495" s="1025"/>
      <c r="BO43495" s="43"/>
    </row>
    <row r="43496" spans="65:67" ht="18.75" customHeight="1">
      <c r="BM43496" s="1025"/>
      <c r="BO43496" s="43"/>
    </row>
    <row r="43497" spans="65:67" ht="18.75" customHeight="1">
      <c r="BM43497" s="1025"/>
      <c r="BO43497" s="43"/>
    </row>
    <row r="43498" spans="65:67" ht="18.75" customHeight="1">
      <c r="BM43498" s="1025"/>
      <c r="BO43498" s="43"/>
    </row>
    <row r="43499" spans="65:67" ht="18.75" customHeight="1">
      <c r="BM43499" s="1025"/>
      <c r="BO43499" s="43"/>
    </row>
    <row r="43500" spans="65:67" ht="18.75" customHeight="1">
      <c r="BM43500" s="1025"/>
      <c r="BO43500" s="43"/>
    </row>
    <row r="43501" spans="65:67" ht="18.75" customHeight="1">
      <c r="BM43501" s="1025"/>
      <c r="BO43501" s="43"/>
    </row>
    <row r="43502" spans="65:67" ht="18.75" customHeight="1">
      <c r="BM43502" s="1025"/>
      <c r="BO43502" s="43"/>
    </row>
    <row r="43503" spans="65:67" ht="18.75" customHeight="1">
      <c r="BM43503" s="1025"/>
      <c r="BO43503" s="43"/>
    </row>
    <row r="43504" spans="65:67" ht="18.75" customHeight="1">
      <c r="BM43504" s="1025"/>
      <c r="BO43504" s="43"/>
    </row>
    <row r="43505" spans="65:67" ht="18.75" customHeight="1">
      <c r="BM43505" s="1025"/>
      <c r="BO43505" s="43"/>
    </row>
    <row r="43506" spans="65:67" ht="18.75" customHeight="1">
      <c r="BM43506" s="1025"/>
      <c r="BO43506" s="43"/>
    </row>
    <row r="43507" spans="65:67" ht="18.75" customHeight="1">
      <c r="BM43507" s="1025"/>
      <c r="BO43507" s="43"/>
    </row>
    <row r="43508" spans="65:67" ht="18.75" customHeight="1">
      <c r="BM43508" s="1025"/>
      <c r="BO43508" s="43"/>
    </row>
    <row r="43509" spans="65:67" ht="18.75" customHeight="1">
      <c r="BM43509" s="1025"/>
      <c r="BO43509" s="43"/>
    </row>
    <row r="43510" spans="65:67" ht="18.75" customHeight="1">
      <c r="BM43510" s="1025"/>
      <c r="BO43510" s="43"/>
    </row>
    <row r="43511" spans="65:67" ht="18.75" customHeight="1">
      <c r="BM43511" s="1025"/>
      <c r="BO43511" s="43"/>
    </row>
    <row r="43512" spans="65:67" ht="18.75" customHeight="1">
      <c r="BM43512" s="1025"/>
      <c r="BO43512" s="43"/>
    </row>
    <row r="43513" spans="65:67" ht="18.75" customHeight="1">
      <c r="BM43513" s="1025"/>
      <c r="BO43513" s="43"/>
    </row>
    <row r="43514" spans="65:67" ht="18.75" customHeight="1">
      <c r="BM43514" s="1025"/>
      <c r="BO43514" s="43"/>
    </row>
    <row r="43515" spans="65:67" ht="18.75" customHeight="1">
      <c r="BM43515" s="1025"/>
      <c r="BO43515" s="43"/>
    </row>
    <row r="43516" spans="65:67" ht="18.75" customHeight="1">
      <c r="BM43516" s="1025"/>
      <c r="BO43516" s="43"/>
    </row>
    <row r="43517" spans="65:67" ht="18.75" customHeight="1">
      <c r="BM43517" s="1025"/>
      <c r="BO43517" s="43"/>
    </row>
    <row r="43518" spans="65:67" ht="18.75" customHeight="1">
      <c r="BM43518" s="1025"/>
      <c r="BO43518" s="43"/>
    </row>
    <row r="43519" spans="65:67" ht="18.75" customHeight="1">
      <c r="BM43519" s="1025"/>
      <c r="BO43519" s="43"/>
    </row>
    <row r="43520" spans="65:67" ht="18.75" customHeight="1">
      <c r="BM43520" s="1025"/>
      <c r="BO43520" s="43"/>
    </row>
    <row r="43521" spans="65:67" ht="18.75" customHeight="1">
      <c r="BM43521" s="1025"/>
      <c r="BO43521" s="43"/>
    </row>
    <row r="43522" spans="65:67" ht="18.75" customHeight="1">
      <c r="BM43522" s="1025"/>
      <c r="BO43522" s="43"/>
    </row>
    <row r="43523" spans="65:67" ht="18.75" customHeight="1">
      <c r="BM43523" s="1025"/>
      <c r="BO43523" s="43"/>
    </row>
    <row r="43524" spans="65:67" ht="18.75" customHeight="1">
      <c r="BM43524" s="1025"/>
      <c r="BO43524" s="43"/>
    </row>
    <row r="43525" spans="65:67" ht="18.75" customHeight="1">
      <c r="BM43525" s="1025"/>
      <c r="BO43525" s="43"/>
    </row>
    <row r="43526" spans="65:67" ht="18.75" customHeight="1">
      <c r="BM43526" s="1025"/>
      <c r="BO43526" s="43"/>
    </row>
    <row r="43527" spans="65:67" ht="18.75" customHeight="1">
      <c r="BM43527" s="1025"/>
      <c r="BO43527" s="43"/>
    </row>
    <row r="43528" spans="65:67" ht="18.75" customHeight="1">
      <c r="BM43528" s="1025"/>
      <c r="BO43528" s="43"/>
    </row>
    <row r="43529" spans="65:67" ht="18.75" customHeight="1">
      <c r="BM43529" s="1025"/>
      <c r="BO43529" s="43"/>
    </row>
    <row r="43530" spans="65:67" ht="18.75" customHeight="1">
      <c r="BM43530" s="1025"/>
      <c r="BO43530" s="43"/>
    </row>
    <row r="43531" spans="65:67" ht="18.75" customHeight="1">
      <c r="BM43531" s="1025"/>
      <c r="BO43531" s="43"/>
    </row>
    <row r="43532" spans="65:67" ht="18.75" customHeight="1">
      <c r="BM43532" s="1025"/>
      <c r="BO43532" s="43"/>
    </row>
    <row r="43533" spans="65:67" ht="18.75" customHeight="1">
      <c r="BM43533" s="1025"/>
      <c r="BO43533" s="43"/>
    </row>
    <row r="43534" spans="65:67" ht="18.75" customHeight="1">
      <c r="BM43534" s="1025"/>
      <c r="BO43534" s="43"/>
    </row>
    <row r="43535" spans="65:67" ht="18.75" customHeight="1">
      <c r="BM43535" s="1025"/>
      <c r="BO43535" s="43"/>
    </row>
    <row r="43536" spans="65:67" ht="18.75" customHeight="1">
      <c r="BM43536" s="1025"/>
      <c r="BO43536" s="43"/>
    </row>
    <row r="43537" spans="65:67" ht="18.75" customHeight="1">
      <c r="BM43537" s="1025"/>
      <c r="BO43537" s="43"/>
    </row>
    <row r="43538" spans="65:67" ht="18.75" customHeight="1">
      <c r="BM43538" s="1025"/>
      <c r="BO43538" s="43"/>
    </row>
    <row r="43539" spans="65:67" ht="18.75" customHeight="1">
      <c r="BM43539" s="1025"/>
      <c r="BO43539" s="43"/>
    </row>
    <row r="43540" spans="65:67" ht="18.75" customHeight="1">
      <c r="BM43540" s="1025"/>
      <c r="BO43540" s="43"/>
    </row>
    <row r="43541" spans="65:67" ht="18.75" customHeight="1">
      <c r="BM43541" s="1025"/>
      <c r="BO43541" s="43"/>
    </row>
    <row r="43542" spans="65:67" ht="18.75" customHeight="1">
      <c r="BM43542" s="1025"/>
      <c r="BO43542" s="43"/>
    </row>
    <row r="43543" spans="65:67" ht="18.75" customHeight="1">
      <c r="BM43543" s="1025"/>
      <c r="BO43543" s="43"/>
    </row>
    <row r="43544" spans="65:67" ht="18.75" customHeight="1">
      <c r="BM43544" s="1025"/>
      <c r="BO43544" s="43"/>
    </row>
    <row r="43545" spans="65:67" ht="18.75" customHeight="1">
      <c r="BM43545" s="1025"/>
      <c r="BO43545" s="43"/>
    </row>
    <row r="43546" spans="65:67" ht="18.75" customHeight="1">
      <c r="BM43546" s="1025"/>
      <c r="BO43546" s="43"/>
    </row>
    <row r="43547" spans="65:67" ht="18.75" customHeight="1">
      <c r="BM43547" s="1025"/>
      <c r="BO43547" s="43"/>
    </row>
    <row r="43548" spans="65:67" ht="18.75" customHeight="1">
      <c r="BM43548" s="1025"/>
      <c r="BO43548" s="43"/>
    </row>
    <row r="43549" spans="65:67" ht="18.75" customHeight="1">
      <c r="BM43549" s="1025"/>
      <c r="BO43549" s="43"/>
    </row>
    <row r="43550" spans="65:67" ht="18.75" customHeight="1">
      <c r="BM43550" s="1025"/>
      <c r="BO43550" s="43"/>
    </row>
    <row r="43551" spans="65:67" ht="18.75" customHeight="1">
      <c r="BM43551" s="1025"/>
      <c r="BO43551" s="43"/>
    </row>
    <row r="43552" spans="65:67" ht="18.75" customHeight="1">
      <c r="BM43552" s="1025"/>
      <c r="BO43552" s="43"/>
    </row>
    <row r="43553" spans="65:67" ht="18.75" customHeight="1">
      <c r="BM43553" s="1025"/>
      <c r="BO43553" s="43"/>
    </row>
    <row r="43554" spans="65:67" ht="18.75" customHeight="1">
      <c r="BM43554" s="1025"/>
      <c r="BO43554" s="43"/>
    </row>
    <row r="43555" spans="65:67" ht="18.75" customHeight="1">
      <c r="BM43555" s="1025"/>
      <c r="BO43555" s="43"/>
    </row>
    <row r="43556" spans="65:67" ht="18.75" customHeight="1">
      <c r="BM43556" s="1025"/>
      <c r="BO43556" s="43"/>
    </row>
    <row r="43557" spans="65:67" ht="18.75" customHeight="1">
      <c r="BM43557" s="1025"/>
      <c r="BO43557" s="43"/>
    </row>
    <row r="43558" spans="65:67" ht="18.75" customHeight="1">
      <c r="BM43558" s="1025"/>
      <c r="BO43558" s="43"/>
    </row>
    <row r="43559" spans="65:67" ht="18.75" customHeight="1">
      <c r="BM43559" s="1025"/>
      <c r="BO43559" s="43"/>
    </row>
    <row r="43560" spans="65:67" ht="18.75" customHeight="1">
      <c r="BM43560" s="1025"/>
      <c r="BO43560" s="43"/>
    </row>
    <row r="43561" spans="65:67" ht="18.75" customHeight="1">
      <c r="BM43561" s="1025"/>
      <c r="BO43561" s="43"/>
    </row>
    <row r="43562" spans="65:67" ht="18.75" customHeight="1">
      <c r="BM43562" s="1025"/>
      <c r="BO43562" s="43"/>
    </row>
    <row r="43563" spans="65:67" ht="18.75" customHeight="1">
      <c r="BM43563" s="1025"/>
      <c r="BO43563" s="43"/>
    </row>
    <row r="43564" spans="65:67" ht="18.75" customHeight="1">
      <c r="BM43564" s="1025"/>
      <c r="BO43564" s="43"/>
    </row>
    <row r="43565" spans="65:67" ht="18.75" customHeight="1">
      <c r="BM43565" s="1025"/>
      <c r="BO43565" s="43"/>
    </row>
    <row r="43566" spans="65:67" ht="18.75" customHeight="1">
      <c r="BM43566" s="1025"/>
      <c r="BO43566" s="43"/>
    </row>
    <row r="43567" spans="65:67" ht="18.75" customHeight="1">
      <c r="BM43567" s="1025"/>
      <c r="BO43567" s="43"/>
    </row>
    <row r="43568" spans="65:67" ht="18.75" customHeight="1">
      <c r="BM43568" s="1025"/>
      <c r="BO43568" s="43"/>
    </row>
    <row r="43569" spans="65:67" ht="18.75" customHeight="1">
      <c r="BM43569" s="1025"/>
      <c r="BO43569" s="43"/>
    </row>
    <row r="43570" spans="65:67" ht="18.75" customHeight="1">
      <c r="BM43570" s="1025"/>
      <c r="BO43570" s="43"/>
    </row>
    <row r="43571" spans="65:67" ht="18.75" customHeight="1">
      <c r="BM43571" s="1025"/>
      <c r="BO43571" s="43"/>
    </row>
    <row r="43572" spans="65:67" ht="18.75" customHeight="1">
      <c r="BM43572" s="1025"/>
      <c r="BO43572" s="43"/>
    </row>
    <row r="43573" spans="65:67" ht="18.75" customHeight="1">
      <c r="BM43573" s="1025"/>
      <c r="BO43573" s="43"/>
    </row>
    <row r="43574" spans="65:67" ht="18.75" customHeight="1">
      <c r="BM43574" s="1025"/>
      <c r="BO43574" s="43"/>
    </row>
    <row r="43575" spans="65:67" ht="18.75" customHeight="1">
      <c r="BM43575" s="1025"/>
      <c r="BO43575" s="43"/>
    </row>
    <row r="43576" spans="65:67" ht="18.75" customHeight="1">
      <c r="BM43576" s="1025"/>
      <c r="BO43576" s="43"/>
    </row>
    <row r="43577" spans="65:67" ht="18.75" customHeight="1">
      <c r="BM43577" s="1025"/>
      <c r="BO43577" s="43"/>
    </row>
    <row r="43578" spans="65:67" ht="18.75" customHeight="1">
      <c r="BM43578" s="1025"/>
      <c r="BO43578" s="43"/>
    </row>
    <row r="43579" spans="65:67" ht="18.75" customHeight="1">
      <c r="BM43579" s="1025"/>
      <c r="BO43579" s="43"/>
    </row>
    <row r="43580" spans="65:67" ht="18.75" customHeight="1">
      <c r="BM43580" s="1025"/>
      <c r="BO43580" s="43"/>
    </row>
    <row r="43581" spans="65:67" ht="18.75" customHeight="1">
      <c r="BM43581" s="1025"/>
      <c r="BO43581" s="43"/>
    </row>
    <row r="43582" spans="65:67" ht="18.75" customHeight="1">
      <c r="BM43582" s="1025"/>
      <c r="BO43582" s="43"/>
    </row>
    <row r="43583" spans="65:67" ht="18.75" customHeight="1">
      <c r="BM43583" s="1025"/>
      <c r="BO43583" s="43"/>
    </row>
    <row r="43584" spans="65:67" ht="18.75" customHeight="1">
      <c r="BM43584" s="1025"/>
      <c r="BO43584" s="43"/>
    </row>
    <row r="43585" spans="65:67" ht="18.75" customHeight="1">
      <c r="BM43585" s="1025"/>
      <c r="BO43585" s="43"/>
    </row>
    <row r="43586" spans="65:67" ht="18.75" customHeight="1">
      <c r="BM43586" s="1025"/>
      <c r="BO43586" s="43"/>
    </row>
    <row r="43587" spans="65:67" ht="18.75" customHeight="1">
      <c r="BM43587" s="1025"/>
      <c r="BO43587" s="43"/>
    </row>
    <row r="43588" spans="65:67" ht="18.75" customHeight="1">
      <c r="BM43588" s="1025"/>
      <c r="BO43588" s="43"/>
    </row>
    <row r="43589" spans="65:67" ht="18.75" customHeight="1">
      <c r="BM43589" s="1025"/>
      <c r="BO43589" s="43"/>
    </row>
    <row r="43590" spans="65:67" ht="18.75" customHeight="1">
      <c r="BM43590" s="1025"/>
      <c r="BO43590" s="43"/>
    </row>
    <row r="43591" spans="65:67" ht="18.75" customHeight="1">
      <c r="BM43591" s="1025"/>
      <c r="BO43591" s="43"/>
    </row>
    <row r="43592" spans="65:67" ht="18.75" customHeight="1">
      <c r="BM43592" s="1025"/>
      <c r="BO43592" s="43"/>
    </row>
    <row r="43593" spans="65:67" ht="18.75" customHeight="1">
      <c r="BM43593" s="1025"/>
      <c r="BO43593" s="43"/>
    </row>
    <row r="43594" spans="65:67" ht="18.75" customHeight="1">
      <c r="BM43594" s="1025"/>
      <c r="BO43594" s="43"/>
    </row>
    <row r="43595" spans="65:67" ht="18.75" customHeight="1">
      <c r="BM43595" s="1025"/>
      <c r="BO43595" s="43"/>
    </row>
    <row r="43596" spans="65:67" ht="18.75" customHeight="1">
      <c r="BM43596" s="1025"/>
      <c r="BO43596" s="43"/>
    </row>
    <row r="43597" spans="65:67" ht="18.75" customHeight="1">
      <c r="BM43597" s="1025"/>
      <c r="BO43597" s="43"/>
    </row>
    <row r="43598" spans="65:67" ht="18.75" customHeight="1">
      <c r="BM43598" s="1025"/>
      <c r="BO43598" s="43"/>
    </row>
    <row r="43599" spans="65:67" ht="18.75" customHeight="1">
      <c r="BM43599" s="1025"/>
      <c r="BO43599" s="43"/>
    </row>
    <row r="43600" spans="65:67" ht="18.75" customHeight="1">
      <c r="BM43600" s="1025"/>
      <c r="BO43600" s="43"/>
    </row>
    <row r="43601" spans="65:67" ht="18.75" customHeight="1">
      <c r="BM43601" s="1025"/>
      <c r="BO43601" s="43"/>
    </row>
    <row r="43602" spans="65:67" ht="18.75" customHeight="1">
      <c r="BM43602" s="1025"/>
      <c r="BO43602" s="43"/>
    </row>
    <row r="43603" spans="65:67" ht="18.75" customHeight="1">
      <c r="BM43603" s="1025"/>
      <c r="BO43603" s="43"/>
    </row>
    <row r="43604" spans="65:67" ht="18.75" customHeight="1">
      <c r="BM43604" s="1025"/>
      <c r="BO43604" s="43"/>
    </row>
    <row r="43605" spans="65:67" ht="18.75" customHeight="1">
      <c r="BM43605" s="1025"/>
      <c r="BO43605" s="43"/>
    </row>
    <row r="43606" spans="65:67" ht="18.75" customHeight="1">
      <c r="BM43606" s="1025"/>
      <c r="BO43606" s="43"/>
    </row>
    <row r="43607" spans="65:67" ht="18.75" customHeight="1">
      <c r="BM43607" s="1025"/>
      <c r="BO43607" s="43"/>
    </row>
    <row r="43608" spans="65:67" ht="18.75" customHeight="1">
      <c r="BM43608" s="1025"/>
      <c r="BO43608" s="43"/>
    </row>
    <row r="43609" spans="65:67" ht="18.75" customHeight="1">
      <c r="BM43609" s="1025"/>
      <c r="BO43609" s="43"/>
    </row>
    <row r="43610" spans="65:67" ht="18.75" customHeight="1">
      <c r="BM43610" s="1025"/>
      <c r="BO43610" s="43"/>
    </row>
    <row r="43611" spans="65:67" ht="18.75" customHeight="1">
      <c r="BM43611" s="1025"/>
      <c r="BO43611" s="43"/>
    </row>
    <row r="43612" spans="65:67" ht="18.75" customHeight="1">
      <c r="BM43612" s="1025"/>
      <c r="BO43612" s="43"/>
    </row>
    <row r="43613" spans="65:67" ht="18.75" customHeight="1">
      <c r="BM43613" s="1025"/>
      <c r="BO43613" s="43"/>
    </row>
    <row r="43614" spans="65:67" ht="18.75" customHeight="1">
      <c r="BM43614" s="1025"/>
      <c r="BO43614" s="43"/>
    </row>
    <row r="43615" spans="65:67" ht="18.75" customHeight="1">
      <c r="BM43615" s="1025"/>
      <c r="BO43615" s="43"/>
    </row>
    <row r="43616" spans="65:67" ht="18.75" customHeight="1">
      <c r="BM43616" s="1025"/>
      <c r="BO43616" s="43"/>
    </row>
    <row r="43617" spans="65:67" ht="18.75" customHeight="1">
      <c r="BM43617" s="1025"/>
      <c r="BO43617" s="43"/>
    </row>
    <row r="43618" spans="65:67" ht="18.75" customHeight="1">
      <c r="BM43618" s="1025"/>
      <c r="BO43618" s="43"/>
    </row>
    <row r="43619" spans="65:67" ht="18.75" customHeight="1">
      <c r="BM43619" s="1025"/>
      <c r="BO43619" s="43"/>
    </row>
    <row r="43620" spans="65:67" ht="18.75" customHeight="1">
      <c r="BM43620" s="1025"/>
      <c r="BO43620" s="43"/>
    </row>
    <row r="43621" spans="65:67" ht="18.75" customHeight="1">
      <c r="BM43621" s="1025"/>
      <c r="BO43621" s="43"/>
    </row>
    <row r="43622" spans="65:67" ht="18.75" customHeight="1">
      <c r="BM43622" s="1025"/>
      <c r="BO43622" s="43"/>
    </row>
    <row r="43623" spans="65:67" ht="18.75" customHeight="1">
      <c r="BM43623" s="1025"/>
      <c r="BO43623" s="43"/>
    </row>
    <row r="43624" spans="65:67" ht="18.75" customHeight="1">
      <c r="BM43624" s="1025"/>
      <c r="BO43624" s="43"/>
    </row>
    <row r="43625" spans="65:67" ht="18.75" customHeight="1">
      <c r="BM43625" s="1025"/>
      <c r="BO43625" s="43"/>
    </row>
    <row r="43626" spans="65:67" ht="18.75" customHeight="1">
      <c r="BM43626" s="1025"/>
      <c r="BO43626" s="43"/>
    </row>
    <row r="43627" spans="65:67" ht="18.75" customHeight="1">
      <c r="BM43627" s="1025"/>
      <c r="BO43627" s="43"/>
    </row>
    <row r="43628" spans="65:67" ht="18.75" customHeight="1">
      <c r="BM43628" s="1025"/>
      <c r="BO43628" s="43"/>
    </row>
    <row r="43629" spans="65:67" ht="18.75" customHeight="1">
      <c r="BM43629" s="1025"/>
      <c r="BO43629" s="43"/>
    </row>
    <row r="43630" spans="65:67" ht="18.75" customHeight="1">
      <c r="BM43630" s="1025"/>
      <c r="BO43630" s="43"/>
    </row>
    <row r="43631" spans="65:67" ht="18.75" customHeight="1">
      <c r="BM43631" s="1025"/>
      <c r="BO43631" s="43"/>
    </row>
    <row r="43632" spans="65:67" ht="18.75" customHeight="1">
      <c r="BM43632" s="1025"/>
      <c r="BO43632" s="43"/>
    </row>
    <row r="43633" spans="65:67" ht="18.75" customHeight="1">
      <c r="BM43633" s="1025"/>
      <c r="BO43633" s="43"/>
    </row>
    <row r="43634" spans="65:67" ht="18.75" customHeight="1">
      <c r="BM43634" s="1025"/>
      <c r="BO43634" s="43"/>
    </row>
    <row r="43635" spans="65:67" ht="18.75" customHeight="1">
      <c r="BM43635" s="1025"/>
      <c r="BO43635" s="43"/>
    </row>
    <row r="43636" spans="65:67" ht="18.75" customHeight="1">
      <c r="BM43636" s="1025"/>
      <c r="BO43636" s="43"/>
    </row>
    <row r="43637" spans="65:67" ht="18.75" customHeight="1">
      <c r="BM43637" s="1025"/>
      <c r="BO43637" s="43"/>
    </row>
    <row r="43638" spans="65:67" ht="18.75" customHeight="1">
      <c r="BM43638" s="1025"/>
      <c r="BO43638" s="43"/>
    </row>
    <row r="43639" spans="65:67" ht="18.75" customHeight="1">
      <c r="BM43639" s="1025"/>
      <c r="BO43639" s="43"/>
    </row>
    <row r="43640" spans="65:67" ht="18.75" customHeight="1">
      <c r="BM43640" s="1025"/>
      <c r="BO43640" s="43"/>
    </row>
    <row r="43641" spans="65:67" ht="18.75" customHeight="1">
      <c r="BM43641" s="1025"/>
      <c r="BO43641" s="43"/>
    </row>
    <row r="43642" spans="65:67" ht="18.75" customHeight="1">
      <c r="BM43642" s="1025"/>
      <c r="BO43642" s="43"/>
    </row>
    <row r="43643" spans="65:67" ht="18.75" customHeight="1">
      <c r="BM43643" s="1025"/>
      <c r="BO43643" s="43"/>
    </row>
    <row r="43644" spans="65:67" ht="18.75" customHeight="1">
      <c r="BM43644" s="1025"/>
      <c r="BO43644" s="43"/>
    </row>
    <row r="43645" spans="65:67" ht="18.75" customHeight="1">
      <c r="BM43645" s="1025"/>
      <c r="BO43645" s="43"/>
    </row>
    <row r="43646" spans="65:67" ht="18.75" customHeight="1">
      <c r="BM43646" s="1025"/>
      <c r="BO43646" s="43"/>
    </row>
    <row r="43647" spans="65:67" ht="18.75" customHeight="1">
      <c r="BM43647" s="1025"/>
      <c r="BO43647" s="43"/>
    </row>
    <row r="43648" spans="65:67" ht="18.75" customHeight="1">
      <c r="BM43648" s="1025"/>
      <c r="BO43648" s="43"/>
    </row>
    <row r="43649" spans="65:67" ht="18.75" customHeight="1">
      <c r="BM43649" s="1025"/>
      <c r="BO43649" s="43"/>
    </row>
    <row r="43650" spans="65:67" ht="18.75" customHeight="1">
      <c r="BM43650" s="1025"/>
      <c r="BO43650" s="43"/>
    </row>
    <row r="43651" spans="65:67" ht="18.75" customHeight="1">
      <c r="BM43651" s="1025"/>
      <c r="BO43651" s="43"/>
    </row>
    <row r="43652" spans="65:67" ht="18.75" customHeight="1">
      <c r="BM43652" s="1025"/>
      <c r="BO43652" s="43"/>
    </row>
    <row r="43653" spans="65:67" ht="18.75" customHeight="1">
      <c r="BM43653" s="1025"/>
      <c r="BO43653" s="43"/>
    </row>
    <row r="43654" spans="65:67" ht="18.75" customHeight="1">
      <c r="BM43654" s="1025"/>
      <c r="BO43654" s="43"/>
    </row>
    <row r="43655" spans="65:67" ht="18.75" customHeight="1">
      <c r="BM43655" s="1025"/>
      <c r="BO43655" s="43"/>
    </row>
    <row r="43656" spans="65:67" ht="18.75" customHeight="1">
      <c r="BM43656" s="1025"/>
      <c r="BO43656" s="43"/>
    </row>
    <row r="43657" spans="65:67" ht="18.75" customHeight="1">
      <c r="BM43657" s="1025"/>
      <c r="BO43657" s="43"/>
    </row>
    <row r="43658" spans="65:67" ht="18.75" customHeight="1">
      <c r="BM43658" s="1025"/>
      <c r="BO43658" s="43"/>
    </row>
    <row r="43659" spans="65:67" ht="18.75" customHeight="1">
      <c r="BM43659" s="1025"/>
      <c r="BO43659" s="43"/>
    </row>
    <row r="43660" spans="65:67" ht="18.75" customHeight="1">
      <c r="BM43660" s="1025"/>
      <c r="BO43660" s="43"/>
    </row>
    <row r="43661" spans="65:67" ht="18.75" customHeight="1">
      <c r="BM43661" s="1025"/>
      <c r="BO43661" s="43"/>
    </row>
    <row r="43662" spans="65:67" ht="18.75" customHeight="1">
      <c r="BM43662" s="1025"/>
      <c r="BO43662" s="43"/>
    </row>
    <row r="43663" spans="65:67" ht="18.75" customHeight="1">
      <c r="BM43663" s="1025"/>
      <c r="BO43663" s="43"/>
    </row>
    <row r="43664" spans="65:67" ht="18.75" customHeight="1">
      <c r="BM43664" s="1025"/>
      <c r="BO43664" s="43"/>
    </row>
    <row r="43665" spans="65:67" ht="18.75" customHeight="1">
      <c r="BM43665" s="1025"/>
      <c r="BO43665" s="43"/>
    </row>
    <row r="43666" spans="65:67" ht="18.75" customHeight="1">
      <c r="BM43666" s="1025"/>
      <c r="BO43666" s="43"/>
    </row>
    <row r="43667" spans="65:67" ht="18.75" customHeight="1">
      <c r="BM43667" s="1025"/>
      <c r="BO43667" s="43"/>
    </row>
    <row r="43668" spans="65:67" ht="18.75" customHeight="1">
      <c r="BM43668" s="1025"/>
      <c r="BO43668" s="43"/>
    </row>
    <row r="43669" spans="65:67" ht="18.75" customHeight="1">
      <c r="BM43669" s="1025"/>
      <c r="BO43669" s="43"/>
    </row>
    <row r="43670" spans="65:67" ht="18.75" customHeight="1">
      <c r="BM43670" s="1025"/>
      <c r="BO43670" s="43"/>
    </row>
    <row r="43671" spans="65:67" ht="18.75" customHeight="1">
      <c r="BM43671" s="1025"/>
      <c r="BO43671" s="43"/>
    </row>
    <row r="43672" spans="65:67" ht="18.75" customHeight="1">
      <c r="BM43672" s="1025"/>
      <c r="BO43672" s="43"/>
    </row>
    <row r="43673" spans="65:67" ht="18.75" customHeight="1">
      <c r="BM43673" s="1025"/>
      <c r="BO43673" s="43"/>
    </row>
    <row r="43674" spans="65:67" ht="18.75" customHeight="1">
      <c r="BM43674" s="1025"/>
      <c r="BO43674" s="43"/>
    </row>
    <row r="43675" spans="65:67" ht="18.75" customHeight="1">
      <c r="BM43675" s="1025"/>
      <c r="BO43675" s="43"/>
    </row>
    <row r="43676" spans="65:67" ht="18.75" customHeight="1">
      <c r="BM43676" s="1025"/>
      <c r="BO43676" s="43"/>
    </row>
    <row r="43677" spans="65:67" ht="18.75" customHeight="1">
      <c r="BM43677" s="1025"/>
      <c r="BO43677" s="43"/>
    </row>
    <row r="43678" spans="65:67" ht="18.75" customHeight="1">
      <c r="BM43678" s="1025"/>
      <c r="BO43678" s="43"/>
    </row>
    <row r="43679" spans="65:67" ht="18.75" customHeight="1">
      <c r="BM43679" s="1025"/>
      <c r="BO43679" s="43"/>
    </row>
    <row r="43680" spans="65:67" ht="18.75" customHeight="1">
      <c r="BM43680" s="1025"/>
      <c r="BO43680" s="43"/>
    </row>
    <row r="43681" spans="65:67" ht="18.75" customHeight="1">
      <c r="BM43681" s="1025"/>
      <c r="BO43681" s="43"/>
    </row>
    <row r="43682" spans="65:67" ht="18.75" customHeight="1">
      <c r="BM43682" s="1025"/>
      <c r="BO43682" s="43"/>
    </row>
    <row r="43683" spans="65:67" ht="18.75" customHeight="1">
      <c r="BM43683" s="1025"/>
      <c r="BO43683" s="43"/>
    </row>
    <row r="43684" spans="65:67" ht="18.75" customHeight="1">
      <c r="BM43684" s="1025"/>
      <c r="BO43684" s="43"/>
    </row>
    <row r="43685" spans="65:67" ht="18.75" customHeight="1">
      <c r="BM43685" s="1025"/>
      <c r="BO43685" s="43"/>
    </row>
    <row r="43686" spans="65:67" ht="18.75" customHeight="1">
      <c r="BM43686" s="1025"/>
      <c r="BO43686" s="43"/>
    </row>
    <row r="43687" spans="65:67" ht="18.75" customHeight="1">
      <c r="BM43687" s="1025"/>
      <c r="BO43687" s="43"/>
    </row>
    <row r="43688" spans="65:67" ht="18.75" customHeight="1">
      <c r="BM43688" s="1025"/>
      <c r="BO43688" s="43"/>
    </row>
    <row r="43689" spans="65:67" ht="18.75" customHeight="1">
      <c r="BM43689" s="1025"/>
      <c r="BO43689" s="43"/>
    </row>
    <row r="43690" spans="65:67" ht="18.75" customHeight="1">
      <c r="BM43690" s="1025"/>
      <c r="BO43690" s="43"/>
    </row>
    <row r="43691" spans="65:67" ht="18.75" customHeight="1">
      <c r="BM43691" s="1025"/>
      <c r="BO43691" s="43"/>
    </row>
    <row r="43692" spans="65:67" ht="18.75" customHeight="1">
      <c r="BM43692" s="1025"/>
      <c r="BO43692" s="43"/>
    </row>
    <row r="43693" spans="65:67" ht="18.75" customHeight="1">
      <c r="BM43693" s="1025"/>
      <c r="BO43693" s="43"/>
    </row>
    <row r="43694" spans="65:67" ht="18.75" customHeight="1">
      <c r="BM43694" s="1025"/>
      <c r="BO43694" s="43"/>
    </row>
    <row r="43695" spans="65:67" ht="18.75" customHeight="1">
      <c r="BM43695" s="1025"/>
      <c r="BO43695" s="43"/>
    </row>
    <row r="43696" spans="65:67" ht="18.75" customHeight="1">
      <c r="BM43696" s="1025"/>
      <c r="BO43696" s="43"/>
    </row>
    <row r="43697" spans="65:67" ht="18.75" customHeight="1">
      <c r="BM43697" s="1025"/>
      <c r="BO43697" s="43"/>
    </row>
    <row r="43698" spans="65:67" ht="18.75" customHeight="1">
      <c r="BM43698" s="1025"/>
      <c r="BO43698" s="43"/>
    </row>
    <row r="43699" spans="65:67" ht="18.75" customHeight="1">
      <c r="BM43699" s="1025"/>
      <c r="BO43699" s="43"/>
    </row>
    <row r="43700" spans="65:67" ht="18.75" customHeight="1">
      <c r="BM43700" s="1025"/>
      <c r="BO43700" s="43"/>
    </row>
    <row r="43701" spans="65:67" ht="18.75" customHeight="1">
      <c r="BM43701" s="1025"/>
      <c r="BO43701" s="43"/>
    </row>
    <row r="43702" spans="65:67" ht="18.75" customHeight="1">
      <c r="BM43702" s="1025"/>
      <c r="BO43702" s="43"/>
    </row>
    <row r="43703" spans="65:67" ht="18.75" customHeight="1">
      <c r="BM43703" s="1025"/>
      <c r="BO43703" s="43"/>
    </row>
    <row r="43704" spans="65:67" ht="18.75" customHeight="1">
      <c r="BM43704" s="1025"/>
      <c r="BO43704" s="43"/>
    </row>
    <row r="43705" spans="65:67" ht="18.75" customHeight="1">
      <c r="BM43705" s="1025"/>
      <c r="BO43705" s="43"/>
    </row>
    <row r="43706" spans="65:67" ht="18.75" customHeight="1">
      <c r="BM43706" s="1025"/>
      <c r="BO43706" s="43"/>
    </row>
    <row r="43707" spans="65:67" ht="18.75" customHeight="1">
      <c r="BM43707" s="1025"/>
      <c r="BO43707" s="43"/>
    </row>
    <row r="43708" spans="65:67" ht="18.75" customHeight="1">
      <c r="BM43708" s="1025"/>
      <c r="BO43708" s="43"/>
    </row>
    <row r="43709" spans="65:67" ht="18.75" customHeight="1">
      <c r="BM43709" s="1025"/>
      <c r="BO43709" s="43"/>
    </row>
    <row r="43710" spans="65:67" ht="18.75" customHeight="1">
      <c r="BM43710" s="1025"/>
      <c r="BO43710" s="43"/>
    </row>
    <row r="43711" spans="65:67" ht="18.75" customHeight="1">
      <c r="BM43711" s="1025"/>
      <c r="BO43711" s="43"/>
    </row>
    <row r="43712" spans="65:67" ht="18.75" customHeight="1">
      <c r="BM43712" s="1025"/>
      <c r="BO43712" s="43"/>
    </row>
    <row r="43713" spans="65:67" ht="18.75" customHeight="1">
      <c r="BM43713" s="1025"/>
      <c r="BO43713" s="43"/>
    </row>
    <row r="43714" spans="65:67" ht="18.75" customHeight="1">
      <c r="BM43714" s="1025"/>
      <c r="BO43714" s="43"/>
    </row>
    <row r="43715" spans="65:67" ht="18.75" customHeight="1">
      <c r="BM43715" s="1025"/>
      <c r="BO43715" s="43"/>
    </row>
    <row r="43716" spans="65:67" ht="18.75" customHeight="1">
      <c r="BM43716" s="1025"/>
      <c r="BO43716" s="43"/>
    </row>
    <row r="43717" spans="65:67" ht="18.75" customHeight="1">
      <c r="BM43717" s="1025"/>
      <c r="BO43717" s="43"/>
    </row>
    <row r="43718" spans="65:67" ht="18.75" customHeight="1">
      <c r="BM43718" s="1025"/>
      <c r="BO43718" s="43"/>
    </row>
    <row r="43719" spans="65:67" ht="18.75" customHeight="1">
      <c r="BM43719" s="1025"/>
      <c r="BO43719" s="43"/>
    </row>
    <row r="43720" spans="65:67" ht="18.75" customHeight="1">
      <c r="BM43720" s="1025"/>
      <c r="BO43720" s="43"/>
    </row>
    <row r="43721" spans="65:67" ht="18.75" customHeight="1">
      <c r="BM43721" s="1025"/>
      <c r="BO43721" s="43"/>
    </row>
    <row r="43722" spans="65:67" ht="18.75" customHeight="1">
      <c r="BM43722" s="1025"/>
      <c r="BO43722" s="43"/>
    </row>
    <row r="43723" spans="65:67" ht="18.75" customHeight="1">
      <c r="BM43723" s="1025"/>
      <c r="BO43723" s="43"/>
    </row>
    <row r="43724" spans="65:67" ht="18.75" customHeight="1">
      <c r="BM43724" s="1025"/>
      <c r="BO43724" s="43"/>
    </row>
    <row r="43725" spans="65:67" ht="18.75" customHeight="1">
      <c r="BM43725" s="1025"/>
      <c r="BO43725" s="43"/>
    </row>
    <row r="43726" spans="65:67" ht="18.75" customHeight="1">
      <c r="BM43726" s="1025"/>
      <c r="BO43726" s="43"/>
    </row>
    <row r="43727" spans="65:67" ht="18.75" customHeight="1">
      <c r="BM43727" s="1025"/>
      <c r="BO43727" s="43"/>
    </row>
    <row r="43728" spans="65:67" ht="18.75" customHeight="1">
      <c r="BM43728" s="1025"/>
      <c r="BO43728" s="43"/>
    </row>
    <row r="43729" spans="65:67" ht="18.75" customHeight="1">
      <c r="BM43729" s="1025"/>
      <c r="BO43729" s="43"/>
    </row>
    <row r="43730" spans="65:67" ht="18.75" customHeight="1">
      <c r="BM43730" s="1025"/>
      <c r="BO43730" s="43"/>
    </row>
    <row r="43731" spans="65:67" ht="18.75" customHeight="1">
      <c r="BM43731" s="1025"/>
      <c r="BO43731" s="43"/>
    </row>
    <row r="43732" spans="65:67" ht="18.75" customHeight="1">
      <c r="BM43732" s="1025"/>
      <c r="BO43732" s="43"/>
    </row>
    <row r="43733" spans="65:67" ht="18.75" customHeight="1">
      <c r="BM43733" s="1025"/>
      <c r="BO43733" s="43"/>
    </row>
    <row r="43734" spans="65:67" ht="18.75" customHeight="1">
      <c r="BM43734" s="1025"/>
      <c r="BO43734" s="43"/>
    </row>
    <row r="43735" spans="65:67" ht="18.75" customHeight="1">
      <c r="BM43735" s="1025"/>
      <c r="BO43735" s="43"/>
    </row>
    <row r="43736" spans="65:67" ht="18.75" customHeight="1">
      <c r="BM43736" s="1025"/>
      <c r="BO43736" s="43"/>
    </row>
    <row r="43737" spans="65:67" ht="18.75" customHeight="1">
      <c r="BM43737" s="1025"/>
      <c r="BO43737" s="43"/>
    </row>
    <row r="43738" spans="65:67" ht="18.75" customHeight="1">
      <c r="BM43738" s="1025"/>
      <c r="BO43738" s="43"/>
    </row>
    <row r="43739" spans="65:67" ht="18.75" customHeight="1">
      <c r="BM43739" s="1025"/>
      <c r="BO43739" s="43"/>
    </row>
    <row r="43740" spans="65:67" ht="18.75" customHeight="1">
      <c r="BM43740" s="1025"/>
      <c r="BO43740" s="43"/>
    </row>
    <row r="43741" spans="65:67" ht="18.75" customHeight="1">
      <c r="BM43741" s="1025"/>
      <c r="BO43741" s="43"/>
    </row>
    <row r="43742" spans="65:67" ht="18.75" customHeight="1">
      <c r="BM43742" s="1025"/>
      <c r="BO43742" s="43"/>
    </row>
    <row r="43743" spans="65:67" ht="18.75" customHeight="1">
      <c r="BM43743" s="1025"/>
      <c r="BO43743" s="43"/>
    </row>
    <row r="43744" spans="65:67" ht="18.75" customHeight="1">
      <c r="BM43744" s="1025"/>
      <c r="BO43744" s="43"/>
    </row>
    <row r="43745" spans="65:67" ht="18.75" customHeight="1">
      <c r="BM43745" s="1025"/>
      <c r="BO43745" s="43"/>
    </row>
    <row r="43746" spans="65:67" ht="18.75" customHeight="1">
      <c r="BM43746" s="1025"/>
      <c r="BO43746" s="43"/>
    </row>
    <row r="43747" spans="65:67" ht="18.75" customHeight="1">
      <c r="BM43747" s="1025"/>
      <c r="BO43747" s="43"/>
    </row>
    <row r="43748" spans="65:67" ht="18.75" customHeight="1">
      <c r="BM43748" s="1025"/>
      <c r="BO43748" s="43"/>
    </row>
    <row r="43749" spans="65:67" ht="18.75" customHeight="1">
      <c r="BM43749" s="1025"/>
      <c r="BO43749" s="43"/>
    </row>
    <row r="43750" spans="65:67" ht="18.75" customHeight="1">
      <c r="BM43750" s="1025"/>
      <c r="BO43750" s="43"/>
    </row>
    <row r="43751" spans="65:67" ht="18.75" customHeight="1">
      <c r="BM43751" s="1025"/>
      <c r="BO43751" s="43"/>
    </row>
    <row r="43752" spans="65:67" ht="18.75" customHeight="1">
      <c r="BM43752" s="1025"/>
      <c r="BO43752" s="43"/>
    </row>
    <row r="43753" spans="65:67" ht="18.75" customHeight="1">
      <c r="BM43753" s="1025"/>
      <c r="BO43753" s="43"/>
    </row>
    <row r="43754" spans="65:67" ht="18.75" customHeight="1">
      <c r="BM43754" s="1025"/>
      <c r="BO43754" s="43"/>
    </row>
    <row r="43755" spans="65:67" ht="18.75" customHeight="1">
      <c r="BM43755" s="1025"/>
      <c r="BO43755" s="43"/>
    </row>
    <row r="43756" spans="65:67" ht="18.75" customHeight="1">
      <c r="BM43756" s="1025"/>
      <c r="BO43756" s="43"/>
    </row>
    <row r="43757" spans="65:67" ht="18.75" customHeight="1">
      <c r="BM43757" s="1025"/>
      <c r="BO43757" s="43"/>
    </row>
    <row r="43758" spans="65:67" ht="18.75" customHeight="1">
      <c r="BM43758" s="1025"/>
      <c r="BO43758" s="43"/>
    </row>
    <row r="43759" spans="65:67" ht="18.75" customHeight="1">
      <c r="BM43759" s="1025"/>
      <c r="BO43759" s="43"/>
    </row>
    <row r="43760" spans="65:67" ht="18.75" customHeight="1">
      <c r="BM43760" s="1025"/>
      <c r="BO43760" s="43"/>
    </row>
    <row r="43761" spans="65:67" ht="18.75" customHeight="1">
      <c r="BM43761" s="1025"/>
      <c r="BO43761" s="43"/>
    </row>
    <row r="43762" spans="65:67" ht="18.75" customHeight="1">
      <c r="BM43762" s="1025"/>
      <c r="BO43762" s="43"/>
    </row>
    <row r="43763" spans="65:67" ht="18.75" customHeight="1">
      <c r="BM43763" s="1025"/>
      <c r="BO43763" s="43"/>
    </row>
    <row r="43764" spans="65:67" ht="18.75" customHeight="1">
      <c r="BM43764" s="1025"/>
      <c r="BO43764" s="43"/>
    </row>
    <row r="43765" spans="65:67" ht="18.75" customHeight="1">
      <c r="BM43765" s="1025"/>
      <c r="BO43765" s="43"/>
    </row>
    <row r="43766" spans="65:67" ht="18.75" customHeight="1">
      <c r="BM43766" s="1025"/>
      <c r="BO43766" s="43"/>
    </row>
    <row r="43767" spans="65:67" ht="18.75" customHeight="1">
      <c r="BM43767" s="1025"/>
      <c r="BO43767" s="43"/>
    </row>
    <row r="43768" spans="65:67" ht="18.75" customHeight="1">
      <c r="BM43768" s="1025"/>
      <c r="BO43768" s="43"/>
    </row>
    <row r="43769" spans="65:67" ht="18.75" customHeight="1">
      <c r="BM43769" s="1025"/>
      <c r="BO43769" s="43"/>
    </row>
    <row r="43770" spans="65:67" ht="18.75" customHeight="1">
      <c r="BM43770" s="1025"/>
      <c r="BO43770" s="43"/>
    </row>
    <row r="43771" spans="65:67" ht="18.75" customHeight="1">
      <c r="BM43771" s="1025"/>
      <c r="BO43771" s="43"/>
    </row>
    <row r="43772" spans="65:67" ht="18.75" customHeight="1">
      <c r="BM43772" s="1025"/>
      <c r="BO43772" s="43"/>
    </row>
    <row r="43773" spans="65:67" ht="18.75" customHeight="1">
      <c r="BM43773" s="1025"/>
      <c r="BO43773" s="43"/>
    </row>
    <row r="43774" spans="65:67" ht="18.75" customHeight="1">
      <c r="BM43774" s="1025"/>
      <c r="BO43774" s="43"/>
    </row>
    <row r="43775" spans="65:67" ht="18.75" customHeight="1">
      <c r="BM43775" s="1025"/>
      <c r="BO43775" s="43"/>
    </row>
    <row r="43776" spans="65:67" ht="18.75" customHeight="1">
      <c r="BM43776" s="1025"/>
      <c r="BO43776" s="43"/>
    </row>
    <row r="43777" spans="65:67" ht="18.75" customHeight="1">
      <c r="BM43777" s="1025"/>
      <c r="BO43777" s="43"/>
    </row>
    <row r="43778" spans="65:67" ht="18.75" customHeight="1">
      <c r="BM43778" s="1025"/>
      <c r="BO43778" s="43"/>
    </row>
    <row r="43779" spans="65:67" ht="18.75" customHeight="1">
      <c r="BM43779" s="1025"/>
      <c r="BO43779" s="43"/>
    </row>
    <row r="43780" spans="65:67" ht="18.75" customHeight="1">
      <c r="BM43780" s="1025"/>
      <c r="BO43780" s="43"/>
    </row>
    <row r="43781" spans="65:67" ht="18.75" customHeight="1">
      <c r="BM43781" s="1025"/>
      <c r="BO43781" s="43"/>
    </row>
    <row r="43782" spans="65:67" ht="18.75" customHeight="1">
      <c r="BM43782" s="1025"/>
      <c r="BO43782" s="43"/>
    </row>
    <row r="43783" spans="65:67" ht="18.75" customHeight="1">
      <c r="BM43783" s="1025"/>
      <c r="BO43783" s="43"/>
    </row>
    <row r="43784" spans="65:67" ht="18.75" customHeight="1">
      <c r="BM43784" s="1025"/>
      <c r="BO43784" s="43"/>
    </row>
    <row r="43785" spans="65:67" ht="18.75" customHeight="1">
      <c r="BM43785" s="1025"/>
      <c r="BO43785" s="43"/>
    </row>
    <row r="43786" spans="65:67" ht="18.75" customHeight="1">
      <c r="BM43786" s="1025"/>
      <c r="BO43786" s="43"/>
    </row>
    <row r="43787" spans="65:67" ht="18.75" customHeight="1">
      <c r="BM43787" s="1025"/>
      <c r="BO43787" s="43"/>
    </row>
    <row r="43788" spans="65:67" ht="18.75" customHeight="1">
      <c r="BM43788" s="1025"/>
      <c r="BO43788" s="43"/>
    </row>
    <row r="43789" spans="65:67" ht="18.75" customHeight="1">
      <c r="BM43789" s="1025"/>
      <c r="BO43789" s="43"/>
    </row>
    <row r="43790" spans="65:67" ht="18.75" customHeight="1">
      <c r="BM43790" s="1025"/>
      <c r="BO43790" s="43"/>
    </row>
    <row r="43791" spans="65:67" ht="18.75" customHeight="1">
      <c r="BM43791" s="1025"/>
      <c r="BO43791" s="43"/>
    </row>
    <row r="43792" spans="65:67" ht="18.75" customHeight="1">
      <c r="BM43792" s="1025"/>
      <c r="BO43792" s="43"/>
    </row>
    <row r="43793" spans="65:67" ht="18.75" customHeight="1">
      <c r="BM43793" s="1025"/>
      <c r="BO43793" s="43"/>
    </row>
    <row r="43794" spans="65:67" ht="18.75" customHeight="1">
      <c r="BM43794" s="1025"/>
      <c r="BO43794" s="43"/>
    </row>
    <row r="43795" spans="65:67" ht="18.75" customHeight="1">
      <c r="BM43795" s="1025"/>
      <c r="BO43795" s="43"/>
    </row>
    <row r="43796" spans="65:67" ht="18.75" customHeight="1">
      <c r="BM43796" s="1025"/>
      <c r="BO43796" s="43"/>
    </row>
    <row r="43797" spans="65:67" ht="18.75" customHeight="1">
      <c r="BM43797" s="1025"/>
      <c r="BO43797" s="43"/>
    </row>
    <row r="43798" spans="65:67" ht="18.75" customHeight="1">
      <c r="BM43798" s="1025"/>
      <c r="BO43798" s="43"/>
    </row>
    <row r="43799" spans="65:67" ht="18.75" customHeight="1">
      <c r="BM43799" s="1025"/>
      <c r="BO43799" s="43"/>
    </row>
    <row r="43800" spans="65:67" ht="18.75" customHeight="1">
      <c r="BM43800" s="1025"/>
      <c r="BO43800" s="43"/>
    </row>
    <row r="43801" spans="65:67" ht="18.75" customHeight="1">
      <c r="BM43801" s="1025"/>
      <c r="BO43801" s="43"/>
    </row>
    <row r="43802" spans="65:67" ht="18.75" customHeight="1">
      <c r="BM43802" s="1025"/>
      <c r="BO43802" s="43"/>
    </row>
    <row r="43803" spans="65:67" ht="18.75" customHeight="1">
      <c r="BM43803" s="1025"/>
      <c r="BO43803" s="43"/>
    </row>
    <row r="43804" spans="65:67" ht="18.75" customHeight="1">
      <c r="BM43804" s="1025"/>
      <c r="BO43804" s="43"/>
    </row>
    <row r="43805" spans="65:67" ht="18.75" customHeight="1">
      <c r="BM43805" s="1025"/>
      <c r="BO43805" s="43"/>
    </row>
    <row r="43806" spans="65:67" ht="18.75" customHeight="1">
      <c r="BM43806" s="1025"/>
      <c r="BO43806" s="43"/>
    </row>
    <row r="43807" spans="65:67" ht="18.75" customHeight="1">
      <c r="BM43807" s="1025"/>
      <c r="BO43807" s="43"/>
    </row>
    <row r="43808" spans="65:67" ht="18.75" customHeight="1">
      <c r="BM43808" s="1025"/>
      <c r="BO43808" s="43"/>
    </row>
    <row r="43809" spans="65:67" ht="18.75" customHeight="1">
      <c r="BM43809" s="1025"/>
      <c r="BO43809" s="43"/>
    </row>
    <row r="43810" spans="65:67" ht="18.75" customHeight="1">
      <c r="BM43810" s="1025"/>
      <c r="BO43810" s="43"/>
    </row>
    <row r="43811" spans="65:67" ht="18.75" customHeight="1">
      <c r="BM43811" s="1025"/>
      <c r="BO43811" s="43"/>
    </row>
    <row r="43812" spans="65:67" ht="18.75" customHeight="1">
      <c r="BM43812" s="1025"/>
      <c r="BO43812" s="43"/>
    </row>
    <row r="43813" spans="65:67" ht="18.75" customHeight="1">
      <c r="BM43813" s="1025"/>
      <c r="BO43813" s="43"/>
    </row>
    <row r="43814" spans="65:67" ht="18.75" customHeight="1">
      <c r="BM43814" s="1025"/>
      <c r="BO43814" s="43"/>
    </row>
    <row r="43815" spans="65:67" ht="18.75" customHeight="1">
      <c r="BM43815" s="1025"/>
      <c r="BO43815" s="43"/>
    </row>
    <row r="43816" spans="65:67" ht="18.75" customHeight="1">
      <c r="BM43816" s="1025"/>
      <c r="BO43816" s="43"/>
    </row>
    <row r="43817" spans="65:67" ht="18.75" customHeight="1">
      <c r="BM43817" s="1025"/>
      <c r="BO43817" s="43"/>
    </row>
    <row r="43818" spans="65:67" ht="18.75" customHeight="1">
      <c r="BM43818" s="1025"/>
      <c r="BO43818" s="43"/>
    </row>
    <row r="43819" spans="65:67" ht="18.75" customHeight="1">
      <c r="BM43819" s="1025"/>
      <c r="BO43819" s="43"/>
    </row>
    <row r="43820" spans="65:67" ht="18.75" customHeight="1">
      <c r="BM43820" s="1025"/>
      <c r="BO43820" s="43"/>
    </row>
    <row r="43821" spans="65:67" ht="18.75" customHeight="1">
      <c r="BM43821" s="1025"/>
      <c r="BO43821" s="43"/>
    </row>
    <row r="43822" spans="65:67" ht="18.75" customHeight="1">
      <c r="BM43822" s="1025"/>
      <c r="BO43822" s="43"/>
    </row>
    <row r="43823" spans="65:67" ht="18.75" customHeight="1">
      <c r="BM43823" s="1025"/>
      <c r="BO43823" s="43"/>
    </row>
    <row r="43824" spans="65:67" ht="18.75" customHeight="1">
      <c r="BM43824" s="1025"/>
      <c r="BO43824" s="43"/>
    </row>
    <row r="43825" spans="65:67" ht="18.75" customHeight="1">
      <c r="BM43825" s="1025"/>
      <c r="BO43825" s="43"/>
    </row>
    <row r="43826" spans="65:67" ht="18.75" customHeight="1">
      <c r="BM43826" s="1025"/>
      <c r="BO43826" s="43"/>
    </row>
    <row r="43827" spans="65:67" ht="18.75" customHeight="1">
      <c r="BM43827" s="1025"/>
      <c r="BO43827" s="43"/>
    </row>
    <row r="43828" spans="65:67" ht="18.75" customHeight="1">
      <c r="BM43828" s="1025"/>
      <c r="BO43828" s="43"/>
    </row>
    <row r="43829" spans="65:67" ht="18.75" customHeight="1">
      <c r="BM43829" s="1025"/>
      <c r="BO43829" s="43"/>
    </row>
    <row r="43830" spans="65:67" ht="18.75" customHeight="1">
      <c r="BM43830" s="1025"/>
      <c r="BO43830" s="43"/>
    </row>
    <row r="43831" spans="65:67" ht="18.75" customHeight="1">
      <c r="BM43831" s="1025"/>
      <c r="BO43831" s="43"/>
    </row>
    <row r="43832" spans="65:67" ht="18.75" customHeight="1">
      <c r="BM43832" s="1025"/>
      <c r="BO43832" s="43"/>
    </row>
    <row r="43833" spans="65:67" ht="18.75" customHeight="1">
      <c r="BM43833" s="1025"/>
      <c r="BO43833" s="43"/>
    </row>
    <row r="43834" spans="65:67" ht="18.75" customHeight="1">
      <c r="BM43834" s="1025"/>
      <c r="BO43834" s="43"/>
    </row>
    <row r="43835" spans="65:67" ht="18.75" customHeight="1">
      <c r="BM43835" s="1025"/>
      <c r="BO43835" s="43"/>
    </row>
    <row r="43836" spans="65:67" ht="18.75" customHeight="1">
      <c r="BM43836" s="1025"/>
      <c r="BO43836" s="43"/>
    </row>
    <row r="43837" spans="65:67" ht="18.75" customHeight="1">
      <c r="BM43837" s="1025"/>
      <c r="BO43837" s="43"/>
    </row>
    <row r="43838" spans="65:67" ht="18.75" customHeight="1">
      <c r="BM43838" s="1025"/>
      <c r="BO43838" s="43"/>
    </row>
    <row r="43839" spans="65:67" ht="18.75" customHeight="1">
      <c r="BM43839" s="1025"/>
      <c r="BO43839" s="43"/>
    </row>
    <row r="43840" spans="65:67" ht="18.75" customHeight="1">
      <c r="BM43840" s="1025"/>
      <c r="BO43840" s="43"/>
    </row>
    <row r="43841" spans="65:67" ht="18.75" customHeight="1">
      <c r="BM43841" s="1025"/>
      <c r="BO43841" s="43"/>
    </row>
    <row r="43842" spans="65:67" ht="18.75" customHeight="1">
      <c r="BM43842" s="1025"/>
      <c r="BO43842" s="43"/>
    </row>
    <row r="43843" spans="65:67" ht="18.75" customHeight="1">
      <c r="BM43843" s="1025"/>
      <c r="BO43843" s="43"/>
    </row>
    <row r="43844" spans="65:67" ht="18.75" customHeight="1">
      <c r="BM43844" s="1025"/>
      <c r="BO43844" s="43"/>
    </row>
    <row r="43845" spans="65:67" ht="18.75" customHeight="1">
      <c r="BM43845" s="1025"/>
      <c r="BO43845" s="43"/>
    </row>
    <row r="43846" spans="65:67" ht="18.75" customHeight="1">
      <c r="BM43846" s="1025"/>
      <c r="BO43846" s="43"/>
    </row>
    <row r="43847" spans="65:67" ht="18.75" customHeight="1">
      <c r="BM43847" s="1025"/>
      <c r="BO43847" s="43"/>
    </row>
    <row r="43848" spans="65:67" ht="18.75" customHeight="1">
      <c r="BM43848" s="1025"/>
      <c r="BO43848" s="43"/>
    </row>
    <row r="43849" spans="65:67" ht="18.75" customHeight="1">
      <c r="BM43849" s="1025"/>
      <c r="BO43849" s="43"/>
    </row>
    <row r="43850" spans="65:67" ht="18.75" customHeight="1">
      <c r="BM43850" s="1025"/>
      <c r="BO43850" s="43"/>
    </row>
    <row r="43851" spans="65:67" ht="18.75" customHeight="1">
      <c r="BM43851" s="1025"/>
      <c r="BO43851" s="43"/>
    </row>
    <row r="43852" spans="65:67" ht="18.75" customHeight="1">
      <c r="BM43852" s="1025"/>
      <c r="BO43852" s="43"/>
    </row>
    <row r="43853" spans="65:67" ht="18.75" customHeight="1">
      <c r="BM43853" s="1025"/>
      <c r="BO43853" s="43"/>
    </row>
    <row r="43854" spans="65:67" ht="18.75" customHeight="1">
      <c r="BM43854" s="1025"/>
      <c r="BO43854" s="43"/>
    </row>
    <row r="43855" spans="65:67" ht="18.75" customHeight="1">
      <c r="BM43855" s="1025"/>
      <c r="BO43855" s="43"/>
    </row>
    <row r="43856" spans="65:67" ht="18.75" customHeight="1">
      <c r="BM43856" s="1025"/>
      <c r="BO43856" s="43"/>
    </row>
    <row r="43857" spans="65:67" ht="18.75" customHeight="1">
      <c r="BM43857" s="1025"/>
      <c r="BO43857" s="43"/>
    </row>
    <row r="43858" spans="65:67" ht="18.75" customHeight="1">
      <c r="BM43858" s="1025"/>
      <c r="BO43858" s="43"/>
    </row>
    <row r="43859" spans="65:67" ht="18.75" customHeight="1">
      <c r="BM43859" s="1025"/>
      <c r="BO43859" s="43"/>
    </row>
    <row r="43860" spans="65:67" ht="18.75" customHeight="1">
      <c r="BM43860" s="1025"/>
      <c r="BO43860" s="43"/>
    </row>
    <row r="43861" spans="65:67" ht="18.75" customHeight="1">
      <c r="BM43861" s="1025"/>
      <c r="BO43861" s="43"/>
    </row>
    <row r="43862" spans="65:67" ht="18.75" customHeight="1">
      <c r="BM43862" s="1025"/>
      <c r="BO43862" s="43"/>
    </row>
    <row r="43863" spans="65:67" ht="18.75" customHeight="1">
      <c r="BM43863" s="1025"/>
      <c r="BO43863" s="43"/>
    </row>
    <row r="43864" spans="65:67" ht="18.75" customHeight="1">
      <c r="BM43864" s="1025"/>
      <c r="BO43864" s="43"/>
    </row>
    <row r="43865" spans="65:67" ht="18.75" customHeight="1">
      <c r="BM43865" s="1025"/>
      <c r="BO43865" s="43"/>
    </row>
    <row r="43866" spans="65:67" ht="18.75" customHeight="1">
      <c r="BM43866" s="1025"/>
      <c r="BO43866" s="43"/>
    </row>
    <row r="43867" spans="65:67" ht="18.75" customHeight="1">
      <c r="BM43867" s="1025"/>
      <c r="BO43867" s="43"/>
    </row>
    <row r="43868" spans="65:67" ht="18.75" customHeight="1">
      <c r="BM43868" s="1025"/>
      <c r="BO43868" s="43"/>
    </row>
    <row r="43869" spans="65:67" ht="18.75" customHeight="1">
      <c r="BM43869" s="1025"/>
      <c r="BO43869" s="43"/>
    </row>
    <row r="43870" spans="65:67" ht="18.75" customHeight="1">
      <c r="BM43870" s="1025"/>
      <c r="BO43870" s="43"/>
    </row>
    <row r="43871" spans="65:67" ht="18.75" customHeight="1">
      <c r="BM43871" s="1025"/>
      <c r="BO43871" s="43"/>
    </row>
    <row r="43872" spans="65:67" ht="18.75" customHeight="1">
      <c r="BM43872" s="1025"/>
      <c r="BO43872" s="43"/>
    </row>
    <row r="43873" spans="65:67" ht="18.75" customHeight="1">
      <c r="BM43873" s="1025"/>
      <c r="BO43873" s="43"/>
    </row>
    <row r="43874" spans="65:67" ht="18.75" customHeight="1">
      <c r="BM43874" s="1025"/>
      <c r="BO43874" s="43"/>
    </row>
    <row r="43875" spans="65:67" ht="18.75" customHeight="1">
      <c r="BM43875" s="1025"/>
      <c r="BO43875" s="43"/>
    </row>
    <row r="43876" spans="65:67" ht="18.75" customHeight="1">
      <c r="BM43876" s="1025"/>
      <c r="BO43876" s="43"/>
    </row>
    <row r="43877" spans="65:67" ht="18.75" customHeight="1">
      <c r="BM43877" s="1025"/>
      <c r="BO43877" s="43"/>
    </row>
    <row r="43878" spans="65:67" ht="18.75" customHeight="1">
      <c r="BM43878" s="1025"/>
      <c r="BO43878" s="43"/>
    </row>
    <row r="43879" spans="65:67" ht="18.75" customHeight="1">
      <c r="BM43879" s="1025"/>
      <c r="BO43879" s="43"/>
    </row>
    <row r="43880" spans="65:67" ht="18.75" customHeight="1">
      <c r="BM43880" s="1025"/>
      <c r="BO43880" s="43"/>
    </row>
    <row r="43881" spans="65:67" ht="18.75" customHeight="1">
      <c r="BM43881" s="1025"/>
      <c r="BO43881" s="43"/>
    </row>
    <row r="43882" spans="65:67" ht="18.75" customHeight="1">
      <c r="BM43882" s="1025"/>
      <c r="BO43882" s="43"/>
    </row>
    <row r="43883" spans="65:67" ht="18.75" customHeight="1">
      <c r="BM43883" s="1025"/>
      <c r="BO43883" s="43"/>
    </row>
    <row r="43884" spans="65:67" ht="18.75" customHeight="1">
      <c r="BM43884" s="1025"/>
      <c r="BO43884" s="43"/>
    </row>
    <row r="43885" spans="65:67" ht="18.75" customHeight="1">
      <c r="BM43885" s="1025"/>
      <c r="BO43885" s="43"/>
    </row>
    <row r="43886" spans="65:67" ht="18.75" customHeight="1">
      <c r="BM43886" s="1025"/>
      <c r="BO43886" s="43"/>
    </row>
    <row r="43887" spans="65:67" ht="18.75" customHeight="1">
      <c r="BM43887" s="1025"/>
      <c r="BO43887" s="43"/>
    </row>
    <row r="43888" spans="65:67" ht="18.75" customHeight="1">
      <c r="BM43888" s="1025"/>
      <c r="BO43888" s="43"/>
    </row>
    <row r="43889" spans="65:67" ht="18.75" customHeight="1">
      <c r="BM43889" s="1025"/>
      <c r="BO43889" s="43"/>
    </row>
    <row r="43890" spans="65:67" ht="18.75" customHeight="1">
      <c r="BM43890" s="1025"/>
      <c r="BO43890" s="43"/>
    </row>
    <row r="43891" spans="65:67" ht="18.75" customHeight="1">
      <c r="BM43891" s="1025"/>
      <c r="BO43891" s="43"/>
    </row>
    <row r="43892" spans="65:67" ht="18.75" customHeight="1">
      <c r="BM43892" s="1025"/>
      <c r="BO43892" s="43"/>
    </row>
    <row r="43893" spans="65:67" ht="18.75" customHeight="1">
      <c r="BM43893" s="1025"/>
      <c r="BO43893" s="43"/>
    </row>
    <row r="43894" spans="65:67" ht="18.75" customHeight="1">
      <c r="BM43894" s="1025"/>
      <c r="BO43894" s="43"/>
    </row>
    <row r="43895" spans="65:67" ht="18.75" customHeight="1">
      <c r="BM43895" s="1025"/>
      <c r="BO43895" s="43"/>
    </row>
    <row r="43896" spans="65:67" ht="18.75" customHeight="1">
      <c r="BM43896" s="1025"/>
      <c r="BO43896" s="43"/>
    </row>
    <row r="43897" spans="65:67" ht="18.75" customHeight="1">
      <c r="BM43897" s="1025"/>
      <c r="BO43897" s="43"/>
    </row>
    <row r="43898" spans="65:67" ht="18.75" customHeight="1">
      <c r="BM43898" s="1025"/>
      <c r="BO43898" s="43"/>
    </row>
    <row r="43899" spans="65:67" ht="18.75" customHeight="1">
      <c r="BM43899" s="1025"/>
      <c r="BO43899" s="43"/>
    </row>
    <row r="43900" spans="65:67" ht="18.75" customHeight="1">
      <c r="BM43900" s="1025"/>
      <c r="BO43900" s="43"/>
    </row>
    <row r="43901" spans="65:67" ht="18.75" customHeight="1">
      <c r="BM43901" s="1025"/>
      <c r="BO43901" s="43"/>
    </row>
    <row r="43902" spans="65:67" ht="18.75" customHeight="1">
      <c r="BM43902" s="1025"/>
      <c r="BO43902" s="43"/>
    </row>
    <row r="43903" spans="65:67" ht="18.75" customHeight="1">
      <c r="BM43903" s="1025"/>
      <c r="BO43903" s="43"/>
    </row>
    <row r="43904" spans="65:67" ht="18.75" customHeight="1">
      <c r="BM43904" s="1025"/>
      <c r="BO43904" s="43"/>
    </row>
    <row r="43905" spans="65:67" ht="18.75" customHeight="1">
      <c r="BM43905" s="1025"/>
      <c r="BO43905" s="43"/>
    </row>
    <row r="43906" spans="65:67" ht="18.75" customHeight="1">
      <c r="BM43906" s="1025"/>
      <c r="BO43906" s="43"/>
    </row>
    <row r="43907" spans="65:67" ht="18.75" customHeight="1">
      <c r="BM43907" s="1025"/>
      <c r="BO43907" s="43"/>
    </row>
    <row r="43908" spans="65:67" ht="18.75" customHeight="1">
      <c r="BM43908" s="1025"/>
      <c r="BO43908" s="43"/>
    </row>
    <row r="43909" spans="65:67" ht="18.75" customHeight="1">
      <c r="BM43909" s="1025"/>
      <c r="BO43909" s="43"/>
    </row>
    <row r="43910" spans="65:67" ht="18.75" customHeight="1">
      <c r="BM43910" s="1025"/>
      <c r="BO43910" s="43"/>
    </row>
    <row r="43911" spans="65:67" ht="18.75" customHeight="1">
      <c r="BM43911" s="1025"/>
      <c r="BO43911" s="43"/>
    </row>
    <row r="43912" spans="65:67" ht="18.75" customHeight="1">
      <c r="BM43912" s="1025"/>
      <c r="BO43912" s="43"/>
    </row>
    <row r="43913" spans="65:67" ht="18.75" customHeight="1">
      <c r="BM43913" s="1025"/>
      <c r="BO43913" s="43"/>
    </row>
    <row r="43914" spans="65:67" ht="18.75" customHeight="1">
      <c r="BM43914" s="1025"/>
      <c r="BO43914" s="43"/>
    </row>
    <row r="43915" spans="65:67" ht="18.75" customHeight="1">
      <c r="BM43915" s="1025"/>
      <c r="BO43915" s="43"/>
    </row>
    <row r="43916" spans="65:67" ht="18.75" customHeight="1">
      <c r="BM43916" s="1025"/>
      <c r="BO43916" s="43"/>
    </row>
    <row r="43917" spans="65:67" ht="18.75" customHeight="1">
      <c r="BM43917" s="1025"/>
      <c r="BO43917" s="43"/>
    </row>
    <row r="43918" spans="65:67" ht="18.75" customHeight="1">
      <c r="BM43918" s="1025"/>
      <c r="BO43918" s="43"/>
    </row>
    <row r="43919" spans="65:67" ht="18.75" customHeight="1">
      <c r="BM43919" s="1025"/>
      <c r="BO43919" s="43"/>
    </row>
    <row r="43920" spans="65:67" ht="18.75" customHeight="1">
      <c r="BM43920" s="1025"/>
      <c r="BO43920" s="43"/>
    </row>
    <row r="43921" spans="65:67" ht="18.75" customHeight="1">
      <c r="BM43921" s="1025"/>
      <c r="BO43921" s="43"/>
    </row>
    <row r="43922" spans="65:67" ht="18.75" customHeight="1">
      <c r="BM43922" s="1025"/>
      <c r="BO43922" s="43"/>
    </row>
    <row r="43923" spans="65:67" ht="18.75" customHeight="1">
      <c r="BM43923" s="1025"/>
      <c r="BO43923" s="43"/>
    </row>
    <row r="43924" spans="65:67" ht="18.75" customHeight="1">
      <c r="BM43924" s="1025"/>
      <c r="BO43924" s="43"/>
    </row>
    <row r="43925" spans="65:67" ht="18.75" customHeight="1">
      <c r="BM43925" s="1025"/>
      <c r="BO43925" s="43"/>
    </row>
    <row r="43926" spans="65:67" ht="18.75" customHeight="1">
      <c r="BM43926" s="1025"/>
      <c r="BO43926" s="43"/>
    </row>
    <row r="43927" spans="65:67" ht="18.75" customHeight="1">
      <c r="BM43927" s="1025"/>
      <c r="BO43927" s="43"/>
    </row>
    <row r="43928" spans="65:67" ht="18.75" customHeight="1">
      <c r="BM43928" s="1025"/>
      <c r="BO43928" s="43"/>
    </row>
    <row r="43929" spans="65:67" ht="18.75" customHeight="1">
      <c r="BM43929" s="1025"/>
      <c r="BO43929" s="43"/>
    </row>
    <row r="43930" spans="65:67" ht="18.75" customHeight="1">
      <c r="BM43930" s="1025"/>
      <c r="BO43930" s="43"/>
    </row>
    <row r="43931" spans="65:67" ht="18.75" customHeight="1">
      <c r="BM43931" s="1025"/>
      <c r="BO43931" s="43"/>
    </row>
    <row r="43932" spans="65:67" ht="18.75" customHeight="1">
      <c r="BM43932" s="1025"/>
      <c r="BO43932" s="43"/>
    </row>
    <row r="43933" spans="65:67" ht="18.75" customHeight="1">
      <c r="BM43933" s="1025"/>
      <c r="BO43933" s="43"/>
    </row>
    <row r="43934" spans="65:67" ht="18.75" customHeight="1">
      <c r="BM43934" s="1025"/>
      <c r="BO43934" s="43"/>
    </row>
    <row r="43935" spans="65:67" ht="18.75" customHeight="1">
      <c r="BM43935" s="1025"/>
      <c r="BO43935" s="43"/>
    </row>
    <row r="43936" spans="65:67" ht="18.75" customHeight="1">
      <c r="BM43936" s="1025"/>
      <c r="BO43936" s="43"/>
    </row>
    <row r="43937" spans="65:67" ht="18.75" customHeight="1">
      <c r="BM43937" s="1025"/>
      <c r="BO43937" s="43"/>
    </row>
    <row r="43938" spans="65:67" ht="18.75" customHeight="1">
      <c r="BM43938" s="1025"/>
      <c r="BO43938" s="43"/>
    </row>
    <row r="43939" spans="65:67" ht="18.75" customHeight="1">
      <c r="BM43939" s="1025"/>
      <c r="BO43939" s="43"/>
    </row>
    <row r="43940" spans="65:67" ht="18.75" customHeight="1">
      <c r="BM43940" s="1025"/>
      <c r="BO43940" s="43"/>
    </row>
    <row r="43941" spans="65:67" ht="18.75" customHeight="1">
      <c r="BM43941" s="1025"/>
      <c r="BO43941" s="43"/>
    </row>
    <row r="43942" spans="65:67" ht="18.75" customHeight="1">
      <c r="BM43942" s="1025"/>
      <c r="BO43942" s="43"/>
    </row>
    <row r="43943" spans="65:67" ht="18.75" customHeight="1">
      <c r="BM43943" s="1025"/>
      <c r="BO43943" s="43"/>
    </row>
    <row r="43944" spans="65:67" ht="18.75" customHeight="1">
      <c r="BM43944" s="1025"/>
      <c r="BO43944" s="43"/>
    </row>
    <row r="43945" spans="65:67" ht="18.75" customHeight="1">
      <c r="BM43945" s="1025"/>
      <c r="BO43945" s="43"/>
    </row>
    <row r="43946" spans="65:67" ht="18.75" customHeight="1">
      <c r="BM43946" s="1025"/>
      <c r="BO43946" s="43"/>
    </row>
    <row r="43947" spans="65:67" ht="18.75" customHeight="1">
      <c r="BM43947" s="1025"/>
      <c r="BO43947" s="43"/>
    </row>
    <row r="43948" spans="65:67" ht="18.75" customHeight="1">
      <c r="BM43948" s="1025"/>
      <c r="BO43948" s="43"/>
    </row>
    <row r="43949" spans="65:67" ht="18.75" customHeight="1">
      <c r="BM43949" s="1025"/>
      <c r="BO43949" s="43"/>
    </row>
    <row r="43950" spans="65:67" ht="18.75" customHeight="1">
      <c r="BM43950" s="1025"/>
      <c r="BO43950" s="43"/>
    </row>
    <row r="43951" spans="65:67" ht="18.75" customHeight="1">
      <c r="BM43951" s="1025"/>
      <c r="BO43951" s="43"/>
    </row>
    <row r="43952" spans="65:67" ht="18.75" customHeight="1">
      <c r="BM43952" s="1025"/>
      <c r="BO43952" s="43"/>
    </row>
    <row r="43953" spans="65:67" ht="18.75" customHeight="1">
      <c r="BM43953" s="1025"/>
      <c r="BO43953" s="43"/>
    </row>
    <row r="43954" spans="65:67" ht="18.75" customHeight="1">
      <c r="BM43954" s="1025"/>
      <c r="BO43954" s="43"/>
    </row>
    <row r="43955" spans="65:67" ht="18.75" customHeight="1">
      <c r="BM43955" s="1025"/>
      <c r="BO43955" s="43"/>
    </row>
    <row r="43956" spans="65:67" ht="18.75" customHeight="1">
      <c r="BM43956" s="1025"/>
      <c r="BO43956" s="43"/>
    </row>
    <row r="43957" spans="65:67" ht="18.75" customHeight="1">
      <c r="BM43957" s="1025"/>
      <c r="BO43957" s="43"/>
    </row>
    <row r="43958" spans="65:67" ht="18.75" customHeight="1">
      <c r="BM43958" s="1025"/>
      <c r="BO43958" s="43"/>
    </row>
    <row r="43959" spans="65:67" ht="18.75" customHeight="1">
      <c r="BM43959" s="1025"/>
      <c r="BO43959" s="43"/>
    </row>
    <row r="43960" spans="65:67" ht="18.75" customHeight="1">
      <c r="BM43960" s="1025"/>
      <c r="BO43960" s="43"/>
    </row>
    <row r="43961" spans="65:67" ht="18.75" customHeight="1">
      <c r="BM43961" s="1025"/>
      <c r="BO43961" s="43"/>
    </row>
    <row r="43962" spans="65:67" ht="18.75" customHeight="1">
      <c r="BM43962" s="1025"/>
      <c r="BO43962" s="43"/>
    </row>
    <row r="43963" spans="65:67" ht="18.75" customHeight="1">
      <c r="BM43963" s="1025"/>
      <c r="BO43963" s="43"/>
    </row>
    <row r="43964" spans="65:67" ht="18.75" customHeight="1">
      <c r="BM43964" s="1025"/>
      <c r="BO43964" s="43"/>
    </row>
    <row r="43965" spans="65:67" ht="18.75" customHeight="1">
      <c r="BM43965" s="1025"/>
      <c r="BO43965" s="43"/>
    </row>
    <row r="43966" spans="65:67" ht="18.75" customHeight="1">
      <c r="BM43966" s="1025"/>
      <c r="BO43966" s="43"/>
    </row>
    <row r="43967" spans="65:67" ht="18.75" customHeight="1">
      <c r="BM43967" s="1025"/>
      <c r="BO43967" s="43"/>
    </row>
    <row r="43968" spans="65:67" ht="18.75" customHeight="1">
      <c r="BM43968" s="1025"/>
      <c r="BO43968" s="43"/>
    </row>
    <row r="43969" spans="65:67" ht="18.75" customHeight="1">
      <c r="BM43969" s="1025"/>
      <c r="BO43969" s="43"/>
    </row>
    <row r="43970" spans="65:67" ht="18.75" customHeight="1">
      <c r="BM43970" s="1025"/>
      <c r="BO43970" s="43"/>
    </row>
    <row r="43971" spans="65:67" ht="18.75" customHeight="1">
      <c r="BM43971" s="1025"/>
      <c r="BO43971" s="43"/>
    </row>
    <row r="43972" spans="65:67" ht="18.75" customHeight="1">
      <c r="BM43972" s="1025"/>
      <c r="BO43972" s="43"/>
    </row>
    <row r="43973" spans="65:67" ht="18.75" customHeight="1">
      <c r="BM43973" s="1025"/>
      <c r="BO43973" s="43"/>
    </row>
    <row r="43974" spans="65:67" ht="18.75" customHeight="1">
      <c r="BM43974" s="1025"/>
      <c r="BO43974" s="43"/>
    </row>
    <row r="43975" spans="65:67" ht="18.75" customHeight="1">
      <c r="BM43975" s="1025"/>
      <c r="BO43975" s="43"/>
    </row>
    <row r="43976" spans="65:67" ht="18.75" customHeight="1">
      <c r="BM43976" s="1025"/>
      <c r="BO43976" s="43"/>
    </row>
    <row r="43977" spans="65:67" ht="18.75" customHeight="1">
      <c r="BM43977" s="1025"/>
      <c r="BO43977" s="43"/>
    </row>
    <row r="43978" spans="65:67" ht="18.75" customHeight="1">
      <c r="BM43978" s="1025"/>
      <c r="BO43978" s="43"/>
    </row>
    <row r="43979" spans="65:67" ht="18.75" customHeight="1">
      <c r="BM43979" s="1025"/>
      <c r="BO43979" s="43"/>
    </row>
    <row r="43980" spans="65:67" ht="18.75" customHeight="1">
      <c r="BM43980" s="1025"/>
      <c r="BO43980" s="43"/>
    </row>
    <row r="43981" spans="65:67" ht="18.75" customHeight="1">
      <c r="BM43981" s="1025"/>
      <c r="BO43981" s="43"/>
    </row>
    <row r="43982" spans="65:67" ht="18.75" customHeight="1">
      <c r="BM43982" s="1025"/>
      <c r="BO43982" s="43"/>
    </row>
    <row r="43983" spans="65:67" ht="18.75" customHeight="1">
      <c r="BM43983" s="1025"/>
      <c r="BO43983" s="43"/>
    </row>
    <row r="43984" spans="65:67" ht="18.75" customHeight="1">
      <c r="BM43984" s="1025"/>
      <c r="BO43984" s="43"/>
    </row>
    <row r="43985" spans="65:67" ht="18.75" customHeight="1">
      <c r="BM43985" s="1025"/>
      <c r="BO43985" s="43"/>
    </row>
    <row r="43986" spans="65:67" ht="18.75" customHeight="1">
      <c r="BM43986" s="1025"/>
      <c r="BO43986" s="43"/>
    </row>
    <row r="43987" spans="65:67" ht="18.75" customHeight="1">
      <c r="BM43987" s="1025"/>
      <c r="BO43987" s="43"/>
    </row>
    <row r="43988" spans="65:67" ht="18.75" customHeight="1">
      <c r="BM43988" s="1025"/>
      <c r="BO43988" s="43"/>
    </row>
    <row r="43989" spans="65:67" ht="18.75" customHeight="1">
      <c r="BM43989" s="1025"/>
      <c r="BO43989" s="43"/>
    </row>
    <row r="43990" spans="65:67" ht="18.75" customHeight="1">
      <c r="BM43990" s="1025"/>
      <c r="BO43990" s="43"/>
    </row>
    <row r="43991" spans="65:67" ht="18.75" customHeight="1">
      <c r="BM43991" s="1025"/>
      <c r="BO43991" s="43"/>
    </row>
    <row r="43992" spans="65:67" ht="18.75" customHeight="1">
      <c r="BM43992" s="1025"/>
      <c r="BO43992" s="43"/>
    </row>
    <row r="43993" spans="65:67" ht="18.75" customHeight="1">
      <c r="BM43993" s="1025"/>
      <c r="BO43993" s="43"/>
    </row>
    <row r="43994" spans="65:67" ht="18.75" customHeight="1">
      <c r="BM43994" s="1025"/>
      <c r="BO43994" s="43"/>
    </row>
    <row r="43995" spans="65:67" ht="18.75" customHeight="1">
      <c r="BM43995" s="1025"/>
      <c r="BO43995" s="43"/>
    </row>
    <row r="43996" spans="65:67" ht="18.75" customHeight="1">
      <c r="BM43996" s="1025"/>
      <c r="BO43996" s="43"/>
    </row>
    <row r="43997" spans="65:67" ht="18.75" customHeight="1">
      <c r="BM43997" s="1025"/>
      <c r="BO43997" s="43"/>
    </row>
    <row r="43998" spans="65:67" ht="18.75" customHeight="1">
      <c r="BM43998" s="1025"/>
      <c r="BO43998" s="43"/>
    </row>
    <row r="43999" spans="65:67" ht="18.75" customHeight="1">
      <c r="BM43999" s="1025"/>
      <c r="BO43999" s="43"/>
    </row>
    <row r="44000" spans="65:67" ht="18.75" customHeight="1">
      <c r="BM44000" s="1025"/>
      <c r="BO44000" s="43"/>
    </row>
    <row r="44001" spans="65:67" ht="18.75" customHeight="1">
      <c r="BM44001" s="1025"/>
      <c r="BO44001" s="43"/>
    </row>
    <row r="44002" spans="65:67" ht="18.75" customHeight="1">
      <c r="BM44002" s="1025"/>
      <c r="BO44002" s="43"/>
    </row>
    <row r="44003" spans="65:67" ht="18.75" customHeight="1">
      <c r="BM44003" s="1025"/>
      <c r="BO44003" s="43"/>
    </row>
    <row r="44004" spans="65:67" ht="18.75" customHeight="1">
      <c r="BM44004" s="1025"/>
      <c r="BO44004" s="43"/>
    </row>
    <row r="44005" spans="65:67" ht="18.75" customHeight="1">
      <c r="BM44005" s="1025"/>
      <c r="BO44005" s="43"/>
    </row>
    <row r="44006" spans="65:67" ht="18.75" customHeight="1">
      <c r="BM44006" s="1025"/>
      <c r="BO44006" s="43"/>
    </row>
    <row r="44007" spans="65:67" ht="18.75" customHeight="1">
      <c r="BM44007" s="1025"/>
      <c r="BO44007" s="43"/>
    </row>
    <row r="44008" spans="65:67" ht="18.75" customHeight="1">
      <c r="BM44008" s="1025"/>
      <c r="BO44008" s="43"/>
    </row>
    <row r="44009" spans="65:67" ht="18.75" customHeight="1">
      <c r="BM44009" s="1025"/>
      <c r="BO44009" s="43"/>
    </row>
    <row r="44010" spans="65:67" ht="18.75" customHeight="1">
      <c r="BM44010" s="1025"/>
      <c r="BO44010" s="43"/>
    </row>
    <row r="44011" spans="65:67" ht="18.75" customHeight="1">
      <c r="BM44011" s="1025"/>
      <c r="BO44011" s="43"/>
    </row>
    <row r="44012" spans="65:67" ht="18.75" customHeight="1">
      <c r="BM44012" s="1025"/>
      <c r="BO44012" s="43"/>
    </row>
    <row r="44013" spans="65:67" ht="18.75" customHeight="1">
      <c r="BM44013" s="1025"/>
      <c r="BO44013" s="43"/>
    </row>
    <row r="44014" spans="65:67" ht="18.75" customHeight="1">
      <c r="BM44014" s="1025"/>
      <c r="BO44014" s="43"/>
    </row>
    <row r="44015" spans="65:67" ht="18.75" customHeight="1">
      <c r="BM44015" s="1025"/>
      <c r="BO44015" s="43"/>
    </row>
    <row r="44016" spans="65:67" ht="18.75" customHeight="1">
      <c r="BM44016" s="1025"/>
      <c r="BO44016" s="43"/>
    </row>
    <row r="44017" spans="65:67" ht="18.75" customHeight="1">
      <c r="BM44017" s="1025"/>
      <c r="BO44017" s="43"/>
    </row>
    <row r="44018" spans="65:67" ht="18.75" customHeight="1">
      <c r="BM44018" s="1025"/>
      <c r="BO44018" s="43"/>
    </row>
    <row r="44019" spans="65:67" ht="18.75" customHeight="1">
      <c r="BM44019" s="1025"/>
      <c r="BO44019" s="43"/>
    </row>
    <row r="44020" spans="65:67" ht="18.75" customHeight="1">
      <c r="BM44020" s="1025"/>
      <c r="BO44020" s="43"/>
    </row>
    <row r="44021" spans="65:67" ht="18.75" customHeight="1">
      <c r="BM44021" s="1025"/>
      <c r="BO44021" s="43"/>
    </row>
    <row r="44022" spans="65:67" ht="18.75" customHeight="1">
      <c r="BM44022" s="1025"/>
      <c r="BO44022" s="43"/>
    </row>
    <row r="44023" spans="65:67" ht="18.75" customHeight="1">
      <c r="BM44023" s="1025"/>
      <c r="BO44023" s="43"/>
    </row>
    <row r="44024" spans="65:67" ht="18.75" customHeight="1">
      <c r="BM44024" s="1025"/>
      <c r="BO44024" s="43"/>
    </row>
    <row r="44025" spans="65:67" ht="18.75" customHeight="1">
      <c r="BM44025" s="1025"/>
      <c r="BO44025" s="43"/>
    </row>
    <row r="44026" spans="65:67" ht="18.75" customHeight="1">
      <c r="BM44026" s="1025"/>
      <c r="BO44026" s="43"/>
    </row>
    <row r="44027" spans="65:67" ht="18.75" customHeight="1">
      <c r="BM44027" s="1025"/>
      <c r="BO44027" s="43"/>
    </row>
    <row r="44028" spans="65:67" ht="18.75" customHeight="1">
      <c r="BM44028" s="1025"/>
      <c r="BO44028" s="43"/>
    </row>
    <row r="44029" spans="65:67" ht="18.75" customHeight="1">
      <c r="BM44029" s="1025"/>
      <c r="BO44029" s="43"/>
    </row>
    <row r="44030" spans="65:67" ht="18.75" customHeight="1">
      <c r="BM44030" s="1025"/>
      <c r="BO44030" s="43"/>
    </row>
    <row r="44031" spans="65:67" ht="18.75" customHeight="1">
      <c r="BM44031" s="1025"/>
      <c r="BO44031" s="43"/>
    </row>
    <row r="44032" spans="65:67" ht="18.75" customHeight="1">
      <c r="BM44032" s="1025"/>
      <c r="BO44032" s="43"/>
    </row>
    <row r="44033" spans="65:67" ht="18.75" customHeight="1">
      <c r="BM44033" s="1025"/>
      <c r="BO44033" s="43"/>
    </row>
    <row r="44034" spans="65:67" ht="18.75" customHeight="1">
      <c r="BM44034" s="1025"/>
      <c r="BO44034" s="43"/>
    </row>
    <row r="44035" spans="65:67" ht="18.75" customHeight="1">
      <c r="BM44035" s="1025"/>
      <c r="BO44035" s="43"/>
    </row>
    <row r="44036" spans="65:67" ht="18.75" customHeight="1">
      <c r="BM44036" s="1025"/>
      <c r="BO44036" s="43"/>
    </row>
    <row r="44037" spans="65:67" ht="18.75" customHeight="1">
      <c r="BM44037" s="1025"/>
      <c r="BO44037" s="43"/>
    </row>
    <row r="44038" spans="65:67" ht="18.75" customHeight="1">
      <c r="BM44038" s="1025"/>
      <c r="BO44038" s="43"/>
    </row>
    <row r="44039" spans="65:67" ht="18.75" customHeight="1">
      <c r="BM44039" s="1025"/>
      <c r="BO44039" s="43"/>
    </row>
    <row r="44040" spans="65:67" ht="18.75" customHeight="1">
      <c r="BM44040" s="1025"/>
      <c r="BO44040" s="43"/>
    </row>
    <row r="44041" spans="65:67" ht="18.75" customHeight="1">
      <c r="BM44041" s="1025"/>
      <c r="BO44041" s="43"/>
    </row>
    <row r="44042" spans="65:67" ht="18.75" customHeight="1">
      <c r="BM44042" s="1025"/>
      <c r="BO44042" s="43"/>
    </row>
    <row r="44043" spans="65:67" ht="18.75" customHeight="1">
      <c r="BM44043" s="1025"/>
      <c r="BO44043" s="43"/>
    </row>
    <row r="44044" spans="65:67" ht="18.75" customHeight="1">
      <c r="BM44044" s="1025"/>
      <c r="BO44044" s="43"/>
    </row>
    <row r="44045" spans="65:67" ht="18.75" customHeight="1">
      <c r="BM44045" s="1025"/>
      <c r="BO44045" s="43"/>
    </row>
    <row r="44046" spans="65:67" ht="18.75" customHeight="1">
      <c r="BM44046" s="1025"/>
      <c r="BO44046" s="43"/>
    </row>
    <row r="44047" spans="65:67" ht="18.75" customHeight="1">
      <c r="BM44047" s="1025"/>
      <c r="BO44047" s="43"/>
    </row>
    <row r="44048" spans="65:67" ht="18.75" customHeight="1">
      <c r="BM44048" s="1025"/>
      <c r="BO44048" s="43"/>
    </row>
    <row r="44049" spans="65:67" ht="18.75" customHeight="1">
      <c r="BM44049" s="1025"/>
      <c r="BO44049" s="43"/>
    </row>
    <row r="44050" spans="65:67" ht="18.75" customHeight="1">
      <c r="BM44050" s="1025"/>
      <c r="BO44050" s="43"/>
    </row>
    <row r="44051" spans="65:67" ht="18.75" customHeight="1">
      <c r="BM44051" s="1025"/>
      <c r="BO44051" s="43"/>
    </row>
    <row r="44052" spans="65:67" ht="18.75" customHeight="1">
      <c r="BM44052" s="1025"/>
      <c r="BO44052" s="43"/>
    </row>
    <row r="44053" spans="65:67" ht="18.75" customHeight="1">
      <c r="BM44053" s="1025"/>
      <c r="BO44053" s="43"/>
    </row>
    <row r="44054" spans="65:67" ht="18.75" customHeight="1">
      <c r="BM44054" s="1025"/>
      <c r="BO44054" s="43"/>
    </row>
    <row r="44055" spans="65:67" ht="18.75" customHeight="1">
      <c r="BM44055" s="1025"/>
      <c r="BO44055" s="43"/>
    </row>
    <row r="44056" spans="65:67" ht="18.75" customHeight="1">
      <c r="BM44056" s="1025"/>
      <c r="BO44056" s="43"/>
    </row>
    <row r="44057" spans="65:67" ht="18.75" customHeight="1">
      <c r="BM44057" s="1025"/>
      <c r="BO44057" s="43"/>
    </row>
    <row r="44058" spans="65:67" ht="18.75" customHeight="1">
      <c r="BM44058" s="1025"/>
      <c r="BO44058" s="43"/>
    </row>
    <row r="44059" spans="65:67" ht="18.75" customHeight="1">
      <c r="BM44059" s="1025"/>
      <c r="BO44059" s="43"/>
    </row>
    <row r="44060" spans="65:67" ht="18.75" customHeight="1">
      <c r="BM44060" s="1025"/>
      <c r="BO44060" s="43"/>
    </row>
    <row r="44061" spans="65:67" ht="18.75" customHeight="1">
      <c r="BM44061" s="1025"/>
      <c r="BO44061" s="43"/>
    </row>
    <row r="44062" spans="65:67" ht="18.75" customHeight="1">
      <c r="BM44062" s="1025"/>
      <c r="BO44062" s="43"/>
    </row>
    <row r="44063" spans="65:67" ht="18.75" customHeight="1">
      <c r="BM44063" s="1025"/>
      <c r="BO44063" s="43"/>
    </row>
    <row r="44064" spans="65:67" ht="18.75" customHeight="1">
      <c r="BM44064" s="1025"/>
      <c r="BO44064" s="43"/>
    </row>
    <row r="44065" spans="65:67" ht="18.75" customHeight="1">
      <c r="BM44065" s="1025"/>
      <c r="BO44065" s="43"/>
    </row>
    <row r="44066" spans="65:67" ht="18.75" customHeight="1">
      <c r="BM44066" s="1025"/>
      <c r="BO44066" s="43"/>
    </row>
    <row r="44067" spans="65:67" ht="18.75" customHeight="1">
      <c r="BM44067" s="1025"/>
      <c r="BO44067" s="43"/>
    </row>
    <row r="44068" spans="65:67" ht="18.75" customHeight="1">
      <c r="BM44068" s="1025"/>
      <c r="BO44068" s="43"/>
    </row>
    <row r="44069" spans="65:67" ht="18.75" customHeight="1">
      <c r="BM44069" s="1025"/>
      <c r="BO44069" s="43"/>
    </row>
    <row r="44070" spans="65:67" ht="18.75" customHeight="1">
      <c r="BM44070" s="1025"/>
      <c r="BO44070" s="43"/>
    </row>
    <row r="44071" spans="65:67" ht="18.75" customHeight="1">
      <c r="BM44071" s="1025"/>
      <c r="BO44071" s="43"/>
    </row>
    <row r="44072" spans="65:67" ht="18.75" customHeight="1">
      <c r="BM44072" s="1025"/>
      <c r="BO44072" s="43"/>
    </row>
    <row r="44073" spans="65:67" ht="18.75" customHeight="1">
      <c r="BM44073" s="1025"/>
      <c r="BO44073" s="43"/>
    </row>
    <row r="44074" spans="65:67" ht="18.75" customHeight="1">
      <c r="BM44074" s="1025"/>
      <c r="BO44074" s="43"/>
    </row>
    <row r="44075" spans="65:67" ht="18.75" customHeight="1">
      <c r="BM44075" s="1025"/>
      <c r="BO44075" s="43"/>
    </row>
    <row r="44076" spans="65:67" ht="18.75" customHeight="1">
      <c r="BM44076" s="1025"/>
      <c r="BO44076" s="43"/>
    </row>
    <row r="44077" spans="65:67" ht="18.75" customHeight="1">
      <c r="BM44077" s="1025"/>
      <c r="BO44077" s="43"/>
    </row>
    <row r="44078" spans="65:67" ht="18.75" customHeight="1">
      <c r="BM44078" s="1025"/>
      <c r="BO44078" s="43"/>
    </row>
    <row r="44079" spans="65:67" ht="18.75" customHeight="1">
      <c r="BM44079" s="1025"/>
      <c r="BO44079" s="43"/>
    </row>
    <row r="44080" spans="65:67" ht="18.75" customHeight="1">
      <c r="BM44080" s="1025"/>
      <c r="BO44080" s="43"/>
    </row>
    <row r="44081" spans="65:67" ht="18.75" customHeight="1">
      <c r="BM44081" s="1025"/>
      <c r="BO44081" s="43"/>
    </row>
    <row r="44082" spans="65:67" ht="18.75" customHeight="1">
      <c r="BM44082" s="1025"/>
      <c r="BO44082" s="43"/>
    </row>
    <row r="44083" spans="65:67" ht="18.75" customHeight="1">
      <c r="BM44083" s="1025"/>
      <c r="BO44083" s="43"/>
    </row>
    <row r="44084" spans="65:67" ht="18.75" customHeight="1">
      <c r="BM44084" s="1025"/>
      <c r="BO44084" s="43"/>
    </row>
    <row r="44085" spans="65:67" ht="18.75" customHeight="1">
      <c r="BM44085" s="1025"/>
      <c r="BO44085" s="43"/>
    </row>
    <row r="44086" spans="65:67" ht="18.75" customHeight="1">
      <c r="BM44086" s="1025"/>
      <c r="BO44086" s="43"/>
    </row>
    <row r="44087" spans="65:67" ht="18.75" customHeight="1">
      <c r="BM44087" s="1025"/>
      <c r="BO44087" s="43"/>
    </row>
    <row r="44088" spans="65:67" ht="18.75" customHeight="1">
      <c r="BM44088" s="1025"/>
      <c r="BO44088" s="43"/>
    </row>
    <row r="44089" spans="65:67" ht="18.75" customHeight="1">
      <c r="BM44089" s="1025"/>
      <c r="BO44089" s="43"/>
    </row>
    <row r="44090" spans="65:67" ht="18.75" customHeight="1">
      <c r="BM44090" s="1025"/>
      <c r="BO44090" s="43"/>
    </row>
    <row r="44091" spans="65:67" ht="18.75" customHeight="1">
      <c r="BM44091" s="1025"/>
      <c r="BO44091" s="43"/>
    </row>
    <row r="44092" spans="65:67" ht="18.75" customHeight="1">
      <c r="BM44092" s="1025"/>
      <c r="BO44092" s="43"/>
    </row>
    <row r="44093" spans="65:67" ht="18.75" customHeight="1">
      <c r="BM44093" s="1025"/>
      <c r="BO44093" s="43"/>
    </row>
    <row r="44094" spans="65:67" ht="18.75" customHeight="1">
      <c r="BM44094" s="1025"/>
      <c r="BO44094" s="43"/>
    </row>
    <row r="44095" spans="65:67" ht="18.75" customHeight="1">
      <c r="BM44095" s="1025"/>
      <c r="BO44095" s="43"/>
    </row>
    <row r="44096" spans="65:67" ht="18.75" customHeight="1">
      <c r="BM44096" s="1025"/>
      <c r="BO44096" s="43"/>
    </row>
    <row r="44097" spans="65:67" ht="18.75" customHeight="1">
      <c r="BM44097" s="1025"/>
      <c r="BO44097" s="43"/>
    </row>
    <row r="44098" spans="65:67" ht="18.75" customHeight="1">
      <c r="BM44098" s="1025"/>
      <c r="BO44098" s="43"/>
    </row>
    <row r="44099" spans="65:67" ht="18.75" customHeight="1">
      <c r="BM44099" s="1025"/>
      <c r="BO44099" s="43"/>
    </row>
    <row r="44100" spans="65:67" ht="18.75" customHeight="1">
      <c r="BM44100" s="1025"/>
      <c r="BO44100" s="43"/>
    </row>
    <row r="44101" spans="65:67" ht="18.75" customHeight="1">
      <c r="BM44101" s="1025"/>
      <c r="BO44101" s="43"/>
    </row>
    <row r="44102" spans="65:67" ht="18.75" customHeight="1">
      <c r="BM44102" s="1025"/>
      <c r="BO44102" s="43"/>
    </row>
    <row r="44103" spans="65:67" ht="18.75" customHeight="1">
      <c r="BM44103" s="1025"/>
      <c r="BO44103" s="43"/>
    </row>
    <row r="44104" spans="65:67" ht="18.75" customHeight="1">
      <c r="BM44104" s="1025"/>
      <c r="BO44104" s="43"/>
    </row>
    <row r="44105" spans="65:67" ht="18.75" customHeight="1">
      <c r="BM44105" s="1025"/>
      <c r="BO44105" s="43"/>
    </row>
    <row r="44106" spans="65:67" ht="18.75" customHeight="1">
      <c r="BM44106" s="1025"/>
      <c r="BO44106" s="43"/>
    </row>
    <row r="44107" spans="65:67" ht="18.75" customHeight="1">
      <c r="BM44107" s="1025"/>
      <c r="BO44107" s="43"/>
    </row>
    <row r="44108" spans="65:67" ht="18.75" customHeight="1">
      <c r="BM44108" s="1025"/>
      <c r="BO44108" s="43"/>
    </row>
    <row r="44109" spans="65:67" ht="18.75" customHeight="1">
      <c r="BM44109" s="1025"/>
      <c r="BO44109" s="43"/>
    </row>
    <row r="44110" spans="65:67" ht="18.75" customHeight="1">
      <c r="BM44110" s="1025"/>
      <c r="BO44110" s="43"/>
    </row>
    <row r="44111" spans="65:67" ht="18.75" customHeight="1">
      <c r="BM44111" s="1025"/>
      <c r="BO44111" s="43"/>
    </row>
    <row r="44112" spans="65:67" ht="18.75" customHeight="1">
      <c r="BM44112" s="1025"/>
      <c r="BO44112" s="43"/>
    </row>
    <row r="44113" spans="65:67" ht="18.75" customHeight="1">
      <c r="BM44113" s="1025"/>
      <c r="BO44113" s="43"/>
    </row>
    <row r="44114" spans="65:67" ht="18.75" customHeight="1">
      <c r="BM44114" s="1025"/>
      <c r="BO44114" s="43"/>
    </row>
    <row r="44115" spans="65:67" ht="18.75" customHeight="1">
      <c r="BM44115" s="1025"/>
      <c r="BO44115" s="43"/>
    </row>
    <row r="44116" spans="65:67" ht="18.75" customHeight="1">
      <c r="BM44116" s="1025"/>
      <c r="BO44116" s="43"/>
    </row>
    <row r="44117" spans="65:67" ht="18.75" customHeight="1">
      <c r="BM44117" s="1025"/>
      <c r="BO44117" s="43"/>
    </row>
    <row r="44118" spans="65:67" ht="18.75" customHeight="1">
      <c r="BM44118" s="1025"/>
      <c r="BO44118" s="43"/>
    </row>
    <row r="44119" spans="65:67" ht="18.75" customHeight="1">
      <c r="BM44119" s="1025"/>
      <c r="BO44119" s="43"/>
    </row>
    <row r="44120" spans="65:67" ht="18.75" customHeight="1">
      <c r="BM44120" s="1025"/>
      <c r="BO44120" s="43"/>
    </row>
    <row r="44121" spans="65:67" ht="18.75" customHeight="1">
      <c r="BM44121" s="1025"/>
      <c r="BO44121" s="43"/>
    </row>
    <row r="44122" spans="65:67" ht="18.75" customHeight="1">
      <c r="BM44122" s="1025"/>
      <c r="BO44122" s="43"/>
    </row>
    <row r="44123" spans="65:67" ht="18.75" customHeight="1">
      <c r="BM44123" s="1025"/>
      <c r="BO44123" s="43"/>
    </row>
    <row r="44124" spans="65:67" ht="18.75" customHeight="1">
      <c r="BM44124" s="1025"/>
      <c r="BO44124" s="43"/>
    </row>
    <row r="44125" spans="65:67" ht="18.75" customHeight="1">
      <c r="BM44125" s="1025"/>
      <c r="BO44125" s="43"/>
    </row>
    <row r="44126" spans="65:67" ht="18.75" customHeight="1">
      <c r="BM44126" s="1025"/>
      <c r="BO44126" s="43"/>
    </row>
    <row r="44127" spans="65:67" ht="18.75" customHeight="1">
      <c r="BM44127" s="1025"/>
      <c r="BO44127" s="43"/>
    </row>
    <row r="44128" spans="65:67" ht="18.75" customHeight="1">
      <c r="BM44128" s="1025"/>
      <c r="BO44128" s="43"/>
    </row>
    <row r="44129" spans="65:67" ht="18.75" customHeight="1">
      <c r="BM44129" s="1025"/>
      <c r="BO44129" s="43"/>
    </row>
    <row r="44130" spans="65:67" ht="18.75" customHeight="1">
      <c r="BM44130" s="1025"/>
      <c r="BO44130" s="43"/>
    </row>
    <row r="44131" spans="65:67" ht="18.75" customHeight="1">
      <c r="BM44131" s="1025"/>
      <c r="BO44131" s="43"/>
    </row>
    <row r="44132" spans="65:67" ht="18.75" customHeight="1">
      <c r="BM44132" s="1025"/>
      <c r="BO44132" s="43"/>
    </row>
    <row r="44133" spans="65:67" ht="18.75" customHeight="1">
      <c r="BM44133" s="1025"/>
      <c r="BO44133" s="43"/>
    </row>
    <row r="44134" spans="65:67" ht="18.75" customHeight="1">
      <c r="BM44134" s="1025"/>
      <c r="BO44134" s="43"/>
    </row>
    <row r="44135" spans="65:67" ht="18.75" customHeight="1">
      <c r="BM44135" s="1025"/>
      <c r="BO44135" s="43"/>
    </row>
    <row r="44136" spans="65:67" ht="18.75" customHeight="1">
      <c r="BM44136" s="1025"/>
      <c r="BO44136" s="43"/>
    </row>
    <row r="44137" spans="65:67" ht="18.75" customHeight="1">
      <c r="BM44137" s="1025"/>
      <c r="BO44137" s="43"/>
    </row>
    <row r="44138" spans="65:67" ht="18.75" customHeight="1">
      <c r="BM44138" s="1025"/>
      <c r="BO44138" s="43"/>
    </row>
    <row r="44139" spans="65:67" ht="18.75" customHeight="1">
      <c r="BM44139" s="1025"/>
      <c r="BO44139" s="43"/>
    </row>
    <row r="44140" spans="65:67" ht="18.75" customHeight="1">
      <c r="BM44140" s="1025"/>
      <c r="BO44140" s="43"/>
    </row>
    <row r="44141" spans="65:67" ht="18.75" customHeight="1">
      <c r="BM44141" s="1025"/>
      <c r="BO44141" s="43"/>
    </row>
    <row r="44142" spans="65:67" ht="18.75" customHeight="1">
      <c r="BM44142" s="1025"/>
      <c r="BO44142" s="43"/>
    </row>
    <row r="44143" spans="65:67" ht="18.75" customHeight="1">
      <c r="BM44143" s="1025"/>
      <c r="BO44143" s="43"/>
    </row>
    <row r="44144" spans="65:67" ht="18.75" customHeight="1">
      <c r="BM44144" s="1025"/>
      <c r="BO44144" s="43"/>
    </row>
    <row r="44145" spans="65:67" ht="18.75" customHeight="1">
      <c r="BM44145" s="1025"/>
      <c r="BO44145" s="43"/>
    </row>
    <row r="44146" spans="65:67" ht="18.75" customHeight="1">
      <c r="BM44146" s="1025"/>
      <c r="BO44146" s="43"/>
    </row>
    <row r="44147" spans="65:67" ht="18.75" customHeight="1">
      <c r="BM44147" s="1025"/>
      <c r="BO44147" s="43"/>
    </row>
    <row r="44148" spans="65:67" ht="18.75" customHeight="1">
      <c r="BM44148" s="1025"/>
      <c r="BO44148" s="43"/>
    </row>
    <row r="44149" spans="65:67" ht="18.75" customHeight="1">
      <c r="BM44149" s="1025"/>
      <c r="BO44149" s="43"/>
    </row>
    <row r="44150" spans="65:67" ht="18.75" customHeight="1">
      <c r="BM44150" s="1025"/>
      <c r="BO44150" s="43"/>
    </row>
    <row r="44151" spans="65:67" ht="18.75" customHeight="1">
      <c r="BM44151" s="1025"/>
      <c r="BO44151" s="43"/>
    </row>
    <row r="44152" spans="65:67" ht="18.75" customHeight="1">
      <c r="BM44152" s="1025"/>
      <c r="BO44152" s="43"/>
    </row>
    <row r="44153" spans="65:67" ht="18.75" customHeight="1">
      <c r="BM44153" s="1025"/>
      <c r="BO44153" s="43"/>
    </row>
    <row r="44154" spans="65:67" ht="18.75" customHeight="1">
      <c r="BM44154" s="1025"/>
      <c r="BO44154" s="43"/>
    </row>
    <row r="44155" spans="65:67" ht="18.75" customHeight="1">
      <c r="BM44155" s="1025"/>
      <c r="BO44155" s="43"/>
    </row>
    <row r="44156" spans="65:67" ht="18.75" customHeight="1">
      <c r="BM44156" s="1025"/>
      <c r="BO44156" s="43"/>
    </row>
    <row r="44157" spans="65:67" ht="18.75" customHeight="1">
      <c r="BM44157" s="1025"/>
      <c r="BO44157" s="43"/>
    </row>
    <row r="44158" spans="65:67" ht="18.75" customHeight="1">
      <c r="BM44158" s="1025"/>
      <c r="BO44158" s="43"/>
    </row>
    <row r="44159" spans="65:67" ht="18.75" customHeight="1">
      <c r="BM44159" s="1025"/>
      <c r="BO44159" s="43"/>
    </row>
    <row r="44160" spans="65:67" ht="18.75" customHeight="1">
      <c r="BM44160" s="1025"/>
      <c r="BO44160" s="43"/>
    </row>
    <row r="44161" spans="65:67" ht="18.75" customHeight="1">
      <c r="BM44161" s="1025"/>
      <c r="BO44161" s="43"/>
    </row>
    <row r="44162" spans="65:67" ht="18.75" customHeight="1">
      <c r="BM44162" s="1025"/>
      <c r="BO44162" s="43"/>
    </row>
    <row r="44163" spans="65:67" ht="18.75" customHeight="1">
      <c r="BM44163" s="1025"/>
      <c r="BO44163" s="43"/>
    </row>
    <row r="44164" spans="65:67" ht="18.75" customHeight="1">
      <c r="BM44164" s="1025"/>
      <c r="BO44164" s="43"/>
    </row>
    <row r="44165" spans="65:67" ht="18.75" customHeight="1">
      <c r="BM44165" s="1025"/>
      <c r="BO44165" s="43"/>
    </row>
    <row r="44166" spans="65:67" ht="18.75" customHeight="1">
      <c r="BM44166" s="1025"/>
      <c r="BO44166" s="43"/>
    </row>
    <row r="44167" spans="65:67" ht="18.75" customHeight="1">
      <c r="BM44167" s="1025"/>
      <c r="BO44167" s="43"/>
    </row>
    <row r="44168" spans="65:67" ht="18.75" customHeight="1">
      <c r="BM44168" s="1025"/>
      <c r="BO44168" s="43"/>
    </row>
    <row r="44169" spans="65:67" ht="18.75" customHeight="1">
      <c r="BM44169" s="1025"/>
      <c r="BO44169" s="43"/>
    </row>
    <row r="44170" spans="65:67" ht="18.75" customHeight="1">
      <c r="BM44170" s="1025"/>
      <c r="BO44170" s="43"/>
    </row>
    <row r="44171" spans="65:67" ht="18.75" customHeight="1">
      <c r="BM44171" s="1025"/>
      <c r="BO44171" s="43"/>
    </row>
    <row r="44172" spans="65:67" ht="18.75" customHeight="1">
      <c r="BM44172" s="1025"/>
      <c r="BO44172" s="43"/>
    </row>
    <row r="44173" spans="65:67" ht="18.75" customHeight="1">
      <c r="BM44173" s="1025"/>
      <c r="BO44173" s="43"/>
    </row>
    <row r="44174" spans="65:67" ht="18.75" customHeight="1">
      <c r="BM44174" s="1025"/>
      <c r="BO44174" s="43"/>
    </row>
    <row r="44175" spans="65:67" ht="18.75" customHeight="1">
      <c r="BM44175" s="1025"/>
      <c r="BO44175" s="43"/>
    </row>
    <row r="44176" spans="65:67" ht="18.75" customHeight="1">
      <c r="BM44176" s="1025"/>
      <c r="BO44176" s="43"/>
    </row>
    <row r="44177" spans="65:67" ht="18.75" customHeight="1">
      <c r="BM44177" s="1025"/>
      <c r="BO44177" s="43"/>
    </row>
    <row r="44178" spans="65:67" ht="18.75" customHeight="1">
      <c r="BM44178" s="1025"/>
      <c r="BO44178" s="43"/>
    </row>
    <row r="44179" spans="65:67" ht="18.75" customHeight="1">
      <c r="BM44179" s="1025"/>
      <c r="BO44179" s="43"/>
    </row>
    <row r="44180" spans="65:67" ht="18.75" customHeight="1">
      <c r="BM44180" s="1025"/>
      <c r="BO44180" s="43"/>
    </row>
    <row r="44181" spans="65:67" ht="18.75" customHeight="1">
      <c r="BM44181" s="1025"/>
      <c r="BO44181" s="43"/>
    </row>
    <row r="44182" spans="65:67" ht="18.75" customHeight="1">
      <c r="BM44182" s="1025"/>
      <c r="BO44182" s="43"/>
    </row>
    <row r="44183" spans="65:67" ht="18.75" customHeight="1">
      <c r="BM44183" s="1025"/>
      <c r="BO44183" s="43"/>
    </row>
    <row r="44184" spans="65:67" ht="18.75" customHeight="1">
      <c r="BM44184" s="1025"/>
      <c r="BO44184" s="43"/>
    </row>
    <row r="44185" spans="65:67" ht="18.75" customHeight="1">
      <c r="BM44185" s="1025"/>
      <c r="BO44185" s="43"/>
    </row>
    <row r="44186" spans="65:67" ht="18.75" customHeight="1">
      <c r="BM44186" s="1025"/>
      <c r="BO44186" s="43"/>
    </row>
    <row r="44187" spans="65:67" ht="18.75" customHeight="1">
      <c r="BM44187" s="1025"/>
      <c r="BO44187" s="43"/>
    </row>
    <row r="44188" spans="65:67" ht="18.75" customHeight="1">
      <c r="BM44188" s="1025"/>
      <c r="BO44188" s="43"/>
    </row>
    <row r="44189" spans="65:67" ht="18.75" customHeight="1">
      <c r="BM44189" s="1025"/>
      <c r="BO44189" s="43"/>
    </row>
    <row r="44190" spans="65:67" ht="18.75" customHeight="1">
      <c r="BM44190" s="1025"/>
      <c r="BO44190" s="43"/>
    </row>
    <row r="44191" spans="65:67" ht="18.75" customHeight="1">
      <c r="BM44191" s="1025"/>
      <c r="BO44191" s="43"/>
    </row>
    <row r="44192" spans="65:67" ht="18.75" customHeight="1">
      <c r="BM44192" s="1025"/>
      <c r="BO44192" s="43"/>
    </row>
    <row r="44193" spans="65:67" ht="18.75" customHeight="1">
      <c r="BM44193" s="1025"/>
      <c r="BO44193" s="43"/>
    </row>
    <row r="44194" spans="65:67" ht="18.75" customHeight="1">
      <c r="BM44194" s="1025"/>
      <c r="BO44194" s="43"/>
    </row>
    <row r="44195" spans="65:67" ht="18.75" customHeight="1">
      <c r="BM44195" s="1025"/>
      <c r="BO44195" s="43"/>
    </row>
    <row r="44196" spans="65:67" ht="18.75" customHeight="1">
      <c r="BM44196" s="1025"/>
      <c r="BO44196" s="43"/>
    </row>
    <row r="44197" spans="65:67" ht="18.75" customHeight="1">
      <c r="BM44197" s="1025"/>
      <c r="BO44197" s="43"/>
    </row>
    <row r="44198" spans="65:67" ht="18.75" customHeight="1">
      <c r="BM44198" s="1025"/>
      <c r="BO44198" s="43"/>
    </row>
    <row r="44199" spans="65:67" ht="18.75" customHeight="1">
      <c r="BM44199" s="1025"/>
      <c r="BO44199" s="43"/>
    </row>
    <row r="44200" spans="65:67" ht="18.75" customHeight="1">
      <c r="BM44200" s="1025"/>
      <c r="BO44200" s="43"/>
    </row>
    <row r="44201" spans="65:67" ht="18.75" customHeight="1">
      <c r="BM44201" s="1025"/>
      <c r="BO44201" s="43"/>
    </row>
    <row r="44202" spans="65:67" ht="18.75" customHeight="1">
      <c r="BM44202" s="1025"/>
      <c r="BO44202" s="43"/>
    </row>
    <row r="44203" spans="65:67" ht="18.75" customHeight="1">
      <c r="BM44203" s="1025"/>
      <c r="BO44203" s="43"/>
    </row>
    <row r="44204" spans="65:67" ht="18.75" customHeight="1">
      <c r="BM44204" s="1025"/>
      <c r="BO44204" s="43"/>
    </row>
    <row r="44205" spans="65:67" ht="18.75" customHeight="1">
      <c r="BM44205" s="1025"/>
      <c r="BO44205" s="43"/>
    </row>
    <row r="44206" spans="65:67" ht="18.75" customHeight="1">
      <c r="BM44206" s="1025"/>
      <c r="BO44206" s="43"/>
    </row>
    <row r="44207" spans="65:67" ht="18.75" customHeight="1">
      <c r="BM44207" s="1025"/>
      <c r="BO44207" s="43"/>
    </row>
    <row r="44208" spans="65:67" ht="18.75" customHeight="1">
      <c r="BM44208" s="1025"/>
      <c r="BO44208" s="43"/>
    </row>
    <row r="44209" spans="65:67" ht="18.75" customHeight="1">
      <c r="BM44209" s="1025"/>
      <c r="BO44209" s="43"/>
    </row>
    <row r="44210" spans="65:67" ht="18.75" customHeight="1">
      <c r="BM44210" s="1025"/>
      <c r="BO44210" s="43"/>
    </row>
    <row r="44211" spans="65:67" ht="18.75" customHeight="1">
      <c r="BM44211" s="1025"/>
      <c r="BO44211" s="43"/>
    </row>
    <row r="44212" spans="65:67" ht="18.75" customHeight="1">
      <c r="BM44212" s="1025"/>
      <c r="BO44212" s="43"/>
    </row>
    <row r="44213" spans="65:67" ht="18.75" customHeight="1">
      <c r="BM44213" s="1025"/>
      <c r="BO44213" s="43"/>
    </row>
    <row r="44214" spans="65:67" ht="18.75" customHeight="1">
      <c r="BM44214" s="1025"/>
      <c r="BO44214" s="43"/>
    </row>
    <row r="44215" spans="65:67" ht="18.75" customHeight="1">
      <c r="BM44215" s="1025"/>
      <c r="BO44215" s="43"/>
    </row>
    <row r="44216" spans="65:67" ht="18.75" customHeight="1">
      <c r="BM44216" s="1025"/>
      <c r="BO44216" s="43"/>
    </row>
    <row r="44217" spans="65:67" ht="18.75" customHeight="1">
      <c r="BM44217" s="1025"/>
      <c r="BO44217" s="43"/>
    </row>
    <row r="44218" spans="65:67" ht="18.75" customHeight="1">
      <c r="BM44218" s="1025"/>
      <c r="BO44218" s="43"/>
    </row>
    <row r="44219" spans="65:67" ht="18.75" customHeight="1">
      <c r="BM44219" s="1025"/>
      <c r="BO44219" s="43"/>
    </row>
    <row r="44220" spans="65:67" ht="18.75" customHeight="1">
      <c r="BM44220" s="1025"/>
      <c r="BO44220" s="43"/>
    </row>
    <row r="44221" spans="65:67" ht="18.75" customHeight="1">
      <c r="BM44221" s="1025"/>
      <c r="BO44221" s="43"/>
    </row>
    <row r="44222" spans="65:67" ht="18.75" customHeight="1">
      <c r="BM44222" s="1025"/>
      <c r="BO44222" s="43"/>
    </row>
    <row r="44223" spans="65:67" ht="18.75" customHeight="1">
      <c r="BM44223" s="1025"/>
      <c r="BO44223" s="43"/>
    </row>
    <row r="44224" spans="65:67" ht="18.75" customHeight="1">
      <c r="BM44224" s="1025"/>
      <c r="BO44224" s="43"/>
    </row>
    <row r="44225" spans="65:67" ht="18.75" customHeight="1">
      <c r="BM44225" s="1025"/>
      <c r="BO44225" s="43"/>
    </row>
    <row r="44226" spans="65:67" ht="18.75" customHeight="1">
      <c r="BM44226" s="1025"/>
      <c r="BO44226" s="43"/>
    </row>
    <row r="44227" spans="65:67" ht="18.75" customHeight="1">
      <c r="BM44227" s="1025"/>
      <c r="BO44227" s="43"/>
    </row>
    <row r="44228" spans="65:67" ht="18.75" customHeight="1">
      <c r="BM44228" s="1025"/>
      <c r="BO44228" s="43"/>
    </row>
    <row r="44229" spans="65:67" ht="18.75" customHeight="1">
      <c r="BM44229" s="1025"/>
      <c r="BO44229" s="43"/>
    </row>
    <row r="44230" spans="65:67" ht="18.75" customHeight="1">
      <c r="BM44230" s="1025"/>
      <c r="BO44230" s="43"/>
    </row>
    <row r="44231" spans="65:67" ht="18.75" customHeight="1">
      <c r="BM44231" s="1025"/>
      <c r="BO44231" s="43"/>
    </row>
    <row r="44232" spans="65:67" ht="18.75" customHeight="1">
      <c r="BM44232" s="1025"/>
      <c r="BO44232" s="43"/>
    </row>
    <row r="44233" spans="65:67" ht="18.75" customHeight="1">
      <c r="BM44233" s="1025"/>
      <c r="BO44233" s="43"/>
    </row>
    <row r="44234" spans="65:67" ht="18.75" customHeight="1">
      <c r="BM44234" s="1025"/>
      <c r="BO44234" s="43"/>
    </row>
    <row r="44235" spans="65:67" ht="18.75" customHeight="1">
      <c r="BM44235" s="1025"/>
      <c r="BO44235" s="43"/>
    </row>
    <row r="44236" spans="65:67" ht="18.75" customHeight="1">
      <c r="BM44236" s="1025"/>
      <c r="BO44236" s="43"/>
    </row>
    <row r="44237" spans="65:67" ht="18.75" customHeight="1">
      <c r="BM44237" s="1025"/>
      <c r="BO44237" s="43"/>
    </row>
    <row r="44238" spans="65:67" ht="18.75" customHeight="1">
      <c r="BM44238" s="1025"/>
      <c r="BO44238" s="43"/>
    </row>
    <row r="44239" spans="65:67" ht="18.75" customHeight="1">
      <c r="BM44239" s="1025"/>
      <c r="BO44239" s="43"/>
    </row>
    <row r="44240" spans="65:67" ht="18.75" customHeight="1">
      <c r="BM44240" s="1025"/>
      <c r="BO44240" s="43"/>
    </row>
    <row r="44241" spans="65:67" ht="18.75" customHeight="1">
      <c r="BM44241" s="1025"/>
      <c r="BO44241" s="43"/>
    </row>
    <row r="44242" spans="65:67" ht="18.75" customHeight="1">
      <c r="BM44242" s="1025"/>
      <c r="BO44242" s="43"/>
    </row>
    <row r="44243" spans="65:67" ht="18.75" customHeight="1">
      <c r="BM44243" s="1025"/>
      <c r="BO44243" s="43"/>
    </row>
    <row r="44244" spans="65:67" ht="18.75" customHeight="1">
      <c r="BM44244" s="1025"/>
      <c r="BO44244" s="43"/>
    </row>
    <row r="44245" spans="65:67" ht="18.75" customHeight="1">
      <c r="BM44245" s="1025"/>
      <c r="BO44245" s="43"/>
    </row>
    <row r="44246" spans="65:67" ht="18.75" customHeight="1">
      <c r="BM44246" s="1025"/>
      <c r="BO44246" s="43"/>
    </row>
    <row r="44247" spans="65:67" ht="18.75" customHeight="1">
      <c r="BM44247" s="1025"/>
      <c r="BO44247" s="43"/>
    </row>
    <row r="44248" spans="65:67" ht="18.75" customHeight="1">
      <c r="BM44248" s="1025"/>
      <c r="BO44248" s="43"/>
    </row>
    <row r="44249" spans="65:67" ht="18.75" customHeight="1">
      <c r="BM44249" s="1025"/>
      <c r="BO44249" s="43"/>
    </row>
    <row r="44250" spans="65:67" ht="18.75" customHeight="1">
      <c r="BM44250" s="1025"/>
      <c r="BO44250" s="43"/>
    </row>
    <row r="44251" spans="65:67" ht="18.75" customHeight="1">
      <c r="BM44251" s="1025"/>
      <c r="BO44251" s="43"/>
    </row>
    <row r="44252" spans="65:67" ht="18.75" customHeight="1">
      <c r="BM44252" s="1025"/>
      <c r="BO44252" s="43"/>
    </row>
    <row r="44253" spans="65:67" ht="18.75" customHeight="1">
      <c r="BM44253" s="1025"/>
      <c r="BO44253" s="43"/>
    </row>
    <row r="44254" spans="65:67" ht="18.75" customHeight="1">
      <c r="BM44254" s="1025"/>
      <c r="BO44254" s="43"/>
    </row>
    <row r="44255" spans="65:67" ht="18.75" customHeight="1">
      <c r="BM44255" s="1025"/>
      <c r="BO44255" s="43"/>
    </row>
    <row r="44256" spans="65:67" ht="18.75" customHeight="1">
      <c r="BM44256" s="1025"/>
      <c r="BO44256" s="43"/>
    </row>
    <row r="44257" spans="65:67" ht="18.75" customHeight="1">
      <c r="BM44257" s="1025"/>
      <c r="BO44257" s="43"/>
    </row>
    <row r="44258" spans="65:67" ht="18.75" customHeight="1">
      <c r="BM44258" s="1025"/>
      <c r="BO44258" s="43"/>
    </row>
    <row r="44259" spans="65:67" ht="18.75" customHeight="1">
      <c r="BM44259" s="1025"/>
      <c r="BO44259" s="43"/>
    </row>
    <row r="44260" spans="65:67" ht="18.75" customHeight="1">
      <c r="BM44260" s="1025"/>
      <c r="BO44260" s="43"/>
    </row>
    <row r="44261" spans="65:67" ht="18.75" customHeight="1">
      <c r="BM44261" s="1025"/>
      <c r="BO44261" s="43"/>
    </row>
    <row r="44262" spans="65:67" ht="18.75" customHeight="1">
      <c r="BM44262" s="1025"/>
      <c r="BO44262" s="43"/>
    </row>
    <row r="44263" spans="65:67" ht="18.75" customHeight="1">
      <c r="BM44263" s="1025"/>
      <c r="BO44263" s="43"/>
    </row>
    <row r="44264" spans="65:67" ht="18.75" customHeight="1">
      <c r="BM44264" s="1025"/>
      <c r="BO44264" s="43"/>
    </row>
    <row r="44265" spans="65:67" ht="18.75" customHeight="1">
      <c r="BM44265" s="1025"/>
      <c r="BO44265" s="43"/>
    </row>
    <row r="44266" spans="65:67" ht="18.75" customHeight="1">
      <c r="BM44266" s="1025"/>
      <c r="BO44266" s="43"/>
    </row>
    <row r="44267" spans="65:67" ht="18.75" customHeight="1">
      <c r="BM44267" s="1025"/>
      <c r="BO44267" s="43"/>
    </row>
    <row r="44268" spans="65:67" ht="18.75" customHeight="1">
      <c r="BM44268" s="1025"/>
      <c r="BO44268" s="43"/>
    </row>
    <row r="44269" spans="65:67" ht="18.75" customHeight="1">
      <c r="BM44269" s="1025"/>
      <c r="BO44269" s="43"/>
    </row>
    <row r="44270" spans="65:67" ht="18.75" customHeight="1">
      <c r="BM44270" s="1025"/>
      <c r="BO44270" s="43"/>
    </row>
    <row r="44271" spans="65:67" ht="18.75" customHeight="1">
      <c r="BM44271" s="1025"/>
      <c r="BO44271" s="43"/>
    </row>
    <row r="44272" spans="65:67" ht="18.75" customHeight="1">
      <c r="BM44272" s="1025"/>
      <c r="BO44272" s="43"/>
    </row>
    <row r="44273" spans="65:67" ht="18.75" customHeight="1">
      <c r="BM44273" s="1025"/>
      <c r="BO44273" s="43"/>
    </row>
    <row r="44274" spans="65:67" ht="18.75" customHeight="1">
      <c r="BM44274" s="1025"/>
      <c r="BO44274" s="43"/>
    </row>
    <row r="44275" spans="65:67" ht="18.75" customHeight="1">
      <c r="BM44275" s="1025"/>
      <c r="BO44275" s="43"/>
    </row>
    <row r="44276" spans="65:67" ht="18.75" customHeight="1">
      <c r="BM44276" s="1025"/>
      <c r="BO44276" s="43"/>
    </row>
    <row r="44277" spans="65:67" ht="18.75" customHeight="1">
      <c r="BM44277" s="1025"/>
      <c r="BO44277" s="43"/>
    </row>
    <row r="44278" spans="65:67" ht="18.75" customHeight="1">
      <c r="BM44278" s="1025"/>
      <c r="BO44278" s="43"/>
    </row>
    <row r="44279" spans="65:67" ht="18.75" customHeight="1">
      <c r="BM44279" s="1025"/>
      <c r="BO44279" s="43"/>
    </row>
    <row r="44280" spans="65:67" ht="18.75" customHeight="1">
      <c r="BM44280" s="1025"/>
      <c r="BO44280" s="43"/>
    </row>
    <row r="44281" spans="65:67" ht="18.75" customHeight="1">
      <c r="BM44281" s="1025"/>
      <c r="BO44281" s="43"/>
    </row>
    <row r="44282" spans="65:67" ht="18.75" customHeight="1">
      <c r="BM44282" s="1025"/>
      <c r="BO44282" s="43"/>
    </row>
    <row r="44283" spans="65:67" ht="18.75" customHeight="1">
      <c r="BM44283" s="1025"/>
      <c r="BO44283" s="43"/>
    </row>
    <row r="44284" spans="65:67" ht="18.75" customHeight="1">
      <c r="BM44284" s="1025"/>
      <c r="BO44284" s="43"/>
    </row>
    <row r="44285" spans="65:67" ht="18.75" customHeight="1">
      <c r="BM44285" s="1025"/>
      <c r="BO44285" s="43"/>
    </row>
    <row r="44286" spans="65:67" ht="18.75" customHeight="1">
      <c r="BM44286" s="1025"/>
      <c r="BO44286" s="43"/>
    </row>
    <row r="44287" spans="65:67" ht="18.75" customHeight="1">
      <c r="BM44287" s="1025"/>
      <c r="BO44287" s="43"/>
    </row>
    <row r="44288" spans="65:67" ht="18.75" customHeight="1">
      <c r="BM44288" s="1025"/>
      <c r="BO44288" s="43"/>
    </row>
    <row r="44289" spans="65:67" ht="18.75" customHeight="1">
      <c r="BM44289" s="1025"/>
      <c r="BO44289" s="43"/>
    </row>
    <row r="44290" spans="65:67" ht="18.75" customHeight="1">
      <c r="BM44290" s="1025"/>
      <c r="BO44290" s="43"/>
    </row>
    <row r="44291" spans="65:67" ht="18.75" customHeight="1">
      <c r="BM44291" s="1025"/>
      <c r="BO44291" s="43"/>
    </row>
    <row r="44292" spans="65:67" ht="18.75" customHeight="1">
      <c r="BM44292" s="1025"/>
      <c r="BO44292" s="43"/>
    </row>
    <row r="44293" spans="65:67" ht="18.75" customHeight="1">
      <c r="BM44293" s="1025"/>
      <c r="BO44293" s="43"/>
    </row>
    <row r="44294" spans="65:67" ht="18.75" customHeight="1">
      <c r="BM44294" s="1025"/>
      <c r="BO44294" s="43"/>
    </row>
    <row r="44295" spans="65:67" ht="18.75" customHeight="1">
      <c r="BM44295" s="1025"/>
      <c r="BO44295" s="43"/>
    </row>
    <row r="44296" spans="65:67" ht="18.75" customHeight="1">
      <c r="BM44296" s="1025"/>
      <c r="BO44296" s="43"/>
    </row>
    <row r="44297" spans="65:67" ht="18.75" customHeight="1">
      <c r="BM44297" s="1025"/>
      <c r="BO44297" s="43"/>
    </row>
    <row r="44298" spans="65:67" ht="18.75" customHeight="1">
      <c r="BM44298" s="1025"/>
      <c r="BO44298" s="43"/>
    </row>
    <row r="44299" spans="65:67" ht="18.75" customHeight="1">
      <c r="BM44299" s="1025"/>
      <c r="BO44299" s="43"/>
    </row>
    <row r="44300" spans="65:67" ht="18.75" customHeight="1">
      <c r="BM44300" s="1025"/>
      <c r="BO44300" s="43"/>
    </row>
    <row r="44301" spans="65:67" ht="18.75" customHeight="1">
      <c r="BM44301" s="1025"/>
      <c r="BO44301" s="43"/>
    </row>
    <row r="44302" spans="65:67" ht="18.75" customHeight="1">
      <c r="BM44302" s="1025"/>
      <c r="BO44302" s="43"/>
    </row>
    <row r="44303" spans="65:67" ht="18.75" customHeight="1">
      <c r="BM44303" s="1025"/>
      <c r="BO44303" s="43"/>
    </row>
    <row r="44304" spans="65:67" ht="18.75" customHeight="1">
      <c r="BM44304" s="1025"/>
      <c r="BO44304" s="43"/>
    </row>
    <row r="44305" spans="65:67" ht="18.75" customHeight="1">
      <c r="BM44305" s="1025"/>
      <c r="BO44305" s="43"/>
    </row>
    <row r="44306" spans="65:67" ht="18.75" customHeight="1">
      <c r="BM44306" s="1025"/>
      <c r="BO44306" s="43"/>
    </row>
    <row r="44307" spans="65:67" ht="18.75" customHeight="1">
      <c r="BM44307" s="1025"/>
      <c r="BO44307" s="43"/>
    </row>
    <row r="44308" spans="65:67" ht="18.75" customHeight="1">
      <c r="BM44308" s="1025"/>
      <c r="BO44308" s="43"/>
    </row>
    <row r="44309" spans="65:67" ht="18.75" customHeight="1">
      <c r="BM44309" s="1025"/>
      <c r="BO44309" s="43"/>
    </row>
    <row r="44310" spans="65:67" ht="18.75" customHeight="1">
      <c r="BM44310" s="1025"/>
      <c r="BO44310" s="43"/>
    </row>
    <row r="44311" spans="65:67" ht="18.75" customHeight="1">
      <c r="BM44311" s="1025"/>
      <c r="BO44311" s="43"/>
    </row>
    <row r="44312" spans="65:67" ht="18.75" customHeight="1">
      <c r="BM44312" s="1025"/>
      <c r="BO44312" s="43"/>
    </row>
    <row r="44313" spans="65:67" ht="18.75" customHeight="1">
      <c r="BM44313" s="1025"/>
      <c r="BO44313" s="43"/>
    </row>
    <row r="44314" spans="65:67" ht="18.75" customHeight="1">
      <c r="BM44314" s="1025"/>
      <c r="BO44314" s="43"/>
    </row>
    <row r="44315" spans="65:67" ht="18.75" customHeight="1">
      <c r="BM44315" s="1025"/>
      <c r="BO44315" s="43"/>
    </row>
    <row r="44316" spans="65:67" ht="18.75" customHeight="1">
      <c r="BM44316" s="1025"/>
      <c r="BO44316" s="43"/>
    </row>
    <row r="44317" spans="65:67" ht="18.75" customHeight="1">
      <c r="BM44317" s="1025"/>
      <c r="BO44317" s="43"/>
    </row>
    <row r="44318" spans="65:67" ht="18.75" customHeight="1">
      <c r="BM44318" s="1025"/>
      <c r="BO44318" s="43"/>
    </row>
    <row r="44319" spans="65:67" ht="18.75" customHeight="1">
      <c r="BM44319" s="1025"/>
      <c r="BO44319" s="43"/>
    </row>
    <row r="44320" spans="65:67" ht="18.75" customHeight="1">
      <c r="BM44320" s="1025"/>
      <c r="BO44320" s="43"/>
    </row>
    <row r="44321" spans="65:67" ht="18.75" customHeight="1">
      <c r="BM44321" s="1025"/>
      <c r="BO44321" s="43"/>
    </row>
    <row r="44322" spans="65:67" ht="18.75" customHeight="1">
      <c r="BM44322" s="1025"/>
      <c r="BO44322" s="43"/>
    </row>
    <row r="44323" spans="65:67" ht="18.75" customHeight="1">
      <c r="BM44323" s="1025"/>
      <c r="BO44323" s="43"/>
    </row>
    <row r="44324" spans="65:67" ht="18.75" customHeight="1">
      <c r="BM44324" s="1025"/>
      <c r="BO44324" s="43"/>
    </row>
    <row r="44325" spans="65:67" ht="18.75" customHeight="1">
      <c r="BM44325" s="1025"/>
      <c r="BO44325" s="43"/>
    </row>
    <row r="44326" spans="65:67" ht="18.75" customHeight="1">
      <c r="BM44326" s="1025"/>
      <c r="BO44326" s="43"/>
    </row>
    <row r="44327" spans="65:67" ht="18.75" customHeight="1">
      <c r="BM44327" s="1025"/>
      <c r="BO44327" s="43"/>
    </row>
    <row r="44328" spans="65:67" ht="18.75" customHeight="1">
      <c r="BM44328" s="1025"/>
      <c r="BO44328" s="43"/>
    </row>
    <row r="44329" spans="65:67" ht="18.75" customHeight="1">
      <c r="BM44329" s="1025"/>
      <c r="BO44329" s="43"/>
    </row>
    <row r="44330" spans="65:67" ht="18.75" customHeight="1">
      <c r="BM44330" s="1025"/>
      <c r="BO44330" s="43"/>
    </row>
    <row r="44331" spans="65:67" ht="18.75" customHeight="1">
      <c r="BM44331" s="1025"/>
      <c r="BO44331" s="43"/>
    </row>
    <row r="44332" spans="65:67" ht="18.75" customHeight="1">
      <c r="BM44332" s="1025"/>
      <c r="BO44332" s="43"/>
    </row>
    <row r="44333" spans="65:67" ht="18.75" customHeight="1">
      <c r="BM44333" s="1025"/>
      <c r="BO44333" s="43"/>
    </row>
    <row r="44334" spans="65:67" ht="18.75" customHeight="1">
      <c r="BM44334" s="1025"/>
      <c r="BO44334" s="43"/>
    </row>
    <row r="44335" spans="65:67" ht="18.75" customHeight="1">
      <c r="BM44335" s="1025"/>
      <c r="BO44335" s="43"/>
    </row>
    <row r="44336" spans="65:67" ht="18.75" customHeight="1">
      <c r="BM44336" s="1025"/>
      <c r="BO44336" s="43"/>
    </row>
    <row r="44337" spans="65:67" ht="18.75" customHeight="1">
      <c r="BM44337" s="1025"/>
      <c r="BO44337" s="43"/>
    </row>
    <row r="44338" spans="65:67" ht="18.75" customHeight="1">
      <c r="BM44338" s="1025"/>
      <c r="BO44338" s="43"/>
    </row>
    <row r="44339" spans="65:67" ht="18.75" customHeight="1">
      <c r="BM44339" s="1025"/>
      <c r="BO44339" s="43"/>
    </row>
    <row r="44340" spans="65:67" ht="18.75" customHeight="1">
      <c r="BM44340" s="1025"/>
      <c r="BO44340" s="43"/>
    </row>
    <row r="44341" spans="65:67" ht="18.75" customHeight="1">
      <c r="BM44341" s="1025"/>
      <c r="BO44341" s="43"/>
    </row>
    <row r="44342" spans="65:67" ht="18.75" customHeight="1">
      <c r="BM44342" s="1025"/>
      <c r="BO44342" s="43"/>
    </row>
    <row r="44343" spans="65:67" ht="18.75" customHeight="1">
      <c r="BM44343" s="1025"/>
      <c r="BO44343" s="43"/>
    </row>
    <row r="44344" spans="65:67" ht="18.75" customHeight="1">
      <c r="BM44344" s="1025"/>
      <c r="BO44344" s="43"/>
    </row>
    <row r="44345" spans="65:67" ht="18.75" customHeight="1">
      <c r="BM44345" s="1025"/>
      <c r="BO44345" s="43"/>
    </row>
    <row r="44346" spans="65:67" ht="18.75" customHeight="1">
      <c r="BM44346" s="1025"/>
      <c r="BO44346" s="43"/>
    </row>
    <row r="44347" spans="65:67" ht="18.75" customHeight="1">
      <c r="BM44347" s="1025"/>
      <c r="BO44347" s="43"/>
    </row>
    <row r="44348" spans="65:67" ht="18.75" customHeight="1">
      <c r="BM44348" s="1025"/>
      <c r="BO44348" s="43"/>
    </row>
    <row r="44349" spans="65:67" ht="18.75" customHeight="1">
      <c r="BM44349" s="1025"/>
      <c r="BO44349" s="43"/>
    </row>
    <row r="44350" spans="65:67" ht="18.75" customHeight="1">
      <c r="BM44350" s="1025"/>
      <c r="BO44350" s="43"/>
    </row>
    <row r="44351" spans="65:67" ht="18.75" customHeight="1">
      <c r="BM44351" s="1025"/>
      <c r="BO44351" s="43"/>
    </row>
    <row r="44352" spans="65:67" ht="18.75" customHeight="1">
      <c r="BM44352" s="1025"/>
      <c r="BO44352" s="43"/>
    </row>
    <row r="44353" spans="65:67" ht="18.75" customHeight="1">
      <c r="BM44353" s="1025"/>
      <c r="BO44353" s="43"/>
    </row>
    <row r="44354" spans="65:67" ht="18.75" customHeight="1">
      <c r="BM44354" s="1025"/>
      <c r="BO44354" s="43"/>
    </row>
    <row r="44355" spans="65:67" ht="18.75" customHeight="1">
      <c r="BM44355" s="1025"/>
      <c r="BO44355" s="43"/>
    </row>
    <row r="44356" spans="65:67" ht="18.75" customHeight="1">
      <c r="BM44356" s="1025"/>
      <c r="BO44356" s="43"/>
    </row>
    <row r="44357" spans="65:67" ht="18.75" customHeight="1">
      <c r="BM44357" s="1025"/>
      <c r="BO44357" s="43"/>
    </row>
    <row r="44358" spans="65:67" ht="18.75" customHeight="1">
      <c r="BM44358" s="1025"/>
      <c r="BO44358" s="43"/>
    </row>
    <row r="44359" spans="65:67" ht="18.75" customHeight="1">
      <c r="BM44359" s="1025"/>
      <c r="BO44359" s="43"/>
    </row>
    <row r="44360" spans="65:67" ht="18.75" customHeight="1">
      <c r="BM44360" s="1025"/>
      <c r="BO44360" s="43"/>
    </row>
    <row r="44361" spans="65:67" ht="18.75" customHeight="1">
      <c r="BM44361" s="1025"/>
      <c r="BO44361" s="43"/>
    </row>
    <row r="44362" spans="65:67" ht="18.75" customHeight="1">
      <c r="BM44362" s="1025"/>
      <c r="BO44362" s="43"/>
    </row>
    <row r="44363" spans="65:67" ht="18.75" customHeight="1">
      <c r="BM44363" s="1025"/>
      <c r="BO44363" s="43"/>
    </row>
    <row r="44364" spans="65:67" ht="18.75" customHeight="1">
      <c r="BM44364" s="1025"/>
      <c r="BO44364" s="43"/>
    </row>
    <row r="44365" spans="65:67" ht="18.75" customHeight="1">
      <c r="BM44365" s="1025"/>
      <c r="BO44365" s="43"/>
    </row>
    <row r="44366" spans="65:67" ht="18.75" customHeight="1">
      <c r="BM44366" s="1025"/>
      <c r="BO44366" s="43"/>
    </row>
    <row r="44367" spans="65:67" ht="18.75" customHeight="1">
      <c r="BM44367" s="1025"/>
      <c r="BO44367" s="43"/>
    </row>
    <row r="44368" spans="65:67" ht="18.75" customHeight="1">
      <c r="BM44368" s="1025"/>
      <c r="BO44368" s="43"/>
    </row>
    <row r="44369" spans="65:67" ht="18.75" customHeight="1">
      <c r="BM44369" s="1025"/>
      <c r="BO44369" s="43"/>
    </row>
    <row r="44370" spans="65:67" ht="18.75" customHeight="1">
      <c r="BM44370" s="1025"/>
      <c r="BO44370" s="43"/>
    </row>
    <row r="44371" spans="65:67" ht="18.75" customHeight="1">
      <c r="BM44371" s="1025"/>
      <c r="BO44371" s="43"/>
    </row>
    <row r="44372" spans="65:67" ht="18.75" customHeight="1">
      <c r="BM44372" s="1025"/>
      <c r="BO44372" s="43"/>
    </row>
    <row r="44373" spans="65:67" ht="18.75" customHeight="1">
      <c r="BM44373" s="1025"/>
      <c r="BO44373" s="43"/>
    </row>
    <row r="44374" spans="65:67" ht="18.75" customHeight="1">
      <c r="BM44374" s="1025"/>
      <c r="BO44374" s="43"/>
    </row>
    <row r="44375" spans="65:67" ht="18.75" customHeight="1">
      <c r="BM44375" s="1025"/>
      <c r="BO44375" s="43"/>
    </row>
    <row r="44376" spans="65:67" ht="18.75" customHeight="1">
      <c r="BM44376" s="1025"/>
      <c r="BO44376" s="43"/>
    </row>
    <row r="44377" spans="65:67" ht="18.75" customHeight="1">
      <c r="BM44377" s="1025"/>
      <c r="BO44377" s="43"/>
    </row>
    <row r="44378" spans="65:67" ht="18.75" customHeight="1">
      <c r="BM44378" s="1025"/>
      <c r="BO44378" s="43"/>
    </row>
    <row r="44379" spans="65:67" ht="18.75" customHeight="1">
      <c r="BM44379" s="1025"/>
      <c r="BO44379" s="43"/>
    </row>
    <row r="44380" spans="65:67" ht="18.75" customHeight="1">
      <c r="BM44380" s="1025"/>
      <c r="BO44380" s="43"/>
    </row>
    <row r="44381" spans="65:67" ht="18.75" customHeight="1">
      <c r="BM44381" s="1025"/>
      <c r="BO44381" s="43"/>
    </row>
    <row r="44382" spans="65:67" ht="18.75" customHeight="1">
      <c r="BM44382" s="1025"/>
      <c r="BO44382" s="43"/>
    </row>
    <row r="44383" spans="65:67" ht="18.75" customHeight="1">
      <c r="BM44383" s="1025"/>
      <c r="BO44383" s="43"/>
    </row>
    <row r="44384" spans="65:67" ht="18.75" customHeight="1">
      <c r="BM44384" s="1025"/>
      <c r="BO44384" s="43"/>
    </row>
    <row r="44385" spans="65:67" ht="18.75" customHeight="1">
      <c r="BM44385" s="1025"/>
      <c r="BO44385" s="43"/>
    </row>
    <row r="44386" spans="65:67" ht="18.75" customHeight="1">
      <c r="BM44386" s="1025"/>
      <c r="BO44386" s="43"/>
    </row>
    <row r="44387" spans="65:67" ht="18.75" customHeight="1">
      <c r="BM44387" s="1025"/>
      <c r="BO44387" s="43"/>
    </row>
    <row r="44388" spans="65:67" ht="18.75" customHeight="1">
      <c r="BM44388" s="1025"/>
      <c r="BO44388" s="43"/>
    </row>
    <row r="44389" spans="65:67" ht="18.75" customHeight="1">
      <c r="BM44389" s="1025"/>
      <c r="BO44389" s="43"/>
    </row>
    <row r="44390" spans="65:67" ht="18.75" customHeight="1">
      <c r="BM44390" s="1025"/>
      <c r="BO44390" s="43"/>
    </row>
    <row r="44391" spans="65:67" ht="18.75" customHeight="1">
      <c r="BM44391" s="1025"/>
      <c r="BO44391" s="43"/>
    </row>
    <row r="44392" spans="65:67" ht="18.75" customHeight="1">
      <c r="BM44392" s="1025"/>
      <c r="BO44392" s="43"/>
    </row>
    <row r="44393" spans="65:67" ht="18.75" customHeight="1">
      <c r="BM44393" s="1025"/>
      <c r="BO44393" s="43"/>
    </row>
    <row r="44394" spans="65:67" ht="18.75" customHeight="1">
      <c r="BM44394" s="1025"/>
      <c r="BO44394" s="43"/>
    </row>
    <row r="44395" spans="65:67" ht="18.75" customHeight="1">
      <c r="BM44395" s="1025"/>
      <c r="BO44395" s="43"/>
    </row>
    <row r="44396" spans="65:67" ht="18.75" customHeight="1">
      <c r="BM44396" s="1025"/>
      <c r="BO44396" s="43"/>
    </row>
    <row r="44397" spans="65:67" ht="18.75" customHeight="1">
      <c r="BM44397" s="1025"/>
      <c r="BO44397" s="43"/>
    </row>
    <row r="44398" spans="65:67" ht="18.75" customHeight="1">
      <c r="BM44398" s="1025"/>
      <c r="BO44398" s="43"/>
    </row>
    <row r="44399" spans="65:67" ht="18.75" customHeight="1">
      <c r="BM44399" s="1025"/>
      <c r="BO44399" s="43"/>
    </row>
    <row r="44400" spans="65:67" ht="18.75" customHeight="1">
      <c r="BM44400" s="1025"/>
      <c r="BO44400" s="43"/>
    </row>
    <row r="44401" spans="65:67" ht="18.75" customHeight="1">
      <c r="BM44401" s="1025"/>
      <c r="BO44401" s="43"/>
    </row>
    <row r="44402" spans="65:67" ht="18.75" customHeight="1">
      <c r="BM44402" s="1025"/>
      <c r="BO44402" s="43"/>
    </row>
    <row r="44403" spans="65:67" ht="18.75" customHeight="1">
      <c r="BM44403" s="1025"/>
      <c r="BO44403" s="43"/>
    </row>
    <row r="44404" spans="65:67" ht="18.75" customHeight="1">
      <c r="BM44404" s="1025"/>
      <c r="BO44404" s="43"/>
    </row>
    <row r="44405" spans="65:67" ht="18.75" customHeight="1">
      <c r="BM44405" s="1025"/>
      <c r="BO44405" s="43"/>
    </row>
    <row r="44406" spans="65:67" ht="18.75" customHeight="1">
      <c r="BM44406" s="1025"/>
      <c r="BO44406" s="43"/>
    </row>
    <row r="44407" spans="65:67" ht="18.75" customHeight="1">
      <c r="BM44407" s="1025"/>
      <c r="BO44407" s="43"/>
    </row>
    <row r="44408" spans="65:67" ht="18.75" customHeight="1">
      <c r="BM44408" s="1025"/>
      <c r="BO44408" s="43"/>
    </row>
    <row r="44409" spans="65:67" ht="18.75" customHeight="1">
      <c r="BM44409" s="1025"/>
      <c r="BO44409" s="43"/>
    </row>
    <row r="44410" spans="65:67" ht="18.75" customHeight="1">
      <c r="BM44410" s="1025"/>
      <c r="BO44410" s="43"/>
    </row>
    <row r="44411" spans="65:67" ht="18.75" customHeight="1">
      <c r="BM44411" s="1025"/>
      <c r="BO44411" s="43"/>
    </row>
    <row r="44412" spans="65:67" ht="18.75" customHeight="1">
      <c r="BM44412" s="1025"/>
      <c r="BO44412" s="43"/>
    </row>
    <row r="44413" spans="65:67" ht="18.75" customHeight="1">
      <c r="BM44413" s="1025"/>
      <c r="BO44413" s="43"/>
    </row>
    <row r="44414" spans="65:67" ht="18.75" customHeight="1">
      <c r="BM44414" s="1025"/>
      <c r="BO44414" s="43"/>
    </row>
    <row r="44415" spans="65:67" ht="18.75" customHeight="1">
      <c r="BM44415" s="1025"/>
      <c r="BO44415" s="43"/>
    </row>
    <row r="44416" spans="65:67" ht="18.75" customHeight="1">
      <c r="BM44416" s="1025"/>
      <c r="BO44416" s="43"/>
    </row>
    <row r="44417" spans="65:67" ht="18.75" customHeight="1">
      <c r="BM44417" s="1025"/>
      <c r="BO44417" s="43"/>
    </row>
    <row r="44418" spans="65:67" ht="18.75" customHeight="1">
      <c r="BM44418" s="1025"/>
      <c r="BO44418" s="43"/>
    </row>
    <row r="44419" spans="65:67" ht="18.75" customHeight="1">
      <c r="BM44419" s="1025"/>
      <c r="BO44419" s="43"/>
    </row>
    <row r="44420" spans="65:67" ht="18.75" customHeight="1">
      <c r="BM44420" s="1025"/>
      <c r="BO44420" s="43"/>
    </row>
    <row r="44421" spans="65:67" ht="18.75" customHeight="1">
      <c r="BM44421" s="1025"/>
      <c r="BO44421" s="43"/>
    </row>
    <row r="44422" spans="65:67" ht="18.75" customHeight="1">
      <c r="BM44422" s="1025"/>
      <c r="BO44422" s="43"/>
    </row>
    <row r="44423" spans="65:67" ht="18.75" customHeight="1">
      <c r="BM44423" s="1025"/>
      <c r="BO44423" s="43"/>
    </row>
    <row r="44424" spans="65:67" ht="18.75" customHeight="1">
      <c r="BM44424" s="1025"/>
      <c r="BO44424" s="43"/>
    </row>
    <row r="44425" spans="65:67" ht="18.75" customHeight="1">
      <c r="BM44425" s="1025"/>
      <c r="BO44425" s="43"/>
    </row>
    <row r="44426" spans="65:67" ht="18.75" customHeight="1">
      <c r="BM44426" s="1025"/>
      <c r="BO44426" s="43"/>
    </row>
    <row r="44427" spans="65:67" ht="18.75" customHeight="1">
      <c r="BM44427" s="1025"/>
      <c r="BO44427" s="43"/>
    </row>
    <row r="44428" spans="65:67" ht="18.75" customHeight="1">
      <c r="BM44428" s="1025"/>
      <c r="BO44428" s="43"/>
    </row>
    <row r="44429" spans="65:67" ht="18.75" customHeight="1">
      <c r="BM44429" s="1025"/>
      <c r="BO44429" s="43"/>
    </row>
    <row r="44430" spans="65:67" ht="18.75" customHeight="1">
      <c r="BM44430" s="1025"/>
      <c r="BO44430" s="43"/>
    </row>
    <row r="44431" spans="65:67" ht="18.75" customHeight="1">
      <c r="BM44431" s="1025"/>
      <c r="BO44431" s="43"/>
    </row>
    <row r="44432" spans="65:67" ht="18.75" customHeight="1">
      <c r="BM44432" s="1025"/>
      <c r="BO44432" s="43"/>
    </row>
    <row r="44433" spans="65:67" ht="18.75" customHeight="1">
      <c r="BM44433" s="1025"/>
      <c r="BO44433" s="43"/>
    </row>
    <row r="44434" spans="65:67" ht="18.75" customHeight="1">
      <c r="BM44434" s="1025"/>
      <c r="BO44434" s="43"/>
    </row>
    <row r="44435" spans="65:67" ht="18.75" customHeight="1">
      <c r="BM44435" s="1025"/>
      <c r="BO44435" s="43"/>
    </row>
    <row r="44436" spans="65:67" ht="18.75" customHeight="1">
      <c r="BM44436" s="1025"/>
      <c r="BO44436" s="43"/>
    </row>
    <row r="44437" spans="65:67" ht="18.75" customHeight="1">
      <c r="BM44437" s="1025"/>
      <c r="BO44437" s="43"/>
    </row>
    <row r="44438" spans="65:67" ht="18.75" customHeight="1">
      <c r="BM44438" s="1025"/>
      <c r="BO44438" s="43"/>
    </row>
    <row r="44439" spans="65:67" ht="18.75" customHeight="1">
      <c r="BM44439" s="1025"/>
      <c r="BO44439" s="43"/>
    </row>
    <row r="44440" spans="65:67" ht="18.75" customHeight="1">
      <c r="BM44440" s="1025"/>
      <c r="BO44440" s="43"/>
    </row>
    <row r="44441" spans="65:67" ht="18.75" customHeight="1">
      <c r="BM44441" s="1025"/>
      <c r="BO44441" s="43"/>
    </row>
    <row r="44442" spans="65:67" ht="18.75" customHeight="1">
      <c r="BM44442" s="1025"/>
      <c r="BO44442" s="43"/>
    </row>
    <row r="44443" spans="65:67" ht="18.75" customHeight="1">
      <c r="BM44443" s="1025"/>
      <c r="BO44443" s="43"/>
    </row>
    <row r="44444" spans="65:67" ht="18.75" customHeight="1">
      <c r="BM44444" s="1025"/>
      <c r="BO44444" s="43"/>
    </row>
    <row r="44445" spans="65:67" ht="18.75" customHeight="1">
      <c r="BM44445" s="1025"/>
      <c r="BO44445" s="43"/>
    </row>
    <row r="44446" spans="65:67" ht="18.75" customHeight="1">
      <c r="BM44446" s="1025"/>
      <c r="BO44446" s="43"/>
    </row>
    <row r="44447" spans="65:67" ht="18.75" customHeight="1">
      <c r="BM44447" s="1025"/>
      <c r="BO44447" s="43"/>
    </row>
    <row r="44448" spans="65:67" ht="18.75" customHeight="1">
      <c r="BM44448" s="1025"/>
      <c r="BO44448" s="43"/>
    </row>
    <row r="44449" spans="65:67" ht="18.75" customHeight="1">
      <c r="BM44449" s="1025"/>
      <c r="BO44449" s="43"/>
    </row>
    <row r="44450" spans="65:67" ht="18.75" customHeight="1">
      <c r="BM44450" s="1025"/>
      <c r="BO44450" s="43"/>
    </row>
    <row r="44451" spans="65:67" ht="18.75" customHeight="1">
      <c r="BM44451" s="1025"/>
      <c r="BO44451" s="43"/>
    </row>
    <row r="44452" spans="65:67" ht="18.75" customHeight="1">
      <c r="BM44452" s="1025"/>
      <c r="BO44452" s="43"/>
    </row>
    <row r="44453" spans="65:67" ht="18.75" customHeight="1">
      <c r="BM44453" s="1025"/>
      <c r="BO44453" s="43"/>
    </row>
    <row r="44454" spans="65:67" ht="18.75" customHeight="1">
      <c r="BM44454" s="1025"/>
      <c r="BO44454" s="43"/>
    </row>
    <row r="44455" spans="65:67" ht="18.75" customHeight="1">
      <c r="BM44455" s="1025"/>
      <c r="BO44455" s="43"/>
    </row>
    <row r="44456" spans="65:67" ht="18.75" customHeight="1">
      <c r="BM44456" s="1025"/>
      <c r="BO44456" s="43"/>
    </row>
    <row r="44457" spans="65:67" ht="18.75" customHeight="1">
      <c r="BM44457" s="1025"/>
      <c r="BO44457" s="43"/>
    </row>
    <row r="44458" spans="65:67" ht="18.75" customHeight="1">
      <c r="BM44458" s="1025"/>
      <c r="BO44458" s="43"/>
    </row>
    <row r="44459" spans="65:67" ht="18.75" customHeight="1">
      <c r="BM44459" s="1025"/>
      <c r="BO44459" s="43"/>
    </row>
    <row r="44460" spans="65:67" ht="18.75" customHeight="1">
      <c r="BM44460" s="1025"/>
      <c r="BO44460" s="43"/>
    </row>
    <row r="44461" spans="65:67" ht="18.75" customHeight="1">
      <c r="BM44461" s="1025"/>
      <c r="BO44461" s="43"/>
    </row>
    <row r="44462" spans="65:67" ht="18.75" customHeight="1">
      <c r="BM44462" s="1025"/>
      <c r="BO44462" s="43"/>
    </row>
    <row r="44463" spans="65:67" ht="18.75" customHeight="1">
      <c r="BM44463" s="1025"/>
      <c r="BO44463" s="43"/>
    </row>
    <row r="44464" spans="65:67" ht="18.75" customHeight="1">
      <c r="BM44464" s="1025"/>
      <c r="BO44464" s="43"/>
    </row>
    <row r="44465" spans="65:67" ht="18.75" customHeight="1">
      <c r="BM44465" s="1025"/>
      <c r="BO44465" s="43"/>
    </row>
    <row r="44466" spans="65:67" ht="18.75" customHeight="1">
      <c r="BM44466" s="1025"/>
      <c r="BO44466" s="43"/>
    </row>
    <row r="44467" spans="65:67" ht="18.75" customHeight="1">
      <c r="BM44467" s="1025"/>
      <c r="BO44467" s="43"/>
    </row>
    <row r="44468" spans="65:67" ht="18.75" customHeight="1">
      <c r="BM44468" s="1025"/>
      <c r="BO44468" s="43"/>
    </row>
    <row r="44469" spans="65:67" ht="18.75" customHeight="1">
      <c r="BM44469" s="1025"/>
      <c r="BO44469" s="43"/>
    </row>
    <row r="44470" spans="65:67" ht="18.75" customHeight="1">
      <c r="BM44470" s="1025"/>
      <c r="BO44470" s="43"/>
    </row>
    <row r="44471" spans="65:67" ht="18.75" customHeight="1">
      <c r="BM44471" s="1025"/>
      <c r="BO44471" s="43"/>
    </row>
    <row r="44472" spans="65:67" ht="18.75" customHeight="1">
      <c r="BM44472" s="1025"/>
      <c r="BO44472" s="43"/>
    </row>
    <row r="44473" spans="65:67" ht="18.75" customHeight="1">
      <c r="BM44473" s="1025"/>
      <c r="BO44473" s="43"/>
    </row>
    <row r="44474" spans="65:67" ht="18.75" customHeight="1">
      <c r="BM44474" s="1025"/>
      <c r="BO44474" s="43"/>
    </row>
    <row r="44475" spans="65:67" ht="18.75" customHeight="1">
      <c r="BM44475" s="1025"/>
      <c r="BO44475" s="43"/>
    </row>
    <row r="44476" spans="65:67" ht="18.75" customHeight="1">
      <c r="BM44476" s="1025"/>
      <c r="BO44476" s="43"/>
    </row>
    <row r="44477" spans="65:67" ht="18.75" customHeight="1">
      <c r="BM44477" s="1025"/>
      <c r="BO44477" s="43"/>
    </row>
    <row r="44478" spans="65:67" ht="18.75" customHeight="1">
      <c r="BM44478" s="1025"/>
      <c r="BO44478" s="43"/>
    </row>
    <row r="44479" spans="65:67" ht="18.75" customHeight="1">
      <c r="BM44479" s="1025"/>
      <c r="BO44479" s="43"/>
    </row>
    <row r="44480" spans="65:67" ht="18.75" customHeight="1">
      <c r="BM44480" s="1025"/>
      <c r="BO44480" s="43"/>
    </row>
    <row r="44481" spans="65:67" ht="18.75" customHeight="1">
      <c r="BM44481" s="1025"/>
      <c r="BO44481" s="43"/>
    </row>
    <row r="44482" spans="65:67" ht="18.75" customHeight="1">
      <c r="BM44482" s="1025"/>
      <c r="BO44482" s="43"/>
    </row>
    <row r="44483" spans="65:67" ht="18.75" customHeight="1">
      <c r="BM44483" s="1025"/>
      <c r="BO44483" s="43"/>
    </row>
    <row r="44484" spans="65:67" ht="18.75" customHeight="1">
      <c r="BM44484" s="1025"/>
      <c r="BO44484" s="43"/>
    </row>
    <row r="44485" spans="65:67" ht="18.75" customHeight="1">
      <c r="BM44485" s="1025"/>
      <c r="BO44485" s="43"/>
    </row>
    <row r="44486" spans="65:67" ht="18.75" customHeight="1">
      <c r="BM44486" s="1025"/>
      <c r="BO44486" s="43"/>
    </row>
    <row r="44487" spans="65:67" ht="18.75" customHeight="1">
      <c r="BM44487" s="1025"/>
      <c r="BO44487" s="43"/>
    </row>
    <row r="44488" spans="65:67" ht="18.75" customHeight="1">
      <c r="BM44488" s="1025"/>
      <c r="BO44488" s="43"/>
    </row>
    <row r="44489" spans="65:67" ht="18.75" customHeight="1">
      <c r="BM44489" s="1025"/>
      <c r="BO44489" s="43"/>
    </row>
    <row r="44490" spans="65:67" ht="18.75" customHeight="1">
      <c r="BM44490" s="1025"/>
      <c r="BO44490" s="43"/>
    </row>
    <row r="44491" spans="65:67" ht="18.75" customHeight="1">
      <c r="BM44491" s="1025"/>
      <c r="BO44491" s="43"/>
    </row>
    <row r="44492" spans="65:67" ht="18.75" customHeight="1">
      <c r="BM44492" s="1025"/>
      <c r="BO44492" s="43"/>
    </row>
    <row r="44493" spans="65:67" ht="18.75" customHeight="1">
      <c r="BM44493" s="1025"/>
      <c r="BO44493" s="43"/>
    </row>
    <row r="44494" spans="65:67" ht="18.75" customHeight="1">
      <c r="BM44494" s="1025"/>
      <c r="BO44494" s="43"/>
    </row>
    <row r="44495" spans="65:67" ht="18.75" customHeight="1">
      <c r="BM44495" s="1025"/>
      <c r="BO44495" s="43"/>
    </row>
    <row r="44496" spans="65:67" ht="18.75" customHeight="1">
      <c r="BM44496" s="1025"/>
      <c r="BO44496" s="43"/>
    </row>
    <row r="44497" spans="65:67" ht="18.75" customHeight="1">
      <c r="BM44497" s="1025"/>
      <c r="BO44497" s="43"/>
    </row>
    <row r="44498" spans="65:67" ht="18.75" customHeight="1">
      <c r="BM44498" s="1025"/>
      <c r="BO44498" s="43"/>
    </row>
    <row r="44499" spans="65:67" ht="18.75" customHeight="1">
      <c r="BM44499" s="1025"/>
      <c r="BO44499" s="43"/>
    </row>
    <row r="44500" spans="65:67" ht="18.75" customHeight="1">
      <c r="BM44500" s="1025"/>
      <c r="BO44500" s="43"/>
    </row>
    <row r="44501" spans="65:67" ht="18.75" customHeight="1">
      <c r="BM44501" s="1025"/>
      <c r="BO44501" s="43"/>
    </row>
    <row r="44502" spans="65:67" ht="18.75" customHeight="1">
      <c r="BM44502" s="1025"/>
      <c r="BO44502" s="43"/>
    </row>
    <row r="44503" spans="65:67" ht="18.75" customHeight="1">
      <c r="BM44503" s="1025"/>
      <c r="BO44503" s="43"/>
    </row>
    <row r="44504" spans="65:67" ht="18.75" customHeight="1">
      <c r="BM44504" s="1025"/>
      <c r="BO44504" s="43"/>
    </row>
    <row r="44505" spans="65:67" ht="18.75" customHeight="1">
      <c r="BM44505" s="1025"/>
      <c r="BO44505" s="43"/>
    </row>
    <row r="44506" spans="65:67" ht="18.75" customHeight="1">
      <c r="BM44506" s="1025"/>
      <c r="BO44506" s="43"/>
    </row>
    <row r="44507" spans="65:67" ht="18.75" customHeight="1">
      <c r="BM44507" s="1025"/>
      <c r="BO44507" s="43"/>
    </row>
    <row r="44508" spans="65:67" ht="18.75" customHeight="1">
      <c r="BM44508" s="1025"/>
      <c r="BO44508" s="43"/>
    </row>
    <row r="44509" spans="65:67" ht="18.75" customHeight="1">
      <c r="BM44509" s="1025"/>
      <c r="BO44509" s="43"/>
    </row>
    <row r="44510" spans="65:67" ht="18.75" customHeight="1">
      <c r="BM44510" s="1025"/>
      <c r="BO44510" s="43"/>
    </row>
    <row r="44511" spans="65:67" ht="18.75" customHeight="1">
      <c r="BM44511" s="1025"/>
      <c r="BO44511" s="43"/>
    </row>
    <row r="44512" spans="65:67" ht="18.75" customHeight="1">
      <c r="BM44512" s="1025"/>
      <c r="BO44512" s="43"/>
    </row>
    <row r="44513" spans="65:67" ht="18.75" customHeight="1">
      <c r="BM44513" s="1025"/>
      <c r="BO44513" s="43"/>
    </row>
    <row r="44514" spans="65:67" ht="18.75" customHeight="1">
      <c r="BM44514" s="1025"/>
      <c r="BO44514" s="43"/>
    </row>
    <row r="44515" spans="65:67" ht="18.75" customHeight="1">
      <c r="BM44515" s="1025"/>
      <c r="BO44515" s="43"/>
    </row>
    <row r="44516" spans="65:67" ht="18.75" customHeight="1">
      <c r="BM44516" s="1025"/>
      <c r="BO44516" s="43"/>
    </row>
    <row r="44517" spans="65:67" ht="18.75" customHeight="1">
      <c r="BM44517" s="1025"/>
      <c r="BO44517" s="43"/>
    </row>
    <row r="44518" spans="65:67" ht="18.75" customHeight="1">
      <c r="BM44518" s="1025"/>
      <c r="BO44518" s="43"/>
    </row>
    <row r="44519" spans="65:67" ht="18.75" customHeight="1">
      <c r="BM44519" s="1025"/>
      <c r="BO44519" s="43"/>
    </row>
    <row r="44520" spans="65:67" ht="18.75" customHeight="1">
      <c r="BM44520" s="1025"/>
      <c r="BO44520" s="43"/>
    </row>
    <row r="44521" spans="65:67" ht="18.75" customHeight="1">
      <c r="BM44521" s="1025"/>
      <c r="BO44521" s="43"/>
    </row>
    <row r="44522" spans="65:67" ht="18.75" customHeight="1">
      <c r="BM44522" s="1025"/>
      <c r="BO44522" s="43"/>
    </row>
    <row r="44523" spans="65:67" ht="18.75" customHeight="1">
      <c r="BM44523" s="1025"/>
      <c r="BO44523" s="43"/>
    </row>
    <row r="44524" spans="65:67" ht="18.75" customHeight="1">
      <c r="BM44524" s="1025"/>
      <c r="BO44524" s="43"/>
    </row>
    <row r="44525" spans="65:67" ht="18.75" customHeight="1">
      <c r="BM44525" s="1025"/>
      <c r="BO44525" s="43"/>
    </row>
    <row r="44526" spans="65:67" ht="18.75" customHeight="1">
      <c r="BM44526" s="1025"/>
      <c r="BO44526" s="43"/>
    </row>
    <row r="44527" spans="65:67" ht="18.75" customHeight="1">
      <c r="BM44527" s="1025"/>
      <c r="BO44527" s="43"/>
    </row>
    <row r="44528" spans="65:67" ht="18.75" customHeight="1">
      <c r="BM44528" s="1025"/>
      <c r="BO44528" s="43"/>
    </row>
    <row r="44529" spans="65:67" ht="18.75" customHeight="1">
      <c r="BM44529" s="1025"/>
      <c r="BO44529" s="43"/>
    </row>
    <row r="44530" spans="65:67" ht="18.75" customHeight="1">
      <c r="BM44530" s="1025"/>
      <c r="BO44530" s="43"/>
    </row>
    <row r="44531" spans="65:67" ht="18.75" customHeight="1">
      <c r="BM44531" s="1025"/>
      <c r="BO44531" s="43"/>
    </row>
    <row r="44532" spans="65:67" ht="18.75" customHeight="1">
      <c r="BM44532" s="1025"/>
      <c r="BO44532" s="43"/>
    </row>
    <row r="44533" spans="65:67" ht="18.75" customHeight="1">
      <c r="BM44533" s="1025"/>
      <c r="BO44533" s="43"/>
    </row>
    <row r="44534" spans="65:67" ht="18.75" customHeight="1">
      <c r="BM44534" s="1025"/>
      <c r="BO44534" s="43"/>
    </row>
    <row r="44535" spans="65:67" ht="18.75" customHeight="1">
      <c r="BM44535" s="1025"/>
      <c r="BO44535" s="43"/>
    </row>
    <row r="44536" spans="65:67" ht="18.75" customHeight="1">
      <c r="BM44536" s="1025"/>
      <c r="BO44536" s="43"/>
    </row>
    <row r="44537" spans="65:67" ht="18.75" customHeight="1">
      <c r="BM44537" s="1025"/>
      <c r="BO44537" s="43"/>
    </row>
    <row r="44538" spans="65:67" ht="18.75" customHeight="1">
      <c r="BM44538" s="1025"/>
      <c r="BO44538" s="43"/>
    </row>
    <row r="44539" spans="65:67" ht="18.75" customHeight="1">
      <c r="BM44539" s="1025"/>
      <c r="BO44539" s="43"/>
    </row>
    <row r="44540" spans="65:67" ht="18.75" customHeight="1">
      <c r="BM44540" s="1025"/>
      <c r="BO44540" s="43"/>
    </row>
    <row r="44541" spans="65:67" ht="18.75" customHeight="1">
      <c r="BM44541" s="1025"/>
      <c r="BO44541" s="43"/>
    </row>
    <row r="44542" spans="65:67" ht="18.75" customHeight="1">
      <c r="BM44542" s="1025"/>
      <c r="BO44542" s="43"/>
    </row>
    <row r="44543" spans="65:67" ht="18.75" customHeight="1">
      <c r="BM44543" s="1025"/>
      <c r="BO44543" s="43"/>
    </row>
    <row r="44544" spans="65:67" ht="18.75" customHeight="1">
      <c r="BM44544" s="1025"/>
      <c r="BO44544" s="43"/>
    </row>
    <row r="44545" spans="65:67" ht="18.75" customHeight="1">
      <c r="BM44545" s="1025"/>
      <c r="BO44545" s="43"/>
    </row>
    <row r="44546" spans="65:67" ht="18.75" customHeight="1">
      <c r="BM44546" s="1025"/>
      <c r="BO44546" s="43"/>
    </row>
    <row r="44547" spans="65:67" ht="18.75" customHeight="1">
      <c r="BM44547" s="1025"/>
      <c r="BO44547" s="43"/>
    </row>
    <row r="44548" spans="65:67" ht="18.75" customHeight="1">
      <c r="BM44548" s="1025"/>
      <c r="BO44548" s="43"/>
    </row>
    <row r="44549" spans="65:67" ht="18.75" customHeight="1">
      <c r="BM44549" s="1025"/>
      <c r="BO44549" s="43"/>
    </row>
    <row r="44550" spans="65:67" ht="18.75" customHeight="1">
      <c r="BM44550" s="1025"/>
      <c r="BO44550" s="43"/>
    </row>
    <row r="44551" spans="65:67" ht="18.75" customHeight="1">
      <c r="BM44551" s="1025"/>
      <c r="BO44551" s="43"/>
    </row>
    <row r="44552" spans="65:67" ht="18.75" customHeight="1">
      <c r="BM44552" s="1025"/>
      <c r="BO44552" s="43"/>
    </row>
    <row r="44553" spans="65:67" ht="18.75" customHeight="1">
      <c r="BM44553" s="1025"/>
      <c r="BO44553" s="43"/>
    </row>
    <row r="44554" spans="65:67" ht="18.75" customHeight="1">
      <c r="BM44554" s="1025"/>
      <c r="BO44554" s="43"/>
    </row>
    <row r="44555" spans="65:67" ht="18.75" customHeight="1">
      <c r="BM44555" s="1025"/>
      <c r="BO44555" s="43"/>
    </row>
    <row r="44556" spans="65:67" ht="18.75" customHeight="1">
      <c r="BM44556" s="1025"/>
      <c r="BO44556" s="43"/>
    </row>
    <row r="44557" spans="65:67" ht="18.75" customHeight="1">
      <c r="BM44557" s="1025"/>
      <c r="BO44557" s="43"/>
    </row>
    <row r="44558" spans="65:67" ht="18.75" customHeight="1">
      <c r="BM44558" s="1025"/>
      <c r="BO44558" s="43"/>
    </row>
    <row r="44559" spans="65:67" ht="18.75" customHeight="1">
      <c r="BM44559" s="1025"/>
      <c r="BO44559" s="43"/>
    </row>
    <row r="44560" spans="65:67" ht="18.75" customHeight="1">
      <c r="BM44560" s="1025"/>
      <c r="BO44560" s="43"/>
    </row>
    <row r="44561" spans="65:67" ht="18.75" customHeight="1">
      <c r="BM44561" s="1025"/>
      <c r="BO44561" s="43"/>
    </row>
    <row r="44562" spans="65:67" ht="18.75" customHeight="1">
      <c r="BM44562" s="1025"/>
      <c r="BO44562" s="43"/>
    </row>
    <row r="44563" spans="65:67" ht="18.75" customHeight="1">
      <c r="BM44563" s="1025"/>
      <c r="BO44563" s="43"/>
    </row>
    <row r="44564" spans="65:67" ht="18.75" customHeight="1">
      <c r="BM44564" s="1025"/>
      <c r="BO44564" s="43"/>
    </row>
    <row r="44565" spans="65:67" ht="18.75" customHeight="1">
      <c r="BM44565" s="1025"/>
      <c r="BO44565" s="43"/>
    </row>
    <row r="44566" spans="65:67" ht="18.75" customHeight="1">
      <c r="BM44566" s="1025"/>
      <c r="BO44566" s="43"/>
    </row>
    <row r="44567" spans="65:67" ht="18.75" customHeight="1">
      <c r="BM44567" s="1025"/>
      <c r="BO44567" s="43"/>
    </row>
    <row r="44568" spans="65:67" ht="18.75" customHeight="1">
      <c r="BM44568" s="1025"/>
      <c r="BO44568" s="43"/>
    </row>
    <row r="44569" spans="65:67" ht="18.75" customHeight="1">
      <c r="BM44569" s="1025"/>
      <c r="BO44569" s="43"/>
    </row>
    <row r="44570" spans="65:67" ht="18.75" customHeight="1">
      <c r="BM44570" s="1025"/>
      <c r="BO44570" s="43"/>
    </row>
    <row r="44571" spans="65:67" ht="18.75" customHeight="1">
      <c r="BM44571" s="1025"/>
      <c r="BO44571" s="43"/>
    </row>
    <row r="44572" spans="65:67" ht="18.75" customHeight="1">
      <c r="BM44572" s="1025"/>
      <c r="BO44572" s="43"/>
    </row>
    <row r="44573" spans="65:67" ht="18.75" customHeight="1">
      <c r="BM44573" s="1025"/>
      <c r="BO44573" s="43"/>
    </row>
    <row r="44574" spans="65:67" ht="18.75" customHeight="1">
      <c r="BM44574" s="1025"/>
      <c r="BO44574" s="43"/>
    </row>
    <row r="44575" spans="65:67" ht="18.75" customHeight="1">
      <c r="BM44575" s="1025"/>
      <c r="BO44575" s="43"/>
    </row>
    <row r="44576" spans="65:67" ht="18.75" customHeight="1">
      <c r="BM44576" s="1025"/>
      <c r="BO44576" s="43"/>
    </row>
    <row r="44577" spans="65:67" ht="18.75" customHeight="1">
      <c r="BM44577" s="1025"/>
      <c r="BO44577" s="43"/>
    </row>
    <row r="44578" spans="65:67" ht="18.75" customHeight="1">
      <c r="BM44578" s="1025"/>
      <c r="BO44578" s="43"/>
    </row>
    <row r="44579" spans="65:67" ht="18.75" customHeight="1">
      <c r="BM44579" s="1025"/>
      <c r="BO44579" s="43"/>
    </row>
    <row r="44580" spans="65:67" ht="18.75" customHeight="1">
      <c r="BM44580" s="1025"/>
      <c r="BO44580" s="43"/>
    </row>
    <row r="44581" spans="65:67" ht="18.75" customHeight="1">
      <c r="BM44581" s="1025"/>
      <c r="BO44581" s="43"/>
    </row>
    <row r="44582" spans="65:67" ht="18.75" customHeight="1">
      <c r="BM44582" s="1025"/>
      <c r="BO44582" s="43"/>
    </row>
    <row r="44583" spans="65:67" ht="18.75" customHeight="1">
      <c r="BM44583" s="1025"/>
      <c r="BO44583" s="43"/>
    </row>
    <row r="44584" spans="65:67" ht="18.75" customHeight="1">
      <c r="BM44584" s="1025"/>
      <c r="BO44584" s="43"/>
    </row>
    <row r="44585" spans="65:67" ht="18.75" customHeight="1">
      <c r="BM44585" s="1025"/>
      <c r="BO44585" s="43"/>
    </row>
    <row r="44586" spans="65:67" ht="18.75" customHeight="1">
      <c r="BM44586" s="1025"/>
      <c r="BO44586" s="43"/>
    </row>
    <row r="44587" spans="65:67" ht="18.75" customHeight="1">
      <c r="BM44587" s="1025"/>
      <c r="BO44587" s="43"/>
    </row>
    <row r="44588" spans="65:67" ht="18.75" customHeight="1">
      <c r="BM44588" s="1025"/>
      <c r="BO44588" s="43"/>
    </row>
    <row r="44589" spans="65:67" ht="18.75" customHeight="1">
      <c r="BM44589" s="1025"/>
      <c r="BO44589" s="43"/>
    </row>
    <row r="44590" spans="65:67" ht="18.75" customHeight="1">
      <c r="BM44590" s="1025"/>
      <c r="BO44590" s="43"/>
    </row>
    <row r="44591" spans="65:67" ht="18.75" customHeight="1">
      <c r="BM44591" s="1025"/>
      <c r="BO44591" s="43"/>
    </row>
    <row r="44592" spans="65:67" ht="18.75" customHeight="1">
      <c r="BM44592" s="1025"/>
      <c r="BO44592" s="43"/>
    </row>
    <row r="44593" spans="65:67" ht="18.75" customHeight="1">
      <c r="BM44593" s="1025"/>
      <c r="BO44593" s="43"/>
    </row>
    <row r="44594" spans="65:67" ht="18.75" customHeight="1">
      <c r="BM44594" s="1025"/>
      <c r="BO44594" s="43"/>
    </row>
    <row r="44595" spans="65:67" ht="18.75" customHeight="1">
      <c r="BM44595" s="1025"/>
      <c r="BO44595" s="43"/>
    </row>
    <row r="44596" spans="65:67" ht="18.75" customHeight="1">
      <c r="BM44596" s="1025"/>
      <c r="BO44596" s="43"/>
    </row>
    <row r="44597" spans="65:67" ht="18.75" customHeight="1">
      <c r="BM44597" s="1025"/>
      <c r="BO44597" s="43"/>
    </row>
    <row r="44598" spans="65:67" ht="18.75" customHeight="1">
      <c r="BM44598" s="1025"/>
      <c r="BO44598" s="43"/>
    </row>
    <row r="44599" spans="65:67" ht="18.75" customHeight="1">
      <c r="BM44599" s="1025"/>
      <c r="BO44599" s="43"/>
    </row>
    <row r="44600" spans="65:67" ht="18.75" customHeight="1">
      <c r="BM44600" s="1025"/>
      <c r="BO44600" s="43"/>
    </row>
    <row r="44601" spans="65:67" ht="18.75" customHeight="1">
      <c r="BM44601" s="1025"/>
      <c r="BO44601" s="43"/>
    </row>
    <row r="44602" spans="65:67" ht="18.75" customHeight="1">
      <c r="BM44602" s="1025"/>
      <c r="BO44602" s="43"/>
    </row>
    <row r="44603" spans="65:67" ht="18.75" customHeight="1">
      <c r="BM44603" s="1025"/>
      <c r="BO44603" s="43"/>
    </row>
    <row r="44604" spans="65:67" ht="18.75" customHeight="1">
      <c r="BM44604" s="1025"/>
      <c r="BO44604" s="43"/>
    </row>
    <row r="44605" spans="65:67" ht="18.75" customHeight="1">
      <c r="BM44605" s="1025"/>
      <c r="BO44605" s="43"/>
    </row>
    <row r="44606" spans="65:67" ht="18.75" customHeight="1">
      <c r="BM44606" s="1025"/>
      <c r="BO44606" s="43"/>
    </row>
    <row r="44607" spans="65:67" ht="18.75" customHeight="1">
      <c r="BM44607" s="1025"/>
      <c r="BO44607" s="43"/>
    </row>
    <row r="44608" spans="65:67" ht="18.75" customHeight="1">
      <c r="BM44608" s="1025"/>
      <c r="BO44608" s="43"/>
    </row>
    <row r="44609" spans="65:67" ht="18.75" customHeight="1">
      <c r="BM44609" s="1025"/>
      <c r="BO44609" s="43"/>
    </row>
    <row r="44610" spans="65:67" ht="18.75" customHeight="1">
      <c r="BM44610" s="1025"/>
      <c r="BO44610" s="43"/>
    </row>
    <row r="44611" spans="65:67" ht="18.75" customHeight="1">
      <c r="BM44611" s="1025"/>
      <c r="BO44611" s="43"/>
    </row>
    <row r="44612" spans="65:67" ht="18.75" customHeight="1">
      <c r="BM44612" s="1025"/>
      <c r="BO44612" s="43"/>
    </row>
    <row r="44613" spans="65:67" ht="18.75" customHeight="1">
      <c r="BM44613" s="1025"/>
      <c r="BO44613" s="43"/>
    </row>
    <row r="44614" spans="65:67" ht="18.75" customHeight="1">
      <c r="BM44614" s="1025"/>
      <c r="BO44614" s="43"/>
    </row>
    <row r="44615" spans="65:67" ht="18.75" customHeight="1">
      <c r="BM44615" s="1025"/>
      <c r="BO44615" s="43"/>
    </row>
    <row r="44616" spans="65:67" ht="18.75" customHeight="1">
      <c r="BM44616" s="1025"/>
      <c r="BO44616" s="43"/>
    </row>
    <row r="44617" spans="65:67" ht="18.75" customHeight="1">
      <c r="BM44617" s="1025"/>
      <c r="BO44617" s="43"/>
    </row>
    <row r="44618" spans="65:67" ht="18.75" customHeight="1">
      <c r="BM44618" s="1025"/>
      <c r="BO44618" s="43"/>
    </row>
    <row r="44619" spans="65:67" ht="18.75" customHeight="1">
      <c r="BM44619" s="1025"/>
      <c r="BO44619" s="43"/>
    </row>
    <row r="44620" spans="65:67" ht="18.75" customHeight="1">
      <c r="BM44620" s="1025"/>
      <c r="BO44620" s="43"/>
    </row>
    <row r="44621" spans="65:67" ht="18.75" customHeight="1">
      <c r="BM44621" s="1025"/>
      <c r="BO44621" s="43"/>
    </row>
    <row r="44622" spans="65:67" ht="18.75" customHeight="1">
      <c r="BM44622" s="1025"/>
      <c r="BO44622" s="43"/>
    </row>
    <row r="44623" spans="65:67" ht="18.75" customHeight="1">
      <c r="BM44623" s="1025"/>
      <c r="BO44623" s="43"/>
    </row>
    <row r="44624" spans="65:67" ht="18.75" customHeight="1">
      <c r="BM44624" s="1025"/>
      <c r="BO44624" s="43"/>
    </row>
    <row r="44625" spans="65:67" ht="18.75" customHeight="1">
      <c r="BM44625" s="1025"/>
      <c r="BO44625" s="43"/>
    </row>
    <row r="44626" spans="65:67" ht="18.75" customHeight="1">
      <c r="BM44626" s="1025"/>
      <c r="BO44626" s="43"/>
    </row>
    <row r="44627" spans="65:67" ht="18.75" customHeight="1">
      <c r="BM44627" s="1025"/>
      <c r="BO44627" s="43"/>
    </row>
    <row r="44628" spans="65:67" ht="18.75" customHeight="1">
      <c r="BM44628" s="1025"/>
      <c r="BO44628" s="43"/>
    </row>
    <row r="44629" spans="65:67" ht="18.75" customHeight="1">
      <c r="BM44629" s="1025"/>
      <c r="BO44629" s="43"/>
    </row>
    <row r="44630" spans="65:67" ht="18.75" customHeight="1">
      <c r="BM44630" s="1025"/>
      <c r="BO44630" s="43"/>
    </row>
    <row r="44631" spans="65:67" ht="18.75" customHeight="1">
      <c r="BM44631" s="1025"/>
      <c r="BO44631" s="43"/>
    </row>
    <row r="44632" spans="65:67" ht="18.75" customHeight="1">
      <c r="BM44632" s="1025"/>
      <c r="BO44632" s="43"/>
    </row>
    <row r="44633" spans="65:67" ht="18.75" customHeight="1">
      <c r="BM44633" s="1025"/>
      <c r="BO44633" s="43"/>
    </row>
    <row r="44634" spans="65:67" ht="18.75" customHeight="1">
      <c r="BM44634" s="1025"/>
      <c r="BO44634" s="43"/>
    </row>
    <row r="44635" spans="65:67" ht="18.75" customHeight="1">
      <c r="BM44635" s="1025"/>
      <c r="BO44635" s="43"/>
    </row>
    <row r="44636" spans="65:67" ht="18.75" customHeight="1">
      <c r="BM44636" s="1025"/>
      <c r="BO44636" s="43"/>
    </row>
    <row r="44637" spans="65:67" ht="18.75" customHeight="1">
      <c r="BM44637" s="1025"/>
      <c r="BO44637" s="43"/>
    </row>
    <row r="44638" spans="65:67" ht="18.75" customHeight="1">
      <c r="BM44638" s="1025"/>
      <c r="BO44638" s="43"/>
    </row>
    <row r="44639" spans="65:67" ht="18.75" customHeight="1">
      <c r="BM44639" s="1025"/>
      <c r="BO44639" s="43"/>
    </row>
    <row r="44640" spans="65:67" ht="18.75" customHeight="1">
      <c r="BM44640" s="1025"/>
      <c r="BO44640" s="43"/>
    </row>
    <row r="44641" spans="65:67" ht="18.75" customHeight="1">
      <c r="BM44641" s="1025"/>
      <c r="BO44641" s="43"/>
    </row>
    <row r="44642" spans="65:67" ht="18.75" customHeight="1">
      <c r="BM44642" s="1025"/>
      <c r="BO44642" s="43"/>
    </row>
    <row r="44643" spans="65:67" ht="18.75" customHeight="1">
      <c r="BM44643" s="1025"/>
      <c r="BO44643" s="43"/>
    </row>
    <row r="44644" spans="65:67" ht="18.75" customHeight="1">
      <c r="BM44644" s="1025"/>
      <c r="BO44644" s="43"/>
    </row>
    <row r="44645" spans="65:67" ht="18.75" customHeight="1">
      <c r="BM44645" s="1025"/>
      <c r="BO44645" s="43"/>
    </row>
    <row r="44646" spans="65:67" ht="18.75" customHeight="1">
      <c r="BM44646" s="1025"/>
      <c r="BO44646" s="43"/>
    </row>
    <row r="44647" spans="65:67" ht="18.75" customHeight="1">
      <c r="BM44647" s="1025"/>
      <c r="BO44647" s="43"/>
    </row>
    <row r="44648" spans="65:67" ht="18.75" customHeight="1">
      <c r="BM44648" s="1025"/>
      <c r="BO44648" s="43"/>
    </row>
    <row r="44649" spans="65:67" ht="18.75" customHeight="1">
      <c r="BM44649" s="1025"/>
      <c r="BO44649" s="43"/>
    </row>
    <row r="44650" spans="65:67" ht="18.75" customHeight="1">
      <c r="BM44650" s="1025"/>
      <c r="BO44650" s="43"/>
    </row>
    <row r="44651" spans="65:67" ht="18.75" customHeight="1">
      <c r="BM44651" s="1025"/>
      <c r="BO44651" s="43"/>
    </row>
    <row r="44652" spans="65:67" ht="18.75" customHeight="1">
      <c r="BM44652" s="1025"/>
      <c r="BO44652" s="43"/>
    </row>
    <row r="44653" spans="65:67" ht="18.75" customHeight="1">
      <c r="BM44653" s="1025"/>
      <c r="BO44653" s="43"/>
    </row>
    <row r="44654" spans="65:67" ht="18.75" customHeight="1">
      <c r="BM44654" s="1025"/>
      <c r="BO44654" s="43"/>
    </row>
    <row r="44655" spans="65:67" ht="18.75" customHeight="1">
      <c r="BM44655" s="1025"/>
      <c r="BO44655" s="43"/>
    </row>
    <row r="44656" spans="65:67" ht="18.75" customHeight="1">
      <c r="BM44656" s="1025"/>
      <c r="BO44656" s="43"/>
    </row>
    <row r="44657" spans="65:67" ht="18.75" customHeight="1">
      <c r="BM44657" s="1025"/>
      <c r="BO44657" s="43"/>
    </row>
    <row r="44658" spans="65:67" ht="18.75" customHeight="1">
      <c r="BM44658" s="1025"/>
      <c r="BO44658" s="43"/>
    </row>
    <row r="44659" spans="65:67" ht="18.75" customHeight="1">
      <c r="BM44659" s="1025"/>
      <c r="BO44659" s="43"/>
    </row>
    <row r="44660" spans="65:67" ht="18.75" customHeight="1">
      <c r="BM44660" s="1025"/>
      <c r="BO44660" s="43"/>
    </row>
    <row r="44661" spans="65:67" ht="18.75" customHeight="1">
      <c r="BM44661" s="1025"/>
      <c r="BO44661" s="43"/>
    </row>
    <row r="44662" spans="65:67" ht="18.75" customHeight="1">
      <c r="BM44662" s="1025"/>
      <c r="BO44662" s="43"/>
    </row>
    <row r="44663" spans="65:67" ht="18.75" customHeight="1">
      <c r="BM44663" s="1025"/>
      <c r="BO44663" s="43"/>
    </row>
    <row r="44664" spans="65:67" ht="18.75" customHeight="1">
      <c r="BM44664" s="1025"/>
      <c r="BO44664" s="43"/>
    </row>
    <row r="44665" spans="65:67" ht="18.75" customHeight="1">
      <c r="BM44665" s="1025"/>
      <c r="BO44665" s="43"/>
    </row>
    <row r="44666" spans="65:67" ht="18.75" customHeight="1">
      <c r="BM44666" s="1025"/>
      <c r="BO44666" s="43"/>
    </row>
    <row r="44667" spans="65:67" ht="18.75" customHeight="1">
      <c r="BM44667" s="1025"/>
      <c r="BO44667" s="43"/>
    </row>
    <row r="44668" spans="65:67" ht="18.75" customHeight="1">
      <c r="BM44668" s="1025"/>
      <c r="BO44668" s="43"/>
    </row>
    <row r="44669" spans="65:67" ht="18.75" customHeight="1">
      <c r="BM44669" s="1025"/>
      <c r="BO44669" s="43"/>
    </row>
    <row r="44670" spans="65:67" ht="18.75" customHeight="1">
      <c r="BM44670" s="1025"/>
      <c r="BO44670" s="43"/>
    </row>
    <row r="44671" spans="65:67" ht="18.75" customHeight="1">
      <c r="BM44671" s="1025"/>
      <c r="BO44671" s="43"/>
    </row>
    <row r="44672" spans="65:67" ht="18.75" customHeight="1">
      <c r="BM44672" s="1025"/>
      <c r="BO44672" s="43"/>
    </row>
    <row r="44673" spans="65:67" ht="18.75" customHeight="1">
      <c r="BM44673" s="1025"/>
      <c r="BO44673" s="43"/>
    </row>
    <row r="44674" spans="65:67" ht="18.75" customHeight="1">
      <c r="BM44674" s="1025"/>
      <c r="BO44674" s="43"/>
    </row>
    <row r="44675" spans="65:67" ht="18.75" customHeight="1">
      <c r="BM44675" s="1025"/>
      <c r="BO44675" s="43"/>
    </row>
    <row r="44676" spans="65:67" ht="18.75" customHeight="1">
      <c r="BM44676" s="1025"/>
      <c r="BO44676" s="43"/>
    </row>
    <row r="44677" spans="65:67" ht="18.75" customHeight="1">
      <c r="BM44677" s="1025"/>
      <c r="BO44677" s="43"/>
    </row>
    <row r="44678" spans="65:67" ht="18.75" customHeight="1">
      <c r="BM44678" s="1025"/>
      <c r="BO44678" s="43"/>
    </row>
    <row r="44679" spans="65:67" ht="18.75" customHeight="1">
      <c r="BM44679" s="1025"/>
      <c r="BO44679" s="43"/>
    </row>
    <row r="44680" spans="65:67" ht="18.75" customHeight="1">
      <c r="BM44680" s="1025"/>
      <c r="BO44680" s="43"/>
    </row>
    <row r="44681" spans="65:67" ht="18.75" customHeight="1">
      <c r="BM44681" s="1025"/>
      <c r="BO44681" s="43"/>
    </row>
    <row r="44682" spans="65:67" ht="18.75" customHeight="1">
      <c r="BM44682" s="1025"/>
      <c r="BO44682" s="43"/>
    </row>
    <row r="44683" spans="65:67" ht="18.75" customHeight="1">
      <c r="BM44683" s="1025"/>
      <c r="BO44683" s="43"/>
    </row>
    <row r="44684" spans="65:67" ht="18.75" customHeight="1">
      <c r="BM44684" s="1025"/>
      <c r="BO44684" s="43"/>
    </row>
    <row r="44685" spans="65:67" ht="18.75" customHeight="1">
      <c r="BM44685" s="1025"/>
      <c r="BO44685" s="43"/>
    </row>
    <row r="44686" spans="65:67" ht="18.75" customHeight="1">
      <c r="BM44686" s="1025"/>
      <c r="BO44686" s="43"/>
    </row>
    <row r="44687" spans="65:67" ht="18.75" customHeight="1">
      <c r="BM44687" s="1025"/>
      <c r="BO44687" s="43"/>
    </row>
    <row r="44688" spans="65:67" ht="18.75" customHeight="1">
      <c r="BM44688" s="1025"/>
      <c r="BO44688" s="43"/>
    </row>
    <row r="44689" spans="65:67" ht="18.75" customHeight="1">
      <c r="BM44689" s="1025"/>
      <c r="BO44689" s="43"/>
    </row>
    <row r="44690" spans="65:67" ht="18.75" customHeight="1">
      <c r="BM44690" s="1025"/>
      <c r="BO44690" s="43"/>
    </row>
    <row r="44691" spans="65:67" ht="18.75" customHeight="1">
      <c r="BM44691" s="1025"/>
      <c r="BO44691" s="43"/>
    </row>
    <row r="44692" spans="65:67" ht="18.75" customHeight="1">
      <c r="BM44692" s="1025"/>
      <c r="BO44692" s="43"/>
    </row>
    <row r="44693" spans="65:67" ht="18.75" customHeight="1">
      <c r="BM44693" s="1025"/>
      <c r="BO44693" s="43"/>
    </row>
    <row r="44694" spans="65:67" ht="18.75" customHeight="1">
      <c r="BM44694" s="1025"/>
      <c r="BO44694" s="43"/>
    </row>
    <row r="44695" spans="65:67" ht="18.75" customHeight="1">
      <c r="BM44695" s="1025"/>
      <c r="BO44695" s="43"/>
    </row>
    <row r="44696" spans="65:67" ht="18.75" customHeight="1">
      <c r="BM44696" s="1025"/>
      <c r="BO44696" s="43"/>
    </row>
    <row r="44697" spans="65:67" ht="18.75" customHeight="1">
      <c r="BM44697" s="1025"/>
      <c r="BO44697" s="43"/>
    </row>
    <row r="44698" spans="65:67" ht="18.75" customHeight="1">
      <c r="BM44698" s="1025"/>
      <c r="BO44698" s="43"/>
    </row>
    <row r="44699" spans="65:67" ht="18.75" customHeight="1">
      <c r="BM44699" s="1025"/>
      <c r="BO44699" s="43"/>
    </row>
    <row r="44700" spans="65:67" ht="18.75" customHeight="1">
      <c r="BM44700" s="1025"/>
      <c r="BO44700" s="43"/>
    </row>
    <row r="44701" spans="65:67" ht="18.75" customHeight="1">
      <c r="BM44701" s="1025"/>
      <c r="BO44701" s="43"/>
    </row>
    <row r="44702" spans="65:67" ht="18.75" customHeight="1">
      <c r="BM44702" s="1025"/>
      <c r="BO44702" s="43"/>
    </row>
    <row r="44703" spans="65:67" ht="18.75" customHeight="1">
      <c r="BM44703" s="1025"/>
      <c r="BO44703" s="43"/>
    </row>
    <row r="44704" spans="65:67" ht="18.75" customHeight="1">
      <c r="BM44704" s="1025"/>
      <c r="BO44704" s="43"/>
    </row>
    <row r="44705" spans="65:67" ht="18.75" customHeight="1">
      <c r="BM44705" s="1025"/>
      <c r="BO44705" s="43"/>
    </row>
    <row r="44706" spans="65:67" ht="18.75" customHeight="1">
      <c r="BM44706" s="1025"/>
      <c r="BO44706" s="43"/>
    </row>
    <row r="44707" spans="65:67" ht="18.75" customHeight="1">
      <c r="BM44707" s="1025"/>
      <c r="BO44707" s="43"/>
    </row>
    <row r="44708" spans="65:67" ht="18.75" customHeight="1">
      <c r="BM44708" s="1025"/>
      <c r="BO44708" s="43"/>
    </row>
    <row r="44709" spans="65:67" ht="18.75" customHeight="1">
      <c r="BM44709" s="1025"/>
      <c r="BO44709" s="43"/>
    </row>
    <row r="44710" spans="65:67" ht="18.75" customHeight="1">
      <c r="BM44710" s="1025"/>
      <c r="BO44710" s="43"/>
    </row>
    <row r="44711" spans="65:67" ht="18.75" customHeight="1">
      <c r="BM44711" s="1025"/>
      <c r="BO44711" s="43"/>
    </row>
    <row r="44712" spans="65:67" ht="18.75" customHeight="1">
      <c r="BM44712" s="1025"/>
      <c r="BO44712" s="43"/>
    </row>
    <row r="44713" spans="65:67" ht="18.75" customHeight="1">
      <c r="BM44713" s="1025"/>
      <c r="BO44713" s="43"/>
    </row>
    <row r="44714" spans="65:67" ht="18.75" customHeight="1">
      <c r="BM44714" s="1025"/>
      <c r="BO44714" s="43"/>
    </row>
    <row r="44715" spans="65:67" ht="18.75" customHeight="1">
      <c r="BM44715" s="1025"/>
      <c r="BO44715" s="43"/>
    </row>
    <row r="44716" spans="65:67" ht="18.75" customHeight="1">
      <c r="BM44716" s="1025"/>
      <c r="BO44716" s="43"/>
    </row>
    <row r="44717" spans="65:67" ht="18.75" customHeight="1">
      <c r="BM44717" s="1025"/>
      <c r="BO44717" s="43"/>
    </row>
    <row r="44718" spans="65:67" ht="18.75" customHeight="1">
      <c r="BM44718" s="1025"/>
      <c r="BO44718" s="43"/>
    </row>
    <row r="44719" spans="65:67" ht="18.75" customHeight="1">
      <c r="BM44719" s="1025"/>
      <c r="BO44719" s="43"/>
    </row>
    <row r="44720" spans="65:67" ht="18.75" customHeight="1">
      <c r="BM44720" s="1025"/>
      <c r="BO44720" s="43"/>
    </row>
    <row r="44721" spans="65:67" ht="18.75" customHeight="1">
      <c r="BM44721" s="1025"/>
      <c r="BO44721" s="43"/>
    </row>
    <row r="44722" spans="65:67" ht="18.75" customHeight="1">
      <c r="BM44722" s="1025"/>
      <c r="BO44722" s="43"/>
    </row>
    <row r="44723" spans="65:67" ht="18.75" customHeight="1">
      <c r="BM44723" s="1025"/>
      <c r="BO44723" s="43"/>
    </row>
    <row r="44724" spans="65:67" ht="18.75" customHeight="1">
      <c r="BM44724" s="1025"/>
      <c r="BO44724" s="43"/>
    </row>
    <row r="44725" spans="65:67" ht="18.75" customHeight="1">
      <c r="BM44725" s="1025"/>
      <c r="BO44725" s="43"/>
    </row>
    <row r="44726" spans="65:67" ht="18.75" customHeight="1">
      <c r="BM44726" s="1025"/>
      <c r="BO44726" s="43"/>
    </row>
    <row r="44727" spans="65:67" ht="18.75" customHeight="1">
      <c r="BM44727" s="1025"/>
      <c r="BO44727" s="43"/>
    </row>
    <row r="44728" spans="65:67" ht="18.75" customHeight="1">
      <c r="BM44728" s="1025"/>
      <c r="BO44728" s="43"/>
    </row>
    <row r="44729" spans="65:67" ht="18.75" customHeight="1">
      <c r="BM44729" s="1025"/>
      <c r="BO44729" s="43"/>
    </row>
    <row r="44730" spans="65:67" ht="18.75" customHeight="1">
      <c r="BM44730" s="1025"/>
      <c r="BO44730" s="43"/>
    </row>
    <row r="44731" spans="65:67" ht="18.75" customHeight="1">
      <c r="BM44731" s="1025"/>
      <c r="BO44731" s="43"/>
    </row>
    <row r="44732" spans="65:67" ht="18.75" customHeight="1">
      <c r="BM44732" s="1025"/>
      <c r="BO44732" s="43"/>
    </row>
    <row r="44733" spans="65:67" ht="18.75" customHeight="1">
      <c r="BM44733" s="1025"/>
      <c r="BO44733" s="43"/>
    </row>
    <row r="44734" spans="65:67" ht="18.75" customHeight="1">
      <c r="BM44734" s="1025"/>
      <c r="BO44734" s="43"/>
    </row>
    <row r="44735" spans="65:67" ht="18.75" customHeight="1">
      <c r="BM44735" s="1025"/>
      <c r="BO44735" s="43"/>
    </row>
    <row r="44736" spans="65:67" ht="18.75" customHeight="1">
      <c r="BM44736" s="1025"/>
      <c r="BO44736" s="43"/>
    </row>
    <row r="44737" spans="65:67" ht="18.75" customHeight="1">
      <c r="BM44737" s="1025"/>
      <c r="BO44737" s="43"/>
    </row>
    <row r="44738" spans="65:67" ht="18.75" customHeight="1">
      <c r="BM44738" s="1025"/>
      <c r="BO44738" s="43"/>
    </row>
    <row r="44739" spans="65:67" ht="18.75" customHeight="1">
      <c r="BM44739" s="1025"/>
      <c r="BO44739" s="43"/>
    </row>
    <row r="44740" spans="65:67" ht="18.75" customHeight="1">
      <c r="BM44740" s="1025"/>
      <c r="BO44740" s="43"/>
    </row>
    <row r="44741" spans="65:67" ht="18.75" customHeight="1">
      <c r="BM44741" s="1025"/>
      <c r="BO44741" s="43"/>
    </row>
    <row r="44742" spans="65:67" ht="18.75" customHeight="1">
      <c r="BM44742" s="1025"/>
      <c r="BO44742" s="43"/>
    </row>
    <row r="44743" spans="65:67" ht="18.75" customHeight="1">
      <c r="BM44743" s="1025"/>
      <c r="BO44743" s="43"/>
    </row>
    <row r="44744" spans="65:67" ht="18.75" customHeight="1">
      <c r="BM44744" s="1025"/>
      <c r="BO44744" s="43"/>
    </row>
    <row r="44745" spans="65:67" ht="18.75" customHeight="1">
      <c r="BM44745" s="1025"/>
      <c r="BO44745" s="43"/>
    </row>
    <row r="44746" spans="65:67" ht="18.75" customHeight="1">
      <c r="BM44746" s="1025"/>
      <c r="BO44746" s="43"/>
    </row>
    <row r="44747" spans="65:67" ht="18.75" customHeight="1">
      <c r="BM44747" s="1025"/>
      <c r="BO44747" s="43"/>
    </row>
    <row r="44748" spans="65:67" ht="18.75" customHeight="1">
      <c r="BM44748" s="1025"/>
      <c r="BO44748" s="43"/>
    </row>
    <row r="44749" spans="65:67" ht="18.75" customHeight="1">
      <c r="BM44749" s="1025"/>
      <c r="BO44749" s="43"/>
    </row>
    <row r="44750" spans="65:67" ht="18.75" customHeight="1">
      <c r="BM44750" s="1025"/>
      <c r="BO44750" s="43"/>
    </row>
    <row r="44751" spans="65:67" ht="18.75" customHeight="1">
      <c r="BM44751" s="1025"/>
      <c r="BO44751" s="43"/>
    </row>
    <row r="44752" spans="65:67" ht="18.75" customHeight="1">
      <c r="BM44752" s="1025"/>
      <c r="BO44752" s="43"/>
    </row>
    <row r="44753" spans="65:67" ht="18.75" customHeight="1">
      <c r="BM44753" s="1025"/>
      <c r="BO44753" s="43"/>
    </row>
    <row r="44754" spans="65:67" ht="18.75" customHeight="1">
      <c r="BM44754" s="1025"/>
      <c r="BO44754" s="43"/>
    </row>
    <row r="44755" spans="65:67" ht="18.75" customHeight="1">
      <c r="BM44755" s="1025"/>
      <c r="BO44755" s="43"/>
    </row>
    <row r="44756" spans="65:67" ht="18.75" customHeight="1">
      <c r="BM44756" s="1025"/>
      <c r="BO44756" s="43"/>
    </row>
    <row r="44757" spans="65:67" ht="18.75" customHeight="1">
      <c r="BM44757" s="1025"/>
      <c r="BO44757" s="43"/>
    </row>
    <row r="44758" spans="65:67" ht="18.75" customHeight="1">
      <c r="BM44758" s="1025"/>
      <c r="BO44758" s="43"/>
    </row>
    <row r="44759" spans="65:67" ht="18.75" customHeight="1">
      <c r="BM44759" s="1025"/>
      <c r="BO44759" s="43"/>
    </row>
    <row r="44760" spans="65:67" ht="18.75" customHeight="1">
      <c r="BM44760" s="1025"/>
      <c r="BO44760" s="43"/>
    </row>
    <row r="44761" spans="65:67" ht="18.75" customHeight="1">
      <c r="BM44761" s="1025"/>
      <c r="BO44761" s="43"/>
    </row>
    <row r="44762" spans="65:67" ht="18.75" customHeight="1">
      <c r="BM44762" s="1025"/>
      <c r="BO44762" s="43"/>
    </row>
    <row r="44763" spans="65:67" ht="18.75" customHeight="1">
      <c r="BM44763" s="1025"/>
      <c r="BO44763" s="43"/>
    </row>
    <row r="44764" spans="65:67" ht="18.75" customHeight="1">
      <c r="BM44764" s="1025"/>
      <c r="BO44764" s="43"/>
    </row>
    <row r="44765" spans="65:67" ht="18.75" customHeight="1">
      <c r="BM44765" s="1025"/>
      <c r="BO44765" s="43"/>
    </row>
    <row r="44766" spans="65:67" ht="18.75" customHeight="1">
      <c r="BM44766" s="1025"/>
      <c r="BO44766" s="43"/>
    </row>
    <row r="44767" spans="65:67" ht="18.75" customHeight="1">
      <c r="BM44767" s="1025"/>
      <c r="BO44767" s="43"/>
    </row>
    <row r="44768" spans="65:67" ht="18.75" customHeight="1">
      <c r="BM44768" s="1025"/>
      <c r="BO44768" s="43"/>
    </row>
    <row r="44769" spans="65:67" ht="18.75" customHeight="1">
      <c r="BM44769" s="1025"/>
      <c r="BO44769" s="43"/>
    </row>
    <row r="44770" spans="65:67" ht="18.75" customHeight="1">
      <c r="BM44770" s="1025"/>
      <c r="BO44770" s="43"/>
    </row>
    <row r="44771" spans="65:67" ht="18.75" customHeight="1">
      <c r="BM44771" s="1025"/>
      <c r="BO44771" s="43"/>
    </row>
    <row r="44772" spans="65:67" ht="18.75" customHeight="1">
      <c r="BM44772" s="1025"/>
      <c r="BO44772" s="43"/>
    </row>
    <row r="44773" spans="65:67" ht="18.75" customHeight="1">
      <c r="BM44773" s="1025"/>
      <c r="BO44773" s="43"/>
    </row>
    <row r="44774" spans="65:67" ht="18.75" customHeight="1">
      <c r="BM44774" s="1025"/>
      <c r="BO44774" s="43"/>
    </row>
    <row r="44775" spans="65:67" ht="18.75" customHeight="1">
      <c r="BM44775" s="1025"/>
      <c r="BO44775" s="43"/>
    </row>
    <row r="44776" spans="65:67" ht="18.75" customHeight="1">
      <c r="BM44776" s="1025"/>
      <c r="BO44776" s="43"/>
    </row>
    <row r="44777" spans="65:67" ht="18.75" customHeight="1">
      <c r="BM44777" s="1025"/>
      <c r="BO44777" s="43"/>
    </row>
    <row r="44778" spans="65:67" ht="18.75" customHeight="1">
      <c r="BM44778" s="1025"/>
      <c r="BO44778" s="43"/>
    </row>
    <row r="44779" spans="65:67" ht="18.75" customHeight="1">
      <c r="BM44779" s="1025"/>
      <c r="BO44779" s="43"/>
    </row>
    <row r="44780" spans="65:67" ht="18.75" customHeight="1">
      <c r="BM44780" s="1025"/>
      <c r="BO44780" s="43"/>
    </row>
    <row r="44781" spans="65:67" ht="18.75" customHeight="1">
      <c r="BM44781" s="1025"/>
      <c r="BO44781" s="43"/>
    </row>
    <row r="44782" spans="65:67" ht="18.75" customHeight="1">
      <c r="BM44782" s="1025"/>
      <c r="BO44782" s="43"/>
    </row>
    <row r="44783" spans="65:67" ht="18.75" customHeight="1">
      <c r="BM44783" s="1025"/>
      <c r="BO44783" s="43"/>
    </row>
    <row r="44784" spans="65:67" ht="18.75" customHeight="1">
      <c r="BM44784" s="1025"/>
      <c r="BO44784" s="43"/>
    </row>
    <row r="44785" spans="65:67" ht="18.75" customHeight="1">
      <c r="BM44785" s="1025"/>
      <c r="BO44785" s="43"/>
    </row>
    <row r="44786" spans="65:67" ht="18.75" customHeight="1">
      <c r="BM44786" s="1025"/>
      <c r="BO44786" s="43"/>
    </row>
    <row r="44787" spans="65:67" ht="18.75" customHeight="1">
      <c r="BM44787" s="1025"/>
      <c r="BO44787" s="43"/>
    </row>
    <row r="44788" spans="65:67" ht="18.75" customHeight="1">
      <c r="BM44788" s="1025"/>
      <c r="BO44788" s="43"/>
    </row>
    <row r="44789" spans="65:67" ht="18.75" customHeight="1">
      <c r="BM44789" s="1025"/>
      <c r="BO44789" s="43"/>
    </row>
    <row r="44790" spans="65:67" ht="18.75" customHeight="1">
      <c r="BM44790" s="1025"/>
      <c r="BO44790" s="43"/>
    </row>
    <row r="44791" spans="65:67" ht="18.75" customHeight="1">
      <c r="BM44791" s="1025"/>
      <c r="BO44791" s="43"/>
    </row>
    <row r="44792" spans="65:67" ht="18.75" customHeight="1">
      <c r="BM44792" s="1025"/>
      <c r="BO44792" s="43"/>
    </row>
    <row r="44793" spans="65:67" ht="18.75" customHeight="1">
      <c r="BM44793" s="1025"/>
      <c r="BO44793" s="43"/>
    </row>
    <row r="44794" spans="65:67" ht="18.75" customHeight="1">
      <c r="BM44794" s="1025"/>
      <c r="BO44794" s="43"/>
    </row>
    <row r="44795" spans="65:67" ht="18.75" customHeight="1">
      <c r="BM44795" s="1025"/>
      <c r="BO44795" s="43"/>
    </row>
    <row r="44796" spans="65:67" ht="18.75" customHeight="1">
      <c r="BM44796" s="1025"/>
      <c r="BO44796" s="43"/>
    </row>
    <row r="44797" spans="65:67" ht="18.75" customHeight="1">
      <c r="BM44797" s="1025"/>
      <c r="BO44797" s="43"/>
    </row>
    <row r="44798" spans="65:67" ht="18.75" customHeight="1">
      <c r="BM44798" s="1025"/>
      <c r="BO44798" s="43"/>
    </row>
    <row r="44799" spans="65:67" ht="18.75" customHeight="1">
      <c r="BM44799" s="1025"/>
      <c r="BO44799" s="43"/>
    </row>
    <row r="44800" spans="65:67" ht="18.75" customHeight="1">
      <c r="BM44800" s="1025"/>
      <c r="BO44800" s="43"/>
    </row>
    <row r="44801" spans="65:67" ht="18.75" customHeight="1">
      <c r="BM44801" s="1025"/>
      <c r="BO44801" s="43"/>
    </row>
    <row r="44802" spans="65:67" ht="18.75" customHeight="1">
      <c r="BM44802" s="1025"/>
      <c r="BO44802" s="43"/>
    </row>
    <row r="44803" spans="65:67" ht="18.75" customHeight="1">
      <c r="BM44803" s="1025"/>
      <c r="BO44803" s="43"/>
    </row>
    <row r="44804" spans="65:67" ht="18.75" customHeight="1">
      <c r="BM44804" s="1025"/>
      <c r="BO44804" s="43"/>
    </row>
    <row r="44805" spans="65:67" ht="18.75" customHeight="1">
      <c r="BM44805" s="1025"/>
      <c r="BO44805" s="43"/>
    </row>
    <row r="44806" spans="65:67" ht="18.75" customHeight="1">
      <c r="BM44806" s="1025"/>
      <c r="BO44806" s="43"/>
    </row>
    <row r="44807" spans="65:67" ht="18.75" customHeight="1">
      <c r="BM44807" s="1025"/>
      <c r="BO44807" s="43"/>
    </row>
    <row r="44808" spans="65:67" ht="18.75" customHeight="1">
      <c r="BM44808" s="1025"/>
      <c r="BO44808" s="43"/>
    </row>
    <row r="44809" spans="65:67" ht="18.75" customHeight="1">
      <c r="BM44809" s="1025"/>
      <c r="BO44809" s="43"/>
    </row>
    <row r="44810" spans="65:67" ht="18.75" customHeight="1">
      <c r="BM44810" s="1025"/>
      <c r="BO44810" s="43"/>
    </row>
    <row r="44811" spans="65:67" ht="18.75" customHeight="1">
      <c r="BM44811" s="1025"/>
      <c r="BO44811" s="43"/>
    </row>
    <row r="44812" spans="65:67" ht="18.75" customHeight="1">
      <c r="BM44812" s="1025"/>
      <c r="BO44812" s="43"/>
    </row>
    <row r="44813" spans="65:67" ht="18.75" customHeight="1">
      <c r="BM44813" s="1025"/>
      <c r="BO44813" s="43"/>
    </row>
    <row r="44814" spans="65:67" ht="18.75" customHeight="1">
      <c r="BM44814" s="1025"/>
      <c r="BO44814" s="43"/>
    </row>
    <row r="44815" spans="65:67" ht="18.75" customHeight="1">
      <c r="BM44815" s="1025"/>
      <c r="BO44815" s="43"/>
    </row>
    <row r="44816" spans="65:67" ht="18.75" customHeight="1">
      <c r="BM44816" s="1025"/>
      <c r="BO44816" s="43"/>
    </row>
    <row r="44817" spans="65:67" ht="18.75" customHeight="1">
      <c r="BM44817" s="1025"/>
      <c r="BO44817" s="43"/>
    </row>
    <row r="44818" spans="65:67" ht="18.75" customHeight="1">
      <c r="BM44818" s="1025"/>
      <c r="BO44818" s="43"/>
    </row>
    <row r="44819" spans="65:67" ht="18.75" customHeight="1">
      <c r="BM44819" s="1025"/>
      <c r="BO44819" s="43"/>
    </row>
    <row r="44820" spans="65:67" ht="18.75" customHeight="1">
      <c r="BM44820" s="1025"/>
      <c r="BO44820" s="43"/>
    </row>
    <row r="44821" spans="65:67" ht="18.75" customHeight="1">
      <c r="BM44821" s="1025"/>
      <c r="BO44821" s="43"/>
    </row>
    <row r="44822" spans="65:67" ht="18.75" customHeight="1">
      <c r="BM44822" s="1025"/>
      <c r="BO44822" s="43"/>
    </row>
    <row r="44823" spans="65:67" ht="18.75" customHeight="1">
      <c r="BM44823" s="1025"/>
      <c r="BO44823" s="43"/>
    </row>
    <row r="44824" spans="65:67" ht="18.75" customHeight="1">
      <c r="BM44824" s="1025"/>
      <c r="BO44824" s="43"/>
    </row>
    <row r="44825" spans="65:67" ht="18.75" customHeight="1">
      <c r="BM44825" s="1025"/>
      <c r="BO44825" s="43"/>
    </row>
    <row r="44826" spans="65:67" ht="18.75" customHeight="1">
      <c r="BM44826" s="1025"/>
      <c r="BO44826" s="43"/>
    </row>
    <row r="44827" spans="65:67" ht="18.75" customHeight="1">
      <c r="BM44827" s="1025"/>
      <c r="BO44827" s="43"/>
    </row>
    <row r="44828" spans="65:67" ht="18.75" customHeight="1">
      <c r="BM44828" s="1025"/>
      <c r="BO44828" s="43"/>
    </row>
    <row r="44829" spans="65:67" ht="18.75" customHeight="1">
      <c r="BM44829" s="1025"/>
      <c r="BO44829" s="43"/>
    </row>
    <row r="44830" spans="65:67" ht="18.75" customHeight="1">
      <c r="BM44830" s="1025"/>
      <c r="BO44830" s="43"/>
    </row>
    <row r="44831" spans="65:67" ht="18.75" customHeight="1">
      <c r="BM44831" s="1025"/>
      <c r="BO44831" s="43"/>
    </row>
    <row r="44832" spans="65:67" ht="18.75" customHeight="1">
      <c r="BM44832" s="1025"/>
      <c r="BO44832" s="43"/>
    </row>
    <row r="44833" spans="65:67" ht="18.75" customHeight="1">
      <c r="BM44833" s="1025"/>
      <c r="BO44833" s="43"/>
    </row>
    <row r="44834" spans="65:67" ht="18.75" customHeight="1">
      <c r="BM44834" s="1025"/>
      <c r="BO44834" s="43"/>
    </row>
    <row r="44835" spans="65:67" ht="18.75" customHeight="1">
      <c r="BM44835" s="1025"/>
      <c r="BO44835" s="43"/>
    </row>
    <row r="44836" spans="65:67" ht="18.75" customHeight="1">
      <c r="BM44836" s="1025"/>
      <c r="BO44836" s="43"/>
    </row>
    <row r="44837" spans="65:67" ht="18.75" customHeight="1">
      <c r="BM44837" s="1025"/>
      <c r="BO44837" s="43"/>
    </row>
    <row r="44838" spans="65:67" ht="18.75" customHeight="1">
      <c r="BM44838" s="1025"/>
      <c r="BO44838" s="43"/>
    </row>
    <row r="44839" spans="65:67" ht="18.75" customHeight="1">
      <c r="BM44839" s="1025"/>
      <c r="BO44839" s="43"/>
    </row>
    <row r="44840" spans="65:67" ht="18.75" customHeight="1">
      <c r="BM44840" s="1025"/>
      <c r="BO44840" s="43"/>
    </row>
    <row r="44841" spans="65:67" ht="18.75" customHeight="1">
      <c r="BM44841" s="1025"/>
      <c r="BO44841" s="43"/>
    </row>
    <row r="44842" spans="65:67" ht="18.75" customHeight="1">
      <c r="BM44842" s="1025"/>
      <c r="BO44842" s="43"/>
    </row>
    <row r="44843" spans="65:67" ht="18.75" customHeight="1">
      <c r="BM44843" s="1025"/>
      <c r="BO44843" s="43"/>
    </row>
    <row r="44844" spans="65:67" ht="18.75" customHeight="1">
      <c r="BM44844" s="1025"/>
      <c r="BO44844" s="43"/>
    </row>
    <row r="44845" spans="65:67" ht="18.75" customHeight="1">
      <c r="BM44845" s="1025"/>
      <c r="BO44845" s="43"/>
    </row>
    <row r="44846" spans="65:67" ht="18.75" customHeight="1">
      <c r="BM44846" s="1025"/>
      <c r="BO44846" s="43"/>
    </row>
    <row r="44847" spans="65:67" ht="18.75" customHeight="1">
      <c r="BM44847" s="1025"/>
      <c r="BO44847" s="43"/>
    </row>
    <row r="44848" spans="65:67" ht="18.75" customHeight="1">
      <c r="BM44848" s="1025"/>
      <c r="BO44848" s="43"/>
    </row>
    <row r="44849" spans="65:67" ht="18.75" customHeight="1">
      <c r="BM44849" s="1025"/>
      <c r="BO44849" s="43"/>
    </row>
    <row r="44850" spans="65:67" ht="18.75" customHeight="1">
      <c r="BM44850" s="1025"/>
      <c r="BO44850" s="43"/>
    </row>
    <row r="44851" spans="65:67" ht="18.75" customHeight="1">
      <c r="BM44851" s="1025"/>
      <c r="BO44851" s="43"/>
    </row>
    <row r="44852" spans="65:67" ht="18.75" customHeight="1">
      <c r="BM44852" s="1025"/>
      <c r="BO44852" s="43"/>
    </row>
    <row r="44853" spans="65:67" ht="18.75" customHeight="1">
      <c r="BM44853" s="1025"/>
      <c r="BO44853" s="43"/>
    </row>
    <row r="44854" spans="65:67" ht="18.75" customHeight="1">
      <c r="BM44854" s="1025"/>
      <c r="BO44854" s="43"/>
    </row>
    <row r="44855" spans="65:67" ht="18.75" customHeight="1">
      <c r="BM44855" s="1025"/>
      <c r="BO44855" s="43"/>
    </row>
    <row r="44856" spans="65:67" ht="18.75" customHeight="1">
      <c r="BM44856" s="1025"/>
      <c r="BO44856" s="43"/>
    </row>
    <row r="44857" spans="65:67" ht="18.75" customHeight="1">
      <c r="BM44857" s="1025"/>
      <c r="BO44857" s="43"/>
    </row>
    <row r="44858" spans="65:67" ht="18.75" customHeight="1">
      <c r="BM44858" s="1025"/>
      <c r="BO44858" s="43"/>
    </row>
    <row r="44859" spans="65:67" ht="18.75" customHeight="1">
      <c r="BM44859" s="1025"/>
      <c r="BO44859" s="43"/>
    </row>
    <row r="44860" spans="65:67" ht="18.75" customHeight="1">
      <c r="BM44860" s="1025"/>
      <c r="BO44860" s="43"/>
    </row>
    <row r="44861" spans="65:67" ht="18.75" customHeight="1">
      <c r="BM44861" s="1025"/>
      <c r="BO44861" s="43"/>
    </row>
    <row r="44862" spans="65:67" ht="18.75" customHeight="1">
      <c r="BM44862" s="1025"/>
      <c r="BO44862" s="43"/>
    </row>
    <row r="44863" spans="65:67" ht="18.75" customHeight="1">
      <c r="BM44863" s="1025"/>
      <c r="BO44863" s="43"/>
    </row>
    <row r="44864" spans="65:67" ht="18.75" customHeight="1">
      <c r="BM44864" s="1025"/>
      <c r="BO44864" s="43"/>
    </row>
    <row r="44865" spans="65:67" ht="18.75" customHeight="1">
      <c r="BM44865" s="1025"/>
      <c r="BO44865" s="43"/>
    </row>
    <row r="44866" spans="65:67" ht="18.75" customHeight="1">
      <c r="BM44866" s="1025"/>
      <c r="BO44866" s="43"/>
    </row>
    <row r="44867" spans="65:67" ht="18.75" customHeight="1">
      <c r="BM44867" s="1025"/>
      <c r="BO44867" s="43"/>
    </row>
    <row r="44868" spans="65:67" ht="18.75" customHeight="1">
      <c r="BM44868" s="1025"/>
      <c r="BO44868" s="43"/>
    </row>
    <row r="44869" spans="65:67" ht="18.75" customHeight="1">
      <c r="BM44869" s="1025"/>
      <c r="BO44869" s="43"/>
    </row>
    <row r="44870" spans="65:67" ht="18.75" customHeight="1">
      <c r="BM44870" s="1025"/>
      <c r="BO44870" s="43"/>
    </row>
    <row r="44871" spans="65:67" ht="18.75" customHeight="1">
      <c r="BM44871" s="1025"/>
      <c r="BO44871" s="43"/>
    </row>
    <row r="44872" spans="65:67" ht="18.75" customHeight="1">
      <c r="BM44872" s="1025"/>
      <c r="BO44872" s="43"/>
    </row>
    <row r="44873" spans="65:67" ht="18.75" customHeight="1">
      <c r="BM44873" s="1025"/>
      <c r="BO44873" s="43"/>
    </row>
    <row r="44874" spans="65:67" ht="18.75" customHeight="1">
      <c r="BM44874" s="1025"/>
      <c r="BO44874" s="43"/>
    </row>
    <row r="44875" spans="65:67" ht="18.75" customHeight="1">
      <c r="BM44875" s="1025"/>
      <c r="BO44875" s="43"/>
    </row>
    <row r="44876" spans="65:67" ht="18.75" customHeight="1">
      <c r="BM44876" s="1025"/>
      <c r="BO44876" s="43"/>
    </row>
    <row r="44877" spans="65:67" ht="18.75" customHeight="1">
      <c r="BM44877" s="1025"/>
      <c r="BO44877" s="43"/>
    </row>
    <row r="44878" spans="65:67" ht="18.75" customHeight="1">
      <c r="BM44878" s="1025"/>
      <c r="BO44878" s="43"/>
    </row>
    <row r="44879" spans="65:67" ht="18.75" customHeight="1">
      <c r="BM44879" s="1025"/>
      <c r="BO44879" s="43"/>
    </row>
    <row r="44880" spans="65:67" ht="18.75" customHeight="1">
      <c r="BM44880" s="1025"/>
      <c r="BO44880" s="43"/>
    </row>
    <row r="44881" spans="65:67" ht="18.75" customHeight="1">
      <c r="BM44881" s="1025"/>
      <c r="BO44881" s="43"/>
    </row>
    <row r="44882" spans="65:67" ht="18.75" customHeight="1">
      <c r="BM44882" s="1025"/>
      <c r="BO44882" s="43"/>
    </row>
    <row r="44883" spans="65:67" ht="18.75" customHeight="1">
      <c r="BM44883" s="1025"/>
      <c r="BO44883" s="43"/>
    </row>
    <row r="44884" spans="65:67" ht="18.75" customHeight="1">
      <c r="BM44884" s="1025"/>
      <c r="BO44884" s="43"/>
    </row>
    <row r="44885" spans="65:67" ht="18.75" customHeight="1">
      <c r="BM44885" s="1025"/>
      <c r="BO44885" s="43"/>
    </row>
    <row r="44886" spans="65:67" ht="18.75" customHeight="1">
      <c r="BM44886" s="1025"/>
      <c r="BO44886" s="43"/>
    </row>
    <row r="44887" spans="65:67" ht="18.75" customHeight="1">
      <c r="BM44887" s="1025"/>
      <c r="BO44887" s="43"/>
    </row>
    <row r="44888" spans="65:67" ht="18.75" customHeight="1">
      <c r="BM44888" s="1025"/>
      <c r="BO44888" s="43"/>
    </row>
    <row r="44889" spans="65:67" ht="18.75" customHeight="1">
      <c r="BM44889" s="1025"/>
      <c r="BO44889" s="43"/>
    </row>
    <row r="44890" spans="65:67" ht="18.75" customHeight="1">
      <c r="BM44890" s="1025"/>
      <c r="BO44890" s="43"/>
    </row>
    <row r="44891" spans="65:67" ht="18.75" customHeight="1">
      <c r="BM44891" s="1025"/>
      <c r="BO44891" s="43"/>
    </row>
    <row r="44892" spans="65:67" ht="18.75" customHeight="1">
      <c r="BM44892" s="1025"/>
      <c r="BO44892" s="43"/>
    </row>
    <row r="44893" spans="65:67" ht="18.75" customHeight="1">
      <c r="BM44893" s="1025"/>
      <c r="BO44893" s="43"/>
    </row>
    <row r="44894" spans="65:67" ht="18.75" customHeight="1">
      <c r="BM44894" s="1025"/>
      <c r="BO44894" s="43"/>
    </row>
    <row r="44895" spans="65:67" ht="18.75" customHeight="1">
      <c r="BM44895" s="1025"/>
      <c r="BO44895" s="43"/>
    </row>
    <row r="44896" spans="65:67" ht="18.75" customHeight="1">
      <c r="BM44896" s="1025"/>
      <c r="BO44896" s="43"/>
    </row>
    <row r="44897" spans="65:67" ht="18.75" customHeight="1">
      <c r="BM44897" s="1025"/>
      <c r="BO44897" s="43"/>
    </row>
    <row r="44898" spans="65:67" ht="18.75" customHeight="1">
      <c r="BM44898" s="1025"/>
      <c r="BO44898" s="43"/>
    </row>
    <row r="44899" spans="65:67" ht="18.75" customHeight="1">
      <c r="BM44899" s="1025"/>
      <c r="BO44899" s="43"/>
    </row>
    <row r="44900" spans="65:67" ht="18.75" customHeight="1">
      <c r="BM44900" s="1025"/>
      <c r="BO44900" s="43"/>
    </row>
    <row r="44901" spans="65:67" ht="18.75" customHeight="1">
      <c r="BM44901" s="1025"/>
      <c r="BO44901" s="43"/>
    </row>
    <row r="44902" spans="65:67" ht="18.75" customHeight="1">
      <c r="BM44902" s="1025"/>
      <c r="BO44902" s="43"/>
    </row>
    <row r="44903" spans="65:67" ht="18.75" customHeight="1">
      <c r="BM44903" s="1025"/>
      <c r="BO44903" s="43"/>
    </row>
    <row r="44904" spans="65:67" ht="18.75" customHeight="1">
      <c r="BM44904" s="1025"/>
      <c r="BO44904" s="43"/>
    </row>
    <row r="44905" spans="65:67" ht="18.75" customHeight="1">
      <c r="BM44905" s="1025"/>
      <c r="BO44905" s="43"/>
    </row>
    <row r="44906" spans="65:67" ht="18.75" customHeight="1">
      <c r="BM44906" s="1025"/>
      <c r="BO44906" s="43"/>
    </row>
    <row r="44907" spans="65:67" ht="18.75" customHeight="1">
      <c r="BM44907" s="1025"/>
      <c r="BO44907" s="43"/>
    </row>
    <row r="44908" spans="65:67" ht="18.75" customHeight="1">
      <c r="BM44908" s="1025"/>
      <c r="BO44908" s="43"/>
    </row>
    <row r="44909" spans="65:67" ht="18.75" customHeight="1">
      <c r="BM44909" s="1025"/>
      <c r="BO44909" s="43"/>
    </row>
    <row r="44910" spans="65:67" ht="18.75" customHeight="1">
      <c r="BM44910" s="1025"/>
      <c r="BO44910" s="43"/>
    </row>
    <row r="44911" spans="65:67" ht="18.75" customHeight="1">
      <c r="BM44911" s="1025"/>
      <c r="BO44911" s="43"/>
    </row>
    <row r="44912" spans="65:67" ht="18.75" customHeight="1">
      <c r="BM44912" s="1025"/>
      <c r="BO44912" s="43"/>
    </row>
    <row r="44913" spans="65:67" ht="18.75" customHeight="1">
      <c r="BM44913" s="1025"/>
      <c r="BO44913" s="43"/>
    </row>
    <row r="44914" spans="65:67" ht="18.75" customHeight="1">
      <c r="BM44914" s="1025"/>
      <c r="BO44914" s="43"/>
    </row>
    <row r="44915" spans="65:67" ht="18.75" customHeight="1">
      <c r="BM44915" s="1025"/>
      <c r="BO44915" s="43"/>
    </row>
    <row r="44916" spans="65:67" ht="18.75" customHeight="1">
      <c r="BM44916" s="1025"/>
      <c r="BO44916" s="43"/>
    </row>
    <row r="44917" spans="65:67" ht="18.75" customHeight="1">
      <c r="BM44917" s="1025"/>
      <c r="BO44917" s="43"/>
    </row>
    <row r="44918" spans="65:67" ht="18.75" customHeight="1">
      <c r="BM44918" s="1025"/>
      <c r="BO44918" s="43"/>
    </row>
    <row r="44919" spans="65:67" ht="18.75" customHeight="1">
      <c r="BM44919" s="1025"/>
      <c r="BO44919" s="43"/>
    </row>
    <row r="44920" spans="65:67" ht="18.75" customHeight="1">
      <c r="BM44920" s="1025"/>
      <c r="BO44920" s="43"/>
    </row>
    <row r="44921" spans="65:67" ht="18.75" customHeight="1">
      <c r="BM44921" s="1025"/>
      <c r="BO44921" s="43"/>
    </row>
    <row r="44922" spans="65:67" ht="18.75" customHeight="1">
      <c r="BM44922" s="1025"/>
      <c r="BO44922" s="43"/>
    </row>
    <row r="44923" spans="65:67" ht="18.75" customHeight="1">
      <c r="BM44923" s="1025"/>
      <c r="BO44923" s="43"/>
    </row>
    <row r="44924" spans="65:67" ht="18.75" customHeight="1">
      <c r="BM44924" s="1025"/>
      <c r="BO44924" s="43"/>
    </row>
    <row r="44925" spans="65:67" ht="18.75" customHeight="1">
      <c r="BM44925" s="1025"/>
      <c r="BO44925" s="43"/>
    </row>
    <row r="44926" spans="65:67" ht="18.75" customHeight="1">
      <c r="BM44926" s="1025"/>
      <c r="BO44926" s="43"/>
    </row>
    <row r="44927" spans="65:67" ht="18.75" customHeight="1">
      <c r="BM44927" s="1025"/>
      <c r="BO44927" s="43"/>
    </row>
    <row r="44928" spans="65:67" ht="18.75" customHeight="1">
      <c r="BM44928" s="1025"/>
      <c r="BO44928" s="43"/>
    </row>
    <row r="44929" spans="65:67" ht="18.75" customHeight="1">
      <c r="BM44929" s="1025"/>
      <c r="BO44929" s="43"/>
    </row>
    <row r="44930" spans="65:67" ht="18.75" customHeight="1">
      <c r="BM44930" s="1025"/>
      <c r="BO44930" s="43"/>
    </row>
    <row r="44931" spans="65:67" ht="18.75" customHeight="1">
      <c r="BM44931" s="1025"/>
      <c r="BO44931" s="43"/>
    </row>
    <row r="44932" spans="65:67" ht="18.75" customHeight="1">
      <c r="BM44932" s="1025"/>
      <c r="BO44932" s="43"/>
    </row>
    <row r="44933" spans="65:67" ht="18.75" customHeight="1">
      <c r="BM44933" s="1025"/>
      <c r="BO44933" s="43"/>
    </row>
    <row r="44934" spans="65:67" ht="18.75" customHeight="1">
      <c r="BM44934" s="1025"/>
      <c r="BO44934" s="43"/>
    </row>
    <row r="44935" spans="65:67" ht="18.75" customHeight="1">
      <c r="BM44935" s="1025"/>
      <c r="BO44935" s="43"/>
    </row>
    <row r="44936" spans="65:67" ht="18.75" customHeight="1">
      <c r="BM44936" s="1025"/>
      <c r="BO44936" s="43"/>
    </row>
    <row r="44937" spans="65:67" ht="18.75" customHeight="1">
      <c r="BM44937" s="1025"/>
      <c r="BO44937" s="43"/>
    </row>
    <row r="44938" spans="65:67" ht="18.75" customHeight="1">
      <c r="BM44938" s="1025"/>
      <c r="BO44938" s="43"/>
    </row>
    <row r="44939" spans="65:67" ht="18.75" customHeight="1">
      <c r="BM44939" s="1025"/>
      <c r="BO44939" s="43"/>
    </row>
    <row r="44940" spans="65:67" ht="18.75" customHeight="1">
      <c r="BM44940" s="1025"/>
      <c r="BO44940" s="43"/>
    </row>
    <row r="44941" spans="65:67" ht="18.75" customHeight="1">
      <c r="BM44941" s="1025"/>
      <c r="BO44941" s="43"/>
    </row>
    <row r="44942" spans="65:67" ht="18.75" customHeight="1">
      <c r="BM44942" s="1025"/>
      <c r="BO44942" s="43"/>
    </row>
    <row r="44943" spans="65:67" ht="18.75" customHeight="1">
      <c r="BM44943" s="1025"/>
      <c r="BO44943" s="43"/>
    </row>
    <row r="44944" spans="65:67" ht="18.75" customHeight="1">
      <c r="BM44944" s="1025"/>
      <c r="BO44944" s="43"/>
    </row>
    <row r="44945" spans="65:67" ht="18.75" customHeight="1">
      <c r="BM44945" s="1025"/>
      <c r="BO44945" s="43"/>
    </row>
    <row r="44946" spans="65:67" ht="18.75" customHeight="1">
      <c r="BM44946" s="1025"/>
      <c r="BO44946" s="43"/>
    </row>
    <row r="44947" spans="65:67" ht="18.75" customHeight="1">
      <c r="BM44947" s="1025"/>
      <c r="BO44947" s="43"/>
    </row>
    <row r="44948" spans="65:67" ht="18.75" customHeight="1">
      <c r="BM44948" s="1025"/>
      <c r="BO44948" s="43"/>
    </row>
    <row r="44949" spans="65:67" ht="18.75" customHeight="1">
      <c r="BM44949" s="1025"/>
      <c r="BO44949" s="43"/>
    </row>
    <row r="44950" spans="65:67" ht="18.75" customHeight="1">
      <c r="BM44950" s="1025"/>
      <c r="BO44950" s="43"/>
    </row>
    <row r="44951" spans="65:67" ht="18.75" customHeight="1">
      <c r="BM44951" s="1025"/>
      <c r="BO44951" s="43"/>
    </row>
    <row r="44952" spans="65:67" ht="18.75" customHeight="1">
      <c r="BM44952" s="1025"/>
      <c r="BO44952" s="43"/>
    </row>
    <row r="44953" spans="65:67" ht="18.75" customHeight="1">
      <c r="BM44953" s="1025"/>
      <c r="BO44953" s="43"/>
    </row>
    <row r="44954" spans="65:67" ht="18.75" customHeight="1">
      <c r="BM44954" s="1025"/>
      <c r="BO44954" s="43"/>
    </row>
    <row r="44955" spans="65:67" ht="18.75" customHeight="1">
      <c r="BM44955" s="1025"/>
      <c r="BO44955" s="43"/>
    </row>
    <row r="44956" spans="65:67" ht="18.75" customHeight="1">
      <c r="BM44956" s="1025"/>
      <c r="BO44956" s="43"/>
    </row>
    <row r="44957" spans="65:67" ht="18.75" customHeight="1">
      <c r="BM44957" s="1025"/>
      <c r="BO44957" s="43"/>
    </row>
    <row r="44958" spans="65:67" ht="18.75" customHeight="1">
      <c r="BM44958" s="1025"/>
      <c r="BO44958" s="43"/>
    </row>
    <row r="44959" spans="65:67" ht="18.75" customHeight="1">
      <c r="BM44959" s="1025"/>
      <c r="BO44959" s="43"/>
    </row>
    <row r="44960" spans="65:67" ht="18.75" customHeight="1">
      <c r="BM44960" s="1025"/>
      <c r="BO44960" s="43"/>
    </row>
    <row r="44961" spans="65:67" ht="18.75" customHeight="1">
      <c r="BM44961" s="1025"/>
      <c r="BO44961" s="43"/>
    </row>
    <row r="44962" spans="65:67" ht="18.75" customHeight="1">
      <c r="BM44962" s="1025"/>
      <c r="BO44962" s="43"/>
    </row>
    <row r="44963" spans="65:67" ht="18.75" customHeight="1">
      <c r="BM44963" s="1025"/>
      <c r="BO44963" s="43"/>
    </row>
    <row r="44964" spans="65:67" ht="18.75" customHeight="1">
      <c r="BM44964" s="1025"/>
      <c r="BO44964" s="43"/>
    </row>
    <row r="44965" spans="65:67" ht="18.75" customHeight="1">
      <c r="BM44965" s="1025"/>
      <c r="BO44965" s="43"/>
    </row>
    <row r="44966" spans="65:67" ht="18.75" customHeight="1">
      <c r="BM44966" s="1025"/>
      <c r="BO44966" s="43"/>
    </row>
    <row r="44967" spans="65:67" ht="18.75" customHeight="1">
      <c r="BM44967" s="1025"/>
      <c r="BO44967" s="43"/>
    </row>
    <row r="44968" spans="65:67" ht="18.75" customHeight="1">
      <c r="BM44968" s="1025"/>
      <c r="BO44968" s="43"/>
    </row>
    <row r="44969" spans="65:67" ht="18.75" customHeight="1">
      <c r="BM44969" s="1025"/>
      <c r="BO44969" s="43"/>
    </row>
    <row r="44970" spans="65:67" ht="18.75" customHeight="1">
      <c r="BM44970" s="1025"/>
      <c r="BO44970" s="43"/>
    </row>
    <row r="44971" spans="65:67" ht="18.75" customHeight="1">
      <c r="BM44971" s="1025"/>
      <c r="BO44971" s="43"/>
    </row>
    <row r="44972" spans="65:67" ht="18.75" customHeight="1">
      <c r="BM44972" s="1025"/>
      <c r="BO44972" s="43"/>
    </row>
    <row r="44973" spans="65:67" ht="18.75" customHeight="1">
      <c r="BM44973" s="1025"/>
      <c r="BO44973" s="43"/>
    </row>
    <row r="44974" spans="65:67" ht="18.75" customHeight="1">
      <c r="BM44974" s="1025"/>
      <c r="BO44974" s="43"/>
    </row>
    <row r="44975" spans="65:67" ht="18.75" customHeight="1">
      <c r="BM44975" s="1025"/>
      <c r="BO44975" s="43"/>
    </row>
    <row r="44976" spans="65:67" ht="18.75" customHeight="1">
      <c r="BM44976" s="1025"/>
      <c r="BO44976" s="43"/>
    </row>
    <row r="44977" spans="65:67" ht="18.75" customHeight="1">
      <c r="BM44977" s="1025"/>
      <c r="BO44977" s="43"/>
    </row>
    <row r="44978" spans="65:67" ht="18.75" customHeight="1">
      <c r="BM44978" s="1025"/>
      <c r="BO44978" s="43"/>
    </row>
    <row r="44979" spans="65:67" ht="18.75" customHeight="1">
      <c r="BM44979" s="1025"/>
      <c r="BO44979" s="43"/>
    </row>
    <row r="44980" spans="65:67" ht="18.75" customHeight="1">
      <c r="BM44980" s="1025"/>
      <c r="BO44980" s="43"/>
    </row>
    <row r="44981" spans="65:67" ht="18.75" customHeight="1">
      <c r="BM44981" s="1025"/>
      <c r="BO44981" s="43"/>
    </row>
    <row r="44982" spans="65:67" ht="18.75" customHeight="1">
      <c r="BM44982" s="1025"/>
      <c r="BO44982" s="43"/>
    </row>
    <row r="44983" spans="65:67" ht="18.75" customHeight="1">
      <c r="BM44983" s="1025"/>
      <c r="BO44983" s="43"/>
    </row>
    <row r="44984" spans="65:67" ht="18.75" customHeight="1">
      <c r="BM44984" s="1025"/>
      <c r="BO44984" s="43"/>
    </row>
    <row r="44985" spans="65:67" ht="18.75" customHeight="1">
      <c r="BM44985" s="1025"/>
      <c r="BO44985" s="43"/>
    </row>
    <row r="44986" spans="65:67" ht="18.75" customHeight="1">
      <c r="BM44986" s="1025"/>
      <c r="BO44986" s="43"/>
    </row>
    <row r="44987" spans="65:67" ht="18.75" customHeight="1">
      <c r="BM44987" s="1025"/>
      <c r="BO44987" s="43"/>
    </row>
    <row r="44988" spans="65:67" ht="18.75" customHeight="1">
      <c r="BM44988" s="1025"/>
      <c r="BO44988" s="43"/>
    </row>
    <row r="44989" spans="65:67" ht="18.75" customHeight="1">
      <c r="BM44989" s="1025"/>
      <c r="BO44989" s="43"/>
    </row>
    <row r="44990" spans="65:67" ht="18.75" customHeight="1">
      <c r="BM44990" s="1025"/>
      <c r="BO44990" s="43"/>
    </row>
    <row r="44991" spans="65:67" ht="18.75" customHeight="1">
      <c r="BM44991" s="1025"/>
      <c r="BO44991" s="43"/>
    </row>
    <row r="44992" spans="65:67" ht="18.75" customHeight="1">
      <c r="BM44992" s="1025"/>
      <c r="BO44992" s="43"/>
    </row>
    <row r="44993" spans="65:67" ht="18.75" customHeight="1">
      <c r="BM44993" s="1025"/>
      <c r="BO44993" s="43"/>
    </row>
    <row r="44994" spans="65:67" ht="18.75" customHeight="1">
      <c r="BM44994" s="1025"/>
      <c r="BO44994" s="43"/>
    </row>
    <row r="44995" spans="65:67" ht="18.75" customHeight="1">
      <c r="BM44995" s="1025"/>
      <c r="BO44995" s="43"/>
    </row>
    <row r="44996" spans="65:67" ht="18.75" customHeight="1">
      <c r="BM44996" s="1025"/>
      <c r="BO44996" s="43"/>
    </row>
    <row r="44997" spans="65:67" ht="18.75" customHeight="1">
      <c r="BM44997" s="1025"/>
      <c r="BO44997" s="43"/>
    </row>
    <row r="44998" spans="65:67" ht="18.75" customHeight="1">
      <c r="BM44998" s="1025"/>
      <c r="BO44998" s="43"/>
    </row>
    <row r="44999" spans="65:67" ht="18.75" customHeight="1">
      <c r="BM44999" s="1025"/>
      <c r="BO44999" s="43"/>
    </row>
    <row r="45000" spans="65:67" ht="18.75" customHeight="1">
      <c r="BM45000" s="1025"/>
      <c r="BO45000" s="43"/>
    </row>
    <row r="45001" spans="65:67" ht="18.75" customHeight="1">
      <c r="BM45001" s="1025"/>
      <c r="BO45001" s="43"/>
    </row>
    <row r="45002" spans="65:67" ht="18.75" customHeight="1">
      <c r="BM45002" s="1025"/>
      <c r="BO45002" s="43"/>
    </row>
    <row r="45003" spans="65:67" ht="18.75" customHeight="1">
      <c r="BM45003" s="1025"/>
      <c r="BO45003" s="43"/>
    </row>
    <row r="45004" spans="65:67" ht="18.75" customHeight="1">
      <c r="BM45004" s="1025"/>
      <c r="BO45004" s="43"/>
    </row>
    <row r="45005" spans="65:67" ht="18.75" customHeight="1">
      <c r="BM45005" s="1025"/>
      <c r="BO45005" s="43"/>
    </row>
    <row r="45006" spans="65:67" ht="18.75" customHeight="1">
      <c r="BM45006" s="1025"/>
      <c r="BO45006" s="43"/>
    </row>
    <row r="45007" spans="65:67" ht="18.75" customHeight="1">
      <c r="BM45007" s="1025"/>
      <c r="BO45007" s="43"/>
    </row>
    <row r="45008" spans="65:67" ht="18.75" customHeight="1">
      <c r="BM45008" s="1025"/>
      <c r="BO45008" s="43"/>
    </row>
    <row r="45009" spans="65:67" ht="18.75" customHeight="1">
      <c r="BM45009" s="1025"/>
      <c r="BO45009" s="43"/>
    </row>
    <row r="45010" spans="65:67" ht="18.75" customHeight="1">
      <c r="BM45010" s="1025"/>
      <c r="BO45010" s="43"/>
    </row>
    <row r="45011" spans="65:67" ht="18.75" customHeight="1">
      <c r="BM45011" s="1025"/>
      <c r="BO45011" s="43"/>
    </row>
    <row r="45012" spans="65:67" ht="18.75" customHeight="1">
      <c r="BM45012" s="1025"/>
      <c r="BO45012" s="43"/>
    </row>
    <row r="45013" spans="65:67" ht="18.75" customHeight="1">
      <c r="BM45013" s="1025"/>
      <c r="BO45013" s="43"/>
    </row>
    <row r="45014" spans="65:67" ht="18.75" customHeight="1">
      <c r="BM45014" s="1025"/>
      <c r="BO45014" s="43"/>
    </row>
    <row r="45015" spans="65:67" ht="18.75" customHeight="1">
      <c r="BM45015" s="1025"/>
      <c r="BO45015" s="43"/>
    </row>
    <row r="45016" spans="65:67" ht="18.75" customHeight="1">
      <c r="BM45016" s="1025"/>
      <c r="BO45016" s="43"/>
    </row>
    <row r="45017" spans="65:67" ht="18.75" customHeight="1">
      <c r="BM45017" s="1025"/>
      <c r="BO45017" s="43"/>
    </row>
    <row r="45018" spans="65:67" ht="18.75" customHeight="1">
      <c r="BM45018" s="1025"/>
      <c r="BO45018" s="43"/>
    </row>
    <row r="45019" spans="65:67" ht="18.75" customHeight="1">
      <c r="BM45019" s="1025"/>
      <c r="BO45019" s="43"/>
    </row>
    <row r="45020" spans="65:67" ht="18.75" customHeight="1">
      <c r="BM45020" s="1025"/>
      <c r="BO45020" s="43"/>
    </row>
    <row r="45021" spans="65:67" ht="18.75" customHeight="1">
      <c r="BM45021" s="1025"/>
      <c r="BO45021" s="43"/>
    </row>
    <row r="45022" spans="65:67" ht="18.75" customHeight="1">
      <c r="BM45022" s="1025"/>
      <c r="BO45022" s="43"/>
    </row>
    <row r="45023" spans="65:67" ht="18.75" customHeight="1">
      <c r="BM45023" s="1025"/>
      <c r="BO45023" s="43"/>
    </row>
    <row r="45024" spans="65:67" ht="18.75" customHeight="1">
      <c r="BM45024" s="1025"/>
      <c r="BO45024" s="43"/>
    </row>
    <row r="45025" spans="65:67" ht="18.75" customHeight="1">
      <c r="BM45025" s="1025"/>
      <c r="BO45025" s="43"/>
    </row>
    <row r="45026" spans="65:67" ht="18.75" customHeight="1">
      <c r="BM45026" s="1025"/>
      <c r="BO45026" s="43"/>
    </row>
    <row r="45027" spans="65:67" ht="18.75" customHeight="1">
      <c r="BM45027" s="1025"/>
      <c r="BO45027" s="43"/>
    </row>
    <row r="45028" spans="65:67" ht="18.75" customHeight="1">
      <c r="BM45028" s="1025"/>
      <c r="BO45028" s="43"/>
    </row>
    <row r="45029" spans="65:67" ht="18.75" customHeight="1">
      <c r="BM45029" s="1025"/>
      <c r="BO45029" s="43"/>
    </row>
    <row r="45030" spans="65:67" ht="18.75" customHeight="1">
      <c r="BM45030" s="1025"/>
      <c r="BO45030" s="43"/>
    </row>
    <row r="45031" spans="65:67" ht="18.75" customHeight="1">
      <c r="BM45031" s="1025"/>
      <c r="BO45031" s="43"/>
    </row>
    <row r="45032" spans="65:67" ht="18.75" customHeight="1">
      <c r="BM45032" s="1025"/>
      <c r="BO45032" s="43"/>
    </row>
    <row r="45033" spans="65:67" ht="18.75" customHeight="1">
      <c r="BM45033" s="1025"/>
      <c r="BO45033" s="43"/>
    </row>
    <row r="45034" spans="65:67" ht="18.75" customHeight="1">
      <c r="BM45034" s="1025"/>
      <c r="BO45034" s="43"/>
    </row>
    <row r="45035" spans="65:67" ht="18.75" customHeight="1">
      <c r="BM45035" s="1025"/>
      <c r="BO45035" s="43"/>
    </row>
    <row r="45036" spans="65:67" ht="18.75" customHeight="1">
      <c r="BM45036" s="1025"/>
      <c r="BO45036" s="43"/>
    </row>
    <row r="45037" spans="65:67" ht="18.75" customHeight="1">
      <c r="BM45037" s="1025"/>
      <c r="BO45037" s="43"/>
    </row>
    <row r="45038" spans="65:67" ht="18.75" customHeight="1">
      <c r="BM45038" s="1025"/>
      <c r="BO45038" s="43"/>
    </row>
    <row r="45039" spans="65:67" ht="18.75" customHeight="1">
      <c r="BM45039" s="1025"/>
      <c r="BO45039" s="43"/>
    </row>
    <row r="45040" spans="65:67" ht="18.75" customHeight="1">
      <c r="BM45040" s="1025"/>
      <c r="BO45040" s="43"/>
    </row>
    <row r="45041" spans="65:67" ht="18.75" customHeight="1">
      <c r="BM45041" s="1025"/>
      <c r="BO45041" s="43"/>
    </row>
    <row r="45042" spans="65:67" ht="18.75" customHeight="1">
      <c r="BM45042" s="1025"/>
      <c r="BO45042" s="43"/>
    </row>
    <row r="45043" spans="65:67" ht="18.75" customHeight="1">
      <c r="BM45043" s="1025"/>
      <c r="BO45043" s="43"/>
    </row>
    <row r="45044" spans="65:67" ht="18.75" customHeight="1">
      <c r="BM45044" s="1025"/>
      <c r="BO45044" s="43"/>
    </row>
    <row r="45045" spans="65:67" ht="18.75" customHeight="1">
      <c r="BM45045" s="1025"/>
      <c r="BO45045" s="43"/>
    </row>
    <row r="45046" spans="65:67" ht="18.75" customHeight="1">
      <c r="BM45046" s="1025"/>
      <c r="BO45046" s="43"/>
    </row>
    <row r="45047" spans="65:67" ht="18.75" customHeight="1">
      <c r="BM45047" s="1025"/>
      <c r="BO45047" s="43"/>
    </row>
    <row r="45048" spans="65:67" ht="18.75" customHeight="1">
      <c r="BM45048" s="1025"/>
      <c r="BO45048" s="43"/>
    </row>
    <row r="45049" spans="65:67" ht="18.75" customHeight="1">
      <c r="BM45049" s="1025"/>
      <c r="BO45049" s="43"/>
    </row>
    <row r="45050" spans="65:67" ht="18.75" customHeight="1">
      <c r="BM45050" s="1025"/>
      <c r="BO45050" s="43"/>
    </row>
    <row r="45051" spans="65:67" ht="18.75" customHeight="1">
      <c r="BM45051" s="1025"/>
      <c r="BO45051" s="43"/>
    </row>
    <row r="45052" spans="65:67" ht="18.75" customHeight="1">
      <c r="BM45052" s="1025"/>
      <c r="BO45052" s="43"/>
    </row>
    <row r="45053" spans="65:67" ht="18.75" customHeight="1">
      <c r="BM45053" s="1025"/>
      <c r="BO45053" s="43"/>
    </row>
    <row r="45054" spans="65:67" ht="18.75" customHeight="1">
      <c r="BM45054" s="1025"/>
      <c r="BO45054" s="43"/>
    </row>
    <row r="45055" spans="65:67" ht="18.75" customHeight="1">
      <c r="BM45055" s="1025"/>
      <c r="BO45055" s="43"/>
    </row>
    <row r="45056" spans="65:67" ht="18.75" customHeight="1">
      <c r="BM45056" s="1025"/>
      <c r="BO45056" s="43"/>
    </row>
    <row r="45057" spans="65:67" ht="18.75" customHeight="1">
      <c r="BM45057" s="1025"/>
      <c r="BO45057" s="43"/>
    </row>
    <row r="45058" spans="65:67" ht="18.75" customHeight="1">
      <c r="BM45058" s="1025"/>
      <c r="BO45058" s="43"/>
    </row>
    <row r="45059" spans="65:67" ht="18.75" customHeight="1">
      <c r="BM45059" s="1025"/>
      <c r="BO45059" s="43"/>
    </row>
    <row r="45060" spans="65:67" ht="18.75" customHeight="1">
      <c r="BM45060" s="1025"/>
      <c r="BO45060" s="43"/>
    </row>
    <row r="45061" spans="65:67" ht="18.75" customHeight="1">
      <c r="BM45061" s="1025"/>
      <c r="BO45061" s="43"/>
    </row>
    <row r="45062" spans="65:67" ht="18.75" customHeight="1">
      <c r="BM45062" s="1025"/>
      <c r="BO45062" s="43"/>
    </row>
    <row r="45063" spans="65:67" ht="18.75" customHeight="1">
      <c r="BM45063" s="1025"/>
      <c r="BO45063" s="43"/>
    </row>
    <row r="45064" spans="65:67" ht="18.75" customHeight="1">
      <c r="BM45064" s="1025"/>
      <c r="BO45064" s="43"/>
    </row>
    <row r="45065" spans="65:67" ht="18.75" customHeight="1">
      <c r="BM45065" s="1025"/>
      <c r="BO45065" s="43"/>
    </row>
    <row r="45066" spans="65:67" ht="18.75" customHeight="1">
      <c r="BM45066" s="1025"/>
      <c r="BO45066" s="43"/>
    </row>
    <row r="45067" spans="65:67" ht="18.75" customHeight="1">
      <c r="BM45067" s="1025"/>
      <c r="BO45067" s="43"/>
    </row>
    <row r="45068" spans="65:67" ht="18.75" customHeight="1">
      <c r="BM45068" s="1025"/>
      <c r="BO45068" s="43"/>
    </row>
    <row r="45069" spans="65:67" ht="18.75" customHeight="1">
      <c r="BM45069" s="1025"/>
      <c r="BO45069" s="43"/>
    </row>
    <row r="45070" spans="65:67" ht="18.75" customHeight="1">
      <c r="BM45070" s="1025"/>
      <c r="BO45070" s="43"/>
    </row>
    <row r="45071" spans="65:67" ht="18.75" customHeight="1">
      <c r="BM45071" s="1025"/>
      <c r="BO45071" s="43"/>
    </row>
    <row r="45072" spans="65:67" ht="18.75" customHeight="1">
      <c r="BM45072" s="1025"/>
      <c r="BO45072" s="43"/>
    </row>
    <row r="45073" spans="65:67" ht="18.75" customHeight="1">
      <c r="BM45073" s="1025"/>
      <c r="BO45073" s="43"/>
    </row>
    <row r="45074" spans="65:67" ht="18.75" customHeight="1">
      <c r="BM45074" s="1025"/>
      <c r="BO45074" s="43"/>
    </row>
    <row r="45075" spans="65:67" ht="18.75" customHeight="1">
      <c r="BM45075" s="1025"/>
      <c r="BO45075" s="43"/>
    </row>
    <row r="45076" spans="65:67" ht="18.75" customHeight="1">
      <c r="BM45076" s="1025"/>
      <c r="BO45076" s="43"/>
    </row>
    <row r="45077" spans="65:67" ht="18.75" customHeight="1">
      <c r="BM45077" s="1025"/>
      <c r="BO45077" s="43"/>
    </row>
    <row r="45078" spans="65:67" ht="18.75" customHeight="1">
      <c r="BM45078" s="1025"/>
      <c r="BO45078" s="43"/>
    </row>
    <row r="45079" spans="65:67" ht="18.75" customHeight="1">
      <c r="BM45079" s="1025"/>
      <c r="BO45079" s="43"/>
    </row>
    <row r="45080" spans="65:67" ht="18.75" customHeight="1">
      <c r="BM45080" s="1025"/>
      <c r="BO45080" s="43"/>
    </row>
    <row r="45081" spans="65:67" ht="18.75" customHeight="1">
      <c r="BM45081" s="1025"/>
      <c r="BO45081" s="43"/>
    </row>
    <row r="45082" spans="65:67" ht="18.75" customHeight="1">
      <c r="BM45082" s="1025"/>
      <c r="BO45082" s="43"/>
    </row>
    <row r="45083" spans="65:67" ht="18.75" customHeight="1">
      <c r="BM45083" s="1025"/>
      <c r="BO45083" s="43"/>
    </row>
    <row r="45084" spans="65:67" ht="18.75" customHeight="1">
      <c r="BM45084" s="1025"/>
      <c r="BO45084" s="43"/>
    </row>
    <row r="45085" spans="65:67" ht="18.75" customHeight="1">
      <c r="BM45085" s="1025"/>
      <c r="BO45085" s="43"/>
    </row>
    <row r="45086" spans="65:67" ht="18.75" customHeight="1">
      <c r="BM45086" s="1025"/>
      <c r="BO45086" s="43"/>
    </row>
    <row r="45087" spans="65:67" ht="18.75" customHeight="1">
      <c r="BM45087" s="1025"/>
      <c r="BO45087" s="43"/>
    </row>
    <row r="45088" spans="65:67" ht="18.75" customHeight="1">
      <c r="BM45088" s="1025"/>
      <c r="BO45088" s="43"/>
    </row>
    <row r="45089" spans="65:67" ht="18.75" customHeight="1">
      <c r="BM45089" s="1025"/>
      <c r="BO45089" s="43"/>
    </row>
    <row r="45090" spans="65:67" ht="18.75" customHeight="1">
      <c r="BM45090" s="1025"/>
      <c r="BO45090" s="43"/>
    </row>
    <row r="45091" spans="65:67" ht="18.75" customHeight="1">
      <c r="BM45091" s="1025"/>
      <c r="BO45091" s="43"/>
    </row>
    <row r="45092" spans="65:67" ht="18.75" customHeight="1">
      <c r="BM45092" s="1025"/>
      <c r="BO45092" s="43"/>
    </row>
    <row r="45093" spans="65:67" ht="18.75" customHeight="1">
      <c r="BM45093" s="1025"/>
      <c r="BO45093" s="43"/>
    </row>
    <row r="45094" spans="65:67" ht="18.75" customHeight="1">
      <c r="BM45094" s="1025"/>
      <c r="BO45094" s="43"/>
    </row>
    <row r="45095" spans="65:67" ht="18.75" customHeight="1">
      <c r="BM45095" s="1025"/>
      <c r="BO45095" s="43"/>
    </row>
    <row r="45096" spans="65:67" ht="18.75" customHeight="1">
      <c r="BM45096" s="1025"/>
      <c r="BO45096" s="43"/>
    </row>
    <row r="45097" spans="65:67" ht="18.75" customHeight="1">
      <c r="BM45097" s="1025"/>
      <c r="BO45097" s="43"/>
    </row>
    <row r="45098" spans="65:67" ht="18.75" customHeight="1">
      <c r="BM45098" s="1025"/>
      <c r="BO45098" s="43"/>
    </row>
    <row r="45099" spans="65:67" ht="18.75" customHeight="1">
      <c r="BM45099" s="1025"/>
      <c r="BO45099" s="43"/>
    </row>
    <row r="45100" spans="65:67" ht="18.75" customHeight="1">
      <c r="BM45100" s="1025"/>
      <c r="BO45100" s="43"/>
    </row>
    <row r="45101" spans="65:67" ht="18.75" customHeight="1">
      <c r="BM45101" s="1025"/>
      <c r="BO45101" s="43"/>
    </row>
    <row r="45102" spans="65:67" ht="18.75" customHeight="1">
      <c r="BM45102" s="1025"/>
      <c r="BO45102" s="43"/>
    </row>
    <row r="45103" spans="65:67" ht="18.75" customHeight="1">
      <c r="BM45103" s="1025"/>
      <c r="BO45103" s="43"/>
    </row>
    <row r="45104" spans="65:67" ht="18.75" customHeight="1">
      <c r="BM45104" s="1025"/>
      <c r="BO45104" s="43"/>
    </row>
    <row r="45105" spans="65:67" ht="18.75" customHeight="1">
      <c r="BM45105" s="1025"/>
      <c r="BO45105" s="43"/>
    </row>
    <row r="45106" spans="65:67" ht="18.75" customHeight="1">
      <c r="BM45106" s="1025"/>
      <c r="BO45106" s="43"/>
    </row>
    <row r="45107" spans="65:67" ht="18.75" customHeight="1">
      <c r="BM45107" s="1025"/>
      <c r="BO45107" s="43"/>
    </row>
    <row r="45108" spans="65:67" ht="18.75" customHeight="1">
      <c r="BM45108" s="1025"/>
      <c r="BO45108" s="43"/>
    </row>
    <row r="45109" spans="65:67" ht="18.75" customHeight="1">
      <c r="BM45109" s="1025"/>
      <c r="BO45109" s="43"/>
    </row>
    <row r="45110" spans="65:67" ht="18.75" customHeight="1">
      <c r="BM45110" s="1025"/>
      <c r="BO45110" s="43"/>
    </row>
    <row r="45111" spans="65:67" ht="18.75" customHeight="1">
      <c r="BM45111" s="1025"/>
      <c r="BO45111" s="43"/>
    </row>
    <row r="45112" spans="65:67" ht="18.75" customHeight="1">
      <c r="BM45112" s="1025"/>
      <c r="BO45112" s="43"/>
    </row>
    <row r="45113" spans="65:67" ht="18.75" customHeight="1">
      <c r="BM45113" s="1025"/>
      <c r="BO45113" s="43"/>
    </row>
    <row r="45114" spans="65:67" ht="18.75" customHeight="1">
      <c r="BM45114" s="1025"/>
      <c r="BO45114" s="43"/>
    </row>
    <row r="45115" spans="65:67" ht="18.75" customHeight="1">
      <c r="BM45115" s="1025"/>
      <c r="BO45115" s="43"/>
    </row>
    <row r="45116" spans="65:67" ht="18.75" customHeight="1">
      <c r="BM45116" s="1025"/>
      <c r="BO45116" s="43"/>
    </row>
    <row r="45117" spans="65:67" ht="18.75" customHeight="1">
      <c r="BM45117" s="1025"/>
      <c r="BO45117" s="43"/>
    </row>
    <row r="45118" spans="65:67" ht="18.75" customHeight="1">
      <c r="BM45118" s="1025"/>
      <c r="BO45118" s="43"/>
    </row>
    <row r="45119" spans="65:67" ht="18.75" customHeight="1">
      <c r="BM45119" s="1025"/>
      <c r="BO45119" s="43"/>
    </row>
    <row r="45120" spans="65:67" ht="18.75" customHeight="1">
      <c r="BM45120" s="1025"/>
      <c r="BO45120" s="43"/>
    </row>
    <row r="45121" spans="65:67" ht="18.75" customHeight="1">
      <c r="BM45121" s="1025"/>
      <c r="BO45121" s="43"/>
    </row>
    <row r="45122" spans="65:67" ht="18.75" customHeight="1">
      <c r="BM45122" s="1025"/>
      <c r="BO45122" s="43"/>
    </row>
    <row r="45123" spans="65:67" ht="18.75" customHeight="1">
      <c r="BM45123" s="1025"/>
      <c r="BO45123" s="43"/>
    </row>
    <row r="45124" spans="65:67" ht="18.75" customHeight="1">
      <c r="BM45124" s="1025"/>
      <c r="BO45124" s="43"/>
    </row>
    <row r="45125" spans="65:67" ht="18.75" customHeight="1">
      <c r="BM45125" s="1025"/>
      <c r="BO45125" s="43"/>
    </row>
    <row r="45126" spans="65:67" ht="18.75" customHeight="1">
      <c r="BM45126" s="1025"/>
      <c r="BO45126" s="43"/>
    </row>
    <row r="45127" spans="65:67" ht="18.75" customHeight="1">
      <c r="BM45127" s="1025"/>
      <c r="BO45127" s="43"/>
    </row>
    <row r="45128" spans="65:67" ht="18.75" customHeight="1">
      <c r="BM45128" s="1025"/>
      <c r="BO45128" s="43"/>
    </row>
    <row r="45129" spans="65:67" ht="18.75" customHeight="1">
      <c r="BM45129" s="1025"/>
      <c r="BO45129" s="43"/>
    </row>
    <row r="45130" spans="65:67" ht="18.75" customHeight="1">
      <c r="BM45130" s="1025"/>
      <c r="BO45130" s="43"/>
    </row>
    <row r="45131" spans="65:67" ht="18.75" customHeight="1">
      <c r="BM45131" s="1025"/>
      <c r="BO45131" s="43"/>
    </row>
    <row r="45132" spans="65:67" ht="18.75" customHeight="1">
      <c r="BM45132" s="1025"/>
      <c r="BO45132" s="43"/>
    </row>
    <row r="45133" spans="65:67" ht="18.75" customHeight="1">
      <c r="BM45133" s="1025"/>
      <c r="BO45133" s="43"/>
    </row>
    <row r="45134" spans="65:67" ht="18.75" customHeight="1">
      <c r="BM45134" s="1025"/>
      <c r="BO45134" s="43"/>
    </row>
    <row r="45135" spans="65:67" ht="18.75" customHeight="1">
      <c r="BM45135" s="1025"/>
      <c r="BO45135" s="43"/>
    </row>
    <row r="45136" spans="65:67" ht="18.75" customHeight="1">
      <c r="BM45136" s="1025"/>
      <c r="BO45136" s="43"/>
    </row>
    <row r="45137" spans="65:67" ht="18.75" customHeight="1">
      <c r="BM45137" s="1025"/>
      <c r="BO45137" s="43"/>
    </row>
    <row r="45138" spans="65:67" ht="18.75" customHeight="1">
      <c r="BM45138" s="1025"/>
      <c r="BO45138" s="43"/>
    </row>
    <row r="45139" spans="65:67" ht="18.75" customHeight="1">
      <c r="BM45139" s="1025"/>
      <c r="BO45139" s="43"/>
    </row>
    <row r="45140" spans="65:67" ht="18.75" customHeight="1">
      <c r="BM45140" s="1025"/>
      <c r="BO45140" s="43"/>
    </row>
    <row r="45141" spans="65:67" ht="18.75" customHeight="1">
      <c r="BM45141" s="1025"/>
      <c r="BO45141" s="43"/>
    </row>
    <row r="45142" spans="65:67" ht="18.75" customHeight="1">
      <c r="BM45142" s="1025"/>
      <c r="BO45142" s="43"/>
    </row>
    <row r="45143" spans="65:67" ht="18.75" customHeight="1">
      <c r="BM45143" s="1025"/>
      <c r="BO45143" s="43"/>
    </row>
    <row r="45144" spans="65:67" ht="18.75" customHeight="1">
      <c r="BM45144" s="1025"/>
      <c r="BO45144" s="43"/>
    </row>
    <row r="45145" spans="65:67" ht="18.75" customHeight="1">
      <c r="BM45145" s="1025"/>
      <c r="BO45145" s="43"/>
    </row>
    <row r="45146" spans="65:67" ht="18.75" customHeight="1">
      <c r="BM45146" s="1025"/>
      <c r="BO45146" s="43"/>
    </row>
    <row r="45147" spans="65:67" ht="18.75" customHeight="1">
      <c r="BM45147" s="1025"/>
      <c r="BO45147" s="43"/>
    </row>
    <row r="45148" spans="65:67" ht="18.75" customHeight="1">
      <c r="BM45148" s="1025"/>
      <c r="BO45148" s="43"/>
    </row>
    <row r="45149" spans="65:67" ht="18.75" customHeight="1">
      <c r="BM45149" s="1025"/>
      <c r="BO45149" s="43"/>
    </row>
    <row r="45150" spans="65:67" ht="18.75" customHeight="1">
      <c r="BM45150" s="1025"/>
      <c r="BO45150" s="43"/>
    </row>
    <row r="45151" spans="65:67" ht="18.75" customHeight="1">
      <c r="BM45151" s="1025"/>
      <c r="BO45151" s="43"/>
    </row>
    <row r="45152" spans="65:67" ht="18.75" customHeight="1">
      <c r="BM45152" s="1025"/>
      <c r="BO45152" s="43"/>
    </row>
    <row r="45153" spans="65:67" ht="18.75" customHeight="1">
      <c r="BM45153" s="1025"/>
      <c r="BO45153" s="43"/>
    </row>
    <row r="45154" spans="65:67" ht="18.75" customHeight="1">
      <c r="BM45154" s="1025"/>
      <c r="BO45154" s="43"/>
    </row>
    <row r="45155" spans="65:67" ht="18.75" customHeight="1">
      <c r="BM45155" s="1025"/>
      <c r="BO45155" s="43"/>
    </row>
    <row r="45156" spans="65:67" ht="18.75" customHeight="1">
      <c r="BM45156" s="1025"/>
      <c r="BO45156" s="43"/>
    </row>
    <row r="45157" spans="65:67" ht="18.75" customHeight="1">
      <c r="BM45157" s="1025"/>
      <c r="BO45157" s="43"/>
    </row>
    <row r="45158" spans="65:67" ht="18.75" customHeight="1">
      <c r="BM45158" s="1025"/>
      <c r="BO45158" s="43"/>
    </row>
    <row r="45159" spans="65:67" ht="18.75" customHeight="1">
      <c r="BM45159" s="1025"/>
      <c r="BO45159" s="43"/>
    </row>
    <row r="45160" spans="65:67" ht="18.75" customHeight="1">
      <c r="BM45160" s="1025"/>
      <c r="BO45160" s="43"/>
    </row>
    <row r="45161" spans="65:67" ht="18.75" customHeight="1">
      <c r="BM45161" s="1025"/>
      <c r="BO45161" s="43"/>
    </row>
    <row r="45162" spans="65:67" ht="18.75" customHeight="1">
      <c r="BM45162" s="1025"/>
      <c r="BO45162" s="43"/>
    </row>
    <row r="45163" spans="65:67" ht="18.75" customHeight="1">
      <c r="BM45163" s="1025"/>
      <c r="BO45163" s="43"/>
    </row>
    <row r="45164" spans="65:67" ht="18.75" customHeight="1">
      <c r="BM45164" s="1025"/>
      <c r="BO45164" s="43"/>
    </row>
    <row r="45165" spans="65:67" ht="18.75" customHeight="1">
      <c r="BM45165" s="1025"/>
      <c r="BO45165" s="43"/>
    </row>
    <row r="45166" spans="65:67" ht="18.75" customHeight="1">
      <c r="BM45166" s="1025"/>
      <c r="BO45166" s="43"/>
    </row>
    <row r="45167" spans="65:67" ht="18.75" customHeight="1">
      <c r="BM45167" s="1025"/>
      <c r="BO45167" s="43"/>
    </row>
    <row r="45168" spans="65:67" ht="18.75" customHeight="1">
      <c r="BM45168" s="1025"/>
      <c r="BO45168" s="43"/>
    </row>
    <row r="45169" spans="65:67" ht="18.75" customHeight="1">
      <c r="BM45169" s="1025"/>
      <c r="BO45169" s="43"/>
    </row>
    <row r="45170" spans="65:67" ht="18.75" customHeight="1">
      <c r="BM45170" s="1025"/>
      <c r="BO45170" s="43"/>
    </row>
    <row r="45171" spans="65:67" ht="18.75" customHeight="1">
      <c r="BM45171" s="1025"/>
      <c r="BO45171" s="43"/>
    </row>
    <row r="45172" spans="65:67" ht="18.75" customHeight="1">
      <c r="BM45172" s="1025"/>
      <c r="BO45172" s="43"/>
    </row>
    <row r="45173" spans="65:67" ht="18.75" customHeight="1">
      <c r="BM45173" s="1025"/>
      <c r="BO45173" s="43"/>
    </row>
    <row r="45174" spans="65:67" ht="18.75" customHeight="1">
      <c r="BM45174" s="1025"/>
      <c r="BO45174" s="43"/>
    </row>
    <row r="45175" spans="65:67" ht="18.75" customHeight="1">
      <c r="BM45175" s="1025"/>
      <c r="BO45175" s="43"/>
    </row>
    <row r="45176" spans="65:67" ht="18.75" customHeight="1">
      <c r="BM45176" s="1025"/>
      <c r="BO45176" s="43"/>
    </row>
    <row r="45177" spans="65:67" ht="18.75" customHeight="1">
      <c r="BM45177" s="1025"/>
      <c r="BO45177" s="43"/>
    </row>
    <row r="45178" spans="65:67" ht="18.75" customHeight="1">
      <c r="BM45178" s="1025"/>
      <c r="BO45178" s="43"/>
    </row>
    <row r="45179" spans="65:67" ht="18.75" customHeight="1">
      <c r="BM45179" s="1025"/>
      <c r="BO45179" s="43"/>
    </row>
    <row r="45180" spans="65:67" ht="18.75" customHeight="1">
      <c r="BM45180" s="1025"/>
      <c r="BO45180" s="43"/>
    </row>
    <row r="45181" spans="65:67" ht="18.75" customHeight="1">
      <c r="BM45181" s="1025"/>
      <c r="BO45181" s="43"/>
    </row>
    <row r="45182" spans="65:67" ht="18.75" customHeight="1">
      <c r="BM45182" s="1025"/>
      <c r="BO45182" s="43"/>
    </row>
    <row r="45183" spans="65:67" ht="18.75" customHeight="1">
      <c r="BM45183" s="1025"/>
      <c r="BO45183" s="43"/>
    </row>
    <row r="45184" spans="65:67" ht="18.75" customHeight="1">
      <c r="BM45184" s="1025"/>
      <c r="BO45184" s="43"/>
    </row>
    <row r="45185" spans="65:67" ht="18.75" customHeight="1">
      <c r="BM45185" s="1025"/>
      <c r="BO45185" s="43"/>
    </row>
    <row r="45186" spans="65:67" ht="18.75" customHeight="1">
      <c r="BM45186" s="1025"/>
      <c r="BO45186" s="43"/>
    </row>
    <row r="45187" spans="65:67" ht="18.75" customHeight="1">
      <c r="BM45187" s="1025"/>
      <c r="BO45187" s="43"/>
    </row>
    <row r="45188" spans="65:67" ht="18.75" customHeight="1">
      <c r="BM45188" s="1025"/>
      <c r="BO45188" s="43"/>
    </row>
    <row r="45189" spans="65:67" ht="18.75" customHeight="1">
      <c r="BM45189" s="1025"/>
      <c r="BO45189" s="43"/>
    </row>
    <row r="45190" spans="65:67" ht="18.75" customHeight="1">
      <c r="BM45190" s="1025"/>
      <c r="BO45190" s="43"/>
    </row>
    <row r="45191" spans="65:67" ht="18.75" customHeight="1">
      <c r="BM45191" s="1025"/>
      <c r="BO45191" s="43"/>
    </row>
    <row r="45192" spans="65:67" ht="18.75" customHeight="1">
      <c r="BM45192" s="1025"/>
      <c r="BO45192" s="43"/>
    </row>
    <row r="45193" spans="65:67" ht="18.75" customHeight="1">
      <c r="BM45193" s="1025"/>
      <c r="BO45193" s="43"/>
    </row>
    <row r="45194" spans="65:67" ht="18.75" customHeight="1">
      <c r="BM45194" s="1025"/>
      <c r="BO45194" s="43"/>
    </row>
    <row r="45195" spans="65:67" ht="18.75" customHeight="1">
      <c r="BM45195" s="1025"/>
      <c r="BO45195" s="43"/>
    </row>
    <row r="45196" spans="65:67" ht="18.75" customHeight="1">
      <c r="BM45196" s="1025"/>
      <c r="BO45196" s="43"/>
    </row>
    <row r="45197" spans="65:67" ht="18.75" customHeight="1">
      <c r="BM45197" s="1025"/>
      <c r="BO45197" s="43"/>
    </row>
    <row r="45198" spans="65:67" ht="18.75" customHeight="1">
      <c r="BM45198" s="1025"/>
      <c r="BO45198" s="43"/>
    </row>
    <row r="45199" spans="65:67" ht="18.75" customHeight="1">
      <c r="BM45199" s="1025"/>
      <c r="BO45199" s="43"/>
    </row>
    <row r="45200" spans="65:67" ht="18.75" customHeight="1">
      <c r="BM45200" s="1025"/>
      <c r="BO45200" s="43"/>
    </row>
    <row r="45201" spans="65:67" ht="18.75" customHeight="1">
      <c r="BM45201" s="1025"/>
      <c r="BO45201" s="43"/>
    </row>
    <row r="45202" spans="65:67" ht="18.75" customHeight="1">
      <c r="BM45202" s="1025"/>
      <c r="BO45202" s="43"/>
    </row>
    <row r="45203" spans="65:67" ht="18.75" customHeight="1">
      <c r="BM45203" s="1025"/>
      <c r="BO45203" s="43"/>
    </row>
    <row r="45204" spans="65:67" ht="18.75" customHeight="1">
      <c r="BM45204" s="1025"/>
      <c r="BO45204" s="43"/>
    </row>
    <row r="45205" spans="65:67" ht="18.75" customHeight="1">
      <c r="BM45205" s="1025"/>
      <c r="BO45205" s="43"/>
    </row>
    <row r="45206" spans="65:67" ht="18.75" customHeight="1">
      <c r="BM45206" s="1025"/>
      <c r="BO45206" s="43"/>
    </row>
    <row r="45207" spans="65:67" ht="18.75" customHeight="1">
      <c r="BM45207" s="1025"/>
      <c r="BO45207" s="43"/>
    </row>
    <row r="45208" spans="65:67" ht="18.75" customHeight="1">
      <c r="BM45208" s="1025"/>
      <c r="BO45208" s="43"/>
    </row>
    <row r="45209" spans="65:67" ht="18.75" customHeight="1">
      <c r="BM45209" s="1025"/>
      <c r="BO45209" s="43"/>
    </row>
    <row r="45210" spans="65:67" ht="18.75" customHeight="1">
      <c r="BM45210" s="1025"/>
      <c r="BO45210" s="43"/>
    </row>
    <row r="45211" spans="65:67" ht="18.75" customHeight="1">
      <c r="BM45211" s="1025"/>
      <c r="BO45211" s="43"/>
    </row>
    <row r="45212" spans="65:67" ht="18.75" customHeight="1">
      <c r="BM45212" s="1025"/>
      <c r="BO45212" s="43"/>
    </row>
    <row r="45213" spans="65:67" ht="18.75" customHeight="1">
      <c r="BM45213" s="1025"/>
      <c r="BO45213" s="43"/>
    </row>
    <row r="45214" spans="65:67" ht="18.75" customHeight="1">
      <c r="BM45214" s="1025"/>
      <c r="BO45214" s="43"/>
    </row>
    <row r="45215" spans="65:67" ht="18.75" customHeight="1">
      <c r="BM45215" s="1025"/>
      <c r="BO45215" s="43"/>
    </row>
    <row r="45216" spans="65:67" ht="18.75" customHeight="1">
      <c r="BM45216" s="1025"/>
      <c r="BO45216" s="43"/>
    </row>
    <row r="45217" spans="65:67" ht="18.75" customHeight="1">
      <c r="BM45217" s="1025"/>
      <c r="BO45217" s="43"/>
    </row>
    <row r="45218" spans="65:67" ht="18.75" customHeight="1">
      <c r="BM45218" s="1025"/>
      <c r="BO45218" s="43"/>
    </row>
    <row r="45219" spans="65:67" ht="18.75" customHeight="1">
      <c r="BM45219" s="1025"/>
      <c r="BO45219" s="43"/>
    </row>
    <row r="45220" spans="65:67" ht="18.75" customHeight="1">
      <c r="BM45220" s="1025"/>
      <c r="BO45220" s="43"/>
    </row>
    <row r="45221" spans="65:67" ht="18.75" customHeight="1">
      <c r="BM45221" s="1025"/>
      <c r="BO45221" s="43"/>
    </row>
    <row r="45222" spans="65:67" ht="18.75" customHeight="1">
      <c r="BM45222" s="1025"/>
      <c r="BO45222" s="43"/>
    </row>
    <row r="45223" spans="65:67" ht="18.75" customHeight="1">
      <c r="BM45223" s="1025"/>
      <c r="BO45223" s="43"/>
    </row>
    <row r="45224" spans="65:67" ht="18.75" customHeight="1">
      <c r="BM45224" s="1025"/>
      <c r="BO45224" s="43"/>
    </row>
    <row r="45225" spans="65:67" ht="18.75" customHeight="1">
      <c r="BM45225" s="1025"/>
      <c r="BO45225" s="43"/>
    </row>
    <row r="45226" spans="65:67" ht="18.75" customHeight="1">
      <c r="BM45226" s="1025"/>
      <c r="BO45226" s="43"/>
    </row>
    <row r="45227" spans="65:67" ht="18.75" customHeight="1">
      <c r="BM45227" s="1025"/>
      <c r="BO45227" s="43"/>
    </row>
    <row r="45228" spans="65:67" ht="18.75" customHeight="1">
      <c r="BM45228" s="1025"/>
      <c r="BO45228" s="43"/>
    </row>
    <row r="45229" spans="65:67" ht="18.75" customHeight="1">
      <c r="BM45229" s="1025"/>
      <c r="BO45229" s="43"/>
    </row>
    <row r="45230" spans="65:67" ht="18.75" customHeight="1">
      <c r="BM45230" s="1025"/>
      <c r="BO45230" s="43"/>
    </row>
    <row r="45231" spans="65:67" ht="18.75" customHeight="1">
      <c r="BM45231" s="1025"/>
      <c r="BO45231" s="43"/>
    </row>
    <row r="45232" spans="65:67" ht="18.75" customHeight="1">
      <c r="BM45232" s="1025"/>
      <c r="BO45232" s="43"/>
    </row>
    <row r="45233" spans="65:67" ht="18.75" customHeight="1">
      <c r="BM45233" s="1025"/>
      <c r="BO45233" s="43"/>
    </row>
    <row r="45234" spans="65:67" ht="18.75" customHeight="1">
      <c r="BM45234" s="1025"/>
      <c r="BO45234" s="43"/>
    </row>
    <row r="45235" spans="65:67" ht="18.75" customHeight="1">
      <c r="BM45235" s="1025"/>
      <c r="BO45235" s="43"/>
    </row>
    <row r="45236" spans="65:67" ht="18.75" customHeight="1">
      <c r="BM45236" s="1025"/>
      <c r="BO45236" s="43"/>
    </row>
    <row r="45237" spans="65:67" ht="18.75" customHeight="1">
      <c r="BM45237" s="1025"/>
      <c r="BO45237" s="43"/>
    </row>
    <row r="45238" spans="65:67" ht="18.75" customHeight="1">
      <c r="BM45238" s="1025"/>
      <c r="BO45238" s="43"/>
    </row>
    <row r="45239" spans="65:67" ht="18.75" customHeight="1">
      <c r="BM45239" s="1025"/>
      <c r="BO45239" s="43"/>
    </row>
    <row r="45240" spans="65:67" ht="18.75" customHeight="1">
      <c r="BM45240" s="1025"/>
      <c r="BO45240" s="43"/>
    </row>
    <row r="45241" spans="65:67" ht="18.75" customHeight="1">
      <c r="BM45241" s="1025"/>
      <c r="BO45241" s="43"/>
    </row>
    <row r="45242" spans="65:67" ht="18.75" customHeight="1">
      <c r="BM45242" s="1025"/>
      <c r="BO45242" s="43"/>
    </row>
    <row r="45243" spans="65:67" ht="18.75" customHeight="1">
      <c r="BM45243" s="1025"/>
      <c r="BO45243" s="43"/>
    </row>
    <row r="45244" spans="65:67" ht="18.75" customHeight="1">
      <c r="BM45244" s="1025"/>
      <c r="BO45244" s="43"/>
    </row>
    <row r="45245" spans="65:67" ht="18.75" customHeight="1">
      <c r="BM45245" s="1025"/>
      <c r="BO45245" s="43"/>
    </row>
    <row r="45246" spans="65:67" ht="18.75" customHeight="1">
      <c r="BM45246" s="1025"/>
      <c r="BO45246" s="43"/>
    </row>
    <row r="45247" spans="65:67" ht="18.75" customHeight="1">
      <c r="BM45247" s="1025"/>
      <c r="BO45247" s="43"/>
    </row>
    <row r="45248" spans="65:67" ht="18.75" customHeight="1">
      <c r="BM45248" s="1025"/>
      <c r="BO45248" s="43"/>
    </row>
    <row r="45249" spans="65:67" ht="18.75" customHeight="1">
      <c r="BM45249" s="1025"/>
      <c r="BO45249" s="43"/>
    </row>
    <row r="45250" spans="65:67" ht="18.75" customHeight="1">
      <c r="BM45250" s="1025"/>
      <c r="BO45250" s="43"/>
    </row>
    <row r="45251" spans="65:67" ht="18.75" customHeight="1">
      <c r="BM45251" s="1025"/>
      <c r="BO45251" s="43"/>
    </row>
    <row r="45252" spans="65:67" ht="18.75" customHeight="1">
      <c r="BM45252" s="1025"/>
      <c r="BO45252" s="43"/>
    </row>
    <row r="45253" spans="65:67" ht="18.75" customHeight="1">
      <c r="BM45253" s="1025"/>
      <c r="BO45253" s="43"/>
    </row>
    <row r="45254" spans="65:67" ht="18.75" customHeight="1">
      <c r="BM45254" s="1025"/>
      <c r="BO45254" s="43"/>
    </row>
    <row r="45255" spans="65:67" ht="18.75" customHeight="1">
      <c r="BM45255" s="1025"/>
      <c r="BO45255" s="43"/>
    </row>
    <row r="45256" spans="65:67" ht="18.75" customHeight="1">
      <c r="BM45256" s="1025"/>
      <c r="BO45256" s="43"/>
    </row>
    <row r="45257" spans="65:67" ht="18.75" customHeight="1">
      <c r="BM45257" s="1025"/>
      <c r="BO45257" s="43"/>
    </row>
    <row r="45258" spans="65:67" ht="18.75" customHeight="1">
      <c r="BM45258" s="1025"/>
      <c r="BO45258" s="43"/>
    </row>
    <row r="45259" spans="65:67" ht="18.75" customHeight="1">
      <c r="BM45259" s="1025"/>
      <c r="BO45259" s="43"/>
    </row>
    <row r="45260" spans="65:67" ht="18.75" customHeight="1">
      <c r="BM45260" s="1025"/>
      <c r="BO45260" s="43"/>
    </row>
    <row r="45261" spans="65:67" ht="18.75" customHeight="1">
      <c r="BM45261" s="1025"/>
      <c r="BO45261" s="43"/>
    </row>
    <row r="45262" spans="65:67" ht="18.75" customHeight="1">
      <c r="BM45262" s="1025"/>
      <c r="BO45262" s="43"/>
    </row>
    <row r="45263" spans="65:67" ht="18.75" customHeight="1">
      <c r="BM45263" s="1025"/>
      <c r="BO45263" s="43"/>
    </row>
    <row r="45264" spans="65:67" ht="18.75" customHeight="1">
      <c r="BM45264" s="1025"/>
      <c r="BO45264" s="43"/>
    </row>
    <row r="45265" spans="65:67" ht="18.75" customHeight="1">
      <c r="BM45265" s="1025"/>
      <c r="BO45265" s="43"/>
    </row>
    <row r="45266" spans="65:67" ht="18.75" customHeight="1">
      <c r="BM45266" s="1025"/>
      <c r="BO45266" s="43"/>
    </row>
    <row r="45267" spans="65:67" ht="18.75" customHeight="1">
      <c r="BM45267" s="1025"/>
      <c r="BO45267" s="43"/>
    </row>
    <row r="45268" spans="65:67" ht="18.75" customHeight="1">
      <c r="BM45268" s="1025"/>
      <c r="BO45268" s="43"/>
    </row>
    <row r="45269" spans="65:67" ht="18.75" customHeight="1">
      <c r="BM45269" s="1025"/>
      <c r="BO45269" s="43"/>
    </row>
    <row r="45270" spans="65:67" ht="18.75" customHeight="1">
      <c r="BM45270" s="1025"/>
      <c r="BO45270" s="43"/>
    </row>
    <row r="45271" spans="65:67" ht="18.75" customHeight="1">
      <c r="BM45271" s="1025"/>
      <c r="BO45271" s="43"/>
    </row>
    <row r="45272" spans="65:67" ht="18.75" customHeight="1">
      <c r="BM45272" s="1025"/>
      <c r="BO45272" s="43"/>
    </row>
    <row r="45273" spans="65:67" ht="18.75" customHeight="1">
      <c r="BM45273" s="1025"/>
      <c r="BO45273" s="43"/>
    </row>
    <row r="45274" spans="65:67" ht="18.75" customHeight="1">
      <c r="BM45274" s="1025"/>
      <c r="BO45274" s="43"/>
    </row>
    <row r="45275" spans="65:67" ht="18.75" customHeight="1">
      <c r="BM45275" s="1025"/>
      <c r="BO45275" s="43"/>
    </row>
    <row r="45276" spans="65:67" ht="18.75" customHeight="1">
      <c r="BM45276" s="1025"/>
      <c r="BO45276" s="43"/>
    </row>
    <row r="45277" spans="65:67" ht="18.75" customHeight="1">
      <c r="BM45277" s="1025"/>
      <c r="BO45277" s="43"/>
    </row>
    <row r="45278" spans="65:67" ht="18.75" customHeight="1">
      <c r="BM45278" s="1025"/>
      <c r="BO45278" s="43"/>
    </row>
    <row r="45279" spans="65:67" ht="18.75" customHeight="1">
      <c r="BM45279" s="1025"/>
      <c r="BO45279" s="43"/>
    </row>
    <row r="45280" spans="65:67" ht="18.75" customHeight="1">
      <c r="BM45280" s="1025"/>
      <c r="BO45280" s="43"/>
    </row>
    <row r="45281" spans="65:67" ht="18.75" customHeight="1">
      <c r="BM45281" s="1025"/>
      <c r="BO45281" s="43"/>
    </row>
    <row r="45282" spans="65:67" ht="18.75" customHeight="1">
      <c r="BM45282" s="1025"/>
      <c r="BO45282" s="43"/>
    </row>
    <row r="45283" spans="65:67" ht="18.75" customHeight="1">
      <c r="BM45283" s="1025"/>
      <c r="BO45283" s="43"/>
    </row>
    <row r="45284" spans="65:67" ht="18.75" customHeight="1">
      <c r="BM45284" s="1025"/>
      <c r="BO45284" s="43"/>
    </row>
    <row r="45285" spans="65:67" ht="18.75" customHeight="1">
      <c r="BM45285" s="1025"/>
      <c r="BO45285" s="43"/>
    </row>
    <row r="45286" spans="65:67" ht="18.75" customHeight="1">
      <c r="BM45286" s="1025"/>
      <c r="BO45286" s="43"/>
    </row>
    <row r="45287" spans="65:67" ht="18.75" customHeight="1">
      <c r="BM45287" s="1025"/>
      <c r="BO45287" s="43"/>
    </row>
    <row r="45288" spans="65:67" ht="18.75" customHeight="1">
      <c r="BM45288" s="1025"/>
      <c r="BO45288" s="43"/>
    </row>
    <row r="45289" spans="65:67" ht="18.75" customHeight="1">
      <c r="BM45289" s="1025"/>
      <c r="BO45289" s="43"/>
    </row>
    <row r="45290" spans="65:67" ht="18.75" customHeight="1">
      <c r="BM45290" s="1025"/>
      <c r="BO45290" s="43"/>
    </row>
    <row r="45291" spans="65:67" ht="18.75" customHeight="1">
      <c r="BM45291" s="1025"/>
      <c r="BO45291" s="43"/>
    </row>
    <row r="45292" spans="65:67" ht="18.75" customHeight="1">
      <c r="BM45292" s="1025"/>
      <c r="BO45292" s="43"/>
    </row>
    <row r="45293" spans="65:67" ht="18.75" customHeight="1">
      <c r="BM45293" s="1025"/>
      <c r="BO45293" s="43"/>
    </row>
    <row r="45294" spans="65:67" ht="18.75" customHeight="1">
      <c r="BM45294" s="1025"/>
      <c r="BO45294" s="43"/>
    </row>
    <row r="45295" spans="65:67" ht="18.75" customHeight="1">
      <c r="BM45295" s="1025"/>
      <c r="BO45295" s="43"/>
    </row>
    <row r="45296" spans="65:67" ht="18.75" customHeight="1">
      <c r="BM45296" s="1025"/>
      <c r="BO45296" s="43"/>
    </row>
    <row r="45297" spans="65:67" ht="18.75" customHeight="1">
      <c r="BM45297" s="1025"/>
      <c r="BO45297" s="43"/>
    </row>
    <row r="45298" spans="65:67" ht="18.75" customHeight="1">
      <c r="BM45298" s="1025"/>
      <c r="BO45298" s="43"/>
    </row>
    <row r="45299" spans="65:67" ht="18.75" customHeight="1">
      <c r="BM45299" s="1025"/>
      <c r="BO45299" s="43"/>
    </row>
    <row r="45300" spans="65:67" ht="18.75" customHeight="1">
      <c r="BM45300" s="1025"/>
      <c r="BO45300" s="43"/>
    </row>
    <row r="45301" spans="65:67" ht="18.75" customHeight="1">
      <c r="BM45301" s="1025"/>
      <c r="BO45301" s="43"/>
    </row>
    <row r="45302" spans="65:67" ht="18.75" customHeight="1">
      <c r="BM45302" s="1025"/>
      <c r="BO45302" s="43"/>
    </row>
    <row r="45303" spans="65:67" ht="18.75" customHeight="1">
      <c r="BM45303" s="1025"/>
      <c r="BO45303" s="43"/>
    </row>
    <row r="45304" spans="65:67" ht="18.75" customHeight="1">
      <c r="BM45304" s="1025"/>
      <c r="BO45304" s="43"/>
    </row>
    <row r="45305" spans="65:67" ht="18.75" customHeight="1">
      <c r="BM45305" s="1025"/>
      <c r="BO45305" s="43"/>
    </row>
    <row r="45306" spans="65:67" ht="18.75" customHeight="1">
      <c r="BM45306" s="1025"/>
      <c r="BO45306" s="43"/>
    </row>
    <row r="45307" spans="65:67" ht="18.75" customHeight="1">
      <c r="BM45307" s="1025"/>
      <c r="BO45307" s="43"/>
    </row>
    <row r="45308" spans="65:67" ht="18.75" customHeight="1">
      <c r="BM45308" s="1025"/>
      <c r="BO45308" s="43"/>
    </row>
    <row r="45309" spans="65:67" ht="18.75" customHeight="1">
      <c r="BM45309" s="1025"/>
      <c r="BO45309" s="43"/>
    </row>
    <row r="45310" spans="65:67" ht="18.75" customHeight="1">
      <c r="BM45310" s="1025"/>
      <c r="BO45310" s="43"/>
    </row>
    <row r="45311" spans="65:67" ht="18.75" customHeight="1">
      <c r="BM45311" s="1025"/>
      <c r="BO45311" s="43"/>
    </row>
    <row r="45312" spans="65:67" ht="18.75" customHeight="1">
      <c r="BM45312" s="1025"/>
      <c r="BO45312" s="43"/>
    </row>
    <row r="45313" spans="65:67" ht="18.75" customHeight="1">
      <c r="BM45313" s="1025"/>
      <c r="BO45313" s="43"/>
    </row>
    <row r="45314" spans="65:67" ht="18.75" customHeight="1">
      <c r="BM45314" s="1025"/>
      <c r="BO45314" s="43"/>
    </row>
    <row r="45315" spans="65:67" ht="18.75" customHeight="1">
      <c r="BM45315" s="1025"/>
      <c r="BO45315" s="43"/>
    </row>
    <row r="45316" spans="65:67" ht="18.75" customHeight="1">
      <c r="BM45316" s="1025"/>
      <c r="BO45316" s="43"/>
    </row>
    <row r="45317" spans="65:67" ht="18.75" customHeight="1">
      <c r="BM45317" s="1025"/>
      <c r="BO45317" s="43"/>
    </row>
    <row r="45318" spans="65:67" ht="18.75" customHeight="1">
      <c r="BM45318" s="1025"/>
      <c r="BO45318" s="43"/>
    </row>
    <row r="45319" spans="65:67" ht="18.75" customHeight="1">
      <c r="BM45319" s="1025"/>
      <c r="BO45319" s="43"/>
    </row>
    <row r="45320" spans="65:67" ht="18.75" customHeight="1">
      <c r="BM45320" s="1025"/>
      <c r="BO45320" s="43"/>
    </row>
    <row r="45321" spans="65:67" ht="18.75" customHeight="1">
      <c r="BM45321" s="1025"/>
      <c r="BO45321" s="43"/>
    </row>
    <row r="45322" spans="65:67" ht="18.75" customHeight="1">
      <c r="BM45322" s="1025"/>
      <c r="BO45322" s="43"/>
    </row>
    <row r="45323" spans="65:67" ht="18.75" customHeight="1">
      <c r="BM45323" s="1025"/>
      <c r="BO45323" s="43"/>
    </row>
    <row r="45324" spans="65:67" ht="18.75" customHeight="1">
      <c r="BM45324" s="1025"/>
      <c r="BO45324" s="43"/>
    </row>
    <row r="45325" spans="65:67" ht="18.75" customHeight="1">
      <c r="BM45325" s="1025"/>
      <c r="BO45325" s="43"/>
    </row>
    <row r="45326" spans="65:67" ht="18.75" customHeight="1">
      <c r="BM45326" s="1025"/>
      <c r="BO45326" s="43"/>
    </row>
    <row r="45327" spans="65:67" ht="18.75" customHeight="1">
      <c r="BM45327" s="1025"/>
      <c r="BO45327" s="43"/>
    </row>
    <row r="45328" spans="65:67" ht="18.75" customHeight="1">
      <c r="BM45328" s="1025"/>
      <c r="BO45328" s="43"/>
    </row>
    <row r="45329" spans="65:67" ht="18.75" customHeight="1">
      <c r="BM45329" s="1025"/>
      <c r="BO45329" s="43"/>
    </row>
    <row r="45330" spans="65:67" ht="18.75" customHeight="1">
      <c r="BM45330" s="1025"/>
      <c r="BO45330" s="43"/>
    </row>
    <row r="45331" spans="65:67" ht="18.75" customHeight="1">
      <c r="BM45331" s="1025"/>
      <c r="BO45331" s="43"/>
    </row>
    <row r="45332" spans="65:67" ht="18.75" customHeight="1">
      <c r="BM45332" s="1025"/>
      <c r="BO45332" s="43"/>
    </row>
    <row r="45333" spans="65:67" ht="18.75" customHeight="1">
      <c r="BM45333" s="1025"/>
      <c r="BO45333" s="43"/>
    </row>
    <row r="45334" spans="65:67" ht="18.75" customHeight="1">
      <c r="BM45334" s="1025"/>
      <c r="BO45334" s="43"/>
    </row>
    <row r="45335" spans="65:67" ht="18.75" customHeight="1">
      <c r="BM45335" s="1025"/>
      <c r="BO45335" s="43"/>
    </row>
    <row r="45336" spans="65:67" ht="18.75" customHeight="1">
      <c r="BM45336" s="1025"/>
      <c r="BO45336" s="43"/>
    </row>
    <row r="45337" spans="65:67" ht="18.75" customHeight="1">
      <c r="BM45337" s="1025"/>
      <c r="BO45337" s="43"/>
    </row>
    <row r="45338" spans="65:67" ht="18.75" customHeight="1">
      <c r="BM45338" s="1025"/>
      <c r="BO45338" s="43"/>
    </row>
    <row r="45339" spans="65:67" ht="18.75" customHeight="1">
      <c r="BM45339" s="1025"/>
      <c r="BO45339" s="43"/>
    </row>
    <row r="45340" spans="65:67" ht="18.75" customHeight="1">
      <c r="BM45340" s="1025"/>
      <c r="BO45340" s="43"/>
    </row>
    <row r="45341" spans="65:67" ht="18.75" customHeight="1">
      <c r="BM45341" s="1025"/>
      <c r="BO45341" s="43"/>
    </row>
    <row r="45342" spans="65:67" ht="18.75" customHeight="1">
      <c r="BM45342" s="1025"/>
      <c r="BO45342" s="43"/>
    </row>
    <row r="45343" spans="65:67" ht="18.75" customHeight="1">
      <c r="BM45343" s="1025"/>
      <c r="BO45343" s="43"/>
    </row>
    <row r="45344" spans="65:67" ht="18.75" customHeight="1">
      <c r="BM45344" s="1025"/>
      <c r="BO45344" s="43"/>
    </row>
    <row r="45345" spans="65:67" ht="18.75" customHeight="1">
      <c r="BM45345" s="1025"/>
      <c r="BO45345" s="43"/>
    </row>
    <row r="45346" spans="65:67" ht="18.75" customHeight="1">
      <c r="BM45346" s="1025"/>
      <c r="BO45346" s="43"/>
    </row>
    <row r="45347" spans="65:67" ht="18.75" customHeight="1">
      <c r="BM45347" s="1025"/>
      <c r="BO45347" s="43"/>
    </row>
    <row r="45348" spans="65:67" ht="18.75" customHeight="1">
      <c r="BM45348" s="1025"/>
      <c r="BO45348" s="43"/>
    </row>
    <row r="45349" spans="65:67" ht="18.75" customHeight="1">
      <c r="BM45349" s="1025"/>
      <c r="BO45349" s="43"/>
    </row>
    <row r="45350" spans="65:67" ht="18.75" customHeight="1">
      <c r="BM45350" s="1025"/>
      <c r="BO45350" s="43"/>
    </row>
    <row r="45351" spans="65:67" ht="18.75" customHeight="1">
      <c r="BM45351" s="1025"/>
      <c r="BO45351" s="43"/>
    </row>
    <row r="45352" spans="65:67" ht="18.75" customHeight="1">
      <c r="BM45352" s="1025"/>
      <c r="BO45352" s="43"/>
    </row>
    <row r="45353" spans="65:67" ht="18.75" customHeight="1">
      <c r="BM45353" s="1025"/>
      <c r="BO45353" s="43"/>
    </row>
    <row r="45354" spans="65:67" ht="18.75" customHeight="1">
      <c r="BM45354" s="1025"/>
      <c r="BO45354" s="43"/>
    </row>
    <row r="45355" spans="65:67" ht="18.75" customHeight="1">
      <c r="BM45355" s="1025"/>
      <c r="BO45355" s="43"/>
    </row>
    <row r="45356" spans="65:67" ht="18.75" customHeight="1">
      <c r="BM45356" s="1025"/>
      <c r="BO45356" s="43"/>
    </row>
    <row r="45357" spans="65:67" ht="18.75" customHeight="1">
      <c r="BM45357" s="1025"/>
      <c r="BO45357" s="43"/>
    </row>
    <row r="45358" spans="65:67" ht="18.75" customHeight="1">
      <c r="BM45358" s="1025"/>
      <c r="BO45358" s="43"/>
    </row>
    <row r="45359" spans="65:67" ht="18.75" customHeight="1">
      <c r="BM45359" s="1025"/>
      <c r="BO45359" s="43"/>
    </row>
    <row r="45360" spans="65:67" ht="18.75" customHeight="1">
      <c r="BM45360" s="1025"/>
      <c r="BO45360" s="43"/>
    </row>
    <row r="45361" spans="65:67" ht="18.75" customHeight="1">
      <c r="BM45361" s="1025"/>
      <c r="BO45361" s="43"/>
    </row>
    <row r="45362" spans="65:67" ht="18.75" customHeight="1">
      <c r="BM45362" s="1025"/>
      <c r="BO45362" s="43"/>
    </row>
    <row r="45363" spans="65:67" ht="18.75" customHeight="1">
      <c r="BM45363" s="1025"/>
      <c r="BO45363" s="43"/>
    </row>
    <row r="45364" spans="65:67" ht="18.75" customHeight="1">
      <c r="BM45364" s="1025"/>
      <c r="BO45364" s="43"/>
    </row>
    <row r="45365" spans="65:67" ht="18.75" customHeight="1">
      <c r="BM45365" s="1025"/>
      <c r="BO45365" s="43"/>
    </row>
    <row r="45366" spans="65:67" ht="18.75" customHeight="1">
      <c r="BM45366" s="1025"/>
      <c r="BO45366" s="43"/>
    </row>
    <row r="45367" spans="65:67" ht="18.75" customHeight="1">
      <c r="BM45367" s="1025"/>
      <c r="BO45367" s="43"/>
    </row>
    <row r="45368" spans="65:67" ht="18.75" customHeight="1">
      <c r="BM45368" s="1025"/>
      <c r="BO45368" s="43"/>
    </row>
    <row r="45369" spans="65:67" ht="18.75" customHeight="1">
      <c r="BM45369" s="1025"/>
      <c r="BO45369" s="43"/>
    </row>
    <row r="45370" spans="65:67" ht="18.75" customHeight="1">
      <c r="BM45370" s="1025"/>
      <c r="BO45370" s="43"/>
    </row>
    <row r="45371" spans="65:67" ht="18.75" customHeight="1">
      <c r="BM45371" s="1025"/>
      <c r="BO45371" s="43"/>
    </row>
    <row r="45372" spans="65:67" ht="18.75" customHeight="1">
      <c r="BM45372" s="1025"/>
      <c r="BO45372" s="43"/>
    </row>
    <row r="45373" spans="65:67" ht="18.75" customHeight="1">
      <c r="BM45373" s="1025"/>
      <c r="BO45373" s="43"/>
    </row>
    <row r="45374" spans="65:67" ht="18.75" customHeight="1">
      <c r="BM45374" s="1025"/>
      <c r="BO45374" s="43"/>
    </row>
    <row r="45375" spans="65:67" ht="18.75" customHeight="1">
      <c r="BM45375" s="1025"/>
      <c r="BO45375" s="43"/>
    </row>
    <row r="45376" spans="65:67" ht="18.75" customHeight="1">
      <c r="BM45376" s="1025"/>
      <c r="BO45376" s="43"/>
    </row>
    <row r="45377" spans="65:67" ht="18.75" customHeight="1">
      <c r="BM45377" s="1025"/>
      <c r="BO45377" s="43"/>
    </row>
    <row r="45378" spans="65:67" ht="18.75" customHeight="1">
      <c r="BM45378" s="1025"/>
      <c r="BO45378" s="43"/>
    </row>
    <row r="45379" spans="65:67" ht="18.75" customHeight="1">
      <c r="BM45379" s="1025"/>
      <c r="BO45379" s="43"/>
    </row>
    <row r="45380" spans="65:67" ht="18.75" customHeight="1">
      <c r="BM45380" s="1025"/>
      <c r="BO45380" s="43"/>
    </row>
    <row r="45381" spans="65:67" ht="18.75" customHeight="1">
      <c r="BM45381" s="1025"/>
      <c r="BO45381" s="43"/>
    </row>
    <row r="45382" spans="65:67" ht="18.75" customHeight="1">
      <c r="BM45382" s="1025"/>
      <c r="BO45382" s="43"/>
    </row>
    <row r="45383" spans="65:67" ht="18.75" customHeight="1">
      <c r="BM45383" s="1025"/>
      <c r="BO45383" s="43"/>
    </row>
    <row r="45384" spans="65:67" ht="18.75" customHeight="1">
      <c r="BM45384" s="1025"/>
      <c r="BO45384" s="43"/>
    </row>
    <row r="45385" spans="65:67" ht="18.75" customHeight="1">
      <c r="BM45385" s="1025"/>
      <c r="BO45385" s="43"/>
    </row>
    <row r="45386" spans="65:67" ht="18.75" customHeight="1">
      <c r="BM45386" s="1025"/>
      <c r="BO45386" s="43"/>
    </row>
    <row r="45387" spans="65:67" ht="18.75" customHeight="1">
      <c r="BM45387" s="1025"/>
      <c r="BO45387" s="43"/>
    </row>
    <row r="45388" spans="65:67" ht="18.75" customHeight="1">
      <c r="BM45388" s="1025"/>
      <c r="BO45388" s="43"/>
    </row>
    <row r="45389" spans="65:67" ht="18.75" customHeight="1">
      <c r="BM45389" s="1025"/>
      <c r="BO45389" s="43"/>
    </row>
    <row r="45390" spans="65:67" ht="18.75" customHeight="1">
      <c r="BM45390" s="1025"/>
      <c r="BO45390" s="43"/>
    </row>
    <row r="45391" spans="65:67" ht="18.75" customHeight="1">
      <c r="BM45391" s="1025"/>
      <c r="BO45391" s="43"/>
    </row>
    <row r="45392" spans="65:67" ht="18.75" customHeight="1">
      <c r="BM45392" s="1025"/>
      <c r="BO45392" s="43"/>
    </row>
    <row r="45393" spans="65:67" ht="18.75" customHeight="1">
      <c r="BM45393" s="1025"/>
      <c r="BO45393" s="43"/>
    </row>
    <row r="45394" spans="65:67" ht="18.75" customHeight="1">
      <c r="BM45394" s="1025"/>
      <c r="BO45394" s="43"/>
    </row>
    <row r="45395" spans="65:67" ht="18.75" customHeight="1">
      <c r="BM45395" s="1025"/>
      <c r="BO45395" s="43"/>
    </row>
    <row r="45396" spans="65:67" ht="18.75" customHeight="1">
      <c r="BM45396" s="1025"/>
      <c r="BO45396" s="43"/>
    </row>
    <row r="45397" spans="65:67" ht="18.75" customHeight="1">
      <c r="BM45397" s="1025"/>
      <c r="BO45397" s="43"/>
    </row>
    <row r="45398" spans="65:67" ht="18.75" customHeight="1">
      <c r="BM45398" s="1025"/>
      <c r="BO45398" s="43"/>
    </row>
    <row r="45399" spans="65:67" ht="18.75" customHeight="1">
      <c r="BM45399" s="1025"/>
      <c r="BO45399" s="43"/>
    </row>
    <row r="45400" spans="65:67" ht="18.75" customHeight="1">
      <c r="BM45400" s="1025"/>
      <c r="BO45400" s="43"/>
    </row>
    <row r="45401" spans="65:67" ht="18.75" customHeight="1">
      <c r="BM45401" s="1025"/>
      <c r="BO45401" s="43"/>
    </row>
    <row r="45402" spans="65:67" ht="18.75" customHeight="1">
      <c r="BM45402" s="1025"/>
      <c r="BO45402" s="43"/>
    </row>
    <row r="45403" spans="65:67" ht="18.75" customHeight="1">
      <c r="BM45403" s="1025"/>
      <c r="BO45403" s="43"/>
    </row>
    <row r="45404" spans="65:67" ht="18.75" customHeight="1">
      <c r="BM45404" s="1025"/>
      <c r="BO45404" s="43"/>
    </row>
    <row r="45405" spans="65:67" ht="18.75" customHeight="1">
      <c r="BM45405" s="1025"/>
      <c r="BO45405" s="43"/>
    </row>
    <row r="45406" spans="65:67" ht="18.75" customHeight="1">
      <c r="BM45406" s="1025"/>
      <c r="BO45406" s="43"/>
    </row>
    <row r="45407" spans="65:67" ht="18.75" customHeight="1">
      <c r="BM45407" s="1025"/>
      <c r="BO45407" s="43"/>
    </row>
    <row r="45408" spans="65:67" ht="18.75" customHeight="1">
      <c r="BM45408" s="1025"/>
      <c r="BO45408" s="43"/>
    </row>
    <row r="45409" spans="65:67" ht="18.75" customHeight="1">
      <c r="BM45409" s="1025"/>
      <c r="BO45409" s="43"/>
    </row>
    <row r="45410" spans="65:67" ht="18.75" customHeight="1">
      <c r="BM45410" s="1025"/>
      <c r="BO45410" s="43"/>
    </row>
    <row r="45411" spans="65:67" ht="18.75" customHeight="1">
      <c r="BM45411" s="1025"/>
      <c r="BO45411" s="43"/>
    </row>
    <row r="45412" spans="65:67" ht="18.75" customHeight="1">
      <c r="BM45412" s="1025"/>
      <c r="BO45412" s="43"/>
    </row>
    <row r="45413" spans="65:67" ht="18.75" customHeight="1">
      <c r="BM45413" s="1025"/>
      <c r="BO45413" s="43"/>
    </row>
    <row r="45414" spans="65:67" ht="18.75" customHeight="1">
      <c r="BM45414" s="1025"/>
      <c r="BO45414" s="43"/>
    </row>
    <row r="45415" spans="65:67" ht="18.75" customHeight="1">
      <c r="BM45415" s="1025"/>
      <c r="BO45415" s="43"/>
    </row>
    <row r="45416" spans="65:67" ht="18.75" customHeight="1">
      <c r="BM45416" s="1025"/>
      <c r="BO45416" s="43"/>
    </row>
    <row r="45417" spans="65:67" ht="18.75" customHeight="1">
      <c r="BM45417" s="1025"/>
      <c r="BO45417" s="43"/>
    </row>
    <row r="45418" spans="65:67" ht="18.75" customHeight="1">
      <c r="BM45418" s="1025"/>
      <c r="BO45418" s="43"/>
    </row>
    <row r="45419" spans="65:67" ht="18.75" customHeight="1">
      <c r="BM45419" s="1025"/>
      <c r="BO45419" s="43"/>
    </row>
    <row r="45420" spans="65:67" ht="18.75" customHeight="1">
      <c r="BM45420" s="1025"/>
      <c r="BO45420" s="43"/>
    </row>
    <row r="45421" spans="65:67" ht="18.75" customHeight="1">
      <c r="BM45421" s="1025"/>
      <c r="BO45421" s="43"/>
    </row>
    <row r="45422" spans="65:67" ht="18.75" customHeight="1">
      <c r="BM45422" s="1025"/>
      <c r="BO45422" s="43"/>
    </row>
    <row r="45423" spans="65:67" ht="18.75" customHeight="1">
      <c r="BM45423" s="1025"/>
      <c r="BO45423" s="43"/>
    </row>
    <row r="45424" spans="65:67" ht="18.75" customHeight="1">
      <c r="BM45424" s="1025"/>
      <c r="BO45424" s="43"/>
    </row>
    <row r="45425" spans="65:67" ht="18.75" customHeight="1">
      <c r="BM45425" s="1025"/>
      <c r="BO45425" s="43"/>
    </row>
    <row r="45426" spans="65:67" ht="18.75" customHeight="1">
      <c r="BM45426" s="1025"/>
      <c r="BO45426" s="43"/>
    </row>
    <row r="45427" spans="65:67" ht="18.75" customHeight="1">
      <c r="BM45427" s="1025"/>
      <c r="BO45427" s="43"/>
    </row>
    <row r="45428" spans="65:67" ht="18.75" customHeight="1">
      <c r="BM45428" s="1025"/>
      <c r="BO45428" s="43"/>
    </row>
    <row r="45429" spans="65:67" ht="18.75" customHeight="1">
      <c r="BM45429" s="1025"/>
      <c r="BO45429" s="43"/>
    </row>
    <row r="45430" spans="65:67" ht="18.75" customHeight="1">
      <c r="BM45430" s="1025"/>
      <c r="BO45430" s="43"/>
    </row>
    <row r="45431" spans="65:67" ht="18.75" customHeight="1">
      <c r="BM45431" s="1025"/>
      <c r="BO45431" s="43"/>
    </row>
    <row r="45432" spans="65:67" ht="18.75" customHeight="1">
      <c r="BM45432" s="1025"/>
      <c r="BO45432" s="43"/>
    </row>
    <row r="45433" spans="65:67" ht="18.75" customHeight="1">
      <c r="BM45433" s="1025"/>
      <c r="BO45433" s="43"/>
    </row>
    <row r="45434" spans="65:67" ht="18.75" customHeight="1">
      <c r="BM45434" s="1025"/>
      <c r="BO45434" s="43"/>
    </row>
    <row r="45435" spans="65:67" ht="18.75" customHeight="1">
      <c r="BM45435" s="1025"/>
      <c r="BO45435" s="43"/>
    </row>
    <row r="45436" spans="65:67" ht="18.75" customHeight="1">
      <c r="BM45436" s="1025"/>
      <c r="BO45436" s="43"/>
    </row>
    <row r="45437" spans="65:67" ht="18.75" customHeight="1">
      <c r="BM45437" s="1025"/>
      <c r="BO45437" s="43"/>
    </row>
    <row r="45438" spans="65:67" ht="18.75" customHeight="1">
      <c r="BM45438" s="1025"/>
      <c r="BO45438" s="43"/>
    </row>
    <row r="45439" spans="65:67" ht="18.75" customHeight="1">
      <c r="BM45439" s="1025"/>
      <c r="BO45439" s="43"/>
    </row>
    <row r="45440" spans="65:67" ht="18.75" customHeight="1">
      <c r="BM45440" s="1025"/>
      <c r="BO45440" s="43"/>
    </row>
    <row r="45441" spans="65:67" ht="18.75" customHeight="1">
      <c r="BM45441" s="1025"/>
      <c r="BO45441" s="43"/>
    </row>
    <row r="45442" spans="65:67" ht="18.75" customHeight="1">
      <c r="BM45442" s="1025"/>
      <c r="BO45442" s="43"/>
    </row>
    <row r="45443" spans="65:67" ht="18.75" customHeight="1">
      <c r="BM45443" s="1025"/>
      <c r="BO45443" s="43"/>
    </row>
    <row r="45444" spans="65:67" ht="18.75" customHeight="1">
      <c r="BM45444" s="1025"/>
      <c r="BO45444" s="43"/>
    </row>
    <row r="45445" spans="65:67" ht="18.75" customHeight="1">
      <c r="BM45445" s="1025"/>
      <c r="BO45445" s="43"/>
    </row>
    <row r="45446" spans="65:67" ht="18.75" customHeight="1">
      <c r="BM45446" s="1025"/>
      <c r="BO45446" s="43"/>
    </row>
    <row r="45447" spans="65:67" ht="18.75" customHeight="1">
      <c r="BM45447" s="1025"/>
      <c r="BO45447" s="43"/>
    </row>
    <row r="45448" spans="65:67" ht="18.75" customHeight="1">
      <c r="BM45448" s="1025"/>
      <c r="BO45448" s="43"/>
    </row>
    <row r="45449" spans="65:67" ht="18.75" customHeight="1">
      <c r="BM45449" s="1025"/>
      <c r="BO45449" s="43"/>
    </row>
    <row r="45450" spans="65:67" ht="18.75" customHeight="1">
      <c r="BM45450" s="1025"/>
      <c r="BO45450" s="43"/>
    </row>
    <row r="45451" spans="65:67" ht="18.75" customHeight="1">
      <c r="BM45451" s="1025"/>
      <c r="BO45451" s="43"/>
    </row>
    <row r="45452" spans="65:67" ht="18.75" customHeight="1">
      <c r="BM45452" s="1025"/>
      <c r="BO45452" s="43"/>
    </row>
    <row r="45453" spans="65:67" ht="18.75" customHeight="1">
      <c r="BM45453" s="1025"/>
      <c r="BO45453" s="43"/>
    </row>
    <row r="45454" spans="65:67" ht="18.75" customHeight="1">
      <c r="BM45454" s="1025"/>
      <c r="BO45454" s="43"/>
    </row>
    <row r="45455" spans="65:67" ht="18.75" customHeight="1">
      <c r="BM45455" s="1025"/>
      <c r="BO45455" s="43"/>
    </row>
    <row r="45456" spans="65:67" ht="18.75" customHeight="1">
      <c r="BM45456" s="1025"/>
      <c r="BO45456" s="43"/>
    </row>
    <row r="45457" spans="65:67" ht="18.75" customHeight="1">
      <c r="BM45457" s="1025"/>
      <c r="BO45457" s="43"/>
    </row>
    <row r="45458" spans="65:67" ht="18.75" customHeight="1">
      <c r="BM45458" s="1025"/>
      <c r="BO45458" s="43"/>
    </row>
    <row r="45459" spans="65:67" ht="18.75" customHeight="1">
      <c r="BM45459" s="1025"/>
      <c r="BO45459" s="43"/>
    </row>
    <row r="45460" spans="65:67" ht="18.75" customHeight="1">
      <c r="BM45460" s="1025"/>
      <c r="BO45460" s="43"/>
    </row>
    <row r="45461" spans="65:67" ht="18.75" customHeight="1">
      <c r="BM45461" s="1025"/>
      <c r="BO45461" s="43"/>
    </row>
    <row r="45462" spans="65:67" ht="18.75" customHeight="1">
      <c r="BM45462" s="1025"/>
      <c r="BO45462" s="43"/>
    </row>
    <row r="45463" spans="65:67" ht="18.75" customHeight="1">
      <c r="BM45463" s="1025"/>
      <c r="BO45463" s="43"/>
    </row>
    <row r="45464" spans="65:67" ht="18.75" customHeight="1">
      <c r="BM45464" s="1025"/>
      <c r="BO45464" s="43"/>
    </row>
    <row r="45465" spans="65:67" ht="18.75" customHeight="1">
      <c r="BM45465" s="1025"/>
      <c r="BO45465" s="43"/>
    </row>
    <row r="45466" spans="65:67" ht="18.75" customHeight="1">
      <c r="BM45466" s="1025"/>
      <c r="BO45466" s="43"/>
    </row>
    <row r="45467" spans="65:67" ht="18.75" customHeight="1">
      <c r="BM45467" s="1025"/>
      <c r="BO45467" s="43"/>
    </row>
    <row r="45468" spans="65:67" ht="18.75" customHeight="1">
      <c r="BM45468" s="1025"/>
      <c r="BO45468" s="43"/>
    </row>
    <row r="45469" spans="65:67" ht="18.75" customHeight="1">
      <c r="BM45469" s="1025"/>
      <c r="BO45469" s="43"/>
    </row>
    <row r="45470" spans="65:67" ht="18.75" customHeight="1">
      <c r="BM45470" s="1025"/>
      <c r="BO45470" s="43"/>
    </row>
    <row r="45471" spans="65:67" ht="18.75" customHeight="1">
      <c r="BM45471" s="1025"/>
      <c r="BO45471" s="43"/>
    </row>
    <row r="45472" spans="65:67" ht="18.75" customHeight="1">
      <c r="BM45472" s="1025"/>
      <c r="BO45472" s="43"/>
    </row>
    <row r="45473" spans="65:67" ht="18.75" customHeight="1">
      <c r="BM45473" s="1025"/>
      <c r="BO45473" s="43"/>
    </row>
    <row r="45474" spans="65:67" ht="18.75" customHeight="1">
      <c r="BM45474" s="1025"/>
      <c r="BO45474" s="43"/>
    </row>
    <row r="45475" spans="65:67" ht="18.75" customHeight="1">
      <c r="BM45475" s="1025"/>
      <c r="BO45475" s="43"/>
    </row>
    <row r="45476" spans="65:67" ht="18.75" customHeight="1">
      <c r="BM45476" s="1025"/>
      <c r="BO45476" s="43"/>
    </row>
    <row r="45477" spans="65:67" ht="18.75" customHeight="1">
      <c r="BM45477" s="1025"/>
      <c r="BO45477" s="43"/>
    </row>
    <row r="45478" spans="65:67" ht="18.75" customHeight="1">
      <c r="BM45478" s="1025"/>
      <c r="BO45478" s="43"/>
    </row>
    <row r="45479" spans="65:67" ht="18.75" customHeight="1">
      <c r="BM45479" s="1025"/>
      <c r="BO45479" s="43"/>
    </row>
    <row r="45480" spans="65:67" ht="18.75" customHeight="1">
      <c r="BM45480" s="1025"/>
      <c r="BO45480" s="43"/>
    </row>
    <row r="45481" spans="65:67" ht="18.75" customHeight="1">
      <c r="BM45481" s="1025"/>
      <c r="BO45481" s="43"/>
    </row>
    <row r="45482" spans="65:67" ht="18.75" customHeight="1">
      <c r="BM45482" s="1025"/>
      <c r="BO45482" s="43"/>
    </row>
    <row r="45483" spans="65:67" ht="18.75" customHeight="1">
      <c r="BM45483" s="1025"/>
      <c r="BO45483" s="43"/>
    </row>
    <row r="45484" spans="65:67" ht="18.75" customHeight="1">
      <c r="BM45484" s="1025"/>
      <c r="BO45484" s="43"/>
    </row>
    <row r="45485" spans="65:67" ht="18.75" customHeight="1">
      <c r="BM45485" s="1025"/>
      <c r="BO45485" s="43"/>
    </row>
    <row r="45486" spans="65:67" ht="18.75" customHeight="1">
      <c r="BM45486" s="1025"/>
      <c r="BO45486" s="43"/>
    </row>
    <row r="45487" spans="65:67" ht="18.75" customHeight="1">
      <c r="BM45487" s="1025"/>
      <c r="BO45487" s="43"/>
    </row>
    <row r="45488" spans="65:67" ht="18.75" customHeight="1">
      <c r="BM45488" s="1025"/>
      <c r="BO45488" s="43"/>
    </row>
    <row r="45489" spans="65:67" ht="18.75" customHeight="1">
      <c r="BM45489" s="1025"/>
      <c r="BO45489" s="43"/>
    </row>
    <row r="45490" spans="65:67" ht="18.75" customHeight="1">
      <c r="BM45490" s="1025"/>
      <c r="BO45490" s="43"/>
    </row>
    <row r="45491" spans="65:67" ht="18.75" customHeight="1">
      <c r="BM45491" s="1025"/>
      <c r="BO45491" s="43"/>
    </row>
    <row r="45492" spans="65:67" ht="18.75" customHeight="1">
      <c r="BM45492" s="1025"/>
      <c r="BO45492" s="43"/>
    </row>
    <row r="45493" spans="65:67" ht="18.75" customHeight="1">
      <c r="BM45493" s="1025"/>
      <c r="BO45493" s="43"/>
    </row>
    <row r="45494" spans="65:67" ht="18.75" customHeight="1">
      <c r="BM45494" s="1025"/>
      <c r="BO45494" s="43"/>
    </row>
    <row r="45495" spans="65:67" ht="18.75" customHeight="1">
      <c r="BM45495" s="1025"/>
      <c r="BO45495" s="43"/>
    </row>
    <row r="45496" spans="65:67" ht="18.75" customHeight="1">
      <c r="BM45496" s="1025"/>
      <c r="BO45496" s="43"/>
    </row>
    <row r="45497" spans="65:67" ht="18.75" customHeight="1">
      <c r="BM45497" s="1025"/>
      <c r="BO45497" s="43"/>
    </row>
    <row r="45498" spans="65:67" ht="18.75" customHeight="1">
      <c r="BM45498" s="1025"/>
      <c r="BO45498" s="43"/>
    </row>
    <row r="45499" spans="65:67" ht="18.75" customHeight="1">
      <c r="BM45499" s="1025"/>
      <c r="BO45499" s="43"/>
    </row>
    <row r="45500" spans="65:67" ht="18.75" customHeight="1">
      <c r="BM45500" s="1025"/>
      <c r="BO45500" s="43"/>
    </row>
    <row r="45501" spans="65:67" ht="18.75" customHeight="1">
      <c r="BM45501" s="1025"/>
      <c r="BO45501" s="43"/>
    </row>
    <row r="45502" spans="65:67" ht="18.75" customHeight="1">
      <c r="BM45502" s="1025"/>
      <c r="BO45502" s="43"/>
    </row>
    <row r="45503" spans="65:67" ht="18.75" customHeight="1">
      <c r="BM45503" s="1025"/>
      <c r="BO45503" s="43"/>
    </row>
    <row r="45504" spans="65:67" ht="18.75" customHeight="1">
      <c r="BM45504" s="1025"/>
      <c r="BO45504" s="43"/>
    </row>
    <row r="45505" spans="65:67" ht="18.75" customHeight="1">
      <c r="BM45505" s="1025"/>
      <c r="BO45505" s="43"/>
    </row>
    <row r="45506" spans="65:67" ht="18.75" customHeight="1">
      <c r="BM45506" s="1025"/>
      <c r="BO45506" s="43"/>
    </row>
    <row r="45507" spans="65:67" ht="18.75" customHeight="1">
      <c r="BM45507" s="1025"/>
      <c r="BO45507" s="43"/>
    </row>
    <row r="45508" spans="65:67" ht="18.75" customHeight="1">
      <c r="BM45508" s="1025"/>
      <c r="BO45508" s="43"/>
    </row>
    <row r="45509" spans="65:67" ht="18.75" customHeight="1">
      <c r="BM45509" s="1025"/>
      <c r="BO45509" s="43"/>
    </row>
    <row r="45510" spans="65:67" ht="18.75" customHeight="1">
      <c r="BM45510" s="1025"/>
      <c r="BO45510" s="43"/>
    </row>
    <row r="45511" spans="65:67" ht="18.75" customHeight="1">
      <c r="BM45511" s="1025"/>
      <c r="BO45511" s="43"/>
    </row>
    <row r="45512" spans="65:67" ht="18.75" customHeight="1">
      <c r="BM45512" s="1025"/>
      <c r="BO45512" s="43"/>
    </row>
    <row r="45513" spans="65:67" ht="18.75" customHeight="1">
      <c r="BM45513" s="1025"/>
      <c r="BO45513" s="43"/>
    </row>
    <row r="45514" spans="65:67" ht="18.75" customHeight="1">
      <c r="BM45514" s="1025"/>
      <c r="BO45514" s="43"/>
    </row>
    <row r="45515" spans="65:67" ht="18.75" customHeight="1">
      <c r="BM45515" s="1025"/>
      <c r="BO45515" s="43"/>
    </row>
    <row r="45516" spans="65:67" ht="18.75" customHeight="1">
      <c r="BM45516" s="1025"/>
      <c r="BO45516" s="43"/>
    </row>
    <row r="45517" spans="65:67" ht="18.75" customHeight="1">
      <c r="BM45517" s="1025"/>
      <c r="BO45517" s="43"/>
    </row>
    <row r="45518" spans="65:67" ht="18.75" customHeight="1">
      <c r="BM45518" s="1025"/>
      <c r="BO45518" s="43"/>
    </row>
    <row r="45519" spans="65:67" ht="18.75" customHeight="1">
      <c r="BM45519" s="1025"/>
      <c r="BO45519" s="43"/>
    </row>
    <row r="45520" spans="65:67" ht="18.75" customHeight="1">
      <c r="BM45520" s="1025"/>
      <c r="BO45520" s="43"/>
    </row>
    <row r="45521" spans="65:67" ht="18.75" customHeight="1">
      <c r="BM45521" s="1025"/>
      <c r="BO45521" s="43"/>
    </row>
    <row r="45522" spans="65:67" ht="18.75" customHeight="1">
      <c r="BM45522" s="1025"/>
      <c r="BO45522" s="43"/>
    </row>
    <row r="45523" spans="65:67" ht="18.75" customHeight="1">
      <c r="BM45523" s="1025"/>
      <c r="BO45523" s="43"/>
    </row>
    <row r="45524" spans="65:67" ht="18.75" customHeight="1">
      <c r="BM45524" s="1025"/>
      <c r="BO45524" s="43"/>
    </row>
    <row r="45525" spans="65:67" ht="18.75" customHeight="1">
      <c r="BM45525" s="1025"/>
      <c r="BO45525" s="43"/>
    </row>
    <row r="45526" spans="65:67" ht="18.75" customHeight="1">
      <c r="BM45526" s="1025"/>
      <c r="BO45526" s="43"/>
    </row>
    <row r="45527" spans="65:67" ht="18.75" customHeight="1">
      <c r="BM45527" s="1025"/>
      <c r="BO45527" s="43"/>
    </row>
    <row r="45528" spans="65:67" ht="18.75" customHeight="1">
      <c r="BM45528" s="1025"/>
      <c r="BO45528" s="43"/>
    </row>
    <row r="45529" spans="65:67" ht="18.75" customHeight="1">
      <c r="BM45529" s="1025"/>
      <c r="BO45529" s="43"/>
    </row>
    <row r="45530" spans="65:67" ht="18.75" customHeight="1">
      <c r="BM45530" s="1025"/>
      <c r="BO45530" s="43"/>
    </row>
    <row r="45531" spans="65:67" ht="18.75" customHeight="1">
      <c r="BM45531" s="1025"/>
      <c r="BO45531" s="43"/>
    </row>
    <row r="45532" spans="65:67" ht="18.75" customHeight="1">
      <c r="BM45532" s="1025"/>
      <c r="BO45532" s="43"/>
    </row>
    <row r="45533" spans="65:67" ht="18.75" customHeight="1">
      <c r="BM45533" s="1025"/>
      <c r="BO45533" s="43"/>
    </row>
    <row r="45534" spans="65:67" ht="18.75" customHeight="1">
      <c r="BM45534" s="1025"/>
      <c r="BO45534" s="43"/>
    </row>
    <row r="45535" spans="65:67" ht="18.75" customHeight="1">
      <c r="BM45535" s="1025"/>
      <c r="BO45535" s="43"/>
    </row>
    <row r="45536" spans="65:67" ht="18.75" customHeight="1">
      <c r="BM45536" s="1025"/>
      <c r="BO45536" s="43"/>
    </row>
    <row r="45537" spans="65:67" ht="18.75" customHeight="1">
      <c r="BM45537" s="1025"/>
      <c r="BO45537" s="43"/>
    </row>
    <row r="45538" spans="65:67" ht="18.75" customHeight="1">
      <c r="BM45538" s="1025"/>
      <c r="BO45538" s="43"/>
    </row>
    <row r="45539" spans="65:67" ht="18.75" customHeight="1">
      <c r="BM45539" s="1025"/>
      <c r="BO45539" s="43"/>
    </row>
    <row r="45540" spans="65:67" ht="18.75" customHeight="1">
      <c r="BM45540" s="1025"/>
      <c r="BO45540" s="43"/>
    </row>
    <row r="45541" spans="65:67" ht="18.75" customHeight="1">
      <c r="BM45541" s="1025"/>
      <c r="BO45541" s="43"/>
    </row>
    <row r="45542" spans="65:67" ht="18.75" customHeight="1">
      <c r="BM45542" s="1025"/>
      <c r="BO45542" s="43"/>
    </row>
    <row r="45543" spans="65:67" ht="18.75" customHeight="1">
      <c r="BM45543" s="1025"/>
      <c r="BO45543" s="43"/>
    </row>
    <row r="45544" spans="65:67" ht="18.75" customHeight="1">
      <c r="BM45544" s="1025"/>
      <c r="BO45544" s="43"/>
    </row>
    <row r="45545" spans="65:67" ht="18.75" customHeight="1">
      <c r="BM45545" s="1025"/>
      <c r="BO45545" s="43"/>
    </row>
    <row r="45546" spans="65:67" ht="18.75" customHeight="1">
      <c r="BM45546" s="1025"/>
      <c r="BO45546" s="43"/>
    </row>
    <row r="45547" spans="65:67" ht="18.75" customHeight="1">
      <c r="BM45547" s="1025"/>
      <c r="BO45547" s="43"/>
    </row>
    <row r="45548" spans="65:67" ht="18.75" customHeight="1">
      <c r="BM45548" s="1025"/>
      <c r="BO45548" s="43"/>
    </row>
    <row r="45549" spans="65:67" ht="18.75" customHeight="1">
      <c r="BM45549" s="1025"/>
      <c r="BO45549" s="43"/>
    </row>
    <row r="45550" spans="65:67" ht="18.75" customHeight="1">
      <c r="BM45550" s="1025"/>
      <c r="BO45550" s="43"/>
    </row>
    <row r="45551" spans="65:67" ht="18.75" customHeight="1">
      <c r="BM45551" s="1025"/>
      <c r="BO45551" s="43"/>
    </row>
    <row r="45552" spans="65:67" ht="18.75" customHeight="1">
      <c r="BM45552" s="1025"/>
      <c r="BO45552" s="43"/>
    </row>
    <row r="45553" spans="65:67" ht="18.75" customHeight="1">
      <c r="BM45553" s="1025"/>
      <c r="BO45553" s="43"/>
    </row>
    <row r="45554" spans="65:67" ht="18.75" customHeight="1">
      <c r="BM45554" s="1025"/>
      <c r="BO45554" s="43"/>
    </row>
    <row r="45555" spans="65:67" ht="18.75" customHeight="1">
      <c r="BM45555" s="1025"/>
      <c r="BO45555" s="43"/>
    </row>
    <row r="45556" spans="65:67" ht="18.75" customHeight="1">
      <c r="BM45556" s="1025"/>
      <c r="BO45556" s="43"/>
    </row>
    <row r="45557" spans="65:67" ht="18.75" customHeight="1">
      <c r="BM45557" s="1025"/>
      <c r="BO45557" s="43"/>
    </row>
    <row r="45558" spans="65:67" ht="18.75" customHeight="1">
      <c r="BM45558" s="1025"/>
      <c r="BO45558" s="43"/>
    </row>
    <row r="45559" spans="65:67" ht="18.75" customHeight="1">
      <c r="BM45559" s="1025"/>
      <c r="BO45559" s="43"/>
    </row>
    <row r="45560" spans="65:67" ht="18.75" customHeight="1">
      <c r="BM45560" s="1025"/>
      <c r="BO45560" s="43"/>
    </row>
    <row r="45561" spans="65:67" ht="18.75" customHeight="1">
      <c r="BM45561" s="1025"/>
      <c r="BO45561" s="43"/>
    </row>
    <row r="45562" spans="65:67" ht="18.75" customHeight="1">
      <c r="BM45562" s="1025"/>
      <c r="BO45562" s="43"/>
    </row>
    <row r="45563" spans="65:67" ht="18.75" customHeight="1">
      <c r="BM45563" s="1025"/>
      <c r="BO45563" s="43"/>
    </row>
    <row r="45564" spans="65:67" ht="18.75" customHeight="1">
      <c r="BM45564" s="1025"/>
      <c r="BO45564" s="43"/>
    </row>
    <row r="45565" spans="65:67" ht="18.75" customHeight="1">
      <c r="BM45565" s="1025"/>
      <c r="BO45565" s="43"/>
    </row>
    <row r="45566" spans="65:67" ht="18.75" customHeight="1">
      <c r="BM45566" s="1025"/>
      <c r="BO45566" s="43"/>
    </row>
    <row r="45567" spans="65:67" ht="18.75" customHeight="1">
      <c r="BM45567" s="1025"/>
      <c r="BO45567" s="43"/>
    </row>
    <row r="45568" spans="65:67" ht="18.75" customHeight="1">
      <c r="BM45568" s="1025"/>
      <c r="BO45568" s="43"/>
    </row>
    <row r="45569" spans="65:67" ht="18.75" customHeight="1">
      <c r="BM45569" s="1025"/>
      <c r="BO45569" s="43"/>
    </row>
    <row r="45570" spans="65:67" ht="18.75" customHeight="1">
      <c r="BM45570" s="1025"/>
      <c r="BO45570" s="43"/>
    </row>
    <row r="45571" spans="65:67" ht="18.75" customHeight="1">
      <c r="BM45571" s="1025"/>
      <c r="BO45571" s="43"/>
    </row>
    <row r="45572" spans="65:67" ht="18.75" customHeight="1">
      <c r="BM45572" s="1025"/>
      <c r="BO45572" s="43"/>
    </row>
    <row r="45573" spans="65:67" ht="18.75" customHeight="1">
      <c r="BM45573" s="1025"/>
      <c r="BO45573" s="43"/>
    </row>
    <row r="45574" spans="65:67" ht="18.75" customHeight="1">
      <c r="BM45574" s="1025"/>
      <c r="BO45574" s="43"/>
    </row>
    <row r="45575" spans="65:67" ht="18.75" customHeight="1">
      <c r="BM45575" s="1025"/>
      <c r="BO45575" s="43"/>
    </row>
    <row r="45576" spans="65:67" ht="18.75" customHeight="1">
      <c r="BM45576" s="1025"/>
      <c r="BO45576" s="43"/>
    </row>
    <row r="45577" spans="65:67" ht="18.75" customHeight="1">
      <c r="BM45577" s="1025"/>
      <c r="BO45577" s="43"/>
    </row>
    <row r="45578" spans="65:67" ht="18.75" customHeight="1">
      <c r="BM45578" s="1025"/>
      <c r="BO45578" s="43"/>
    </row>
    <row r="45579" spans="65:67" ht="18.75" customHeight="1">
      <c r="BM45579" s="1025"/>
      <c r="BO45579" s="43"/>
    </row>
    <row r="45580" spans="65:67" ht="18.75" customHeight="1">
      <c r="BM45580" s="1025"/>
      <c r="BO45580" s="43"/>
    </row>
    <row r="45581" spans="65:67" ht="18.75" customHeight="1">
      <c r="BM45581" s="1025"/>
      <c r="BO45581" s="43"/>
    </row>
    <row r="45582" spans="65:67" ht="18.75" customHeight="1">
      <c r="BM45582" s="1025"/>
      <c r="BO45582" s="43"/>
    </row>
    <row r="45583" spans="65:67" ht="18.75" customHeight="1">
      <c r="BM45583" s="1025"/>
      <c r="BO45583" s="43"/>
    </row>
    <row r="45584" spans="65:67" ht="18.75" customHeight="1">
      <c r="BM45584" s="1025"/>
      <c r="BO45584" s="43"/>
    </row>
    <row r="45585" spans="65:67" ht="18.75" customHeight="1">
      <c r="BM45585" s="1025"/>
      <c r="BO45585" s="43"/>
    </row>
    <row r="45586" spans="65:67" ht="18.75" customHeight="1">
      <c r="BM45586" s="1025"/>
      <c r="BO45586" s="43"/>
    </row>
    <row r="45587" spans="65:67" ht="18.75" customHeight="1">
      <c r="BM45587" s="1025"/>
      <c r="BO45587" s="43"/>
    </row>
    <row r="45588" spans="65:67" ht="18.75" customHeight="1">
      <c r="BM45588" s="1025"/>
      <c r="BO45588" s="43"/>
    </row>
    <row r="45589" spans="65:67" ht="18.75" customHeight="1">
      <c r="BM45589" s="1025"/>
      <c r="BO45589" s="43"/>
    </row>
    <row r="45590" spans="65:67" ht="18.75" customHeight="1">
      <c r="BM45590" s="1025"/>
      <c r="BO45590" s="43"/>
    </row>
    <row r="45591" spans="65:67" ht="18.75" customHeight="1">
      <c r="BM45591" s="1025"/>
      <c r="BO45591" s="43"/>
    </row>
    <row r="45592" spans="65:67" ht="18.75" customHeight="1">
      <c r="BM45592" s="1025"/>
      <c r="BO45592" s="43"/>
    </row>
    <row r="45593" spans="65:67" ht="18.75" customHeight="1">
      <c r="BM45593" s="1025"/>
      <c r="BO45593" s="43"/>
    </row>
    <row r="45594" spans="65:67" ht="18.75" customHeight="1">
      <c r="BM45594" s="1025"/>
      <c r="BO45594" s="43"/>
    </row>
    <row r="45595" spans="65:67" ht="18.75" customHeight="1">
      <c r="BM45595" s="1025"/>
      <c r="BO45595" s="43"/>
    </row>
    <row r="45596" spans="65:67" ht="18.75" customHeight="1">
      <c r="BM45596" s="1025"/>
      <c r="BO45596" s="43"/>
    </row>
    <row r="45597" spans="65:67" ht="18.75" customHeight="1">
      <c r="BM45597" s="1025"/>
      <c r="BO45597" s="43"/>
    </row>
    <row r="45598" spans="65:67" ht="18.75" customHeight="1">
      <c r="BM45598" s="1025"/>
      <c r="BO45598" s="43"/>
    </row>
    <row r="45599" spans="65:67" ht="18.75" customHeight="1">
      <c r="BM45599" s="1025"/>
      <c r="BO45599" s="43"/>
    </row>
    <row r="45600" spans="65:67" ht="18.75" customHeight="1">
      <c r="BM45600" s="1025"/>
      <c r="BO45600" s="43"/>
    </row>
    <row r="45601" spans="65:67" ht="18.75" customHeight="1">
      <c r="BM45601" s="1025"/>
      <c r="BO45601" s="43"/>
    </row>
    <row r="45602" spans="65:67" ht="18.75" customHeight="1">
      <c r="BM45602" s="1025"/>
      <c r="BO45602" s="43"/>
    </row>
    <row r="45603" spans="65:67" ht="18.75" customHeight="1">
      <c r="BM45603" s="1025"/>
      <c r="BO45603" s="43"/>
    </row>
    <row r="45604" spans="65:67" ht="18.75" customHeight="1">
      <c r="BM45604" s="1025"/>
      <c r="BO45604" s="43"/>
    </row>
    <row r="45605" spans="65:67" ht="18.75" customHeight="1">
      <c r="BM45605" s="1025"/>
      <c r="BO45605" s="43"/>
    </row>
    <row r="45606" spans="65:67" ht="18.75" customHeight="1">
      <c r="BM45606" s="1025"/>
      <c r="BO45606" s="43"/>
    </row>
    <row r="45607" spans="65:67" ht="18.75" customHeight="1">
      <c r="BM45607" s="1025"/>
      <c r="BO45607" s="43"/>
    </row>
    <row r="45608" spans="65:67" ht="18.75" customHeight="1">
      <c r="BM45608" s="1025"/>
      <c r="BO45608" s="43"/>
    </row>
    <row r="45609" spans="65:67" ht="18.75" customHeight="1">
      <c r="BM45609" s="1025"/>
      <c r="BO45609" s="43"/>
    </row>
    <row r="45610" spans="65:67" ht="18.75" customHeight="1">
      <c r="BM45610" s="1025"/>
      <c r="BO45610" s="43"/>
    </row>
    <row r="45611" spans="65:67" ht="18.75" customHeight="1">
      <c r="BM45611" s="1025"/>
      <c r="BO45611" s="43"/>
    </row>
    <row r="45612" spans="65:67" ht="18.75" customHeight="1">
      <c r="BM45612" s="1025"/>
      <c r="BO45612" s="43"/>
    </row>
    <row r="45613" spans="65:67" ht="18.75" customHeight="1">
      <c r="BM45613" s="1025"/>
      <c r="BO45613" s="43"/>
    </row>
    <row r="45614" spans="65:67" ht="18.75" customHeight="1">
      <c r="BM45614" s="1025"/>
      <c r="BO45614" s="43"/>
    </row>
    <row r="45615" spans="65:67" ht="18.75" customHeight="1">
      <c r="BM45615" s="1025"/>
      <c r="BO45615" s="43"/>
    </row>
    <row r="45616" spans="65:67" ht="18.75" customHeight="1">
      <c r="BM45616" s="1025"/>
      <c r="BO45616" s="43"/>
    </row>
    <row r="45617" spans="65:67" ht="18.75" customHeight="1">
      <c r="BM45617" s="1025"/>
      <c r="BO45617" s="43"/>
    </row>
    <row r="45618" spans="65:67" ht="18.75" customHeight="1">
      <c r="BM45618" s="1025"/>
      <c r="BO45618" s="43"/>
    </row>
    <row r="45619" spans="65:67" ht="18.75" customHeight="1">
      <c r="BM45619" s="1025"/>
      <c r="BO45619" s="43"/>
    </row>
    <row r="45620" spans="65:67" ht="18.75" customHeight="1">
      <c r="BM45620" s="1025"/>
      <c r="BO45620" s="43"/>
    </row>
    <row r="45621" spans="65:67" ht="18.75" customHeight="1">
      <c r="BM45621" s="1025"/>
      <c r="BO45621" s="43"/>
    </row>
    <row r="45622" spans="65:67" ht="18.75" customHeight="1">
      <c r="BM45622" s="1025"/>
      <c r="BO45622" s="43"/>
    </row>
    <row r="45623" spans="65:67" ht="18.75" customHeight="1">
      <c r="BM45623" s="1025"/>
      <c r="BO45623" s="43"/>
    </row>
    <row r="45624" spans="65:67" ht="18.75" customHeight="1">
      <c r="BM45624" s="1025"/>
      <c r="BO45624" s="43"/>
    </row>
    <row r="45625" spans="65:67" ht="18.75" customHeight="1">
      <c r="BM45625" s="1025"/>
      <c r="BO45625" s="43"/>
    </row>
    <row r="45626" spans="65:67" ht="18.75" customHeight="1">
      <c r="BM45626" s="1025"/>
      <c r="BO45626" s="43"/>
    </row>
    <row r="45627" spans="65:67" ht="18.75" customHeight="1">
      <c r="BM45627" s="1025"/>
      <c r="BO45627" s="43"/>
    </row>
    <row r="45628" spans="65:67" ht="18.75" customHeight="1">
      <c r="BM45628" s="1025"/>
      <c r="BO45628" s="43"/>
    </row>
    <row r="45629" spans="65:67" ht="18.75" customHeight="1">
      <c r="BM45629" s="1025"/>
      <c r="BO45629" s="43"/>
    </row>
    <row r="45630" spans="65:67" ht="18.75" customHeight="1">
      <c r="BM45630" s="1025"/>
      <c r="BO45630" s="43"/>
    </row>
    <row r="45631" spans="65:67" ht="18.75" customHeight="1">
      <c r="BM45631" s="1025"/>
      <c r="BO45631" s="43"/>
    </row>
    <row r="45632" spans="65:67" ht="18.75" customHeight="1">
      <c r="BM45632" s="1025"/>
      <c r="BO45632" s="43"/>
    </row>
    <row r="45633" spans="65:67" ht="18.75" customHeight="1">
      <c r="BM45633" s="1025"/>
      <c r="BO45633" s="43"/>
    </row>
    <row r="45634" spans="65:67" ht="18.75" customHeight="1">
      <c r="BM45634" s="1025"/>
      <c r="BO45634" s="43"/>
    </row>
    <row r="45635" spans="65:67" ht="18.75" customHeight="1">
      <c r="BM45635" s="1025"/>
      <c r="BO45635" s="43"/>
    </row>
    <row r="45636" spans="65:67" ht="18.75" customHeight="1">
      <c r="BM45636" s="1025"/>
      <c r="BO45636" s="43"/>
    </row>
    <row r="45637" spans="65:67" ht="18.75" customHeight="1">
      <c r="BM45637" s="1025"/>
      <c r="BO45637" s="43"/>
    </row>
    <row r="45638" spans="65:67" ht="18.75" customHeight="1">
      <c r="BM45638" s="1025"/>
      <c r="BO45638" s="43"/>
    </row>
    <row r="45639" spans="65:67" ht="18.75" customHeight="1">
      <c r="BM45639" s="1025"/>
      <c r="BO45639" s="43"/>
    </row>
    <row r="45640" spans="65:67" ht="18.75" customHeight="1">
      <c r="BM45640" s="1025"/>
      <c r="BO45640" s="43"/>
    </row>
    <row r="45641" spans="65:67" ht="18.75" customHeight="1">
      <c r="BM45641" s="1025"/>
      <c r="BO45641" s="43"/>
    </row>
    <row r="45642" spans="65:67" ht="18.75" customHeight="1">
      <c r="BM45642" s="1025"/>
      <c r="BO45642" s="43"/>
    </row>
    <row r="45643" spans="65:67" ht="18.75" customHeight="1">
      <c r="BM45643" s="1025"/>
      <c r="BO45643" s="43"/>
    </row>
    <row r="45644" spans="65:67" ht="18.75" customHeight="1">
      <c r="BM45644" s="1025"/>
      <c r="BO45644" s="43"/>
    </row>
    <row r="45645" spans="65:67" ht="18.75" customHeight="1">
      <c r="BM45645" s="1025"/>
      <c r="BO45645" s="43"/>
    </row>
    <row r="45646" spans="65:67" ht="18.75" customHeight="1">
      <c r="BM45646" s="1025"/>
      <c r="BO45646" s="43"/>
    </row>
    <row r="45647" spans="65:67" ht="18.75" customHeight="1">
      <c r="BM45647" s="1025"/>
      <c r="BO45647" s="43"/>
    </row>
    <row r="45648" spans="65:67" ht="18.75" customHeight="1">
      <c r="BM45648" s="1025"/>
      <c r="BO45648" s="43"/>
    </row>
    <row r="45649" spans="65:67" ht="18.75" customHeight="1">
      <c r="BM45649" s="1025"/>
      <c r="BO45649" s="43"/>
    </row>
    <row r="45650" spans="65:67" ht="18.75" customHeight="1">
      <c r="BM45650" s="1025"/>
      <c r="BO45650" s="43"/>
    </row>
    <row r="45651" spans="65:67" ht="18.75" customHeight="1">
      <c r="BM45651" s="1025"/>
      <c r="BO45651" s="43"/>
    </row>
    <row r="45652" spans="65:67" ht="18.75" customHeight="1">
      <c r="BM45652" s="1025"/>
      <c r="BO45652" s="43"/>
    </row>
    <row r="45653" spans="65:67" ht="18.75" customHeight="1">
      <c r="BM45653" s="1025"/>
      <c r="BO45653" s="43"/>
    </row>
    <row r="45654" spans="65:67" ht="18.75" customHeight="1">
      <c r="BM45654" s="1025"/>
      <c r="BO45654" s="43"/>
    </row>
    <row r="45655" spans="65:67" ht="18.75" customHeight="1">
      <c r="BM45655" s="1025"/>
      <c r="BO45655" s="43"/>
    </row>
    <row r="45656" spans="65:67" ht="18.75" customHeight="1">
      <c r="BM45656" s="1025"/>
      <c r="BO45656" s="43"/>
    </row>
    <row r="45657" spans="65:67" ht="18.75" customHeight="1">
      <c r="BM45657" s="1025"/>
      <c r="BO45657" s="43"/>
    </row>
    <row r="45658" spans="65:67" ht="18.75" customHeight="1">
      <c r="BM45658" s="1025"/>
      <c r="BO45658" s="43"/>
    </row>
    <row r="45659" spans="65:67" ht="18.75" customHeight="1">
      <c r="BM45659" s="1025"/>
      <c r="BO45659" s="43"/>
    </row>
    <row r="45660" spans="65:67" ht="18.75" customHeight="1">
      <c r="BM45660" s="1025"/>
      <c r="BO45660" s="43"/>
    </row>
    <row r="45661" spans="65:67" ht="18.75" customHeight="1">
      <c r="BM45661" s="1025"/>
      <c r="BO45661" s="43"/>
    </row>
    <row r="45662" spans="65:67" ht="18.75" customHeight="1">
      <c r="BM45662" s="1025"/>
      <c r="BO45662" s="43"/>
    </row>
    <row r="45663" spans="65:67" ht="18.75" customHeight="1">
      <c r="BM45663" s="1025"/>
      <c r="BO45663" s="43"/>
    </row>
    <row r="45664" spans="65:67" ht="18.75" customHeight="1">
      <c r="BM45664" s="1025"/>
      <c r="BO45664" s="43"/>
    </row>
    <row r="45665" spans="65:67" ht="18.75" customHeight="1">
      <c r="BM45665" s="1025"/>
      <c r="BO45665" s="43"/>
    </row>
    <row r="45666" spans="65:67" ht="18.75" customHeight="1">
      <c r="BM45666" s="1025"/>
      <c r="BO45666" s="43"/>
    </row>
    <row r="45667" spans="65:67" ht="18.75" customHeight="1">
      <c r="BM45667" s="1025"/>
      <c r="BO45667" s="43"/>
    </row>
    <row r="45668" spans="65:67" ht="18.75" customHeight="1">
      <c r="BM45668" s="1025"/>
      <c r="BO45668" s="43"/>
    </row>
    <row r="45669" spans="65:67" ht="18.75" customHeight="1">
      <c r="BM45669" s="1025"/>
      <c r="BO45669" s="43"/>
    </row>
    <row r="45670" spans="65:67" ht="18.75" customHeight="1">
      <c r="BM45670" s="1025"/>
      <c r="BO45670" s="43"/>
    </row>
    <row r="45671" spans="65:67" ht="18.75" customHeight="1">
      <c r="BM45671" s="1025"/>
      <c r="BO45671" s="43"/>
    </row>
    <row r="45672" spans="65:67" ht="18.75" customHeight="1">
      <c r="BM45672" s="1025"/>
      <c r="BO45672" s="43"/>
    </row>
    <row r="45673" spans="65:67" ht="18.75" customHeight="1">
      <c r="BM45673" s="1025"/>
      <c r="BO45673" s="43"/>
    </row>
    <row r="45674" spans="65:67" ht="18.75" customHeight="1">
      <c r="BM45674" s="1025"/>
      <c r="BO45674" s="43"/>
    </row>
    <row r="45675" spans="65:67" ht="18.75" customHeight="1">
      <c r="BM45675" s="1025"/>
      <c r="BO45675" s="43"/>
    </row>
    <row r="45676" spans="65:67" ht="18.75" customHeight="1">
      <c r="BM45676" s="1025"/>
      <c r="BO45676" s="43"/>
    </row>
    <row r="45677" spans="65:67" ht="18.75" customHeight="1">
      <c r="BM45677" s="1025"/>
      <c r="BO45677" s="43"/>
    </row>
    <row r="45678" spans="65:67" ht="18.75" customHeight="1">
      <c r="BM45678" s="1025"/>
      <c r="BO45678" s="43"/>
    </row>
    <row r="45679" spans="65:67" ht="18.75" customHeight="1">
      <c r="BM45679" s="1025"/>
      <c r="BO45679" s="43"/>
    </row>
    <row r="45680" spans="65:67" ht="18.75" customHeight="1">
      <c r="BM45680" s="1025"/>
      <c r="BO45680" s="43"/>
    </row>
    <row r="45681" spans="65:67" ht="18.75" customHeight="1">
      <c r="BM45681" s="1025"/>
      <c r="BO45681" s="43"/>
    </row>
    <row r="45682" spans="65:67" ht="18.75" customHeight="1">
      <c r="BM45682" s="1025"/>
      <c r="BO45682" s="43"/>
    </row>
    <row r="45683" spans="65:67" ht="18.75" customHeight="1">
      <c r="BM45683" s="1025"/>
      <c r="BO45683" s="43"/>
    </row>
    <row r="45684" spans="65:67" ht="18.75" customHeight="1">
      <c r="BM45684" s="1025"/>
      <c r="BO45684" s="43"/>
    </row>
    <row r="45685" spans="65:67" ht="18.75" customHeight="1">
      <c r="BM45685" s="1025"/>
      <c r="BO45685" s="43"/>
    </row>
    <row r="45686" spans="65:67" ht="18.75" customHeight="1">
      <c r="BM45686" s="1025"/>
      <c r="BO45686" s="43"/>
    </row>
    <row r="45687" spans="65:67" ht="18.75" customHeight="1">
      <c r="BM45687" s="1025"/>
      <c r="BO45687" s="43"/>
    </row>
    <row r="45688" spans="65:67" ht="18.75" customHeight="1">
      <c r="BM45688" s="1025"/>
      <c r="BO45688" s="43"/>
    </row>
    <row r="45689" spans="65:67" ht="18.75" customHeight="1">
      <c r="BM45689" s="1025"/>
      <c r="BO45689" s="43"/>
    </row>
    <row r="45690" spans="65:67" ht="18.75" customHeight="1">
      <c r="BM45690" s="1025"/>
      <c r="BO45690" s="43"/>
    </row>
    <row r="45691" spans="65:67" ht="18.75" customHeight="1">
      <c r="BM45691" s="1025"/>
      <c r="BO45691" s="43"/>
    </row>
    <row r="45692" spans="65:67" ht="18.75" customHeight="1">
      <c r="BM45692" s="1025"/>
      <c r="BO45692" s="43"/>
    </row>
    <row r="45693" spans="65:67" ht="18.75" customHeight="1">
      <c r="BM45693" s="1025"/>
      <c r="BO45693" s="43"/>
    </row>
    <row r="45694" spans="65:67" ht="18.75" customHeight="1">
      <c r="BM45694" s="1025"/>
      <c r="BO45694" s="43"/>
    </row>
    <row r="45695" spans="65:67" ht="18.75" customHeight="1">
      <c r="BM45695" s="1025"/>
      <c r="BO45695" s="43"/>
    </row>
    <row r="45696" spans="65:67" ht="18.75" customHeight="1">
      <c r="BM45696" s="1025"/>
      <c r="BO45696" s="43"/>
    </row>
    <row r="45697" spans="65:67" ht="18.75" customHeight="1">
      <c r="BM45697" s="1025"/>
      <c r="BO45697" s="43"/>
    </row>
    <row r="45698" spans="65:67" ht="18.75" customHeight="1">
      <c r="BM45698" s="1025"/>
      <c r="BO45698" s="43"/>
    </row>
    <row r="45699" spans="65:67" ht="18.75" customHeight="1">
      <c r="BM45699" s="1025"/>
      <c r="BO45699" s="43"/>
    </row>
    <row r="45700" spans="65:67" ht="18.75" customHeight="1">
      <c r="BM45700" s="1025"/>
      <c r="BO45700" s="43"/>
    </row>
    <row r="45701" spans="65:67" ht="18.75" customHeight="1">
      <c r="BM45701" s="1025"/>
      <c r="BO45701" s="43"/>
    </row>
    <row r="45702" spans="65:67" ht="18.75" customHeight="1">
      <c r="BM45702" s="1025"/>
      <c r="BO45702" s="43"/>
    </row>
    <row r="45703" spans="65:67" ht="18.75" customHeight="1">
      <c r="BM45703" s="1025"/>
      <c r="BO45703" s="43"/>
    </row>
    <row r="45704" spans="65:67" ht="18.75" customHeight="1">
      <c r="BM45704" s="1025"/>
      <c r="BO45704" s="43"/>
    </row>
    <row r="45705" spans="65:67" ht="18.75" customHeight="1">
      <c r="BM45705" s="1025"/>
      <c r="BO45705" s="43"/>
    </row>
    <row r="45706" spans="65:67" ht="18.75" customHeight="1">
      <c r="BM45706" s="1025"/>
      <c r="BO45706" s="43"/>
    </row>
    <row r="45707" spans="65:67" ht="18.75" customHeight="1">
      <c r="BM45707" s="1025"/>
      <c r="BO45707" s="43"/>
    </row>
    <row r="45708" spans="65:67" ht="18.75" customHeight="1">
      <c r="BM45708" s="1025"/>
      <c r="BO45708" s="43"/>
    </row>
    <row r="45709" spans="65:67" ht="18.75" customHeight="1">
      <c r="BM45709" s="1025"/>
      <c r="BO45709" s="43"/>
    </row>
    <row r="45710" spans="65:67" ht="18.75" customHeight="1">
      <c r="BM45710" s="1025"/>
      <c r="BO45710" s="43"/>
    </row>
    <row r="45711" spans="65:67" ht="18.75" customHeight="1">
      <c r="BM45711" s="1025"/>
      <c r="BO45711" s="43"/>
    </row>
    <row r="45712" spans="65:67" ht="18.75" customHeight="1">
      <c r="BM45712" s="1025"/>
      <c r="BO45712" s="43"/>
    </row>
    <row r="45713" spans="65:67" ht="18.75" customHeight="1">
      <c r="BM45713" s="1025"/>
      <c r="BO45713" s="43"/>
    </row>
    <row r="45714" spans="65:67" ht="18.75" customHeight="1">
      <c r="BM45714" s="1025"/>
      <c r="BO45714" s="43"/>
    </row>
    <row r="45715" spans="65:67" ht="18.75" customHeight="1">
      <c r="BM45715" s="1025"/>
      <c r="BO45715" s="43"/>
    </row>
    <row r="45716" spans="65:67" ht="18.75" customHeight="1">
      <c r="BM45716" s="1025"/>
      <c r="BO45716" s="43"/>
    </row>
    <row r="45717" spans="65:67" ht="18.75" customHeight="1">
      <c r="BM45717" s="1025"/>
      <c r="BO45717" s="43"/>
    </row>
    <row r="45718" spans="65:67" ht="18.75" customHeight="1">
      <c r="BM45718" s="1025"/>
      <c r="BO45718" s="43"/>
    </row>
    <row r="45719" spans="65:67" ht="18.75" customHeight="1">
      <c r="BM45719" s="1025"/>
      <c r="BO45719" s="43"/>
    </row>
    <row r="45720" spans="65:67" ht="18.75" customHeight="1">
      <c r="BM45720" s="1025"/>
      <c r="BO45720" s="43"/>
    </row>
    <row r="45721" spans="65:67" ht="18.75" customHeight="1">
      <c r="BM45721" s="1025"/>
      <c r="BO45721" s="43"/>
    </row>
    <row r="45722" spans="65:67" ht="18.75" customHeight="1">
      <c r="BM45722" s="1025"/>
      <c r="BO45722" s="43"/>
    </row>
    <row r="45723" spans="65:67" ht="18.75" customHeight="1">
      <c r="BM45723" s="1025"/>
      <c r="BO45723" s="43"/>
    </row>
    <row r="45724" spans="65:67" ht="18.75" customHeight="1">
      <c r="BM45724" s="1025"/>
      <c r="BO45724" s="43"/>
    </row>
    <row r="45725" spans="65:67" ht="18.75" customHeight="1">
      <c r="BM45725" s="1025"/>
      <c r="BO45725" s="43"/>
    </row>
    <row r="45726" spans="65:67" ht="18.75" customHeight="1">
      <c r="BM45726" s="1025"/>
      <c r="BO45726" s="43"/>
    </row>
    <row r="45727" spans="65:67" ht="18.75" customHeight="1">
      <c r="BM45727" s="1025"/>
      <c r="BO45727" s="43"/>
    </row>
    <row r="45728" spans="65:67" ht="18.75" customHeight="1">
      <c r="BM45728" s="1025"/>
      <c r="BO45728" s="43"/>
    </row>
    <row r="45729" spans="65:67" ht="18.75" customHeight="1">
      <c r="BM45729" s="1025"/>
      <c r="BO45729" s="43"/>
    </row>
    <row r="45730" spans="65:67" ht="18.75" customHeight="1">
      <c r="BM45730" s="1025"/>
      <c r="BO45730" s="43"/>
    </row>
    <row r="45731" spans="65:67" ht="18.75" customHeight="1">
      <c r="BM45731" s="1025"/>
      <c r="BO45731" s="43"/>
    </row>
    <row r="45732" spans="65:67" ht="18.75" customHeight="1">
      <c r="BM45732" s="1025"/>
      <c r="BO45732" s="43"/>
    </row>
    <row r="45733" spans="65:67" ht="18.75" customHeight="1">
      <c r="BM45733" s="1025"/>
      <c r="BO45733" s="43"/>
    </row>
    <row r="45734" spans="65:67" ht="18.75" customHeight="1">
      <c r="BM45734" s="1025"/>
      <c r="BO45734" s="43"/>
    </row>
    <row r="45735" spans="65:67" ht="18.75" customHeight="1">
      <c r="BM45735" s="1025"/>
      <c r="BO45735" s="43"/>
    </row>
    <row r="45736" spans="65:67" ht="18.75" customHeight="1">
      <c r="BM45736" s="1025"/>
      <c r="BO45736" s="43"/>
    </row>
    <row r="45737" spans="65:67" ht="18.75" customHeight="1">
      <c r="BM45737" s="1025"/>
      <c r="BO45737" s="43"/>
    </row>
    <row r="45738" spans="65:67" ht="18.75" customHeight="1">
      <c r="BM45738" s="1025"/>
      <c r="BO45738" s="43"/>
    </row>
    <row r="45739" spans="65:67" ht="18.75" customHeight="1">
      <c r="BM45739" s="1025"/>
      <c r="BO45739" s="43"/>
    </row>
    <row r="45740" spans="65:67" ht="18.75" customHeight="1">
      <c r="BM45740" s="1025"/>
      <c r="BO45740" s="43"/>
    </row>
    <row r="45741" spans="65:67" ht="18.75" customHeight="1">
      <c r="BM45741" s="1025"/>
      <c r="BO45741" s="43"/>
    </row>
    <row r="45742" spans="65:67" ht="18.75" customHeight="1">
      <c r="BM45742" s="1025"/>
      <c r="BO45742" s="43"/>
    </row>
    <row r="45743" spans="65:67" ht="18.75" customHeight="1">
      <c r="BM45743" s="1025"/>
      <c r="BO45743" s="43"/>
    </row>
    <row r="45744" spans="65:67" ht="18.75" customHeight="1">
      <c r="BM45744" s="1025"/>
      <c r="BO45744" s="43"/>
    </row>
    <row r="45745" spans="65:67" ht="18.75" customHeight="1">
      <c r="BM45745" s="1025"/>
      <c r="BO45745" s="43"/>
    </row>
    <row r="45746" spans="65:67" ht="18.75" customHeight="1">
      <c r="BM45746" s="1025"/>
      <c r="BO45746" s="43"/>
    </row>
    <row r="45747" spans="65:67" ht="18.75" customHeight="1">
      <c r="BM45747" s="1025"/>
      <c r="BO45747" s="43"/>
    </row>
    <row r="45748" spans="65:67" ht="18.75" customHeight="1">
      <c r="BM45748" s="1025"/>
      <c r="BO45748" s="43"/>
    </row>
    <row r="45749" spans="65:67" ht="18.75" customHeight="1">
      <c r="BM45749" s="1025"/>
      <c r="BO45749" s="43"/>
    </row>
    <row r="45750" spans="65:67" ht="18.75" customHeight="1">
      <c r="BM45750" s="1025"/>
      <c r="BO45750" s="43"/>
    </row>
    <row r="45751" spans="65:67" ht="18.75" customHeight="1">
      <c r="BM45751" s="1025"/>
      <c r="BO45751" s="43"/>
    </row>
    <row r="45752" spans="65:67" ht="18.75" customHeight="1">
      <c r="BM45752" s="1025"/>
      <c r="BO45752" s="43"/>
    </row>
    <row r="45753" spans="65:67" ht="18.75" customHeight="1">
      <c r="BM45753" s="1025"/>
      <c r="BO45753" s="43"/>
    </row>
    <row r="45754" spans="65:67" ht="18.75" customHeight="1">
      <c r="BM45754" s="1025"/>
      <c r="BO45754" s="43"/>
    </row>
    <row r="45755" spans="65:67" ht="18.75" customHeight="1">
      <c r="BM45755" s="1025"/>
      <c r="BO45755" s="43"/>
    </row>
    <row r="45756" spans="65:67" ht="18.75" customHeight="1">
      <c r="BM45756" s="1025"/>
      <c r="BO45756" s="43"/>
    </row>
    <row r="45757" spans="65:67" ht="18.75" customHeight="1">
      <c r="BM45757" s="1025"/>
      <c r="BO45757" s="43"/>
    </row>
    <row r="45758" spans="65:67" ht="18.75" customHeight="1">
      <c r="BM45758" s="1025"/>
      <c r="BO45758" s="43"/>
    </row>
    <row r="45759" spans="65:67" ht="18.75" customHeight="1">
      <c r="BM45759" s="1025"/>
      <c r="BO45759" s="43"/>
    </row>
    <row r="45760" spans="65:67" ht="18.75" customHeight="1">
      <c r="BM45760" s="1025"/>
      <c r="BO45760" s="43"/>
    </row>
    <row r="45761" spans="65:67" ht="18.75" customHeight="1">
      <c r="BM45761" s="1025"/>
      <c r="BO45761" s="43"/>
    </row>
    <row r="45762" spans="65:67" ht="18.75" customHeight="1">
      <c r="BM45762" s="1025"/>
      <c r="BO45762" s="43"/>
    </row>
    <row r="45763" spans="65:67" ht="18.75" customHeight="1">
      <c r="BM45763" s="1025"/>
      <c r="BO45763" s="43"/>
    </row>
    <row r="45764" spans="65:67" ht="18.75" customHeight="1">
      <c r="BM45764" s="1025"/>
      <c r="BO45764" s="43"/>
    </row>
    <row r="45765" spans="65:67" ht="18.75" customHeight="1">
      <c r="BM45765" s="1025"/>
      <c r="BO45765" s="43"/>
    </row>
    <row r="45766" spans="65:67" ht="18.75" customHeight="1">
      <c r="BM45766" s="1025"/>
      <c r="BO45766" s="43"/>
    </row>
    <row r="45767" spans="65:67" ht="18.75" customHeight="1">
      <c r="BM45767" s="1025"/>
      <c r="BO45767" s="43"/>
    </row>
    <row r="45768" spans="65:67" ht="18.75" customHeight="1">
      <c r="BM45768" s="1025"/>
      <c r="BO45768" s="43"/>
    </row>
    <row r="45769" spans="65:67" ht="18.75" customHeight="1">
      <c r="BM45769" s="1025"/>
      <c r="BO45769" s="43"/>
    </row>
    <row r="45770" spans="65:67" ht="18.75" customHeight="1">
      <c r="BM45770" s="1025"/>
      <c r="BO45770" s="43"/>
    </row>
    <row r="45771" spans="65:67" ht="18.75" customHeight="1">
      <c r="BM45771" s="1025"/>
      <c r="BO45771" s="43"/>
    </row>
    <row r="45772" spans="65:67" ht="18.75" customHeight="1">
      <c r="BM45772" s="1025"/>
      <c r="BO45772" s="43"/>
    </row>
    <row r="45773" spans="65:67" ht="18.75" customHeight="1">
      <c r="BM45773" s="1025"/>
      <c r="BO45773" s="43"/>
    </row>
    <row r="45774" spans="65:67" ht="18.75" customHeight="1">
      <c r="BM45774" s="1025"/>
      <c r="BO45774" s="43"/>
    </row>
    <row r="45775" spans="65:67" ht="18.75" customHeight="1">
      <c r="BM45775" s="1025"/>
      <c r="BO45775" s="43"/>
    </row>
    <row r="45776" spans="65:67" ht="18.75" customHeight="1">
      <c r="BM45776" s="1025"/>
      <c r="BO45776" s="43"/>
    </row>
    <row r="45777" spans="65:67" ht="18.75" customHeight="1">
      <c r="BM45777" s="1025"/>
      <c r="BO45777" s="43"/>
    </row>
    <row r="45778" spans="65:67" ht="18.75" customHeight="1">
      <c r="BM45778" s="1025"/>
      <c r="BO45778" s="43"/>
    </row>
    <row r="45779" spans="65:67" ht="18.75" customHeight="1">
      <c r="BM45779" s="1025"/>
      <c r="BO45779" s="43"/>
    </row>
    <row r="45780" spans="65:67" ht="18.75" customHeight="1">
      <c r="BM45780" s="1025"/>
      <c r="BO45780" s="43"/>
    </row>
    <row r="45781" spans="65:67" ht="18.75" customHeight="1">
      <c r="BM45781" s="1025"/>
      <c r="BO45781" s="43"/>
    </row>
    <row r="45782" spans="65:67" ht="18.75" customHeight="1">
      <c r="BM45782" s="1025"/>
      <c r="BO45782" s="43"/>
    </row>
    <row r="45783" spans="65:67" ht="18.75" customHeight="1">
      <c r="BM45783" s="1025"/>
      <c r="BO45783" s="43"/>
    </row>
    <row r="45784" spans="65:67" ht="18.75" customHeight="1">
      <c r="BM45784" s="1025"/>
      <c r="BO45784" s="43"/>
    </row>
    <row r="45785" spans="65:67" ht="18.75" customHeight="1">
      <c r="BM45785" s="1025"/>
      <c r="BO45785" s="43"/>
    </row>
    <row r="45786" spans="65:67" ht="18.75" customHeight="1">
      <c r="BM45786" s="1025"/>
      <c r="BO45786" s="43"/>
    </row>
    <row r="45787" spans="65:67" ht="18.75" customHeight="1">
      <c r="BM45787" s="1025"/>
      <c r="BO45787" s="43"/>
    </row>
    <row r="45788" spans="65:67" ht="18.75" customHeight="1">
      <c r="BM45788" s="1025"/>
      <c r="BO45788" s="43"/>
    </row>
    <row r="45789" spans="65:67" ht="18.75" customHeight="1">
      <c r="BM45789" s="1025"/>
      <c r="BO45789" s="43"/>
    </row>
    <row r="45790" spans="65:67" ht="18.75" customHeight="1">
      <c r="BM45790" s="1025"/>
      <c r="BO45790" s="43"/>
    </row>
    <row r="45791" spans="65:67" ht="18.75" customHeight="1">
      <c r="BM45791" s="1025"/>
      <c r="BO45791" s="43"/>
    </row>
    <row r="45792" spans="65:67" ht="18.75" customHeight="1">
      <c r="BM45792" s="1025"/>
      <c r="BO45792" s="43"/>
    </row>
    <row r="45793" spans="65:67" ht="18.75" customHeight="1">
      <c r="BM45793" s="1025"/>
      <c r="BO45793" s="43"/>
    </row>
    <row r="45794" spans="65:67" ht="18.75" customHeight="1">
      <c r="BM45794" s="1025"/>
      <c r="BO45794" s="43"/>
    </row>
    <row r="45795" spans="65:67" ht="18.75" customHeight="1">
      <c r="BM45795" s="1025"/>
      <c r="BO45795" s="43"/>
    </row>
    <row r="45796" spans="65:67" ht="18.75" customHeight="1">
      <c r="BM45796" s="1025"/>
      <c r="BO45796" s="43"/>
    </row>
    <row r="45797" spans="65:67" ht="18.75" customHeight="1">
      <c r="BM45797" s="1025"/>
      <c r="BO45797" s="43"/>
    </row>
    <row r="45798" spans="65:67" ht="18.75" customHeight="1">
      <c r="BM45798" s="1025"/>
      <c r="BO45798" s="43"/>
    </row>
    <row r="45799" spans="65:67" ht="18.75" customHeight="1">
      <c r="BM45799" s="1025"/>
      <c r="BO45799" s="43"/>
    </row>
    <row r="45800" spans="65:67" ht="18.75" customHeight="1">
      <c r="BM45800" s="1025"/>
      <c r="BO45800" s="43"/>
    </row>
    <row r="45801" spans="65:67" ht="18.75" customHeight="1">
      <c r="BM45801" s="1025"/>
      <c r="BO45801" s="43"/>
    </row>
    <row r="45802" spans="65:67" ht="18.75" customHeight="1">
      <c r="BM45802" s="1025"/>
      <c r="BO45802" s="43"/>
    </row>
    <row r="45803" spans="65:67" ht="18.75" customHeight="1">
      <c r="BM45803" s="1025"/>
      <c r="BO45803" s="43"/>
    </row>
    <row r="45804" spans="65:67" ht="18.75" customHeight="1">
      <c r="BM45804" s="1025"/>
      <c r="BO45804" s="43"/>
    </row>
    <row r="45805" spans="65:67" ht="18.75" customHeight="1">
      <c r="BM45805" s="1025"/>
      <c r="BO45805" s="43"/>
    </row>
    <row r="45806" spans="65:67" ht="18.75" customHeight="1">
      <c r="BM45806" s="1025"/>
      <c r="BO45806" s="43"/>
    </row>
    <row r="45807" spans="65:67" ht="18.75" customHeight="1">
      <c r="BM45807" s="1025"/>
      <c r="BO45807" s="43"/>
    </row>
    <row r="45808" spans="65:67" ht="18.75" customHeight="1">
      <c r="BM45808" s="1025"/>
      <c r="BO45808" s="43"/>
    </row>
    <row r="45809" spans="65:67" ht="18.75" customHeight="1">
      <c r="BM45809" s="1025"/>
      <c r="BO45809" s="43"/>
    </row>
    <row r="45810" spans="65:67" ht="18.75" customHeight="1">
      <c r="BM45810" s="1025"/>
      <c r="BO45810" s="43"/>
    </row>
    <row r="45811" spans="65:67" ht="18.75" customHeight="1">
      <c r="BM45811" s="1025"/>
      <c r="BO45811" s="43"/>
    </row>
    <row r="45812" spans="65:67" ht="18.75" customHeight="1">
      <c r="BM45812" s="1025"/>
      <c r="BO45812" s="43"/>
    </row>
    <row r="45813" spans="65:67" ht="18.75" customHeight="1">
      <c r="BM45813" s="1025"/>
      <c r="BO45813" s="43"/>
    </row>
    <row r="45814" spans="65:67" ht="18.75" customHeight="1">
      <c r="BM45814" s="1025"/>
      <c r="BO45814" s="43"/>
    </row>
    <row r="45815" spans="65:67" ht="18.75" customHeight="1">
      <c r="BM45815" s="1025"/>
      <c r="BO45815" s="43"/>
    </row>
    <row r="45816" spans="65:67" ht="18.75" customHeight="1">
      <c r="BM45816" s="1025"/>
      <c r="BO45816" s="43"/>
    </row>
    <row r="45817" spans="65:67" ht="18.75" customHeight="1">
      <c r="BM45817" s="1025"/>
      <c r="BO45817" s="43"/>
    </row>
    <row r="45818" spans="65:67" ht="18.75" customHeight="1">
      <c r="BM45818" s="1025"/>
      <c r="BO45818" s="43"/>
    </row>
    <row r="45819" spans="65:67" ht="18.75" customHeight="1">
      <c r="BM45819" s="1025"/>
      <c r="BO45819" s="43"/>
    </row>
    <row r="45820" spans="65:67" ht="18.75" customHeight="1">
      <c r="BM45820" s="1025"/>
      <c r="BO45820" s="43"/>
    </row>
    <row r="45821" spans="65:67" ht="18.75" customHeight="1">
      <c r="BM45821" s="1025"/>
      <c r="BO45821" s="43"/>
    </row>
    <row r="45822" spans="65:67" ht="18.75" customHeight="1">
      <c r="BM45822" s="1025"/>
      <c r="BO45822" s="43"/>
    </row>
    <row r="45823" spans="65:67" ht="18.75" customHeight="1">
      <c r="BM45823" s="1025"/>
      <c r="BO45823" s="43"/>
    </row>
    <row r="45824" spans="65:67" ht="18.75" customHeight="1">
      <c r="BM45824" s="1025"/>
      <c r="BO45824" s="43"/>
    </row>
    <row r="45825" spans="65:67" ht="18.75" customHeight="1">
      <c r="BM45825" s="1025"/>
      <c r="BO45825" s="43"/>
    </row>
    <row r="45826" spans="65:67" ht="18.75" customHeight="1">
      <c r="BM45826" s="1025"/>
      <c r="BO45826" s="43"/>
    </row>
    <row r="45827" spans="65:67" ht="18.75" customHeight="1">
      <c r="BM45827" s="1025"/>
      <c r="BO45827" s="43"/>
    </row>
    <row r="45828" spans="65:67" ht="18.75" customHeight="1">
      <c r="BM45828" s="1025"/>
      <c r="BO45828" s="43"/>
    </row>
    <row r="45829" spans="65:67" ht="18.75" customHeight="1">
      <c r="BM45829" s="1025"/>
      <c r="BO45829" s="43"/>
    </row>
    <row r="45830" spans="65:67" ht="18.75" customHeight="1">
      <c r="BM45830" s="1025"/>
      <c r="BO45830" s="43"/>
    </row>
    <row r="45831" spans="65:67" ht="18.75" customHeight="1">
      <c r="BM45831" s="1025"/>
      <c r="BO45831" s="43"/>
    </row>
    <row r="45832" spans="65:67" ht="18.75" customHeight="1">
      <c r="BM45832" s="1025"/>
      <c r="BO45832" s="43"/>
    </row>
    <row r="45833" spans="65:67" ht="18.75" customHeight="1">
      <c r="BM45833" s="1025"/>
      <c r="BO45833" s="43"/>
    </row>
    <row r="45834" spans="65:67" ht="18.75" customHeight="1">
      <c r="BM45834" s="1025"/>
      <c r="BO45834" s="43"/>
    </row>
    <row r="45835" spans="65:67" ht="18.75" customHeight="1">
      <c r="BM45835" s="1025"/>
      <c r="BO45835" s="43"/>
    </row>
    <row r="45836" spans="65:67" ht="18.75" customHeight="1">
      <c r="BM45836" s="1025"/>
      <c r="BO45836" s="43"/>
    </row>
    <row r="45837" spans="65:67" ht="18.75" customHeight="1">
      <c r="BM45837" s="1025"/>
      <c r="BO45837" s="43"/>
    </row>
    <row r="45838" spans="65:67" ht="18.75" customHeight="1">
      <c r="BM45838" s="1025"/>
      <c r="BO45838" s="43"/>
    </row>
    <row r="45839" spans="65:67" ht="18.75" customHeight="1">
      <c r="BM45839" s="1025"/>
      <c r="BO45839" s="43"/>
    </row>
    <row r="45840" spans="65:67" ht="18.75" customHeight="1">
      <c r="BM45840" s="1025"/>
      <c r="BO45840" s="43"/>
    </row>
    <row r="45841" spans="65:67" ht="18.75" customHeight="1">
      <c r="BM45841" s="1025"/>
      <c r="BO45841" s="43"/>
    </row>
    <row r="45842" spans="65:67" ht="18.75" customHeight="1">
      <c r="BM45842" s="1025"/>
      <c r="BO45842" s="43"/>
    </row>
    <row r="45843" spans="65:67" ht="18.75" customHeight="1">
      <c r="BM45843" s="1025"/>
      <c r="BO45843" s="43"/>
    </row>
    <row r="45844" spans="65:67" ht="18.75" customHeight="1">
      <c r="BM45844" s="1025"/>
      <c r="BO45844" s="43"/>
    </row>
    <row r="45845" spans="65:67" ht="18.75" customHeight="1">
      <c r="BM45845" s="1025"/>
      <c r="BO45845" s="43"/>
    </row>
    <row r="45846" spans="65:67" ht="18.75" customHeight="1">
      <c r="BM45846" s="1025"/>
      <c r="BO45846" s="43"/>
    </row>
    <row r="45847" spans="65:67" ht="18.75" customHeight="1">
      <c r="BM45847" s="1025"/>
      <c r="BO45847" s="43"/>
    </row>
    <row r="45848" spans="65:67" ht="18.75" customHeight="1">
      <c r="BM45848" s="1025"/>
      <c r="BO45848" s="43"/>
    </row>
    <row r="45849" spans="65:67" ht="18.75" customHeight="1">
      <c r="BM45849" s="1025"/>
      <c r="BO45849" s="43"/>
    </row>
    <row r="45850" spans="65:67" ht="18.75" customHeight="1">
      <c r="BM45850" s="1025"/>
      <c r="BO45850" s="43"/>
    </row>
    <row r="45851" spans="65:67" ht="18.75" customHeight="1">
      <c r="BM45851" s="1025"/>
      <c r="BO45851" s="43"/>
    </row>
    <row r="45852" spans="65:67" ht="18.75" customHeight="1">
      <c r="BM45852" s="1025"/>
      <c r="BO45852" s="43"/>
    </row>
    <row r="45853" spans="65:67" ht="18.75" customHeight="1">
      <c r="BM45853" s="1025"/>
      <c r="BO45853" s="43"/>
    </row>
    <row r="45854" spans="65:67" ht="18.75" customHeight="1">
      <c r="BM45854" s="1025"/>
      <c r="BO45854" s="43"/>
    </row>
    <row r="45855" spans="65:67" ht="18.75" customHeight="1">
      <c r="BM45855" s="1025"/>
      <c r="BO45855" s="43"/>
    </row>
    <row r="45856" spans="65:67" ht="18.75" customHeight="1">
      <c r="BM45856" s="1025"/>
      <c r="BO45856" s="43"/>
    </row>
    <row r="45857" spans="65:67" ht="18.75" customHeight="1">
      <c r="BM45857" s="1025"/>
      <c r="BO45857" s="43"/>
    </row>
    <row r="45858" spans="65:67" ht="18.75" customHeight="1">
      <c r="BM45858" s="1025"/>
      <c r="BO45858" s="43"/>
    </row>
    <row r="45859" spans="65:67" ht="18.75" customHeight="1">
      <c r="BM45859" s="1025"/>
      <c r="BO45859" s="43"/>
    </row>
    <row r="45860" spans="65:67" ht="18.75" customHeight="1">
      <c r="BM45860" s="1025"/>
      <c r="BO45860" s="43"/>
    </row>
    <row r="45861" spans="65:67" ht="18.75" customHeight="1">
      <c r="BM45861" s="1025"/>
      <c r="BO45861" s="43"/>
    </row>
    <row r="45862" spans="65:67" ht="18.75" customHeight="1">
      <c r="BM45862" s="1025"/>
      <c r="BO45862" s="43"/>
    </row>
    <row r="45863" spans="65:67" ht="18.75" customHeight="1">
      <c r="BM45863" s="1025"/>
      <c r="BO45863" s="43"/>
    </row>
    <row r="45864" spans="65:67" ht="18.75" customHeight="1">
      <c r="BM45864" s="1025"/>
      <c r="BO45864" s="43"/>
    </row>
    <row r="45865" spans="65:67" ht="18.75" customHeight="1">
      <c r="BM45865" s="1025"/>
      <c r="BO45865" s="43"/>
    </row>
    <row r="45866" spans="65:67" ht="18.75" customHeight="1">
      <c r="BM45866" s="1025"/>
      <c r="BO45866" s="43"/>
    </row>
    <row r="45867" spans="65:67" ht="18.75" customHeight="1">
      <c r="BM45867" s="1025"/>
      <c r="BO45867" s="43"/>
    </row>
    <row r="45868" spans="65:67" ht="18.75" customHeight="1">
      <c r="BM45868" s="1025"/>
      <c r="BO45868" s="43"/>
    </row>
    <row r="45869" spans="65:67" ht="18.75" customHeight="1">
      <c r="BM45869" s="1025"/>
      <c r="BO45869" s="43"/>
    </row>
    <row r="45870" spans="65:67" ht="18.75" customHeight="1">
      <c r="BM45870" s="1025"/>
      <c r="BO45870" s="43"/>
    </row>
    <row r="45871" spans="65:67" ht="18.75" customHeight="1">
      <c r="BM45871" s="1025"/>
      <c r="BO45871" s="43"/>
    </row>
    <row r="45872" spans="65:67" ht="18.75" customHeight="1">
      <c r="BM45872" s="1025"/>
      <c r="BO45872" s="43"/>
    </row>
    <row r="45873" spans="65:67" ht="18.75" customHeight="1">
      <c r="BM45873" s="1025"/>
      <c r="BO45873" s="43"/>
    </row>
    <row r="45874" spans="65:67" ht="18.75" customHeight="1">
      <c r="BM45874" s="1025"/>
      <c r="BO45874" s="43"/>
    </row>
    <row r="45875" spans="65:67" ht="18.75" customHeight="1">
      <c r="BM45875" s="1025"/>
      <c r="BO45875" s="43"/>
    </row>
    <row r="45876" spans="65:67" ht="18.75" customHeight="1">
      <c r="BM45876" s="1025"/>
      <c r="BO45876" s="43"/>
    </row>
    <row r="45877" spans="65:67" ht="18.75" customHeight="1">
      <c r="BM45877" s="1025"/>
      <c r="BO45877" s="43"/>
    </row>
    <row r="45878" spans="65:67" ht="18.75" customHeight="1">
      <c r="BM45878" s="1025"/>
      <c r="BO45878" s="43"/>
    </row>
    <row r="45879" spans="65:67" ht="18.75" customHeight="1">
      <c r="BM45879" s="1025"/>
      <c r="BO45879" s="43"/>
    </row>
    <row r="45880" spans="65:67" ht="18.75" customHeight="1">
      <c r="BM45880" s="1025"/>
      <c r="BO45880" s="43"/>
    </row>
    <row r="45881" spans="65:67" ht="18.75" customHeight="1">
      <c r="BM45881" s="1025"/>
      <c r="BO45881" s="43"/>
    </row>
    <row r="45882" spans="65:67" ht="18.75" customHeight="1">
      <c r="BM45882" s="1025"/>
      <c r="BO45882" s="43"/>
    </row>
    <row r="45883" spans="65:67" ht="18.75" customHeight="1">
      <c r="BM45883" s="1025"/>
      <c r="BO45883" s="43"/>
    </row>
    <row r="45884" spans="65:67" ht="18.75" customHeight="1">
      <c r="BM45884" s="1025"/>
      <c r="BO45884" s="43"/>
    </row>
    <row r="45885" spans="65:67" ht="18.75" customHeight="1">
      <c r="BM45885" s="1025"/>
      <c r="BO45885" s="43"/>
    </row>
    <row r="45886" spans="65:67" ht="18.75" customHeight="1">
      <c r="BM45886" s="1025"/>
      <c r="BO45886" s="43"/>
    </row>
    <row r="45887" spans="65:67" ht="18.75" customHeight="1">
      <c r="BM45887" s="1025"/>
      <c r="BO45887" s="43"/>
    </row>
    <row r="45888" spans="65:67" ht="18.75" customHeight="1">
      <c r="BM45888" s="1025"/>
      <c r="BO45888" s="43"/>
    </row>
    <row r="45889" spans="65:67" ht="18.75" customHeight="1">
      <c r="BM45889" s="1025"/>
      <c r="BO45889" s="43"/>
    </row>
    <row r="45890" spans="65:67" ht="18.75" customHeight="1">
      <c r="BM45890" s="1025"/>
      <c r="BO45890" s="43"/>
    </row>
    <row r="45891" spans="65:67" ht="18.75" customHeight="1">
      <c r="BM45891" s="1025"/>
      <c r="BO45891" s="43"/>
    </row>
    <row r="45892" spans="65:67" ht="18.75" customHeight="1">
      <c r="BM45892" s="1025"/>
      <c r="BO45892" s="43"/>
    </row>
    <row r="45893" spans="65:67" ht="18.75" customHeight="1">
      <c r="BM45893" s="1025"/>
      <c r="BO45893" s="43"/>
    </row>
    <row r="45894" spans="65:67" ht="18.75" customHeight="1">
      <c r="BM45894" s="1025"/>
      <c r="BO45894" s="43"/>
    </row>
    <row r="45895" spans="65:67" ht="18.75" customHeight="1">
      <c r="BM45895" s="1025"/>
      <c r="BO45895" s="43"/>
    </row>
    <row r="45896" spans="65:67" ht="18.75" customHeight="1">
      <c r="BM45896" s="1025"/>
      <c r="BO45896" s="43"/>
    </row>
    <row r="45897" spans="65:67" ht="18.75" customHeight="1">
      <c r="BM45897" s="1025"/>
      <c r="BO45897" s="43"/>
    </row>
    <row r="45898" spans="65:67" ht="18.75" customHeight="1">
      <c r="BM45898" s="1025"/>
      <c r="BO45898" s="43"/>
    </row>
    <row r="45899" spans="65:67" ht="18.75" customHeight="1">
      <c r="BM45899" s="1025"/>
      <c r="BO45899" s="43"/>
    </row>
    <row r="45900" spans="65:67" ht="18.75" customHeight="1">
      <c r="BM45900" s="1025"/>
      <c r="BO45900" s="43"/>
    </row>
    <row r="45901" spans="65:67" ht="18.75" customHeight="1">
      <c r="BM45901" s="1025"/>
      <c r="BO45901" s="43"/>
    </row>
    <row r="45902" spans="65:67" ht="18.75" customHeight="1">
      <c r="BM45902" s="1025"/>
      <c r="BO45902" s="43"/>
    </row>
    <row r="45903" spans="65:67" ht="18.75" customHeight="1">
      <c r="BM45903" s="1025"/>
      <c r="BO45903" s="43"/>
    </row>
    <row r="45904" spans="65:67" ht="18.75" customHeight="1">
      <c r="BM45904" s="1025"/>
      <c r="BO45904" s="43"/>
    </row>
    <row r="45905" spans="65:67" ht="18.75" customHeight="1">
      <c r="BM45905" s="1025"/>
      <c r="BO45905" s="43"/>
    </row>
    <row r="45906" spans="65:67" ht="18.75" customHeight="1">
      <c r="BM45906" s="1025"/>
      <c r="BO45906" s="43"/>
    </row>
    <row r="45907" spans="65:67" ht="18.75" customHeight="1">
      <c r="BM45907" s="1025"/>
      <c r="BO45907" s="43"/>
    </row>
    <row r="45908" spans="65:67" ht="18.75" customHeight="1">
      <c r="BM45908" s="1025"/>
      <c r="BO45908" s="43"/>
    </row>
    <row r="45909" spans="65:67" ht="18.75" customHeight="1">
      <c r="BM45909" s="1025"/>
      <c r="BO45909" s="43"/>
    </row>
    <row r="45910" spans="65:67" ht="18.75" customHeight="1">
      <c r="BM45910" s="1025"/>
      <c r="BO45910" s="43"/>
    </row>
    <row r="45911" spans="65:67" ht="18.75" customHeight="1">
      <c r="BM45911" s="1025"/>
      <c r="BO45911" s="43"/>
    </row>
    <row r="45912" spans="65:67" ht="18.75" customHeight="1">
      <c r="BM45912" s="1025"/>
      <c r="BO45912" s="43"/>
    </row>
    <row r="45913" spans="65:67" ht="18.75" customHeight="1">
      <c r="BM45913" s="1025"/>
      <c r="BO45913" s="43"/>
    </row>
    <row r="45914" spans="65:67" ht="18.75" customHeight="1">
      <c r="BM45914" s="1025"/>
      <c r="BO45914" s="43"/>
    </row>
    <row r="45915" spans="65:67" ht="18.75" customHeight="1">
      <c r="BM45915" s="1025"/>
      <c r="BO45915" s="43"/>
    </row>
    <row r="45916" spans="65:67" ht="18.75" customHeight="1">
      <c r="BM45916" s="1025"/>
      <c r="BO45916" s="43"/>
    </row>
    <row r="45917" spans="65:67" ht="18.75" customHeight="1">
      <c r="BM45917" s="1025"/>
      <c r="BO45917" s="43"/>
    </row>
    <row r="45918" spans="65:67" ht="18.75" customHeight="1">
      <c r="BM45918" s="1025"/>
      <c r="BO45918" s="43"/>
    </row>
    <row r="45919" spans="65:67" ht="18.75" customHeight="1">
      <c r="BM45919" s="1025"/>
      <c r="BO45919" s="43"/>
    </row>
    <row r="45920" spans="65:67" ht="18.75" customHeight="1">
      <c r="BM45920" s="1025"/>
      <c r="BO45920" s="43"/>
    </row>
    <row r="45921" spans="65:67" ht="18.75" customHeight="1">
      <c r="BM45921" s="1025"/>
      <c r="BO45921" s="43"/>
    </row>
    <row r="45922" spans="65:67" ht="18.75" customHeight="1">
      <c r="BM45922" s="1025"/>
      <c r="BO45922" s="43"/>
    </row>
    <row r="45923" spans="65:67" ht="18.75" customHeight="1">
      <c r="BM45923" s="1025"/>
      <c r="BO45923" s="43"/>
    </row>
    <row r="45924" spans="65:67" ht="18.75" customHeight="1">
      <c r="BM45924" s="1025"/>
      <c r="BO45924" s="43"/>
    </row>
    <row r="45925" spans="65:67" ht="18.75" customHeight="1">
      <c r="BM45925" s="1025"/>
      <c r="BO45925" s="43"/>
    </row>
    <row r="45926" spans="65:67" ht="18.75" customHeight="1">
      <c r="BM45926" s="1025"/>
      <c r="BO45926" s="43"/>
    </row>
    <row r="45927" spans="65:67" ht="18.75" customHeight="1">
      <c r="BM45927" s="1025"/>
      <c r="BO45927" s="43"/>
    </row>
    <row r="45928" spans="65:67" ht="18.75" customHeight="1">
      <c r="BM45928" s="1025"/>
      <c r="BO45928" s="43"/>
    </row>
    <row r="45929" spans="65:67" ht="18.75" customHeight="1">
      <c r="BM45929" s="1025"/>
      <c r="BO45929" s="43"/>
    </row>
    <row r="45930" spans="65:67" ht="18.75" customHeight="1">
      <c r="BM45930" s="1025"/>
      <c r="BO45930" s="43"/>
    </row>
    <row r="45931" spans="65:67" ht="18.75" customHeight="1">
      <c r="BM45931" s="1025"/>
      <c r="BO45931" s="43"/>
    </row>
    <row r="45932" spans="65:67" ht="18.75" customHeight="1">
      <c r="BM45932" s="1025"/>
      <c r="BO45932" s="43"/>
    </row>
    <row r="45933" spans="65:67" ht="18.75" customHeight="1">
      <c r="BM45933" s="1025"/>
      <c r="BO45933" s="43"/>
    </row>
    <row r="45934" spans="65:67" ht="18.75" customHeight="1">
      <c r="BM45934" s="1025"/>
      <c r="BO45934" s="43"/>
    </row>
    <row r="45935" spans="65:67" ht="18.75" customHeight="1">
      <c r="BM45935" s="1025"/>
      <c r="BO45935" s="43"/>
    </row>
    <row r="45936" spans="65:67" ht="18.75" customHeight="1">
      <c r="BM45936" s="1025"/>
      <c r="BO45936" s="43"/>
    </row>
    <row r="45937" spans="65:67" ht="18.75" customHeight="1">
      <c r="BM45937" s="1025"/>
      <c r="BO45937" s="43"/>
    </row>
    <row r="45938" spans="65:67" ht="18.75" customHeight="1">
      <c r="BM45938" s="1025"/>
      <c r="BO45938" s="43"/>
    </row>
    <row r="45939" spans="65:67" ht="18.75" customHeight="1">
      <c r="BM45939" s="1025"/>
      <c r="BO45939" s="43"/>
    </row>
    <row r="45940" spans="65:67" ht="18.75" customHeight="1">
      <c r="BM45940" s="1025"/>
      <c r="BO45940" s="43"/>
    </row>
    <row r="45941" spans="65:67" ht="18.75" customHeight="1">
      <c r="BM45941" s="1025"/>
      <c r="BO45941" s="43"/>
    </row>
    <row r="45942" spans="65:67" ht="18.75" customHeight="1">
      <c r="BM45942" s="1025"/>
      <c r="BO45942" s="43"/>
    </row>
    <row r="45943" spans="65:67" ht="18.75" customHeight="1">
      <c r="BM45943" s="1025"/>
      <c r="BO45943" s="43"/>
    </row>
    <row r="45944" spans="65:67" ht="18.75" customHeight="1">
      <c r="BM45944" s="1025"/>
      <c r="BO45944" s="43"/>
    </row>
    <row r="45945" spans="65:67" ht="18.75" customHeight="1">
      <c r="BM45945" s="1025"/>
      <c r="BO45945" s="43"/>
    </row>
    <row r="45946" spans="65:67" ht="18.75" customHeight="1">
      <c r="BM45946" s="1025"/>
      <c r="BO45946" s="43"/>
    </row>
    <row r="45947" spans="65:67" ht="18.75" customHeight="1">
      <c r="BM45947" s="1025"/>
      <c r="BO45947" s="43"/>
    </row>
    <row r="45948" spans="65:67" ht="18.75" customHeight="1">
      <c r="BM45948" s="1025"/>
      <c r="BO45948" s="43"/>
    </row>
    <row r="45949" spans="65:67" ht="18.75" customHeight="1">
      <c r="BM45949" s="1025"/>
      <c r="BO45949" s="43"/>
    </row>
    <row r="45950" spans="65:67" ht="18.75" customHeight="1">
      <c r="BM45950" s="1025"/>
      <c r="BO45950" s="43"/>
    </row>
    <row r="45951" spans="65:67" ht="18.75" customHeight="1">
      <c r="BM45951" s="1025"/>
      <c r="BO45951" s="43"/>
    </row>
    <row r="45952" spans="65:67" ht="18.75" customHeight="1">
      <c r="BM45952" s="1025"/>
      <c r="BO45952" s="43"/>
    </row>
    <row r="45953" spans="65:67" ht="18.75" customHeight="1">
      <c r="BM45953" s="1025"/>
      <c r="BO45953" s="43"/>
    </row>
    <row r="45954" spans="65:67" ht="18.75" customHeight="1">
      <c r="BM45954" s="1025"/>
      <c r="BO45954" s="43"/>
    </row>
    <row r="45955" spans="65:67" ht="18.75" customHeight="1">
      <c r="BM45955" s="1025"/>
      <c r="BO45955" s="43"/>
    </row>
    <row r="45956" spans="65:67" ht="18.75" customHeight="1">
      <c r="BM45956" s="1025"/>
      <c r="BO45956" s="43"/>
    </row>
    <row r="45957" spans="65:67" ht="18.75" customHeight="1">
      <c r="BM45957" s="1025"/>
      <c r="BO45957" s="43"/>
    </row>
    <row r="45958" spans="65:67" ht="18.75" customHeight="1">
      <c r="BM45958" s="1025"/>
      <c r="BO45958" s="43"/>
    </row>
    <row r="45959" spans="65:67" ht="18.75" customHeight="1">
      <c r="BM45959" s="1025"/>
      <c r="BO45959" s="43"/>
    </row>
    <row r="45960" spans="65:67" ht="18.75" customHeight="1">
      <c r="BM45960" s="1025"/>
      <c r="BO45960" s="43"/>
    </row>
    <row r="45961" spans="65:67" ht="18.75" customHeight="1">
      <c r="BM45961" s="1025"/>
      <c r="BO45961" s="43"/>
    </row>
    <row r="45962" spans="65:67" ht="18.75" customHeight="1">
      <c r="BM45962" s="1025"/>
      <c r="BO45962" s="43"/>
    </row>
    <row r="45963" spans="65:67" ht="18.75" customHeight="1">
      <c r="BM45963" s="1025"/>
      <c r="BO45963" s="43"/>
    </row>
    <row r="45964" spans="65:67" ht="18.75" customHeight="1">
      <c r="BM45964" s="1025"/>
      <c r="BO45964" s="43"/>
    </row>
    <row r="45965" spans="65:67" ht="18.75" customHeight="1">
      <c r="BM45965" s="1025"/>
      <c r="BO45965" s="43"/>
    </row>
    <row r="45966" spans="65:67" ht="18.75" customHeight="1">
      <c r="BM45966" s="1025"/>
      <c r="BO45966" s="43"/>
    </row>
    <row r="45967" spans="65:67" ht="18.75" customHeight="1">
      <c r="BM45967" s="1025"/>
      <c r="BO45967" s="43"/>
    </row>
    <row r="45968" spans="65:67" ht="18.75" customHeight="1">
      <c r="BM45968" s="1025"/>
      <c r="BO45968" s="43"/>
    </row>
    <row r="45969" spans="65:67" ht="18.75" customHeight="1">
      <c r="BM45969" s="1025"/>
      <c r="BO45969" s="43"/>
    </row>
    <row r="45970" spans="65:67" ht="18.75" customHeight="1">
      <c r="BM45970" s="1025"/>
      <c r="BO45970" s="43"/>
    </row>
    <row r="45971" spans="65:67" ht="18.75" customHeight="1">
      <c r="BM45971" s="1025"/>
      <c r="BO45971" s="43"/>
    </row>
    <row r="45972" spans="65:67" ht="18.75" customHeight="1">
      <c r="BM45972" s="1025"/>
      <c r="BO45972" s="43"/>
    </row>
    <row r="45973" spans="65:67" ht="18.75" customHeight="1">
      <c r="BM45973" s="1025"/>
      <c r="BO45973" s="43"/>
    </row>
    <row r="45974" spans="65:67" ht="18.75" customHeight="1">
      <c r="BM45974" s="1025"/>
      <c r="BO45974" s="43"/>
    </row>
    <row r="45975" spans="65:67" ht="18.75" customHeight="1">
      <c r="BM45975" s="1025"/>
      <c r="BO45975" s="43"/>
    </row>
    <row r="45976" spans="65:67" ht="18.75" customHeight="1">
      <c r="BM45976" s="1025"/>
      <c r="BO45976" s="43"/>
    </row>
    <row r="45977" spans="65:67" ht="18.75" customHeight="1">
      <c r="BM45977" s="1025"/>
      <c r="BO45977" s="43"/>
    </row>
    <row r="45978" spans="65:67" ht="18.75" customHeight="1">
      <c r="BM45978" s="1025"/>
      <c r="BO45978" s="43"/>
    </row>
    <row r="45979" spans="65:67" ht="18.75" customHeight="1">
      <c r="BM45979" s="1025"/>
      <c r="BO45979" s="43"/>
    </row>
    <row r="45980" spans="65:67" ht="18.75" customHeight="1">
      <c r="BM45980" s="1025"/>
      <c r="BO45980" s="43"/>
    </row>
    <row r="45981" spans="65:67" ht="18.75" customHeight="1">
      <c r="BM45981" s="1025"/>
      <c r="BO45981" s="43"/>
    </row>
    <row r="45982" spans="65:67" ht="18.75" customHeight="1">
      <c r="BM45982" s="1025"/>
      <c r="BO45982" s="43"/>
    </row>
    <row r="45983" spans="65:67" ht="18.75" customHeight="1">
      <c r="BM45983" s="1025"/>
      <c r="BO45983" s="43"/>
    </row>
    <row r="45984" spans="65:67" ht="18.75" customHeight="1">
      <c r="BM45984" s="1025"/>
      <c r="BO45984" s="43"/>
    </row>
    <row r="45985" spans="65:67" ht="18.75" customHeight="1">
      <c r="BM45985" s="1025"/>
      <c r="BO45985" s="43"/>
    </row>
    <row r="45986" spans="65:67" ht="18.75" customHeight="1">
      <c r="BM45986" s="1025"/>
      <c r="BO45986" s="43"/>
    </row>
    <row r="45987" spans="65:67" ht="18.75" customHeight="1">
      <c r="BM45987" s="1025"/>
      <c r="BO45987" s="43"/>
    </row>
    <row r="45988" spans="65:67" ht="18.75" customHeight="1">
      <c r="BM45988" s="1025"/>
      <c r="BO45988" s="43"/>
    </row>
    <row r="45989" spans="65:67" ht="18.75" customHeight="1">
      <c r="BM45989" s="1025"/>
      <c r="BO45989" s="43"/>
    </row>
    <row r="45990" spans="65:67" ht="18.75" customHeight="1">
      <c r="BM45990" s="1025"/>
      <c r="BO45990" s="43"/>
    </row>
    <row r="45991" spans="65:67" ht="18.75" customHeight="1">
      <c r="BM45991" s="1025"/>
      <c r="BO45991" s="43"/>
    </row>
    <row r="45992" spans="65:67" ht="18.75" customHeight="1">
      <c r="BM45992" s="1025"/>
      <c r="BO45992" s="43"/>
    </row>
    <row r="45993" spans="65:67" ht="18.75" customHeight="1">
      <c r="BM45993" s="1025"/>
      <c r="BO45993" s="43"/>
    </row>
    <row r="45994" spans="65:67" ht="18.75" customHeight="1">
      <c r="BM45994" s="1025"/>
      <c r="BO45994" s="43"/>
    </row>
    <row r="45995" spans="65:67" ht="18.75" customHeight="1">
      <c r="BM45995" s="1025"/>
      <c r="BO45995" s="43"/>
    </row>
    <row r="45996" spans="65:67" ht="18.75" customHeight="1">
      <c r="BM45996" s="1025"/>
      <c r="BO45996" s="43"/>
    </row>
    <row r="45997" spans="65:67" ht="18.75" customHeight="1">
      <c r="BM45997" s="1025"/>
      <c r="BO45997" s="43"/>
    </row>
    <row r="45998" spans="65:67" ht="18.75" customHeight="1">
      <c r="BM45998" s="1025"/>
      <c r="BO45998" s="43"/>
    </row>
    <row r="45999" spans="65:67" ht="18.75" customHeight="1">
      <c r="BM45999" s="1025"/>
      <c r="BO45999" s="43"/>
    </row>
    <row r="46000" spans="65:67" ht="18.75" customHeight="1">
      <c r="BM46000" s="1025"/>
      <c r="BO46000" s="43"/>
    </row>
    <row r="46001" spans="65:67" ht="18.75" customHeight="1">
      <c r="BM46001" s="1025"/>
      <c r="BO46001" s="43"/>
    </row>
    <row r="46002" spans="65:67" ht="18.75" customHeight="1">
      <c r="BM46002" s="1025"/>
      <c r="BO46002" s="43"/>
    </row>
    <row r="46003" spans="65:67" ht="18.75" customHeight="1">
      <c r="BM46003" s="1025"/>
      <c r="BO46003" s="43"/>
    </row>
    <row r="46004" spans="65:67" ht="18.75" customHeight="1">
      <c r="BM46004" s="1025"/>
      <c r="BO46004" s="43"/>
    </row>
    <row r="46005" spans="65:67" ht="18.75" customHeight="1">
      <c r="BM46005" s="1025"/>
      <c r="BO46005" s="43"/>
    </row>
    <row r="46006" spans="65:67" ht="18.75" customHeight="1">
      <c r="BM46006" s="1025"/>
      <c r="BO46006" s="43"/>
    </row>
    <row r="46007" spans="65:67" ht="18.75" customHeight="1">
      <c r="BM46007" s="1025"/>
      <c r="BO46007" s="43"/>
    </row>
    <row r="46008" spans="65:67" ht="18.75" customHeight="1">
      <c r="BM46008" s="1025"/>
      <c r="BO46008" s="43"/>
    </row>
    <row r="46009" spans="65:67" ht="18.75" customHeight="1">
      <c r="BM46009" s="1025"/>
      <c r="BO46009" s="43"/>
    </row>
    <row r="46010" spans="65:67" ht="18.75" customHeight="1">
      <c r="BM46010" s="1025"/>
      <c r="BO46010" s="43"/>
    </row>
    <row r="46011" spans="65:67" ht="18.75" customHeight="1">
      <c r="BM46011" s="1025"/>
      <c r="BO46011" s="43"/>
    </row>
    <row r="46012" spans="65:67" ht="18.75" customHeight="1">
      <c r="BM46012" s="1025"/>
      <c r="BO46012" s="43"/>
    </row>
    <row r="46013" spans="65:67" ht="18.75" customHeight="1">
      <c r="BM46013" s="1025"/>
      <c r="BO46013" s="43"/>
    </row>
    <row r="46014" spans="65:67" ht="18.75" customHeight="1">
      <c r="BM46014" s="1025"/>
      <c r="BO46014" s="43"/>
    </row>
    <row r="46015" spans="65:67" ht="18.75" customHeight="1">
      <c r="BM46015" s="1025"/>
      <c r="BO46015" s="43"/>
    </row>
    <row r="46016" spans="65:67" ht="18.75" customHeight="1">
      <c r="BM46016" s="1025"/>
      <c r="BO46016" s="43"/>
    </row>
    <row r="46017" spans="65:67" ht="18.75" customHeight="1">
      <c r="BM46017" s="1025"/>
      <c r="BO46017" s="43"/>
    </row>
    <row r="46018" spans="65:67" ht="18.75" customHeight="1">
      <c r="BM46018" s="1025"/>
      <c r="BO46018" s="43"/>
    </row>
    <row r="46019" spans="65:67" ht="18.75" customHeight="1">
      <c r="BM46019" s="1025"/>
      <c r="BO46019" s="43"/>
    </row>
    <row r="46020" spans="65:67" ht="18.75" customHeight="1">
      <c r="BM46020" s="1025"/>
      <c r="BO46020" s="43"/>
    </row>
    <row r="46021" spans="65:67" ht="18.75" customHeight="1">
      <c r="BM46021" s="1025"/>
      <c r="BO46021" s="43"/>
    </row>
    <row r="46022" spans="65:67" ht="18.75" customHeight="1">
      <c r="BM46022" s="1025"/>
      <c r="BO46022" s="43"/>
    </row>
    <row r="46023" spans="65:67" ht="18.75" customHeight="1">
      <c r="BM46023" s="1025"/>
      <c r="BO46023" s="43"/>
    </row>
    <row r="46024" spans="65:67" ht="18.75" customHeight="1">
      <c r="BM46024" s="1025"/>
      <c r="BO46024" s="43"/>
    </row>
    <row r="46025" spans="65:67" ht="18.75" customHeight="1">
      <c r="BM46025" s="1025"/>
      <c r="BO46025" s="43"/>
    </row>
    <row r="46026" spans="65:67" ht="18.75" customHeight="1">
      <c r="BM46026" s="1025"/>
      <c r="BO46026" s="43"/>
    </row>
    <row r="46027" spans="65:67" ht="18.75" customHeight="1">
      <c r="BM46027" s="1025"/>
      <c r="BO46027" s="43"/>
    </row>
    <row r="46028" spans="65:67" ht="18.75" customHeight="1">
      <c r="BM46028" s="1025"/>
      <c r="BO46028" s="43"/>
    </row>
    <row r="46029" spans="65:67" ht="18.75" customHeight="1">
      <c r="BM46029" s="1025"/>
      <c r="BO46029" s="43"/>
    </row>
    <row r="46030" spans="65:67" ht="18.75" customHeight="1">
      <c r="BM46030" s="1025"/>
      <c r="BO46030" s="43"/>
    </row>
    <row r="46031" spans="65:67" ht="18.75" customHeight="1">
      <c r="BM46031" s="1025"/>
      <c r="BO46031" s="43"/>
    </row>
    <row r="46032" spans="65:67" ht="18.75" customHeight="1">
      <c r="BM46032" s="1025"/>
      <c r="BO46032" s="43"/>
    </row>
    <row r="46033" spans="65:67" ht="18.75" customHeight="1">
      <c r="BM46033" s="1025"/>
      <c r="BO46033" s="43"/>
    </row>
    <row r="46034" spans="65:67" ht="18.75" customHeight="1">
      <c r="BM46034" s="1025"/>
      <c r="BO46034" s="43"/>
    </row>
    <row r="46035" spans="65:67" ht="18.75" customHeight="1">
      <c r="BM46035" s="1025"/>
      <c r="BO46035" s="43"/>
    </row>
    <row r="46036" spans="65:67" ht="18.75" customHeight="1">
      <c r="BM46036" s="1025"/>
      <c r="BO46036" s="43"/>
    </row>
    <row r="46037" spans="65:67" ht="18.75" customHeight="1">
      <c r="BM46037" s="1025"/>
      <c r="BO46037" s="43"/>
    </row>
    <row r="46038" spans="65:67" ht="18.75" customHeight="1">
      <c r="BM46038" s="1025"/>
      <c r="BO46038" s="43"/>
    </row>
    <row r="46039" spans="65:67" ht="18.75" customHeight="1">
      <c r="BM46039" s="1025"/>
      <c r="BO46039" s="43"/>
    </row>
    <row r="46040" spans="65:67" ht="18.75" customHeight="1">
      <c r="BM46040" s="1025"/>
      <c r="BO46040" s="43"/>
    </row>
    <row r="46041" spans="65:67" ht="18.75" customHeight="1">
      <c r="BM46041" s="1025"/>
      <c r="BO46041" s="43"/>
    </row>
    <row r="46042" spans="65:67" ht="18.75" customHeight="1">
      <c r="BM46042" s="1025"/>
      <c r="BO46042" s="43"/>
    </row>
    <row r="46043" spans="65:67" ht="18.75" customHeight="1">
      <c r="BM46043" s="1025"/>
      <c r="BO46043" s="43"/>
    </row>
    <row r="46044" spans="65:67" ht="18.75" customHeight="1">
      <c r="BM46044" s="1025"/>
      <c r="BO46044" s="43"/>
    </row>
    <row r="46045" spans="65:67" ht="18.75" customHeight="1">
      <c r="BM46045" s="1025"/>
      <c r="BO46045" s="43"/>
    </row>
    <row r="46046" spans="65:67" ht="18.75" customHeight="1">
      <c r="BM46046" s="1025"/>
      <c r="BO46046" s="43"/>
    </row>
    <row r="46047" spans="65:67" ht="18.75" customHeight="1">
      <c r="BM46047" s="1025"/>
      <c r="BO46047" s="43"/>
    </row>
    <row r="46048" spans="65:67" ht="18.75" customHeight="1">
      <c r="BM46048" s="1025"/>
      <c r="BO46048" s="43"/>
    </row>
    <row r="46049" spans="65:67" ht="18.75" customHeight="1">
      <c r="BM46049" s="1025"/>
      <c r="BO46049" s="43"/>
    </row>
    <row r="46050" spans="65:67" ht="18.75" customHeight="1">
      <c r="BM46050" s="1025"/>
      <c r="BO46050" s="43"/>
    </row>
    <row r="46051" spans="65:67" ht="18.75" customHeight="1">
      <c r="BM46051" s="1025"/>
      <c r="BO46051" s="43"/>
    </row>
    <row r="46052" spans="65:67" ht="18.75" customHeight="1">
      <c r="BM46052" s="1025"/>
      <c r="BO46052" s="43"/>
    </row>
    <row r="46053" spans="65:67" ht="18.75" customHeight="1">
      <c r="BM46053" s="1025"/>
      <c r="BO46053" s="43"/>
    </row>
    <row r="46054" spans="65:67" ht="18.75" customHeight="1">
      <c r="BM46054" s="1025"/>
      <c r="BO46054" s="43"/>
    </row>
    <row r="46055" spans="65:67" ht="18.75" customHeight="1">
      <c r="BM46055" s="1025"/>
      <c r="BO46055" s="43"/>
    </row>
    <row r="46056" spans="65:67" ht="18.75" customHeight="1">
      <c r="BM46056" s="1025"/>
      <c r="BO46056" s="43"/>
    </row>
    <row r="46057" spans="65:67" ht="18.75" customHeight="1">
      <c r="BM46057" s="1025"/>
      <c r="BO46057" s="43"/>
    </row>
    <row r="46058" spans="65:67" ht="18.75" customHeight="1">
      <c r="BM46058" s="1025"/>
      <c r="BO46058" s="43"/>
    </row>
    <row r="46059" spans="65:67" ht="18.75" customHeight="1">
      <c r="BM46059" s="1025"/>
      <c r="BO46059" s="43"/>
    </row>
    <row r="46060" spans="65:67" ht="18.75" customHeight="1">
      <c r="BM46060" s="1025"/>
      <c r="BO46060" s="43"/>
    </row>
    <row r="46061" spans="65:67" ht="18.75" customHeight="1">
      <c r="BM46061" s="1025"/>
      <c r="BO46061" s="43"/>
    </row>
    <row r="46062" spans="65:67" ht="18.75" customHeight="1">
      <c r="BM46062" s="1025"/>
      <c r="BO46062" s="43"/>
    </row>
    <row r="46063" spans="65:67" ht="18.75" customHeight="1">
      <c r="BM46063" s="1025"/>
      <c r="BO46063" s="43"/>
    </row>
    <row r="46064" spans="65:67" ht="18.75" customHeight="1">
      <c r="BM46064" s="1025"/>
      <c r="BO46064" s="43"/>
    </row>
    <row r="46065" spans="65:67" ht="18.75" customHeight="1">
      <c r="BM46065" s="1025"/>
      <c r="BO46065" s="43"/>
    </row>
    <row r="46066" spans="65:67" ht="18.75" customHeight="1">
      <c r="BM46066" s="1025"/>
      <c r="BO46066" s="43"/>
    </row>
    <row r="46067" spans="65:67" ht="18.75" customHeight="1">
      <c r="BM46067" s="1025"/>
      <c r="BO46067" s="43"/>
    </row>
    <row r="46068" spans="65:67" ht="18.75" customHeight="1">
      <c r="BM46068" s="1025"/>
      <c r="BO46068" s="43"/>
    </row>
    <row r="46069" spans="65:67" ht="18.75" customHeight="1">
      <c r="BM46069" s="1025"/>
      <c r="BO46069" s="43"/>
    </row>
    <row r="46070" spans="65:67" ht="18.75" customHeight="1">
      <c r="BM46070" s="1025"/>
      <c r="BO46070" s="43"/>
    </row>
    <row r="46071" spans="65:67" ht="18.75" customHeight="1">
      <c r="BM46071" s="1025"/>
      <c r="BO46071" s="43"/>
    </row>
    <row r="46072" spans="65:67" ht="18.75" customHeight="1">
      <c r="BM46072" s="1025"/>
      <c r="BO46072" s="43"/>
    </row>
    <row r="46073" spans="65:67" ht="18.75" customHeight="1">
      <c r="BM46073" s="1025"/>
      <c r="BO46073" s="43"/>
    </row>
    <row r="46074" spans="65:67" ht="18.75" customHeight="1">
      <c r="BM46074" s="1025"/>
      <c r="BO46074" s="43"/>
    </row>
    <row r="46075" spans="65:67" ht="18.75" customHeight="1">
      <c r="BM46075" s="1025"/>
      <c r="BO46075" s="43"/>
    </row>
    <row r="46076" spans="65:67" ht="18.75" customHeight="1">
      <c r="BM46076" s="1025"/>
      <c r="BO46076" s="43"/>
    </row>
    <row r="46077" spans="65:67" ht="18.75" customHeight="1">
      <c r="BM46077" s="1025"/>
      <c r="BO46077" s="43"/>
    </row>
    <row r="46078" spans="65:67" ht="18.75" customHeight="1">
      <c r="BM46078" s="1025"/>
      <c r="BO46078" s="43"/>
    </row>
    <row r="46079" spans="65:67" ht="18.75" customHeight="1">
      <c r="BM46079" s="1025"/>
      <c r="BO46079" s="43"/>
    </row>
    <row r="46080" spans="65:67" ht="18.75" customHeight="1">
      <c r="BM46080" s="1025"/>
      <c r="BO46080" s="43"/>
    </row>
    <row r="46081" spans="65:67" ht="18.75" customHeight="1">
      <c r="BM46081" s="1025"/>
      <c r="BO46081" s="43"/>
    </row>
    <row r="46082" spans="65:67" ht="18.75" customHeight="1">
      <c r="BM46082" s="1025"/>
      <c r="BO46082" s="43"/>
    </row>
    <row r="46083" spans="65:67" ht="18.75" customHeight="1">
      <c r="BM46083" s="1025"/>
      <c r="BO46083" s="43"/>
    </row>
    <row r="46084" spans="65:67" ht="18.75" customHeight="1">
      <c r="BM46084" s="1025"/>
      <c r="BO46084" s="43"/>
    </row>
    <row r="46085" spans="65:67" ht="18.75" customHeight="1">
      <c r="BM46085" s="1025"/>
      <c r="BO46085" s="43"/>
    </row>
    <row r="46086" spans="65:67" ht="18.75" customHeight="1">
      <c r="BM46086" s="1025"/>
      <c r="BO46086" s="43"/>
    </row>
    <row r="46087" spans="65:67" ht="18.75" customHeight="1">
      <c r="BM46087" s="1025"/>
      <c r="BO46087" s="43"/>
    </row>
    <row r="46088" spans="65:67" ht="18.75" customHeight="1">
      <c r="BM46088" s="1025"/>
      <c r="BO46088" s="43"/>
    </row>
    <row r="46089" spans="65:67" ht="18.75" customHeight="1">
      <c r="BM46089" s="1025"/>
      <c r="BO46089" s="43"/>
    </row>
    <row r="46090" spans="65:67" ht="18.75" customHeight="1">
      <c r="BM46090" s="1025"/>
      <c r="BO46090" s="43"/>
    </row>
    <row r="46091" spans="65:67" ht="18.75" customHeight="1">
      <c r="BM46091" s="1025"/>
      <c r="BO46091" s="43"/>
    </row>
    <row r="46092" spans="65:67" ht="18.75" customHeight="1">
      <c r="BM46092" s="1025"/>
      <c r="BO46092" s="43"/>
    </row>
    <row r="46093" spans="65:67" ht="18.75" customHeight="1">
      <c r="BM46093" s="1025"/>
      <c r="BO46093" s="43"/>
    </row>
    <row r="46094" spans="65:67" ht="18.75" customHeight="1">
      <c r="BM46094" s="1025"/>
      <c r="BO46094" s="43"/>
    </row>
    <row r="46095" spans="65:67" ht="18.75" customHeight="1">
      <c r="BM46095" s="1025"/>
      <c r="BO46095" s="43"/>
    </row>
    <row r="46096" spans="65:67" ht="18.75" customHeight="1">
      <c r="BM46096" s="1025"/>
      <c r="BO46096" s="43"/>
    </row>
    <row r="46097" spans="65:67" ht="18.75" customHeight="1">
      <c r="BM46097" s="1025"/>
      <c r="BO46097" s="43"/>
    </row>
    <row r="46098" spans="65:67" ht="18.75" customHeight="1">
      <c r="BM46098" s="1025"/>
      <c r="BO46098" s="43"/>
    </row>
    <row r="46099" spans="65:67" ht="18.75" customHeight="1">
      <c r="BM46099" s="1025"/>
      <c r="BO46099" s="43"/>
    </row>
    <row r="46100" spans="65:67" ht="18.75" customHeight="1">
      <c r="BM46100" s="1025"/>
      <c r="BO46100" s="43"/>
    </row>
    <row r="46101" spans="65:67" ht="18.75" customHeight="1">
      <c r="BM46101" s="1025"/>
      <c r="BO46101" s="43"/>
    </row>
    <row r="46102" spans="65:67" ht="18.75" customHeight="1">
      <c r="BM46102" s="1025"/>
      <c r="BO46102" s="43"/>
    </row>
    <row r="46103" spans="65:67" ht="18.75" customHeight="1">
      <c r="BM46103" s="1025"/>
      <c r="BO46103" s="43"/>
    </row>
    <row r="46104" spans="65:67" ht="18.75" customHeight="1">
      <c r="BM46104" s="1025"/>
      <c r="BO46104" s="43"/>
    </row>
    <row r="46105" spans="65:67" ht="18.75" customHeight="1">
      <c r="BM46105" s="1025"/>
      <c r="BO46105" s="43"/>
    </row>
    <row r="46106" spans="65:67" ht="18.75" customHeight="1">
      <c r="BM46106" s="1025"/>
      <c r="BO46106" s="43"/>
    </row>
    <row r="46107" spans="65:67" ht="18.75" customHeight="1">
      <c r="BM46107" s="1025"/>
      <c r="BO46107" s="43"/>
    </row>
    <row r="46108" spans="65:67" ht="18.75" customHeight="1">
      <c r="BM46108" s="1025"/>
      <c r="BO46108" s="43"/>
    </row>
    <row r="46109" spans="65:67" ht="18.75" customHeight="1">
      <c r="BM46109" s="1025"/>
      <c r="BO46109" s="43"/>
    </row>
    <row r="46110" spans="65:67" ht="18.75" customHeight="1">
      <c r="BM46110" s="1025"/>
      <c r="BO46110" s="43"/>
    </row>
    <row r="46111" spans="65:67" ht="18.75" customHeight="1">
      <c r="BM46111" s="1025"/>
      <c r="BO46111" s="43"/>
    </row>
    <row r="46112" spans="65:67" ht="18.75" customHeight="1">
      <c r="BM46112" s="1025"/>
      <c r="BO46112" s="43"/>
    </row>
    <row r="46113" spans="65:67" ht="18.75" customHeight="1">
      <c r="BM46113" s="1025"/>
      <c r="BO46113" s="43"/>
    </row>
    <row r="46114" spans="65:67" ht="18.75" customHeight="1">
      <c r="BM46114" s="1025"/>
      <c r="BO46114" s="43"/>
    </row>
    <row r="46115" spans="65:67" ht="18.75" customHeight="1">
      <c r="BM46115" s="1025"/>
      <c r="BO46115" s="43"/>
    </row>
    <row r="46116" spans="65:67" ht="18.75" customHeight="1">
      <c r="BM46116" s="1025"/>
      <c r="BO46116" s="43"/>
    </row>
    <row r="46117" spans="65:67" ht="18.75" customHeight="1">
      <c r="BM46117" s="1025"/>
      <c r="BO46117" s="43"/>
    </row>
    <row r="46118" spans="65:67" ht="18.75" customHeight="1">
      <c r="BM46118" s="1025"/>
      <c r="BO46118" s="43"/>
    </row>
    <row r="46119" spans="65:67" ht="18.75" customHeight="1">
      <c r="BM46119" s="1025"/>
      <c r="BO46119" s="43"/>
    </row>
    <row r="46120" spans="65:67" ht="18.75" customHeight="1">
      <c r="BM46120" s="1025"/>
      <c r="BO46120" s="43"/>
    </row>
    <row r="46121" spans="65:67" ht="18.75" customHeight="1">
      <c r="BM46121" s="1025"/>
      <c r="BO46121" s="43"/>
    </row>
    <row r="46122" spans="65:67" ht="18.75" customHeight="1">
      <c r="BM46122" s="1025"/>
      <c r="BO46122" s="43"/>
    </row>
    <row r="46123" spans="65:67" ht="18.75" customHeight="1">
      <c r="BM46123" s="1025"/>
      <c r="BO46123" s="43"/>
    </row>
    <row r="46124" spans="65:67" ht="18.75" customHeight="1">
      <c r="BM46124" s="1025"/>
      <c r="BO46124" s="43"/>
    </row>
    <row r="46125" spans="65:67" ht="18.75" customHeight="1">
      <c r="BM46125" s="1025"/>
      <c r="BO46125" s="43"/>
    </row>
    <row r="46126" spans="65:67" ht="18.75" customHeight="1">
      <c r="BM46126" s="1025"/>
      <c r="BO46126" s="43"/>
    </row>
    <row r="46127" spans="65:67" ht="18.75" customHeight="1">
      <c r="BM46127" s="1025"/>
      <c r="BO46127" s="43"/>
    </row>
    <row r="46128" spans="65:67" ht="18.75" customHeight="1">
      <c r="BM46128" s="1025"/>
      <c r="BO46128" s="43"/>
    </row>
    <row r="46129" spans="65:67" ht="18.75" customHeight="1">
      <c r="BM46129" s="1025"/>
      <c r="BO46129" s="43"/>
    </row>
    <row r="46130" spans="65:67" ht="18.75" customHeight="1">
      <c r="BM46130" s="1025"/>
      <c r="BO46130" s="43"/>
    </row>
    <row r="46131" spans="65:67" ht="18.75" customHeight="1">
      <c r="BM46131" s="1025"/>
      <c r="BO46131" s="43"/>
    </row>
    <row r="46132" spans="65:67" ht="18.75" customHeight="1">
      <c r="BM46132" s="1025"/>
      <c r="BO46132" s="43"/>
    </row>
    <row r="46133" spans="65:67" ht="18.75" customHeight="1">
      <c r="BM46133" s="1025"/>
      <c r="BO46133" s="43"/>
    </row>
    <row r="46134" spans="65:67" ht="18.75" customHeight="1">
      <c r="BM46134" s="1025"/>
      <c r="BO46134" s="43"/>
    </row>
    <row r="46135" spans="65:67" ht="18.75" customHeight="1">
      <c r="BM46135" s="1025"/>
      <c r="BO46135" s="43"/>
    </row>
    <row r="46136" spans="65:67" ht="18.75" customHeight="1">
      <c r="BM46136" s="1025"/>
      <c r="BO46136" s="43"/>
    </row>
    <row r="46137" spans="65:67" ht="18.75" customHeight="1">
      <c r="BM46137" s="1025"/>
      <c r="BO46137" s="43"/>
    </row>
    <row r="46138" spans="65:67" ht="18.75" customHeight="1">
      <c r="BM46138" s="1025"/>
      <c r="BO46138" s="43"/>
    </row>
    <row r="46139" spans="65:67" ht="18.75" customHeight="1">
      <c r="BM46139" s="1025"/>
      <c r="BO46139" s="43"/>
    </row>
    <row r="46140" spans="65:67" ht="18.75" customHeight="1">
      <c r="BM46140" s="1025"/>
      <c r="BO46140" s="43"/>
    </row>
    <row r="46141" spans="65:67" ht="18.75" customHeight="1">
      <c r="BM46141" s="1025"/>
      <c r="BO46141" s="43"/>
    </row>
    <row r="46142" spans="65:67" ht="18.75" customHeight="1">
      <c r="BM46142" s="1025"/>
      <c r="BO46142" s="43"/>
    </row>
    <row r="46143" spans="65:67" ht="18.75" customHeight="1">
      <c r="BM46143" s="1025"/>
      <c r="BO46143" s="43"/>
    </row>
    <row r="46144" spans="65:67" ht="18.75" customHeight="1">
      <c r="BM46144" s="1025"/>
      <c r="BO46144" s="43"/>
    </row>
    <row r="46145" spans="65:67" ht="18.75" customHeight="1">
      <c r="BM46145" s="1025"/>
      <c r="BO46145" s="43"/>
    </row>
    <row r="46146" spans="65:67" ht="18.75" customHeight="1">
      <c r="BM46146" s="1025"/>
      <c r="BO46146" s="43"/>
    </row>
    <row r="46147" spans="65:67" ht="18.75" customHeight="1">
      <c r="BM46147" s="1025"/>
      <c r="BO46147" s="43"/>
    </row>
    <row r="46148" spans="65:67" ht="18.75" customHeight="1">
      <c r="BM46148" s="1025"/>
      <c r="BO46148" s="43"/>
    </row>
    <row r="46149" spans="65:67" ht="18.75" customHeight="1">
      <c r="BM46149" s="1025"/>
      <c r="BO46149" s="43"/>
    </row>
    <row r="46150" spans="65:67" ht="18.75" customHeight="1">
      <c r="BM46150" s="1025"/>
      <c r="BO46150" s="43"/>
    </row>
    <row r="46151" spans="65:67" ht="18.75" customHeight="1">
      <c r="BM46151" s="1025"/>
      <c r="BO46151" s="43"/>
    </row>
    <row r="46152" spans="65:67" ht="18.75" customHeight="1">
      <c r="BM46152" s="1025"/>
      <c r="BO46152" s="43"/>
    </row>
    <row r="46153" spans="65:67" ht="18.75" customHeight="1">
      <c r="BM46153" s="1025"/>
      <c r="BO46153" s="43"/>
    </row>
    <row r="46154" spans="65:67" ht="18.75" customHeight="1">
      <c r="BM46154" s="1025"/>
      <c r="BO46154" s="43"/>
    </row>
    <row r="46155" spans="65:67" ht="18.75" customHeight="1">
      <c r="BM46155" s="1025"/>
      <c r="BO46155" s="43"/>
    </row>
    <row r="46156" spans="65:67" ht="18.75" customHeight="1">
      <c r="BM46156" s="1025"/>
      <c r="BO46156" s="43"/>
    </row>
    <row r="46157" spans="65:67" ht="18.75" customHeight="1">
      <c r="BM46157" s="1025"/>
      <c r="BO46157" s="43"/>
    </row>
    <row r="46158" spans="65:67" ht="18.75" customHeight="1">
      <c r="BM46158" s="1025"/>
      <c r="BO46158" s="43"/>
    </row>
    <row r="46159" spans="65:67" ht="18.75" customHeight="1">
      <c r="BM46159" s="1025"/>
      <c r="BO46159" s="43"/>
    </row>
    <row r="46160" spans="65:67" ht="18.75" customHeight="1">
      <c r="BM46160" s="1025"/>
      <c r="BO46160" s="43"/>
    </row>
    <row r="46161" spans="65:67" ht="18.75" customHeight="1">
      <c r="BM46161" s="1025"/>
      <c r="BO46161" s="43"/>
    </row>
    <row r="46162" spans="65:67" ht="18.75" customHeight="1">
      <c r="BM46162" s="1025"/>
      <c r="BO46162" s="43"/>
    </row>
    <row r="46163" spans="65:67" ht="18.75" customHeight="1">
      <c r="BM46163" s="1025"/>
      <c r="BO46163" s="43"/>
    </row>
    <row r="46164" spans="65:67" ht="18.75" customHeight="1">
      <c r="BM46164" s="1025"/>
      <c r="BO46164" s="43"/>
    </row>
    <row r="46165" spans="65:67" ht="18.75" customHeight="1">
      <c r="BM46165" s="1025"/>
      <c r="BO46165" s="43"/>
    </row>
    <row r="46166" spans="65:67" ht="18.75" customHeight="1">
      <c r="BM46166" s="1025"/>
      <c r="BO46166" s="43"/>
    </row>
    <row r="46167" spans="65:67" ht="18.75" customHeight="1">
      <c r="BM46167" s="1025"/>
      <c r="BO46167" s="43"/>
    </row>
    <row r="46168" spans="65:67" ht="18.75" customHeight="1">
      <c r="BM46168" s="1025"/>
      <c r="BO46168" s="43"/>
    </row>
    <row r="46169" spans="65:67" ht="18.75" customHeight="1">
      <c r="BM46169" s="1025"/>
      <c r="BO46169" s="43"/>
    </row>
    <row r="46170" spans="65:67" ht="18.75" customHeight="1">
      <c r="BM46170" s="1025"/>
      <c r="BO46170" s="43"/>
    </row>
    <row r="46171" spans="65:67" ht="18.75" customHeight="1">
      <c r="BM46171" s="1025"/>
      <c r="BO46171" s="43"/>
    </row>
    <row r="46172" spans="65:67" ht="18.75" customHeight="1">
      <c r="BM46172" s="1025"/>
      <c r="BO46172" s="43"/>
    </row>
    <row r="46173" spans="65:67" ht="18.75" customHeight="1">
      <c r="BM46173" s="1025"/>
      <c r="BO46173" s="43"/>
    </row>
    <row r="46174" spans="65:67" ht="18.75" customHeight="1">
      <c r="BM46174" s="1025"/>
      <c r="BO46174" s="43"/>
    </row>
    <row r="46175" spans="65:67" ht="18.75" customHeight="1">
      <c r="BM46175" s="1025"/>
      <c r="BO46175" s="43"/>
    </row>
    <row r="46176" spans="65:67" ht="18.75" customHeight="1">
      <c r="BM46176" s="1025"/>
      <c r="BO46176" s="43"/>
    </row>
    <row r="46177" spans="65:67" ht="18.75" customHeight="1">
      <c r="BM46177" s="1025"/>
      <c r="BO46177" s="43"/>
    </row>
    <row r="46178" spans="65:67" ht="18.75" customHeight="1">
      <c r="BM46178" s="1025"/>
      <c r="BO46178" s="43"/>
    </row>
    <row r="46179" spans="65:67" ht="18.75" customHeight="1">
      <c r="BM46179" s="1025"/>
      <c r="BO46179" s="43"/>
    </row>
    <row r="46180" spans="65:67" ht="18.75" customHeight="1">
      <c r="BM46180" s="1025"/>
      <c r="BO46180" s="43"/>
    </row>
    <row r="46181" spans="65:67" ht="18.75" customHeight="1">
      <c r="BM46181" s="1025"/>
      <c r="BO46181" s="43"/>
    </row>
    <row r="46182" spans="65:67" ht="18.75" customHeight="1">
      <c r="BM46182" s="1025"/>
      <c r="BO46182" s="43"/>
    </row>
    <row r="46183" spans="65:67" ht="18.75" customHeight="1">
      <c r="BM46183" s="1025"/>
      <c r="BO46183" s="43"/>
    </row>
    <row r="46184" spans="65:67" ht="18.75" customHeight="1">
      <c r="BM46184" s="1025"/>
      <c r="BO46184" s="43"/>
    </row>
    <row r="46185" spans="65:67" ht="18.75" customHeight="1">
      <c r="BM46185" s="1025"/>
      <c r="BO46185" s="43"/>
    </row>
    <row r="46186" spans="65:67" ht="18.75" customHeight="1">
      <c r="BM46186" s="1025"/>
      <c r="BO46186" s="43"/>
    </row>
    <row r="46187" spans="65:67" ht="18.75" customHeight="1">
      <c r="BM46187" s="1025"/>
      <c r="BO46187" s="43"/>
    </row>
    <row r="46188" spans="65:67" ht="18.75" customHeight="1">
      <c r="BM46188" s="1025"/>
      <c r="BO46188" s="43"/>
    </row>
    <row r="46189" spans="65:67" ht="18.75" customHeight="1">
      <c r="BM46189" s="1025"/>
      <c r="BO46189" s="43"/>
    </row>
    <row r="46190" spans="65:67" ht="18.75" customHeight="1">
      <c r="BM46190" s="1025"/>
      <c r="BO46190" s="43"/>
    </row>
    <row r="46191" spans="65:67" ht="18.75" customHeight="1">
      <c r="BM46191" s="1025"/>
      <c r="BO46191" s="43"/>
    </row>
    <row r="46192" spans="65:67" ht="18.75" customHeight="1">
      <c r="BM46192" s="1025"/>
      <c r="BO46192" s="43"/>
    </row>
    <row r="46193" spans="65:67" ht="18.75" customHeight="1">
      <c r="BM46193" s="1025"/>
      <c r="BO46193" s="43"/>
    </row>
    <row r="46194" spans="65:67" ht="18.75" customHeight="1">
      <c r="BM46194" s="1025"/>
      <c r="BO46194" s="43"/>
    </row>
    <row r="46195" spans="65:67" ht="18.75" customHeight="1">
      <c r="BM46195" s="1025"/>
      <c r="BO46195" s="43"/>
    </row>
    <row r="46196" spans="65:67" ht="18.75" customHeight="1">
      <c r="BM46196" s="1025"/>
      <c r="BO46196" s="43"/>
    </row>
    <row r="46197" spans="65:67" ht="18.75" customHeight="1">
      <c r="BM46197" s="1025"/>
      <c r="BO46197" s="43"/>
    </row>
    <row r="46198" spans="65:67" ht="18.75" customHeight="1">
      <c r="BM46198" s="1025"/>
      <c r="BO46198" s="43"/>
    </row>
    <row r="46199" spans="65:67" ht="18.75" customHeight="1">
      <c r="BM46199" s="1025"/>
      <c r="BO46199" s="43"/>
    </row>
    <row r="46200" spans="65:67" ht="18.75" customHeight="1">
      <c r="BM46200" s="1025"/>
      <c r="BO46200" s="43"/>
    </row>
    <row r="46201" spans="65:67" ht="18.75" customHeight="1">
      <c r="BM46201" s="1025"/>
      <c r="BO46201" s="43"/>
    </row>
    <row r="46202" spans="65:67" ht="18.75" customHeight="1">
      <c r="BM46202" s="1025"/>
      <c r="BO46202" s="43"/>
    </row>
    <row r="46203" spans="65:67" ht="18.75" customHeight="1">
      <c r="BM46203" s="1025"/>
      <c r="BO46203" s="43"/>
    </row>
    <row r="46204" spans="65:67" ht="18.75" customHeight="1">
      <c r="BM46204" s="1025"/>
      <c r="BO46204" s="43"/>
    </row>
    <row r="46205" spans="65:67" ht="18.75" customHeight="1">
      <c r="BM46205" s="1025"/>
      <c r="BO46205" s="43"/>
    </row>
    <row r="46206" spans="65:67" ht="18.75" customHeight="1">
      <c r="BM46206" s="1025"/>
      <c r="BO46206" s="43"/>
    </row>
    <row r="46207" spans="65:67" ht="18.75" customHeight="1">
      <c r="BM46207" s="1025"/>
      <c r="BO46207" s="43"/>
    </row>
    <row r="46208" spans="65:67" ht="18.75" customHeight="1">
      <c r="BM46208" s="1025"/>
      <c r="BO46208" s="43"/>
    </row>
    <row r="46209" spans="65:67" ht="18.75" customHeight="1">
      <c r="BM46209" s="1025"/>
      <c r="BO46209" s="43"/>
    </row>
    <row r="46210" spans="65:67" ht="18.75" customHeight="1">
      <c r="BM46210" s="1025"/>
      <c r="BO46210" s="43"/>
    </row>
    <row r="46211" spans="65:67" ht="18.75" customHeight="1">
      <c r="BM46211" s="1025"/>
      <c r="BO46211" s="43"/>
    </row>
    <row r="46212" spans="65:67" ht="18.75" customHeight="1">
      <c r="BM46212" s="1025"/>
      <c r="BO46212" s="43"/>
    </row>
    <row r="46213" spans="65:67" ht="18.75" customHeight="1">
      <c r="BM46213" s="1025"/>
      <c r="BO46213" s="43"/>
    </row>
    <row r="46214" spans="65:67" ht="18.75" customHeight="1">
      <c r="BM46214" s="1025"/>
      <c r="BO46214" s="43"/>
    </row>
    <row r="46215" spans="65:67" ht="18.75" customHeight="1">
      <c r="BM46215" s="1025"/>
      <c r="BO46215" s="43"/>
    </row>
    <row r="46216" spans="65:67" ht="18.75" customHeight="1">
      <c r="BM46216" s="1025"/>
      <c r="BO46216" s="43"/>
    </row>
    <row r="46217" spans="65:67" ht="18.75" customHeight="1">
      <c r="BM46217" s="1025"/>
      <c r="BO46217" s="43"/>
    </row>
    <row r="46218" spans="65:67" ht="18.75" customHeight="1">
      <c r="BM46218" s="1025"/>
      <c r="BO46218" s="43"/>
    </row>
    <row r="46219" spans="65:67" ht="18.75" customHeight="1">
      <c r="BM46219" s="1025"/>
      <c r="BO46219" s="43"/>
    </row>
    <row r="46220" spans="65:67" ht="18.75" customHeight="1">
      <c r="BM46220" s="1025"/>
      <c r="BO46220" s="43"/>
    </row>
    <row r="46221" spans="65:67" ht="18.75" customHeight="1">
      <c r="BM46221" s="1025"/>
      <c r="BO46221" s="43"/>
    </row>
    <row r="46222" spans="65:67" ht="18.75" customHeight="1">
      <c r="BM46222" s="1025"/>
      <c r="BO46222" s="43"/>
    </row>
    <row r="46223" spans="65:67" ht="18.75" customHeight="1">
      <c r="BM46223" s="1025"/>
      <c r="BO46223" s="43"/>
    </row>
    <row r="46224" spans="65:67" ht="18.75" customHeight="1">
      <c r="BM46224" s="1025"/>
      <c r="BO46224" s="43"/>
    </row>
    <row r="46225" spans="65:67" ht="18.75" customHeight="1">
      <c r="BM46225" s="1025"/>
      <c r="BO46225" s="43"/>
    </row>
    <row r="46226" spans="65:67" ht="18.75" customHeight="1">
      <c r="BM46226" s="1025"/>
      <c r="BO46226" s="43"/>
    </row>
    <row r="46227" spans="65:67" ht="18.75" customHeight="1">
      <c r="BM46227" s="1025"/>
      <c r="BO46227" s="43"/>
    </row>
    <row r="46228" spans="65:67" ht="18.75" customHeight="1">
      <c r="BM46228" s="1025"/>
      <c r="BO46228" s="43"/>
    </row>
    <row r="46229" spans="65:67" ht="18.75" customHeight="1">
      <c r="BM46229" s="1025"/>
      <c r="BO46229" s="43"/>
    </row>
    <row r="46230" spans="65:67" ht="18.75" customHeight="1">
      <c r="BM46230" s="1025"/>
      <c r="BO46230" s="43"/>
    </row>
    <row r="46231" spans="65:67" ht="18.75" customHeight="1">
      <c r="BM46231" s="1025"/>
      <c r="BO46231" s="43"/>
    </row>
    <row r="46232" spans="65:67" ht="18.75" customHeight="1">
      <c r="BM46232" s="1025"/>
      <c r="BO46232" s="43"/>
    </row>
    <row r="46233" spans="65:67" ht="18.75" customHeight="1">
      <c r="BM46233" s="1025"/>
      <c r="BO46233" s="43"/>
    </row>
    <row r="46234" spans="65:67" ht="18.75" customHeight="1">
      <c r="BM46234" s="1025"/>
      <c r="BO46234" s="43"/>
    </row>
    <row r="46235" spans="65:67" ht="18.75" customHeight="1">
      <c r="BM46235" s="1025"/>
      <c r="BO46235" s="43"/>
    </row>
    <row r="46236" spans="65:67" ht="18.75" customHeight="1">
      <c r="BM46236" s="1025"/>
      <c r="BO46236" s="43"/>
    </row>
    <row r="46237" spans="65:67" ht="18.75" customHeight="1">
      <c r="BM46237" s="1025"/>
      <c r="BO46237" s="43"/>
    </row>
    <row r="46238" spans="65:67" ht="18.75" customHeight="1">
      <c r="BM46238" s="1025"/>
      <c r="BO46238" s="43"/>
    </row>
    <row r="46239" spans="65:67" ht="18.75" customHeight="1">
      <c r="BM46239" s="1025"/>
      <c r="BO46239" s="43"/>
    </row>
    <row r="46240" spans="65:67" ht="18.75" customHeight="1">
      <c r="BM46240" s="1025"/>
      <c r="BO46240" s="43"/>
    </row>
    <row r="46241" spans="65:67" ht="18.75" customHeight="1">
      <c r="BM46241" s="1025"/>
      <c r="BO46241" s="43"/>
    </row>
    <row r="46242" spans="65:67" ht="18.75" customHeight="1">
      <c r="BM46242" s="1025"/>
      <c r="BO46242" s="43"/>
    </row>
    <row r="46243" spans="65:67" ht="18.75" customHeight="1">
      <c r="BM46243" s="1025"/>
      <c r="BO46243" s="43"/>
    </row>
    <row r="46244" spans="65:67" ht="18.75" customHeight="1">
      <c r="BM46244" s="1025"/>
      <c r="BO46244" s="43"/>
    </row>
    <row r="46245" spans="65:67" ht="18.75" customHeight="1">
      <c r="BM46245" s="1025"/>
      <c r="BO46245" s="43"/>
    </row>
    <row r="46246" spans="65:67" ht="18.75" customHeight="1">
      <c r="BM46246" s="1025"/>
      <c r="BO46246" s="43"/>
    </row>
    <row r="46247" spans="65:67" ht="18.75" customHeight="1">
      <c r="BM46247" s="1025"/>
      <c r="BO46247" s="43"/>
    </row>
    <row r="46248" spans="65:67" ht="18.75" customHeight="1">
      <c r="BM46248" s="1025"/>
      <c r="BO46248" s="43"/>
    </row>
    <row r="46249" spans="65:67" ht="18.75" customHeight="1">
      <c r="BM46249" s="1025"/>
      <c r="BO46249" s="43"/>
    </row>
    <row r="46250" spans="65:67" ht="18.75" customHeight="1">
      <c r="BM46250" s="1025"/>
      <c r="BO46250" s="43"/>
    </row>
    <row r="46251" spans="65:67" ht="18.75" customHeight="1">
      <c r="BM46251" s="1025"/>
      <c r="BO46251" s="43"/>
    </row>
    <row r="46252" spans="65:67" ht="18.75" customHeight="1">
      <c r="BM46252" s="1025"/>
      <c r="BO46252" s="43"/>
    </row>
    <row r="46253" spans="65:67" ht="18.75" customHeight="1">
      <c r="BM46253" s="1025"/>
      <c r="BO46253" s="43"/>
    </row>
    <row r="46254" spans="65:67" ht="18.75" customHeight="1">
      <c r="BM46254" s="1025"/>
      <c r="BO46254" s="43"/>
    </row>
    <row r="46255" spans="65:67" ht="18.75" customHeight="1">
      <c r="BM46255" s="1025"/>
      <c r="BO46255" s="43"/>
    </row>
    <row r="46256" spans="65:67" ht="18.75" customHeight="1">
      <c r="BM46256" s="1025"/>
      <c r="BO46256" s="43"/>
    </row>
    <row r="46257" spans="65:67" ht="18.75" customHeight="1">
      <c r="BM46257" s="1025"/>
      <c r="BO46257" s="43"/>
    </row>
    <row r="46258" spans="65:67" ht="18.75" customHeight="1">
      <c r="BM46258" s="1025"/>
      <c r="BO46258" s="43"/>
    </row>
    <row r="46259" spans="65:67" ht="18.75" customHeight="1">
      <c r="BM46259" s="1025"/>
      <c r="BO46259" s="43"/>
    </row>
    <row r="46260" spans="65:67" ht="18.75" customHeight="1">
      <c r="BM46260" s="1025"/>
      <c r="BO46260" s="43"/>
    </row>
    <row r="46261" spans="65:67" ht="18.75" customHeight="1">
      <c r="BM46261" s="1025"/>
      <c r="BO46261" s="43"/>
    </row>
    <row r="46262" spans="65:67" ht="18.75" customHeight="1">
      <c r="BM46262" s="1025"/>
      <c r="BO46262" s="43"/>
    </row>
    <row r="46263" spans="65:67" ht="18.75" customHeight="1">
      <c r="BM46263" s="1025"/>
      <c r="BO46263" s="43"/>
    </row>
    <row r="46264" spans="65:67" ht="18.75" customHeight="1">
      <c r="BM46264" s="1025"/>
      <c r="BO46264" s="43"/>
    </row>
    <row r="46265" spans="65:67" ht="18.75" customHeight="1">
      <c r="BM46265" s="1025"/>
      <c r="BO46265" s="43"/>
    </row>
    <row r="46266" spans="65:67" ht="18.75" customHeight="1">
      <c r="BM46266" s="1025"/>
      <c r="BO46266" s="43"/>
    </row>
    <row r="46267" spans="65:67" ht="18.75" customHeight="1">
      <c r="BM46267" s="1025"/>
      <c r="BO46267" s="43"/>
    </row>
    <row r="46268" spans="65:67" ht="18.75" customHeight="1">
      <c r="BM46268" s="1025"/>
      <c r="BO46268" s="43"/>
    </row>
    <row r="46269" spans="65:67" ht="18.75" customHeight="1">
      <c r="BM46269" s="1025"/>
      <c r="BO46269" s="43"/>
    </row>
    <row r="46270" spans="65:67" ht="18.75" customHeight="1">
      <c r="BM46270" s="1025"/>
      <c r="BO46270" s="43"/>
    </row>
    <row r="46271" spans="65:67" ht="18.75" customHeight="1">
      <c r="BM46271" s="1025"/>
      <c r="BO46271" s="43"/>
    </row>
    <row r="46272" spans="65:67" ht="18.75" customHeight="1">
      <c r="BM46272" s="1025"/>
      <c r="BO46272" s="43"/>
    </row>
    <row r="46273" spans="65:67" ht="18.75" customHeight="1">
      <c r="BM46273" s="1025"/>
      <c r="BO46273" s="43"/>
    </row>
    <row r="46274" spans="65:67" ht="18.75" customHeight="1">
      <c r="BM46274" s="1025"/>
      <c r="BO46274" s="43"/>
    </row>
    <row r="46275" spans="65:67" ht="18.75" customHeight="1">
      <c r="BM46275" s="1025"/>
      <c r="BO46275" s="43"/>
    </row>
    <row r="46276" spans="65:67" ht="18.75" customHeight="1">
      <c r="BM46276" s="1025"/>
      <c r="BO46276" s="43"/>
    </row>
    <row r="46277" spans="65:67" ht="18.75" customHeight="1">
      <c r="BM46277" s="1025"/>
      <c r="BO46277" s="43"/>
    </row>
    <row r="46278" spans="65:67" ht="18.75" customHeight="1">
      <c r="BM46278" s="1025"/>
      <c r="BO46278" s="43"/>
    </row>
    <row r="46279" spans="65:67" ht="18.75" customHeight="1">
      <c r="BM46279" s="1025"/>
      <c r="BO46279" s="43"/>
    </row>
    <row r="46280" spans="65:67" ht="18.75" customHeight="1">
      <c r="BM46280" s="1025"/>
      <c r="BO46280" s="43"/>
    </row>
    <row r="46281" spans="65:67" ht="18.75" customHeight="1">
      <c r="BM46281" s="1025"/>
      <c r="BO46281" s="43"/>
    </row>
    <row r="46282" spans="65:67" ht="18.75" customHeight="1">
      <c r="BM46282" s="1025"/>
      <c r="BO46282" s="43"/>
    </row>
    <row r="46283" spans="65:67" ht="18.75" customHeight="1">
      <c r="BM46283" s="1025"/>
      <c r="BO46283" s="43"/>
    </row>
    <row r="46284" spans="65:67" ht="18.75" customHeight="1">
      <c r="BM46284" s="1025"/>
      <c r="BO46284" s="43"/>
    </row>
    <row r="46285" spans="65:67" ht="18.75" customHeight="1">
      <c r="BM46285" s="1025"/>
      <c r="BO46285" s="43"/>
    </row>
    <row r="46286" spans="65:67" ht="18.75" customHeight="1">
      <c r="BM46286" s="1025"/>
      <c r="BO46286" s="43"/>
    </row>
    <row r="46287" spans="65:67" ht="18.75" customHeight="1">
      <c r="BM46287" s="1025"/>
      <c r="BO46287" s="43"/>
    </row>
    <row r="46288" spans="65:67" ht="18.75" customHeight="1">
      <c r="BM46288" s="1025"/>
      <c r="BO46288" s="43"/>
    </row>
    <row r="46289" spans="65:67" ht="18.75" customHeight="1">
      <c r="BM46289" s="1025"/>
      <c r="BO46289" s="43"/>
    </row>
    <row r="46290" spans="65:67" ht="18.75" customHeight="1">
      <c r="BM46290" s="1025"/>
      <c r="BO46290" s="43"/>
    </row>
    <row r="46291" spans="65:67" ht="18.75" customHeight="1">
      <c r="BM46291" s="1025"/>
      <c r="BO46291" s="43"/>
    </row>
    <row r="46292" spans="65:67" ht="18.75" customHeight="1">
      <c r="BM46292" s="1025"/>
      <c r="BO46292" s="43"/>
    </row>
    <row r="46293" spans="65:67" ht="18.75" customHeight="1">
      <c r="BM46293" s="1025"/>
      <c r="BO46293" s="43"/>
    </row>
    <row r="46294" spans="65:67" ht="18.75" customHeight="1">
      <c r="BM46294" s="1025"/>
      <c r="BO46294" s="43"/>
    </row>
    <row r="46295" spans="65:67" ht="18.75" customHeight="1">
      <c r="BM46295" s="1025"/>
      <c r="BO46295" s="43"/>
    </row>
    <row r="46296" spans="65:67" ht="18.75" customHeight="1">
      <c r="BM46296" s="1025"/>
      <c r="BO46296" s="43"/>
    </row>
    <row r="46297" spans="65:67" ht="18.75" customHeight="1">
      <c r="BM46297" s="1025"/>
      <c r="BO46297" s="43"/>
    </row>
    <row r="46298" spans="65:67" ht="18.75" customHeight="1">
      <c r="BM46298" s="1025"/>
      <c r="BO46298" s="43"/>
    </row>
    <row r="46299" spans="65:67" ht="18.75" customHeight="1">
      <c r="BM46299" s="1025"/>
      <c r="BO46299" s="43"/>
    </row>
    <row r="46300" spans="65:67" ht="18.75" customHeight="1">
      <c r="BM46300" s="1025"/>
      <c r="BO46300" s="43"/>
    </row>
    <row r="46301" spans="65:67" ht="18.75" customHeight="1">
      <c r="BM46301" s="1025"/>
      <c r="BO46301" s="43"/>
    </row>
    <row r="46302" spans="65:67" ht="18.75" customHeight="1">
      <c r="BM46302" s="1025"/>
      <c r="BO46302" s="43"/>
    </row>
    <row r="46303" spans="65:67" ht="18.75" customHeight="1">
      <c r="BM46303" s="1025"/>
      <c r="BO46303" s="43"/>
    </row>
    <row r="46304" spans="65:67" ht="18.75" customHeight="1">
      <c r="BM46304" s="1025"/>
      <c r="BO46304" s="43"/>
    </row>
    <row r="46305" spans="65:67" ht="18.75" customHeight="1">
      <c r="BM46305" s="1025"/>
      <c r="BO46305" s="43"/>
    </row>
    <row r="46306" spans="65:67" ht="18.75" customHeight="1">
      <c r="BM46306" s="1025"/>
      <c r="BO46306" s="43"/>
    </row>
    <row r="46307" spans="65:67" ht="18.75" customHeight="1">
      <c r="BM46307" s="1025"/>
      <c r="BO46307" s="43"/>
    </row>
    <row r="46308" spans="65:67" ht="18.75" customHeight="1">
      <c r="BM46308" s="1025"/>
      <c r="BO46308" s="43"/>
    </row>
    <row r="46309" spans="65:67" ht="18.75" customHeight="1">
      <c r="BM46309" s="1025"/>
      <c r="BO46309" s="43"/>
    </row>
    <row r="46310" spans="65:67" ht="18.75" customHeight="1">
      <c r="BM46310" s="1025"/>
      <c r="BO46310" s="43"/>
    </row>
    <row r="46311" spans="65:67" ht="18.75" customHeight="1">
      <c r="BM46311" s="1025"/>
      <c r="BO46311" s="43"/>
    </row>
    <row r="46312" spans="65:67" ht="18.75" customHeight="1">
      <c r="BM46312" s="1025"/>
      <c r="BO46312" s="43"/>
    </row>
    <row r="46313" spans="65:67" ht="18.75" customHeight="1">
      <c r="BM46313" s="1025"/>
      <c r="BO46313" s="43"/>
    </row>
    <row r="46314" spans="65:67" ht="18.75" customHeight="1">
      <c r="BM46314" s="1025"/>
      <c r="BO46314" s="43"/>
    </row>
    <row r="46315" spans="65:67" ht="18.75" customHeight="1">
      <c r="BM46315" s="1025"/>
      <c r="BO46315" s="43"/>
    </row>
    <row r="46316" spans="65:67" ht="18.75" customHeight="1">
      <c r="BM46316" s="1025"/>
      <c r="BO46316" s="43"/>
    </row>
    <row r="46317" spans="65:67" ht="18.75" customHeight="1">
      <c r="BM46317" s="1025"/>
      <c r="BO46317" s="43"/>
    </row>
    <row r="46318" spans="65:67" ht="18.75" customHeight="1">
      <c r="BM46318" s="1025"/>
      <c r="BO46318" s="43"/>
    </row>
    <row r="46319" spans="65:67" ht="18.75" customHeight="1">
      <c r="BM46319" s="1025"/>
      <c r="BO46319" s="43"/>
    </row>
    <row r="46320" spans="65:67" ht="18.75" customHeight="1">
      <c r="BM46320" s="1025"/>
      <c r="BO46320" s="43"/>
    </row>
    <row r="46321" spans="65:67" ht="18.75" customHeight="1">
      <c r="BM46321" s="1025"/>
      <c r="BO46321" s="43"/>
    </row>
    <row r="46322" spans="65:67" ht="18.75" customHeight="1">
      <c r="BM46322" s="1025"/>
      <c r="BO46322" s="43"/>
    </row>
    <row r="46323" spans="65:67" ht="18.75" customHeight="1">
      <c r="BM46323" s="1025"/>
      <c r="BO46323" s="43"/>
    </row>
    <row r="46324" spans="65:67" ht="18.75" customHeight="1">
      <c r="BM46324" s="1025"/>
      <c r="BO46324" s="43"/>
    </row>
    <row r="46325" spans="65:67" ht="18.75" customHeight="1">
      <c r="BM46325" s="1025"/>
      <c r="BO46325" s="43"/>
    </row>
    <row r="46326" spans="65:67" ht="18.75" customHeight="1">
      <c r="BM46326" s="1025"/>
      <c r="BO46326" s="43"/>
    </row>
    <row r="46327" spans="65:67" ht="18.75" customHeight="1">
      <c r="BM46327" s="1025"/>
      <c r="BO46327" s="43"/>
    </row>
    <row r="46328" spans="65:67" ht="18.75" customHeight="1">
      <c r="BM46328" s="1025"/>
      <c r="BO46328" s="43"/>
    </row>
    <row r="46329" spans="65:67" ht="18.75" customHeight="1">
      <c r="BM46329" s="1025"/>
      <c r="BO46329" s="43"/>
    </row>
    <row r="46330" spans="65:67" ht="18.75" customHeight="1">
      <c r="BM46330" s="1025"/>
      <c r="BO46330" s="43"/>
    </row>
    <row r="46331" spans="65:67" ht="18.75" customHeight="1">
      <c r="BM46331" s="1025"/>
      <c r="BO46331" s="43"/>
    </row>
    <row r="46332" spans="65:67" ht="18.75" customHeight="1">
      <c r="BM46332" s="1025"/>
      <c r="BO46332" s="43"/>
    </row>
    <row r="46333" spans="65:67" ht="18.75" customHeight="1">
      <c r="BM46333" s="1025"/>
      <c r="BO46333" s="43"/>
    </row>
    <row r="46334" spans="65:67" ht="18.75" customHeight="1">
      <c r="BM46334" s="1025"/>
      <c r="BO46334" s="43"/>
    </row>
    <row r="46335" spans="65:67" ht="18.75" customHeight="1">
      <c r="BM46335" s="1025"/>
      <c r="BO46335" s="43"/>
    </row>
    <row r="46336" spans="65:67" ht="18.75" customHeight="1">
      <c r="BM46336" s="1025"/>
      <c r="BO46336" s="43"/>
    </row>
    <row r="46337" spans="65:67" ht="18.75" customHeight="1">
      <c r="BM46337" s="1025"/>
      <c r="BO46337" s="43"/>
    </row>
    <row r="46338" spans="65:67" ht="18.75" customHeight="1">
      <c r="BM46338" s="1025"/>
      <c r="BO46338" s="43"/>
    </row>
    <row r="46339" spans="65:67" ht="18.75" customHeight="1">
      <c r="BM46339" s="1025"/>
      <c r="BO46339" s="43"/>
    </row>
    <row r="46340" spans="65:67" ht="18.75" customHeight="1">
      <c r="BM46340" s="1025"/>
      <c r="BO46340" s="43"/>
    </row>
    <row r="46341" spans="65:67" ht="18.75" customHeight="1">
      <c r="BM46341" s="1025"/>
      <c r="BO46341" s="43"/>
    </row>
    <row r="46342" spans="65:67" ht="18.75" customHeight="1">
      <c r="BM46342" s="1025"/>
      <c r="BO46342" s="43"/>
    </row>
    <row r="46343" spans="65:67" ht="18.75" customHeight="1">
      <c r="BM46343" s="1025"/>
      <c r="BO46343" s="43"/>
    </row>
    <row r="46344" spans="65:67" ht="18.75" customHeight="1">
      <c r="BM46344" s="1025"/>
      <c r="BO46344" s="43"/>
    </row>
    <row r="46345" spans="65:67" ht="18.75" customHeight="1">
      <c r="BM46345" s="1025"/>
      <c r="BO46345" s="43"/>
    </row>
    <row r="46346" spans="65:67" ht="18.75" customHeight="1">
      <c r="BM46346" s="1025"/>
      <c r="BO46346" s="43"/>
    </row>
    <row r="46347" spans="65:67" ht="18.75" customHeight="1">
      <c r="BM46347" s="1025"/>
      <c r="BO46347" s="43"/>
    </row>
    <row r="46348" spans="65:67" ht="18.75" customHeight="1">
      <c r="BM46348" s="1025"/>
      <c r="BO46348" s="43"/>
    </row>
    <row r="46349" spans="65:67" ht="18.75" customHeight="1">
      <c r="BM46349" s="1025"/>
      <c r="BO46349" s="43"/>
    </row>
    <row r="46350" spans="65:67" ht="18.75" customHeight="1">
      <c r="BM46350" s="1025"/>
      <c r="BO46350" s="43"/>
    </row>
    <row r="46351" spans="65:67" ht="18.75" customHeight="1">
      <c r="BM46351" s="1025"/>
      <c r="BO46351" s="43"/>
    </row>
    <row r="46352" spans="65:67" ht="18.75" customHeight="1">
      <c r="BM46352" s="1025"/>
      <c r="BO46352" s="43"/>
    </row>
    <row r="46353" spans="65:67" ht="18.75" customHeight="1">
      <c r="BM46353" s="1025"/>
      <c r="BO46353" s="43"/>
    </row>
    <row r="46354" spans="65:67" ht="18.75" customHeight="1">
      <c r="BM46354" s="1025"/>
      <c r="BO46354" s="43"/>
    </row>
    <row r="46355" spans="65:67" ht="18.75" customHeight="1">
      <c r="BM46355" s="1025"/>
      <c r="BO46355" s="43"/>
    </row>
    <row r="46356" spans="65:67" ht="18.75" customHeight="1">
      <c r="BM46356" s="1025"/>
      <c r="BO46356" s="43"/>
    </row>
    <row r="46357" spans="65:67" ht="18.75" customHeight="1">
      <c r="BM46357" s="1025"/>
      <c r="BO46357" s="43"/>
    </row>
    <row r="46358" spans="65:67" ht="18.75" customHeight="1">
      <c r="BM46358" s="1025"/>
      <c r="BO46358" s="43"/>
    </row>
    <row r="46359" spans="65:67" ht="18.75" customHeight="1">
      <c r="BM46359" s="1025"/>
      <c r="BO46359" s="43"/>
    </row>
    <row r="46360" spans="65:67" ht="18.75" customHeight="1">
      <c r="BM46360" s="1025"/>
      <c r="BO46360" s="43"/>
    </row>
    <row r="46361" spans="65:67" ht="18.75" customHeight="1">
      <c r="BM46361" s="1025"/>
      <c r="BO46361" s="43"/>
    </row>
    <row r="46362" spans="65:67" ht="18.75" customHeight="1">
      <c r="BM46362" s="1025"/>
      <c r="BO46362" s="43"/>
    </row>
    <row r="46363" spans="65:67" ht="18.75" customHeight="1">
      <c r="BM46363" s="1025"/>
      <c r="BO46363" s="43"/>
    </row>
    <row r="46364" spans="65:67" ht="18.75" customHeight="1">
      <c r="BM46364" s="1025"/>
      <c r="BO46364" s="43"/>
    </row>
    <row r="46365" spans="65:67" ht="18.75" customHeight="1">
      <c r="BM46365" s="1025"/>
      <c r="BO46365" s="43"/>
    </row>
    <row r="46366" spans="65:67" ht="18.75" customHeight="1">
      <c r="BM46366" s="1025"/>
      <c r="BO46366" s="43"/>
    </row>
    <row r="46367" spans="65:67" ht="18.75" customHeight="1">
      <c r="BM46367" s="1025"/>
      <c r="BO46367" s="43"/>
    </row>
    <row r="46368" spans="65:67" ht="18.75" customHeight="1">
      <c r="BM46368" s="1025"/>
      <c r="BO46368" s="43"/>
    </row>
    <row r="46369" spans="65:67" ht="18.75" customHeight="1">
      <c r="BM46369" s="1025"/>
      <c r="BO46369" s="43"/>
    </row>
    <row r="46370" spans="65:67" ht="18.75" customHeight="1">
      <c r="BM46370" s="1025"/>
      <c r="BO46370" s="43"/>
    </row>
    <row r="46371" spans="65:67" ht="18.75" customHeight="1">
      <c r="BM46371" s="1025"/>
      <c r="BO46371" s="43"/>
    </row>
    <row r="46372" spans="65:67" ht="18.75" customHeight="1">
      <c r="BM46372" s="1025"/>
      <c r="BO46372" s="43"/>
    </row>
    <row r="46373" spans="65:67" ht="18.75" customHeight="1">
      <c r="BM46373" s="1025"/>
      <c r="BO46373" s="43"/>
    </row>
    <row r="46374" spans="65:67" ht="18.75" customHeight="1">
      <c r="BM46374" s="1025"/>
      <c r="BO46374" s="43"/>
    </row>
    <row r="46375" spans="65:67" ht="18.75" customHeight="1">
      <c r="BM46375" s="1025"/>
      <c r="BO46375" s="43"/>
    </row>
    <row r="46376" spans="65:67" ht="18.75" customHeight="1">
      <c r="BM46376" s="1025"/>
      <c r="BO46376" s="43"/>
    </row>
    <row r="46377" spans="65:67" ht="18.75" customHeight="1">
      <c r="BM46377" s="1025"/>
      <c r="BO46377" s="43"/>
    </row>
    <row r="46378" spans="65:67" ht="18.75" customHeight="1">
      <c r="BM46378" s="1025"/>
      <c r="BO46378" s="43"/>
    </row>
    <row r="46379" spans="65:67" ht="18.75" customHeight="1">
      <c r="BM46379" s="1025"/>
      <c r="BO46379" s="43"/>
    </row>
    <row r="46380" spans="65:67" ht="18.75" customHeight="1">
      <c r="BM46380" s="1025"/>
      <c r="BO46380" s="43"/>
    </row>
    <row r="46381" spans="65:67" ht="18.75" customHeight="1">
      <c r="BM46381" s="1025"/>
      <c r="BO46381" s="43"/>
    </row>
    <row r="46382" spans="65:67" ht="18.75" customHeight="1">
      <c r="BM46382" s="1025"/>
      <c r="BO46382" s="43"/>
    </row>
    <row r="46383" spans="65:67" ht="18.75" customHeight="1">
      <c r="BM46383" s="1025"/>
      <c r="BO46383" s="43"/>
    </row>
    <row r="46384" spans="65:67" ht="18.75" customHeight="1">
      <c r="BM46384" s="1025"/>
      <c r="BO46384" s="43"/>
    </row>
    <row r="46385" spans="65:67" ht="18.75" customHeight="1">
      <c r="BM46385" s="1025"/>
      <c r="BO46385" s="43"/>
    </row>
    <row r="46386" spans="65:67" ht="18.75" customHeight="1">
      <c r="BM46386" s="1025"/>
      <c r="BO46386" s="43"/>
    </row>
    <row r="46387" spans="65:67" ht="18.75" customHeight="1">
      <c r="BM46387" s="1025"/>
      <c r="BO46387" s="43"/>
    </row>
    <row r="46388" spans="65:67" ht="18.75" customHeight="1">
      <c r="BM46388" s="1025"/>
      <c r="BO46388" s="43"/>
    </row>
    <row r="46389" spans="65:67" ht="18.75" customHeight="1">
      <c r="BM46389" s="1025"/>
      <c r="BO46389" s="43"/>
    </row>
    <row r="46390" spans="65:67" ht="18.75" customHeight="1">
      <c r="BM46390" s="1025"/>
      <c r="BO46390" s="43"/>
    </row>
    <row r="46391" spans="65:67" ht="18.75" customHeight="1">
      <c r="BM46391" s="1025"/>
      <c r="BO46391" s="43"/>
    </row>
    <row r="46392" spans="65:67" ht="18.75" customHeight="1">
      <c r="BM46392" s="1025"/>
      <c r="BO46392" s="43"/>
    </row>
    <row r="46393" spans="65:67" ht="18.75" customHeight="1">
      <c r="BM46393" s="1025"/>
      <c r="BO46393" s="43"/>
    </row>
    <row r="46394" spans="65:67" ht="18.75" customHeight="1">
      <c r="BM46394" s="1025"/>
      <c r="BO46394" s="43"/>
    </row>
    <row r="46395" spans="65:67" ht="18.75" customHeight="1">
      <c r="BM46395" s="1025"/>
      <c r="BO46395" s="43"/>
    </row>
    <row r="46396" spans="65:67" ht="18.75" customHeight="1">
      <c r="BM46396" s="1025"/>
      <c r="BO46396" s="43"/>
    </row>
    <row r="46397" spans="65:67" ht="18.75" customHeight="1">
      <c r="BM46397" s="1025"/>
      <c r="BO46397" s="43"/>
    </row>
    <row r="46398" spans="65:67" ht="18.75" customHeight="1">
      <c r="BM46398" s="1025"/>
      <c r="BO46398" s="43"/>
    </row>
    <row r="46399" spans="65:67" ht="18.75" customHeight="1">
      <c r="BM46399" s="1025"/>
      <c r="BO46399" s="43"/>
    </row>
    <row r="46400" spans="65:67" ht="18.75" customHeight="1">
      <c r="BM46400" s="1025"/>
      <c r="BO46400" s="43"/>
    </row>
    <row r="46401" spans="65:67" ht="18.75" customHeight="1">
      <c r="BM46401" s="1025"/>
      <c r="BO46401" s="43"/>
    </row>
    <row r="46402" spans="65:67" ht="18.75" customHeight="1">
      <c r="BM46402" s="1025"/>
      <c r="BO46402" s="43"/>
    </row>
    <row r="46403" spans="65:67" ht="18.75" customHeight="1">
      <c r="BM46403" s="1025"/>
      <c r="BO46403" s="43"/>
    </row>
    <row r="46404" spans="65:67" ht="18.75" customHeight="1">
      <c r="BM46404" s="1025"/>
      <c r="BO46404" s="43"/>
    </row>
    <row r="46405" spans="65:67" ht="18.75" customHeight="1">
      <c r="BM46405" s="1025"/>
      <c r="BO46405" s="43"/>
    </row>
    <row r="46406" spans="65:67" ht="18.75" customHeight="1">
      <c r="BM46406" s="1025"/>
      <c r="BO46406" s="43"/>
    </row>
    <row r="46407" spans="65:67" ht="18.75" customHeight="1">
      <c r="BM46407" s="1025"/>
      <c r="BO46407" s="43"/>
    </row>
    <row r="46408" spans="65:67" ht="18.75" customHeight="1">
      <c r="BM46408" s="1025"/>
      <c r="BO46408" s="43"/>
    </row>
    <row r="46409" spans="65:67" ht="18.75" customHeight="1">
      <c r="BM46409" s="1025"/>
      <c r="BO46409" s="43"/>
    </row>
    <row r="46410" spans="65:67" ht="18.75" customHeight="1">
      <c r="BM46410" s="1025"/>
      <c r="BO46410" s="43"/>
    </row>
    <row r="46411" spans="65:67" ht="18.75" customHeight="1">
      <c r="BM46411" s="1025"/>
      <c r="BO46411" s="43"/>
    </row>
    <row r="46412" spans="65:67" ht="18.75" customHeight="1">
      <c r="BM46412" s="1025"/>
      <c r="BO46412" s="43"/>
    </row>
    <row r="46413" spans="65:67" ht="18.75" customHeight="1">
      <c r="BM46413" s="1025"/>
      <c r="BO46413" s="43"/>
    </row>
    <row r="46414" spans="65:67" ht="18.75" customHeight="1">
      <c r="BM46414" s="1025"/>
      <c r="BO46414" s="43"/>
    </row>
    <row r="46415" spans="65:67" ht="18.75" customHeight="1">
      <c r="BM46415" s="1025"/>
      <c r="BO46415" s="43"/>
    </row>
    <row r="46416" spans="65:67" ht="18.75" customHeight="1">
      <c r="BM46416" s="1025"/>
      <c r="BO46416" s="43"/>
    </row>
    <row r="46417" spans="65:67" ht="18.75" customHeight="1">
      <c r="BM46417" s="1025"/>
      <c r="BO46417" s="43"/>
    </row>
    <row r="46418" spans="65:67" ht="18.75" customHeight="1">
      <c r="BM46418" s="1025"/>
      <c r="BO46418" s="43"/>
    </row>
    <row r="46419" spans="65:67" ht="18.75" customHeight="1">
      <c r="BM46419" s="1025"/>
      <c r="BO46419" s="43"/>
    </row>
    <row r="46420" spans="65:67" ht="18.75" customHeight="1">
      <c r="BM46420" s="1025"/>
      <c r="BO46420" s="43"/>
    </row>
    <row r="46421" spans="65:67" ht="18.75" customHeight="1">
      <c r="BM46421" s="1025"/>
      <c r="BO46421" s="43"/>
    </row>
    <row r="46422" spans="65:67" ht="18.75" customHeight="1">
      <c r="BM46422" s="1025"/>
      <c r="BO46422" s="43"/>
    </row>
    <row r="46423" spans="65:67" ht="18.75" customHeight="1">
      <c r="BM46423" s="1025"/>
      <c r="BO46423" s="43"/>
    </row>
    <row r="46424" spans="65:67" ht="18.75" customHeight="1">
      <c r="BM46424" s="1025"/>
      <c r="BO46424" s="43"/>
    </row>
    <row r="46425" spans="65:67" ht="18.75" customHeight="1">
      <c r="BM46425" s="1025"/>
      <c r="BO46425" s="43"/>
    </row>
    <row r="46426" spans="65:67" ht="18.75" customHeight="1">
      <c r="BM46426" s="1025"/>
      <c r="BO46426" s="43"/>
    </row>
    <row r="46427" spans="65:67" ht="18.75" customHeight="1">
      <c r="BM46427" s="1025"/>
      <c r="BO46427" s="43"/>
    </row>
    <row r="46428" spans="65:67" ht="18.75" customHeight="1">
      <c r="BM46428" s="1025"/>
      <c r="BO46428" s="43"/>
    </row>
    <row r="46429" spans="65:67" ht="18.75" customHeight="1">
      <c r="BM46429" s="1025"/>
      <c r="BO46429" s="43"/>
    </row>
    <row r="46430" spans="65:67" ht="18.75" customHeight="1">
      <c r="BM46430" s="1025"/>
      <c r="BO46430" s="43"/>
    </row>
    <row r="46431" spans="65:67" ht="18.75" customHeight="1">
      <c r="BM46431" s="1025"/>
      <c r="BO46431" s="43"/>
    </row>
    <row r="46432" spans="65:67" ht="18.75" customHeight="1">
      <c r="BM46432" s="1025"/>
      <c r="BO46432" s="43"/>
    </row>
    <row r="46433" spans="65:67" ht="18.75" customHeight="1">
      <c r="BM46433" s="1025"/>
      <c r="BO46433" s="43"/>
    </row>
    <row r="46434" spans="65:67" ht="18.75" customHeight="1">
      <c r="BM46434" s="1025"/>
      <c r="BO46434" s="43"/>
    </row>
    <row r="46435" spans="65:67" ht="18.75" customHeight="1">
      <c r="BM46435" s="1025"/>
      <c r="BO46435" s="43"/>
    </row>
    <row r="46436" spans="65:67" ht="18.75" customHeight="1">
      <c r="BM46436" s="1025"/>
      <c r="BO46436" s="43"/>
    </row>
    <row r="46437" spans="65:67" ht="18.75" customHeight="1">
      <c r="BM46437" s="1025"/>
      <c r="BO46437" s="43"/>
    </row>
    <row r="46438" spans="65:67" ht="18.75" customHeight="1">
      <c r="BM46438" s="1025"/>
      <c r="BO46438" s="43"/>
    </row>
    <row r="46439" spans="65:67" ht="18.75" customHeight="1">
      <c r="BM46439" s="1025"/>
      <c r="BO46439" s="43"/>
    </row>
    <row r="46440" spans="65:67" ht="18.75" customHeight="1">
      <c r="BM46440" s="1025"/>
      <c r="BO46440" s="43"/>
    </row>
    <row r="46441" spans="65:67" ht="18.75" customHeight="1">
      <c r="BM46441" s="1025"/>
      <c r="BO46441" s="43"/>
    </row>
    <row r="46442" spans="65:67" ht="18.75" customHeight="1">
      <c r="BM46442" s="1025"/>
      <c r="BO46442" s="43"/>
    </row>
    <row r="46443" spans="65:67" ht="18.75" customHeight="1">
      <c r="BM46443" s="1025"/>
      <c r="BO46443" s="43"/>
    </row>
    <row r="46444" spans="65:67" ht="18.75" customHeight="1">
      <c r="BM46444" s="1025"/>
      <c r="BO46444" s="43"/>
    </row>
    <row r="46445" spans="65:67" ht="18.75" customHeight="1">
      <c r="BM46445" s="1025"/>
      <c r="BO46445" s="43"/>
    </row>
    <row r="46446" spans="65:67" ht="18.75" customHeight="1">
      <c r="BM46446" s="1025"/>
      <c r="BO46446" s="43"/>
    </row>
    <row r="46447" spans="65:67" ht="18.75" customHeight="1">
      <c r="BM46447" s="1025"/>
      <c r="BO46447" s="43"/>
    </row>
    <row r="46448" spans="65:67" ht="18.75" customHeight="1">
      <c r="BM46448" s="1025"/>
      <c r="BO46448" s="43"/>
    </row>
    <row r="46449" spans="65:67" ht="18.75" customHeight="1">
      <c r="BM46449" s="1025"/>
      <c r="BO46449" s="43"/>
    </row>
    <row r="46450" spans="65:67" ht="18.75" customHeight="1">
      <c r="BM46450" s="1025"/>
      <c r="BO46450" s="43"/>
    </row>
    <row r="46451" spans="65:67" ht="18.75" customHeight="1">
      <c r="BM46451" s="1025"/>
      <c r="BO46451" s="43"/>
    </row>
    <row r="46452" spans="65:67" ht="18.75" customHeight="1">
      <c r="BM46452" s="1025"/>
      <c r="BO46452" s="43"/>
    </row>
    <row r="46453" spans="65:67" ht="18.75" customHeight="1">
      <c r="BM46453" s="1025"/>
      <c r="BO46453" s="43"/>
    </row>
    <row r="46454" spans="65:67" ht="18.75" customHeight="1">
      <c r="BM46454" s="1025"/>
      <c r="BO46454" s="43"/>
    </row>
    <row r="46455" spans="65:67" ht="18.75" customHeight="1">
      <c r="BM46455" s="1025"/>
      <c r="BO46455" s="43"/>
    </row>
    <row r="46456" spans="65:67" ht="18.75" customHeight="1">
      <c r="BM46456" s="1025"/>
      <c r="BO46456" s="43"/>
    </row>
    <row r="46457" spans="65:67" ht="18.75" customHeight="1">
      <c r="BM46457" s="1025"/>
      <c r="BO46457" s="43"/>
    </row>
    <row r="46458" spans="65:67" ht="18.75" customHeight="1">
      <c r="BM46458" s="1025"/>
      <c r="BO46458" s="43"/>
    </row>
    <row r="46459" spans="65:67" ht="18.75" customHeight="1">
      <c r="BM46459" s="1025"/>
      <c r="BO46459" s="43"/>
    </row>
    <row r="46460" spans="65:67" ht="18.75" customHeight="1">
      <c r="BM46460" s="1025"/>
      <c r="BO46460" s="43"/>
    </row>
    <row r="46461" spans="65:67" ht="18.75" customHeight="1">
      <c r="BM46461" s="1025"/>
      <c r="BO46461" s="43"/>
    </row>
    <row r="46462" spans="65:67" ht="18.75" customHeight="1">
      <c r="BM46462" s="1025"/>
      <c r="BO46462" s="43"/>
    </row>
    <row r="46463" spans="65:67" ht="18.75" customHeight="1">
      <c r="BM46463" s="1025"/>
      <c r="BO46463" s="43"/>
    </row>
    <row r="46464" spans="65:67" ht="18.75" customHeight="1">
      <c r="BM46464" s="1025"/>
      <c r="BO46464" s="43"/>
    </row>
    <row r="46465" spans="65:67" ht="18.75" customHeight="1">
      <c r="BM46465" s="1025"/>
      <c r="BO46465" s="43"/>
    </row>
    <row r="46466" spans="65:67" ht="18.75" customHeight="1">
      <c r="BM46466" s="1025"/>
      <c r="BO46466" s="43"/>
    </row>
    <row r="46467" spans="65:67" ht="18.75" customHeight="1">
      <c r="BM46467" s="1025"/>
      <c r="BO46467" s="43"/>
    </row>
    <row r="46468" spans="65:67" ht="18.75" customHeight="1">
      <c r="BM46468" s="1025"/>
      <c r="BO46468" s="43"/>
    </row>
    <row r="46469" spans="65:67" ht="18.75" customHeight="1">
      <c r="BM46469" s="1025"/>
      <c r="BO46469" s="43"/>
    </row>
    <row r="46470" spans="65:67" ht="18.75" customHeight="1">
      <c r="BM46470" s="1025"/>
      <c r="BO46470" s="43"/>
    </row>
    <row r="46471" spans="65:67" ht="18.75" customHeight="1">
      <c r="BM46471" s="1025"/>
      <c r="BO46471" s="43"/>
    </row>
    <row r="46472" spans="65:67" ht="18.75" customHeight="1">
      <c r="BM46472" s="1025"/>
      <c r="BO46472" s="43"/>
    </row>
    <row r="46473" spans="65:67" ht="18.75" customHeight="1">
      <c r="BM46473" s="1025"/>
      <c r="BO46473" s="43"/>
    </row>
    <row r="46474" spans="65:67" ht="18.75" customHeight="1">
      <c r="BM46474" s="1025"/>
      <c r="BO46474" s="43"/>
    </row>
    <row r="46475" spans="65:67" ht="18.75" customHeight="1">
      <c r="BM46475" s="1025"/>
      <c r="BO46475" s="43"/>
    </row>
    <row r="46476" spans="65:67" ht="18.75" customHeight="1">
      <c r="BM46476" s="1025"/>
      <c r="BO46476" s="43"/>
    </row>
    <row r="46477" spans="65:67" ht="18.75" customHeight="1">
      <c r="BM46477" s="1025"/>
      <c r="BO46477" s="43"/>
    </row>
    <row r="46478" spans="65:67" ht="18.75" customHeight="1">
      <c r="BM46478" s="1025"/>
      <c r="BO46478" s="43"/>
    </row>
    <row r="46479" spans="65:67" ht="18.75" customHeight="1">
      <c r="BM46479" s="1025"/>
      <c r="BO46479" s="43"/>
    </row>
    <row r="46480" spans="65:67" ht="18.75" customHeight="1">
      <c r="BM46480" s="1025"/>
      <c r="BO46480" s="43"/>
    </row>
    <row r="46481" spans="65:67" ht="18.75" customHeight="1">
      <c r="BM46481" s="1025"/>
      <c r="BO46481" s="43"/>
    </row>
    <row r="46482" spans="65:67" ht="18.75" customHeight="1">
      <c r="BM46482" s="1025"/>
      <c r="BO46482" s="43"/>
    </row>
    <row r="46483" spans="65:67" ht="18.75" customHeight="1">
      <c r="BM46483" s="1025"/>
      <c r="BO46483" s="43"/>
    </row>
    <row r="46484" spans="65:67" ht="18.75" customHeight="1">
      <c r="BM46484" s="1025"/>
      <c r="BO46484" s="43"/>
    </row>
    <row r="46485" spans="65:67" ht="18.75" customHeight="1">
      <c r="BM46485" s="1025"/>
      <c r="BO46485" s="43"/>
    </row>
    <row r="46486" spans="65:67" ht="18.75" customHeight="1">
      <c r="BM46486" s="1025"/>
      <c r="BO46486" s="43"/>
    </row>
    <row r="46487" spans="65:67" ht="18.75" customHeight="1">
      <c r="BM46487" s="1025"/>
      <c r="BO46487" s="43"/>
    </row>
    <row r="46488" spans="65:67" ht="18.75" customHeight="1">
      <c r="BM46488" s="1025"/>
      <c r="BO46488" s="43"/>
    </row>
    <row r="46489" spans="65:67" ht="18.75" customHeight="1">
      <c r="BM46489" s="1025"/>
      <c r="BO46489" s="43"/>
    </row>
    <row r="46490" spans="65:67" ht="18.75" customHeight="1">
      <c r="BM46490" s="1025"/>
      <c r="BO46490" s="43"/>
    </row>
    <row r="46491" spans="65:67" ht="18.75" customHeight="1">
      <c r="BM46491" s="1025"/>
      <c r="BO46491" s="43"/>
    </row>
    <row r="46492" spans="65:67" ht="18.75" customHeight="1">
      <c r="BM46492" s="1025"/>
      <c r="BO46492" s="43"/>
    </row>
    <row r="46493" spans="65:67" ht="18.75" customHeight="1">
      <c r="BM46493" s="1025"/>
      <c r="BO46493" s="43"/>
    </row>
    <row r="46494" spans="65:67" ht="18.75" customHeight="1">
      <c r="BM46494" s="1025"/>
      <c r="BO46494" s="43"/>
    </row>
    <row r="46495" spans="65:67" ht="18.75" customHeight="1">
      <c r="BM46495" s="1025"/>
      <c r="BO46495" s="43"/>
    </row>
    <row r="46496" spans="65:67" ht="18.75" customHeight="1">
      <c r="BM46496" s="1025"/>
      <c r="BO46496" s="43"/>
    </row>
    <row r="46497" spans="65:67" ht="18.75" customHeight="1">
      <c r="BM46497" s="1025"/>
      <c r="BO46497" s="43"/>
    </row>
    <row r="46498" spans="65:67" ht="18.75" customHeight="1">
      <c r="BM46498" s="1025"/>
      <c r="BO46498" s="43"/>
    </row>
    <row r="46499" spans="65:67" ht="18.75" customHeight="1">
      <c r="BM46499" s="1025"/>
      <c r="BO46499" s="43"/>
    </row>
    <row r="46500" spans="65:67" ht="18.75" customHeight="1">
      <c r="BM46500" s="1025"/>
      <c r="BO46500" s="43"/>
    </row>
    <row r="46501" spans="65:67" ht="18.75" customHeight="1">
      <c r="BM46501" s="1025"/>
      <c r="BO46501" s="43"/>
    </row>
    <row r="46502" spans="65:67" ht="18.75" customHeight="1">
      <c r="BM46502" s="1025"/>
      <c r="BO46502" s="43"/>
    </row>
    <row r="46503" spans="65:67" ht="18.75" customHeight="1">
      <c r="BM46503" s="1025"/>
      <c r="BO46503" s="43"/>
    </row>
    <row r="46504" spans="65:67" ht="18.75" customHeight="1">
      <c r="BM46504" s="1025"/>
      <c r="BO46504" s="43"/>
    </row>
    <row r="46505" spans="65:67" ht="18.75" customHeight="1">
      <c r="BM46505" s="1025"/>
      <c r="BO46505" s="43"/>
    </row>
    <row r="46506" spans="65:67" ht="18.75" customHeight="1">
      <c r="BM46506" s="1025"/>
      <c r="BO46506" s="43"/>
    </row>
    <row r="46507" spans="65:67" ht="18.75" customHeight="1">
      <c r="BM46507" s="1025"/>
      <c r="BO46507" s="43"/>
    </row>
    <row r="46508" spans="65:67" ht="18.75" customHeight="1">
      <c r="BM46508" s="1025"/>
      <c r="BO46508" s="43"/>
    </row>
    <row r="46509" spans="65:67" ht="18.75" customHeight="1">
      <c r="BM46509" s="1025"/>
      <c r="BO46509" s="43"/>
    </row>
    <row r="46510" spans="65:67" ht="18.75" customHeight="1">
      <c r="BM46510" s="1025"/>
      <c r="BO46510" s="43"/>
    </row>
    <row r="46511" spans="65:67" ht="18.75" customHeight="1">
      <c r="BM46511" s="1025"/>
      <c r="BO46511" s="43"/>
    </row>
    <row r="46512" spans="65:67" ht="18.75" customHeight="1">
      <c r="BM46512" s="1025"/>
      <c r="BO46512" s="43"/>
    </row>
    <row r="46513" spans="65:67" ht="18.75" customHeight="1">
      <c r="BM46513" s="1025"/>
      <c r="BO46513" s="43"/>
    </row>
    <row r="46514" spans="65:67" ht="18.75" customHeight="1">
      <c r="BM46514" s="1025"/>
      <c r="BO46514" s="43"/>
    </row>
    <row r="46515" spans="65:67" ht="18.75" customHeight="1">
      <c r="BM46515" s="1025"/>
      <c r="BO46515" s="43"/>
    </row>
    <row r="46516" spans="65:67" ht="18.75" customHeight="1">
      <c r="BM46516" s="1025"/>
      <c r="BO46516" s="43"/>
    </row>
    <row r="46517" spans="65:67" ht="18.75" customHeight="1">
      <c r="BM46517" s="1025"/>
      <c r="BO46517" s="43"/>
    </row>
    <row r="46518" spans="65:67" ht="18.75" customHeight="1">
      <c r="BM46518" s="1025"/>
      <c r="BO46518" s="43"/>
    </row>
    <row r="46519" spans="65:67" ht="18.75" customHeight="1">
      <c r="BM46519" s="1025"/>
      <c r="BO46519" s="43"/>
    </row>
    <row r="46520" spans="65:67" ht="18.75" customHeight="1">
      <c r="BM46520" s="1025"/>
      <c r="BO46520" s="43"/>
    </row>
    <row r="46521" spans="65:67" ht="18.75" customHeight="1">
      <c r="BM46521" s="1025"/>
      <c r="BO46521" s="43"/>
    </row>
    <row r="46522" spans="65:67" ht="18.75" customHeight="1">
      <c r="BM46522" s="1025"/>
      <c r="BO46522" s="43"/>
    </row>
    <row r="46523" spans="65:67" ht="18.75" customHeight="1">
      <c r="BM46523" s="1025"/>
      <c r="BO46523" s="43"/>
    </row>
    <row r="46524" spans="65:67" ht="18.75" customHeight="1">
      <c r="BM46524" s="1025"/>
      <c r="BO46524" s="43"/>
    </row>
    <row r="46525" spans="65:67" ht="18.75" customHeight="1">
      <c r="BM46525" s="1025"/>
      <c r="BO46525" s="43"/>
    </row>
    <row r="46526" spans="65:67" ht="18.75" customHeight="1">
      <c r="BM46526" s="1025"/>
      <c r="BO46526" s="43"/>
    </row>
    <row r="46527" spans="65:67" ht="18.75" customHeight="1">
      <c r="BM46527" s="1025"/>
      <c r="BO46527" s="43"/>
    </row>
    <row r="46528" spans="65:67" ht="18.75" customHeight="1">
      <c r="BM46528" s="1025"/>
      <c r="BO46528" s="43"/>
    </row>
    <row r="46529" spans="65:67" ht="18.75" customHeight="1">
      <c r="BM46529" s="1025"/>
      <c r="BO46529" s="43"/>
    </row>
    <row r="46530" spans="65:67" ht="18.75" customHeight="1">
      <c r="BM46530" s="1025"/>
      <c r="BO46530" s="43"/>
    </row>
    <row r="46531" spans="65:67" ht="18.75" customHeight="1">
      <c r="BM46531" s="1025"/>
      <c r="BO46531" s="43"/>
    </row>
    <row r="46532" spans="65:67" ht="18.75" customHeight="1">
      <c r="BM46532" s="1025"/>
      <c r="BO46532" s="43"/>
    </row>
    <row r="46533" spans="65:67" ht="18.75" customHeight="1">
      <c r="BM46533" s="1025"/>
      <c r="BO46533" s="43"/>
    </row>
    <row r="46534" spans="65:67" ht="18.75" customHeight="1">
      <c r="BM46534" s="1025"/>
      <c r="BO46534" s="43"/>
    </row>
    <row r="46535" spans="65:67" ht="18.75" customHeight="1">
      <c r="BM46535" s="1025"/>
      <c r="BO46535" s="43"/>
    </row>
    <row r="46536" spans="65:67" ht="18.75" customHeight="1">
      <c r="BM46536" s="1025"/>
      <c r="BO46536" s="43"/>
    </row>
    <row r="46537" spans="65:67" ht="18.75" customHeight="1">
      <c r="BM46537" s="1025"/>
      <c r="BO46537" s="43"/>
    </row>
    <row r="46538" spans="65:67" ht="18.75" customHeight="1">
      <c r="BM46538" s="1025"/>
      <c r="BO46538" s="43"/>
    </row>
    <row r="46539" spans="65:67" ht="18.75" customHeight="1">
      <c r="BM46539" s="1025"/>
      <c r="BO46539" s="43"/>
    </row>
    <row r="46540" spans="65:67" ht="18.75" customHeight="1">
      <c r="BM46540" s="1025"/>
      <c r="BO46540" s="43"/>
    </row>
    <row r="46541" spans="65:67" ht="18.75" customHeight="1">
      <c r="BM46541" s="1025"/>
      <c r="BO46541" s="43"/>
    </row>
    <row r="46542" spans="65:67" ht="18.75" customHeight="1">
      <c r="BM46542" s="1025"/>
      <c r="BO46542" s="43"/>
    </row>
    <row r="46543" spans="65:67" ht="18.75" customHeight="1">
      <c r="BM46543" s="1025"/>
      <c r="BO46543" s="43"/>
    </row>
    <row r="46544" spans="65:67" ht="18.75" customHeight="1">
      <c r="BM46544" s="1025"/>
      <c r="BO46544" s="43"/>
    </row>
    <row r="46545" spans="65:67" ht="18.75" customHeight="1">
      <c r="BM46545" s="1025"/>
      <c r="BO46545" s="43"/>
    </row>
    <row r="46546" spans="65:67" ht="18.75" customHeight="1">
      <c r="BM46546" s="1025"/>
      <c r="BO46546" s="43"/>
    </row>
    <row r="46547" spans="65:67" ht="18.75" customHeight="1">
      <c r="BM46547" s="1025"/>
      <c r="BO46547" s="43"/>
    </row>
    <row r="46548" spans="65:67" ht="18.75" customHeight="1">
      <c r="BM46548" s="1025"/>
      <c r="BO46548" s="43"/>
    </row>
    <row r="46549" spans="65:67" ht="18.75" customHeight="1">
      <c r="BM46549" s="1025"/>
      <c r="BO46549" s="43"/>
    </row>
    <row r="46550" spans="65:67" ht="18.75" customHeight="1">
      <c r="BM46550" s="1025"/>
      <c r="BO46550" s="43"/>
    </row>
    <row r="46551" spans="65:67" ht="18.75" customHeight="1">
      <c r="BM46551" s="1025"/>
      <c r="BO46551" s="43"/>
    </row>
    <row r="46552" spans="65:67" ht="18.75" customHeight="1">
      <c r="BM46552" s="1025"/>
      <c r="BO46552" s="43"/>
    </row>
    <row r="46553" spans="65:67" ht="18.75" customHeight="1">
      <c r="BM46553" s="1025"/>
      <c r="BO46553" s="43"/>
    </row>
    <row r="46554" spans="65:67" ht="18.75" customHeight="1">
      <c r="BM46554" s="1025"/>
      <c r="BO46554" s="43"/>
    </row>
    <row r="46555" spans="65:67" ht="18.75" customHeight="1">
      <c r="BM46555" s="1025"/>
      <c r="BO46555" s="43"/>
    </row>
    <row r="46556" spans="65:67" ht="18.75" customHeight="1">
      <c r="BM46556" s="1025"/>
      <c r="BO46556" s="43"/>
    </row>
    <row r="46557" spans="65:67" ht="18.75" customHeight="1">
      <c r="BM46557" s="1025"/>
      <c r="BO46557" s="43"/>
    </row>
    <row r="46558" spans="65:67" ht="18.75" customHeight="1">
      <c r="BM46558" s="1025"/>
      <c r="BO46558" s="43"/>
    </row>
    <row r="46559" spans="65:67" ht="18.75" customHeight="1">
      <c r="BM46559" s="1025"/>
      <c r="BO46559" s="43"/>
    </row>
    <row r="46560" spans="65:67" ht="18.75" customHeight="1">
      <c r="BM46560" s="1025"/>
      <c r="BO46560" s="43"/>
    </row>
    <row r="46561" spans="65:67" ht="18.75" customHeight="1">
      <c r="BM46561" s="1025"/>
      <c r="BO46561" s="43"/>
    </row>
    <row r="46562" spans="65:67" ht="18.75" customHeight="1">
      <c r="BM46562" s="1025"/>
      <c r="BO46562" s="43"/>
    </row>
    <row r="46563" spans="65:67" ht="18.75" customHeight="1">
      <c r="BM46563" s="1025"/>
      <c r="BO46563" s="43"/>
    </row>
    <row r="46564" spans="65:67" ht="18.75" customHeight="1">
      <c r="BM46564" s="1025"/>
      <c r="BO46564" s="43"/>
    </row>
    <row r="46565" spans="65:67" ht="18.75" customHeight="1">
      <c r="BM46565" s="1025"/>
      <c r="BO46565" s="43"/>
    </row>
    <row r="46566" spans="65:67" ht="18.75" customHeight="1">
      <c r="BM46566" s="1025"/>
      <c r="BO46566" s="43"/>
    </row>
    <row r="46567" spans="65:67" ht="18.75" customHeight="1">
      <c r="BM46567" s="1025"/>
      <c r="BO46567" s="43"/>
    </row>
    <row r="46568" spans="65:67" ht="18.75" customHeight="1">
      <c r="BM46568" s="1025"/>
      <c r="BO46568" s="43"/>
    </row>
    <row r="46569" spans="65:67" ht="18.75" customHeight="1">
      <c r="BM46569" s="1025"/>
      <c r="BO46569" s="43"/>
    </row>
    <row r="46570" spans="65:67" ht="18.75" customHeight="1">
      <c r="BM46570" s="1025"/>
      <c r="BO46570" s="43"/>
    </row>
    <row r="46571" spans="65:67" ht="18.75" customHeight="1">
      <c r="BM46571" s="1025"/>
      <c r="BO46571" s="43"/>
    </row>
    <row r="46572" spans="65:67" ht="18.75" customHeight="1">
      <c r="BM46572" s="1025"/>
      <c r="BO46572" s="43"/>
    </row>
    <row r="46573" spans="65:67" ht="18.75" customHeight="1">
      <c r="BM46573" s="1025"/>
      <c r="BO46573" s="43"/>
    </row>
    <row r="46574" spans="65:67" ht="18.75" customHeight="1">
      <c r="BM46574" s="1025"/>
      <c r="BO46574" s="43"/>
    </row>
    <row r="46575" spans="65:67" ht="18.75" customHeight="1">
      <c r="BM46575" s="1025"/>
      <c r="BO46575" s="43"/>
    </row>
    <row r="46576" spans="65:67" ht="18.75" customHeight="1">
      <c r="BM46576" s="1025"/>
      <c r="BO46576" s="43"/>
    </row>
    <row r="46577" spans="65:67" ht="18.75" customHeight="1">
      <c r="BM46577" s="1025"/>
      <c r="BO46577" s="43"/>
    </row>
    <row r="46578" spans="65:67" ht="18.75" customHeight="1">
      <c r="BM46578" s="1025"/>
      <c r="BO46578" s="43"/>
    </row>
    <row r="46579" spans="65:67" ht="18.75" customHeight="1">
      <c r="BM46579" s="1025"/>
      <c r="BO46579" s="43"/>
    </row>
    <row r="46580" spans="65:67" ht="18.75" customHeight="1">
      <c r="BM46580" s="1025"/>
      <c r="BO46580" s="43"/>
    </row>
    <row r="46581" spans="65:67" ht="18.75" customHeight="1">
      <c r="BM46581" s="1025"/>
      <c r="BO46581" s="43"/>
    </row>
    <row r="46582" spans="65:67" ht="18.75" customHeight="1">
      <c r="BM46582" s="1025"/>
      <c r="BO46582" s="43"/>
    </row>
    <row r="46583" spans="65:67" ht="18.75" customHeight="1">
      <c r="BM46583" s="1025"/>
      <c r="BO46583" s="43"/>
    </row>
    <row r="46584" spans="65:67" ht="18.75" customHeight="1">
      <c r="BM46584" s="1025"/>
      <c r="BO46584" s="43"/>
    </row>
    <row r="46585" spans="65:67" ht="18.75" customHeight="1">
      <c r="BM46585" s="1025"/>
      <c r="BO46585" s="43"/>
    </row>
    <row r="46586" spans="65:67" ht="18.75" customHeight="1">
      <c r="BM46586" s="1025"/>
      <c r="BO46586" s="43"/>
    </row>
    <row r="46587" spans="65:67" ht="18.75" customHeight="1">
      <c r="BM46587" s="1025"/>
      <c r="BO46587" s="43"/>
    </row>
    <row r="46588" spans="65:67" ht="18.75" customHeight="1">
      <c r="BM46588" s="1025"/>
      <c r="BO46588" s="43"/>
    </row>
    <row r="46589" spans="65:67" ht="18.75" customHeight="1">
      <c r="BM46589" s="1025"/>
      <c r="BO46589" s="43"/>
    </row>
    <row r="46590" spans="65:67" ht="18.75" customHeight="1">
      <c r="BM46590" s="1025"/>
      <c r="BO46590" s="43"/>
    </row>
    <row r="46591" spans="65:67" ht="18.75" customHeight="1">
      <c r="BM46591" s="1025"/>
      <c r="BO46591" s="43"/>
    </row>
    <row r="46592" spans="65:67" ht="18.75" customHeight="1">
      <c r="BM46592" s="1025"/>
      <c r="BO46592" s="43"/>
    </row>
    <row r="46593" spans="65:67" ht="18.75" customHeight="1">
      <c r="BM46593" s="1025"/>
      <c r="BO46593" s="43"/>
    </row>
    <row r="46594" spans="65:67" ht="18.75" customHeight="1">
      <c r="BM46594" s="1025"/>
      <c r="BO46594" s="43"/>
    </row>
    <row r="46595" spans="65:67" ht="18.75" customHeight="1">
      <c r="BM46595" s="1025"/>
      <c r="BO46595" s="43"/>
    </row>
    <row r="46596" spans="65:67" ht="18.75" customHeight="1">
      <c r="BM46596" s="1025"/>
      <c r="BO46596" s="43"/>
    </row>
    <row r="46597" spans="65:67" ht="18.75" customHeight="1">
      <c r="BM46597" s="1025"/>
      <c r="BO46597" s="43"/>
    </row>
    <row r="46598" spans="65:67" ht="18.75" customHeight="1">
      <c r="BM46598" s="1025"/>
      <c r="BO46598" s="43"/>
    </row>
    <row r="46599" spans="65:67" ht="18.75" customHeight="1">
      <c r="BM46599" s="1025"/>
      <c r="BO46599" s="43"/>
    </row>
    <row r="46600" spans="65:67" ht="18.75" customHeight="1">
      <c r="BM46600" s="1025"/>
      <c r="BO46600" s="43"/>
    </row>
    <row r="46601" spans="65:67" ht="18.75" customHeight="1">
      <c r="BM46601" s="1025"/>
      <c r="BO46601" s="43"/>
    </row>
    <row r="46602" spans="65:67" ht="18.75" customHeight="1">
      <c r="BM46602" s="1025"/>
      <c r="BO46602" s="43"/>
    </row>
    <row r="46603" spans="65:67" ht="18.75" customHeight="1">
      <c r="BM46603" s="1025"/>
      <c r="BO46603" s="43"/>
    </row>
    <row r="46604" spans="65:67" ht="18.75" customHeight="1">
      <c r="BM46604" s="1025"/>
      <c r="BO46604" s="43"/>
    </row>
    <row r="46605" spans="65:67" ht="18.75" customHeight="1">
      <c r="BM46605" s="1025"/>
      <c r="BO46605" s="43"/>
    </row>
    <row r="46606" spans="65:67" ht="18.75" customHeight="1">
      <c r="BM46606" s="1025"/>
      <c r="BO46606" s="43"/>
    </row>
    <row r="46607" spans="65:67" ht="18.75" customHeight="1">
      <c r="BM46607" s="1025"/>
      <c r="BO46607" s="43"/>
    </row>
    <row r="46608" spans="65:67" ht="18.75" customHeight="1">
      <c r="BM46608" s="1025"/>
      <c r="BO46608" s="43"/>
    </row>
    <row r="46609" spans="65:67" ht="18.75" customHeight="1">
      <c r="BM46609" s="1025"/>
      <c r="BO46609" s="43"/>
    </row>
    <row r="46610" spans="65:67" ht="18.75" customHeight="1">
      <c r="BM46610" s="1025"/>
      <c r="BO46610" s="43"/>
    </row>
    <row r="46611" spans="65:67" ht="18.75" customHeight="1">
      <c r="BM46611" s="1025"/>
      <c r="BO46611" s="43"/>
    </row>
    <row r="46612" spans="65:67" ht="18.75" customHeight="1">
      <c r="BM46612" s="1025"/>
      <c r="BO46612" s="43"/>
    </row>
    <row r="46613" spans="65:67" ht="18.75" customHeight="1">
      <c r="BM46613" s="1025"/>
      <c r="BO46613" s="43"/>
    </row>
    <row r="46614" spans="65:67" ht="18.75" customHeight="1">
      <c r="BM46614" s="1025"/>
      <c r="BO46614" s="43"/>
    </row>
    <row r="46615" spans="65:67" ht="18.75" customHeight="1">
      <c r="BM46615" s="1025"/>
      <c r="BO46615" s="43"/>
    </row>
    <row r="46616" spans="65:67" ht="18.75" customHeight="1">
      <c r="BM46616" s="1025"/>
      <c r="BO46616" s="43"/>
    </row>
    <row r="46617" spans="65:67" ht="18.75" customHeight="1">
      <c r="BM46617" s="1025"/>
      <c r="BO46617" s="43"/>
    </row>
    <row r="46618" spans="65:67" ht="18.75" customHeight="1">
      <c r="BM46618" s="1025"/>
      <c r="BO46618" s="43"/>
    </row>
    <row r="46619" spans="65:67" ht="18.75" customHeight="1">
      <c r="BM46619" s="1025"/>
      <c r="BO46619" s="43"/>
    </row>
    <row r="46620" spans="65:67" ht="18.75" customHeight="1">
      <c r="BM46620" s="1025"/>
      <c r="BO46620" s="43"/>
    </row>
    <row r="46621" spans="65:67" ht="18.75" customHeight="1">
      <c r="BM46621" s="1025"/>
      <c r="BO46621" s="43"/>
    </row>
    <row r="46622" spans="65:67" ht="18.75" customHeight="1">
      <c r="BM46622" s="1025"/>
      <c r="BO46622" s="43"/>
    </row>
    <row r="46623" spans="65:67" ht="18.75" customHeight="1">
      <c r="BM46623" s="1025"/>
      <c r="BO46623" s="43"/>
    </row>
    <row r="46624" spans="65:67" ht="18.75" customHeight="1">
      <c r="BM46624" s="1025"/>
      <c r="BO46624" s="43"/>
    </row>
    <row r="46625" spans="65:67" ht="18.75" customHeight="1">
      <c r="BM46625" s="1025"/>
      <c r="BO46625" s="43"/>
    </row>
    <row r="46626" spans="65:67" ht="18.75" customHeight="1">
      <c r="BM46626" s="1025"/>
      <c r="BO46626" s="43"/>
    </row>
    <row r="46627" spans="65:67" ht="18.75" customHeight="1">
      <c r="BM46627" s="1025"/>
      <c r="BO46627" s="43"/>
    </row>
    <row r="46628" spans="65:67" ht="18.75" customHeight="1">
      <c r="BM46628" s="1025"/>
      <c r="BO46628" s="43"/>
    </row>
    <row r="46629" spans="65:67" ht="18.75" customHeight="1">
      <c r="BM46629" s="1025"/>
      <c r="BO46629" s="43"/>
    </row>
    <row r="46630" spans="65:67" ht="18.75" customHeight="1">
      <c r="BM46630" s="1025"/>
      <c r="BO46630" s="43"/>
    </row>
    <row r="46631" spans="65:67" ht="18.75" customHeight="1">
      <c r="BM46631" s="1025"/>
      <c r="BO46631" s="43"/>
    </row>
    <row r="46632" spans="65:67" ht="18.75" customHeight="1">
      <c r="BM46632" s="1025"/>
      <c r="BO46632" s="43"/>
    </row>
    <row r="46633" spans="65:67" ht="18.75" customHeight="1">
      <c r="BM46633" s="1025"/>
      <c r="BO46633" s="43"/>
    </row>
    <row r="46634" spans="65:67" ht="18.75" customHeight="1">
      <c r="BM46634" s="1025"/>
      <c r="BO46634" s="43"/>
    </row>
    <row r="46635" spans="65:67" ht="18.75" customHeight="1">
      <c r="BM46635" s="1025"/>
      <c r="BO46635" s="43"/>
    </row>
    <row r="46636" spans="65:67" ht="18.75" customHeight="1">
      <c r="BM46636" s="1025"/>
      <c r="BO46636" s="43"/>
    </row>
    <row r="46637" spans="65:67" ht="18.75" customHeight="1">
      <c r="BM46637" s="1025"/>
      <c r="BO46637" s="43"/>
    </row>
    <row r="46638" spans="65:67" ht="18.75" customHeight="1">
      <c r="BM46638" s="1025"/>
      <c r="BO46638" s="43"/>
    </row>
    <row r="46639" spans="65:67" ht="18.75" customHeight="1">
      <c r="BM46639" s="1025"/>
      <c r="BO46639" s="43"/>
    </row>
    <row r="46640" spans="65:67" ht="18.75" customHeight="1">
      <c r="BM46640" s="1025"/>
      <c r="BO46640" s="43"/>
    </row>
    <row r="46641" spans="65:67" ht="18.75" customHeight="1">
      <c r="BM46641" s="1025"/>
      <c r="BO46641" s="43"/>
    </row>
    <row r="46642" spans="65:67" ht="18.75" customHeight="1">
      <c r="BM46642" s="1025"/>
      <c r="BO46642" s="43"/>
    </row>
    <row r="46643" spans="65:67" ht="18.75" customHeight="1">
      <c r="BM46643" s="1025"/>
      <c r="BO46643" s="43"/>
    </row>
    <row r="46644" spans="65:67" ht="18.75" customHeight="1">
      <c r="BM46644" s="1025"/>
      <c r="BO46644" s="43"/>
    </row>
    <row r="46645" spans="65:67" ht="18.75" customHeight="1">
      <c r="BM46645" s="1025"/>
      <c r="BO46645" s="43"/>
    </row>
    <row r="46646" spans="65:67" ht="18.75" customHeight="1">
      <c r="BM46646" s="1025"/>
      <c r="BO46646" s="43"/>
    </row>
    <row r="46647" spans="65:67" ht="18.75" customHeight="1">
      <c r="BM46647" s="1025"/>
      <c r="BO46647" s="43"/>
    </row>
    <row r="46648" spans="65:67" ht="18.75" customHeight="1">
      <c r="BM46648" s="1025"/>
      <c r="BO46648" s="43"/>
    </row>
    <row r="46649" spans="65:67" ht="18.75" customHeight="1">
      <c r="BM46649" s="1025"/>
      <c r="BO46649" s="43"/>
    </row>
    <row r="46650" spans="65:67" ht="18.75" customHeight="1">
      <c r="BM46650" s="1025"/>
      <c r="BO46650" s="43"/>
    </row>
    <row r="46651" spans="65:67" ht="18.75" customHeight="1">
      <c r="BM46651" s="1025"/>
      <c r="BO46651" s="43"/>
    </row>
    <row r="46652" spans="65:67" ht="18.75" customHeight="1">
      <c r="BM46652" s="1025"/>
      <c r="BO46652" s="43"/>
    </row>
    <row r="46653" spans="65:67" ht="18.75" customHeight="1">
      <c r="BM46653" s="1025"/>
      <c r="BO46653" s="43"/>
    </row>
    <row r="46654" spans="65:67" ht="18.75" customHeight="1">
      <c r="BM46654" s="1025"/>
      <c r="BO46654" s="43"/>
    </row>
    <row r="46655" spans="65:67" ht="18.75" customHeight="1">
      <c r="BM46655" s="1025"/>
      <c r="BO46655" s="43"/>
    </row>
    <row r="46656" spans="65:67" ht="18.75" customHeight="1">
      <c r="BM46656" s="1025"/>
      <c r="BO46656" s="43"/>
    </row>
    <row r="46657" spans="65:67" ht="18.75" customHeight="1">
      <c r="BM46657" s="1025"/>
      <c r="BO46657" s="43"/>
    </row>
    <row r="46658" spans="65:67" ht="18.75" customHeight="1">
      <c r="BM46658" s="1025"/>
      <c r="BO46658" s="43"/>
    </row>
    <row r="46659" spans="65:67" ht="18.75" customHeight="1">
      <c r="BM46659" s="1025"/>
      <c r="BO46659" s="43"/>
    </row>
    <row r="46660" spans="65:67" ht="18.75" customHeight="1">
      <c r="BM46660" s="1025"/>
      <c r="BO46660" s="43"/>
    </row>
    <row r="46661" spans="65:67" ht="18.75" customHeight="1">
      <c r="BM46661" s="1025"/>
      <c r="BO46661" s="43"/>
    </row>
    <row r="46662" spans="65:67" ht="18.75" customHeight="1">
      <c r="BM46662" s="1025"/>
      <c r="BO46662" s="43"/>
    </row>
    <row r="46663" spans="65:67" ht="18.75" customHeight="1">
      <c r="BM46663" s="1025"/>
      <c r="BO46663" s="43"/>
    </row>
    <row r="46664" spans="65:67" ht="18.75" customHeight="1">
      <c r="BM46664" s="1025"/>
      <c r="BO46664" s="43"/>
    </row>
    <row r="46665" spans="65:67" ht="18.75" customHeight="1">
      <c r="BM46665" s="1025"/>
      <c r="BO46665" s="43"/>
    </row>
    <row r="46666" spans="65:67" ht="18.75" customHeight="1">
      <c r="BM46666" s="1025"/>
      <c r="BO46666" s="43"/>
    </row>
    <row r="46667" spans="65:67" ht="18.75" customHeight="1">
      <c r="BM46667" s="1025"/>
      <c r="BO46667" s="43"/>
    </row>
    <row r="46668" spans="65:67" ht="18.75" customHeight="1">
      <c r="BM46668" s="1025"/>
      <c r="BO46668" s="43"/>
    </row>
    <row r="46669" spans="65:67" ht="18.75" customHeight="1">
      <c r="BM46669" s="1025"/>
      <c r="BO46669" s="43"/>
    </row>
    <row r="46670" spans="65:67" ht="18.75" customHeight="1">
      <c r="BM46670" s="1025"/>
      <c r="BO46670" s="43"/>
    </row>
    <row r="46671" spans="65:67" ht="18.75" customHeight="1">
      <c r="BM46671" s="1025"/>
      <c r="BO46671" s="43"/>
    </row>
    <row r="46672" spans="65:67" ht="18.75" customHeight="1">
      <c r="BM46672" s="1025"/>
      <c r="BO46672" s="43"/>
    </row>
    <row r="46673" spans="65:67" ht="18.75" customHeight="1">
      <c r="BM46673" s="1025"/>
      <c r="BO46673" s="43"/>
    </row>
    <row r="46674" spans="65:67" ht="18.75" customHeight="1">
      <c r="BM46674" s="1025"/>
      <c r="BO46674" s="43"/>
    </row>
    <row r="46675" spans="65:67" ht="18.75" customHeight="1">
      <c r="BM46675" s="1025"/>
      <c r="BO46675" s="43"/>
    </row>
    <row r="46676" spans="65:67" ht="18.75" customHeight="1">
      <c r="BM46676" s="1025"/>
      <c r="BO46676" s="43"/>
    </row>
    <row r="46677" spans="65:67" ht="18.75" customHeight="1">
      <c r="BM46677" s="1025"/>
      <c r="BO46677" s="43"/>
    </row>
    <row r="46678" spans="65:67" ht="18.75" customHeight="1">
      <c r="BM46678" s="1025"/>
      <c r="BO46678" s="43"/>
    </row>
    <row r="46679" spans="65:67" ht="18.75" customHeight="1">
      <c r="BM46679" s="1025"/>
      <c r="BO46679" s="43"/>
    </row>
    <row r="46680" spans="65:67" ht="18.75" customHeight="1">
      <c r="BM46680" s="1025"/>
      <c r="BO46680" s="43"/>
    </row>
    <row r="46681" spans="65:67" ht="18.75" customHeight="1">
      <c r="BM46681" s="1025"/>
      <c r="BO46681" s="43"/>
    </row>
    <row r="46682" spans="65:67" ht="18.75" customHeight="1">
      <c r="BM46682" s="1025"/>
      <c r="BO46682" s="43"/>
    </row>
    <row r="46683" spans="65:67" ht="18.75" customHeight="1">
      <c r="BM46683" s="1025"/>
      <c r="BO46683" s="43"/>
    </row>
    <row r="46684" spans="65:67" ht="18.75" customHeight="1">
      <c r="BM46684" s="1025"/>
      <c r="BO46684" s="43"/>
    </row>
    <row r="46685" spans="65:67" ht="18.75" customHeight="1">
      <c r="BM46685" s="1025"/>
      <c r="BO46685" s="43"/>
    </row>
    <row r="46686" spans="65:67" ht="18.75" customHeight="1">
      <c r="BM46686" s="1025"/>
      <c r="BO46686" s="43"/>
    </row>
    <row r="46687" spans="65:67" ht="18.75" customHeight="1">
      <c r="BM46687" s="1025"/>
      <c r="BO46687" s="43"/>
    </row>
    <row r="46688" spans="65:67" ht="18.75" customHeight="1">
      <c r="BM46688" s="1025"/>
      <c r="BO46688" s="43"/>
    </row>
    <row r="46689" spans="65:67" ht="18.75" customHeight="1">
      <c r="BM46689" s="1025"/>
      <c r="BO46689" s="43"/>
    </row>
    <row r="46690" spans="65:67" ht="18.75" customHeight="1">
      <c r="BM46690" s="1025"/>
      <c r="BO46690" s="43"/>
    </row>
    <row r="46691" spans="65:67" ht="18.75" customHeight="1">
      <c r="BM46691" s="1025"/>
      <c r="BO46691" s="43"/>
    </row>
    <row r="46692" spans="65:67" ht="18.75" customHeight="1">
      <c r="BM46692" s="1025"/>
      <c r="BO46692" s="43"/>
    </row>
    <row r="46693" spans="65:67" ht="18.75" customHeight="1">
      <c r="BM46693" s="1025"/>
      <c r="BO46693" s="43"/>
    </row>
    <row r="46694" spans="65:67" ht="18.75" customHeight="1">
      <c r="BM46694" s="1025"/>
      <c r="BO46694" s="43"/>
    </row>
    <row r="46695" spans="65:67" ht="18.75" customHeight="1">
      <c r="BM46695" s="1025"/>
      <c r="BO46695" s="43"/>
    </row>
    <row r="46696" spans="65:67" ht="18.75" customHeight="1">
      <c r="BM46696" s="1025"/>
      <c r="BO46696" s="43"/>
    </row>
    <row r="46697" spans="65:67" ht="18.75" customHeight="1">
      <c r="BM46697" s="1025"/>
      <c r="BO46697" s="43"/>
    </row>
    <row r="46698" spans="65:67" ht="18.75" customHeight="1">
      <c r="BM46698" s="1025"/>
      <c r="BO46698" s="43"/>
    </row>
    <row r="46699" spans="65:67" ht="18.75" customHeight="1">
      <c r="BM46699" s="1025"/>
      <c r="BO46699" s="43"/>
    </row>
    <row r="46700" spans="65:67" ht="18.75" customHeight="1">
      <c r="BM46700" s="1025"/>
      <c r="BO46700" s="43"/>
    </row>
    <row r="46701" spans="65:67" ht="18.75" customHeight="1">
      <c r="BM46701" s="1025"/>
      <c r="BO46701" s="43"/>
    </row>
    <row r="46702" spans="65:67" ht="18.75" customHeight="1">
      <c r="BM46702" s="1025"/>
      <c r="BO46702" s="43"/>
    </row>
    <row r="46703" spans="65:67" ht="18.75" customHeight="1">
      <c r="BM46703" s="1025"/>
      <c r="BO46703" s="43"/>
    </row>
    <row r="46704" spans="65:67" ht="18.75" customHeight="1">
      <c r="BM46704" s="1025"/>
      <c r="BO46704" s="43"/>
    </row>
    <row r="46705" spans="65:67" ht="18.75" customHeight="1">
      <c r="BM46705" s="1025"/>
      <c r="BO46705" s="43"/>
    </row>
    <row r="46706" spans="65:67" ht="18.75" customHeight="1">
      <c r="BM46706" s="1025"/>
      <c r="BO46706" s="43"/>
    </row>
    <row r="46707" spans="65:67" ht="18.75" customHeight="1">
      <c r="BM46707" s="1025"/>
      <c r="BO46707" s="43"/>
    </row>
    <row r="46708" spans="65:67" ht="18.75" customHeight="1">
      <c r="BM46708" s="1025"/>
      <c r="BO46708" s="43"/>
    </row>
    <row r="46709" spans="65:67" ht="18.75" customHeight="1">
      <c r="BM46709" s="1025"/>
      <c r="BO46709" s="43"/>
    </row>
    <row r="46710" spans="65:67" ht="18.75" customHeight="1">
      <c r="BM46710" s="1025"/>
      <c r="BO46710" s="43"/>
    </row>
    <row r="46711" spans="65:67" ht="18.75" customHeight="1">
      <c r="BM46711" s="1025"/>
      <c r="BO46711" s="43"/>
    </row>
    <row r="46712" spans="65:67" ht="18.75" customHeight="1">
      <c r="BM46712" s="1025"/>
      <c r="BO46712" s="43"/>
    </row>
    <row r="46713" spans="65:67" ht="18.75" customHeight="1">
      <c r="BM46713" s="1025"/>
      <c r="BO46713" s="43"/>
    </row>
    <row r="46714" spans="65:67" ht="18.75" customHeight="1">
      <c r="BM46714" s="1025"/>
      <c r="BO46714" s="43"/>
    </row>
    <row r="46715" spans="65:67" ht="18.75" customHeight="1">
      <c r="BM46715" s="1025"/>
      <c r="BO46715" s="43"/>
    </row>
    <row r="46716" spans="65:67" ht="18.75" customHeight="1">
      <c r="BM46716" s="1025"/>
      <c r="BO46716" s="43"/>
    </row>
    <row r="46717" spans="65:67" ht="18.75" customHeight="1">
      <c r="BM46717" s="1025"/>
      <c r="BO46717" s="43"/>
    </row>
    <row r="46718" spans="65:67" ht="18.75" customHeight="1">
      <c r="BM46718" s="1025"/>
      <c r="BO46718" s="43"/>
    </row>
    <row r="46719" spans="65:67" ht="18.75" customHeight="1">
      <c r="BM46719" s="1025"/>
      <c r="BO46719" s="43"/>
    </row>
    <row r="46720" spans="65:67" ht="18.75" customHeight="1">
      <c r="BM46720" s="1025"/>
      <c r="BO46720" s="43"/>
    </row>
    <row r="46721" spans="65:67" ht="18.75" customHeight="1">
      <c r="BM46721" s="1025"/>
      <c r="BO46721" s="43"/>
    </row>
    <row r="46722" spans="65:67" ht="18.75" customHeight="1">
      <c r="BM46722" s="1025"/>
      <c r="BO46722" s="43"/>
    </row>
    <row r="46723" spans="65:67" ht="18.75" customHeight="1">
      <c r="BM46723" s="1025"/>
      <c r="BO46723" s="43"/>
    </row>
    <row r="46724" spans="65:67" ht="18.75" customHeight="1">
      <c r="BM46724" s="1025"/>
      <c r="BO46724" s="43"/>
    </row>
    <row r="46725" spans="65:67" ht="18.75" customHeight="1">
      <c r="BM46725" s="1025"/>
      <c r="BO46725" s="43"/>
    </row>
    <row r="46726" spans="65:67" ht="18.75" customHeight="1">
      <c r="BM46726" s="1025"/>
      <c r="BO46726" s="43"/>
    </row>
    <row r="46727" spans="65:67" ht="18.75" customHeight="1">
      <c r="BM46727" s="1025"/>
      <c r="BO46727" s="43"/>
    </row>
    <row r="46728" spans="65:67" ht="18.75" customHeight="1">
      <c r="BM46728" s="1025"/>
      <c r="BO46728" s="43"/>
    </row>
    <row r="46729" spans="65:67" ht="18.75" customHeight="1">
      <c r="BM46729" s="1025"/>
      <c r="BO46729" s="43"/>
    </row>
    <row r="46730" spans="65:67" ht="18.75" customHeight="1">
      <c r="BM46730" s="1025"/>
      <c r="BO46730" s="43"/>
    </row>
    <row r="46731" spans="65:67" ht="18.75" customHeight="1">
      <c r="BM46731" s="1025"/>
      <c r="BO46731" s="43"/>
    </row>
    <row r="46732" spans="65:67" ht="18.75" customHeight="1">
      <c r="BM46732" s="1025"/>
      <c r="BO46732" s="43"/>
    </row>
    <row r="46733" spans="65:67" ht="18.75" customHeight="1">
      <c r="BM46733" s="1025"/>
      <c r="BO46733" s="43"/>
    </row>
    <row r="46734" spans="65:67" ht="18.75" customHeight="1">
      <c r="BM46734" s="1025"/>
      <c r="BO46734" s="43"/>
    </row>
    <row r="46735" spans="65:67" ht="18.75" customHeight="1">
      <c r="BM46735" s="1025"/>
      <c r="BO46735" s="43"/>
    </row>
    <row r="46736" spans="65:67" ht="18.75" customHeight="1">
      <c r="BM46736" s="1025"/>
      <c r="BO46736" s="43"/>
    </row>
    <row r="46737" spans="65:67" ht="18.75" customHeight="1">
      <c r="BM46737" s="1025"/>
      <c r="BO46737" s="43"/>
    </row>
    <row r="46738" spans="65:67" ht="18.75" customHeight="1">
      <c r="BM46738" s="1025"/>
      <c r="BO46738" s="43"/>
    </row>
    <row r="46739" spans="65:67" ht="18.75" customHeight="1">
      <c r="BM46739" s="1025"/>
      <c r="BO46739" s="43"/>
    </row>
    <row r="46740" spans="65:67" ht="18.75" customHeight="1">
      <c r="BM46740" s="1025"/>
      <c r="BO46740" s="43"/>
    </row>
    <row r="46741" spans="65:67" ht="18.75" customHeight="1">
      <c r="BM46741" s="1025"/>
      <c r="BO46741" s="43"/>
    </row>
    <row r="46742" spans="65:67" ht="18.75" customHeight="1">
      <c r="BM46742" s="1025"/>
      <c r="BO46742" s="43"/>
    </row>
    <row r="46743" spans="65:67" ht="18.75" customHeight="1">
      <c r="BM46743" s="1025"/>
      <c r="BO46743" s="43"/>
    </row>
    <row r="46744" spans="65:67" ht="18.75" customHeight="1">
      <c r="BM46744" s="1025"/>
      <c r="BO46744" s="43"/>
    </row>
    <row r="46745" spans="65:67" ht="18.75" customHeight="1">
      <c r="BM46745" s="1025"/>
      <c r="BO46745" s="43"/>
    </row>
    <row r="46746" spans="65:67" ht="18.75" customHeight="1">
      <c r="BM46746" s="1025"/>
      <c r="BO46746" s="43"/>
    </row>
    <row r="46747" spans="65:67" ht="18.75" customHeight="1">
      <c r="BM46747" s="1025"/>
      <c r="BO46747" s="43"/>
    </row>
    <row r="46748" spans="65:67" ht="18.75" customHeight="1">
      <c r="BM46748" s="1025"/>
      <c r="BO46748" s="43"/>
    </row>
    <row r="46749" spans="65:67" ht="18.75" customHeight="1">
      <c r="BM46749" s="1025"/>
      <c r="BO46749" s="43"/>
    </row>
    <row r="46750" spans="65:67" ht="18.75" customHeight="1">
      <c r="BM46750" s="1025"/>
      <c r="BO46750" s="43"/>
    </row>
    <row r="46751" spans="65:67" ht="18.75" customHeight="1">
      <c r="BM46751" s="1025"/>
      <c r="BO46751" s="43"/>
    </row>
    <row r="46752" spans="65:67" ht="18.75" customHeight="1">
      <c r="BM46752" s="1025"/>
      <c r="BO46752" s="43"/>
    </row>
    <row r="46753" spans="65:67" ht="18.75" customHeight="1">
      <c r="BM46753" s="1025"/>
      <c r="BO46753" s="43"/>
    </row>
    <row r="46754" spans="65:67" ht="18.75" customHeight="1">
      <c r="BM46754" s="1025"/>
      <c r="BO46754" s="43"/>
    </row>
    <row r="46755" spans="65:67" ht="18.75" customHeight="1">
      <c r="BM46755" s="1025"/>
      <c r="BO46755" s="43"/>
    </row>
    <row r="46756" spans="65:67" ht="18.75" customHeight="1">
      <c r="BM46756" s="1025"/>
      <c r="BO46756" s="43"/>
    </row>
    <row r="46757" spans="65:67" ht="18.75" customHeight="1">
      <c r="BM46757" s="1025"/>
      <c r="BO46757" s="43"/>
    </row>
    <row r="46758" spans="65:67" ht="18.75" customHeight="1">
      <c r="BM46758" s="1025"/>
      <c r="BO46758" s="43"/>
    </row>
    <row r="46759" spans="65:67" ht="18.75" customHeight="1">
      <c r="BM46759" s="1025"/>
      <c r="BO46759" s="43"/>
    </row>
    <row r="46760" spans="65:67" ht="18.75" customHeight="1">
      <c r="BM46760" s="1025"/>
      <c r="BO46760" s="43"/>
    </row>
    <row r="46761" spans="65:67" ht="18.75" customHeight="1">
      <c r="BM46761" s="1025"/>
      <c r="BO46761" s="43"/>
    </row>
    <row r="46762" spans="65:67" ht="18.75" customHeight="1">
      <c r="BM46762" s="1025"/>
      <c r="BO46762" s="43"/>
    </row>
    <row r="46763" spans="65:67" ht="18.75" customHeight="1">
      <c r="BM46763" s="1025"/>
      <c r="BO46763" s="43"/>
    </row>
    <row r="46764" spans="65:67" ht="18.75" customHeight="1">
      <c r="BM46764" s="1025"/>
      <c r="BO46764" s="43"/>
    </row>
    <row r="46765" spans="65:67" ht="18.75" customHeight="1">
      <c r="BM46765" s="1025"/>
      <c r="BO46765" s="43"/>
    </row>
    <row r="46766" spans="65:67" ht="18.75" customHeight="1">
      <c r="BM46766" s="1025"/>
      <c r="BO46766" s="43"/>
    </row>
    <row r="46767" spans="65:67" ht="18.75" customHeight="1">
      <c r="BM46767" s="1025"/>
      <c r="BO46767" s="43"/>
    </row>
    <row r="46768" spans="65:67" ht="18.75" customHeight="1">
      <c r="BM46768" s="1025"/>
      <c r="BO46768" s="43"/>
    </row>
    <row r="46769" spans="65:67" ht="18.75" customHeight="1">
      <c r="BM46769" s="1025"/>
      <c r="BO46769" s="43"/>
    </row>
    <row r="46770" spans="65:67" ht="18.75" customHeight="1">
      <c r="BM46770" s="1025"/>
      <c r="BO46770" s="43"/>
    </row>
    <row r="46771" spans="65:67" ht="18.75" customHeight="1">
      <c r="BM46771" s="1025"/>
      <c r="BO46771" s="43"/>
    </row>
    <row r="46772" spans="65:67" ht="18.75" customHeight="1">
      <c r="BM46772" s="1025"/>
      <c r="BO46772" s="43"/>
    </row>
    <row r="46773" spans="65:67" ht="18.75" customHeight="1">
      <c r="BM46773" s="1025"/>
      <c r="BO46773" s="43"/>
    </row>
    <row r="46774" spans="65:67" ht="18.75" customHeight="1">
      <c r="BM46774" s="1025"/>
      <c r="BO46774" s="43"/>
    </row>
    <row r="46775" spans="65:67" ht="18.75" customHeight="1">
      <c r="BM46775" s="1025"/>
      <c r="BO46775" s="43"/>
    </row>
    <row r="46776" spans="65:67" ht="18.75" customHeight="1">
      <c r="BM46776" s="1025"/>
      <c r="BO46776" s="43"/>
    </row>
    <row r="46777" spans="65:67" ht="18.75" customHeight="1">
      <c r="BM46777" s="1025"/>
      <c r="BO46777" s="43"/>
    </row>
    <row r="46778" spans="65:67" ht="18.75" customHeight="1">
      <c r="BM46778" s="1025"/>
      <c r="BO46778" s="43"/>
    </row>
    <row r="46779" spans="65:67" ht="18.75" customHeight="1">
      <c r="BM46779" s="1025"/>
      <c r="BO46779" s="43"/>
    </row>
    <row r="46780" spans="65:67" ht="18.75" customHeight="1">
      <c r="BM46780" s="1025"/>
      <c r="BO46780" s="43"/>
    </row>
    <row r="46781" spans="65:67" ht="18.75" customHeight="1">
      <c r="BM46781" s="1025"/>
      <c r="BO46781" s="43"/>
    </row>
    <row r="46782" spans="65:67" ht="18.75" customHeight="1">
      <c r="BM46782" s="1025"/>
      <c r="BO46782" s="43"/>
    </row>
    <row r="46783" spans="65:67" ht="18.75" customHeight="1">
      <c r="BM46783" s="1025"/>
      <c r="BO46783" s="43"/>
    </row>
    <row r="46784" spans="65:67" ht="18.75" customHeight="1">
      <c r="BM46784" s="1025"/>
      <c r="BO46784" s="43"/>
    </row>
    <row r="46785" spans="65:67" ht="18.75" customHeight="1">
      <c r="BM46785" s="1025"/>
      <c r="BO46785" s="43"/>
    </row>
    <row r="46786" spans="65:67" ht="18.75" customHeight="1">
      <c r="BM46786" s="1025"/>
      <c r="BO46786" s="43"/>
    </row>
    <row r="46787" spans="65:67" ht="18.75" customHeight="1">
      <c r="BM46787" s="1025"/>
      <c r="BO46787" s="43"/>
    </row>
    <row r="46788" spans="65:67" ht="18.75" customHeight="1">
      <c r="BM46788" s="1025"/>
      <c r="BO46788" s="43"/>
    </row>
    <row r="46789" spans="65:67" ht="18.75" customHeight="1">
      <c r="BM46789" s="1025"/>
      <c r="BO46789" s="43"/>
    </row>
    <row r="46790" spans="65:67" ht="18.75" customHeight="1">
      <c r="BM46790" s="1025"/>
      <c r="BO46790" s="43"/>
    </row>
    <row r="46791" spans="65:67" ht="18.75" customHeight="1">
      <c r="BM46791" s="1025"/>
      <c r="BO46791" s="43"/>
    </row>
    <row r="46792" spans="65:67" ht="18.75" customHeight="1">
      <c r="BM46792" s="1025"/>
      <c r="BO46792" s="43"/>
    </row>
    <row r="46793" spans="65:67" ht="18.75" customHeight="1">
      <c r="BM46793" s="1025"/>
      <c r="BO46793" s="43"/>
    </row>
    <row r="46794" spans="65:67" ht="18.75" customHeight="1">
      <c r="BM46794" s="1025"/>
      <c r="BO46794" s="43"/>
    </row>
    <row r="46795" spans="65:67" ht="18.75" customHeight="1">
      <c r="BM46795" s="1025"/>
      <c r="BO46795" s="43"/>
    </row>
    <row r="46796" spans="65:67" ht="18.75" customHeight="1">
      <c r="BM46796" s="1025"/>
      <c r="BO46796" s="43"/>
    </row>
    <row r="46797" spans="65:67" ht="18.75" customHeight="1">
      <c r="BM46797" s="1025"/>
      <c r="BO46797" s="43"/>
    </row>
    <row r="46798" spans="65:67" ht="18.75" customHeight="1">
      <c r="BM46798" s="1025"/>
      <c r="BO46798" s="43"/>
    </row>
    <row r="46799" spans="65:67" ht="18.75" customHeight="1">
      <c r="BM46799" s="1025"/>
      <c r="BO46799" s="43"/>
    </row>
    <row r="46800" spans="65:67" ht="18.75" customHeight="1">
      <c r="BM46800" s="1025"/>
      <c r="BO46800" s="43"/>
    </row>
    <row r="46801" spans="65:67" ht="18.75" customHeight="1">
      <c r="BM46801" s="1025"/>
      <c r="BO46801" s="43"/>
    </row>
    <row r="46802" spans="65:67" ht="18.75" customHeight="1">
      <c r="BM46802" s="1025"/>
      <c r="BO46802" s="43"/>
    </row>
    <row r="46803" spans="65:67" ht="18.75" customHeight="1">
      <c r="BM46803" s="1025"/>
      <c r="BO46803" s="43"/>
    </row>
    <row r="46804" spans="65:67" ht="18.75" customHeight="1">
      <c r="BM46804" s="1025"/>
      <c r="BO46804" s="43"/>
    </row>
    <row r="46805" spans="65:67" ht="18.75" customHeight="1">
      <c r="BM46805" s="1025"/>
      <c r="BO46805" s="43"/>
    </row>
    <row r="46806" spans="65:67" ht="18.75" customHeight="1">
      <c r="BM46806" s="1025"/>
      <c r="BO46806" s="43"/>
    </row>
    <row r="46807" spans="65:67" ht="18.75" customHeight="1">
      <c r="BM46807" s="1025"/>
      <c r="BO46807" s="43"/>
    </row>
    <row r="46808" spans="65:67" ht="18.75" customHeight="1">
      <c r="BM46808" s="1025"/>
      <c r="BO46808" s="43"/>
    </row>
    <row r="46809" spans="65:67" ht="18.75" customHeight="1">
      <c r="BM46809" s="1025"/>
      <c r="BO46809" s="43"/>
    </row>
    <row r="46810" spans="65:67" ht="18.75" customHeight="1">
      <c r="BM46810" s="1025"/>
      <c r="BO46810" s="43"/>
    </row>
    <row r="46811" spans="65:67" ht="18.75" customHeight="1">
      <c r="BM46811" s="1025"/>
      <c r="BO46811" s="43"/>
    </row>
    <row r="46812" spans="65:67" ht="18.75" customHeight="1">
      <c r="BM46812" s="1025"/>
      <c r="BO46812" s="43"/>
    </row>
    <row r="46813" spans="65:67" ht="18.75" customHeight="1">
      <c r="BM46813" s="1025"/>
      <c r="BO46813" s="43"/>
    </row>
    <row r="46814" spans="65:67" ht="18.75" customHeight="1">
      <c r="BM46814" s="1025"/>
      <c r="BO46814" s="43"/>
    </row>
    <row r="46815" spans="65:67" ht="18.75" customHeight="1">
      <c r="BM46815" s="1025"/>
      <c r="BO46815" s="43"/>
    </row>
    <row r="46816" spans="65:67" ht="18.75" customHeight="1">
      <c r="BM46816" s="1025"/>
      <c r="BO46816" s="43"/>
    </row>
    <row r="46817" spans="65:67" ht="18.75" customHeight="1">
      <c r="BM46817" s="1025"/>
      <c r="BO46817" s="43"/>
    </row>
    <row r="46818" spans="65:67" ht="18.75" customHeight="1">
      <c r="BM46818" s="1025"/>
      <c r="BO46818" s="43"/>
    </row>
    <row r="46819" spans="65:67" ht="18.75" customHeight="1">
      <c r="BM46819" s="1025"/>
      <c r="BO46819" s="43"/>
    </row>
    <row r="46820" spans="65:67" ht="18.75" customHeight="1">
      <c r="BM46820" s="1025"/>
      <c r="BO46820" s="43"/>
    </row>
    <row r="46821" spans="65:67" ht="18.75" customHeight="1">
      <c r="BM46821" s="1025"/>
      <c r="BO46821" s="43"/>
    </row>
    <row r="46822" spans="65:67" ht="18.75" customHeight="1">
      <c r="BM46822" s="1025"/>
      <c r="BO46822" s="43"/>
    </row>
    <row r="46823" spans="65:67" ht="18.75" customHeight="1">
      <c r="BM46823" s="1025"/>
      <c r="BO46823" s="43"/>
    </row>
    <row r="46824" spans="65:67" ht="18.75" customHeight="1">
      <c r="BM46824" s="1025"/>
      <c r="BO46824" s="43"/>
    </row>
    <row r="46825" spans="65:67" ht="18.75" customHeight="1">
      <c r="BM46825" s="1025"/>
      <c r="BO46825" s="43"/>
    </row>
    <row r="46826" spans="65:67" ht="18.75" customHeight="1">
      <c r="BM46826" s="1025"/>
      <c r="BO46826" s="43"/>
    </row>
    <row r="46827" spans="65:67" ht="18.75" customHeight="1">
      <c r="BM46827" s="1025"/>
      <c r="BO46827" s="43"/>
    </row>
    <row r="46828" spans="65:67" ht="18.75" customHeight="1">
      <c r="BM46828" s="1025"/>
      <c r="BO46828" s="43"/>
    </row>
    <row r="46829" spans="65:67" ht="18.75" customHeight="1">
      <c r="BM46829" s="1025"/>
      <c r="BO46829" s="43"/>
    </row>
    <row r="46830" spans="65:67" ht="18.75" customHeight="1">
      <c r="BM46830" s="1025"/>
      <c r="BO46830" s="43"/>
    </row>
    <row r="46831" spans="65:67" ht="18.75" customHeight="1">
      <c r="BM46831" s="1025"/>
      <c r="BO46831" s="43"/>
    </row>
    <row r="46832" spans="65:67" ht="18.75" customHeight="1">
      <c r="BM46832" s="1025"/>
      <c r="BO46832" s="43"/>
    </row>
    <row r="46833" spans="65:67" ht="18.75" customHeight="1">
      <c r="BM46833" s="1025"/>
      <c r="BO46833" s="43"/>
    </row>
    <row r="46834" spans="65:67" ht="18.75" customHeight="1">
      <c r="BM46834" s="1025"/>
      <c r="BO46834" s="43"/>
    </row>
    <row r="46835" spans="65:67" ht="18.75" customHeight="1">
      <c r="BM46835" s="1025"/>
      <c r="BO46835" s="43"/>
    </row>
    <row r="46836" spans="65:67" ht="18.75" customHeight="1">
      <c r="BM46836" s="1025"/>
      <c r="BO46836" s="43"/>
    </row>
    <row r="46837" spans="65:67" ht="18.75" customHeight="1">
      <c r="BM46837" s="1025"/>
      <c r="BO46837" s="43"/>
    </row>
    <row r="46838" spans="65:67" ht="18.75" customHeight="1">
      <c r="BM46838" s="1025"/>
      <c r="BO46838" s="43"/>
    </row>
    <row r="46839" spans="65:67" ht="18.75" customHeight="1">
      <c r="BM46839" s="1025"/>
      <c r="BO46839" s="43"/>
    </row>
    <row r="46840" spans="65:67" ht="18.75" customHeight="1">
      <c r="BM46840" s="1025"/>
      <c r="BO46840" s="43"/>
    </row>
    <row r="46841" spans="65:67" ht="18.75" customHeight="1">
      <c r="BM46841" s="1025"/>
      <c r="BO46841" s="43"/>
    </row>
    <row r="46842" spans="65:67" ht="18.75" customHeight="1">
      <c r="BM46842" s="1025"/>
      <c r="BO46842" s="43"/>
    </row>
    <row r="46843" spans="65:67" ht="18.75" customHeight="1">
      <c r="BM46843" s="1025"/>
      <c r="BO46843" s="43"/>
    </row>
    <row r="46844" spans="65:67" ht="18.75" customHeight="1">
      <c r="BM46844" s="1025"/>
      <c r="BO46844" s="43"/>
    </row>
    <row r="46845" spans="65:67" ht="18.75" customHeight="1">
      <c r="BM46845" s="1025"/>
      <c r="BO46845" s="43"/>
    </row>
    <row r="46846" spans="65:67" ht="18.75" customHeight="1">
      <c r="BM46846" s="1025"/>
      <c r="BO46846" s="43"/>
    </row>
    <row r="46847" spans="65:67" ht="18.75" customHeight="1">
      <c r="BM46847" s="1025"/>
      <c r="BO46847" s="43"/>
    </row>
    <row r="46848" spans="65:67" ht="18.75" customHeight="1">
      <c r="BM46848" s="1025"/>
      <c r="BO46848" s="43"/>
    </row>
    <row r="46849" spans="65:67" ht="18.75" customHeight="1">
      <c r="BM46849" s="1025"/>
      <c r="BO46849" s="43"/>
    </row>
    <row r="46850" spans="65:67" ht="18.75" customHeight="1">
      <c r="BM46850" s="1025"/>
      <c r="BO46850" s="43"/>
    </row>
    <row r="46851" spans="65:67" ht="18.75" customHeight="1">
      <c r="BM46851" s="1025"/>
      <c r="BO46851" s="43"/>
    </row>
    <row r="46852" spans="65:67" ht="18.75" customHeight="1">
      <c r="BM46852" s="1025"/>
      <c r="BO46852" s="43"/>
    </row>
    <row r="46853" spans="65:67" ht="18.75" customHeight="1">
      <c r="BM46853" s="1025"/>
      <c r="BO46853" s="43"/>
    </row>
    <row r="46854" spans="65:67" ht="18.75" customHeight="1">
      <c r="BM46854" s="1025"/>
      <c r="BO46854" s="43"/>
    </row>
    <row r="46855" spans="65:67" ht="18.75" customHeight="1">
      <c r="BM46855" s="1025"/>
      <c r="BO46855" s="43"/>
    </row>
    <row r="46856" spans="65:67" ht="18.75" customHeight="1">
      <c r="BM46856" s="1025"/>
      <c r="BO46856" s="43"/>
    </row>
    <row r="46857" spans="65:67" ht="18.75" customHeight="1">
      <c r="BM46857" s="1025"/>
      <c r="BO46857" s="43"/>
    </row>
    <row r="46858" spans="65:67" ht="18.75" customHeight="1">
      <c r="BM46858" s="1025"/>
      <c r="BO46858" s="43"/>
    </row>
    <row r="46859" spans="65:67" ht="18.75" customHeight="1">
      <c r="BM46859" s="1025"/>
      <c r="BO46859" s="43"/>
    </row>
    <row r="46860" spans="65:67" ht="18.75" customHeight="1">
      <c r="BM46860" s="1025"/>
      <c r="BO46860" s="43"/>
    </row>
    <row r="46861" spans="65:67" ht="18.75" customHeight="1">
      <c r="BM46861" s="1025"/>
      <c r="BO46861" s="43"/>
    </row>
    <row r="46862" spans="65:67" ht="18.75" customHeight="1">
      <c r="BM46862" s="1025"/>
      <c r="BO46862" s="43"/>
    </row>
    <row r="46863" spans="65:67" ht="18.75" customHeight="1">
      <c r="BM46863" s="1025"/>
      <c r="BO46863" s="43"/>
    </row>
    <row r="46864" spans="65:67" ht="18.75" customHeight="1">
      <c r="BM46864" s="1025"/>
      <c r="BO46864" s="43"/>
    </row>
    <row r="46865" spans="65:67" ht="18.75" customHeight="1">
      <c r="BM46865" s="1025"/>
      <c r="BO46865" s="43"/>
    </row>
    <row r="46866" spans="65:67" ht="18.75" customHeight="1">
      <c r="BM46866" s="1025"/>
      <c r="BO46866" s="43"/>
    </row>
    <row r="46867" spans="65:67" ht="18.75" customHeight="1">
      <c r="BM46867" s="1025"/>
      <c r="BO46867" s="43"/>
    </row>
    <row r="46868" spans="65:67" ht="18.75" customHeight="1">
      <c r="BM46868" s="1025"/>
      <c r="BO46868" s="43"/>
    </row>
    <row r="46869" spans="65:67" ht="18.75" customHeight="1">
      <c r="BM46869" s="1025"/>
      <c r="BO46869" s="43"/>
    </row>
    <row r="46870" spans="65:67" ht="18.75" customHeight="1">
      <c r="BM46870" s="1025"/>
      <c r="BO46870" s="43"/>
    </row>
    <row r="46871" spans="65:67" ht="18.75" customHeight="1">
      <c r="BM46871" s="1025"/>
      <c r="BO46871" s="43"/>
    </row>
    <row r="46872" spans="65:67" ht="18.75" customHeight="1">
      <c r="BM46872" s="1025"/>
      <c r="BO46872" s="43"/>
    </row>
    <row r="46873" spans="65:67" ht="18.75" customHeight="1">
      <c r="BM46873" s="1025"/>
      <c r="BO46873" s="43"/>
    </row>
    <row r="46874" spans="65:67" ht="18.75" customHeight="1">
      <c r="BM46874" s="1025"/>
      <c r="BO46874" s="43"/>
    </row>
    <row r="46875" spans="65:67" ht="18.75" customHeight="1">
      <c r="BM46875" s="1025"/>
      <c r="BO46875" s="43"/>
    </row>
    <row r="46876" spans="65:67" ht="18.75" customHeight="1">
      <c r="BM46876" s="1025"/>
      <c r="BO46876" s="43"/>
    </row>
    <row r="46877" spans="65:67" ht="18.75" customHeight="1">
      <c r="BM46877" s="1025"/>
      <c r="BO46877" s="43"/>
    </row>
    <row r="46878" spans="65:67" ht="18.75" customHeight="1">
      <c r="BM46878" s="1025"/>
      <c r="BO46878" s="43"/>
    </row>
    <row r="46879" spans="65:67" ht="18.75" customHeight="1">
      <c r="BM46879" s="1025"/>
      <c r="BO46879" s="43"/>
    </row>
    <row r="46880" spans="65:67" ht="18.75" customHeight="1">
      <c r="BM46880" s="1025"/>
      <c r="BO46880" s="43"/>
    </row>
    <row r="46881" spans="65:67" ht="18.75" customHeight="1">
      <c r="BM46881" s="1025"/>
      <c r="BO46881" s="43"/>
    </row>
    <row r="46882" spans="65:67" ht="18.75" customHeight="1">
      <c r="BM46882" s="1025"/>
      <c r="BO46882" s="43"/>
    </row>
    <row r="46883" spans="65:67" ht="18.75" customHeight="1">
      <c r="BM46883" s="1025"/>
      <c r="BO46883" s="43"/>
    </row>
    <row r="46884" spans="65:67" ht="18.75" customHeight="1">
      <c r="BM46884" s="1025"/>
      <c r="BO46884" s="43"/>
    </row>
    <row r="46885" spans="65:67" ht="18.75" customHeight="1">
      <c r="BM46885" s="1025"/>
      <c r="BO46885" s="43"/>
    </row>
    <row r="46886" spans="65:67" ht="18.75" customHeight="1">
      <c r="BM46886" s="1025"/>
      <c r="BO46886" s="43"/>
    </row>
    <row r="46887" spans="65:67" ht="18.75" customHeight="1">
      <c r="BM46887" s="1025"/>
      <c r="BO46887" s="43"/>
    </row>
    <row r="46888" spans="65:67" ht="18.75" customHeight="1">
      <c r="BM46888" s="1025"/>
      <c r="BO46888" s="43"/>
    </row>
    <row r="46889" spans="65:67" ht="18.75" customHeight="1">
      <c r="BM46889" s="1025"/>
      <c r="BO46889" s="43"/>
    </row>
    <row r="46890" spans="65:67" ht="18.75" customHeight="1">
      <c r="BM46890" s="1025"/>
      <c r="BO46890" s="43"/>
    </row>
    <row r="46891" spans="65:67" ht="18.75" customHeight="1">
      <c r="BM46891" s="1025"/>
      <c r="BO46891" s="43"/>
    </row>
    <row r="46892" spans="65:67" ht="18.75" customHeight="1">
      <c r="BM46892" s="1025"/>
      <c r="BO46892" s="43"/>
    </row>
    <row r="46893" spans="65:67" ht="18.75" customHeight="1">
      <c r="BM46893" s="1025"/>
      <c r="BO46893" s="43"/>
    </row>
    <row r="46894" spans="65:67" ht="18.75" customHeight="1">
      <c r="BM46894" s="1025"/>
      <c r="BO46894" s="43"/>
    </row>
    <row r="46895" spans="65:67" ht="18.75" customHeight="1">
      <c r="BM46895" s="1025"/>
      <c r="BO46895" s="43"/>
    </row>
    <row r="46896" spans="65:67" ht="18.75" customHeight="1">
      <c r="BM46896" s="1025"/>
      <c r="BO46896" s="43"/>
    </row>
    <row r="46897" spans="65:67" ht="18.75" customHeight="1">
      <c r="BM46897" s="1025"/>
      <c r="BO46897" s="43"/>
    </row>
    <row r="46898" spans="65:67" ht="18.75" customHeight="1">
      <c r="BM46898" s="1025"/>
      <c r="BO46898" s="43"/>
    </row>
    <row r="46899" spans="65:67" ht="18.75" customHeight="1">
      <c r="BM46899" s="1025"/>
      <c r="BO46899" s="43"/>
    </row>
    <row r="46900" spans="65:67" ht="18.75" customHeight="1">
      <c r="BM46900" s="1025"/>
      <c r="BO46900" s="43"/>
    </row>
    <row r="46901" spans="65:67" ht="18.75" customHeight="1">
      <c r="BM46901" s="1025"/>
      <c r="BO46901" s="43"/>
    </row>
    <row r="46902" spans="65:67" ht="18.75" customHeight="1">
      <c r="BM46902" s="1025"/>
      <c r="BO46902" s="43"/>
    </row>
    <row r="46903" spans="65:67" ht="18.75" customHeight="1">
      <c r="BM46903" s="1025"/>
      <c r="BO46903" s="43"/>
    </row>
    <row r="46904" spans="65:67" ht="18.75" customHeight="1">
      <c r="BM46904" s="1025"/>
      <c r="BO46904" s="43"/>
    </row>
    <row r="46905" spans="65:67" ht="18.75" customHeight="1">
      <c r="BM46905" s="1025"/>
      <c r="BO46905" s="43"/>
    </row>
    <row r="46906" spans="65:67" ht="18.75" customHeight="1">
      <c r="BM46906" s="1025"/>
      <c r="BO46906" s="43"/>
    </row>
    <row r="46907" spans="65:67" ht="18.75" customHeight="1">
      <c r="BM46907" s="1025"/>
      <c r="BO46907" s="43"/>
    </row>
    <row r="46908" spans="65:67" ht="18.75" customHeight="1">
      <c r="BM46908" s="1025"/>
      <c r="BO46908" s="43"/>
    </row>
    <row r="46909" spans="65:67" ht="18.75" customHeight="1">
      <c r="BM46909" s="1025"/>
      <c r="BO46909" s="43"/>
    </row>
    <row r="46910" spans="65:67" ht="18.75" customHeight="1">
      <c r="BM46910" s="1025"/>
      <c r="BO46910" s="43"/>
    </row>
    <row r="46911" spans="65:67" ht="18.75" customHeight="1">
      <c r="BM46911" s="1025"/>
      <c r="BO46911" s="43"/>
    </row>
    <row r="46912" spans="65:67" ht="18.75" customHeight="1">
      <c r="BM46912" s="1025"/>
      <c r="BO46912" s="43"/>
    </row>
    <row r="46913" spans="65:67" ht="18.75" customHeight="1">
      <c r="BM46913" s="1025"/>
      <c r="BO46913" s="43"/>
    </row>
    <row r="46914" spans="65:67" ht="18.75" customHeight="1">
      <c r="BM46914" s="1025"/>
      <c r="BO46914" s="43"/>
    </row>
    <row r="46915" spans="65:67" ht="18.75" customHeight="1">
      <c r="BM46915" s="1025"/>
      <c r="BO46915" s="43"/>
    </row>
    <row r="46916" spans="65:67" ht="18.75" customHeight="1">
      <c r="BM46916" s="1025"/>
      <c r="BO46916" s="43"/>
    </row>
    <row r="46917" spans="65:67" ht="18.75" customHeight="1">
      <c r="BM46917" s="1025"/>
      <c r="BO46917" s="43"/>
    </row>
    <row r="46918" spans="65:67" ht="18.75" customHeight="1">
      <c r="BM46918" s="1025"/>
      <c r="BO46918" s="43"/>
    </row>
    <row r="46919" spans="65:67" ht="18.75" customHeight="1">
      <c r="BM46919" s="1025"/>
      <c r="BO46919" s="43"/>
    </row>
    <row r="46920" spans="65:67" ht="18.75" customHeight="1">
      <c r="BM46920" s="1025"/>
      <c r="BO46920" s="43"/>
    </row>
    <row r="46921" spans="65:67" ht="18.75" customHeight="1">
      <c r="BM46921" s="1025"/>
      <c r="BO46921" s="43"/>
    </row>
    <row r="46922" spans="65:67" ht="18.75" customHeight="1">
      <c r="BM46922" s="1025"/>
      <c r="BO46922" s="43"/>
    </row>
    <row r="46923" spans="65:67" ht="18.75" customHeight="1">
      <c r="BM46923" s="1025"/>
      <c r="BO46923" s="43"/>
    </row>
    <row r="46924" spans="65:67" ht="18.75" customHeight="1">
      <c r="BM46924" s="1025"/>
      <c r="BO46924" s="43"/>
    </row>
    <row r="46925" spans="65:67" ht="18.75" customHeight="1">
      <c r="BM46925" s="1025"/>
      <c r="BO46925" s="43"/>
    </row>
    <row r="46926" spans="65:67" ht="18.75" customHeight="1">
      <c r="BM46926" s="1025"/>
      <c r="BO46926" s="43"/>
    </row>
    <row r="46927" spans="65:67" ht="18.75" customHeight="1">
      <c r="BM46927" s="1025"/>
      <c r="BO46927" s="43"/>
    </row>
    <row r="46928" spans="65:67" ht="18.75" customHeight="1">
      <c r="BM46928" s="1025"/>
      <c r="BO46928" s="43"/>
    </row>
    <row r="46929" spans="65:67" ht="18.75" customHeight="1">
      <c r="BM46929" s="1025"/>
      <c r="BO46929" s="43"/>
    </row>
    <row r="46930" spans="65:67" ht="18.75" customHeight="1">
      <c r="BM46930" s="1025"/>
      <c r="BO46930" s="43"/>
    </row>
    <row r="46931" spans="65:67" ht="18.75" customHeight="1">
      <c r="BM46931" s="1025"/>
      <c r="BO46931" s="43"/>
    </row>
    <row r="46932" spans="65:67" ht="18.75" customHeight="1">
      <c r="BM46932" s="1025"/>
      <c r="BO46932" s="43"/>
    </row>
    <row r="46933" spans="65:67" ht="18.75" customHeight="1">
      <c r="BM46933" s="1025"/>
      <c r="BO46933" s="43"/>
    </row>
    <row r="46934" spans="65:67" ht="18.75" customHeight="1">
      <c r="BM46934" s="1025"/>
      <c r="BO46934" s="43"/>
    </row>
    <row r="46935" spans="65:67" ht="18.75" customHeight="1">
      <c r="BM46935" s="1025"/>
      <c r="BO46935" s="43"/>
    </row>
    <row r="46936" spans="65:67" ht="18.75" customHeight="1">
      <c r="BM46936" s="1025"/>
      <c r="BO46936" s="43"/>
    </row>
    <row r="46937" spans="65:67" ht="18.75" customHeight="1">
      <c r="BM46937" s="1025"/>
      <c r="BO46937" s="43"/>
    </row>
    <row r="46938" spans="65:67" ht="18.75" customHeight="1">
      <c r="BM46938" s="1025"/>
      <c r="BO46938" s="43"/>
    </row>
    <row r="46939" spans="65:67" ht="18.75" customHeight="1">
      <c r="BM46939" s="1025"/>
      <c r="BO46939" s="43"/>
    </row>
    <row r="46940" spans="65:67" ht="18.75" customHeight="1">
      <c r="BM46940" s="1025"/>
      <c r="BO46940" s="43"/>
    </row>
    <row r="46941" spans="65:67" ht="18.75" customHeight="1">
      <c r="BM46941" s="1025"/>
      <c r="BO46941" s="43"/>
    </row>
    <row r="46942" spans="65:67" ht="18.75" customHeight="1">
      <c r="BM46942" s="1025"/>
      <c r="BO46942" s="43"/>
    </row>
    <row r="46943" spans="65:67" ht="18.75" customHeight="1">
      <c r="BM46943" s="1025"/>
      <c r="BO46943" s="43"/>
    </row>
    <row r="46944" spans="65:67" ht="18.75" customHeight="1">
      <c r="BM46944" s="1025"/>
      <c r="BO46944" s="43"/>
    </row>
    <row r="46945" spans="65:67" ht="18.75" customHeight="1">
      <c r="BM46945" s="1025"/>
      <c r="BO46945" s="43"/>
    </row>
    <row r="46946" spans="65:67" ht="18.75" customHeight="1">
      <c r="BM46946" s="1025"/>
      <c r="BO46946" s="43"/>
    </row>
    <row r="46947" spans="65:67" ht="18.75" customHeight="1">
      <c r="BM46947" s="1025"/>
      <c r="BO46947" s="43"/>
    </row>
    <row r="46948" spans="65:67" ht="18.75" customHeight="1">
      <c r="BM46948" s="1025"/>
      <c r="BO46948" s="43"/>
    </row>
    <row r="46949" spans="65:67" ht="18.75" customHeight="1">
      <c r="BM46949" s="1025"/>
      <c r="BO46949" s="43"/>
    </row>
    <row r="46950" spans="65:67" ht="18.75" customHeight="1">
      <c r="BM46950" s="1025"/>
      <c r="BO46950" s="43"/>
    </row>
    <row r="46951" spans="65:67" ht="18.75" customHeight="1">
      <c r="BM46951" s="1025"/>
      <c r="BO46951" s="43"/>
    </row>
    <row r="46952" spans="65:67" ht="18.75" customHeight="1">
      <c r="BM46952" s="1025"/>
      <c r="BO46952" s="43"/>
    </row>
    <row r="46953" spans="65:67" ht="18.75" customHeight="1">
      <c r="BM46953" s="1025"/>
      <c r="BO46953" s="43"/>
    </row>
    <row r="46954" spans="65:67" ht="18.75" customHeight="1">
      <c r="BM46954" s="1025"/>
      <c r="BO46954" s="43"/>
    </row>
    <row r="46955" spans="65:67" ht="18.75" customHeight="1">
      <c r="BM46955" s="1025"/>
      <c r="BO46955" s="43"/>
    </row>
    <row r="46956" spans="65:67" ht="18.75" customHeight="1">
      <c r="BM46956" s="1025"/>
      <c r="BO46956" s="43"/>
    </row>
    <row r="46957" spans="65:67" ht="18.75" customHeight="1">
      <c r="BM46957" s="1025"/>
      <c r="BO46957" s="43"/>
    </row>
    <row r="46958" spans="65:67" ht="18.75" customHeight="1">
      <c r="BM46958" s="1025"/>
      <c r="BO46958" s="43"/>
    </row>
    <row r="46959" spans="65:67" ht="18.75" customHeight="1">
      <c r="BM46959" s="1025"/>
      <c r="BO46959" s="43"/>
    </row>
    <row r="46960" spans="65:67" ht="18.75" customHeight="1">
      <c r="BM46960" s="1025"/>
      <c r="BO46960" s="43"/>
    </row>
    <row r="46961" spans="65:67" ht="18.75" customHeight="1">
      <c r="BM46961" s="1025"/>
      <c r="BO46961" s="43"/>
    </row>
    <row r="46962" spans="65:67" ht="18.75" customHeight="1">
      <c r="BM46962" s="1025"/>
      <c r="BO46962" s="43"/>
    </row>
    <row r="46963" spans="65:67" ht="18.75" customHeight="1">
      <c r="BM46963" s="1025"/>
      <c r="BO46963" s="43"/>
    </row>
    <row r="46964" spans="65:67" ht="18.75" customHeight="1">
      <c r="BM46964" s="1025"/>
      <c r="BO46964" s="43"/>
    </row>
    <row r="46965" spans="65:67" ht="18.75" customHeight="1">
      <c r="BM46965" s="1025"/>
      <c r="BO46965" s="43"/>
    </row>
    <row r="46966" spans="65:67" ht="18.75" customHeight="1">
      <c r="BM46966" s="1025"/>
      <c r="BO46966" s="43"/>
    </row>
    <row r="46967" spans="65:67" ht="18.75" customHeight="1">
      <c r="BM46967" s="1025"/>
      <c r="BO46967" s="43"/>
    </row>
    <row r="46968" spans="65:67" ht="18.75" customHeight="1">
      <c r="BM46968" s="1025"/>
      <c r="BO46968" s="43"/>
    </row>
    <row r="46969" spans="65:67" ht="18.75" customHeight="1">
      <c r="BM46969" s="1025"/>
      <c r="BO46969" s="43"/>
    </row>
    <row r="46970" spans="65:67" ht="18.75" customHeight="1">
      <c r="BM46970" s="1025"/>
      <c r="BO46970" s="43"/>
    </row>
    <row r="46971" spans="65:67" ht="18.75" customHeight="1">
      <c r="BM46971" s="1025"/>
      <c r="BO46971" s="43"/>
    </row>
    <row r="46972" spans="65:67" ht="18.75" customHeight="1">
      <c r="BM46972" s="1025"/>
      <c r="BO46972" s="43"/>
    </row>
    <row r="46973" spans="65:67" ht="18.75" customHeight="1">
      <c r="BM46973" s="1025"/>
      <c r="BO46973" s="43"/>
    </row>
    <row r="46974" spans="65:67" ht="18.75" customHeight="1">
      <c r="BM46974" s="1025"/>
      <c r="BO46974" s="43"/>
    </row>
    <row r="46975" spans="65:67" ht="18.75" customHeight="1">
      <c r="BM46975" s="1025"/>
      <c r="BO46975" s="43"/>
    </row>
    <row r="46976" spans="65:67" ht="18.75" customHeight="1">
      <c r="BM46976" s="1025"/>
      <c r="BO46976" s="43"/>
    </row>
    <row r="46977" spans="65:67" ht="18.75" customHeight="1">
      <c r="BM46977" s="1025"/>
      <c r="BO46977" s="43"/>
    </row>
    <row r="46978" spans="65:67" ht="18.75" customHeight="1">
      <c r="BM46978" s="1025"/>
      <c r="BO46978" s="43"/>
    </row>
    <row r="46979" spans="65:67" ht="18.75" customHeight="1">
      <c r="BM46979" s="1025"/>
      <c r="BO46979" s="43"/>
    </row>
    <row r="46980" spans="65:67" ht="18.75" customHeight="1">
      <c r="BM46980" s="1025"/>
      <c r="BO46980" s="43"/>
    </row>
    <row r="46981" spans="65:67" ht="18.75" customHeight="1">
      <c r="BM46981" s="1025"/>
      <c r="BO46981" s="43"/>
    </row>
    <row r="46982" spans="65:67" ht="18.75" customHeight="1">
      <c r="BM46982" s="1025"/>
      <c r="BO46982" s="43"/>
    </row>
    <row r="46983" spans="65:67" ht="18.75" customHeight="1">
      <c r="BM46983" s="1025"/>
      <c r="BO46983" s="43"/>
    </row>
    <row r="46984" spans="65:67" ht="18.75" customHeight="1">
      <c r="BM46984" s="1025"/>
      <c r="BO46984" s="43"/>
    </row>
    <row r="46985" spans="65:67" ht="18.75" customHeight="1">
      <c r="BM46985" s="1025"/>
      <c r="BO46985" s="43"/>
    </row>
    <row r="46986" spans="65:67" ht="18.75" customHeight="1">
      <c r="BM46986" s="1025"/>
      <c r="BO46986" s="43"/>
    </row>
    <row r="46987" spans="65:67" ht="18.75" customHeight="1">
      <c r="BM46987" s="1025"/>
      <c r="BO46987" s="43"/>
    </row>
    <row r="46988" spans="65:67" ht="18.75" customHeight="1">
      <c r="BM46988" s="1025"/>
      <c r="BO46988" s="43"/>
    </row>
    <row r="46989" spans="65:67" ht="18.75" customHeight="1">
      <c r="BM46989" s="1025"/>
      <c r="BO46989" s="43"/>
    </row>
    <row r="46990" spans="65:67" ht="18.75" customHeight="1">
      <c r="BM46990" s="1025"/>
      <c r="BO46990" s="43"/>
    </row>
    <row r="46991" spans="65:67" ht="18.75" customHeight="1">
      <c r="BM46991" s="1025"/>
      <c r="BO46991" s="43"/>
    </row>
    <row r="46992" spans="65:67" ht="18.75" customHeight="1">
      <c r="BM46992" s="1025"/>
      <c r="BO46992" s="43"/>
    </row>
    <row r="46993" spans="65:67" ht="18.75" customHeight="1">
      <c r="BM46993" s="1025"/>
      <c r="BO46993" s="43"/>
    </row>
    <row r="46994" spans="65:67" ht="18.75" customHeight="1">
      <c r="BM46994" s="1025"/>
      <c r="BO46994" s="43"/>
    </row>
    <row r="46995" spans="65:67" ht="18.75" customHeight="1">
      <c r="BM46995" s="1025"/>
      <c r="BO46995" s="43"/>
    </row>
    <row r="46996" spans="65:67" ht="18.75" customHeight="1">
      <c r="BM46996" s="1025"/>
      <c r="BO46996" s="43"/>
    </row>
    <row r="46997" spans="65:67" ht="18.75" customHeight="1">
      <c r="BM46997" s="1025"/>
      <c r="BO46997" s="43"/>
    </row>
    <row r="46998" spans="65:67" ht="18.75" customHeight="1">
      <c r="BM46998" s="1025"/>
      <c r="BO46998" s="43"/>
    </row>
    <row r="46999" spans="65:67" ht="18.75" customHeight="1">
      <c r="BM46999" s="1025"/>
      <c r="BO46999" s="43"/>
    </row>
    <row r="47000" spans="65:67" ht="18.75" customHeight="1">
      <c r="BM47000" s="1025"/>
      <c r="BO47000" s="43"/>
    </row>
    <row r="47001" spans="65:67" ht="18.75" customHeight="1">
      <c r="BM47001" s="1025"/>
      <c r="BO47001" s="43"/>
    </row>
    <row r="47002" spans="65:67" ht="18.75" customHeight="1">
      <c r="BM47002" s="1025"/>
      <c r="BO47002" s="43"/>
    </row>
    <row r="47003" spans="65:67" ht="18.75" customHeight="1">
      <c r="BM47003" s="1025"/>
      <c r="BO47003" s="43"/>
    </row>
    <row r="47004" spans="65:67" ht="18.75" customHeight="1">
      <c r="BM47004" s="1025"/>
      <c r="BO47004" s="43"/>
    </row>
    <row r="47005" spans="65:67" ht="18.75" customHeight="1">
      <c r="BM47005" s="1025"/>
      <c r="BO47005" s="43"/>
    </row>
    <row r="47006" spans="65:67" ht="18.75" customHeight="1">
      <c r="BM47006" s="1025"/>
      <c r="BO47006" s="43"/>
    </row>
    <row r="47007" spans="65:67" ht="18.75" customHeight="1">
      <c r="BM47007" s="1025"/>
      <c r="BO47007" s="43"/>
    </row>
    <row r="47008" spans="65:67" ht="18.75" customHeight="1">
      <c r="BM47008" s="1025"/>
      <c r="BO47008" s="43"/>
    </row>
    <row r="47009" spans="65:67" ht="18.75" customHeight="1">
      <c r="BM47009" s="1025"/>
      <c r="BO47009" s="43"/>
    </row>
    <row r="47010" spans="65:67" ht="18.75" customHeight="1">
      <c r="BM47010" s="1025"/>
      <c r="BO47010" s="43"/>
    </row>
    <row r="47011" spans="65:67" ht="18.75" customHeight="1">
      <c r="BM47011" s="1025"/>
      <c r="BO47011" s="43"/>
    </row>
    <row r="47012" spans="65:67" ht="18.75" customHeight="1">
      <c r="BM47012" s="1025"/>
      <c r="BO47012" s="43"/>
    </row>
    <row r="47013" spans="65:67" ht="18.75" customHeight="1">
      <c r="BM47013" s="1025"/>
      <c r="BO47013" s="43"/>
    </row>
    <row r="47014" spans="65:67" ht="18.75" customHeight="1">
      <c r="BM47014" s="1025"/>
      <c r="BO47014" s="43"/>
    </row>
    <row r="47015" spans="65:67" ht="18.75" customHeight="1">
      <c r="BM47015" s="1025"/>
      <c r="BO47015" s="43"/>
    </row>
    <row r="47016" spans="65:67" ht="18.75" customHeight="1">
      <c r="BM47016" s="1025"/>
      <c r="BO47016" s="43"/>
    </row>
    <row r="47017" spans="65:67" ht="18.75" customHeight="1">
      <c r="BM47017" s="1025"/>
      <c r="BO47017" s="43"/>
    </row>
    <row r="47018" spans="65:67" ht="18.75" customHeight="1">
      <c r="BM47018" s="1025"/>
      <c r="BO47018" s="43"/>
    </row>
    <row r="47019" spans="65:67" ht="18.75" customHeight="1">
      <c r="BM47019" s="1025"/>
      <c r="BO47019" s="43"/>
    </row>
    <row r="47020" spans="65:67" ht="18.75" customHeight="1">
      <c r="BM47020" s="1025"/>
      <c r="BO47020" s="43"/>
    </row>
    <row r="47021" spans="65:67" ht="18.75" customHeight="1">
      <c r="BM47021" s="1025"/>
      <c r="BO47021" s="43"/>
    </row>
    <row r="47022" spans="65:67" ht="18.75" customHeight="1">
      <c r="BM47022" s="1025"/>
      <c r="BO47022" s="43"/>
    </row>
    <row r="47023" spans="65:67" ht="18.75" customHeight="1">
      <c r="BM47023" s="1025"/>
      <c r="BO47023" s="43"/>
    </row>
    <row r="47024" spans="65:67" ht="18.75" customHeight="1">
      <c r="BM47024" s="1025"/>
      <c r="BO47024" s="43"/>
    </row>
    <row r="47025" spans="65:67" ht="18.75" customHeight="1">
      <c r="BM47025" s="1025"/>
      <c r="BO47025" s="43"/>
    </row>
    <row r="47026" spans="65:67" ht="18.75" customHeight="1">
      <c r="BM47026" s="1025"/>
      <c r="BO47026" s="43"/>
    </row>
    <row r="47027" spans="65:67" ht="18.75" customHeight="1">
      <c r="BM47027" s="1025"/>
      <c r="BO47027" s="43"/>
    </row>
    <row r="47028" spans="65:67" ht="18.75" customHeight="1">
      <c r="BM47028" s="1025"/>
      <c r="BO47028" s="43"/>
    </row>
    <row r="47029" spans="65:67" ht="18.75" customHeight="1">
      <c r="BM47029" s="1025"/>
      <c r="BO47029" s="43"/>
    </row>
    <row r="47030" spans="65:67" ht="18.75" customHeight="1">
      <c r="BM47030" s="1025"/>
      <c r="BO47030" s="43"/>
    </row>
    <row r="47031" spans="65:67" ht="18.75" customHeight="1">
      <c r="BM47031" s="1025"/>
      <c r="BO47031" s="43"/>
    </row>
    <row r="47032" spans="65:67" ht="18.75" customHeight="1">
      <c r="BM47032" s="1025"/>
      <c r="BO47032" s="43"/>
    </row>
    <row r="47033" spans="65:67" ht="18.75" customHeight="1">
      <c r="BM47033" s="1025"/>
      <c r="BO47033" s="43"/>
    </row>
    <row r="47034" spans="65:67" ht="18.75" customHeight="1">
      <c r="BM47034" s="1025"/>
      <c r="BO47034" s="43"/>
    </row>
    <row r="47035" spans="65:67" ht="18.75" customHeight="1">
      <c r="BM47035" s="1025"/>
      <c r="BO47035" s="43"/>
    </row>
    <row r="47036" spans="65:67" ht="18.75" customHeight="1">
      <c r="BM47036" s="1025"/>
      <c r="BO47036" s="43"/>
    </row>
    <row r="47037" spans="65:67" ht="18.75" customHeight="1">
      <c r="BM47037" s="1025"/>
      <c r="BO47037" s="43"/>
    </row>
    <row r="47038" spans="65:67" ht="18.75" customHeight="1">
      <c r="BM47038" s="1025"/>
      <c r="BO47038" s="43"/>
    </row>
    <row r="47039" spans="65:67" ht="18.75" customHeight="1">
      <c r="BM47039" s="1025"/>
      <c r="BO47039" s="43"/>
    </row>
    <row r="47040" spans="65:67" ht="18.75" customHeight="1">
      <c r="BM47040" s="1025"/>
      <c r="BO47040" s="43"/>
    </row>
    <row r="47041" spans="65:67" ht="18.75" customHeight="1">
      <c r="BM47041" s="1025"/>
      <c r="BO47041" s="43"/>
    </row>
    <row r="47042" spans="65:67" ht="18.75" customHeight="1">
      <c r="BM47042" s="1025"/>
      <c r="BO47042" s="43"/>
    </row>
    <row r="47043" spans="65:67" ht="18.75" customHeight="1">
      <c r="BM47043" s="1025"/>
      <c r="BO47043" s="43"/>
    </row>
    <row r="47044" spans="65:67" ht="18.75" customHeight="1">
      <c r="BM47044" s="1025"/>
      <c r="BO47044" s="43"/>
    </row>
    <row r="47045" spans="65:67" ht="18.75" customHeight="1">
      <c r="BM47045" s="1025"/>
      <c r="BO47045" s="43"/>
    </row>
    <row r="47046" spans="65:67" ht="18.75" customHeight="1">
      <c r="BM47046" s="1025"/>
      <c r="BO47046" s="43"/>
    </row>
    <row r="47047" spans="65:67" ht="18.75" customHeight="1">
      <c r="BM47047" s="1025"/>
      <c r="BO47047" s="43"/>
    </row>
    <row r="47048" spans="65:67" ht="18.75" customHeight="1">
      <c r="BM47048" s="1025"/>
      <c r="BO47048" s="43"/>
    </row>
    <row r="47049" spans="65:67" ht="18.75" customHeight="1">
      <c r="BM47049" s="1025"/>
      <c r="BO47049" s="43"/>
    </row>
    <row r="47050" spans="65:67" ht="18.75" customHeight="1">
      <c r="BM47050" s="1025"/>
      <c r="BO47050" s="43"/>
    </row>
    <row r="47051" spans="65:67" ht="18.75" customHeight="1">
      <c r="BM47051" s="1025"/>
      <c r="BO47051" s="43"/>
    </row>
    <row r="47052" spans="65:67" ht="18.75" customHeight="1">
      <c r="BM47052" s="1025"/>
      <c r="BO47052" s="43"/>
    </row>
    <row r="47053" spans="65:67" ht="18.75" customHeight="1">
      <c r="BM47053" s="1025"/>
      <c r="BO47053" s="43"/>
    </row>
    <row r="47054" spans="65:67" ht="18.75" customHeight="1">
      <c r="BM47054" s="1025"/>
      <c r="BO47054" s="43"/>
    </row>
    <row r="47055" spans="65:67" ht="18.75" customHeight="1">
      <c r="BM47055" s="1025"/>
      <c r="BO47055" s="43"/>
    </row>
    <row r="47056" spans="65:67" ht="18.75" customHeight="1">
      <c r="BM47056" s="1025"/>
      <c r="BO47056" s="43"/>
    </row>
    <row r="47057" spans="65:67" ht="18.75" customHeight="1">
      <c r="BM47057" s="1025"/>
      <c r="BO47057" s="43"/>
    </row>
    <row r="47058" spans="65:67" ht="18.75" customHeight="1">
      <c r="BM47058" s="1025"/>
      <c r="BO47058" s="43"/>
    </row>
    <row r="47059" spans="65:67" ht="18.75" customHeight="1">
      <c r="BM47059" s="1025"/>
      <c r="BO47059" s="43"/>
    </row>
    <row r="47060" spans="65:67" ht="18.75" customHeight="1">
      <c r="BM47060" s="1025"/>
      <c r="BO47060" s="43"/>
    </row>
    <row r="47061" spans="65:67" ht="18.75" customHeight="1">
      <c r="BM47061" s="1025"/>
      <c r="BO47061" s="43"/>
    </row>
    <row r="47062" spans="65:67" ht="18.75" customHeight="1">
      <c r="BM47062" s="1025"/>
      <c r="BO47062" s="43"/>
    </row>
    <row r="47063" spans="65:67" ht="18.75" customHeight="1">
      <c r="BM47063" s="1025"/>
      <c r="BO47063" s="43"/>
    </row>
    <row r="47064" spans="65:67" ht="18.75" customHeight="1">
      <c r="BM47064" s="1025"/>
      <c r="BO47064" s="43"/>
    </row>
    <row r="47065" spans="65:67" ht="18.75" customHeight="1">
      <c r="BM47065" s="1025"/>
      <c r="BO47065" s="43"/>
    </row>
    <row r="47066" spans="65:67" ht="18.75" customHeight="1">
      <c r="BM47066" s="1025"/>
      <c r="BO47066" s="43"/>
    </row>
    <row r="47067" spans="65:67" ht="18.75" customHeight="1">
      <c r="BM47067" s="1025"/>
      <c r="BO47067" s="43"/>
    </row>
    <row r="47068" spans="65:67" ht="18.75" customHeight="1">
      <c r="BM47068" s="1025"/>
      <c r="BO47068" s="43"/>
    </row>
    <row r="47069" spans="65:67" ht="18.75" customHeight="1">
      <c r="BM47069" s="1025"/>
      <c r="BO47069" s="43"/>
    </row>
    <row r="47070" spans="65:67" ht="18.75" customHeight="1">
      <c r="BM47070" s="1025"/>
      <c r="BO47070" s="43"/>
    </row>
    <row r="47071" spans="65:67" ht="18.75" customHeight="1">
      <c r="BM47071" s="1025"/>
      <c r="BO47071" s="43"/>
    </row>
    <row r="47072" spans="65:67" ht="18.75" customHeight="1">
      <c r="BM47072" s="1025"/>
      <c r="BO47072" s="43"/>
    </row>
    <row r="47073" spans="65:67" ht="18.75" customHeight="1">
      <c r="BM47073" s="1025"/>
      <c r="BO47073" s="43"/>
    </row>
    <row r="47074" spans="65:67" ht="18.75" customHeight="1">
      <c r="BM47074" s="1025"/>
      <c r="BO47074" s="43"/>
    </row>
    <row r="47075" spans="65:67" ht="18.75" customHeight="1">
      <c r="BM47075" s="1025"/>
      <c r="BO47075" s="43"/>
    </row>
    <row r="47076" spans="65:67" ht="18.75" customHeight="1">
      <c r="BM47076" s="1025"/>
      <c r="BO47076" s="43"/>
    </row>
    <row r="47077" spans="65:67" ht="18.75" customHeight="1">
      <c r="BM47077" s="1025"/>
      <c r="BO47077" s="43"/>
    </row>
    <row r="47078" spans="65:67" ht="18.75" customHeight="1">
      <c r="BM47078" s="1025"/>
      <c r="BO47078" s="43"/>
    </row>
    <row r="47079" spans="65:67" ht="18.75" customHeight="1">
      <c r="BM47079" s="1025"/>
      <c r="BO47079" s="43"/>
    </row>
    <row r="47080" spans="65:67" ht="18.75" customHeight="1">
      <c r="BM47080" s="1025"/>
      <c r="BO47080" s="43"/>
    </row>
    <row r="47081" spans="65:67" ht="18.75" customHeight="1">
      <c r="BM47081" s="1025"/>
      <c r="BO47081" s="43"/>
    </row>
    <row r="47082" spans="65:67" ht="18.75" customHeight="1">
      <c r="BM47082" s="1025"/>
      <c r="BO47082" s="43"/>
    </row>
    <row r="47083" spans="65:67" ht="18.75" customHeight="1">
      <c r="BM47083" s="1025"/>
      <c r="BO47083" s="43"/>
    </row>
    <row r="47084" spans="65:67" ht="18.75" customHeight="1">
      <c r="BM47084" s="1025"/>
      <c r="BO47084" s="43"/>
    </row>
    <row r="47085" spans="65:67" ht="18.75" customHeight="1">
      <c r="BM47085" s="1025"/>
      <c r="BO47085" s="43"/>
    </row>
    <row r="47086" spans="65:67" ht="18.75" customHeight="1">
      <c r="BM47086" s="1025"/>
      <c r="BO47086" s="43"/>
    </row>
    <row r="47087" spans="65:67" ht="18.75" customHeight="1">
      <c r="BM47087" s="1025"/>
      <c r="BO47087" s="43"/>
    </row>
    <row r="47088" spans="65:67" ht="18.75" customHeight="1">
      <c r="BM47088" s="1025"/>
      <c r="BO47088" s="43"/>
    </row>
    <row r="47089" spans="65:67" ht="18.75" customHeight="1">
      <c r="BM47089" s="1025"/>
      <c r="BO47089" s="43"/>
    </row>
    <row r="47090" spans="65:67" ht="18.75" customHeight="1">
      <c r="BM47090" s="1025"/>
      <c r="BO47090" s="43"/>
    </row>
    <row r="47091" spans="65:67" ht="18.75" customHeight="1">
      <c r="BM47091" s="1025"/>
      <c r="BO47091" s="43"/>
    </row>
    <row r="47092" spans="65:67" ht="18.75" customHeight="1">
      <c r="BM47092" s="1025"/>
      <c r="BO47092" s="43"/>
    </row>
    <row r="47093" spans="65:67" ht="18.75" customHeight="1">
      <c r="BM47093" s="1025"/>
      <c r="BO47093" s="43"/>
    </row>
    <row r="47094" spans="65:67" ht="18.75" customHeight="1">
      <c r="BM47094" s="1025"/>
      <c r="BO47094" s="43"/>
    </row>
    <row r="47095" spans="65:67" ht="18.75" customHeight="1">
      <c r="BM47095" s="1025"/>
      <c r="BO47095" s="43"/>
    </row>
    <row r="47096" spans="65:67" ht="18.75" customHeight="1">
      <c r="BM47096" s="1025"/>
      <c r="BO47096" s="43"/>
    </row>
    <row r="47097" spans="65:67" ht="18.75" customHeight="1">
      <c r="BM47097" s="1025"/>
      <c r="BO47097" s="43"/>
    </row>
    <row r="47098" spans="65:67" ht="18.75" customHeight="1">
      <c r="BM47098" s="1025"/>
      <c r="BO47098" s="43"/>
    </row>
    <row r="47099" spans="65:67" ht="18.75" customHeight="1">
      <c r="BM47099" s="1025"/>
      <c r="BO47099" s="43"/>
    </row>
    <row r="47100" spans="65:67" ht="18.75" customHeight="1">
      <c r="BM47100" s="1025"/>
      <c r="BO47100" s="43"/>
    </row>
    <row r="47101" spans="65:67" ht="18.75" customHeight="1">
      <c r="BM47101" s="1025"/>
      <c r="BO47101" s="43"/>
    </row>
    <row r="47102" spans="65:67" ht="18.75" customHeight="1">
      <c r="BM47102" s="1025"/>
      <c r="BO47102" s="43"/>
    </row>
    <row r="47103" spans="65:67" ht="18.75" customHeight="1">
      <c r="BM47103" s="1025"/>
      <c r="BO47103" s="43"/>
    </row>
    <row r="47104" spans="65:67" ht="18.75" customHeight="1">
      <c r="BM47104" s="1025"/>
      <c r="BO47104" s="43"/>
    </row>
    <row r="47105" spans="65:67" ht="18.75" customHeight="1">
      <c r="BM47105" s="1025"/>
      <c r="BO47105" s="43"/>
    </row>
    <row r="47106" spans="65:67" ht="18.75" customHeight="1">
      <c r="BM47106" s="1025"/>
      <c r="BO47106" s="43"/>
    </row>
    <row r="47107" spans="65:67" ht="18.75" customHeight="1">
      <c r="BM47107" s="1025"/>
      <c r="BO47107" s="43"/>
    </row>
    <row r="47108" spans="65:67" ht="18.75" customHeight="1">
      <c r="BM47108" s="1025"/>
      <c r="BO47108" s="43"/>
    </row>
    <row r="47109" spans="65:67" ht="18.75" customHeight="1">
      <c r="BM47109" s="1025"/>
      <c r="BO47109" s="43"/>
    </row>
    <row r="47110" spans="65:67" ht="18.75" customHeight="1">
      <c r="BM47110" s="1025"/>
      <c r="BO47110" s="43"/>
    </row>
    <row r="47111" spans="65:67" ht="18.75" customHeight="1">
      <c r="BM47111" s="1025"/>
      <c r="BO47111" s="43"/>
    </row>
    <row r="47112" spans="65:67" ht="18.75" customHeight="1">
      <c r="BM47112" s="1025"/>
      <c r="BO47112" s="43"/>
    </row>
    <row r="47113" spans="65:67" ht="18.75" customHeight="1">
      <c r="BM47113" s="1025"/>
      <c r="BO47113" s="43"/>
    </row>
    <row r="47114" spans="65:67" ht="18.75" customHeight="1">
      <c r="BM47114" s="1025"/>
      <c r="BO47114" s="43"/>
    </row>
    <row r="47115" spans="65:67" ht="18.75" customHeight="1">
      <c r="BM47115" s="1025"/>
      <c r="BO47115" s="43"/>
    </row>
    <row r="47116" spans="65:67" ht="18.75" customHeight="1">
      <c r="BM47116" s="1025"/>
      <c r="BO47116" s="43"/>
    </row>
    <row r="47117" spans="65:67" ht="18.75" customHeight="1">
      <c r="BM47117" s="1025"/>
      <c r="BO47117" s="43"/>
    </row>
    <row r="47118" spans="65:67" ht="18.75" customHeight="1">
      <c r="BM47118" s="1025"/>
      <c r="BO47118" s="43"/>
    </row>
    <row r="47119" spans="65:67" ht="18.75" customHeight="1">
      <c r="BM47119" s="1025"/>
      <c r="BO47119" s="43"/>
    </row>
    <row r="47120" spans="65:67" ht="18.75" customHeight="1">
      <c r="BM47120" s="1025"/>
      <c r="BO47120" s="43"/>
    </row>
    <row r="47121" spans="65:67" ht="18.75" customHeight="1">
      <c r="BM47121" s="1025"/>
      <c r="BO47121" s="43"/>
    </row>
    <row r="47122" spans="65:67" ht="18.75" customHeight="1">
      <c r="BM47122" s="1025"/>
      <c r="BO47122" s="43"/>
    </row>
    <row r="47123" spans="65:67" ht="18.75" customHeight="1">
      <c r="BM47123" s="1025"/>
      <c r="BO47123" s="43"/>
    </row>
    <row r="47124" spans="65:67" ht="18.75" customHeight="1">
      <c r="BM47124" s="1025"/>
      <c r="BO47124" s="43"/>
    </row>
    <row r="47125" spans="65:67" ht="18.75" customHeight="1">
      <c r="BM47125" s="1025"/>
      <c r="BO47125" s="43"/>
    </row>
    <row r="47126" spans="65:67" ht="18.75" customHeight="1">
      <c r="BM47126" s="1025"/>
      <c r="BO47126" s="43"/>
    </row>
    <row r="47127" spans="65:67" ht="18.75" customHeight="1">
      <c r="BM47127" s="1025"/>
      <c r="BO47127" s="43"/>
    </row>
    <row r="47128" spans="65:67" ht="18.75" customHeight="1">
      <c r="BM47128" s="1025"/>
      <c r="BO47128" s="43"/>
    </row>
    <row r="47129" spans="65:67" ht="18.75" customHeight="1">
      <c r="BM47129" s="1025"/>
      <c r="BO47129" s="43"/>
    </row>
    <row r="47130" spans="65:67" ht="18.75" customHeight="1">
      <c r="BM47130" s="1025"/>
      <c r="BO47130" s="43"/>
    </row>
    <row r="47131" spans="65:67" ht="18.75" customHeight="1">
      <c r="BM47131" s="1025"/>
      <c r="BO47131" s="43"/>
    </row>
    <row r="47132" spans="65:67" ht="18.75" customHeight="1">
      <c r="BM47132" s="1025"/>
      <c r="BO47132" s="43"/>
    </row>
    <row r="47133" spans="65:67" ht="18.75" customHeight="1">
      <c r="BM47133" s="1025"/>
      <c r="BO47133" s="43"/>
    </row>
    <row r="47134" spans="65:67" ht="18.75" customHeight="1">
      <c r="BM47134" s="1025"/>
      <c r="BO47134" s="43"/>
    </row>
    <row r="47135" spans="65:67" ht="18.75" customHeight="1">
      <c r="BM47135" s="1025"/>
      <c r="BO47135" s="43"/>
    </row>
    <row r="47136" spans="65:67" ht="18.75" customHeight="1">
      <c r="BM47136" s="1025"/>
      <c r="BO47136" s="43"/>
    </row>
    <row r="47137" spans="65:67" ht="18.75" customHeight="1">
      <c r="BM47137" s="1025"/>
      <c r="BO47137" s="43"/>
    </row>
    <row r="47138" spans="65:67" ht="18.75" customHeight="1">
      <c r="BM47138" s="1025"/>
      <c r="BO47138" s="43"/>
    </row>
    <row r="47139" spans="65:67" ht="18.75" customHeight="1">
      <c r="BM47139" s="1025"/>
      <c r="BO47139" s="43"/>
    </row>
    <row r="47140" spans="65:67" ht="18.75" customHeight="1">
      <c r="BM47140" s="1025"/>
      <c r="BO47140" s="43"/>
    </row>
    <row r="47141" spans="65:67" ht="18.75" customHeight="1">
      <c r="BM47141" s="1025"/>
      <c r="BO47141" s="43"/>
    </row>
    <row r="47142" spans="65:67" ht="18.75" customHeight="1">
      <c r="BM47142" s="1025"/>
      <c r="BO47142" s="43"/>
    </row>
    <row r="47143" spans="65:67" ht="18.75" customHeight="1">
      <c r="BM47143" s="1025"/>
      <c r="BO47143" s="43"/>
    </row>
    <row r="47144" spans="65:67" ht="18.75" customHeight="1">
      <c r="BM47144" s="1025"/>
      <c r="BO47144" s="43"/>
    </row>
    <row r="47145" spans="65:67" ht="18.75" customHeight="1">
      <c r="BM47145" s="1025"/>
      <c r="BO47145" s="43"/>
    </row>
    <row r="47146" spans="65:67" ht="18.75" customHeight="1">
      <c r="BM47146" s="1025"/>
      <c r="BO47146" s="43"/>
    </row>
    <row r="47147" spans="65:67" ht="18.75" customHeight="1">
      <c r="BM47147" s="1025"/>
      <c r="BO47147" s="43"/>
    </row>
    <row r="47148" spans="65:67" ht="18.75" customHeight="1">
      <c r="BM47148" s="1025"/>
      <c r="BO47148" s="43"/>
    </row>
    <row r="47149" spans="65:67" ht="18.75" customHeight="1">
      <c r="BM47149" s="1025"/>
      <c r="BO47149" s="43"/>
    </row>
    <row r="47150" spans="65:67" ht="18.75" customHeight="1">
      <c r="BM47150" s="1025"/>
      <c r="BO47150" s="43"/>
    </row>
    <row r="47151" spans="65:67" ht="18.75" customHeight="1">
      <c r="BM47151" s="1025"/>
      <c r="BO47151" s="43"/>
    </row>
    <row r="47152" spans="65:67" ht="18.75" customHeight="1">
      <c r="BM47152" s="1025"/>
      <c r="BO47152" s="43"/>
    </row>
    <row r="47153" spans="65:67" ht="18.75" customHeight="1">
      <c r="BM47153" s="1025"/>
      <c r="BO47153" s="43"/>
    </row>
    <row r="47154" spans="65:67" ht="18.75" customHeight="1">
      <c r="BM47154" s="1025"/>
      <c r="BO47154" s="43"/>
    </row>
    <row r="47155" spans="65:67" ht="18.75" customHeight="1">
      <c r="BM47155" s="1025"/>
      <c r="BO47155" s="43"/>
    </row>
    <row r="47156" spans="65:67" ht="18.75" customHeight="1">
      <c r="BM47156" s="1025"/>
      <c r="BO47156" s="43"/>
    </row>
    <row r="47157" spans="65:67" ht="18.75" customHeight="1">
      <c r="BM47157" s="1025"/>
      <c r="BO47157" s="43"/>
    </row>
    <row r="47158" spans="65:67" ht="18.75" customHeight="1">
      <c r="BM47158" s="1025"/>
      <c r="BO47158" s="43"/>
    </row>
    <row r="47159" spans="65:67" ht="18.75" customHeight="1">
      <c r="BM47159" s="1025"/>
      <c r="BO47159" s="43"/>
    </row>
    <row r="47160" spans="65:67" ht="18.75" customHeight="1">
      <c r="BM47160" s="1025"/>
      <c r="BO47160" s="43"/>
    </row>
    <row r="47161" spans="65:67" ht="18.75" customHeight="1">
      <c r="BM47161" s="1025"/>
      <c r="BO47161" s="43"/>
    </row>
    <row r="47162" spans="65:67" ht="18.75" customHeight="1">
      <c r="BM47162" s="1025"/>
      <c r="BO47162" s="43"/>
    </row>
    <row r="47163" spans="65:67" ht="18.75" customHeight="1">
      <c r="BM47163" s="1025"/>
      <c r="BO47163" s="43"/>
    </row>
    <row r="47164" spans="65:67" ht="18.75" customHeight="1">
      <c r="BM47164" s="1025"/>
      <c r="BO47164" s="43"/>
    </row>
    <row r="47165" spans="65:67" ht="18.75" customHeight="1">
      <c r="BM47165" s="1025"/>
      <c r="BO47165" s="43"/>
    </row>
    <row r="47166" spans="65:67" ht="18.75" customHeight="1">
      <c r="BM47166" s="1025"/>
      <c r="BO47166" s="43"/>
    </row>
    <row r="47167" spans="65:67" ht="18.75" customHeight="1">
      <c r="BM47167" s="1025"/>
      <c r="BO47167" s="43"/>
    </row>
    <row r="47168" spans="65:67" ht="18.75" customHeight="1">
      <c r="BM47168" s="1025"/>
      <c r="BO47168" s="43"/>
    </row>
    <row r="47169" spans="65:67" ht="18.75" customHeight="1">
      <c r="BM47169" s="1025"/>
      <c r="BO47169" s="43"/>
    </row>
    <row r="47170" spans="65:67" ht="18.75" customHeight="1">
      <c r="BM47170" s="1025"/>
      <c r="BO47170" s="43"/>
    </row>
    <row r="47171" spans="65:67" ht="18.75" customHeight="1">
      <c r="BM47171" s="1025"/>
      <c r="BO47171" s="43"/>
    </row>
    <row r="47172" spans="65:67" ht="18.75" customHeight="1">
      <c r="BM47172" s="1025"/>
      <c r="BO47172" s="43"/>
    </row>
    <row r="47173" spans="65:67" ht="18.75" customHeight="1">
      <c r="BM47173" s="1025"/>
      <c r="BO47173" s="43"/>
    </row>
    <row r="47174" spans="65:67" ht="18.75" customHeight="1">
      <c r="BM47174" s="1025"/>
      <c r="BO47174" s="43"/>
    </row>
    <row r="47175" spans="65:67" ht="18.75" customHeight="1">
      <c r="BM47175" s="1025"/>
      <c r="BO47175" s="43"/>
    </row>
    <row r="47176" spans="65:67" ht="18.75" customHeight="1">
      <c r="BM47176" s="1025"/>
      <c r="BO47176" s="43"/>
    </row>
    <row r="47177" spans="65:67" ht="18.75" customHeight="1">
      <c r="BM47177" s="1025"/>
      <c r="BO47177" s="43"/>
    </row>
    <row r="47178" spans="65:67" ht="18.75" customHeight="1">
      <c r="BM47178" s="1025"/>
      <c r="BO47178" s="43"/>
    </row>
    <row r="47179" spans="65:67" ht="18.75" customHeight="1">
      <c r="BM47179" s="1025"/>
      <c r="BO47179" s="43"/>
    </row>
    <row r="47180" spans="65:67" ht="18.75" customHeight="1">
      <c r="BM47180" s="1025"/>
      <c r="BO47180" s="43"/>
    </row>
    <row r="47181" spans="65:67" ht="18.75" customHeight="1">
      <c r="BM47181" s="1025"/>
      <c r="BO47181" s="43"/>
    </row>
    <row r="47182" spans="65:67" ht="18.75" customHeight="1">
      <c r="BM47182" s="1025"/>
      <c r="BO47182" s="43"/>
    </row>
    <row r="47183" spans="65:67" ht="18.75" customHeight="1">
      <c r="BM47183" s="1025"/>
      <c r="BO47183" s="43"/>
    </row>
    <row r="47184" spans="65:67" ht="18.75" customHeight="1">
      <c r="BM47184" s="1025"/>
      <c r="BO47184" s="43"/>
    </row>
    <row r="47185" spans="65:67" ht="18.75" customHeight="1">
      <c r="BM47185" s="1025"/>
      <c r="BO47185" s="43"/>
    </row>
    <row r="47186" spans="65:67" ht="18.75" customHeight="1">
      <c r="BM47186" s="1025"/>
      <c r="BO47186" s="43"/>
    </row>
    <row r="47187" spans="65:67" ht="18.75" customHeight="1">
      <c r="BM47187" s="1025"/>
      <c r="BO47187" s="43"/>
    </row>
    <row r="47188" spans="65:67" ht="18.75" customHeight="1">
      <c r="BM47188" s="1025"/>
      <c r="BO47188" s="43"/>
    </row>
    <row r="47189" spans="65:67" ht="18.75" customHeight="1">
      <c r="BM47189" s="1025"/>
      <c r="BO47189" s="43"/>
    </row>
    <row r="47190" spans="65:67" ht="18.75" customHeight="1">
      <c r="BM47190" s="1025"/>
      <c r="BO47190" s="43"/>
    </row>
    <row r="47191" spans="65:67" ht="18.75" customHeight="1">
      <c r="BM47191" s="1025"/>
      <c r="BO47191" s="43"/>
    </row>
    <row r="47192" spans="65:67" ht="18.75" customHeight="1">
      <c r="BM47192" s="1025"/>
      <c r="BO47192" s="43"/>
    </row>
    <row r="47193" spans="65:67" ht="18.75" customHeight="1">
      <c r="BM47193" s="1025"/>
      <c r="BO47193" s="43"/>
    </row>
    <row r="47194" spans="65:67" ht="18.75" customHeight="1">
      <c r="BM47194" s="1025"/>
      <c r="BO47194" s="43"/>
    </row>
    <row r="47195" spans="65:67" ht="18.75" customHeight="1">
      <c r="BM47195" s="1025"/>
      <c r="BO47195" s="43"/>
    </row>
    <row r="47196" spans="65:67" ht="18.75" customHeight="1">
      <c r="BM47196" s="1025"/>
      <c r="BO47196" s="43"/>
    </row>
    <row r="47197" spans="65:67" ht="18.75" customHeight="1">
      <c r="BM47197" s="1025"/>
      <c r="BO47197" s="43"/>
    </row>
    <row r="47198" spans="65:67" ht="18.75" customHeight="1">
      <c r="BM47198" s="1025"/>
      <c r="BO47198" s="43"/>
    </row>
    <row r="47199" spans="65:67" ht="18.75" customHeight="1">
      <c r="BM47199" s="1025"/>
      <c r="BO47199" s="43"/>
    </row>
    <row r="47200" spans="65:67" ht="18.75" customHeight="1">
      <c r="BM47200" s="1025"/>
      <c r="BO47200" s="43"/>
    </row>
    <row r="47201" spans="65:67" ht="18.75" customHeight="1">
      <c r="BM47201" s="1025"/>
      <c r="BO47201" s="43"/>
    </row>
    <row r="47202" spans="65:67" ht="18.75" customHeight="1">
      <c r="BM47202" s="1025"/>
      <c r="BO47202" s="43"/>
    </row>
    <row r="47203" spans="65:67" ht="18.75" customHeight="1">
      <c r="BM47203" s="1025"/>
      <c r="BO47203" s="43"/>
    </row>
    <row r="47204" spans="65:67" ht="18.75" customHeight="1">
      <c r="BM47204" s="1025"/>
      <c r="BO47204" s="43"/>
    </row>
    <row r="47205" spans="65:67" ht="18.75" customHeight="1">
      <c r="BM47205" s="1025"/>
      <c r="BO47205" s="43"/>
    </row>
    <row r="47206" spans="65:67" ht="18.75" customHeight="1">
      <c r="BM47206" s="1025"/>
      <c r="BO47206" s="43"/>
    </row>
    <row r="47207" spans="65:67" ht="18.75" customHeight="1">
      <c r="BM47207" s="1025"/>
      <c r="BO47207" s="43"/>
    </row>
    <row r="47208" spans="65:67" ht="18.75" customHeight="1">
      <c r="BM47208" s="1025"/>
      <c r="BO47208" s="43"/>
    </row>
    <row r="47209" spans="65:67" ht="18.75" customHeight="1">
      <c r="BM47209" s="1025"/>
      <c r="BO47209" s="43"/>
    </row>
    <row r="47210" spans="65:67" ht="18.75" customHeight="1">
      <c r="BM47210" s="1025"/>
      <c r="BO47210" s="43"/>
    </row>
    <row r="47211" spans="65:67" ht="18.75" customHeight="1">
      <c r="BM47211" s="1025"/>
      <c r="BO47211" s="43"/>
    </row>
    <row r="47212" spans="65:67" ht="18.75" customHeight="1">
      <c r="BM47212" s="1025"/>
      <c r="BO47212" s="43"/>
    </row>
    <row r="47213" spans="65:67" ht="18.75" customHeight="1">
      <c r="BM47213" s="1025"/>
      <c r="BO47213" s="43"/>
    </row>
    <row r="47214" spans="65:67" ht="18.75" customHeight="1">
      <c r="BM47214" s="1025"/>
      <c r="BO47214" s="43"/>
    </row>
    <row r="47215" spans="65:67" ht="18.75" customHeight="1">
      <c r="BM47215" s="1025"/>
      <c r="BO47215" s="43"/>
    </row>
    <row r="47216" spans="65:67" ht="18.75" customHeight="1">
      <c r="BM47216" s="1025"/>
      <c r="BO47216" s="43"/>
    </row>
    <row r="47217" spans="65:67" ht="18.75" customHeight="1">
      <c r="BM47217" s="1025"/>
      <c r="BO47217" s="43"/>
    </row>
    <row r="47218" spans="65:67" ht="18.75" customHeight="1">
      <c r="BM47218" s="1025"/>
      <c r="BO47218" s="43"/>
    </row>
    <row r="47219" spans="65:67" ht="18.75" customHeight="1">
      <c r="BM47219" s="1025"/>
      <c r="BO47219" s="43"/>
    </row>
    <row r="47220" spans="65:67" ht="18.75" customHeight="1">
      <c r="BM47220" s="1025"/>
      <c r="BO47220" s="43"/>
    </row>
    <row r="47221" spans="65:67" ht="18.75" customHeight="1">
      <c r="BM47221" s="1025"/>
      <c r="BO47221" s="43"/>
    </row>
    <row r="47222" spans="65:67" ht="18.75" customHeight="1">
      <c r="BM47222" s="1025"/>
      <c r="BO47222" s="43"/>
    </row>
    <row r="47223" spans="65:67" ht="18.75" customHeight="1">
      <c r="BM47223" s="1025"/>
      <c r="BO47223" s="43"/>
    </row>
    <row r="47224" spans="65:67" ht="18.75" customHeight="1">
      <c r="BM47224" s="1025"/>
      <c r="BO47224" s="43"/>
    </row>
    <row r="47225" spans="65:67" ht="18.75" customHeight="1">
      <c r="BM47225" s="1025"/>
      <c r="BO47225" s="43"/>
    </row>
    <row r="47226" spans="65:67" ht="18.75" customHeight="1">
      <c r="BM47226" s="1025"/>
      <c r="BO47226" s="43"/>
    </row>
    <row r="47227" spans="65:67" ht="18.75" customHeight="1">
      <c r="BM47227" s="1025"/>
      <c r="BO47227" s="43"/>
    </row>
    <row r="47228" spans="65:67" ht="18.75" customHeight="1">
      <c r="BM47228" s="1025"/>
      <c r="BO47228" s="43"/>
    </row>
    <row r="47229" spans="65:67" ht="18.75" customHeight="1">
      <c r="BM47229" s="1025"/>
      <c r="BO47229" s="43"/>
    </row>
    <row r="47230" spans="65:67" ht="18.75" customHeight="1">
      <c r="BM47230" s="1025"/>
      <c r="BO47230" s="43"/>
    </row>
    <row r="47231" spans="65:67" ht="18.75" customHeight="1">
      <c r="BM47231" s="1025"/>
      <c r="BO47231" s="43"/>
    </row>
    <row r="47232" spans="65:67" ht="18.75" customHeight="1">
      <c r="BM47232" s="1025"/>
      <c r="BO47232" s="43"/>
    </row>
    <row r="47233" spans="65:67" ht="18.75" customHeight="1">
      <c r="BM47233" s="1025"/>
      <c r="BO47233" s="43"/>
    </row>
    <row r="47234" spans="65:67" ht="18.75" customHeight="1">
      <c r="BM47234" s="1025"/>
      <c r="BO47234" s="43"/>
    </row>
    <row r="47235" spans="65:67" ht="18.75" customHeight="1">
      <c r="BM47235" s="1025"/>
      <c r="BO47235" s="43"/>
    </row>
    <row r="47236" spans="65:67" ht="18.75" customHeight="1">
      <c r="BM47236" s="1025"/>
      <c r="BO47236" s="43"/>
    </row>
    <row r="47237" spans="65:67" ht="18.75" customHeight="1">
      <c r="BM47237" s="1025"/>
      <c r="BO47237" s="43"/>
    </row>
    <row r="47238" spans="65:67" ht="18.75" customHeight="1">
      <c r="BM47238" s="1025"/>
      <c r="BO47238" s="43"/>
    </row>
    <row r="47239" spans="65:67" ht="18.75" customHeight="1">
      <c r="BM47239" s="1025"/>
      <c r="BO47239" s="43"/>
    </row>
    <row r="47240" spans="65:67" ht="18.75" customHeight="1">
      <c r="BM47240" s="1025"/>
      <c r="BO47240" s="43"/>
    </row>
    <row r="47241" spans="65:67" ht="18.75" customHeight="1">
      <c r="BM47241" s="1025"/>
      <c r="BO47241" s="43"/>
    </row>
    <row r="47242" spans="65:67" ht="18.75" customHeight="1">
      <c r="BM47242" s="1025"/>
      <c r="BO47242" s="43"/>
    </row>
    <row r="47243" spans="65:67" ht="18.75" customHeight="1">
      <c r="BM47243" s="1025"/>
      <c r="BO47243" s="43"/>
    </row>
    <row r="47244" spans="65:67" ht="18.75" customHeight="1">
      <c r="BM47244" s="1025"/>
      <c r="BO47244" s="43"/>
    </row>
    <row r="47245" spans="65:67" ht="18.75" customHeight="1">
      <c r="BM47245" s="1025"/>
      <c r="BO47245" s="43"/>
    </row>
    <row r="47246" spans="65:67" ht="18.75" customHeight="1">
      <c r="BM47246" s="1025"/>
      <c r="BO47246" s="43"/>
    </row>
    <row r="47247" spans="65:67" ht="18.75" customHeight="1">
      <c r="BM47247" s="1025"/>
      <c r="BO47247" s="43"/>
    </row>
    <row r="47248" spans="65:67" ht="18.75" customHeight="1">
      <c r="BM47248" s="1025"/>
      <c r="BO47248" s="43"/>
    </row>
    <row r="47249" spans="65:67" ht="18.75" customHeight="1">
      <c r="BM47249" s="1025"/>
      <c r="BO47249" s="43"/>
    </row>
    <row r="47250" spans="65:67" ht="18.75" customHeight="1">
      <c r="BM47250" s="1025"/>
      <c r="BO47250" s="43"/>
    </row>
    <row r="47251" spans="65:67" ht="18.75" customHeight="1">
      <c r="BM47251" s="1025"/>
      <c r="BO47251" s="43"/>
    </row>
    <row r="47252" spans="65:67" ht="18.75" customHeight="1">
      <c r="BM47252" s="1025"/>
      <c r="BO47252" s="43"/>
    </row>
    <row r="47253" spans="65:67" ht="18.75" customHeight="1">
      <c r="BM47253" s="1025"/>
      <c r="BO47253" s="43"/>
    </row>
    <row r="47254" spans="65:67" ht="18.75" customHeight="1">
      <c r="BM47254" s="1025"/>
      <c r="BO47254" s="43"/>
    </row>
    <row r="47255" spans="65:67" ht="18.75" customHeight="1">
      <c r="BM47255" s="1025"/>
      <c r="BO47255" s="43"/>
    </row>
    <row r="47256" spans="65:67" ht="18.75" customHeight="1">
      <c r="BM47256" s="1025"/>
      <c r="BO47256" s="43"/>
    </row>
    <row r="47257" spans="65:67" ht="18.75" customHeight="1">
      <c r="BM47257" s="1025"/>
      <c r="BO47257" s="43"/>
    </row>
    <row r="47258" spans="65:67" ht="18.75" customHeight="1">
      <c r="BM47258" s="1025"/>
      <c r="BO47258" s="43"/>
    </row>
    <row r="47259" spans="65:67" ht="18.75" customHeight="1">
      <c r="BM47259" s="1025"/>
      <c r="BO47259" s="43"/>
    </row>
    <row r="47260" spans="65:67" ht="18.75" customHeight="1">
      <c r="BM47260" s="1025"/>
      <c r="BO47260" s="43"/>
    </row>
    <row r="47261" spans="65:67" ht="18.75" customHeight="1">
      <c r="BM47261" s="1025"/>
      <c r="BO47261" s="43"/>
    </row>
    <row r="47262" spans="65:67" ht="18.75" customHeight="1">
      <c r="BM47262" s="1025"/>
      <c r="BO47262" s="43"/>
    </row>
    <row r="47263" spans="65:67" ht="18.75" customHeight="1">
      <c r="BM47263" s="1025"/>
      <c r="BO47263" s="43"/>
    </row>
    <row r="47264" spans="65:67" ht="18.75" customHeight="1">
      <c r="BM47264" s="1025"/>
      <c r="BO47264" s="43"/>
    </row>
    <row r="47265" spans="65:67" ht="18.75" customHeight="1">
      <c r="BM47265" s="1025"/>
      <c r="BO47265" s="43"/>
    </row>
    <row r="47266" spans="65:67" ht="18.75" customHeight="1">
      <c r="BM47266" s="1025"/>
      <c r="BO47266" s="43"/>
    </row>
    <row r="47267" spans="65:67" ht="18.75" customHeight="1">
      <c r="BM47267" s="1025"/>
      <c r="BO47267" s="43"/>
    </row>
    <row r="47268" spans="65:67" ht="18.75" customHeight="1">
      <c r="BM47268" s="1025"/>
      <c r="BO47268" s="43"/>
    </row>
    <row r="47269" spans="65:67" ht="18.75" customHeight="1">
      <c r="BM47269" s="1025"/>
      <c r="BO47269" s="43"/>
    </row>
    <row r="47270" spans="65:67" ht="18.75" customHeight="1">
      <c r="BM47270" s="1025"/>
      <c r="BO47270" s="43"/>
    </row>
    <row r="47271" spans="65:67" ht="18.75" customHeight="1">
      <c r="BM47271" s="1025"/>
      <c r="BO47271" s="43"/>
    </row>
    <row r="47272" spans="65:67" ht="18.75" customHeight="1">
      <c r="BM47272" s="1025"/>
      <c r="BO47272" s="43"/>
    </row>
    <row r="47273" spans="65:67" ht="18.75" customHeight="1">
      <c r="BM47273" s="1025"/>
      <c r="BO47273" s="43"/>
    </row>
    <row r="47274" spans="65:67" ht="18.75" customHeight="1">
      <c r="BM47274" s="1025"/>
      <c r="BO47274" s="43"/>
    </row>
    <row r="47275" spans="65:67" ht="18.75" customHeight="1">
      <c r="BM47275" s="1025"/>
      <c r="BO47275" s="43"/>
    </row>
    <row r="47276" spans="65:67" ht="18.75" customHeight="1">
      <c r="BM47276" s="1025"/>
      <c r="BO47276" s="43"/>
    </row>
    <row r="47277" spans="65:67" ht="18.75" customHeight="1">
      <c r="BM47277" s="1025"/>
      <c r="BO47277" s="43"/>
    </row>
    <row r="47278" spans="65:67" ht="18.75" customHeight="1">
      <c r="BM47278" s="1025"/>
      <c r="BO47278" s="43"/>
    </row>
    <row r="47279" spans="65:67" ht="18.75" customHeight="1">
      <c r="BM47279" s="1025"/>
      <c r="BO47279" s="43"/>
    </row>
    <row r="47280" spans="65:67" ht="18.75" customHeight="1">
      <c r="BM47280" s="1025"/>
      <c r="BO47280" s="43"/>
    </row>
    <row r="47281" spans="65:67" ht="18.75" customHeight="1">
      <c r="BM47281" s="1025"/>
      <c r="BO47281" s="43"/>
    </row>
    <row r="47282" spans="65:67" ht="18.75" customHeight="1">
      <c r="BM47282" s="1025"/>
      <c r="BO47282" s="43"/>
    </row>
    <row r="47283" spans="65:67" ht="18.75" customHeight="1">
      <c r="BM47283" s="1025"/>
      <c r="BO47283" s="43"/>
    </row>
    <row r="47284" spans="65:67" ht="18.75" customHeight="1">
      <c r="BM47284" s="1025"/>
      <c r="BO47284" s="43"/>
    </row>
    <row r="47285" spans="65:67" ht="18.75" customHeight="1">
      <c r="BM47285" s="1025"/>
      <c r="BO47285" s="43"/>
    </row>
    <row r="47286" spans="65:67" ht="18.75" customHeight="1">
      <c r="BM47286" s="1025"/>
      <c r="BO47286" s="43"/>
    </row>
    <row r="47287" spans="65:67" ht="18.75" customHeight="1">
      <c r="BM47287" s="1025"/>
      <c r="BO47287" s="43"/>
    </row>
    <row r="47288" spans="65:67" ht="18.75" customHeight="1">
      <c r="BM47288" s="1025"/>
      <c r="BO47288" s="43"/>
    </row>
    <row r="47289" spans="65:67" ht="18.75" customHeight="1">
      <c r="BM47289" s="1025"/>
      <c r="BO47289" s="43"/>
    </row>
    <row r="47290" spans="65:67" ht="18.75" customHeight="1">
      <c r="BM47290" s="1025"/>
      <c r="BO47290" s="43"/>
    </row>
    <row r="47291" spans="65:67" ht="18.75" customHeight="1">
      <c r="BM47291" s="1025"/>
      <c r="BO47291" s="43"/>
    </row>
    <row r="47292" spans="65:67" ht="18.75" customHeight="1">
      <c r="BM47292" s="1025"/>
      <c r="BO47292" s="43"/>
    </row>
    <row r="47293" spans="65:67" ht="18.75" customHeight="1">
      <c r="BM47293" s="1025"/>
      <c r="BO47293" s="43"/>
    </row>
    <row r="47294" spans="65:67" ht="18.75" customHeight="1">
      <c r="BM47294" s="1025"/>
      <c r="BO47294" s="43"/>
    </row>
    <row r="47295" spans="65:67" ht="18.75" customHeight="1">
      <c r="BM47295" s="1025"/>
      <c r="BO47295" s="43"/>
    </row>
    <row r="47296" spans="65:67" ht="18.75" customHeight="1">
      <c r="BM47296" s="1025"/>
      <c r="BO47296" s="43"/>
    </row>
    <row r="47297" spans="65:67" ht="18.75" customHeight="1">
      <c r="BM47297" s="1025"/>
      <c r="BO47297" s="43"/>
    </row>
    <row r="47298" spans="65:67" ht="18.75" customHeight="1">
      <c r="BM47298" s="1025"/>
      <c r="BO47298" s="43"/>
    </row>
    <row r="47299" spans="65:67" ht="18.75" customHeight="1">
      <c r="BM47299" s="1025"/>
      <c r="BO47299" s="43"/>
    </row>
    <row r="47300" spans="65:67" ht="18.75" customHeight="1">
      <c r="BM47300" s="1025"/>
      <c r="BO47300" s="43"/>
    </row>
    <row r="47301" spans="65:67" ht="18.75" customHeight="1">
      <c r="BM47301" s="1025"/>
      <c r="BO47301" s="43"/>
    </row>
    <row r="47302" spans="65:67" ht="18.75" customHeight="1">
      <c r="BM47302" s="1025"/>
      <c r="BO47302" s="43"/>
    </row>
    <row r="47303" spans="65:67" ht="18.75" customHeight="1">
      <c r="BM47303" s="1025"/>
      <c r="BO47303" s="43"/>
    </row>
    <row r="47304" spans="65:67" ht="18.75" customHeight="1">
      <c r="BM47304" s="1025"/>
      <c r="BO47304" s="43"/>
    </row>
    <row r="47305" spans="65:67" ht="18.75" customHeight="1">
      <c r="BM47305" s="1025"/>
      <c r="BO47305" s="43"/>
    </row>
    <row r="47306" spans="65:67" ht="18.75" customHeight="1">
      <c r="BM47306" s="1025"/>
      <c r="BO47306" s="43"/>
    </row>
    <row r="47307" spans="65:67" ht="18.75" customHeight="1">
      <c r="BM47307" s="1025"/>
      <c r="BO47307" s="43"/>
    </row>
    <row r="47308" spans="65:67" ht="18.75" customHeight="1">
      <c r="BM47308" s="1025"/>
      <c r="BO47308" s="43"/>
    </row>
    <row r="47309" spans="65:67" ht="18.75" customHeight="1">
      <c r="BM47309" s="1025"/>
      <c r="BO47309" s="43"/>
    </row>
    <row r="47310" spans="65:67" ht="18.75" customHeight="1">
      <c r="BM47310" s="1025"/>
      <c r="BO47310" s="43"/>
    </row>
    <row r="47311" spans="65:67" ht="18.75" customHeight="1">
      <c r="BM47311" s="1025"/>
      <c r="BO47311" s="43"/>
    </row>
    <row r="47312" spans="65:67" ht="18.75" customHeight="1">
      <c r="BM47312" s="1025"/>
      <c r="BO47312" s="43"/>
    </row>
    <row r="47313" spans="65:67" ht="18.75" customHeight="1">
      <c r="BM47313" s="1025"/>
      <c r="BO47313" s="43"/>
    </row>
    <row r="47314" spans="65:67" ht="18.75" customHeight="1">
      <c r="BM47314" s="1025"/>
      <c r="BO47314" s="43"/>
    </row>
    <row r="47315" spans="65:67" ht="18.75" customHeight="1">
      <c r="BM47315" s="1025"/>
      <c r="BO47315" s="43"/>
    </row>
    <row r="47316" spans="65:67" ht="18.75" customHeight="1">
      <c r="BM47316" s="1025"/>
      <c r="BO47316" s="43"/>
    </row>
    <row r="47317" spans="65:67" ht="18.75" customHeight="1">
      <c r="BM47317" s="1025"/>
      <c r="BO47317" s="43"/>
    </row>
    <row r="47318" spans="65:67" ht="18.75" customHeight="1">
      <c r="BM47318" s="1025"/>
      <c r="BO47318" s="43"/>
    </row>
    <row r="47319" spans="65:67" ht="18.75" customHeight="1">
      <c r="BM47319" s="1025"/>
      <c r="BO47319" s="43"/>
    </row>
    <row r="47320" spans="65:67" ht="18.75" customHeight="1">
      <c r="BM47320" s="1025"/>
      <c r="BO47320" s="43"/>
    </row>
    <row r="47321" spans="65:67" ht="18.75" customHeight="1">
      <c r="BM47321" s="1025"/>
      <c r="BO47321" s="43"/>
    </row>
    <row r="47322" spans="65:67" ht="18.75" customHeight="1">
      <c r="BM47322" s="1025"/>
      <c r="BO47322" s="43"/>
    </row>
    <row r="47323" spans="65:67" ht="18.75" customHeight="1">
      <c r="BM47323" s="1025"/>
      <c r="BO47323" s="43"/>
    </row>
    <row r="47324" spans="65:67" ht="18.75" customHeight="1">
      <c r="BM47324" s="1025"/>
      <c r="BO47324" s="43"/>
    </row>
    <row r="47325" spans="65:67" ht="18.75" customHeight="1">
      <c r="BM47325" s="1025"/>
      <c r="BO47325" s="43"/>
    </row>
    <row r="47326" spans="65:67" ht="18.75" customHeight="1">
      <c r="BM47326" s="1025"/>
      <c r="BO47326" s="43"/>
    </row>
    <row r="47327" spans="65:67" ht="18.75" customHeight="1">
      <c r="BM47327" s="1025"/>
      <c r="BO47327" s="43"/>
    </row>
    <row r="47328" spans="65:67" ht="18.75" customHeight="1">
      <c r="BM47328" s="1025"/>
      <c r="BO47328" s="43"/>
    </row>
    <row r="47329" spans="65:67" ht="18.75" customHeight="1">
      <c r="BM47329" s="1025"/>
      <c r="BO47329" s="43"/>
    </row>
    <row r="47330" spans="65:67" ht="18.75" customHeight="1">
      <c r="BM47330" s="1025"/>
      <c r="BO47330" s="43"/>
    </row>
    <row r="47331" spans="65:67" ht="18.75" customHeight="1">
      <c r="BM47331" s="1025"/>
      <c r="BO47331" s="43"/>
    </row>
    <row r="47332" spans="65:67" ht="18.75" customHeight="1">
      <c r="BM47332" s="1025"/>
      <c r="BO47332" s="43"/>
    </row>
    <row r="47333" spans="65:67" ht="18.75" customHeight="1">
      <c r="BM47333" s="1025"/>
      <c r="BO47333" s="43"/>
    </row>
    <row r="47334" spans="65:67" ht="18.75" customHeight="1">
      <c r="BM47334" s="1025"/>
      <c r="BO47334" s="43"/>
    </row>
    <row r="47335" spans="65:67" ht="18.75" customHeight="1">
      <c r="BM47335" s="1025"/>
      <c r="BO47335" s="43"/>
    </row>
    <row r="47336" spans="65:67" ht="18.75" customHeight="1">
      <c r="BM47336" s="1025"/>
      <c r="BO47336" s="43"/>
    </row>
    <row r="47337" spans="65:67" ht="18.75" customHeight="1">
      <c r="BM47337" s="1025"/>
      <c r="BO47337" s="43"/>
    </row>
    <row r="47338" spans="65:67" ht="18.75" customHeight="1">
      <c r="BM47338" s="1025"/>
      <c r="BO47338" s="43"/>
    </row>
    <row r="47339" spans="65:67" ht="18.75" customHeight="1">
      <c r="BM47339" s="1025"/>
      <c r="BO47339" s="43"/>
    </row>
    <row r="47340" spans="65:67" ht="18.75" customHeight="1">
      <c r="BM47340" s="1025"/>
      <c r="BO47340" s="43"/>
    </row>
    <row r="47341" spans="65:67" ht="18.75" customHeight="1">
      <c r="BM47341" s="1025"/>
      <c r="BO47341" s="43"/>
    </row>
    <row r="47342" spans="65:67" ht="18.75" customHeight="1">
      <c r="BM47342" s="1025"/>
      <c r="BO47342" s="43"/>
    </row>
    <row r="47343" spans="65:67" ht="18.75" customHeight="1">
      <c r="BM47343" s="1025"/>
      <c r="BO47343" s="43"/>
    </row>
    <row r="47344" spans="65:67" ht="18.75" customHeight="1">
      <c r="BM47344" s="1025"/>
      <c r="BO47344" s="43"/>
    </row>
    <row r="47345" spans="65:67" ht="18.75" customHeight="1">
      <c r="BM47345" s="1025"/>
      <c r="BO47345" s="43"/>
    </row>
    <row r="47346" spans="65:67" ht="18.75" customHeight="1">
      <c r="BM47346" s="1025"/>
      <c r="BO47346" s="43"/>
    </row>
    <row r="47347" spans="65:67" ht="18.75" customHeight="1">
      <c r="BM47347" s="1025"/>
      <c r="BO47347" s="43"/>
    </row>
    <row r="47348" spans="65:67" ht="18.75" customHeight="1">
      <c r="BM47348" s="1025"/>
      <c r="BO47348" s="43"/>
    </row>
    <row r="47349" spans="65:67" ht="18.75" customHeight="1">
      <c r="BM47349" s="1025"/>
      <c r="BO47349" s="43"/>
    </row>
    <row r="47350" spans="65:67" ht="18.75" customHeight="1">
      <c r="BM47350" s="1025"/>
      <c r="BO47350" s="43"/>
    </row>
    <row r="47351" spans="65:67" ht="18.75" customHeight="1">
      <c r="BM47351" s="1025"/>
      <c r="BO47351" s="43"/>
    </row>
    <row r="47352" spans="65:67" ht="18.75" customHeight="1">
      <c r="BM47352" s="1025"/>
      <c r="BO47352" s="43"/>
    </row>
    <row r="47353" spans="65:67" ht="18.75" customHeight="1">
      <c r="BM47353" s="1025"/>
      <c r="BO47353" s="43"/>
    </row>
    <row r="47354" spans="65:67" ht="18.75" customHeight="1">
      <c r="BM47354" s="1025"/>
      <c r="BO47354" s="43"/>
    </row>
    <row r="47355" spans="65:67" ht="18.75" customHeight="1">
      <c r="BM47355" s="1025"/>
      <c r="BO47355" s="43"/>
    </row>
    <row r="47356" spans="65:67" ht="18.75" customHeight="1">
      <c r="BM47356" s="1025"/>
      <c r="BO47356" s="43"/>
    </row>
    <row r="47357" spans="65:67" ht="18.75" customHeight="1">
      <c r="BM47357" s="1025"/>
      <c r="BO47357" s="43"/>
    </row>
    <row r="47358" spans="65:67" ht="18.75" customHeight="1">
      <c r="BM47358" s="1025"/>
      <c r="BO47358" s="43"/>
    </row>
    <row r="47359" spans="65:67" ht="18.75" customHeight="1">
      <c r="BM47359" s="1025"/>
      <c r="BO47359" s="43"/>
    </row>
    <row r="47360" spans="65:67" ht="18.75" customHeight="1">
      <c r="BM47360" s="1025"/>
      <c r="BO47360" s="43"/>
    </row>
    <row r="47361" spans="65:67" ht="18.75" customHeight="1">
      <c r="BM47361" s="1025"/>
      <c r="BO47361" s="43"/>
    </row>
    <row r="47362" spans="65:67" ht="18.75" customHeight="1">
      <c r="BM47362" s="1025"/>
      <c r="BO47362" s="43"/>
    </row>
    <row r="47363" spans="65:67" ht="18.75" customHeight="1">
      <c r="BM47363" s="1025"/>
      <c r="BO47363" s="43"/>
    </row>
    <row r="47364" spans="65:67" ht="18.75" customHeight="1">
      <c r="BM47364" s="1025"/>
      <c r="BO47364" s="43"/>
    </row>
    <row r="47365" spans="65:67" ht="18.75" customHeight="1">
      <c r="BM47365" s="1025"/>
      <c r="BO47365" s="43"/>
    </row>
    <row r="47366" spans="65:67" ht="18.75" customHeight="1">
      <c r="BM47366" s="1025"/>
      <c r="BO47366" s="43"/>
    </row>
    <row r="47367" spans="65:67" ht="18.75" customHeight="1">
      <c r="BM47367" s="1025"/>
      <c r="BO47367" s="43"/>
    </row>
    <row r="47368" spans="65:67" ht="18.75" customHeight="1">
      <c r="BM47368" s="1025"/>
      <c r="BO47368" s="43"/>
    </row>
    <row r="47369" spans="65:67" ht="18.75" customHeight="1">
      <c r="BM47369" s="1025"/>
      <c r="BO47369" s="43"/>
    </row>
    <row r="47370" spans="65:67" ht="18.75" customHeight="1">
      <c r="BM47370" s="1025"/>
      <c r="BO47370" s="43"/>
    </row>
    <row r="47371" spans="65:67" ht="18.75" customHeight="1">
      <c r="BM47371" s="1025"/>
      <c r="BO47371" s="43"/>
    </row>
    <row r="47372" spans="65:67" ht="18.75" customHeight="1">
      <c r="BM47372" s="1025"/>
      <c r="BO47372" s="43"/>
    </row>
    <row r="47373" spans="65:67" ht="18.75" customHeight="1">
      <c r="BM47373" s="1025"/>
      <c r="BO47373" s="43"/>
    </row>
    <row r="47374" spans="65:67" ht="18.75" customHeight="1">
      <c r="BM47374" s="1025"/>
      <c r="BO47374" s="43"/>
    </row>
    <row r="47375" spans="65:67" ht="18.75" customHeight="1">
      <c r="BM47375" s="1025"/>
      <c r="BO47375" s="43"/>
    </row>
    <row r="47376" spans="65:67" ht="18.75" customHeight="1">
      <c r="BM47376" s="1025"/>
      <c r="BO47376" s="43"/>
    </row>
    <row r="47377" spans="65:67" ht="18.75" customHeight="1">
      <c r="BM47377" s="1025"/>
      <c r="BO47377" s="43"/>
    </row>
    <row r="47378" spans="65:67" ht="18.75" customHeight="1">
      <c r="BM47378" s="1025"/>
      <c r="BO47378" s="43"/>
    </row>
    <row r="47379" spans="65:67" ht="18.75" customHeight="1">
      <c r="BM47379" s="1025"/>
      <c r="BO47379" s="43"/>
    </row>
    <row r="47380" spans="65:67" ht="18.75" customHeight="1">
      <c r="BM47380" s="1025"/>
      <c r="BO47380" s="43"/>
    </row>
    <row r="47381" spans="65:67" ht="18.75" customHeight="1">
      <c r="BM47381" s="1025"/>
      <c r="BO47381" s="43"/>
    </row>
    <row r="47382" spans="65:67" ht="18.75" customHeight="1">
      <c r="BM47382" s="1025"/>
      <c r="BO47382" s="43"/>
    </row>
    <row r="47383" spans="65:67" ht="18.75" customHeight="1">
      <c r="BM47383" s="1025"/>
      <c r="BO47383" s="43"/>
    </row>
    <row r="47384" spans="65:67" ht="18.75" customHeight="1">
      <c r="BM47384" s="1025"/>
      <c r="BO47384" s="43"/>
    </row>
    <row r="47385" spans="65:67" ht="18.75" customHeight="1">
      <c r="BM47385" s="1025"/>
      <c r="BO47385" s="43"/>
    </row>
    <row r="47386" spans="65:67" ht="18.75" customHeight="1">
      <c r="BM47386" s="1025"/>
      <c r="BO47386" s="43"/>
    </row>
    <row r="47387" spans="65:67" ht="18.75" customHeight="1">
      <c r="BM47387" s="1025"/>
      <c r="BO47387" s="43"/>
    </row>
    <row r="47388" spans="65:67" ht="18.75" customHeight="1">
      <c r="BM47388" s="1025"/>
      <c r="BO47388" s="43"/>
    </row>
    <row r="47389" spans="65:67" ht="18.75" customHeight="1">
      <c r="BM47389" s="1025"/>
      <c r="BO47389" s="43"/>
    </row>
    <row r="47390" spans="65:67" ht="18.75" customHeight="1">
      <c r="BM47390" s="1025"/>
      <c r="BO47390" s="43"/>
    </row>
    <row r="47391" spans="65:67" ht="18.75" customHeight="1">
      <c r="BM47391" s="1025"/>
      <c r="BO47391" s="43"/>
    </row>
    <row r="47392" spans="65:67" ht="18.75" customHeight="1">
      <c r="BM47392" s="1025"/>
      <c r="BO47392" s="43"/>
    </row>
    <row r="47393" spans="65:67" ht="18.75" customHeight="1">
      <c r="BM47393" s="1025"/>
      <c r="BO47393" s="43"/>
    </row>
    <row r="47394" spans="65:67" ht="18.75" customHeight="1">
      <c r="BM47394" s="1025"/>
      <c r="BO47394" s="43"/>
    </row>
    <row r="47395" spans="65:67" ht="18.75" customHeight="1">
      <c r="BM47395" s="1025"/>
      <c r="BO47395" s="43"/>
    </row>
    <row r="47396" spans="65:67" ht="18.75" customHeight="1">
      <c r="BM47396" s="1025"/>
      <c r="BO47396" s="43"/>
    </row>
    <row r="47397" spans="65:67" ht="18.75" customHeight="1">
      <c r="BM47397" s="1025"/>
      <c r="BO47397" s="43"/>
    </row>
    <row r="47398" spans="65:67" ht="18.75" customHeight="1">
      <c r="BM47398" s="1025"/>
      <c r="BO47398" s="43"/>
    </row>
    <row r="47399" spans="65:67" ht="18.75" customHeight="1">
      <c r="BM47399" s="1025"/>
      <c r="BO47399" s="43"/>
    </row>
    <row r="47400" spans="65:67" ht="18.75" customHeight="1">
      <c r="BM47400" s="1025"/>
      <c r="BO47400" s="43"/>
    </row>
    <row r="47401" spans="65:67" ht="18.75" customHeight="1">
      <c r="BM47401" s="1025"/>
      <c r="BO47401" s="43"/>
    </row>
    <row r="47402" spans="65:67" ht="18.75" customHeight="1">
      <c r="BM47402" s="1025"/>
      <c r="BO47402" s="43"/>
    </row>
    <row r="47403" spans="65:67" ht="18.75" customHeight="1">
      <c r="BM47403" s="1025"/>
      <c r="BO47403" s="43"/>
    </row>
    <row r="47404" spans="65:67" ht="18.75" customHeight="1">
      <c r="BM47404" s="1025"/>
      <c r="BO47404" s="43"/>
    </row>
    <row r="47405" spans="65:67" ht="18.75" customHeight="1">
      <c r="BM47405" s="1025"/>
      <c r="BO47405" s="43"/>
    </row>
    <row r="47406" spans="65:67" ht="18.75" customHeight="1">
      <c r="BM47406" s="1025"/>
      <c r="BO47406" s="43"/>
    </row>
    <row r="47407" spans="65:67" ht="18.75" customHeight="1">
      <c r="BM47407" s="1025"/>
      <c r="BO47407" s="43"/>
    </row>
    <row r="47408" spans="65:67" ht="18.75" customHeight="1">
      <c r="BM47408" s="1025"/>
      <c r="BO47408" s="43"/>
    </row>
    <row r="47409" spans="65:67" ht="18.75" customHeight="1">
      <c r="BM47409" s="1025"/>
      <c r="BO47409" s="43"/>
    </row>
    <row r="47410" spans="65:67" ht="18.75" customHeight="1">
      <c r="BM47410" s="1025"/>
      <c r="BO47410" s="43"/>
    </row>
    <row r="47411" spans="65:67" ht="18.75" customHeight="1">
      <c r="BM47411" s="1025"/>
      <c r="BO47411" s="43"/>
    </row>
    <row r="47412" spans="65:67" ht="18.75" customHeight="1">
      <c r="BM47412" s="1025"/>
      <c r="BO47412" s="43"/>
    </row>
    <row r="47413" spans="65:67" ht="18.75" customHeight="1">
      <c r="BM47413" s="1025"/>
      <c r="BO47413" s="43"/>
    </row>
    <row r="47414" spans="65:67" ht="18.75" customHeight="1">
      <c r="BM47414" s="1025"/>
      <c r="BO47414" s="43"/>
    </row>
    <row r="47415" spans="65:67" ht="18.75" customHeight="1">
      <c r="BM47415" s="1025"/>
      <c r="BO47415" s="43"/>
    </row>
    <row r="47416" spans="65:67" ht="18.75" customHeight="1">
      <c r="BM47416" s="1025"/>
      <c r="BO47416" s="43"/>
    </row>
    <row r="47417" spans="65:67" ht="18.75" customHeight="1">
      <c r="BM47417" s="1025"/>
      <c r="BO47417" s="43"/>
    </row>
    <row r="47418" spans="65:67" ht="18.75" customHeight="1">
      <c r="BM47418" s="1025"/>
      <c r="BO47418" s="43"/>
    </row>
    <row r="47419" spans="65:67" ht="18.75" customHeight="1">
      <c r="BM47419" s="1025"/>
      <c r="BO47419" s="43"/>
    </row>
    <row r="47420" spans="65:67" ht="18.75" customHeight="1">
      <c r="BM47420" s="1025"/>
      <c r="BO47420" s="43"/>
    </row>
    <row r="47421" spans="65:67" ht="18.75" customHeight="1">
      <c r="BM47421" s="1025"/>
      <c r="BO47421" s="43"/>
    </row>
    <row r="47422" spans="65:67" ht="18.75" customHeight="1">
      <c r="BM47422" s="1025"/>
      <c r="BO47422" s="43"/>
    </row>
    <row r="47423" spans="65:67" ht="18.75" customHeight="1">
      <c r="BM47423" s="1025"/>
      <c r="BO47423" s="43"/>
    </row>
    <row r="47424" spans="65:67" ht="18.75" customHeight="1">
      <c r="BM47424" s="1025"/>
      <c r="BO47424" s="43"/>
    </row>
    <row r="47425" spans="65:67" ht="18.75" customHeight="1">
      <c r="BM47425" s="1025"/>
      <c r="BO47425" s="43"/>
    </row>
    <row r="47426" spans="65:67" ht="18.75" customHeight="1">
      <c r="BM47426" s="1025"/>
      <c r="BO47426" s="43"/>
    </row>
    <row r="47427" spans="65:67" ht="18.75" customHeight="1">
      <c r="BM47427" s="1025"/>
      <c r="BO47427" s="43"/>
    </row>
    <row r="47428" spans="65:67" ht="18.75" customHeight="1">
      <c r="BM47428" s="1025"/>
      <c r="BO47428" s="43"/>
    </row>
    <row r="47429" spans="65:67" ht="18.75" customHeight="1">
      <c r="BM47429" s="1025"/>
      <c r="BO47429" s="43"/>
    </row>
    <row r="47430" spans="65:67" ht="18.75" customHeight="1">
      <c r="BM47430" s="1025"/>
      <c r="BO47430" s="43"/>
    </row>
    <row r="47431" spans="65:67" ht="18.75" customHeight="1">
      <c r="BM47431" s="1025"/>
      <c r="BO47431" s="43"/>
    </row>
    <row r="47432" spans="65:67" ht="18.75" customHeight="1">
      <c r="BM47432" s="1025"/>
      <c r="BO47432" s="43"/>
    </row>
    <row r="47433" spans="65:67" ht="18.75" customHeight="1">
      <c r="BM47433" s="1025"/>
      <c r="BO47433" s="43"/>
    </row>
    <row r="47434" spans="65:67" ht="18.75" customHeight="1">
      <c r="BM47434" s="1025"/>
      <c r="BO47434" s="43"/>
    </row>
    <row r="47435" spans="65:67" ht="18.75" customHeight="1">
      <c r="BM47435" s="1025"/>
      <c r="BO47435" s="43"/>
    </row>
    <row r="47436" spans="65:67" ht="18.75" customHeight="1">
      <c r="BM47436" s="1025"/>
      <c r="BO47436" s="43"/>
    </row>
    <row r="47437" spans="65:67" ht="18.75" customHeight="1">
      <c r="BM47437" s="1025"/>
      <c r="BO47437" s="43"/>
    </row>
    <row r="47438" spans="65:67" ht="18.75" customHeight="1">
      <c r="BM47438" s="1025"/>
      <c r="BO47438" s="43"/>
    </row>
    <row r="47439" spans="65:67" ht="18.75" customHeight="1">
      <c r="BM47439" s="1025"/>
      <c r="BO47439" s="43"/>
    </row>
    <row r="47440" spans="65:67" ht="18.75" customHeight="1">
      <c r="BM47440" s="1025"/>
      <c r="BO47440" s="43"/>
    </row>
    <row r="47441" spans="65:67" ht="18.75" customHeight="1">
      <c r="BM47441" s="1025"/>
      <c r="BO47441" s="43"/>
    </row>
    <row r="47442" spans="65:67" ht="18.75" customHeight="1">
      <c r="BM47442" s="1025"/>
      <c r="BO47442" s="43"/>
    </row>
    <row r="47443" spans="65:67" ht="18.75" customHeight="1">
      <c r="BM47443" s="1025"/>
      <c r="BO47443" s="43"/>
    </row>
    <row r="47444" spans="65:67" ht="18.75" customHeight="1">
      <c r="BM47444" s="1025"/>
      <c r="BO47444" s="43"/>
    </row>
    <row r="47445" spans="65:67" ht="18.75" customHeight="1">
      <c r="BM47445" s="1025"/>
      <c r="BO47445" s="43"/>
    </row>
    <row r="47446" spans="65:67" ht="18.75" customHeight="1">
      <c r="BM47446" s="1025"/>
      <c r="BO47446" s="43"/>
    </row>
    <row r="47447" spans="65:67" ht="18.75" customHeight="1">
      <c r="BM47447" s="1025"/>
      <c r="BO47447" s="43"/>
    </row>
    <row r="47448" spans="65:67" ht="18.75" customHeight="1">
      <c r="BM47448" s="1025"/>
      <c r="BO47448" s="43"/>
    </row>
    <row r="47449" spans="65:67" ht="18.75" customHeight="1">
      <c r="BM47449" s="1025"/>
      <c r="BO47449" s="43"/>
    </row>
    <row r="47450" spans="65:67" ht="18.75" customHeight="1">
      <c r="BM47450" s="1025"/>
      <c r="BO47450" s="43"/>
    </row>
    <row r="47451" spans="65:67" ht="18.75" customHeight="1">
      <c r="BM47451" s="1025"/>
      <c r="BO47451" s="43"/>
    </row>
    <row r="47452" spans="65:67" ht="18.75" customHeight="1">
      <c r="BM47452" s="1025"/>
      <c r="BO47452" s="43"/>
    </row>
    <row r="47453" spans="65:67" ht="18.75" customHeight="1">
      <c r="BM47453" s="1025"/>
      <c r="BO47453" s="43"/>
    </row>
    <row r="47454" spans="65:67" ht="18.75" customHeight="1">
      <c r="BM47454" s="1025"/>
      <c r="BO47454" s="43"/>
    </row>
    <row r="47455" spans="65:67" ht="18.75" customHeight="1">
      <c r="BM47455" s="1025"/>
      <c r="BO47455" s="43"/>
    </row>
    <row r="47456" spans="65:67" ht="18.75" customHeight="1">
      <c r="BM47456" s="1025"/>
      <c r="BO47456" s="43"/>
    </row>
    <row r="47457" spans="65:67" ht="18.75" customHeight="1">
      <c r="BM47457" s="1025"/>
      <c r="BO47457" s="43"/>
    </row>
    <row r="47458" spans="65:67" ht="18.75" customHeight="1">
      <c r="BM47458" s="1025"/>
      <c r="BO47458" s="43"/>
    </row>
    <row r="47459" spans="65:67" ht="18.75" customHeight="1">
      <c r="BM47459" s="1025"/>
      <c r="BO47459" s="43"/>
    </row>
    <row r="47460" spans="65:67" ht="18.75" customHeight="1">
      <c r="BM47460" s="1025"/>
      <c r="BO47460" s="43"/>
    </row>
    <row r="47461" spans="65:67" ht="18.75" customHeight="1">
      <c r="BM47461" s="1025"/>
      <c r="BO47461" s="43"/>
    </row>
    <row r="47462" spans="65:67" ht="18.75" customHeight="1">
      <c r="BM47462" s="1025"/>
      <c r="BO47462" s="43"/>
    </row>
    <row r="47463" spans="65:67" ht="18.75" customHeight="1">
      <c r="BM47463" s="1025"/>
      <c r="BO47463" s="43"/>
    </row>
    <row r="47464" spans="65:67" ht="18.75" customHeight="1">
      <c r="BM47464" s="1025"/>
      <c r="BO47464" s="43"/>
    </row>
    <row r="47465" spans="65:67" ht="18.75" customHeight="1">
      <c r="BM47465" s="1025"/>
      <c r="BO47465" s="43"/>
    </row>
    <row r="47466" spans="65:67" ht="18.75" customHeight="1">
      <c r="BM47466" s="1025"/>
      <c r="BO47466" s="43"/>
    </row>
    <row r="47467" spans="65:67" ht="18.75" customHeight="1">
      <c r="BM47467" s="1025"/>
      <c r="BO47467" s="43"/>
    </row>
    <row r="47468" spans="65:67" ht="18.75" customHeight="1">
      <c r="BM47468" s="1025"/>
      <c r="BO47468" s="43"/>
    </row>
    <row r="47469" spans="65:67" ht="18.75" customHeight="1">
      <c r="BM47469" s="1025"/>
      <c r="BO47469" s="43"/>
    </row>
    <row r="47470" spans="65:67" ht="18.75" customHeight="1">
      <c r="BM47470" s="1025"/>
      <c r="BO47470" s="43"/>
    </row>
    <row r="47471" spans="65:67" ht="18.75" customHeight="1">
      <c r="BM47471" s="1025"/>
      <c r="BO47471" s="43"/>
    </row>
    <row r="47472" spans="65:67" ht="18.75" customHeight="1">
      <c r="BM47472" s="1025"/>
      <c r="BO47472" s="43"/>
    </row>
    <row r="47473" spans="65:67" ht="18.75" customHeight="1">
      <c r="BM47473" s="1025"/>
      <c r="BO47473" s="43"/>
    </row>
    <row r="47474" spans="65:67" ht="18.75" customHeight="1">
      <c r="BM47474" s="1025"/>
      <c r="BO47474" s="43"/>
    </row>
    <row r="47475" spans="65:67" ht="18.75" customHeight="1">
      <c r="BM47475" s="1025"/>
      <c r="BO47475" s="43"/>
    </row>
    <row r="47476" spans="65:67" ht="18.75" customHeight="1">
      <c r="BM47476" s="1025"/>
      <c r="BO47476" s="43"/>
    </row>
    <row r="47477" spans="65:67" ht="18.75" customHeight="1">
      <c r="BM47477" s="1025"/>
      <c r="BO47477" s="43"/>
    </row>
    <row r="47478" spans="65:67" ht="18.75" customHeight="1">
      <c r="BM47478" s="1025"/>
      <c r="BO47478" s="43"/>
    </row>
    <row r="47479" spans="65:67" ht="18.75" customHeight="1">
      <c r="BM47479" s="1025"/>
      <c r="BO47479" s="43"/>
    </row>
    <row r="47480" spans="65:67" ht="18.75" customHeight="1">
      <c r="BM47480" s="1025"/>
      <c r="BO47480" s="43"/>
    </row>
    <row r="47481" spans="65:67" ht="18.75" customHeight="1">
      <c r="BM47481" s="1025"/>
      <c r="BO47481" s="43"/>
    </row>
    <row r="47482" spans="65:67" ht="18.75" customHeight="1">
      <c r="BM47482" s="1025"/>
      <c r="BO47482" s="43"/>
    </row>
    <row r="47483" spans="65:67" ht="18.75" customHeight="1">
      <c r="BM47483" s="1025"/>
      <c r="BO47483" s="43"/>
    </row>
    <row r="47484" spans="65:67" ht="18.75" customHeight="1">
      <c r="BM47484" s="1025"/>
      <c r="BO47484" s="43"/>
    </row>
    <row r="47485" spans="65:67" ht="18.75" customHeight="1">
      <c r="BM47485" s="1025"/>
      <c r="BO47485" s="43"/>
    </row>
    <row r="47486" spans="65:67" ht="18.75" customHeight="1">
      <c r="BM47486" s="1025"/>
      <c r="BO47486" s="43"/>
    </row>
    <row r="47487" spans="65:67" ht="18.75" customHeight="1">
      <c r="BM47487" s="1025"/>
      <c r="BO47487" s="43"/>
    </row>
    <row r="47488" spans="65:67" ht="18.75" customHeight="1">
      <c r="BM47488" s="1025"/>
      <c r="BO47488" s="43"/>
    </row>
    <row r="47489" spans="65:67" ht="18.75" customHeight="1">
      <c r="BM47489" s="1025"/>
      <c r="BO47489" s="43"/>
    </row>
    <row r="47490" spans="65:67" ht="18.75" customHeight="1">
      <c r="BM47490" s="1025"/>
      <c r="BO47490" s="43"/>
    </row>
    <row r="47491" spans="65:67" ht="18.75" customHeight="1">
      <c r="BM47491" s="1025"/>
      <c r="BO47491" s="43"/>
    </row>
    <row r="47492" spans="65:67" ht="18.75" customHeight="1">
      <c r="BM47492" s="1025"/>
      <c r="BO47492" s="43"/>
    </row>
    <row r="47493" spans="65:67" ht="18.75" customHeight="1">
      <c r="BM47493" s="1025"/>
      <c r="BO47493" s="43"/>
    </row>
    <row r="47494" spans="65:67" ht="18.75" customHeight="1">
      <c r="BM47494" s="1025"/>
      <c r="BO47494" s="43"/>
    </row>
    <row r="47495" spans="65:67" ht="18.75" customHeight="1">
      <c r="BM47495" s="1025"/>
      <c r="BO47495" s="43"/>
    </row>
    <row r="47496" spans="65:67" ht="18.75" customHeight="1">
      <c r="BM47496" s="1025"/>
      <c r="BO47496" s="43"/>
    </row>
    <row r="47497" spans="65:67" ht="18.75" customHeight="1">
      <c r="BM47497" s="1025"/>
      <c r="BO47497" s="43"/>
    </row>
    <row r="47498" spans="65:67" ht="18.75" customHeight="1">
      <c r="BM47498" s="1025"/>
      <c r="BO47498" s="43"/>
    </row>
    <row r="47499" spans="65:67" ht="18.75" customHeight="1">
      <c r="BM47499" s="1025"/>
      <c r="BO47499" s="43"/>
    </row>
    <row r="47500" spans="65:67" ht="18.75" customHeight="1">
      <c r="BM47500" s="1025"/>
      <c r="BO47500" s="43"/>
    </row>
    <row r="47501" spans="65:67" ht="18.75" customHeight="1">
      <c r="BM47501" s="1025"/>
      <c r="BO47501" s="43"/>
    </row>
    <row r="47502" spans="65:67" ht="18.75" customHeight="1">
      <c r="BM47502" s="1025"/>
      <c r="BO47502" s="43"/>
    </row>
    <row r="47503" spans="65:67" ht="18.75" customHeight="1">
      <c r="BM47503" s="1025"/>
      <c r="BO47503" s="43"/>
    </row>
    <row r="47504" spans="65:67" ht="18.75" customHeight="1">
      <c r="BM47504" s="1025"/>
      <c r="BO47504" s="43"/>
    </row>
    <row r="47505" spans="65:67" ht="18.75" customHeight="1">
      <c r="BM47505" s="1025"/>
      <c r="BO47505" s="43"/>
    </row>
    <row r="47506" spans="65:67" ht="18.75" customHeight="1">
      <c r="BM47506" s="1025"/>
      <c r="BO47506" s="43"/>
    </row>
    <row r="47507" spans="65:67" ht="18.75" customHeight="1">
      <c r="BM47507" s="1025"/>
      <c r="BO47507" s="43"/>
    </row>
    <row r="47508" spans="65:67" ht="18.75" customHeight="1">
      <c r="BM47508" s="1025"/>
      <c r="BO47508" s="43"/>
    </row>
    <row r="47509" spans="65:67" ht="18.75" customHeight="1">
      <c r="BM47509" s="1025"/>
      <c r="BO47509" s="43"/>
    </row>
    <row r="47510" spans="65:67" ht="18.75" customHeight="1">
      <c r="BM47510" s="1025"/>
      <c r="BO47510" s="43"/>
    </row>
    <row r="47511" spans="65:67" ht="18.75" customHeight="1">
      <c r="BM47511" s="1025"/>
      <c r="BO47511" s="43"/>
    </row>
    <row r="47512" spans="65:67" ht="18.75" customHeight="1">
      <c r="BM47512" s="1025"/>
      <c r="BO47512" s="43"/>
    </row>
    <row r="47513" spans="65:67" ht="18.75" customHeight="1">
      <c r="BM47513" s="1025"/>
      <c r="BO47513" s="43"/>
    </row>
    <row r="47514" spans="65:67" ht="18.75" customHeight="1">
      <c r="BM47514" s="1025"/>
      <c r="BO47514" s="43"/>
    </row>
    <row r="47515" spans="65:67" ht="18.75" customHeight="1">
      <c r="BM47515" s="1025"/>
      <c r="BO47515" s="43"/>
    </row>
    <row r="47516" spans="65:67" ht="18.75" customHeight="1">
      <c r="BM47516" s="1025"/>
      <c r="BO47516" s="43"/>
    </row>
    <row r="47517" spans="65:67" ht="18.75" customHeight="1">
      <c r="BM47517" s="1025"/>
      <c r="BO47517" s="43"/>
    </row>
    <row r="47518" spans="65:67" ht="18.75" customHeight="1">
      <c r="BM47518" s="1025"/>
      <c r="BO47518" s="43"/>
    </row>
    <row r="47519" spans="65:67" ht="18.75" customHeight="1">
      <c r="BM47519" s="1025"/>
      <c r="BO47519" s="43"/>
    </row>
    <row r="47520" spans="65:67" ht="18.75" customHeight="1">
      <c r="BM47520" s="1025"/>
      <c r="BO47520" s="43"/>
    </row>
    <row r="47521" spans="65:67" ht="18.75" customHeight="1">
      <c r="BM47521" s="1025"/>
      <c r="BO47521" s="43"/>
    </row>
    <row r="47522" spans="65:67" ht="18.75" customHeight="1">
      <c r="BM47522" s="1025"/>
      <c r="BO47522" s="43"/>
    </row>
    <row r="47523" spans="65:67" ht="18.75" customHeight="1">
      <c r="BM47523" s="1025"/>
      <c r="BO47523" s="43"/>
    </row>
    <row r="47524" spans="65:67" ht="18.75" customHeight="1">
      <c r="BM47524" s="1025"/>
      <c r="BO47524" s="43"/>
    </row>
    <row r="47525" spans="65:67" ht="18.75" customHeight="1">
      <c r="BM47525" s="1025"/>
      <c r="BO47525" s="43"/>
    </row>
    <row r="47526" spans="65:67" ht="18.75" customHeight="1">
      <c r="BM47526" s="1025"/>
      <c r="BO47526" s="43"/>
    </row>
    <row r="47527" spans="65:67" ht="18.75" customHeight="1">
      <c r="BM47527" s="1025"/>
      <c r="BO47527" s="43"/>
    </row>
    <row r="47528" spans="65:67" ht="18.75" customHeight="1">
      <c r="BM47528" s="1025"/>
      <c r="BO47528" s="43"/>
    </row>
    <row r="47529" spans="65:67" ht="18.75" customHeight="1">
      <c r="BM47529" s="1025"/>
      <c r="BO47529" s="43"/>
    </row>
    <row r="47530" spans="65:67" ht="18.75" customHeight="1">
      <c r="BM47530" s="1025"/>
      <c r="BO47530" s="43"/>
    </row>
    <row r="47531" spans="65:67" ht="18.75" customHeight="1">
      <c r="BM47531" s="1025"/>
      <c r="BO47531" s="43"/>
    </row>
    <row r="47532" spans="65:67" ht="18.75" customHeight="1">
      <c r="BM47532" s="1025"/>
      <c r="BO47532" s="43"/>
    </row>
    <row r="47533" spans="65:67" ht="18.75" customHeight="1">
      <c r="BM47533" s="1025"/>
      <c r="BO47533" s="43"/>
    </row>
    <row r="47534" spans="65:67" ht="18.75" customHeight="1">
      <c r="BM47534" s="1025"/>
      <c r="BO47534" s="43"/>
    </row>
    <row r="47535" spans="65:67" ht="18.75" customHeight="1">
      <c r="BM47535" s="1025"/>
      <c r="BO47535" s="43"/>
    </row>
    <row r="47536" spans="65:67" ht="18.75" customHeight="1">
      <c r="BM47536" s="1025"/>
      <c r="BO47536" s="43"/>
    </row>
    <row r="47537" spans="65:67" ht="18.75" customHeight="1">
      <c r="BM47537" s="1025"/>
      <c r="BO47537" s="43"/>
    </row>
    <row r="47538" spans="65:67" ht="18.75" customHeight="1">
      <c r="BM47538" s="1025"/>
      <c r="BO47538" s="43"/>
    </row>
    <row r="47539" spans="65:67" ht="18.75" customHeight="1">
      <c r="BM47539" s="1025"/>
      <c r="BO47539" s="43"/>
    </row>
    <row r="47540" spans="65:67" ht="18.75" customHeight="1">
      <c r="BM47540" s="1025"/>
      <c r="BO47540" s="43"/>
    </row>
    <row r="47541" spans="65:67" ht="18.75" customHeight="1">
      <c r="BM47541" s="1025"/>
      <c r="BO47541" s="43"/>
    </row>
    <row r="47542" spans="65:67" ht="18.75" customHeight="1">
      <c r="BM47542" s="1025"/>
      <c r="BO47542" s="43"/>
    </row>
    <row r="47543" spans="65:67" ht="18.75" customHeight="1">
      <c r="BM47543" s="1025"/>
      <c r="BO47543" s="43"/>
    </row>
    <row r="47544" spans="65:67" ht="18.75" customHeight="1">
      <c r="BM47544" s="1025"/>
      <c r="BO47544" s="43"/>
    </row>
    <row r="47545" spans="65:67" ht="18.75" customHeight="1">
      <c r="BM47545" s="1025"/>
      <c r="BO47545" s="43"/>
    </row>
    <row r="47546" spans="65:67" ht="18.75" customHeight="1">
      <c r="BM47546" s="1025"/>
      <c r="BO47546" s="43"/>
    </row>
    <row r="47547" spans="65:67" ht="18.75" customHeight="1">
      <c r="BM47547" s="1025"/>
      <c r="BO47547" s="43"/>
    </row>
    <row r="47548" spans="65:67" ht="18.75" customHeight="1">
      <c r="BM47548" s="1025"/>
      <c r="BO47548" s="43"/>
    </row>
    <row r="47549" spans="65:67" ht="18.75" customHeight="1">
      <c r="BM47549" s="1025"/>
      <c r="BO47549" s="43"/>
    </row>
    <row r="47550" spans="65:67" ht="18.75" customHeight="1">
      <c r="BM47550" s="1025"/>
      <c r="BO47550" s="43"/>
    </row>
    <row r="47551" spans="65:67" ht="18.75" customHeight="1">
      <c r="BM47551" s="1025"/>
      <c r="BO47551" s="43"/>
    </row>
    <row r="47552" spans="65:67" ht="18.75" customHeight="1">
      <c r="BM47552" s="1025"/>
      <c r="BO47552" s="43"/>
    </row>
    <row r="47553" spans="65:67" ht="18.75" customHeight="1">
      <c r="BM47553" s="1025"/>
      <c r="BO47553" s="43"/>
    </row>
    <row r="47554" spans="65:67" ht="18.75" customHeight="1">
      <c r="BM47554" s="1025"/>
      <c r="BO47554" s="43"/>
    </row>
    <row r="47555" spans="65:67" ht="18.75" customHeight="1">
      <c r="BM47555" s="1025"/>
      <c r="BO47555" s="43"/>
    </row>
    <row r="47556" spans="65:67" ht="18.75" customHeight="1">
      <c r="BM47556" s="1025"/>
      <c r="BO47556" s="43"/>
    </row>
    <row r="47557" spans="65:67" ht="18.75" customHeight="1">
      <c r="BM47557" s="1025"/>
      <c r="BO47557" s="43"/>
    </row>
    <row r="47558" spans="65:67" ht="18.75" customHeight="1">
      <c r="BM47558" s="1025"/>
      <c r="BO47558" s="43"/>
    </row>
    <row r="47559" spans="65:67" ht="18.75" customHeight="1">
      <c r="BM47559" s="1025"/>
      <c r="BO47559" s="43"/>
    </row>
    <row r="47560" spans="65:67" ht="18.75" customHeight="1">
      <c r="BM47560" s="1025"/>
      <c r="BO47560" s="43"/>
    </row>
    <row r="47561" spans="65:67" ht="18.75" customHeight="1">
      <c r="BM47561" s="1025"/>
      <c r="BO47561" s="43"/>
    </row>
    <row r="47562" spans="65:67" ht="18.75" customHeight="1">
      <c r="BM47562" s="1025"/>
      <c r="BO47562" s="43"/>
    </row>
    <row r="47563" spans="65:67" ht="18.75" customHeight="1">
      <c r="BM47563" s="1025"/>
      <c r="BO47563" s="43"/>
    </row>
    <row r="47564" spans="65:67" ht="18.75" customHeight="1">
      <c r="BM47564" s="1025"/>
      <c r="BO47564" s="43"/>
    </row>
    <row r="47565" spans="65:67" ht="18.75" customHeight="1">
      <c r="BM47565" s="1025"/>
      <c r="BO47565" s="43"/>
    </row>
    <row r="47566" spans="65:67" ht="18.75" customHeight="1">
      <c r="BM47566" s="1025"/>
      <c r="BO47566" s="43"/>
    </row>
    <row r="47567" spans="65:67" ht="18.75" customHeight="1">
      <c r="BM47567" s="1025"/>
      <c r="BO47567" s="43"/>
    </row>
    <row r="47568" spans="65:67" ht="18.75" customHeight="1">
      <c r="BM47568" s="1025"/>
      <c r="BO47568" s="43"/>
    </row>
    <row r="47569" spans="65:67" ht="18.75" customHeight="1">
      <c r="BM47569" s="1025"/>
      <c r="BO47569" s="43"/>
    </row>
    <row r="47570" spans="65:67" ht="18.75" customHeight="1">
      <c r="BM47570" s="1025"/>
      <c r="BO47570" s="43"/>
    </row>
    <row r="47571" spans="65:67" ht="18.75" customHeight="1">
      <c r="BM47571" s="1025"/>
      <c r="BO47571" s="43"/>
    </row>
    <row r="47572" spans="65:67" ht="18.75" customHeight="1">
      <c r="BM47572" s="1025"/>
      <c r="BO47572" s="43"/>
    </row>
    <row r="47573" spans="65:67" ht="18.75" customHeight="1">
      <c r="BM47573" s="1025"/>
      <c r="BO47573" s="43"/>
    </row>
    <row r="47574" spans="65:67" ht="18.75" customHeight="1">
      <c r="BM47574" s="1025"/>
      <c r="BO47574" s="43"/>
    </row>
    <row r="47575" spans="65:67" ht="18.75" customHeight="1">
      <c r="BM47575" s="1025"/>
      <c r="BO47575" s="43"/>
    </row>
    <row r="47576" spans="65:67" ht="18.75" customHeight="1">
      <c r="BM47576" s="1025"/>
      <c r="BO47576" s="43"/>
    </row>
    <row r="47577" spans="65:67" ht="18.75" customHeight="1">
      <c r="BM47577" s="1025"/>
      <c r="BO47577" s="43"/>
    </row>
    <row r="47578" spans="65:67" ht="18.75" customHeight="1">
      <c r="BM47578" s="1025"/>
      <c r="BO47578" s="43"/>
    </row>
    <row r="47579" spans="65:67" ht="18.75" customHeight="1">
      <c r="BM47579" s="1025"/>
      <c r="BO47579" s="43"/>
    </row>
    <row r="47580" spans="65:67" ht="18.75" customHeight="1">
      <c r="BM47580" s="1025"/>
      <c r="BO47580" s="43"/>
    </row>
    <row r="47581" spans="65:67" ht="18.75" customHeight="1">
      <c r="BM47581" s="1025"/>
      <c r="BO47581" s="43"/>
    </row>
    <row r="47582" spans="65:67" ht="18.75" customHeight="1">
      <c r="BM47582" s="1025"/>
      <c r="BO47582" s="43"/>
    </row>
    <row r="47583" spans="65:67" ht="18.75" customHeight="1">
      <c r="BM47583" s="1025"/>
      <c r="BO47583" s="43"/>
    </row>
    <row r="47584" spans="65:67" ht="18.75" customHeight="1">
      <c r="BM47584" s="1025"/>
      <c r="BO47584" s="43"/>
    </row>
    <row r="47585" spans="65:67" ht="18.75" customHeight="1">
      <c r="BM47585" s="1025"/>
      <c r="BO47585" s="43"/>
    </row>
    <row r="47586" spans="65:67" ht="18.75" customHeight="1">
      <c r="BM47586" s="1025"/>
      <c r="BO47586" s="43"/>
    </row>
    <row r="47587" spans="65:67" ht="18.75" customHeight="1">
      <c r="BM47587" s="1025"/>
      <c r="BO47587" s="43"/>
    </row>
    <row r="47588" spans="65:67" ht="18.75" customHeight="1">
      <c r="BM47588" s="1025"/>
      <c r="BO47588" s="43"/>
    </row>
    <row r="47589" spans="65:67" ht="18.75" customHeight="1">
      <c r="BM47589" s="1025"/>
      <c r="BO47589" s="43"/>
    </row>
    <row r="47590" spans="65:67" ht="18.75" customHeight="1">
      <c r="BM47590" s="1025"/>
      <c r="BO47590" s="43"/>
    </row>
    <row r="47591" spans="65:67" ht="18.75" customHeight="1">
      <c r="BM47591" s="1025"/>
      <c r="BO47591" s="43"/>
    </row>
    <row r="47592" spans="65:67" ht="18.75" customHeight="1">
      <c r="BM47592" s="1025"/>
      <c r="BO47592" s="43"/>
    </row>
    <row r="47593" spans="65:67" ht="18.75" customHeight="1">
      <c r="BM47593" s="1025"/>
      <c r="BO47593" s="43"/>
    </row>
    <row r="47594" spans="65:67" ht="18.75" customHeight="1">
      <c r="BM47594" s="1025"/>
      <c r="BO47594" s="43"/>
    </row>
    <row r="47595" spans="65:67" ht="18.75" customHeight="1">
      <c r="BM47595" s="1025"/>
      <c r="BO47595" s="43"/>
    </row>
    <row r="47596" spans="65:67" ht="18.75" customHeight="1">
      <c r="BM47596" s="1025"/>
      <c r="BO47596" s="43"/>
    </row>
    <row r="47597" spans="65:67" ht="18.75" customHeight="1">
      <c r="BM47597" s="1025"/>
      <c r="BO47597" s="43"/>
    </row>
    <row r="47598" spans="65:67" ht="18.75" customHeight="1">
      <c r="BM47598" s="1025"/>
      <c r="BO47598" s="43"/>
    </row>
    <row r="47599" spans="65:67" ht="18.75" customHeight="1">
      <c r="BM47599" s="1025"/>
      <c r="BO47599" s="43"/>
    </row>
    <row r="47600" spans="65:67" ht="18.75" customHeight="1">
      <c r="BM47600" s="1025"/>
      <c r="BO47600" s="43"/>
    </row>
    <row r="47601" spans="65:67" ht="18.75" customHeight="1">
      <c r="BM47601" s="1025"/>
      <c r="BO47601" s="43"/>
    </row>
    <row r="47602" spans="65:67" ht="18.75" customHeight="1">
      <c r="BM47602" s="1025"/>
      <c r="BO47602" s="43"/>
    </row>
    <row r="47603" spans="65:67" ht="18.75" customHeight="1">
      <c r="BM47603" s="1025"/>
      <c r="BO47603" s="43"/>
    </row>
    <row r="47604" spans="65:67" ht="18.75" customHeight="1">
      <c r="BM47604" s="1025"/>
      <c r="BO47604" s="43"/>
    </row>
    <row r="47605" spans="65:67" ht="18.75" customHeight="1">
      <c r="BM47605" s="1025"/>
      <c r="BO47605" s="43"/>
    </row>
    <row r="47606" spans="65:67" ht="18.75" customHeight="1">
      <c r="BM47606" s="1025"/>
      <c r="BO47606" s="43"/>
    </row>
    <row r="47607" spans="65:67" ht="18.75" customHeight="1">
      <c r="BM47607" s="1025"/>
      <c r="BO47607" s="43"/>
    </row>
    <row r="47608" spans="65:67" ht="18.75" customHeight="1">
      <c r="BM47608" s="1025"/>
      <c r="BO47608" s="43"/>
    </row>
    <row r="47609" spans="65:67" ht="18.75" customHeight="1">
      <c r="BM47609" s="1025"/>
      <c r="BO47609" s="43"/>
    </row>
    <row r="47610" spans="65:67" ht="18.75" customHeight="1">
      <c r="BM47610" s="1025"/>
      <c r="BO47610" s="43"/>
    </row>
    <row r="47611" spans="65:67" ht="18.75" customHeight="1">
      <c r="BM47611" s="1025"/>
      <c r="BO47611" s="43"/>
    </row>
    <row r="47612" spans="65:67" ht="18.75" customHeight="1">
      <c r="BM47612" s="1025"/>
      <c r="BO47612" s="43"/>
    </row>
    <row r="47613" spans="65:67" ht="18.75" customHeight="1">
      <c r="BM47613" s="1025"/>
      <c r="BO47613" s="43"/>
    </row>
    <row r="47614" spans="65:67" ht="18.75" customHeight="1">
      <c r="BM47614" s="1025"/>
      <c r="BO47614" s="43"/>
    </row>
    <row r="47615" spans="65:67" ht="18.75" customHeight="1">
      <c r="BM47615" s="1025"/>
      <c r="BO47615" s="43"/>
    </row>
    <row r="47616" spans="65:67" ht="18.75" customHeight="1">
      <c r="BM47616" s="1025"/>
      <c r="BO47616" s="43"/>
    </row>
    <row r="47617" spans="65:67" ht="18.75" customHeight="1">
      <c r="BM47617" s="1025"/>
      <c r="BO47617" s="43"/>
    </row>
    <row r="47618" spans="65:67" ht="18.75" customHeight="1">
      <c r="BM47618" s="1025"/>
      <c r="BO47618" s="43"/>
    </row>
    <row r="47619" spans="65:67" ht="18.75" customHeight="1">
      <c r="BM47619" s="1025"/>
      <c r="BO47619" s="43"/>
    </row>
    <row r="47620" spans="65:67" ht="18.75" customHeight="1">
      <c r="BM47620" s="1025"/>
      <c r="BO47620" s="43"/>
    </row>
    <row r="47621" spans="65:67" ht="18.75" customHeight="1">
      <c r="BM47621" s="1025"/>
      <c r="BO47621" s="43"/>
    </row>
    <row r="47622" spans="65:67" ht="18.75" customHeight="1">
      <c r="BM47622" s="1025"/>
      <c r="BO47622" s="43"/>
    </row>
    <row r="47623" spans="65:67" ht="18.75" customHeight="1">
      <c r="BM47623" s="1025"/>
      <c r="BO47623" s="43"/>
    </row>
    <row r="47624" spans="65:67" ht="18.75" customHeight="1">
      <c r="BM47624" s="1025"/>
      <c r="BO47624" s="43"/>
    </row>
    <row r="47625" spans="65:67" ht="18.75" customHeight="1">
      <c r="BM47625" s="1025"/>
      <c r="BO47625" s="43"/>
    </row>
    <row r="47626" spans="65:67" ht="18.75" customHeight="1">
      <c r="BM47626" s="1025"/>
      <c r="BO47626" s="43"/>
    </row>
    <row r="47627" spans="65:67" ht="18.75" customHeight="1">
      <c r="BM47627" s="1025"/>
      <c r="BO47627" s="43"/>
    </row>
    <row r="47628" spans="65:67" ht="18.75" customHeight="1">
      <c r="BM47628" s="1025"/>
      <c r="BO47628" s="43"/>
    </row>
    <row r="47629" spans="65:67" ht="18.75" customHeight="1">
      <c r="BM47629" s="1025"/>
      <c r="BO47629" s="43"/>
    </row>
    <row r="47630" spans="65:67" ht="18.75" customHeight="1">
      <c r="BM47630" s="1025"/>
      <c r="BO47630" s="43"/>
    </row>
    <row r="47631" spans="65:67" ht="18.75" customHeight="1">
      <c r="BM47631" s="1025"/>
      <c r="BO47631" s="43"/>
    </row>
    <row r="47632" spans="65:67" ht="18.75" customHeight="1">
      <c r="BM47632" s="1025"/>
      <c r="BO47632" s="43"/>
    </row>
    <row r="47633" spans="65:67" ht="18.75" customHeight="1">
      <c r="BM47633" s="1025"/>
      <c r="BO47633" s="43"/>
    </row>
    <row r="47634" spans="65:67" ht="18.75" customHeight="1">
      <c r="BM47634" s="1025"/>
      <c r="BO47634" s="43"/>
    </row>
    <row r="47635" spans="65:67" ht="18.75" customHeight="1">
      <c r="BM47635" s="1025"/>
      <c r="BO47635" s="43"/>
    </row>
    <row r="47636" spans="65:67" ht="18.75" customHeight="1">
      <c r="BM47636" s="1025"/>
      <c r="BO47636" s="43"/>
    </row>
    <row r="47637" spans="65:67" ht="18.75" customHeight="1">
      <c r="BM47637" s="1025"/>
      <c r="BO47637" s="43"/>
    </row>
    <row r="47638" spans="65:67" ht="18.75" customHeight="1">
      <c r="BM47638" s="1025"/>
      <c r="BO47638" s="43"/>
    </row>
    <row r="47639" spans="65:67" ht="18.75" customHeight="1">
      <c r="BM47639" s="1025"/>
      <c r="BO47639" s="43"/>
    </row>
    <row r="47640" spans="65:67" ht="18.75" customHeight="1">
      <c r="BM47640" s="1025"/>
      <c r="BO47640" s="43"/>
    </row>
    <row r="47641" spans="65:67" ht="18.75" customHeight="1">
      <c r="BM47641" s="1025"/>
      <c r="BO47641" s="43"/>
    </row>
    <row r="47642" spans="65:67" ht="18.75" customHeight="1">
      <c r="BM47642" s="1025"/>
      <c r="BO47642" s="43"/>
    </row>
    <row r="47643" spans="65:67" ht="18.75" customHeight="1">
      <c r="BM47643" s="1025"/>
      <c r="BO47643" s="43"/>
    </row>
    <row r="47644" spans="65:67" ht="18.75" customHeight="1">
      <c r="BM47644" s="1025"/>
      <c r="BO47644" s="43"/>
    </row>
    <row r="47645" spans="65:67" ht="18.75" customHeight="1">
      <c r="BM47645" s="1025"/>
      <c r="BO47645" s="43"/>
    </row>
    <row r="47646" spans="65:67" ht="18.75" customHeight="1">
      <c r="BM47646" s="1025"/>
      <c r="BO47646" s="43"/>
    </row>
    <row r="47647" spans="65:67" ht="18.75" customHeight="1">
      <c r="BM47647" s="1025"/>
      <c r="BO47647" s="43"/>
    </row>
    <row r="47648" spans="65:67" ht="18.75" customHeight="1">
      <c r="BM47648" s="1025"/>
      <c r="BO47648" s="43"/>
    </row>
    <row r="47649" spans="65:67" ht="18.75" customHeight="1">
      <c r="BM47649" s="1025"/>
      <c r="BO47649" s="43"/>
    </row>
    <row r="47650" spans="65:67" ht="18.75" customHeight="1">
      <c r="BM47650" s="1025"/>
      <c r="BO47650" s="43"/>
    </row>
    <row r="47651" spans="65:67" ht="18.75" customHeight="1">
      <c r="BM47651" s="1025"/>
      <c r="BO47651" s="43"/>
    </row>
    <row r="47652" spans="65:67" ht="18.75" customHeight="1">
      <c r="BM47652" s="1025"/>
      <c r="BO47652" s="43"/>
    </row>
    <row r="47653" spans="65:67" ht="18.75" customHeight="1">
      <c r="BM47653" s="1025"/>
      <c r="BO47653" s="43"/>
    </row>
    <row r="47654" spans="65:67" ht="18.75" customHeight="1">
      <c r="BM47654" s="1025"/>
      <c r="BO47654" s="43"/>
    </row>
    <row r="47655" spans="65:67" ht="18.75" customHeight="1">
      <c r="BM47655" s="1025"/>
      <c r="BO47655" s="43"/>
    </row>
    <row r="47656" spans="65:67" ht="18.75" customHeight="1">
      <c r="BM47656" s="1025"/>
      <c r="BO47656" s="43"/>
    </row>
    <row r="47657" spans="65:67" ht="18.75" customHeight="1">
      <c r="BM47657" s="1025"/>
      <c r="BO47657" s="43"/>
    </row>
    <row r="47658" spans="65:67" ht="18.75" customHeight="1">
      <c r="BM47658" s="1025"/>
      <c r="BO47658" s="43"/>
    </row>
    <row r="47659" spans="65:67" ht="18.75" customHeight="1">
      <c r="BM47659" s="1025"/>
      <c r="BO47659" s="43"/>
    </row>
    <row r="47660" spans="65:67" ht="18.75" customHeight="1">
      <c r="BM47660" s="1025"/>
      <c r="BO47660" s="43"/>
    </row>
    <row r="47661" spans="65:67" ht="18.75" customHeight="1">
      <c r="BM47661" s="1025"/>
      <c r="BO47661" s="43"/>
    </row>
    <row r="47662" spans="65:67" ht="18.75" customHeight="1">
      <c r="BM47662" s="1025"/>
      <c r="BO47662" s="43"/>
    </row>
    <row r="47663" spans="65:67" ht="18.75" customHeight="1">
      <c r="BM47663" s="1025"/>
      <c r="BO47663" s="43"/>
    </row>
    <row r="47664" spans="65:67" ht="18.75" customHeight="1">
      <c r="BM47664" s="1025"/>
      <c r="BO47664" s="43"/>
    </row>
    <row r="47665" spans="65:67" ht="18.75" customHeight="1">
      <c r="BM47665" s="1025"/>
      <c r="BO47665" s="43"/>
    </row>
    <row r="47666" spans="65:67" ht="18.75" customHeight="1">
      <c r="BM47666" s="1025"/>
      <c r="BO47666" s="43"/>
    </row>
    <row r="47667" spans="65:67" ht="18.75" customHeight="1">
      <c r="BM47667" s="1025"/>
      <c r="BO47667" s="43"/>
    </row>
    <row r="47668" spans="65:67" ht="18.75" customHeight="1">
      <c r="BM47668" s="1025"/>
      <c r="BO47668" s="43"/>
    </row>
    <row r="47669" spans="65:67" ht="18.75" customHeight="1">
      <c r="BM47669" s="1025"/>
      <c r="BO47669" s="43"/>
    </row>
    <row r="47670" spans="65:67" ht="18.75" customHeight="1">
      <c r="BM47670" s="1025"/>
      <c r="BO47670" s="43"/>
    </row>
    <row r="47671" spans="65:67" ht="18.75" customHeight="1">
      <c r="BM47671" s="1025"/>
      <c r="BO47671" s="43"/>
    </row>
    <row r="47672" spans="65:67" ht="18.75" customHeight="1">
      <c r="BM47672" s="1025"/>
      <c r="BO47672" s="43"/>
    </row>
    <row r="47673" spans="65:67" ht="18.75" customHeight="1">
      <c r="BM47673" s="1025"/>
      <c r="BO47673" s="43"/>
    </row>
    <row r="47674" spans="65:67" ht="18.75" customHeight="1">
      <c r="BM47674" s="1025"/>
      <c r="BO47674" s="43"/>
    </row>
    <row r="47675" spans="65:67" ht="18.75" customHeight="1">
      <c r="BM47675" s="1025"/>
      <c r="BO47675" s="43"/>
    </row>
    <row r="47676" spans="65:67" ht="18.75" customHeight="1">
      <c r="BM47676" s="1025"/>
      <c r="BO47676" s="43"/>
    </row>
    <row r="47677" spans="65:67" ht="18.75" customHeight="1">
      <c r="BM47677" s="1025"/>
      <c r="BO47677" s="43"/>
    </row>
    <row r="47678" spans="65:67" ht="18.75" customHeight="1">
      <c r="BM47678" s="1025"/>
      <c r="BO47678" s="43"/>
    </row>
    <row r="47679" spans="65:67" ht="18.75" customHeight="1">
      <c r="BM47679" s="1025"/>
      <c r="BO47679" s="43"/>
    </row>
    <row r="47680" spans="65:67" ht="18.75" customHeight="1">
      <c r="BM47680" s="1025"/>
      <c r="BO47680" s="43"/>
    </row>
    <row r="47681" spans="65:67" ht="18.75" customHeight="1">
      <c r="BM47681" s="1025"/>
      <c r="BO47681" s="43"/>
    </row>
    <row r="47682" spans="65:67" ht="18.75" customHeight="1">
      <c r="BM47682" s="1025"/>
      <c r="BO47682" s="43"/>
    </row>
    <row r="47683" spans="65:67" ht="18.75" customHeight="1">
      <c r="BM47683" s="1025"/>
      <c r="BO47683" s="43"/>
    </row>
    <row r="47684" spans="65:67" ht="18.75" customHeight="1">
      <c r="BM47684" s="1025"/>
      <c r="BO47684" s="43"/>
    </row>
    <row r="47685" spans="65:67" ht="18.75" customHeight="1">
      <c r="BM47685" s="1025"/>
      <c r="BO47685" s="43"/>
    </row>
    <row r="47686" spans="65:67" ht="18.75" customHeight="1">
      <c r="BM47686" s="1025"/>
      <c r="BO47686" s="43"/>
    </row>
    <row r="47687" spans="65:67" ht="18.75" customHeight="1">
      <c r="BM47687" s="1025"/>
      <c r="BO47687" s="43"/>
    </row>
    <row r="47688" spans="65:67" ht="18.75" customHeight="1">
      <c r="BM47688" s="1025"/>
      <c r="BO47688" s="43"/>
    </row>
    <row r="47689" spans="65:67" ht="18.75" customHeight="1">
      <c r="BM47689" s="1025"/>
      <c r="BO47689" s="43"/>
    </row>
    <row r="47690" spans="65:67" ht="18.75" customHeight="1">
      <c r="BM47690" s="1025"/>
      <c r="BO47690" s="43"/>
    </row>
    <row r="47691" spans="65:67" ht="18.75" customHeight="1">
      <c r="BM47691" s="1025"/>
      <c r="BO47691" s="43"/>
    </row>
    <row r="47692" spans="65:67" ht="18.75" customHeight="1">
      <c r="BM47692" s="1025"/>
      <c r="BO47692" s="43"/>
    </row>
    <row r="47693" spans="65:67" ht="18.75" customHeight="1">
      <c r="BM47693" s="1025"/>
      <c r="BO47693" s="43"/>
    </row>
    <row r="47694" spans="65:67" ht="18.75" customHeight="1">
      <c r="BM47694" s="1025"/>
      <c r="BO47694" s="43"/>
    </row>
    <row r="47695" spans="65:67" ht="18.75" customHeight="1">
      <c r="BM47695" s="1025"/>
      <c r="BO47695" s="43"/>
    </row>
    <row r="47696" spans="65:67" ht="18.75" customHeight="1">
      <c r="BM47696" s="1025"/>
      <c r="BO47696" s="43"/>
    </row>
    <row r="47697" spans="65:67" ht="18.75" customHeight="1">
      <c r="BM47697" s="1025"/>
      <c r="BO47697" s="43"/>
    </row>
    <row r="47698" spans="65:67" ht="18.75" customHeight="1">
      <c r="BM47698" s="1025"/>
      <c r="BO47698" s="43"/>
    </row>
    <row r="47699" spans="65:67" ht="18.75" customHeight="1">
      <c r="BM47699" s="1025"/>
      <c r="BO47699" s="43"/>
    </row>
    <row r="47700" spans="65:67" ht="18.75" customHeight="1">
      <c r="BM47700" s="1025"/>
      <c r="BO47700" s="43"/>
    </row>
    <row r="47701" spans="65:67" ht="18.75" customHeight="1">
      <c r="BM47701" s="1025"/>
      <c r="BO47701" s="43"/>
    </row>
    <row r="47702" spans="65:67" ht="18.75" customHeight="1">
      <c r="BM47702" s="1025"/>
      <c r="BO47702" s="43"/>
    </row>
    <row r="47703" spans="65:67" ht="18.75" customHeight="1">
      <c r="BM47703" s="1025"/>
      <c r="BO47703" s="43"/>
    </row>
    <row r="47704" spans="65:67" ht="18.75" customHeight="1">
      <c r="BM47704" s="1025"/>
      <c r="BO47704" s="43"/>
    </row>
    <row r="47705" spans="65:67" ht="18.75" customHeight="1">
      <c r="BM47705" s="1025"/>
      <c r="BO47705" s="43"/>
    </row>
    <row r="47706" spans="65:67" ht="18.75" customHeight="1">
      <c r="BM47706" s="1025"/>
      <c r="BO47706" s="43"/>
    </row>
    <row r="47707" spans="65:67" ht="18.75" customHeight="1">
      <c r="BM47707" s="1025"/>
      <c r="BO47707" s="43"/>
    </row>
    <row r="47708" spans="65:67" ht="18.75" customHeight="1">
      <c r="BM47708" s="1025"/>
      <c r="BO47708" s="43"/>
    </row>
    <row r="47709" spans="65:67" ht="18.75" customHeight="1">
      <c r="BM47709" s="1025"/>
      <c r="BO47709" s="43"/>
    </row>
    <row r="47710" spans="65:67" ht="18.75" customHeight="1">
      <c r="BM47710" s="1025"/>
      <c r="BO47710" s="43"/>
    </row>
    <row r="47711" spans="65:67" ht="18.75" customHeight="1">
      <c r="BM47711" s="1025"/>
      <c r="BO47711" s="43"/>
    </row>
    <row r="47712" spans="65:67" ht="18.75" customHeight="1">
      <c r="BM47712" s="1025"/>
      <c r="BO47712" s="43"/>
    </row>
    <row r="47713" spans="65:67" ht="18.75" customHeight="1">
      <c r="BM47713" s="1025"/>
      <c r="BO47713" s="43"/>
    </row>
    <row r="47714" spans="65:67" ht="18.75" customHeight="1">
      <c r="BM47714" s="1025"/>
      <c r="BO47714" s="43"/>
    </row>
    <row r="47715" spans="65:67" ht="18.75" customHeight="1">
      <c r="BM47715" s="1025"/>
      <c r="BO47715" s="43"/>
    </row>
    <row r="47716" spans="65:67" ht="18.75" customHeight="1">
      <c r="BM47716" s="1025"/>
      <c r="BO47716" s="43"/>
    </row>
    <row r="47717" spans="65:67" ht="18.75" customHeight="1">
      <c r="BM47717" s="1025"/>
      <c r="BO47717" s="43"/>
    </row>
    <row r="47718" spans="65:67" ht="18.75" customHeight="1">
      <c r="BM47718" s="1025"/>
      <c r="BO47718" s="43"/>
    </row>
    <row r="47719" spans="65:67" ht="18.75" customHeight="1">
      <c r="BM47719" s="1025"/>
      <c r="BO47719" s="43"/>
    </row>
    <row r="47720" spans="65:67" ht="18.75" customHeight="1">
      <c r="BM47720" s="1025"/>
      <c r="BO47720" s="43"/>
    </row>
    <row r="47721" spans="65:67" ht="18.75" customHeight="1">
      <c r="BM47721" s="1025"/>
      <c r="BO47721" s="43"/>
    </row>
    <row r="47722" spans="65:67" ht="18.75" customHeight="1">
      <c r="BM47722" s="1025"/>
      <c r="BO47722" s="43"/>
    </row>
    <row r="47723" spans="65:67" ht="18.75" customHeight="1">
      <c r="BM47723" s="1025"/>
      <c r="BO47723" s="43"/>
    </row>
    <row r="47724" spans="65:67" ht="18.75" customHeight="1">
      <c r="BM47724" s="1025"/>
      <c r="BO47724" s="43"/>
    </row>
    <row r="47725" spans="65:67" ht="18.75" customHeight="1">
      <c r="BM47725" s="1025"/>
      <c r="BO47725" s="43"/>
    </row>
    <row r="47726" spans="65:67" ht="18.75" customHeight="1">
      <c r="BM47726" s="1025"/>
      <c r="BO47726" s="43"/>
    </row>
    <row r="47727" spans="65:67" ht="18.75" customHeight="1">
      <c r="BM47727" s="1025"/>
      <c r="BO47727" s="43"/>
    </row>
    <row r="47728" spans="65:67" ht="18.75" customHeight="1">
      <c r="BM47728" s="1025"/>
      <c r="BO47728" s="43"/>
    </row>
    <row r="47729" spans="65:67" ht="18.75" customHeight="1">
      <c r="BM47729" s="1025"/>
      <c r="BO47729" s="43"/>
    </row>
    <row r="47730" spans="65:67" ht="18.75" customHeight="1">
      <c r="BM47730" s="1025"/>
      <c r="BO47730" s="43"/>
    </row>
    <row r="47731" spans="65:67" ht="18.75" customHeight="1">
      <c r="BM47731" s="1025"/>
      <c r="BO47731" s="43"/>
    </row>
    <row r="47732" spans="65:67" ht="18.75" customHeight="1">
      <c r="BM47732" s="1025"/>
      <c r="BO47732" s="43"/>
    </row>
    <row r="47733" spans="65:67" ht="18.75" customHeight="1">
      <c r="BM47733" s="1025"/>
      <c r="BO47733" s="43"/>
    </row>
    <row r="47734" spans="65:67" ht="18.75" customHeight="1">
      <c r="BM47734" s="1025"/>
      <c r="BO47734" s="43"/>
    </row>
    <row r="47735" spans="65:67" ht="18.75" customHeight="1">
      <c r="BM47735" s="1025"/>
      <c r="BO47735" s="43"/>
    </row>
    <row r="47736" spans="65:67" ht="18.75" customHeight="1">
      <c r="BM47736" s="1025"/>
      <c r="BO47736" s="43"/>
    </row>
    <row r="47737" spans="65:67" ht="18.75" customHeight="1">
      <c r="BM47737" s="1025"/>
      <c r="BO47737" s="43"/>
    </row>
    <row r="47738" spans="65:67" ht="18.75" customHeight="1">
      <c r="BM47738" s="1025"/>
      <c r="BO47738" s="43"/>
    </row>
    <row r="47739" spans="65:67" ht="18.75" customHeight="1">
      <c r="BM47739" s="1025"/>
      <c r="BO47739" s="43"/>
    </row>
    <row r="47740" spans="65:67" ht="18.75" customHeight="1">
      <c r="BM47740" s="1025"/>
      <c r="BO47740" s="43"/>
    </row>
    <row r="47741" spans="65:67" ht="18.75" customHeight="1">
      <c r="BM47741" s="1025"/>
      <c r="BO47741" s="43"/>
    </row>
    <row r="47742" spans="65:67" ht="18.75" customHeight="1">
      <c r="BM47742" s="1025"/>
      <c r="BO47742" s="43"/>
    </row>
    <row r="47743" spans="65:67" ht="18.75" customHeight="1">
      <c r="BM47743" s="1025"/>
      <c r="BO47743" s="43"/>
    </row>
    <row r="47744" spans="65:67" ht="18.75" customHeight="1">
      <c r="BM47744" s="1025"/>
      <c r="BO47744" s="43"/>
    </row>
    <row r="47745" spans="65:67" ht="18.75" customHeight="1">
      <c r="BM47745" s="1025"/>
      <c r="BO47745" s="43"/>
    </row>
    <row r="47746" spans="65:67" ht="18.75" customHeight="1">
      <c r="BM47746" s="1025"/>
      <c r="BO47746" s="43"/>
    </row>
    <row r="47747" spans="65:67" ht="18.75" customHeight="1">
      <c r="BM47747" s="1025"/>
      <c r="BO47747" s="43"/>
    </row>
    <row r="47748" spans="65:67" ht="18.75" customHeight="1">
      <c r="BM47748" s="1025"/>
      <c r="BO47748" s="43"/>
    </row>
    <row r="47749" spans="65:67" ht="18.75" customHeight="1">
      <c r="BM47749" s="1025"/>
      <c r="BO47749" s="43"/>
    </row>
    <row r="47750" spans="65:67" ht="18.75" customHeight="1">
      <c r="BM47750" s="1025"/>
      <c r="BO47750" s="43"/>
    </row>
    <row r="47751" spans="65:67" ht="18.75" customHeight="1">
      <c r="BM47751" s="1025"/>
      <c r="BO47751" s="43"/>
    </row>
    <row r="47752" spans="65:67" ht="18.75" customHeight="1">
      <c r="BM47752" s="1025"/>
      <c r="BO47752" s="43"/>
    </row>
    <row r="47753" spans="65:67" ht="18.75" customHeight="1">
      <c r="BM47753" s="1025"/>
      <c r="BO47753" s="43"/>
    </row>
    <row r="47754" spans="65:67" ht="18.75" customHeight="1">
      <c r="BM47754" s="1025"/>
      <c r="BO47754" s="43"/>
    </row>
    <row r="47755" spans="65:67" ht="18.75" customHeight="1">
      <c r="BM47755" s="1025"/>
      <c r="BO47755" s="43"/>
    </row>
    <row r="47756" spans="65:67" ht="18.75" customHeight="1">
      <c r="BM47756" s="1025"/>
      <c r="BO47756" s="43"/>
    </row>
    <row r="47757" spans="65:67" ht="18.75" customHeight="1">
      <c r="BM47757" s="1025"/>
      <c r="BO47757" s="43"/>
    </row>
    <row r="47758" spans="65:67" ht="18.75" customHeight="1">
      <c r="BM47758" s="1025"/>
      <c r="BO47758" s="43"/>
    </row>
    <row r="47759" spans="65:67" ht="18.75" customHeight="1">
      <c r="BM47759" s="1025"/>
      <c r="BO47759" s="43"/>
    </row>
    <row r="47760" spans="65:67" ht="18.75" customHeight="1">
      <c r="BM47760" s="1025"/>
      <c r="BO47760" s="43"/>
    </row>
    <row r="47761" spans="65:67" ht="18.75" customHeight="1">
      <c r="BM47761" s="1025"/>
      <c r="BO47761" s="43"/>
    </row>
    <row r="47762" spans="65:67" ht="18.75" customHeight="1">
      <c r="BM47762" s="1025"/>
      <c r="BO47762" s="43"/>
    </row>
    <row r="47763" spans="65:67" ht="18.75" customHeight="1">
      <c r="BM47763" s="1025"/>
      <c r="BO47763" s="43"/>
    </row>
    <row r="47764" spans="65:67" ht="18.75" customHeight="1">
      <c r="BM47764" s="1025"/>
      <c r="BO47764" s="43"/>
    </row>
    <row r="47765" spans="65:67" ht="18.75" customHeight="1">
      <c r="BM47765" s="1025"/>
      <c r="BO47765" s="43"/>
    </row>
    <row r="47766" spans="65:67" ht="18.75" customHeight="1">
      <c r="BM47766" s="1025"/>
      <c r="BO47766" s="43"/>
    </row>
    <row r="47767" spans="65:67" ht="18.75" customHeight="1">
      <c r="BM47767" s="1025"/>
      <c r="BO47767" s="43"/>
    </row>
    <row r="47768" spans="65:67" ht="18.75" customHeight="1">
      <c r="BM47768" s="1025"/>
      <c r="BO47768" s="43"/>
    </row>
    <row r="47769" spans="65:67" ht="18.75" customHeight="1">
      <c r="BM47769" s="1025"/>
      <c r="BO47769" s="43"/>
    </row>
    <row r="47770" spans="65:67" ht="18.75" customHeight="1">
      <c r="BM47770" s="1025"/>
      <c r="BO47770" s="43"/>
    </row>
    <row r="47771" spans="65:67" ht="18.75" customHeight="1">
      <c r="BM47771" s="1025"/>
      <c r="BO47771" s="43"/>
    </row>
    <row r="47772" spans="65:67" ht="18.75" customHeight="1">
      <c r="BM47772" s="1025"/>
      <c r="BO47772" s="43"/>
    </row>
    <row r="47773" spans="65:67" ht="18.75" customHeight="1">
      <c r="BM47773" s="1025"/>
      <c r="BO47773" s="43"/>
    </row>
    <row r="47774" spans="65:67" ht="18.75" customHeight="1">
      <c r="BM47774" s="1025"/>
      <c r="BO47774" s="43"/>
    </row>
    <row r="47775" spans="65:67" ht="18.75" customHeight="1">
      <c r="BM47775" s="1025"/>
      <c r="BO47775" s="43"/>
    </row>
    <row r="47776" spans="65:67" ht="18.75" customHeight="1">
      <c r="BM47776" s="1025"/>
      <c r="BO47776" s="43"/>
    </row>
    <row r="47777" spans="65:67" ht="18.75" customHeight="1">
      <c r="BM47777" s="1025"/>
      <c r="BO47777" s="43"/>
    </row>
    <row r="47778" spans="65:67" ht="18.75" customHeight="1">
      <c r="BM47778" s="1025"/>
      <c r="BO47778" s="43"/>
    </row>
    <row r="47779" spans="65:67" ht="18.75" customHeight="1">
      <c r="BM47779" s="1025"/>
      <c r="BO47779" s="43"/>
    </row>
    <row r="47780" spans="65:67" ht="18.75" customHeight="1">
      <c r="BM47780" s="1025"/>
      <c r="BO47780" s="43"/>
    </row>
    <row r="47781" spans="65:67" ht="18.75" customHeight="1">
      <c r="BM47781" s="1025"/>
      <c r="BO47781" s="43"/>
    </row>
    <row r="47782" spans="65:67" ht="18.75" customHeight="1">
      <c r="BM47782" s="1025"/>
      <c r="BO47782" s="43"/>
    </row>
    <row r="47783" spans="65:67" ht="18.75" customHeight="1">
      <c r="BM47783" s="1025"/>
      <c r="BO47783" s="43"/>
    </row>
    <row r="47784" spans="65:67" ht="18.75" customHeight="1">
      <c r="BM47784" s="1025"/>
      <c r="BO47784" s="43"/>
    </row>
    <row r="47785" spans="65:67" ht="18.75" customHeight="1">
      <c r="BM47785" s="1025"/>
      <c r="BO47785" s="43"/>
    </row>
    <row r="47786" spans="65:67" ht="18.75" customHeight="1">
      <c r="BM47786" s="1025"/>
      <c r="BO47786" s="43"/>
    </row>
    <row r="47787" spans="65:67" ht="18.75" customHeight="1">
      <c r="BM47787" s="1025"/>
      <c r="BO47787" s="43"/>
    </row>
    <row r="47788" spans="65:67" ht="18.75" customHeight="1">
      <c r="BM47788" s="1025"/>
      <c r="BO47788" s="43"/>
    </row>
    <row r="47789" spans="65:67" ht="18.75" customHeight="1">
      <c r="BM47789" s="1025"/>
      <c r="BO47789" s="43"/>
    </row>
    <row r="47790" spans="65:67" ht="18.75" customHeight="1">
      <c r="BM47790" s="1025"/>
      <c r="BO47790" s="43"/>
    </row>
    <row r="47791" spans="65:67" ht="18.75" customHeight="1">
      <c r="BM47791" s="1025"/>
      <c r="BO47791" s="43"/>
    </row>
    <row r="47792" spans="65:67" ht="18.75" customHeight="1">
      <c r="BM47792" s="1025"/>
      <c r="BO47792" s="43"/>
    </row>
    <row r="47793" spans="65:67" ht="18.75" customHeight="1">
      <c r="BM47793" s="1025"/>
      <c r="BO47793" s="43"/>
    </row>
    <row r="47794" spans="65:67" ht="18.75" customHeight="1">
      <c r="BM47794" s="1025"/>
      <c r="BO47794" s="43"/>
    </row>
    <row r="47795" spans="65:67" ht="18.75" customHeight="1">
      <c r="BM47795" s="1025"/>
      <c r="BO47795" s="43"/>
    </row>
    <row r="47796" spans="65:67" ht="18.75" customHeight="1">
      <c r="BM47796" s="1025"/>
      <c r="BO47796" s="43"/>
    </row>
    <row r="47797" spans="65:67" ht="18.75" customHeight="1">
      <c r="BM47797" s="1025"/>
      <c r="BO47797" s="43"/>
    </row>
    <row r="47798" spans="65:67" ht="18.75" customHeight="1">
      <c r="BM47798" s="1025"/>
      <c r="BO47798" s="43"/>
    </row>
    <row r="47799" spans="65:67" ht="18.75" customHeight="1">
      <c r="BM47799" s="1025"/>
      <c r="BO47799" s="43"/>
    </row>
    <row r="47800" spans="65:67" ht="18.75" customHeight="1">
      <c r="BM47800" s="1025"/>
      <c r="BO47800" s="43"/>
    </row>
    <row r="47801" spans="65:67" ht="18.75" customHeight="1">
      <c r="BM47801" s="1025"/>
      <c r="BO47801" s="43"/>
    </row>
    <row r="47802" spans="65:67" ht="18.75" customHeight="1">
      <c r="BM47802" s="1025"/>
      <c r="BO47802" s="43"/>
    </row>
    <row r="47803" spans="65:67" ht="18.75" customHeight="1">
      <c r="BM47803" s="1025"/>
      <c r="BO47803" s="43"/>
    </row>
    <row r="47804" spans="65:67" ht="18.75" customHeight="1">
      <c r="BM47804" s="1025"/>
      <c r="BO47804" s="43"/>
    </row>
    <row r="47805" spans="65:67" ht="18.75" customHeight="1">
      <c r="BM47805" s="1025"/>
      <c r="BO47805" s="43"/>
    </row>
    <row r="47806" spans="65:67" ht="18.75" customHeight="1">
      <c r="BM47806" s="1025"/>
      <c r="BO47806" s="43"/>
    </row>
    <row r="47807" spans="65:67" ht="18.75" customHeight="1">
      <c r="BM47807" s="1025"/>
      <c r="BO47807" s="43"/>
    </row>
    <row r="47808" spans="65:67" ht="18.75" customHeight="1">
      <c r="BM47808" s="1025"/>
      <c r="BO47808" s="43"/>
    </row>
    <row r="47809" spans="65:67" ht="18.75" customHeight="1">
      <c r="BM47809" s="1025"/>
      <c r="BO47809" s="43"/>
    </row>
    <row r="47810" spans="65:67" ht="18.75" customHeight="1">
      <c r="BM47810" s="1025"/>
      <c r="BO47810" s="43"/>
    </row>
    <row r="47811" spans="65:67" ht="18.75" customHeight="1">
      <c r="BM47811" s="1025"/>
      <c r="BO47811" s="43"/>
    </row>
    <row r="47812" spans="65:67" ht="18.75" customHeight="1">
      <c r="BM47812" s="1025"/>
      <c r="BO47812" s="43"/>
    </row>
    <row r="47813" spans="65:67" ht="18.75" customHeight="1">
      <c r="BM47813" s="1025"/>
      <c r="BO47813" s="43"/>
    </row>
    <row r="47814" spans="65:67" ht="18.75" customHeight="1">
      <c r="BM47814" s="1025"/>
      <c r="BO47814" s="43"/>
    </row>
    <row r="47815" spans="65:67" ht="18.75" customHeight="1">
      <c r="BM47815" s="1025"/>
      <c r="BO47815" s="43"/>
    </row>
    <row r="47816" spans="65:67" ht="18.75" customHeight="1">
      <c r="BM47816" s="1025"/>
      <c r="BO47816" s="43"/>
    </row>
    <row r="47817" spans="65:67" ht="18.75" customHeight="1">
      <c r="BM47817" s="1025"/>
      <c r="BO47817" s="43"/>
    </row>
    <row r="47818" spans="65:67" ht="18.75" customHeight="1">
      <c r="BM47818" s="1025"/>
      <c r="BO47818" s="43"/>
    </row>
    <row r="47819" spans="65:67" ht="18.75" customHeight="1">
      <c r="BM47819" s="1025"/>
      <c r="BO47819" s="43"/>
    </row>
    <row r="47820" spans="65:67" ht="18.75" customHeight="1">
      <c r="BM47820" s="1025"/>
      <c r="BO47820" s="43"/>
    </row>
    <row r="47821" spans="65:67" ht="18.75" customHeight="1">
      <c r="BM47821" s="1025"/>
      <c r="BO47821" s="43"/>
    </row>
    <row r="47822" spans="65:67" ht="18.75" customHeight="1">
      <c r="BM47822" s="1025"/>
      <c r="BO47822" s="43"/>
    </row>
    <row r="47823" spans="65:67" ht="18.75" customHeight="1">
      <c r="BM47823" s="1025"/>
      <c r="BO47823" s="43"/>
    </row>
    <row r="47824" spans="65:67" ht="18.75" customHeight="1">
      <c r="BM47824" s="1025"/>
      <c r="BO47824" s="43"/>
    </row>
    <row r="47825" spans="65:67" ht="18.75" customHeight="1">
      <c r="BM47825" s="1025"/>
      <c r="BO47825" s="43"/>
    </row>
    <row r="47826" spans="65:67" ht="18.75" customHeight="1">
      <c r="BM47826" s="1025"/>
      <c r="BO47826" s="43"/>
    </row>
    <row r="47827" spans="65:67" ht="18.75" customHeight="1">
      <c r="BM47827" s="1025"/>
      <c r="BO47827" s="43"/>
    </row>
    <row r="47828" spans="65:67" ht="18.75" customHeight="1">
      <c r="BM47828" s="1025"/>
      <c r="BO47828" s="43"/>
    </row>
    <row r="47829" spans="65:67" ht="18.75" customHeight="1">
      <c r="BM47829" s="1025"/>
      <c r="BO47829" s="43"/>
    </row>
    <row r="47830" spans="65:67" ht="18.75" customHeight="1">
      <c r="BM47830" s="1025"/>
      <c r="BO47830" s="43"/>
    </row>
    <row r="47831" spans="65:67" ht="18.75" customHeight="1">
      <c r="BM47831" s="1025"/>
      <c r="BO47831" s="43"/>
    </row>
    <row r="47832" spans="65:67" ht="18.75" customHeight="1">
      <c r="BM47832" s="1025"/>
      <c r="BO47832" s="43"/>
    </row>
    <row r="47833" spans="65:67" ht="18.75" customHeight="1">
      <c r="BM47833" s="1025"/>
      <c r="BO47833" s="43"/>
    </row>
    <row r="47834" spans="65:67" ht="18.75" customHeight="1">
      <c r="BM47834" s="1025"/>
      <c r="BO47834" s="43"/>
    </row>
    <row r="47835" spans="65:67" ht="18.75" customHeight="1">
      <c r="BM47835" s="1025"/>
      <c r="BO47835" s="43"/>
    </row>
    <row r="47836" spans="65:67" ht="18.75" customHeight="1">
      <c r="BM47836" s="1025"/>
      <c r="BO47836" s="43"/>
    </row>
    <row r="47837" spans="65:67" ht="18.75" customHeight="1">
      <c r="BM47837" s="1025"/>
      <c r="BO47837" s="43"/>
    </row>
    <row r="47838" spans="65:67" ht="18.75" customHeight="1">
      <c r="BM47838" s="1025"/>
      <c r="BO47838" s="43"/>
    </row>
    <row r="47839" spans="65:67" ht="18.75" customHeight="1">
      <c r="BM47839" s="1025"/>
      <c r="BO47839" s="43"/>
    </row>
    <row r="47840" spans="65:67" ht="18.75" customHeight="1">
      <c r="BM47840" s="1025"/>
      <c r="BO47840" s="43"/>
    </row>
    <row r="47841" spans="65:67" ht="18.75" customHeight="1">
      <c r="BM47841" s="1025"/>
      <c r="BO47841" s="43"/>
    </row>
    <row r="47842" spans="65:67" ht="18.75" customHeight="1">
      <c r="BM47842" s="1025"/>
      <c r="BO47842" s="43"/>
    </row>
    <row r="47843" spans="65:67" ht="18.75" customHeight="1">
      <c r="BM47843" s="1025"/>
      <c r="BO47843" s="43"/>
    </row>
    <row r="47844" spans="65:67" ht="18.75" customHeight="1">
      <c r="BM47844" s="1025"/>
      <c r="BO47844" s="43"/>
    </row>
    <row r="47845" spans="65:67" ht="18.75" customHeight="1">
      <c r="BM47845" s="1025"/>
      <c r="BO47845" s="43"/>
    </row>
    <row r="47846" spans="65:67" ht="18.75" customHeight="1">
      <c r="BM47846" s="1025"/>
      <c r="BO47846" s="43"/>
    </row>
    <row r="47847" spans="65:67" ht="18.75" customHeight="1">
      <c r="BM47847" s="1025"/>
      <c r="BO47847" s="43"/>
    </row>
    <row r="47848" spans="65:67" ht="18.75" customHeight="1">
      <c r="BM47848" s="1025"/>
      <c r="BO47848" s="43"/>
    </row>
    <row r="47849" spans="65:67" ht="18.75" customHeight="1">
      <c r="BM47849" s="1025"/>
      <c r="BO47849" s="43"/>
    </row>
    <row r="47850" spans="65:67" ht="18.75" customHeight="1">
      <c r="BM47850" s="1025"/>
      <c r="BO47850" s="43"/>
    </row>
    <row r="47851" spans="65:67" ht="18.75" customHeight="1">
      <c r="BM47851" s="1025"/>
      <c r="BO47851" s="43"/>
    </row>
    <row r="47852" spans="65:67" ht="18.75" customHeight="1">
      <c r="BM47852" s="1025"/>
      <c r="BO47852" s="43"/>
    </row>
    <row r="47853" spans="65:67" ht="18.75" customHeight="1">
      <c r="BM47853" s="1025"/>
      <c r="BO47853" s="43"/>
    </row>
    <row r="47854" spans="65:67" ht="18.75" customHeight="1">
      <c r="BM47854" s="1025"/>
      <c r="BO47854" s="43"/>
    </row>
    <row r="47855" spans="65:67" ht="18.75" customHeight="1">
      <c r="BM47855" s="1025"/>
      <c r="BO47855" s="43"/>
    </row>
    <row r="47856" spans="65:67" ht="18.75" customHeight="1">
      <c r="BM47856" s="1025"/>
      <c r="BO47856" s="43"/>
    </row>
    <row r="47857" spans="65:67" ht="18.75" customHeight="1">
      <c r="BM47857" s="1025"/>
      <c r="BO47857" s="43"/>
    </row>
    <row r="47858" spans="65:67" ht="18.75" customHeight="1">
      <c r="BM47858" s="1025"/>
      <c r="BO47858" s="43"/>
    </row>
    <row r="47859" spans="65:67" ht="18.75" customHeight="1">
      <c r="BM47859" s="1025"/>
      <c r="BO47859" s="43"/>
    </row>
    <row r="47860" spans="65:67" ht="18.75" customHeight="1">
      <c r="BM47860" s="1025"/>
      <c r="BO47860" s="43"/>
    </row>
    <row r="47861" spans="65:67" ht="18.75" customHeight="1">
      <c r="BM47861" s="1025"/>
      <c r="BO47861" s="43"/>
    </row>
    <row r="47862" spans="65:67" ht="18.75" customHeight="1">
      <c r="BM47862" s="1025"/>
      <c r="BO47862" s="43"/>
    </row>
    <row r="47863" spans="65:67" ht="18.75" customHeight="1">
      <c r="BM47863" s="1025"/>
      <c r="BO47863" s="43"/>
    </row>
    <row r="47864" spans="65:67" ht="18.75" customHeight="1">
      <c r="BM47864" s="1025"/>
      <c r="BO47864" s="43"/>
    </row>
    <row r="47865" spans="65:67" ht="18.75" customHeight="1">
      <c r="BM47865" s="1025"/>
      <c r="BO47865" s="43"/>
    </row>
    <row r="47866" spans="65:67" ht="18.75" customHeight="1">
      <c r="BM47866" s="1025"/>
      <c r="BO47866" s="43"/>
    </row>
    <row r="47867" spans="65:67" ht="18.75" customHeight="1">
      <c r="BM47867" s="1025"/>
      <c r="BO47867" s="43"/>
    </row>
    <row r="47868" spans="65:67" ht="18.75" customHeight="1">
      <c r="BM47868" s="1025"/>
      <c r="BO47868" s="43"/>
    </row>
    <row r="47869" spans="65:67" ht="18.75" customHeight="1">
      <c r="BM47869" s="1025"/>
      <c r="BO47869" s="43"/>
    </row>
    <row r="47870" spans="65:67" ht="18.75" customHeight="1">
      <c r="BM47870" s="1025"/>
      <c r="BO47870" s="43"/>
    </row>
    <row r="47871" spans="65:67" ht="18.75" customHeight="1">
      <c r="BM47871" s="1025"/>
      <c r="BO47871" s="43"/>
    </row>
    <row r="47872" spans="65:67" ht="18.75" customHeight="1">
      <c r="BM47872" s="1025"/>
      <c r="BO47872" s="43"/>
    </row>
    <row r="47873" spans="65:67" ht="18.75" customHeight="1">
      <c r="BM47873" s="1025"/>
      <c r="BO47873" s="43"/>
    </row>
    <row r="47874" spans="65:67" ht="18.75" customHeight="1">
      <c r="BM47874" s="1025"/>
      <c r="BO47874" s="43"/>
    </row>
    <row r="47875" spans="65:67" ht="18.75" customHeight="1">
      <c r="BM47875" s="1025"/>
      <c r="BO47875" s="43"/>
    </row>
    <row r="47876" spans="65:67" ht="18.75" customHeight="1">
      <c r="BM47876" s="1025"/>
      <c r="BO47876" s="43"/>
    </row>
    <row r="47877" spans="65:67" ht="18.75" customHeight="1">
      <c r="BM47877" s="1025"/>
      <c r="BO47877" s="43"/>
    </row>
    <row r="47878" spans="65:67" ht="18.75" customHeight="1">
      <c r="BM47878" s="1025"/>
      <c r="BO47878" s="43"/>
    </row>
    <row r="47879" spans="65:67" ht="18.75" customHeight="1">
      <c r="BM47879" s="1025"/>
      <c r="BO47879" s="43"/>
    </row>
    <row r="47880" spans="65:67" ht="18.75" customHeight="1">
      <c r="BM47880" s="1025"/>
      <c r="BO47880" s="43"/>
    </row>
    <row r="47881" spans="65:67" ht="18.75" customHeight="1">
      <c r="BM47881" s="1025"/>
      <c r="BO47881" s="43"/>
    </row>
    <row r="47882" spans="65:67" ht="18.75" customHeight="1">
      <c r="BM47882" s="1025"/>
      <c r="BO47882" s="43"/>
    </row>
    <row r="47883" spans="65:67" ht="18.75" customHeight="1">
      <c r="BM47883" s="1025"/>
      <c r="BO47883" s="43"/>
    </row>
    <row r="47884" spans="65:67" ht="18.75" customHeight="1">
      <c r="BM47884" s="1025"/>
      <c r="BO47884" s="43"/>
    </row>
    <row r="47885" spans="65:67" ht="18.75" customHeight="1">
      <c r="BM47885" s="1025"/>
      <c r="BO47885" s="43"/>
    </row>
    <row r="47886" spans="65:67" ht="18.75" customHeight="1">
      <c r="BM47886" s="1025"/>
      <c r="BO47886" s="43"/>
    </row>
    <row r="47887" spans="65:67" ht="18.75" customHeight="1">
      <c r="BM47887" s="1025"/>
      <c r="BO47887" s="43"/>
    </row>
    <row r="47888" spans="65:67" ht="18.75" customHeight="1">
      <c r="BM47888" s="1025"/>
      <c r="BO47888" s="43"/>
    </row>
    <row r="47889" spans="65:67" ht="18.75" customHeight="1">
      <c r="BM47889" s="1025"/>
      <c r="BO47889" s="43"/>
    </row>
    <row r="47890" spans="65:67" ht="18.75" customHeight="1">
      <c r="BM47890" s="1025"/>
      <c r="BO47890" s="43"/>
    </row>
    <row r="47891" spans="65:67" ht="18.75" customHeight="1">
      <c r="BM47891" s="1025"/>
      <c r="BO47891" s="43"/>
    </row>
    <row r="47892" spans="65:67" ht="18.75" customHeight="1">
      <c r="BM47892" s="1025"/>
      <c r="BO47892" s="43"/>
    </row>
    <row r="47893" spans="65:67" ht="18.75" customHeight="1">
      <c r="BM47893" s="1025"/>
      <c r="BO47893" s="43"/>
    </row>
    <row r="47894" spans="65:67" ht="18.75" customHeight="1">
      <c r="BM47894" s="1025"/>
      <c r="BO47894" s="43"/>
    </row>
    <row r="47895" spans="65:67" ht="18.75" customHeight="1">
      <c r="BM47895" s="1025"/>
      <c r="BO47895" s="43"/>
    </row>
    <row r="47896" spans="65:67" ht="18.75" customHeight="1">
      <c r="BM47896" s="1025"/>
      <c r="BO47896" s="43"/>
    </row>
    <row r="47897" spans="65:67" ht="18.75" customHeight="1">
      <c r="BM47897" s="1025"/>
      <c r="BO47897" s="43"/>
    </row>
    <row r="47898" spans="65:67" ht="18.75" customHeight="1">
      <c r="BM47898" s="1025"/>
      <c r="BO47898" s="43"/>
    </row>
    <row r="47899" spans="65:67" ht="18.75" customHeight="1">
      <c r="BM47899" s="1025"/>
      <c r="BO47899" s="43"/>
    </row>
    <row r="47900" spans="65:67" ht="18.75" customHeight="1">
      <c r="BM47900" s="1025"/>
      <c r="BO47900" s="43"/>
    </row>
    <row r="47901" spans="65:67" ht="18.75" customHeight="1">
      <c r="BM47901" s="1025"/>
      <c r="BO47901" s="43"/>
    </row>
    <row r="47902" spans="65:67" ht="18.75" customHeight="1">
      <c r="BM47902" s="1025"/>
      <c r="BO47902" s="43"/>
    </row>
    <row r="47903" spans="65:67" ht="18.75" customHeight="1">
      <c r="BM47903" s="1025"/>
      <c r="BO47903" s="43"/>
    </row>
    <row r="47904" spans="65:67" ht="18.75" customHeight="1">
      <c r="BM47904" s="1025"/>
      <c r="BO47904" s="43"/>
    </row>
    <row r="47905" spans="65:67" ht="18.75" customHeight="1">
      <c r="BM47905" s="1025"/>
      <c r="BO47905" s="43"/>
    </row>
    <row r="47906" spans="65:67" ht="18.75" customHeight="1">
      <c r="BM47906" s="1025"/>
      <c r="BO47906" s="43"/>
    </row>
    <row r="47907" spans="65:67" ht="18.75" customHeight="1">
      <c r="BM47907" s="1025"/>
      <c r="BO47907" s="43"/>
    </row>
    <row r="47908" spans="65:67" ht="18.75" customHeight="1">
      <c r="BM47908" s="1025"/>
      <c r="BO47908" s="43"/>
    </row>
    <row r="47909" spans="65:67" ht="18.75" customHeight="1">
      <c r="BM47909" s="1025"/>
      <c r="BO47909" s="43"/>
    </row>
    <row r="47910" spans="65:67" ht="18.75" customHeight="1">
      <c r="BM47910" s="1025"/>
      <c r="BO47910" s="43"/>
    </row>
    <row r="47911" spans="65:67" ht="18.75" customHeight="1">
      <c r="BM47911" s="1025"/>
      <c r="BO47911" s="43"/>
    </row>
    <row r="47912" spans="65:67" ht="18.75" customHeight="1">
      <c r="BM47912" s="1025"/>
      <c r="BO47912" s="43"/>
    </row>
    <row r="47913" spans="65:67" ht="18.75" customHeight="1">
      <c r="BM47913" s="1025"/>
      <c r="BO47913" s="43"/>
    </row>
    <row r="47914" spans="65:67" ht="18.75" customHeight="1">
      <c r="BM47914" s="1025"/>
      <c r="BO47914" s="43"/>
    </row>
    <row r="47915" spans="65:67" ht="18.75" customHeight="1">
      <c r="BM47915" s="1025"/>
      <c r="BO47915" s="43"/>
    </row>
    <row r="47916" spans="65:67" ht="18.75" customHeight="1">
      <c r="BM47916" s="1025"/>
      <c r="BO47916" s="43"/>
    </row>
    <row r="47917" spans="65:67" ht="18.75" customHeight="1">
      <c r="BM47917" s="1025"/>
      <c r="BO47917" s="43"/>
    </row>
    <row r="47918" spans="65:67" ht="18.75" customHeight="1">
      <c r="BM47918" s="1025"/>
      <c r="BO47918" s="43"/>
    </row>
    <row r="47919" spans="65:67" ht="18.75" customHeight="1">
      <c r="BM47919" s="1025"/>
      <c r="BO47919" s="43"/>
    </row>
    <row r="47920" spans="65:67" ht="18.75" customHeight="1">
      <c r="BM47920" s="1025"/>
      <c r="BO47920" s="43"/>
    </row>
    <row r="47921" spans="65:67" ht="18.75" customHeight="1">
      <c r="BM47921" s="1025"/>
      <c r="BO47921" s="43"/>
    </row>
    <row r="47922" spans="65:67" ht="18.75" customHeight="1">
      <c r="BM47922" s="1025"/>
      <c r="BO47922" s="43"/>
    </row>
    <row r="47923" spans="65:67" ht="18.75" customHeight="1">
      <c r="BM47923" s="1025"/>
      <c r="BO47923" s="43"/>
    </row>
    <row r="47924" spans="65:67" ht="18.75" customHeight="1">
      <c r="BM47924" s="1025"/>
      <c r="BO47924" s="43"/>
    </row>
    <row r="47925" spans="65:67" ht="18.75" customHeight="1">
      <c r="BM47925" s="1025"/>
      <c r="BO47925" s="43"/>
    </row>
    <row r="47926" spans="65:67" ht="18.75" customHeight="1">
      <c r="BM47926" s="1025"/>
      <c r="BO47926" s="43"/>
    </row>
    <row r="47927" spans="65:67" ht="18.75" customHeight="1">
      <c r="BM47927" s="1025"/>
      <c r="BO47927" s="43"/>
    </row>
    <row r="47928" spans="65:67" ht="18.75" customHeight="1">
      <c r="BM47928" s="1025"/>
      <c r="BO47928" s="43"/>
    </row>
    <row r="47929" spans="65:67" ht="18.75" customHeight="1">
      <c r="BM47929" s="1025"/>
      <c r="BO47929" s="43"/>
    </row>
    <row r="47930" spans="65:67" ht="18.75" customHeight="1">
      <c r="BM47930" s="1025"/>
      <c r="BO47930" s="43"/>
    </row>
    <row r="47931" spans="65:67" ht="18.75" customHeight="1">
      <c r="BM47931" s="1025"/>
      <c r="BO47931" s="43"/>
    </row>
    <row r="47932" spans="65:67" ht="18.75" customHeight="1">
      <c r="BM47932" s="1025"/>
      <c r="BO47932" s="43"/>
    </row>
    <row r="47933" spans="65:67" ht="18.75" customHeight="1">
      <c r="BM47933" s="1025"/>
      <c r="BO47933" s="43"/>
    </row>
    <row r="47934" spans="65:67" ht="18.75" customHeight="1">
      <c r="BM47934" s="1025"/>
      <c r="BO47934" s="43"/>
    </row>
    <row r="47935" spans="65:67" ht="18.75" customHeight="1">
      <c r="BM47935" s="1025"/>
      <c r="BO47935" s="43"/>
    </row>
    <row r="47936" spans="65:67" ht="18.75" customHeight="1">
      <c r="BM47936" s="1025"/>
      <c r="BO47936" s="43"/>
    </row>
    <row r="47937" spans="65:67" ht="18.75" customHeight="1">
      <c r="BM47937" s="1025"/>
      <c r="BO47937" s="43"/>
    </row>
    <row r="47938" spans="65:67" ht="18.75" customHeight="1">
      <c r="BM47938" s="1025"/>
      <c r="BO47938" s="43"/>
    </row>
    <row r="47939" spans="65:67" ht="18.75" customHeight="1">
      <c r="BM47939" s="1025"/>
      <c r="BO47939" s="43"/>
    </row>
    <row r="47940" spans="65:67" ht="18.75" customHeight="1">
      <c r="BM47940" s="1025"/>
      <c r="BO47940" s="43"/>
    </row>
    <row r="47941" spans="65:67" ht="18.75" customHeight="1">
      <c r="BM47941" s="1025"/>
      <c r="BO47941" s="43"/>
    </row>
    <row r="47942" spans="65:67" ht="18.75" customHeight="1">
      <c r="BM47942" s="1025"/>
      <c r="BO47942" s="43"/>
    </row>
    <row r="47943" spans="65:67" ht="18.75" customHeight="1">
      <c r="BM47943" s="1025"/>
      <c r="BO47943" s="43"/>
    </row>
    <row r="47944" spans="65:67" ht="18.75" customHeight="1">
      <c r="BM47944" s="1025"/>
      <c r="BO47944" s="43"/>
    </row>
    <row r="47945" spans="65:67" ht="18.75" customHeight="1">
      <c r="BM47945" s="1025"/>
      <c r="BO47945" s="43"/>
    </row>
    <row r="47946" spans="65:67" ht="18.75" customHeight="1">
      <c r="BM47946" s="1025"/>
      <c r="BO47946" s="43"/>
    </row>
    <row r="47947" spans="65:67" ht="18.75" customHeight="1">
      <c r="BM47947" s="1025"/>
      <c r="BO47947" s="43"/>
    </row>
    <row r="47948" spans="65:67" ht="18.75" customHeight="1">
      <c r="BM47948" s="1025"/>
      <c r="BO47948" s="43"/>
    </row>
    <row r="47949" spans="65:67" ht="18.75" customHeight="1">
      <c r="BM47949" s="1025"/>
      <c r="BO47949" s="43"/>
    </row>
    <row r="47950" spans="65:67" ht="18.75" customHeight="1">
      <c r="BM47950" s="1025"/>
      <c r="BO47950" s="43"/>
    </row>
    <row r="47951" spans="65:67" ht="18.75" customHeight="1">
      <c r="BM47951" s="1025"/>
      <c r="BO47951" s="43"/>
    </row>
    <row r="47952" spans="65:67" ht="18.75" customHeight="1">
      <c r="BM47952" s="1025"/>
      <c r="BO47952" s="43"/>
    </row>
    <row r="47953" spans="65:67" ht="18.75" customHeight="1">
      <c r="BM47953" s="1025"/>
      <c r="BO47953" s="43"/>
    </row>
    <row r="47954" spans="65:67" ht="18.75" customHeight="1">
      <c r="BM47954" s="1025"/>
      <c r="BO47954" s="43"/>
    </row>
    <row r="47955" spans="65:67" ht="18.75" customHeight="1">
      <c r="BM47955" s="1025"/>
      <c r="BO47955" s="43"/>
    </row>
    <row r="47956" spans="65:67" ht="18.75" customHeight="1">
      <c r="BM47956" s="1025"/>
      <c r="BO47956" s="43"/>
    </row>
    <row r="47957" spans="65:67" ht="18.75" customHeight="1">
      <c r="BM47957" s="1025"/>
      <c r="BO47957" s="43"/>
    </row>
    <row r="47958" spans="65:67" ht="18.75" customHeight="1">
      <c r="BM47958" s="1025"/>
      <c r="BO47958" s="43"/>
    </row>
    <row r="47959" spans="65:67" ht="18.75" customHeight="1">
      <c r="BM47959" s="1025"/>
      <c r="BO47959" s="43"/>
    </row>
    <row r="47960" spans="65:67" ht="18.75" customHeight="1">
      <c r="BM47960" s="1025"/>
      <c r="BO47960" s="43"/>
    </row>
    <row r="47961" spans="65:67" ht="18.75" customHeight="1">
      <c r="BM47961" s="1025"/>
      <c r="BO47961" s="43"/>
    </row>
    <row r="47962" spans="65:67" ht="18.75" customHeight="1">
      <c r="BM47962" s="1025"/>
      <c r="BO47962" s="43"/>
    </row>
    <row r="47963" spans="65:67" ht="18.75" customHeight="1">
      <c r="BM47963" s="1025"/>
      <c r="BO47963" s="43"/>
    </row>
    <row r="47964" spans="65:67" ht="18.75" customHeight="1">
      <c r="BM47964" s="1025"/>
      <c r="BO47964" s="43"/>
    </row>
    <row r="47965" spans="65:67" ht="18.75" customHeight="1">
      <c r="BM47965" s="1025"/>
      <c r="BO47965" s="43"/>
    </row>
    <row r="47966" spans="65:67" ht="18.75" customHeight="1">
      <c r="BM47966" s="1025"/>
      <c r="BO47966" s="43"/>
    </row>
    <row r="47967" spans="65:67" ht="18.75" customHeight="1">
      <c r="BM47967" s="1025"/>
      <c r="BO47967" s="43"/>
    </row>
    <row r="47968" spans="65:67" ht="18.75" customHeight="1">
      <c r="BM47968" s="1025"/>
      <c r="BO47968" s="43"/>
    </row>
    <row r="47969" spans="65:67" ht="18.75" customHeight="1">
      <c r="BM47969" s="1025"/>
      <c r="BO47969" s="43"/>
    </row>
    <row r="47970" spans="65:67" ht="18.75" customHeight="1">
      <c r="BM47970" s="1025"/>
      <c r="BO47970" s="43"/>
    </row>
    <row r="47971" spans="65:67" ht="18.75" customHeight="1">
      <c r="BM47971" s="1025"/>
      <c r="BO47971" s="43"/>
    </row>
    <row r="47972" spans="65:67" ht="18.75" customHeight="1">
      <c r="BM47972" s="1025"/>
      <c r="BO47972" s="43"/>
    </row>
    <row r="47973" spans="65:67" ht="18.75" customHeight="1">
      <c r="BM47973" s="1025"/>
      <c r="BO47973" s="43"/>
    </row>
    <row r="47974" spans="65:67" ht="18.75" customHeight="1">
      <c r="BM47974" s="1025"/>
      <c r="BO47974" s="43"/>
    </row>
    <row r="47975" spans="65:67" ht="18.75" customHeight="1">
      <c r="BM47975" s="1025"/>
      <c r="BO47975" s="43"/>
    </row>
    <row r="47976" spans="65:67" ht="18.75" customHeight="1">
      <c r="BM47976" s="1025"/>
      <c r="BO47976" s="43"/>
    </row>
    <row r="47977" spans="65:67" ht="18.75" customHeight="1">
      <c r="BM47977" s="1025"/>
      <c r="BO47977" s="43"/>
    </row>
    <row r="47978" spans="65:67" ht="18.75" customHeight="1">
      <c r="BM47978" s="1025"/>
      <c r="BO47978" s="43"/>
    </row>
    <row r="47979" spans="65:67" ht="18.75" customHeight="1">
      <c r="BM47979" s="1025"/>
      <c r="BO47979" s="43"/>
    </row>
    <row r="47980" spans="65:67" ht="18.75" customHeight="1">
      <c r="BM47980" s="1025"/>
      <c r="BO47980" s="43"/>
    </row>
    <row r="47981" spans="65:67" ht="18.75" customHeight="1">
      <c r="BM47981" s="1025"/>
      <c r="BO47981" s="43"/>
    </row>
    <row r="47982" spans="65:67" ht="18.75" customHeight="1">
      <c r="BM47982" s="1025"/>
      <c r="BO47982" s="43"/>
    </row>
    <row r="47983" spans="65:67" ht="18.75" customHeight="1">
      <c r="BM47983" s="1025"/>
      <c r="BO47983" s="43"/>
    </row>
    <row r="47984" spans="65:67" ht="18.75" customHeight="1">
      <c r="BM47984" s="1025"/>
      <c r="BO47984" s="43"/>
    </row>
    <row r="47985" spans="65:67" ht="18.75" customHeight="1">
      <c r="BM47985" s="1025"/>
      <c r="BO47985" s="43"/>
    </row>
    <row r="47986" spans="65:67" ht="18.75" customHeight="1">
      <c r="BM47986" s="1025"/>
      <c r="BO47986" s="43"/>
    </row>
    <row r="47987" spans="65:67" ht="18.75" customHeight="1">
      <c r="BM47987" s="1025"/>
      <c r="BO47987" s="43"/>
    </row>
    <row r="47988" spans="65:67" ht="18.75" customHeight="1">
      <c r="BM47988" s="1025"/>
      <c r="BO47988" s="43"/>
    </row>
    <row r="47989" spans="65:67" ht="18.75" customHeight="1">
      <c r="BM47989" s="1025"/>
      <c r="BO47989" s="43"/>
    </row>
    <row r="47990" spans="65:67" ht="18.75" customHeight="1">
      <c r="BM47990" s="1025"/>
      <c r="BO47990" s="43"/>
    </row>
    <row r="47991" spans="65:67" ht="18.75" customHeight="1">
      <c r="BM47991" s="1025"/>
      <c r="BO47991" s="43"/>
    </row>
    <row r="47992" spans="65:67" ht="18.75" customHeight="1">
      <c r="BM47992" s="1025"/>
      <c r="BO47992" s="43"/>
    </row>
    <row r="47993" spans="65:67" ht="18.75" customHeight="1">
      <c r="BM47993" s="1025"/>
      <c r="BO47993" s="43"/>
    </row>
    <row r="47994" spans="65:67" ht="18.75" customHeight="1">
      <c r="BM47994" s="1025"/>
      <c r="BO47994" s="43"/>
    </row>
    <row r="47995" spans="65:67" ht="18.75" customHeight="1">
      <c r="BM47995" s="1025"/>
      <c r="BO47995" s="43"/>
    </row>
    <row r="47996" spans="65:67" ht="18.75" customHeight="1">
      <c r="BM47996" s="1025"/>
      <c r="BO47996" s="43"/>
    </row>
    <row r="47997" spans="65:67" ht="18.75" customHeight="1">
      <c r="BM47997" s="1025"/>
      <c r="BO47997" s="43"/>
    </row>
    <row r="47998" spans="65:67" ht="18.75" customHeight="1">
      <c r="BM47998" s="1025"/>
      <c r="BO47998" s="43"/>
    </row>
    <row r="47999" spans="65:67" ht="18.75" customHeight="1">
      <c r="BM47999" s="1025"/>
      <c r="BO47999" s="43"/>
    </row>
    <row r="48000" spans="65:67" ht="18.75" customHeight="1">
      <c r="BM48000" s="1025"/>
      <c r="BO48000" s="43"/>
    </row>
    <row r="48001" spans="65:67" ht="18.75" customHeight="1">
      <c r="BM48001" s="1025"/>
      <c r="BO48001" s="43"/>
    </row>
    <row r="48002" spans="65:67" ht="18.75" customHeight="1">
      <c r="BM48002" s="1025"/>
      <c r="BO48002" s="43"/>
    </row>
    <row r="48003" spans="65:67" ht="18.75" customHeight="1">
      <c r="BM48003" s="1025"/>
      <c r="BO48003" s="43"/>
    </row>
    <row r="48004" spans="65:67" ht="18.75" customHeight="1">
      <c r="BM48004" s="1025"/>
      <c r="BO48004" s="43"/>
    </row>
    <row r="48005" spans="65:67" ht="18.75" customHeight="1">
      <c r="BM48005" s="1025"/>
      <c r="BO48005" s="43"/>
    </row>
    <row r="48006" spans="65:67" ht="18.75" customHeight="1">
      <c r="BM48006" s="1025"/>
      <c r="BO48006" s="43"/>
    </row>
    <row r="48007" spans="65:67" ht="18.75" customHeight="1">
      <c r="BM48007" s="1025"/>
      <c r="BO48007" s="43"/>
    </row>
    <row r="48008" spans="65:67" ht="18.75" customHeight="1">
      <c r="BM48008" s="1025"/>
      <c r="BO48008" s="43"/>
    </row>
    <row r="48009" spans="65:67" ht="18.75" customHeight="1">
      <c r="BM48009" s="1025"/>
      <c r="BO48009" s="43"/>
    </row>
    <row r="48010" spans="65:67" ht="18.75" customHeight="1">
      <c r="BM48010" s="1025"/>
      <c r="BO48010" s="43"/>
    </row>
    <row r="48011" spans="65:67" ht="18.75" customHeight="1">
      <c r="BM48011" s="1025"/>
      <c r="BO48011" s="43"/>
    </row>
    <row r="48012" spans="65:67" ht="18.75" customHeight="1">
      <c r="BM48012" s="1025"/>
      <c r="BO48012" s="43"/>
    </row>
    <row r="48013" spans="65:67" ht="18.75" customHeight="1">
      <c r="BM48013" s="1025"/>
      <c r="BO48013" s="43"/>
    </row>
    <row r="48014" spans="65:67" ht="18.75" customHeight="1">
      <c r="BM48014" s="1025"/>
      <c r="BO48014" s="43"/>
    </row>
    <row r="48015" spans="65:67" ht="18.75" customHeight="1">
      <c r="BM48015" s="1025"/>
      <c r="BO48015" s="43"/>
    </row>
    <row r="48016" spans="65:67" ht="18.75" customHeight="1">
      <c r="BM48016" s="1025"/>
      <c r="BO48016" s="43"/>
    </row>
    <row r="48017" spans="65:67" ht="18.75" customHeight="1">
      <c r="BM48017" s="1025"/>
      <c r="BO48017" s="43"/>
    </row>
    <row r="48018" spans="65:67" ht="18.75" customHeight="1">
      <c r="BM48018" s="1025"/>
      <c r="BO48018" s="43"/>
    </row>
    <row r="48019" spans="65:67" ht="18.75" customHeight="1">
      <c r="BM48019" s="1025"/>
      <c r="BO48019" s="43"/>
    </row>
    <row r="48020" spans="65:67" ht="18.75" customHeight="1">
      <c r="BM48020" s="1025"/>
      <c r="BO48020" s="43"/>
    </row>
    <row r="48021" spans="65:67" ht="18.75" customHeight="1">
      <c r="BM48021" s="1025"/>
      <c r="BO48021" s="43"/>
    </row>
    <row r="48022" spans="65:67" ht="18.75" customHeight="1">
      <c r="BM48022" s="1025"/>
      <c r="BO48022" s="43"/>
    </row>
    <row r="48023" spans="65:67" ht="18.75" customHeight="1">
      <c r="BM48023" s="1025"/>
      <c r="BO48023" s="43"/>
    </row>
    <row r="48024" spans="65:67" ht="18.75" customHeight="1">
      <c r="BM48024" s="1025"/>
      <c r="BO48024" s="43"/>
    </row>
    <row r="48025" spans="65:67" ht="18.75" customHeight="1">
      <c r="BM48025" s="1025"/>
      <c r="BO48025" s="43"/>
    </row>
    <row r="48026" spans="65:67" ht="18.75" customHeight="1">
      <c r="BM48026" s="1025"/>
      <c r="BO48026" s="43"/>
    </row>
    <row r="48027" spans="65:67" ht="18.75" customHeight="1">
      <c r="BM48027" s="1025"/>
      <c r="BO48027" s="43"/>
    </row>
    <row r="48028" spans="65:67" ht="18.75" customHeight="1">
      <c r="BM48028" s="1025"/>
      <c r="BO48028" s="43"/>
    </row>
    <row r="48029" spans="65:67" ht="18.75" customHeight="1">
      <c r="BM48029" s="1025"/>
      <c r="BO48029" s="43"/>
    </row>
    <row r="48030" spans="65:67" ht="18.75" customHeight="1">
      <c r="BM48030" s="1025"/>
      <c r="BO48030" s="43"/>
    </row>
    <row r="48031" spans="65:67" ht="18.75" customHeight="1">
      <c r="BM48031" s="1025"/>
      <c r="BO48031" s="43"/>
    </row>
    <row r="48032" spans="65:67" ht="18.75" customHeight="1">
      <c r="BM48032" s="1025"/>
      <c r="BO48032" s="43"/>
    </row>
    <row r="48033" spans="65:67" ht="18.75" customHeight="1">
      <c r="BM48033" s="1025"/>
      <c r="BO48033" s="43"/>
    </row>
    <row r="48034" spans="65:67" ht="18.75" customHeight="1">
      <c r="BM48034" s="1025"/>
      <c r="BO48034" s="43"/>
    </row>
    <row r="48035" spans="65:67" ht="18.75" customHeight="1">
      <c r="BM48035" s="1025"/>
      <c r="BO48035" s="43"/>
    </row>
    <row r="48036" spans="65:67" ht="18.75" customHeight="1">
      <c r="BM48036" s="1025"/>
      <c r="BO48036" s="43"/>
    </row>
    <row r="48037" spans="65:67" ht="18.75" customHeight="1">
      <c r="BM48037" s="1025"/>
      <c r="BO48037" s="43"/>
    </row>
    <row r="48038" spans="65:67" ht="18.75" customHeight="1">
      <c r="BM48038" s="1025"/>
      <c r="BO48038" s="43"/>
    </row>
    <row r="48039" spans="65:67" ht="18.75" customHeight="1">
      <c r="BM48039" s="1025"/>
      <c r="BO48039" s="43"/>
    </row>
    <row r="48040" spans="65:67" ht="18.75" customHeight="1">
      <c r="BM48040" s="1025"/>
      <c r="BO48040" s="43"/>
    </row>
    <row r="48041" spans="65:67" ht="18.75" customHeight="1">
      <c r="BM48041" s="1025"/>
      <c r="BO48041" s="43"/>
    </row>
    <row r="48042" spans="65:67" ht="18.75" customHeight="1">
      <c r="BM48042" s="1025"/>
      <c r="BO48042" s="43"/>
    </row>
    <row r="48043" spans="65:67" ht="18.75" customHeight="1">
      <c r="BM48043" s="1025"/>
      <c r="BO48043" s="43"/>
    </row>
    <row r="48044" spans="65:67" ht="18.75" customHeight="1">
      <c r="BM48044" s="1025"/>
      <c r="BO48044" s="43"/>
    </row>
    <row r="48045" spans="65:67" ht="18.75" customHeight="1">
      <c r="BM48045" s="1025"/>
      <c r="BO48045" s="43"/>
    </row>
    <row r="48046" spans="65:67" ht="18.75" customHeight="1">
      <c r="BM48046" s="1025"/>
      <c r="BO48046" s="43"/>
    </row>
    <row r="48047" spans="65:67" ht="18.75" customHeight="1">
      <c r="BM48047" s="1025"/>
      <c r="BO48047" s="43"/>
    </row>
    <row r="48048" spans="65:67" ht="18.75" customHeight="1">
      <c r="BM48048" s="1025"/>
      <c r="BO48048" s="43"/>
    </row>
    <row r="48049" spans="65:67" ht="18.75" customHeight="1">
      <c r="BM48049" s="1025"/>
      <c r="BO48049" s="43"/>
    </row>
    <row r="48050" spans="65:67" ht="18.75" customHeight="1">
      <c r="BM48050" s="1025"/>
      <c r="BO48050" s="43"/>
    </row>
    <row r="48051" spans="65:67" ht="18.75" customHeight="1">
      <c r="BM48051" s="1025"/>
      <c r="BO48051" s="43"/>
    </row>
    <row r="48052" spans="65:67" ht="18.75" customHeight="1">
      <c r="BM48052" s="1025"/>
      <c r="BO48052" s="43"/>
    </row>
    <row r="48053" spans="65:67" ht="18.75" customHeight="1">
      <c r="BM48053" s="1025"/>
      <c r="BO48053" s="43"/>
    </row>
    <row r="48054" spans="65:67" ht="18.75" customHeight="1">
      <c r="BM48054" s="1025"/>
      <c r="BO48054" s="43"/>
    </row>
    <row r="48055" spans="65:67" ht="18.75" customHeight="1">
      <c r="BM48055" s="1025"/>
      <c r="BO48055" s="43"/>
    </row>
    <row r="48056" spans="65:67" ht="18.75" customHeight="1">
      <c r="BM48056" s="1025"/>
      <c r="BO48056" s="43"/>
    </row>
    <row r="48057" spans="65:67" ht="18.75" customHeight="1">
      <c r="BM48057" s="1025"/>
      <c r="BO48057" s="43"/>
    </row>
    <row r="48058" spans="65:67" ht="18.75" customHeight="1">
      <c r="BM48058" s="1025"/>
      <c r="BO48058" s="43"/>
    </row>
    <row r="48059" spans="65:67" ht="18.75" customHeight="1">
      <c r="BM48059" s="1025"/>
      <c r="BO48059" s="43"/>
    </row>
    <row r="48060" spans="65:67" ht="18.75" customHeight="1">
      <c r="BM48060" s="1025"/>
      <c r="BO48060" s="43"/>
    </row>
    <row r="48061" spans="65:67" ht="18.75" customHeight="1">
      <c r="BM48061" s="1025"/>
      <c r="BO48061" s="43"/>
    </row>
    <row r="48062" spans="65:67" ht="18.75" customHeight="1">
      <c r="BM48062" s="1025"/>
      <c r="BO48062" s="43"/>
    </row>
    <row r="48063" spans="65:67" ht="18.75" customHeight="1">
      <c r="BM48063" s="1025"/>
      <c r="BO48063" s="43"/>
    </row>
    <row r="48064" spans="65:67" ht="18.75" customHeight="1">
      <c r="BM48064" s="1025"/>
      <c r="BO48064" s="43"/>
    </row>
    <row r="48065" spans="65:67" ht="18.75" customHeight="1">
      <c r="BM48065" s="1025"/>
      <c r="BO48065" s="43"/>
    </row>
    <row r="48066" spans="65:67" ht="18.75" customHeight="1">
      <c r="BM48066" s="1025"/>
      <c r="BO48066" s="43"/>
    </row>
    <row r="48067" spans="65:67" ht="18.75" customHeight="1">
      <c r="BM48067" s="1025"/>
      <c r="BO48067" s="43"/>
    </row>
    <row r="48068" spans="65:67" ht="18.75" customHeight="1">
      <c r="BM48068" s="1025"/>
      <c r="BO48068" s="43"/>
    </row>
    <row r="48069" spans="65:67" ht="18.75" customHeight="1">
      <c r="BM48069" s="1025"/>
      <c r="BO48069" s="43"/>
    </row>
    <row r="48070" spans="65:67" ht="18.75" customHeight="1">
      <c r="BM48070" s="1025"/>
      <c r="BO48070" s="43"/>
    </row>
    <row r="48071" spans="65:67" ht="18.75" customHeight="1">
      <c r="BM48071" s="1025"/>
      <c r="BO48071" s="43"/>
    </row>
    <row r="48072" spans="65:67" ht="18.75" customHeight="1">
      <c r="BM48072" s="1025"/>
      <c r="BO48072" s="43"/>
    </row>
    <row r="48073" spans="65:67" ht="18.75" customHeight="1">
      <c r="BM48073" s="1025"/>
      <c r="BO48073" s="43"/>
    </row>
    <row r="48074" spans="65:67" ht="18.75" customHeight="1">
      <c r="BM48074" s="1025"/>
      <c r="BO48074" s="43"/>
    </row>
    <row r="48075" spans="65:67" ht="18.75" customHeight="1">
      <c r="BM48075" s="1025"/>
      <c r="BO48075" s="43"/>
    </row>
    <row r="48076" spans="65:67" ht="18.75" customHeight="1">
      <c r="BM48076" s="1025"/>
      <c r="BO48076" s="43"/>
    </row>
    <row r="48077" spans="65:67" ht="18.75" customHeight="1">
      <c r="BM48077" s="1025"/>
      <c r="BO48077" s="43"/>
    </row>
    <row r="48078" spans="65:67" ht="18.75" customHeight="1">
      <c r="BM48078" s="1025"/>
      <c r="BO48078" s="43"/>
    </row>
    <row r="48079" spans="65:67" ht="18.75" customHeight="1">
      <c r="BM48079" s="1025"/>
      <c r="BO48079" s="43"/>
    </row>
    <row r="48080" spans="65:67" ht="18.75" customHeight="1">
      <c r="BM48080" s="1025"/>
      <c r="BO48080" s="43"/>
    </row>
    <row r="48081" spans="65:67" ht="18.75" customHeight="1">
      <c r="BM48081" s="1025"/>
      <c r="BO48081" s="43"/>
    </row>
    <row r="48082" spans="65:67" ht="18.75" customHeight="1">
      <c r="BM48082" s="1025"/>
      <c r="BO48082" s="43"/>
    </row>
    <row r="48083" spans="65:67" ht="18.75" customHeight="1">
      <c r="BM48083" s="1025"/>
      <c r="BO48083" s="43"/>
    </row>
    <row r="48084" spans="65:67" ht="18.75" customHeight="1">
      <c r="BM48084" s="1025"/>
      <c r="BO48084" s="43"/>
    </row>
    <row r="48085" spans="65:67" ht="18.75" customHeight="1">
      <c r="BM48085" s="1025"/>
      <c r="BO48085" s="43"/>
    </row>
    <row r="48086" spans="65:67" ht="18.75" customHeight="1">
      <c r="BM48086" s="1025"/>
      <c r="BO48086" s="43"/>
    </row>
    <row r="48087" spans="65:67" ht="18.75" customHeight="1">
      <c r="BM48087" s="1025"/>
      <c r="BO48087" s="43"/>
    </row>
    <row r="48088" spans="65:67" ht="18.75" customHeight="1">
      <c r="BM48088" s="1025"/>
      <c r="BO48088" s="43"/>
    </row>
    <row r="48089" spans="65:67" ht="18.75" customHeight="1">
      <c r="BM48089" s="1025"/>
      <c r="BO48089" s="43"/>
    </row>
    <row r="48090" spans="65:67" ht="18.75" customHeight="1">
      <c r="BM48090" s="1025"/>
      <c r="BO48090" s="43"/>
    </row>
    <row r="48091" spans="65:67" ht="18.75" customHeight="1">
      <c r="BM48091" s="1025"/>
      <c r="BO48091" s="43"/>
    </row>
    <row r="48092" spans="65:67" ht="18.75" customHeight="1">
      <c r="BM48092" s="1025"/>
      <c r="BO48092" s="43"/>
    </row>
    <row r="48093" spans="65:67" ht="18.75" customHeight="1">
      <c r="BM48093" s="1025"/>
      <c r="BO48093" s="43"/>
    </row>
    <row r="48094" spans="65:67" ht="18.75" customHeight="1">
      <c r="BM48094" s="1025"/>
      <c r="BO48094" s="43"/>
    </row>
    <row r="48095" spans="65:67" ht="18.75" customHeight="1">
      <c r="BM48095" s="1025"/>
      <c r="BO48095" s="43"/>
    </row>
    <row r="48096" spans="65:67" ht="18.75" customHeight="1">
      <c r="BM48096" s="1025"/>
      <c r="BO48096" s="43"/>
    </row>
    <row r="48097" spans="65:67" ht="18.75" customHeight="1">
      <c r="BM48097" s="1025"/>
      <c r="BO48097" s="43"/>
    </row>
    <row r="48098" spans="65:67" ht="18.75" customHeight="1">
      <c r="BM48098" s="1025"/>
      <c r="BO48098" s="43"/>
    </row>
    <row r="48099" spans="65:67" ht="18.75" customHeight="1">
      <c r="BM48099" s="1025"/>
      <c r="BO48099" s="43"/>
    </row>
    <row r="48100" spans="65:67" ht="18.75" customHeight="1">
      <c r="BM48100" s="1025"/>
      <c r="BO48100" s="43"/>
    </row>
    <row r="48101" spans="65:67" ht="18.75" customHeight="1">
      <c r="BM48101" s="1025"/>
      <c r="BO48101" s="43"/>
    </row>
    <row r="48102" spans="65:67" ht="18.75" customHeight="1">
      <c r="BM48102" s="1025"/>
      <c r="BO48102" s="43"/>
    </row>
    <row r="48103" spans="65:67" ht="18.75" customHeight="1">
      <c r="BM48103" s="1025"/>
      <c r="BO48103" s="43"/>
    </row>
    <row r="48104" spans="65:67" ht="18.75" customHeight="1">
      <c r="BM48104" s="1025"/>
      <c r="BO48104" s="43"/>
    </row>
    <row r="48105" spans="65:67" ht="18.75" customHeight="1">
      <c r="BM48105" s="1025"/>
      <c r="BO48105" s="43"/>
    </row>
    <row r="48106" spans="65:67" ht="18.75" customHeight="1">
      <c r="BM48106" s="1025"/>
      <c r="BO48106" s="43"/>
    </row>
    <row r="48107" spans="65:67" ht="18.75" customHeight="1">
      <c r="BM48107" s="1025"/>
      <c r="BO48107" s="43"/>
    </row>
    <row r="48108" spans="65:67" ht="18.75" customHeight="1">
      <c r="BM48108" s="1025"/>
      <c r="BO48108" s="43"/>
    </row>
    <row r="48109" spans="65:67" ht="18.75" customHeight="1">
      <c r="BM48109" s="1025"/>
      <c r="BO48109" s="43"/>
    </row>
    <row r="48110" spans="65:67" ht="18.75" customHeight="1">
      <c r="BM48110" s="1025"/>
      <c r="BO48110" s="43"/>
    </row>
    <row r="48111" spans="65:67" ht="18.75" customHeight="1">
      <c r="BM48111" s="1025"/>
      <c r="BO48111" s="43"/>
    </row>
    <row r="48112" spans="65:67" ht="18.75" customHeight="1">
      <c r="BM48112" s="1025"/>
      <c r="BO48112" s="43"/>
    </row>
    <row r="48113" spans="65:67" ht="18.75" customHeight="1">
      <c r="BM48113" s="1025"/>
      <c r="BO48113" s="43"/>
    </row>
    <row r="48114" spans="65:67" ht="18.75" customHeight="1">
      <c r="BM48114" s="1025"/>
      <c r="BO48114" s="43"/>
    </row>
    <row r="48115" spans="65:67" ht="18.75" customHeight="1">
      <c r="BM48115" s="1025"/>
      <c r="BO48115" s="43"/>
    </row>
    <row r="48116" spans="65:67" ht="18.75" customHeight="1">
      <c r="BM48116" s="1025"/>
      <c r="BO48116" s="43"/>
    </row>
    <row r="48117" spans="65:67" ht="18.75" customHeight="1">
      <c r="BM48117" s="1025"/>
      <c r="BO48117" s="43"/>
    </row>
    <row r="48118" spans="65:67" ht="18.75" customHeight="1">
      <c r="BM48118" s="1025"/>
      <c r="BO48118" s="43"/>
    </row>
    <row r="48119" spans="65:67" ht="18.75" customHeight="1">
      <c r="BM48119" s="1025"/>
      <c r="BO48119" s="43"/>
    </row>
    <row r="48120" spans="65:67" ht="18.75" customHeight="1">
      <c r="BM48120" s="1025"/>
      <c r="BO48120" s="43"/>
    </row>
    <row r="48121" spans="65:67" ht="18.75" customHeight="1">
      <c r="BM48121" s="1025"/>
      <c r="BO48121" s="43"/>
    </row>
    <row r="48122" spans="65:67" ht="18.75" customHeight="1">
      <c r="BM48122" s="1025"/>
      <c r="BO48122" s="43"/>
    </row>
    <row r="48123" spans="65:67" ht="18.75" customHeight="1">
      <c r="BM48123" s="1025"/>
      <c r="BO48123" s="43"/>
    </row>
    <row r="48124" spans="65:67" ht="18.75" customHeight="1">
      <c r="BM48124" s="1025"/>
      <c r="BO48124" s="43"/>
    </row>
    <row r="48125" spans="65:67" ht="18.75" customHeight="1">
      <c r="BM48125" s="1025"/>
      <c r="BO48125" s="43"/>
    </row>
    <row r="48126" spans="65:67" ht="18.75" customHeight="1">
      <c r="BM48126" s="1025"/>
      <c r="BO48126" s="43"/>
    </row>
    <row r="48127" spans="65:67" ht="18.75" customHeight="1">
      <c r="BM48127" s="1025"/>
      <c r="BO48127" s="43"/>
    </row>
    <row r="48128" spans="65:67" ht="18.75" customHeight="1">
      <c r="BM48128" s="1025"/>
      <c r="BO48128" s="43"/>
    </row>
    <row r="48129" spans="65:67" ht="18.75" customHeight="1">
      <c r="BM48129" s="1025"/>
      <c r="BO48129" s="43"/>
    </row>
    <row r="48130" spans="65:67" ht="18.75" customHeight="1">
      <c r="BM48130" s="1025"/>
      <c r="BO48130" s="43"/>
    </row>
    <row r="48131" spans="65:67" ht="18.75" customHeight="1">
      <c r="BM48131" s="1025"/>
      <c r="BO48131" s="43"/>
    </row>
    <row r="48132" spans="65:67" ht="18.75" customHeight="1">
      <c r="BM48132" s="1025"/>
      <c r="BO48132" s="43"/>
    </row>
    <row r="48133" spans="65:67" ht="18.75" customHeight="1">
      <c r="BM48133" s="1025"/>
      <c r="BO48133" s="43"/>
    </row>
    <row r="48134" spans="65:67" ht="18.75" customHeight="1">
      <c r="BM48134" s="1025"/>
      <c r="BO48134" s="43"/>
    </row>
    <row r="48135" spans="65:67" ht="18.75" customHeight="1">
      <c r="BM48135" s="1025"/>
      <c r="BO48135" s="43"/>
    </row>
    <row r="48136" spans="65:67" ht="18.75" customHeight="1">
      <c r="BM48136" s="1025"/>
      <c r="BO48136" s="43"/>
    </row>
    <row r="48137" spans="65:67" ht="18.75" customHeight="1">
      <c r="BM48137" s="1025"/>
      <c r="BO48137" s="43"/>
    </row>
    <row r="48138" spans="65:67" ht="18.75" customHeight="1">
      <c r="BM48138" s="1025"/>
      <c r="BO48138" s="43"/>
    </row>
    <row r="48139" spans="65:67" ht="18.75" customHeight="1">
      <c r="BM48139" s="1025"/>
      <c r="BO48139" s="43"/>
    </row>
    <row r="48140" spans="65:67" ht="18.75" customHeight="1">
      <c r="BM48140" s="1025"/>
      <c r="BO48140" s="43"/>
    </row>
    <row r="48141" spans="65:67" ht="18.75" customHeight="1">
      <c r="BM48141" s="1025"/>
      <c r="BO48141" s="43"/>
    </row>
    <row r="48142" spans="65:67" ht="18.75" customHeight="1">
      <c r="BM48142" s="1025"/>
      <c r="BO48142" s="43"/>
    </row>
    <row r="48143" spans="65:67" ht="18.75" customHeight="1">
      <c r="BM48143" s="1025"/>
      <c r="BO48143" s="43"/>
    </row>
    <row r="48144" spans="65:67" ht="18.75" customHeight="1">
      <c r="BM48144" s="1025"/>
      <c r="BO48144" s="43"/>
    </row>
    <row r="48145" spans="65:67" ht="18.75" customHeight="1">
      <c r="BM48145" s="1025"/>
      <c r="BO48145" s="43"/>
    </row>
    <row r="48146" spans="65:67" ht="18.75" customHeight="1">
      <c r="BM48146" s="1025"/>
      <c r="BO48146" s="43"/>
    </row>
    <row r="48147" spans="65:67" ht="18.75" customHeight="1">
      <c r="BM48147" s="1025"/>
      <c r="BO48147" s="43"/>
    </row>
    <row r="48148" spans="65:67" ht="18.75" customHeight="1">
      <c r="BM48148" s="1025"/>
      <c r="BO48148" s="43"/>
    </row>
    <row r="48149" spans="65:67" ht="18.75" customHeight="1">
      <c r="BM48149" s="1025"/>
      <c r="BO48149" s="43"/>
    </row>
    <row r="48150" spans="65:67" ht="18.75" customHeight="1">
      <c r="BM48150" s="1025"/>
      <c r="BO48150" s="43"/>
    </row>
    <row r="48151" spans="65:67" ht="18.75" customHeight="1">
      <c r="BM48151" s="1025"/>
      <c r="BO48151" s="43"/>
    </row>
    <row r="48152" spans="65:67" ht="18.75" customHeight="1">
      <c r="BM48152" s="1025"/>
      <c r="BO48152" s="43"/>
    </row>
    <row r="48153" spans="65:67" ht="18.75" customHeight="1">
      <c r="BM48153" s="1025"/>
      <c r="BO48153" s="43"/>
    </row>
    <row r="48154" spans="65:67" ht="18.75" customHeight="1">
      <c r="BM48154" s="1025"/>
      <c r="BO48154" s="43"/>
    </row>
    <row r="48155" spans="65:67" ht="18.75" customHeight="1">
      <c r="BM48155" s="1025"/>
      <c r="BO48155" s="43"/>
    </row>
    <row r="48156" spans="65:67" ht="18.75" customHeight="1">
      <c r="BM48156" s="1025"/>
      <c r="BO48156" s="43"/>
    </row>
    <row r="48157" spans="65:67" ht="18.75" customHeight="1">
      <c r="BM48157" s="1025"/>
      <c r="BO48157" s="43"/>
    </row>
    <row r="48158" spans="65:67" ht="18.75" customHeight="1">
      <c r="BM48158" s="1025"/>
      <c r="BO48158" s="43"/>
    </row>
    <row r="48159" spans="65:67" ht="18.75" customHeight="1">
      <c r="BM48159" s="1025"/>
      <c r="BO48159" s="43"/>
    </row>
    <row r="48160" spans="65:67" ht="18.75" customHeight="1">
      <c r="BM48160" s="1025"/>
      <c r="BO48160" s="43"/>
    </row>
    <row r="48161" spans="65:67" ht="18.75" customHeight="1">
      <c r="BM48161" s="1025"/>
      <c r="BO48161" s="43"/>
    </row>
    <row r="48162" spans="65:67" ht="18.75" customHeight="1">
      <c r="BM48162" s="1025"/>
      <c r="BO48162" s="43"/>
    </row>
    <row r="48163" spans="65:67" ht="18.75" customHeight="1">
      <c r="BM48163" s="1025"/>
      <c r="BO48163" s="43"/>
    </row>
    <row r="48164" spans="65:67" ht="18.75" customHeight="1">
      <c r="BM48164" s="1025"/>
      <c r="BO48164" s="43"/>
    </row>
    <row r="48165" spans="65:67" ht="18.75" customHeight="1">
      <c r="BM48165" s="1025"/>
      <c r="BO48165" s="43"/>
    </row>
    <row r="48166" spans="65:67" ht="18.75" customHeight="1">
      <c r="BM48166" s="1025"/>
      <c r="BO48166" s="43"/>
    </row>
    <row r="48167" spans="65:67" ht="18.75" customHeight="1">
      <c r="BM48167" s="1025"/>
      <c r="BO48167" s="43"/>
    </row>
    <row r="48168" spans="65:67" ht="18.75" customHeight="1">
      <c r="BM48168" s="1025"/>
      <c r="BO48168" s="43"/>
    </row>
    <row r="48169" spans="65:67" ht="18.75" customHeight="1">
      <c r="BM48169" s="1025"/>
      <c r="BO48169" s="43"/>
    </row>
    <row r="48170" spans="65:67" ht="18.75" customHeight="1">
      <c r="BM48170" s="1025"/>
      <c r="BO48170" s="43"/>
    </row>
    <row r="48171" spans="65:67" ht="18.75" customHeight="1">
      <c r="BM48171" s="1025"/>
      <c r="BO48171" s="43"/>
    </row>
    <row r="48172" spans="65:67" ht="18.75" customHeight="1">
      <c r="BM48172" s="1025"/>
      <c r="BO48172" s="43"/>
    </row>
    <row r="48173" spans="65:67" ht="18.75" customHeight="1">
      <c r="BM48173" s="1025"/>
      <c r="BO48173" s="43"/>
    </row>
    <row r="48174" spans="65:67" ht="18.75" customHeight="1">
      <c r="BM48174" s="1025"/>
      <c r="BO48174" s="43"/>
    </row>
    <row r="48175" spans="65:67" ht="18.75" customHeight="1">
      <c r="BM48175" s="1025"/>
      <c r="BO48175" s="43"/>
    </row>
    <row r="48176" spans="65:67" ht="18.75" customHeight="1">
      <c r="BM48176" s="1025"/>
      <c r="BO48176" s="43"/>
    </row>
    <row r="48177" spans="65:67" ht="18.75" customHeight="1">
      <c r="BM48177" s="1025"/>
      <c r="BO48177" s="43"/>
    </row>
    <row r="48178" spans="65:67" ht="18.75" customHeight="1">
      <c r="BM48178" s="1025"/>
      <c r="BO48178" s="43"/>
    </row>
    <row r="48179" spans="65:67" ht="18.75" customHeight="1">
      <c r="BM48179" s="1025"/>
      <c r="BO48179" s="43"/>
    </row>
    <row r="48180" spans="65:67" ht="18.75" customHeight="1">
      <c r="BM48180" s="1025"/>
      <c r="BO48180" s="43"/>
    </row>
    <row r="48181" spans="65:67" ht="18.75" customHeight="1">
      <c r="BM48181" s="1025"/>
      <c r="BO48181" s="43"/>
    </row>
    <row r="48182" spans="65:67" ht="18.75" customHeight="1">
      <c r="BM48182" s="1025"/>
      <c r="BO48182" s="43"/>
    </row>
    <row r="48183" spans="65:67" ht="18.75" customHeight="1">
      <c r="BM48183" s="1025"/>
      <c r="BO48183" s="43"/>
    </row>
    <row r="48184" spans="65:67" ht="18.75" customHeight="1">
      <c r="BM48184" s="1025"/>
      <c r="BO48184" s="43"/>
    </row>
    <row r="48185" spans="65:67" ht="18.75" customHeight="1">
      <c r="BM48185" s="1025"/>
      <c r="BO48185" s="43"/>
    </row>
    <row r="48186" spans="65:67" ht="18.75" customHeight="1">
      <c r="BM48186" s="1025"/>
      <c r="BO48186" s="43"/>
    </row>
    <row r="48187" spans="65:67" ht="18.75" customHeight="1">
      <c r="BM48187" s="1025"/>
      <c r="BO48187" s="43"/>
    </row>
    <row r="48188" spans="65:67" ht="18.75" customHeight="1">
      <c r="BM48188" s="1025"/>
      <c r="BO48188" s="43"/>
    </row>
    <row r="48189" spans="65:67" ht="18.75" customHeight="1">
      <c r="BM48189" s="1025"/>
      <c r="BO48189" s="43"/>
    </row>
    <row r="48190" spans="65:67" ht="18.75" customHeight="1">
      <c r="BM48190" s="1025"/>
      <c r="BO48190" s="43"/>
    </row>
    <row r="48191" spans="65:67" ht="18.75" customHeight="1">
      <c r="BM48191" s="1025"/>
      <c r="BO48191" s="43"/>
    </row>
    <row r="48192" spans="65:67" ht="18.75" customHeight="1">
      <c r="BM48192" s="1025"/>
      <c r="BO48192" s="43"/>
    </row>
    <row r="48193" spans="65:67" ht="18.75" customHeight="1">
      <c r="BM48193" s="1025"/>
      <c r="BO48193" s="43"/>
    </row>
    <row r="48194" spans="65:67" ht="18.75" customHeight="1">
      <c r="BM48194" s="1025"/>
      <c r="BO48194" s="43"/>
    </row>
    <row r="48195" spans="65:67" ht="18.75" customHeight="1">
      <c r="BM48195" s="1025"/>
      <c r="BO48195" s="43"/>
    </row>
    <row r="48196" spans="65:67" ht="18.75" customHeight="1">
      <c r="BM48196" s="1025"/>
      <c r="BO48196" s="43"/>
    </row>
    <row r="48197" spans="65:67" ht="18.75" customHeight="1">
      <c r="BM48197" s="1025"/>
      <c r="BO48197" s="43"/>
    </row>
    <row r="48198" spans="65:67" ht="18.75" customHeight="1">
      <c r="BM48198" s="1025"/>
      <c r="BO48198" s="43"/>
    </row>
    <row r="48199" spans="65:67" ht="18.75" customHeight="1">
      <c r="BM48199" s="1025"/>
      <c r="BO48199" s="43"/>
    </row>
    <row r="48200" spans="65:67" ht="18.75" customHeight="1">
      <c r="BM48200" s="1025"/>
      <c r="BO48200" s="43"/>
    </row>
    <row r="48201" spans="65:67" ht="18.75" customHeight="1">
      <c r="BM48201" s="1025"/>
      <c r="BO48201" s="43"/>
    </row>
    <row r="48202" spans="65:67" ht="18.75" customHeight="1">
      <c r="BM48202" s="1025"/>
      <c r="BO48202" s="43"/>
    </row>
    <row r="48203" spans="65:67" ht="18.75" customHeight="1">
      <c r="BM48203" s="1025"/>
      <c r="BO48203" s="43"/>
    </row>
    <row r="48204" spans="65:67" ht="18.75" customHeight="1">
      <c r="BM48204" s="1025"/>
      <c r="BO48204" s="43"/>
    </row>
    <row r="48205" spans="65:67" ht="18.75" customHeight="1">
      <c r="BM48205" s="1025"/>
      <c r="BO48205" s="43"/>
    </row>
    <row r="48206" spans="65:67" ht="18.75" customHeight="1">
      <c r="BM48206" s="1025"/>
      <c r="BO48206" s="43"/>
    </row>
    <row r="48207" spans="65:67" ht="18.75" customHeight="1">
      <c r="BM48207" s="1025"/>
      <c r="BO48207" s="43"/>
    </row>
    <row r="48208" spans="65:67" ht="18.75" customHeight="1">
      <c r="BM48208" s="1025"/>
      <c r="BO48208" s="43"/>
    </row>
    <row r="48209" spans="65:67" ht="18.75" customHeight="1">
      <c r="BM48209" s="1025"/>
      <c r="BO48209" s="43"/>
    </row>
    <row r="48210" spans="65:67" ht="18.75" customHeight="1">
      <c r="BM48210" s="1025"/>
      <c r="BO48210" s="43"/>
    </row>
    <row r="48211" spans="65:67" ht="18.75" customHeight="1">
      <c r="BM48211" s="1025"/>
      <c r="BO48211" s="43"/>
    </row>
    <row r="48212" spans="65:67" ht="18.75" customHeight="1">
      <c r="BM48212" s="1025"/>
      <c r="BO48212" s="43"/>
    </row>
    <row r="48213" spans="65:67" ht="18.75" customHeight="1">
      <c r="BM48213" s="1025"/>
      <c r="BO48213" s="43"/>
    </row>
    <row r="48214" spans="65:67" ht="18.75" customHeight="1">
      <c r="BM48214" s="1025"/>
      <c r="BO48214" s="43"/>
    </row>
    <row r="48215" spans="65:67" ht="18.75" customHeight="1">
      <c r="BM48215" s="1025"/>
      <c r="BO48215" s="43"/>
    </row>
    <row r="48216" spans="65:67" ht="18.75" customHeight="1">
      <c r="BM48216" s="1025"/>
      <c r="BO48216" s="43"/>
    </row>
    <row r="48217" spans="65:67" ht="18.75" customHeight="1">
      <c r="BM48217" s="1025"/>
      <c r="BO48217" s="43"/>
    </row>
    <row r="48218" spans="65:67" ht="18.75" customHeight="1">
      <c r="BM48218" s="1025"/>
      <c r="BO48218" s="43"/>
    </row>
    <row r="48219" spans="65:67" ht="18.75" customHeight="1">
      <c r="BM48219" s="1025"/>
      <c r="BO48219" s="43"/>
    </row>
    <row r="48220" spans="65:67" ht="18.75" customHeight="1">
      <c r="BM48220" s="1025"/>
      <c r="BO48220" s="43"/>
    </row>
    <row r="48221" spans="65:67" ht="18.75" customHeight="1">
      <c r="BM48221" s="1025"/>
      <c r="BO48221" s="43"/>
    </row>
    <row r="48222" spans="65:67" ht="18.75" customHeight="1">
      <c r="BM48222" s="1025"/>
      <c r="BO48222" s="43"/>
    </row>
    <row r="48223" spans="65:67" ht="18.75" customHeight="1">
      <c r="BM48223" s="1025"/>
      <c r="BO48223" s="43"/>
    </row>
    <row r="48224" spans="65:67" ht="18.75" customHeight="1">
      <c r="BM48224" s="1025"/>
      <c r="BO48224" s="43"/>
    </row>
    <row r="48225" spans="65:67" ht="18.75" customHeight="1">
      <c r="BM48225" s="1025"/>
      <c r="BO48225" s="43"/>
    </row>
    <row r="48226" spans="65:67" ht="18.75" customHeight="1">
      <c r="BM48226" s="1025"/>
      <c r="BO48226" s="43"/>
    </row>
    <row r="48227" spans="65:67" ht="18.75" customHeight="1">
      <c r="BM48227" s="1025"/>
      <c r="BO48227" s="43"/>
    </row>
    <row r="48228" spans="65:67" ht="18.75" customHeight="1">
      <c r="BM48228" s="1025"/>
      <c r="BO48228" s="43"/>
    </row>
    <row r="48229" spans="65:67" ht="18.75" customHeight="1">
      <c r="BM48229" s="1025"/>
      <c r="BO48229" s="43"/>
    </row>
    <row r="48230" spans="65:67" ht="18.75" customHeight="1">
      <c r="BM48230" s="1025"/>
      <c r="BO48230" s="43"/>
    </row>
    <row r="48231" spans="65:67" ht="18.75" customHeight="1">
      <c r="BM48231" s="1025"/>
      <c r="BO48231" s="43"/>
    </row>
    <row r="48232" spans="65:67" ht="18.75" customHeight="1">
      <c r="BM48232" s="1025"/>
      <c r="BO48232" s="43"/>
    </row>
    <row r="48233" spans="65:67" ht="18.75" customHeight="1">
      <c r="BM48233" s="1025"/>
      <c r="BO48233" s="43"/>
    </row>
    <row r="48234" spans="65:67" ht="18.75" customHeight="1">
      <c r="BM48234" s="1025"/>
      <c r="BO48234" s="43"/>
    </row>
    <row r="48235" spans="65:67" ht="18.75" customHeight="1">
      <c r="BM48235" s="1025"/>
      <c r="BO48235" s="43"/>
    </row>
    <row r="48236" spans="65:67" ht="18.75" customHeight="1">
      <c r="BM48236" s="1025"/>
      <c r="BO48236" s="43"/>
    </row>
    <row r="48237" spans="65:67" ht="18.75" customHeight="1">
      <c r="BM48237" s="1025"/>
      <c r="BO48237" s="43"/>
    </row>
    <row r="48238" spans="65:67" ht="18.75" customHeight="1">
      <c r="BM48238" s="1025"/>
      <c r="BO48238" s="43"/>
    </row>
    <row r="48239" spans="65:67" ht="18.75" customHeight="1">
      <c r="BM48239" s="1025"/>
      <c r="BO48239" s="43"/>
    </row>
    <row r="48240" spans="65:67" ht="18.75" customHeight="1">
      <c r="BM48240" s="1025"/>
      <c r="BO48240" s="43"/>
    </row>
    <row r="48241" spans="65:67" ht="18.75" customHeight="1">
      <c r="BM48241" s="1025"/>
      <c r="BO48241" s="43"/>
    </row>
    <row r="48242" spans="65:67" ht="18.75" customHeight="1">
      <c r="BM48242" s="1025"/>
      <c r="BO48242" s="43"/>
    </row>
    <row r="48243" spans="65:67" ht="18.75" customHeight="1">
      <c r="BM48243" s="1025"/>
      <c r="BO48243" s="43"/>
    </row>
    <row r="48244" spans="65:67" ht="18.75" customHeight="1">
      <c r="BM48244" s="1025"/>
      <c r="BO48244" s="43"/>
    </row>
    <row r="48245" spans="65:67" ht="18.75" customHeight="1">
      <c r="BM48245" s="1025"/>
      <c r="BO48245" s="43"/>
    </row>
    <row r="48246" spans="65:67" ht="18.75" customHeight="1">
      <c r="BM48246" s="1025"/>
      <c r="BO48246" s="43"/>
    </row>
    <row r="48247" spans="65:67" ht="18.75" customHeight="1">
      <c r="BM48247" s="1025"/>
      <c r="BO48247" s="43"/>
    </row>
    <row r="48248" spans="65:67" ht="18.75" customHeight="1">
      <c r="BM48248" s="1025"/>
      <c r="BO48248" s="43"/>
    </row>
    <row r="48249" spans="65:67" ht="18.75" customHeight="1">
      <c r="BM48249" s="1025"/>
      <c r="BO48249" s="43"/>
    </row>
    <row r="48250" spans="65:67" ht="18.75" customHeight="1">
      <c r="BM48250" s="1025"/>
      <c r="BO48250" s="43"/>
    </row>
    <row r="48251" spans="65:67" ht="18.75" customHeight="1">
      <c r="BM48251" s="1025"/>
      <c r="BO48251" s="43"/>
    </row>
    <row r="48252" spans="65:67" ht="18.75" customHeight="1">
      <c r="BM48252" s="1025"/>
      <c r="BO48252" s="43"/>
    </row>
    <row r="48253" spans="65:67" ht="18.75" customHeight="1">
      <c r="BM48253" s="1025"/>
      <c r="BO48253" s="43"/>
    </row>
    <row r="48254" spans="65:67" ht="18.75" customHeight="1">
      <c r="BM48254" s="1025"/>
      <c r="BO48254" s="43"/>
    </row>
    <row r="48255" spans="65:67" ht="18.75" customHeight="1">
      <c r="BM48255" s="1025"/>
      <c r="BO48255" s="43"/>
    </row>
    <row r="48256" spans="65:67" ht="18.75" customHeight="1">
      <c r="BM48256" s="1025"/>
      <c r="BO48256" s="43"/>
    </row>
    <row r="48257" spans="65:67" ht="18.75" customHeight="1">
      <c r="BM48257" s="1025"/>
      <c r="BO48257" s="43"/>
    </row>
    <row r="48258" spans="65:67" ht="18.75" customHeight="1">
      <c r="BM48258" s="1025"/>
      <c r="BO48258" s="43"/>
    </row>
    <row r="48259" spans="65:67" ht="18.75" customHeight="1">
      <c r="BM48259" s="1025"/>
      <c r="BO48259" s="43"/>
    </row>
    <row r="48260" spans="65:67" ht="18.75" customHeight="1">
      <c r="BM48260" s="1025"/>
      <c r="BO48260" s="43"/>
    </row>
    <row r="48261" spans="65:67" ht="18.75" customHeight="1">
      <c r="BM48261" s="1025"/>
      <c r="BO48261" s="43"/>
    </row>
    <row r="48262" spans="65:67" ht="18.75" customHeight="1">
      <c r="BM48262" s="1025"/>
      <c r="BO48262" s="43"/>
    </row>
    <row r="48263" spans="65:67" ht="18.75" customHeight="1">
      <c r="BM48263" s="1025"/>
      <c r="BO48263" s="43"/>
    </row>
    <row r="48264" spans="65:67" ht="18.75" customHeight="1">
      <c r="BM48264" s="1025"/>
      <c r="BO48264" s="43"/>
    </row>
    <row r="48265" spans="65:67" ht="18.75" customHeight="1">
      <c r="BM48265" s="1025"/>
      <c r="BO48265" s="43"/>
    </row>
    <row r="48266" spans="65:67" ht="18.75" customHeight="1">
      <c r="BM48266" s="1025"/>
      <c r="BO48266" s="43"/>
    </row>
    <row r="48267" spans="65:67" ht="18.75" customHeight="1">
      <c r="BM48267" s="1025"/>
      <c r="BO48267" s="43"/>
    </row>
    <row r="48268" spans="65:67" ht="18.75" customHeight="1">
      <c r="BM48268" s="1025"/>
      <c r="BO48268" s="43"/>
    </row>
    <row r="48269" spans="65:67" ht="18.75" customHeight="1">
      <c r="BM48269" s="1025"/>
      <c r="BO48269" s="43"/>
    </row>
    <row r="48270" spans="65:67" ht="18.75" customHeight="1">
      <c r="BM48270" s="1025"/>
      <c r="BO48270" s="43"/>
    </row>
    <row r="48271" spans="65:67" ht="18.75" customHeight="1">
      <c r="BM48271" s="1025"/>
      <c r="BO48271" s="43"/>
    </row>
    <row r="48272" spans="65:67" ht="18.75" customHeight="1">
      <c r="BM48272" s="1025"/>
      <c r="BO48272" s="43"/>
    </row>
    <row r="48273" spans="65:67" ht="18.75" customHeight="1">
      <c r="BM48273" s="1025"/>
      <c r="BO48273" s="43"/>
    </row>
    <row r="48274" spans="65:67" ht="18.75" customHeight="1">
      <c r="BM48274" s="1025"/>
      <c r="BO48274" s="43"/>
    </row>
    <row r="48275" spans="65:67" ht="18.75" customHeight="1">
      <c r="BM48275" s="1025"/>
      <c r="BO48275" s="43"/>
    </row>
    <row r="48276" spans="65:67" ht="18.75" customHeight="1">
      <c r="BM48276" s="1025"/>
      <c r="BO48276" s="43"/>
    </row>
    <row r="48277" spans="65:67" ht="18.75" customHeight="1">
      <c r="BM48277" s="1025"/>
      <c r="BO48277" s="43"/>
    </row>
    <row r="48278" spans="65:67" ht="18.75" customHeight="1">
      <c r="BM48278" s="1025"/>
      <c r="BO48278" s="43"/>
    </row>
    <row r="48279" spans="65:67" ht="18.75" customHeight="1">
      <c r="BM48279" s="1025"/>
      <c r="BO48279" s="43"/>
    </row>
    <row r="48280" spans="65:67" ht="18.75" customHeight="1">
      <c r="BM48280" s="1025"/>
      <c r="BO48280" s="43"/>
    </row>
    <row r="48281" spans="65:67" ht="18.75" customHeight="1">
      <c r="BM48281" s="1025"/>
      <c r="BO48281" s="43"/>
    </row>
    <row r="48282" spans="65:67" ht="18.75" customHeight="1">
      <c r="BM48282" s="1025"/>
      <c r="BO48282" s="43"/>
    </row>
    <row r="48283" spans="65:67" ht="18.75" customHeight="1">
      <c r="BM48283" s="1025"/>
      <c r="BO48283" s="43"/>
    </row>
    <row r="48284" spans="65:67" ht="18.75" customHeight="1">
      <c r="BM48284" s="1025"/>
      <c r="BO48284" s="43"/>
    </row>
    <row r="48285" spans="65:67" ht="18.75" customHeight="1">
      <c r="BM48285" s="1025"/>
      <c r="BO48285" s="43"/>
    </row>
    <row r="48286" spans="65:67" ht="18.75" customHeight="1">
      <c r="BM48286" s="1025"/>
      <c r="BO48286" s="43"/>
    </row>
    <row r="48287" spans="65:67" ht="18.75" customHeight="1">
      <c r="BM48287" s="1025"/>
      <c r="BO48287" s="43"/>
    </row>
    <row r="48288" spans="65:67" ht="18.75" customHeight="1">
      <c r="BM48288" s="1025"/>
      <c r="BO48288" s="43"/>
    </row>
    <row r="48289" spans="65:67" ht="18.75" customHeight="1">
      <c r="BM48289" s="1025"/>
      <c r="BO48289" s="43"/>
    </row>
    <row r="48290" spans="65:67" ht="18.75" customHeight="1">
      <c r="BM48290" s="1025"/>
      <c r="BO48290" s="43"/>
    </row>
    <row r="48291" spans="65:67" ht="18.75" customHeight="1">
      <c r="BM48291" s="1025"/>
      <c r="BO48291" s="43"/>
    </row>
    <row r="48292" spans="65:67" ht="18.75" customHeight="1">
      <c r="BM48292" s="1025"/>
      <c r="BO48292" s="43"/>
    </row>
    <row r="48293" spans="65:67" ht="18.75" customHeight="1">
      <c r="BM48293" s="1025"/>
      <c r="BO48293" s="43"/>
    </row>
    <row r="48294" spans="65:67" ht="18.75" customHeight="1">
      <c r="BM48294" s="1025"/>
      <c r="BO48294" s="43"/>
    </row>
    <row r="48295" spans="65:67" ht="18.75" customHeight="1">
      <c r="BM48295" s="1025"/>
      <c r="BO48295" s="43"/>
    </row>
    <row r="48296" spans="65:67" ht="18.75" customHeight="1">
      <c r="BM48296" s="1025"/>
      <c r="BO48296" s="43"/>
    </row>
    <row r="48297" spans="65:67" ht="18.75" customHeight="1">
      <c r="BM48297" s="1025"/>
      <c r="BO48297" s="43"/>
    </row>
    <row r="48298" spans="65:67" ht="18.75" customHeight="1">
      <c r="BM48298" s="1025"/>
      <c r="BO48298" s="43"/>
    </row>
    <row r="48299" spans="65:67" ht="18.75" customHeight="1">
      <c r="BM48299" s="1025"/>
      <c r="BO48299" s="43"/>
    </row>
    <row r="48300" spans="65:67" ht="18.75" customHeight="1">
      <c r="BM48300" s="1025"/>
      <c r="BO48300" s="43"/>
    </row>
    <row r="48301" spans="65:67" ht="18.75" customHeight="1">
      <c r="BM48301" s="1025"/>
      <c r="BO48301" s="43"/>
    </row>
    <row r="48302" spans="65:67" ht="18.75" customHeight="1">
      <c r="BM48302" s="1025"/>
      <c r="BO48302" s="43"/>
    </row>
    <row r="48303" spans="65:67" ht="18.75" customHeight="1">
      <c r="BM48303" s="1025"/>
      <c r="BO48303" s="43"/>
    </row>
    <row r="48304" spans="65:67" ht="18.75" customHeight="1">
      <c r="BM48304" s="1025"/>
      <c r="BO48304" s="43"/>
    </row>
    <row r="48305" spans="65:67" ht="18.75" customHeight="1">
      <c r="BM48305" s="1025"/>
      <c r="BO48305" s="43"/>
    </row>
    <row r="48306" spans="65:67" ht="18.75" customHeight="1">
      <c r="BM48306" s="1025"/>
      <c r="BO48306" s="43"/>
    </row>
    <row r="48307" spans="65:67" ht="18.75" customHeight="1">
      <c r="BM48307" s="1025"/>
      <c r="BO48307" s="43"/>
    </row>
    <row r="48308" spans="65:67" ht="18.75" customHeight="1">
      <c r="BM48308" s="1025"/>
      <c r="BO48308" s="43"/>
    </row>
    <row r="48309" spans="65:67" ht="18.75" customHeight="1">
      <c r="BM48309" s="1025"/>
      <c r="BO48309" s="43"/>
    </row>
    <row r="48310" spans="65:67" ht="18.75" customHeight="1">
      <c r="BM48310" s="1025"/>
      <c r="BO48310" s="43"/>
    </row>
    <row r="48311" spans="65:67" ht="18.75" customHeight="1">
      <c r="BM48311" s="1025"/>
      <c r="BO48311" s="43"/>
    </row>
    <row r="48312" spans="65:67" ht="18.75" customHeight="1">
      <c r="BM48312" s="1025"/>
      <c r="BO48312" s="43"/>
    </row>
    <row r="48313" spans="65:67" ht="18.75" customHeight="1">
      <c r="BM48313" s="1025"/>
      <c r="BO48313" s="43"/>
    </row>
    <row r="48314" spans="65:67" ht="18.75" customHeight="1">
      <c r="BM48314" s="1025"/>
      <c r="BO48314" s="43"/>
    </row>
    <row r="48315" spans="65:67" ht="18.75" customHeight="1">
      <c r="BM48315" s="1025"/>
      <c r="BO48315" s="43"/>
    </row>
    <row r="48316" spans="65:67" ht="18.75" customHeight="1">
      <c r="BM48316" s="1025"/>
      <c r="BO48316" s="43"/>
    </row>
    <row r="48317" spans="65:67" ht="18.75" customHeight="1">
      <c r="BM48317" s="1025"/>
      <c r="BO48317" s="43"/>
    </row>
    <row r="48318" spans="65:67" ht="18.75" customHeight="1">
      <c r="BM48318" s="1025"/>
      <c r="BO48318" s="43"/>
    </row>
    <row r="48319" spans="65:67" ht="18.75" customHeight="1">
      <c r="BM48319" s="1025"/>
      <c r="BO48319" s="43"/>
    </row>
    <row r="48320" spans="65:67" ht="18.75" customHeight="1">
      <c r="BM48320" s="1025"/>
      <c r="BO48320" s="43"/>
    </row>
    <row r="48321" spans="65:67" ht="18.75" customHeight="1">
      <c r="BM48321" s="1025"/>
      <c r="BO48321" s="43"/>
    </row>
    <row r="48322" spans="65:67" ht="18.75" customHeight="1">
      <c r="BM48322" s="1025"/>
      <c r="BO48322" s="43"/>
    </row>
    <row r="48323" spans="65:67" ht="18.75" customHeight="1">
      <c r="BM48323" s="1025"/>
      <c r="BO48323" s="43"/>
    </row>
    <row r="48324" spans="65:67" ht="18.75" customHeight="1">
      <c r="BM48324" s="1025"/>
      <c r="BO48324" s="43"/>
    </row>
    <row r="48325" spans="65:67" ht="18.75" customHeight="1">
      <c r="BM48325" s="1025"/>
      <c r="BO48325" s="43"/>
    </row>
    <row r="48326" spans="65:67" ht="18.75" customHeight="1">
      <c r="BM48326" s="1025"/>
      <c r="BO48326" s="43"/>
    </row>
    <row r="48327" spans="65:67" ht="18.75" customHeight="1">
      <c r="BM48327" s="1025"/>
      <c r="BO48327" s="43"/>
    </row>
    <row r="48328" spans="65:67" ht="18.75" customHeight="1">
      <c r="BM48328" s="1025"/>
      <c r="BO48328" s="43"/>
    </row>
    <row r="48329" spans="65:67" ht="18.75" customHeight="1">
      <c r="BM48329" s="1025"/>
      <c r="BO48329" s="43"/>
    </row>
    <row r="48330" spans="65:67" ht="18.75" customHeight="1">
      <c r="BM48330" s="1025"/>
      <c r="BO48330" s="43"/>
    </row>
    <row r="48331" spans="65:67" ht="18.75" customHeight="1">
      <c r="BM48331" s="1025"/>
      <c r="BO48331" s="43"/>
    </row>
    <row r="48332" spans="65:67" ht="18.75" customHeight="1">
      <c r="BM48332" s="1025"/>
      <c r="BO48332" s="43"/>
    </row>
    <row r="48333" spans="65:67" ht="18.75" customHeight="1">
      <c r="BM48333" s="1025"/>
      <c r="BO48333" s="43"/>
    </row>
    <row r="48334" spans="65:67" ht="18.75" customHeight="1">
      <c r="BM48334" s="1025"/>
      <c r="BO48334" s="43"/>
    </row>
    <row r="48335" spans="65:67" ht="18.75" customHeight="1">
      <c r="BM48335" s="1025"/>
      <c r="BO48335" s="43"/>
    </row>
    <row r="48336" spans="65:67" ht="18.75" customHeight="1">
      <c r="BM48336" s="1025"/>
      <c r="BO48336" s="43"/>
    </row>
    <row r="48337" spans="65:67" ht="18.75" customHeight="1">
      <c r="BM48337" s="1025"/>
      <c r="BO48337" s="43"/>
    </row>
    <row r="48338" spans="65:67" ht="18.75" customHeight="1">
      <c r="BM48338" s="1025"/>
      <c r="BO48338" s="43"/>
    </row>
    <row r="48339" spans="65:67" ht="18.75" customHeight="1">
      <c r="BM48339" s="1025"/>
      <c r="BO48339" s="43"/>
    </row>
    <row r="48340" spans="65:67" ht="18.75" customHeight="1">
      <c r="BM48340" s="1025"/>
      <c r="BO48340" s="43"/>
    </row>
    <row r="48341" spans="65:67" ht="18.75" customHeight="1">
      <c r="BM48341" s="1025"/>
      <c r="BO48341" s="43"/>
    </row>
    <row r="48342" spans="65:67" ht="18.75" customHeight="1">
      <c r="BM48342" s="1025"/>
      <c r="BO48342" s="43"/>
    </row>
    <row r="48343" spans="65:67" ht="18.75" customHeight="1">
      <c r="BM48343" s="1025"/>
      <c r="BO48343" s="43"/>
    </row>
    <row r="48344" spans="65:67" ht="18.75" customHeight="1">
      <c r="BM48344" s="1025"/>
      <c r="BO48344" s="43"/>
    </row>
    <row r="48345" spans="65:67" ht="18.75" customHeight="1">
      <c r="BM48345" s="1025"/>
      <c r="BO48345" s="43"/>
    </row>
    <row r="48346" spans="65:67" ht="18.75" customHeight="1">
      <c r="BM48346" s="1025"/>
      <c r="BO48346" s="43"/>
    </row>
    <row r="48347" spans="65:67" ht="18.75" customHeight="1">
      <c r="BM48347" s="1025"/>
      <c r="BO48347" s="43"/>
    </row>
    <row r="48348" spans="65:67" ht="18.75" customHeight="1">
      <c r="BM48348" s="1025"/>
      <c r="BO48348" s="43"/>
    </row>
    <row r="48349" spans="65:67" ht="18.75" customHeight="1">
      <c r="BM48349" s="1025"/>
      <c r="BO48349" s="43"/>
    </row>
    <row r="48350" spans="65:67" ht="18.75" customHeight="1">
      <c r="BM48350" s="1025"/>
      <c r="BO48350" s="43"/>
    </row>
    <row r="48351" spans="65:67" ht="18.75" customHeight="1">
      <c r="BM48351" s="1025"/>
      <c r="BO48351" s="43"/>
    </row>
    <row r="48352" spans="65:67" ht="18.75" customHeight="1">
      <c r="BM48352" s="1025"/>
      <c r="BO48352" s="43"/>
    </row>
    <row r="48353" spans="65:67" ht="18.75" customHeight="1">
      <c r="BM48353" s="1025"/>
      <c r="BO48353" s="43"/>
    </row>
    <row r="48354" spans="65:67" ht="18.75" customHeight="1">
      <c r="BM48354" s="1025"/>
      <c r="BO48354" s="43"/>
    </row>
    <row r="48355" spans="65:67" ht="18.75" customHeight="1">
      <c r="BM48355" s="1025"/>
      <c r="BO48355" s="43"/>
    </row>
    <row r="48356" spans="65:67" ht="18.75" customHeight="1">
      <c r="BM48356" s="1025"/>
      <c r="BO48356" s="43"/>
    </row>
    <row r="48357" spans="65:67" ht="18.75" customHeight="1">
      <c r="BM48357" s="1025"/>
      <c r="BO48357" s="43"/>
    </row>
    <row r="48358" spans="65:67" ht="18.75" customHeight="1">
      <c r="BM48358" s="1025"/>
      <c r="BO48358" s="43"/>
    </row>
    <row r="48359" spans="65:67" ht="18.75" customHeight="1">
      <c r="BM48359" s="1025"/>
      <c r="BO48359" s="43"/>
    </row>
    <row r="48360" spans="65:67" ht="18.75" customHeight="1">
      <c r="BM48360" s="1025"/>
      <c r="BO48360" s="43"/>
    </row>
    <row r="48361" spans="65:67" ht="18.75" customHeight="1">
      <c r="BM48361" s="1025"/>
      <c r="BO48361" s="43"/>
    </row>
    <row r="48362" spans="65:67" ht="18.75" customHeight="1">
      <c r="BM48362" s="1025"/>
      <c r="BO48362" s="43"/>
    </row>
    <row r="48363" spans="65:67" ht="18.75" customHeight="1">
      <c r="BM48363" s="1025"/>
      <c r="BO48363" s="43"/>
    </row>
    <row r="48364" spans="65:67" ht="18.75" customHeight="1">
      <c r="BM48364" s="1025"/>
      <c r="BO48364" s="43"/>
    </row>
    <row r="48365" spans="65:67" ht="18.75" customHeight="1">
      <c r="BM48365" s="1025"/>
      <c r="BO48365" s="43"/>
    </row>
    <row r="48366" spans="65:67" ht="18.75" customHeight="1">
      <c r="BM48366" s="1025"/>
      <c r="BO48366" s="43"/>
    </row>
    <row r="48367" spans="65:67" ht="18.75" customHeight="1">
      <c r="BM48367" s="1025"/>
      <c r="BO48367" s="43"/>
    </row>
    <row r="48368" spans="65:67" ht="18.75" customHeight="1">
      <c r="BM48368" s="1025"/>
      <c r="BO48368" s="43"/>
    </row>
    <row r="48369" spans="65:67" ht="18.75" customHeight="1">
      <c r="BM48369" s="1025"/>
      <c r="BO48369" s="43"/>
    </row>
    <row r="48370" spans="65:67" ht="18.75" customHeight="1">
      <c r="BM48370" s="1025"/>
      <c r="BO48370" s="43"/>
    </row>
    <row r="48371" spans="65:67" ht="18.75" customHeight="1">
      <c r="BM48371" s="1025"/>
      <c r="BO48371" s="43"/>
    </row>
    <row r="48372" spans="65:67" ht="18.75" customHeight="1">
      <c r="BM48372" s="1025"/>
      <c r="BO48372" s="43"/>
    </row>
    <row r="48373" spans="65:67" ht="18.75" customHeight="1">
      <c r="BM48373" s="1025"/>
      <c r="BO48373" s="43"/>
    </row>
    <row r="48374" spans="65:67" ht="18.75" customHeight="1">
      <c r="BM48374" s="1025"/>
      <c r="BO48374" s="43"/>
    </row>
    <row r="48375" spans="65:67" ht="18.75" customHeight="1">
      <c r="BM48375" s="1025"/>
      <c r="BO48375" s="43"/>
    </row>
    <row r="48376" spans="65:67" ht="18.75" customHeight="1">
      <c r="BM48376" s="1025"/>
      <c r="BO48376" s="43"/>
    </row>
    <row r="48377" spans="65:67" ht="18.75" customHeight="1">
      <c r="BM48377" s="1025"/>
      <c r="BO48377" s="43"/>
    </row>
    <row r="48378" spans="65:67" ht="18.75" customHeight="1">
      <c r="BM48378" s="1025"/>
      <c r="BO48378" s="43"/>
    </row>
    <row r="48379" spans="65:67" ht="18.75" customHeight="1">
      <c r="BM48379" s="1025"/>
      <c r="BO48379" s="43"/>
    </row>
    <row r="48380" spans="65:67" ht="18.75" customHeight="1">
      <c r="BM48380" s="1025"/>
      <c r="BO48380" s="43"/>
    </row>
    <row r="48381" spans="65:67" ht="18.75" customHeight="1">
      <c r="BM48381" s="1025"/>
      <c r="BO48381" s="43"/>
    </row>
    <row r="48382" spans="65:67" ht="18.75" customHeight="1">
      <c r="BM48382" s="1025"/>
      <c r="BO48382" s="43"/>
    </row>
    <row r="48383" spans="65:67" ht="18.75" customHeight="1">
      <c r="BM48383" s="1025"/>
      <c r="BO48383" s="43"/>
    </row>
    <row r="48384" spans="65:67" ht="18.75" customHeight="1">
      <c r="BM48384" s="1025"/>
      <c r="BO48384" s="43"/>
    </row>
    <row r="48385" spans="65:67" ht="18.75" customHeight="1">
      <c r="BM48385" s="1025"/>
      <c r="BO48385" s="43"/>
    </row>
    <row r="48386" spans="65:67" ht="18.75" customHeight="1">
      <c r="BM48386" s="1025"/>
      <c r="BO48386" s="43"/>
    </row>
    <row r="48387" spans="65:67" ht="18.75" customHeight="1">
      <c r="BM48387" s="1025"/>
      <c r="BO48387" s="43"/>
    </row>
    <row r="48388" spans="65:67" ht="18.75" customHeight="1">
      <c r="BM48388" s="1025"/>
      <c r="BO48388" s="43"/>
    </row>
    <row r="48389" spans="65:67" ht="18.75" customHeight="1">
      <c r="BM48389" s="1025"/>
      <c r="BO48389" s="43"/>
    </row>
    <row r="48390" spans="65:67" ht="18.75" customHeight="1">
      <c r="BM48390" s="1025"/>
      <c r="BO48390" s="43"/>
    </row>
    <row r="48391" spans="65:67" ht="18.75" customHeight="1">
      <c r="BM48391" s="1025"/>
      <c r="BO48391" s="43"/>
    </row>
    <row r="48392" spans="65:67" ht="18.75" customHeight="1">
      <c r="BM48392" s="1025"/>
      <c r="BO48392" s="43"/>
    </row>
    <row r="48393" spans="65:67" ht="18.75" customHeight="1">
      <c r="BM48393" s="1025"/>
      <c r="BO48393" s="43"/>
    </row>
    <row r="48394" spans="65:67" ht="18.75" customHeight="1">
      <c r="BM48394" s="1025"/>
      <c r="BO48394" s="43"/>
    </row>
    <row r="48395" spans="65:67" ht="18.75" customHeight="1">
      <c r="BM48395" s="1025"/>
      <c r="BO48395" s="43"/>
    </row>
    <row r="48396" spans="65:67" ht="18.75" customHeight="1">
      <c r="BM48396" s="1025"/>
      <c r="BO48396" s="43"/>
    </row>
    <row r="48397" spans="65:67" ht="18.75" customHeight="1">
      <c r="BM48397" s="1025"/>
      <c r="BO48397" s="43"/>
    </row>
    <row r="48398" spans="65:67" ht="18.75" customHeight="1">
      <c r="BM48398" s="1025"/>
      <c r="BO48398" s="43"/>
    </row>
    <row r="48399" spans="65:67" ht="18.75" customHeight="1">
      <c r="BM48399" s="1025"/>
      <c r="BO48399" s="43"/>
    </row>
    <row r="48400" spans="65:67" ht="18.75" customHeight="1">
      <c r="BM48400" s="1025"/>
      <c r="BO48400" s="43"/>
    </row>
    <row r="48401" spans="65:67" ht="18.75" customHeight="1">
      <c r="BM48401" s="1025"/>
      <c r="BO48401" s="43"/>
    </row>
    <row r="48402" spans="65:67" ht="18.75" customHeight="1">
      <c r="BM48402" s="1025"/>
      <c r="BO48402" s="43"/>
    </row>
    <row r="48403" spans="65:67" ht="18.75" customHeight="1">
      <c r="BM48403" s="1025"/>
      <c r="BO48403" s="43"/>
    </row>
    <row r="48404" spans="65:67" ht="18.75" customHeight="1">
      <c r="BM48404" s="1025"/>
      <c r="BO48404" s="43"/>
    </row>
    <row r="48405" spans="65:67" ht="18.75" customHeight="1">
      <c r="BM48405" s="1025"/>
      <c r="BO48405" s="43"/>
    </row>
    <row r="48406" spans="65:67" ht="18.75" customHeight="1">
      <c r="BM48406" s="1025"/>
      <c r="BO48406" s="43"/>
    </row>
    <row r="48407" spans="65:67" ht="18.75" customHeight="1">
      <c r="BM48407" s="1025"/>
      <c r="BO48407" s="43"/>
    </row>
    <row r="48408" spans="65:67" ht="18.75" customHeight="1">
      <c r="BM48408" s="1025"/>
      <c r="BO48408" s="43"/>
    </row>
    <row r="48409" spans="65:67" ht="18.75" customHeight="1">
      <c r="BM48409" s="1025"/>
      <c r="BO48409" s="43"/>
    </row>
    <row r="48410" spans="65:67" ht="18.75" customHeight="1">
      <c r="BM48410" s="1025"/>
      <c r="BO48410" s="43"/>
    </row>
    <row r="48411" spans="65:67" ht="18.75" customHeight="1">
      <c r="BM48411" s="1025"/>
      <c r="BO48411" s="43"/>
    </row>
    <row r="48412" spans="65:67" ht="18.75" customHeight="1">
      <c r="BM48412" s="1025"/>
      <c r="BO48412" s="43"/>
    </row>
    <row r="48413" spans="65:67" ht="18.75" customHeight="1">
      <c r="BM48413" s="1025"/>
      <c r="BO48413" s="43"/>
    </row>
    <row r="48414" spans="65:67" ht="18.75" customHeight="1">
      <c r="BM48414" s="1025"/>
      <c r="BO48414" s="43"/>
    </row>
    <row r="48415" spans="65:67" ht="18.75" customHeight="1">
      <c r="BM48415" s="1025"/>
      <c r="BO48415" s="43"/>
    </row>
    <row r="48416" spans="65:67" ht="18.75" customHeight="1">
      <c r="BM48416" s="1025"/>
      <c r="BO48416" s="43"/>
    </row>
    <row r="48417" spans="65:67" ht="18.75" customHeight="1">
      <c r="BM48417" s="1025"/>
      <c r="BO48417" s="43"/>
    </row>
    <row r="48418" spans="65:67" ht="18.75" customHeight="1">
      <c r="BM48418" s="1025"/>
      <c r="BO48418" s="43"/>
    </row>
    <row r="48419" spans="65:67" ht="18.75" customHeight="1">
      <c r="BM48419" s="1025"/>
      <c r="BO48419" s="43"/>
    </row>
    <row r="48420" spans="65:67" ht="18.75" customHeight="1">
      <c r="BM48420" s="1025"/>
      <c r="BO48420" s="43"/>
    </row>
    <row r="48421" spans="65:67" ht="18.75" customHeight="1">
      <c r="BM48421" s="1025"/>
      <c r="BO48421" s="43"/>
    </row>
    <row r="48422" spans="65:67" ht="18.75" customHeight="1">
      <c r="BM48422" s="1025"/>
      <c r="BO48422" s="43"/>
    </row>
    <row r="48423" spans="65:67" ht="18.75" customHeight="1">
      <c r="BM48423" s="1025"/>
      <c r="BO48423" s="43"/>
    </row>
    <row r="48424" spans="65:67" ht="18.75" customHeight="1">
      <c r="BM48424" s="1025"/>
      <c r="BO48424" s="43"/>
    </row>
    <row r="48425" spans="65:67" ht="18.75" customHeight="1">
      <c r="BM48425" s="1025"/>
      <c r="BO48425" s="43"/>
    </row>
    <row r="48426" spans="65:67" ht="18.75" customHeight="1">
      <c r="BM48426" s="1025"/>
      <c r="BO48426" s="43"/>
    </row>
    <row r="48427" spans="65:67" ht="18.75" customHeight="1">
      <c r="BM48427" s="1025"/>
      <c r="BO48427" s="43"/>
    </row>
    <row r="48428" spans="65:67" ht="18.75" customHeight="1">
      <c r="BM48428" s="1025"/>
      <c r="BO48428" s="43"/>
    </row>
    <row r="48429" spans="65:67" ht="18.75" customHeight="1">
      <c r="BM48429" s="1025"/>
      <c r="BO48429" s="43"/>
    </row>
    <row r="48430" spans="65:67" ht="18.75" customHeight="1">
      <c r="BM48430" s="1025"/>
      <c r="BO48430" s="43"/>
    </row>
    <row r="48431" spans="65:67" ht="18.75" customHeight="1">
      <c r="BM48431" s="1025"/>
      <c r="BO48431" s="43"/>
    </row>
    <row r="48432" spans="65:67" ht="18.75" customHeight="1">
      <c r="BM48432" s="1025"/>
      <c r="BO48432" s="43"/>
    </row>
    <row r="48433" spans="65:67" ht="18.75" customHeight="1">
      <c r="BM48433" s="1025"/>
      <c r="BO48433" s="43"/>
    </row>
    <row r="48434" spans="65:67" ht="18.75" customHeight="1">
      <c r="BM48434" s="1025"/>
      <c r="BO48434" s="43"/>
    </row>
    <row r="48435" spans="65:67" ht="18.75" customHeight="1">
      <c r="BM48435" s="1025"/>
      <c r="BO48435" s="43"/>
    </row>
    <row r="48436" spans="65:67" ht="18.75" customHeight="1">
      <c r="BM48436" s="1025"/>
      <c r="BO48436" s="43"/>
    </row>
    <row r="48437" spans="65:67" ht="18.75" customHeight="1">
      <c r="BM48437" s="1025"/>
      <c r="BO48437" s="43"/>
    </row>
    <row r="48438" spans="65:67" ht="18.75" customHeight="1">
      <c r="BM48438" s="1025"/>
      <c r="BO48438" s="43"/>
    </row>
    <row r="48439" spans="65:67" ht="18.75" customHeight="1">
      <c r="BM48439" s="1025"/>
      <c r="BO48439" s="43"/>
    </row>
    <row r="48440" spans="65:67" ht="18.75" customHeight="1">
      <c r="BM48440" s="1025"/>
      <c r="BO48440" s="43"/>
    </row>
    <row r="48441" spans="65:67" ht="18.75" customHeight="1">
      <c r="BM48441" s="1025"/>
      <c r="BO48441" s="43"/>
    </row>
    <row r="48442" spans="65:67" ht="18.75" customHeight="1">
      <c r="BM48442" s="1025"/>
      <c r="BO48442" s="43"/>
    </row>
    <row r="48443" spans="65:67" ht="18.75" customHeight="1">
      <c r="BM48443" s="1025"/>
      <c r="BO48443" s="43"/>
    </row>
    <row r="48444" spans="65:67" ht="18.75" customHeight="1">
      <c r="BM48444" s="1025"/>
      <c r="BO48444" s="43"/>
    </row>
    <row r="48445" spans="65:67" ht="18.75" customHeight="1">
      <c r="BM48445" s="1025"/>
      <c r="BO48445" s="43"/>
    </row>
    <row r="48446" spans="65:67" ht="18.75" customHeight="1">
      <c r="BM48446" s="1025"/>
      <c r="BO48446" s="43"/>
    </row>
    <row r="48447" spans="65:67" ht="18.75" customHeight="1">
      <c r="BM48447" s="1025"/>
      <c r="BO48447" s="43"/>
    </row>
    <row r="48448" spans="65:67" ht="18.75" customHeight="1">
      <c r="BM48448" s="1025"/>
      <c r="BO48448" s="43"/>
    </row>
    <row r="48449" spans="65:67" ht="18.75" customHeight="1">
      <c r="BM48449" s="1025"/>
      <c r="BO48449" s="43"/>
    </row>
    <row r="48450" spans="65:67" ht="18.75" customHeight="1">
      <c r="BM48450" s="1025"/>
      <c r="BO48450" s="43"/>
    </row>
    <row r="48451" spans="65:67" ht="18.75" customHeight="1">
      <c r="BM48451" s="1025"/>
      <c r="BO48451" s="43"/>
    </row>
    <row r="48452" spans="65:67" ht="18.75" customHeight="1">
      <c r="BM48452" s="1025"/>
      <c r="BO48452" s="43"/>
    </row>
    <row r="48453" spans="65:67" ht="18.75" customHeight="1">
      <c r="BM48453" s="1025"/>
      <c r="BO48453" s="43"/>
    </row>
    <row r="48454" spans="65:67" ht="18.75" customHeight="1">
      <c r="BM48454" s="1025"/>
      <c r="BO48454" s="43"/>
    </row>
    <row r="48455" spans="65:67" ht="18.75" customHeight="1">
      <c r="BM48455" s="1025"/>
      <c r="BO48455" s="43"/>
    </row>
    <row r="48456" spans="65:67" ht="18.75" customHeight="1">
      <c r="BM48456" s="1025"/>
      <c r="BO48456" s="43"/>
    </row>
    <row r="48457" spans="65:67" ht="18.75" customHeight="1">
      <c r="BM48457" s="1025"/>
      <c r="BO48457" s="43"/>
    </row>
    <row r="48458" spans="65:67" ht="18.75" customHeight="1">
      <c r="BM48458" s="1025"/>
      <c r="BO48458" s="43"/>
    </row>
    <row r="48459" spans="65:67" ht="18.75" customHeight="1">
      <c r="BM48459" s="1025"/>
      <c r="BO48459" s="43"/>
    </row>
    <row r="48460" spans="65:67" ht="18.75" customHeight="1">
      <c r="BM48460" s="1025"/>
      <c r="BO48460" s="43"/>
    </row>
    <row r="48461" spans="65:67" ht="18.75" customHeight="1">
      <c r="BM48461" s="1025"/>
      <c r="BO48461" s="43"/>
    </row>
    <row r="48462" spans="65:67" ht="18.75" customHeight="1">
      <c r="BM48462" s="1025"/>
      <c r="BO48462" s="43"/>
    </row>
    <row r="48463" spans="65:67" ht="18.75" customHeight="1">
      <c r="BM48463" s="1025"/>
      <c r="BO48463" s="43"/>
    </row>
    <row r="48464" spans="65:67" ht="18.75" customHeight="1">
      <c r="BM48464" s="1025"/>
      <c r="BO48464" s="43"/>
    </row>
    <row r="48465" spans="65:67" ht="18.75" customHeight="1">
      <c r="BM48465" s="1025"/>
      <c r="BO48465" s="43"/>
    </row>
    <row r="48466" spans="65:67" ht="18.75" customHeight="1">
      <c r="BM48466" s="1025"/>
      <c r="BO48466" s="43"/>
    </row>
    <row r="48467" spans="65:67" ht="18.75" customHeight="1">
      <c r="BM48467" s="1025"/>
      <c r="BO48467" s="43"/>
    </row>
    <row r="48468" spans="65:67" ht="18.75" customHeight="1">
      <c r="BM48468" s="1025"/>
      <c r="BO48468" s="43"/>
    </row>
    <row r="48469" spans="65:67" ht="18.75" customHeight="1">
      <c r="BM48469" s="1025"/>
      <c r="BO48469" s="43"/>
    </row>
    <row r="48470" spans="65:67" ht="18.75" customHeight="1">
      <c r="BM48470" s="1025"/>
      <c r="BO48470" s="43"/>
    </row>
    <row r="48471" spans="65:67" ht="18.75" customHeight="1">
      <c r="BM48471" s="1025"/>
      <c r="BO48471" s="43"/>
    </row>
    <row r="48472" spans="65:67" ht="18.75" customHeight="1">
      <c r="BM48472" s="1025"/>
      <c r="BO48472" s="43"/>
    </row>
    <row r="48473" spans="65:67" ht="18.75" customHeight="1">
      <c r="BM48473" s="1025"/>
      <c r="BO48473" s="43"/>
    </row>
    <row r="48474" spans="65:67" ht="18.75" customHeight="1">
      <c r="BM48474" s="1025"/>
      <c r="BO48474" s="43"/>
    </row>
    <row r="48475" spans="65:67" ht="18.75" customHeight="1">
      <c r="BM48475" s="1025"/>
      <c r="BO48475" s="43"/>
    </row>
    <row r="48476" spans="65:67" ht="18.75" customHeight="1">
      <c r="BM48476" s="1025"/>
      <c r="BO48476" s="43"/>
    </row>
    <row r="48477" spans="65:67" ht="18.75" customHeight="1">
      <c r="BM48477" s="1025"/>
      <c r="BO48477" s="43"/>
    </row>
    <row r="48478" spans="65:67" ht="18.75" customHeight="1">
      <c r="BM48478" s="1025"/>
      <c r="BO48478" s="43"/>
    </row>
    <row r="48479" spans="65:67" ht="18.75" customHeight="1">
      <c r="BM48479" s="1025"/>
      <c r="BO48479" s="43"/>
    </row>
    <row r="48480" spans="65:67" ht="18.75" customHeight="1">
      <c r="BM48480" s="1025"/>
      <c r="BO48480" s="43"/>
    </row>
    <row r="48481" spans="65:67" ht="18.75" customHeight="1">
      <c r="BM48481" s="1025"/>
      <c r="BO48481" s="43"/>
    </row>
    <row r="48482" spans="65:67" ht="18.75" customHeight="1">
      <c r="BM48482" s="1025"/>
      <c r="BO48482" s="43"/>
    </row>
    <row r="48483" spans="65:67" ht="18.75" customHeight="1">
      <c r="BM48483" s="1025"/>
      <c r="BO48483" s="43"/>
    </row>
    <row r="48484" spans="65:67" ht="18.75" customHeight="1">
      <c r="BM48484" s="1025"/>
      <c r="BO48484" s="43"/>
    </row>
    <row r="48485" spans="65:67" ht="18.75" customHeight="1">
      <c r="BM48485" s="1025"/>
      <c r="BO48485" s="43"/>
    </row>
    <row r="48486" spans="65:67" ht="18.75" customHeight="1">
      <c r="BM48486" s="1025"/>
      <c r="BO48486" s="43"/>
    </row>
    <row r="48487" spans="65:67" ht="18.75" customHeight="1">
      <c r="BM48487" s="1025"/>
      <c r="BO48487" s="43"/>
    </row>
    <row r="48488" spans="65:67" ht="18.75" customHeight="1">
      <c r="BM48488" s="1025"/>
      <c r="BO48488" s="43"/>
    </row>
    <row r="48489" spans="65:67" ht="18.75" customHeight="1">
      <c r="BM48489" s="1025"/>
      <c r="BO48489" s="43"/>
    </row>
    <row r="48490" spans="65:67" ht="18.75" customHeight="1">
      <c r="BM48490" s="1025"/>
      <c r="BO48490" s="43"/>
    </row>
    <row r="48491" spans="65:67" ht="18.75" customHeight="1">
      <c r="BM48491" s="1025"/>
      <c r="BO48491" s="43"/>
    </row>
    <row r="48492" spans="65:67" ht="18.75" customHeight="1">
      <c r="BM48492" s="1025"/>
      <c r="BO48492" s="43"/>
    </row>
    <row r="48493" spans="65:67" ht="18.75" customHeight="1">
      <c r="BM48493" s="1025"/>
      <c r="BO48493" s="43"/>
    </row>
    <row r="48494" spans="65:67" ht="18.75" customHeight="1">
      <c r="BM48494" s="1025"/>
      <c r="BO48494" s="43"/>
    </row>
    <row r="48495" spans="65:67" ht="18.75" customHeight="1">
      <c r="BM48495" s="1025"/>
      <c r="BO48495" s="43"/>
    </row>
    <row r="48496" spans="65:67" ht="18.75" customHeight="1">
      <c r="BM48496" s="1025"/>
      <c r="BO48496" s="43"/>
    </row>
    <row r="48497" spans="65:67" ht="18.75" customHeight="1">
      <c r="BM48497" s="1025"/>
      <c r="BO48497" s="43"/>
    </row>
    <row r="48498" spans="65:67" ht="18.75" customHeight="1">
      <c r="BM48498" s="1025"/>
      <c r="BO48498" s="43"/>
    </row>
    <row r="48499" spans="65:67" ht="18.75" customHeight="1">
      <c r="BM48499" s="1025"/>
      <c r="BO48499" s="43"/>
    </row>
    <row r="48500" spans="65:67" ht="18.75" customHeight="1">
      <c r="BM48500" s="1025"/>
      <c r="BO48500" s="43"/>
    </row>
    <row r="48501" spans="65:67" ht="18.75" customHeight="1">
      <c r="BM48501" s="1025"/>
      <c r="BO48501" s="43"/>
    </row>
    <row r="48502" spans="65:67" ht="18.75" customHeight="1">
      <c r="BM48502" s="1025"/>
      <c r="BO48502" s="43"/>
    </row>
    <row r="48503" spans="65:67" ht="18.75" customHeight="1">
      <c r="BM48503" s="1025"/>
      <c r="BO48503" s="43"/>
    </row>
    <row r="48504" spans="65:67" ht="18.75" customHeight="1">
      <c r="BM48504" s="1025"/>
      <c r="BO48504" s="43"/>
    </row>
    <row r="48505" spans="65:67" ht="18.75" customHeight="1">
      <c r="BM48505" s="1025"/>
      <c r="BO48505" s="43"/>
    </row>
    <row r="48506" spans="65:67" ht="18.75" customHeight="1">
      <c r="BM48506" s="1025"/>
      <c r="BO48506" s="43"/>
    </row>
    <row r="48507" spans="65:67" ht="18.75" customHeight="1">
      <c r="BM48507" s="1025"/>
      <c r="BO48507" s="43"/>
    </row>
    <row r="48508" spans="65:67" ht="18.75" customHeight="1">
      <c r="BM48508" s="1025"/>
      <c r="BO48508" s="43"/>
    </row>
    <row r="48509" spans="65:67" ht="18.75" customHeight="1">
      <c r="BM48509" s="1025"/>
      <c r="BO48509" s="43"/>
    </row>
    <row r="48510" spans="65:67" ht="18.75" customHeight="1">
      <c r="BM48510" s="1025"/>
      <c r="BO48510" s="43"/>
    </row>
    <row r="48511" spans="65:67" ht="18.75" customHeight="1">
      <c r="BM48511" s="1025"/>
      <c r="BO48511" s="43"/>
    </row>
    <row r="48512" spans="65:67" ht="18.75" customHeight="1">
      <c r="BM48512" s="1025"/>
      <c r="BO48512" s="43"/>
    </row>
    <row r="48513" spans="65:67" ht="18.75" customHeight="1">
      <c r="BM48513" s="1025"/>
      <c r="BO48513" s="43"/>
    </row>
    <row r="48514" spans="65:67" ht="18.75" customHeight="1">
      <c r="BM48514" s="1025"/>
      <c r="BO48514" s="43"/>
    </row>
    <row r="48515" spans="65:67" ht="18.75" customHeight="1">
      <c r="BM48515" s="1025"/>
      <c r="BO48515" s="43"/>
    </row>
    <row r="48516" spans="65:67" ht="18.75" customHeight="1">
      <c r="BM48516" s="1025"/>
      <c r="BO48516" s="43"/>
    </row>
    <row r="48517" spans="65:67" ht="18.75" customHeight="1">
      <c r="BM48517" s="1025"/>
      <c r="BO48517" s="43"/>
    </row>
    <row r="48518" spans="65:67" ht="18.75" customHeight="1">
      <c r="BM48518" s="1025"/>
      <c r="BO48518" s="43"/>
    </row>
    <row r="48519" spans="65:67" ht="18.75" customHeight="1">
      <c r="BM48519" s="1025"/>
      <c r="BO48519" s="43"/>
    </row>
    <row r="48520" spans="65:67" ht="18.75" customHeight="1">
      <c r="BM48520" s="1025"/>
      <c r="BO48520" s="43"/>
    </row>
    <row r="48521" spans="65:67" ht="18.75" customHeight="1">
      <c r="BM48521" s="1025"/>
      <c r="BO48521" s="43"/>
    </row>
    <row r="48522" spans="65:67" ht="18.75" customHeight="1">
      <c r="BM48522" s="1025"/>
      <c r="BO48522" s="43"/>
    </row>
    <row r="48523" spans="65:67" ht="18.75" customHeight="1">
      <c r="BM48523" s="1025"/>
      <c r="BO48523" s="43"/>
    </row>
    <row r="48524" spans="65:67" ht="18.75" customHeight="1">
      <c r="BM48524" s="1025"/>
      <c r="BO48524" s="43"/>
    </row>
    <row r="48525" spans="65:67" ht="18.75" customHeight="1">
      <c r="BM48525" s="1025"/>
      <c r="BO48525" s="43"/>
    </row>
    <row r="48526" spans="65:67" ht="18.75" customHeight="1">
      <c r="BM48526" s="1025"/>
      <c r="BO48526" s="43"/>
    </row>
    <row r="48527" spans="65:67" ht="18.75" customHeight="1">
      <c r="BM48527" s="1025"/>
      <c r="BO48527" s="43"/>
    </row>
    <row r="48528" spans="65:67" ht="18.75" customHeight="1">
      <c r="BM48528" s="1025"/>
      <c r="BO48528" s="43"/>
    </row>
    <row r="48529" spans="65:67" ht="18.75" customHeight="1">
      <c r="BM48529" s="1025"/>
      <c r="BO48529" s="43"/>
    </row>
    <row r="48530" spans="65:67" ht="18.75" customHeight="1">
      <c r="BM48530" s="1025"/>
      <c r="BO48530" s="43"/>
    </row>
    <row r="48531" spans="65:67" ht="18.75" customHeight="1">
      <c r="BM48531" s="1025"/>
      <c r="BO48531" s="43"/>
    </row>
    <row r="48532" spans="65:67" ht="18.75" customHeight="1">
      <c r="BM48532" s="1025"/>
      <c r="BO48532" s="43"/>
    </row>
    <row r="48533" spans="65:67" ht="18.75" customHeight="1">
      <c r="BM48533" s="1025"/>
      <c r="BO48533" s="43"/>
    </row>
    <row r="48534" spans="65:67" ht="18.75" customHeight="1">
      <c r="BM48534" s="1025"/>
      <c r="BO48534" s="43"/>
    </row>
    <row r="48535" spans="65:67" ht="18.75" customHeight="1">
      <c r="BM48535" s="1025"/>
      <c r="BO48535" s="43"/>
    </row>
    <row r="48536" spans="65:67" ht="18.75" customHeight="1">
      <c r="BM48536" s="1025"/>
      <c r="BO48536" s="43"/>
    </row>
    <row r="48537" spans="65:67" ht="18.75" customHeight="1">
      <c r="BM48537" s="1025"/>
      <c r="BO48537" s="43"/>
    </row>
    <row r="48538" spans="65:67" ht="18.75" customHeight="1">
      <c r="BM48538" s="1025"/>
      <c r="BO48538" s="43"/>
    </row>
    <row r="48539" spans="65:67" ht="18.75" customHeight="1">
      <c r="BM48539" s="1025"/>
      <c r="BO48539" s="43"/>
    </row>
    <row r="48540" spans="65:67" ht="18.75" customHeight="1">
      <c r="BM48540" s="1025"/>
      <c r="BO48540" s="43"/>
    </row>
    <row r="48541" spans="65:67" ht="18.75" customHeight="1">
      <c r="BM48541" s="1025"/>
      <c r="BO48541" s="43"/>
    </row>
    <row r="48542" spans="65:67" ht="18.75" customHeight="1">
      <c r="BM48542" s="1025"/>
      <c r="BO48542" s="43"/>
    </row>
    <row r="48543" spans="65:67" ht="18.75" customHeight="1">
      <c r="BM48543" s="1025"/>
      <c r="BO48543" s="43"/>
    </row>
    <row r="48544" spans="65:67" ht="18.75" customHeight="1">
      <c r="BM48544" s="1025"/>
      <c r="BO48544" s="43"/>
    </row>
    <row r="48545" spans="65:67" ht="18.75" customHeight="1">
      <c r="BM48545" s="1025"/>
      <c r="BO48545" s="43"/>
    </row>
    <row r="48546" spans="65:67" ht="18.75" customHeight="1">
      <c r="BM48546" s="1025"/>
      <c r="BO48546" s="43"/>
    </row>
    <row r="48547" spans="65:67" ht="18.75" customHeight="1">
      <c r="BM48547" s="1025"/>
      <c r="BO48547" s="43"/>
    </row>
    <row r="48548" spans="65:67" ht="18.75" customHeight="1">
      <c r="BM48548" s="1025"/>
      <c r="BO48548" s="43"/>
    </row>
    <row r="48549" spans="65:67" ht="18.75" customHeight="1">
      <c r="BM48549" s="1025"/>
      <c r="BO48549" s="43"/>
    </row>
    <row r="48550" spans="65:67" ht="18.75" customHeight="1">
      <c r="BM48550" s="1025"/>
      <c r="BO48550" s="43"/>
    </row>
    <row r="48551" spans="65:67" ht="18.75" customHeight="1">
      <c r="BM48551" s="1025"/>
      <c r="BO48551" s="43"/>
    </row>
    <row r="48552" spans="65:67" ht="18.75" customHeight="1">
      <c r="BM48552" s="1025"/>
      <c r="BO48552" s="43"/>
    </row>
    <row r="48553" spans="65:67" ht="18.75" customHeight="1">
      <c r="BM48553" s="1025"/>
      <c r="BO48553" s="43"/>
    </row>
    <row r="48554" spans="65:67" ht="18.75" customHeight="1">
      <c r="BM48554" s="1025"/>
      <c r="BO48554" s="43"/>
    </row>
    <row r="48555" spans="65:67" ht="18.75" customHeight="1">
      <c r="BM48555" s="1025"/>
      <c r="BO48555" s="43"/>
    </row>
    <row r="48556" spans="65:67" ht="18.75" customHeight="1">
      <c r="BM48556" s="1025"/>
      <c r="BO48556" s="43"/>
    </row>
    <row r="48557" spans="65:67" ht="18.75" customHeight="1">
      <c r="BM48557" s="1025"/>
      <c r="BO48557" s="43"/>
    </row>
    <row r="48558" spans="65:67" ht="18.75" customHeight="1">
      <c r="BM48558" s="1025"/>
      <c r="BO48558" s="43"/>
    </row>
    <row r="48559" spans="65:67" ht="18.75" customHeight="1">
      <c r="BM48559" s="1025"/>
      <c r="BO48559" s="43"/>
    </row>
    <row r="48560" spans="65:67" ht="18.75" customHeight="1">
      <c r="BM48560" s="1025"/>
      <c r="BO48560" s="43"/>
    </row>
    <row r="48561" spans="65:67" ht="18.75" customHeight="1">
      <c r="BM48561" s="1025"/>
      <c r="BO48561" s="43"/>
    </row>
    <row r="48562" spans="65:67" ht="18.75" customHeight="1">
      <c r="BM48562" s="1025"/>
      <c r="BO48562" s="43"/>
    </row>
    <row r="48563" spans="65:67" ht="18.75" customHeight="1">
      <c r="BM48563" s="1025"/>
      <c r="BO48563" s="43"/>
    </row>
    <row r="48564" spans="65:67" ht="18.75" customHeight="1">
      <c r="BM48564" s="1025"/>
      <c r="BO48564" s="43"/>
    </row>
    <row r="48565" spans="65:67" ht="18.75" customHeight="1">
      <c r="BM48565" s="1025"/>
      <c r="BO48565" s="43"/>
    </row>
    <row r="48566" spans="65:67" ht="18.75" customHeight="1">
      <c r="BM48566" s="1025"/>
      <c r="BO48566" s="43"/>
    </row>
    <row r="48567" spans="65:67" ht="18.75" customHeight="1">
      <c r="BM48567" s="1025"/>
      <c r="BO48567" s="43"/>
    </row>
    <row r="48568" spans="65:67" ht="18.75" customHeight="1">
      <c r="BM48568" s="1025"/>
      <c r="BO48568" s="43"/>
    </row>
    <row r="48569" spans="65:67" ht="18.75" customHeight="1">
      <c r="BM48569" s="1025"/>
      <c r="BO48569" s="43"/>
    </row>
    <row r="48570" spans="65:67" ht="18.75" customHeight="1">
      <c r="BM48570" s="1025"/>
      <c r="BO48570" s="43"/>
    </row>
    <row r="48571" spans="65:67" ht="18.75" customHeight="1">
      <c r="BM48571" s="1025"/>
      <c r="BO48571" s="43"/>
    </row>
    <row r="48572" spans="65:67" ht="18.75" customHeight="1">
      <c r="BM48572" s="1025"/>
      <c r="BO48572" s="43"/>
    </row>
    <row r="48573" spans="65:67" ht="18.75" customHeight="1">
      <c r="BM48573" s="1025"/>
      <c r="BO48573" s="43"/>
    </row>
    <row r="48574" spans="65:67" ht="18.75" customHeight="1">
      <c r="BM48574" s="1025"/>
      <c r="BO48574" s="43"/>
    </row>
    <row r="48575" spans="65:67" ht="18.75" customHeight="1">
      <c r="BM48575" s="1025"/>
      <c r="BO48575" s="43"/>
    </row>
    <row r="48576" spans="65:67" ht="18.75" customHeight="1">
      <c r="BM48576" s="1025"/>
      <c r="BO48576" s="43"/>
    </row>
    <row r="48577" spans="65:67" ht="18.75" customHeight="1">
      <c r="BM48577" s="1025"/>
      <c r="BO48577" s="43"/>
    </row>
    <row r="48578" spans="65:67" ht="18.75" customHeight="1">
      <c r="BM48578" s="1025"/>
      <c r="BO48578" s="43"/>
    </row>
    <row r="48579" spans="65:67" ht="18.75" customHeight="1">
      <c r="BM48579" s="1025"/>
      <c r="BO48579" s="43"/>
    </row>
    <row r="48580" spans="65:67" ht="18.75" customHeight="1">
      <c r="BM48580" s="1025"/>
      <c r="BO48580" s="43"/>
    </row>
    <row r="48581" spans="65:67" ht="18.75" customHeight="1">
      <c r="BM48581" s="1025"/>
      <c r="BO48581" s="43"/>
    </row>
    <row r="48582" spans="65:67" ht="18.75" customHeight="1">
      <c r="BM48582" s="1025"/>
      <c r="BO48582" s="43"/>
    </row>
    <row r="48583" spans="65:67" ht="18.75" customHeight="1">
      <c r="BM48583" s="1025"/>
      <c r="BO48583" s="43"/>
    </row>
    <row r="48584" spans="65:67" ht="18.75" customHeight="1">
      <c r="BM48584" s="1025"/>
      <c r="BO48584" s="43"/>
    </row>
    <row r="48585" spans="65:67" ht="18.75" customHeight="1">
      <c r="BM48585" s="1025"/>
      <c r="BO48585" s="43"/>
    </row>
    <row r="48586" spans="65:67" ht="18.75" customHeight="1">
      <c r="BM48586" s="1025"/>
      <c r="BO48586" s="43"/>
    </row>
    <row r="48587" spans="65:67" ht="18.75" customHeight="1">
      <c r="BM48587" s="1025"/>
      <c r="BO48587" s="43"/>
    </row>
    <row r="48588" spans="65:67" ht="18.75" customHeight="1">
      <c r="BM48588" s="1025"/>
      <c r="BO48588" s="43"/>
    </row>
    <row r="48589" spans="65:67" ht="18.75" customHeight="1">
      <c r="BM48589" s="1025"/>
      <c r="BO48589" s="43"/>
    </row>
    <row r="48590" spans="65:67" ht="18.75" customHeight="1">
      <c r="BM48590" s="1025"/>
      <c r="BO48590" s="43"/>
    </row>
    <row r="48591" spans="65:67" ht="18.75" customHeight="1">
      <c r="BM48591" s="1025"/>
      <c r="BO48591" s="43"/>
    </row>
    <row r="48592" spans="65:67" ht="18.75" customHeight="1">
      <c r="BM48592" s="1025"/>
      <c r="BO48592" s="43"/>
    </row>
    <row r="48593" spans="65:67" ht="18.75" customHeight="1">
      <c r="BM48593" s="1025"/>
      <c r="BO48593" s="43"/>
    </row>
    <row r="48594" spans="65:67" ht="18.75" customHeight="1">
      <c r="BM48594" s="1025"/>
      <c r="BO48594" s="43"/>
    </row>
    <row r="48595" spans="65:67" ht="18.75" customHeight="1">
      <c r="BM48595" s="1025"/>
      <c r="BO48595" s="43"/>
    </row>
    <row r="48596" spans="65:67" ht="18.75" customHeight="1">
      <c r="BM48596" s="1025"/>
      <c r="BO48596" s="43"/>
    </row>
    <row r="48597" spans="65:67" ht="18.75" customHeight="1">
      <c r="BM48597" s="1025"/>
      <c r="BO48597" s="43"/>
    </row>
    <row r="48598" spans="65:67" ht="18.75" customHeight="1">
      <c r="BM48598" s="1025"/>
      <c r="BO48598" s="43"/>
    </row>
    <row r="48599" spans="65:67" ht="18.75" customHeight="1">
      <c r="BM48599" s="1025"/>
      <c r="BO48599" s="43"/>
    </row>
    <row r="48600" spans="65:67" ht="18.75" customHeight="1">
      <c r="BM48600" s="1025"/>
      <c r="BO48600" s="43"/>
    </row>
    <row r="48601" spans="65:67" ht="18.75" customHeight="1">
      <c r="BM48601" s="1025"/>
      <c r="BO48601" s="43"/>
    </row>
    <row r="48602" spans="65:67" ht="18.75" customHeight="1">
      <c r="BM48602" s="1025"/>
      <c r="BO48602" s="43"/>
    </row>
    <row r="48603" spans="65:67" ht="18.75" customHeight="1">
      <c r="BM48603" s="1025"/>
      <c r="BO48603" s="43"/>
    </row>
    <row r="48604" spans="65:67" ht="18.75" customHeight="1">
      <c r="BM48604" s="1025"/>
      <c r="BO48604" s="43"/>
    </row>
    <row r="48605" spans="65:67" ht="18.75" customHeight="1">
      <c r="BM48605" s="1025"/>
      <c r="BO48605" s="43"/>
    </row>
    <row r="48606" spans="65:67" ht="18.75" customHeight="1">
      <c r="BM48606" s="1025"/>
      <c r="BO48606" s="43"/>
    </row>
    <row r="48607" spans="65:67" ht="18.75" customHeight="1">
      <c r="BM48607" s="1025"/>
      <c r="BO48607" s="43"/>
    </row>
    <row r="48608" spans="65:67" ht="18.75" customHeight="1">
      <c r="BM48608" s="1025"/>
      <c r="BO48608" s="43"/>
    </row>
    <row r="48609" spans="65:67" ht="18.75" customHeight="1">
      <c r="BM48609" s="1025"/>
      <c r="BO48609" s="43"/>
    </row>
    <row r="48610" spans="65:67" ht="18.75" customHeight="1">
      <c r="BM48610" s="1025"/>
      <c r="BO48610" s="43"/>
    </row>
    <row r="48611" spans="65:67" ht="18.75" customHeight="1">
      <c r="BM48611" s="1025"/>
      <c r="BO48611" s="43"/>
    </row>
    <row r="48612" spans="65:67" ht="18.75" customHeight="1">
      <c r="BM48612" s="1025"/>
      <c r="BO48612" s="43"/>
    </row>
    <row r="48613" spans="65:67" ht="18.75" customHeight="1">
      <c r="BM48613" s="1025"/>
      <c r="BO48613" s="43"/>
    </row>
    <row r="48614" spans="65:67" ht="18.75" customHeight="1">
      <c r="BM48614" s="1025"/>
      <c r="BO48614" s="43"/>
    </row>
    <row r="48615" spans="65:67" ht="18.75" customHeight="1">
      <c r="BM48615" s="1025"/>
      <c r="BO48615" s="43"/>
    </row>
    <row r="48616" spans="65:67" ht="18.75" customHeight="1">
      <c r="BM48616" s="1025"/>
      <c r="BO48616" s="43"/>
    </row>
    <row r="48617" spans="65:67" ht="18.75" customHeight="1">
      <c r="BM48617" s="1025"/>
      <c r="BO48617" s="43"/>
    </row>
    <row r="48618" spans="65:67" ht="18.75" customHeight="1">
      <c r="BM48618" s="1025"/>
      <c r="BO48618" s="43"/>
    </row>
    <row r="48619" spans="65:67" ht="18.75" customHeight="1">
      <c r="BM48619" s="1025"/>
      <c r="BO48619" s="43"/>
    </row>
    <row r="48620" spans="65:67" ht="18.75" customHeight="1">
      <c r="BM48620" s="1025"/>
      <c r="BO48620" s="43"/>
    </row>
    <row r="48621" spans="65:67" ht="18.75" customHeight="1">
      <c r="BM48621" s="1025"/>
      <c r="BO48621" s="43"/>
    </row>
    <row r="48622" spans="65:67" ht="18.75" customHeight="1">
      <c r="BM48622" s="1025"/>
      <c r="BO48622" s="43"/>
    </row>
    <row r="48623" spans="65:67" ht="18.75" customHeight="1">
      <c r="BM48623" s="1025"/>
      <c r="BO48623" s="43"/>
    </row>
    <row r="48624" spans="65:67" ht="18.75" customHeight="1">
      <c r="BM48624" s="1025"/>
      <c r="BO48624" s="43"/>
    </row>
    <row r="48625" spans="65:67" ht="18.75" customHeight="1">
      <c r="BM48625" s="1025"/>
      <c r="BO48625" s="43"/>
    </row>
    <row r="48626" spans="65:67" ht="18.75" customHeight="1">
      <c r="BM48626" s="1025"/>
      <c r="BO48626" s="43"/>
    </row>
    <row r="48627" spans="65:67" ht="18.75" customHeight="1">
      <c r="BM48627" s="1025"/>
      <c r="BO48627" s="43"/>
    </row>
    <row r="48628" spans="65:67" ht="18.75" customHeight="1">
      <c r="BM48628" s="1025"/>
      <c r="BO48628" s="43"/>
    </row>
    <row r="48629" spans="65:67" ht="18.75" customHeight="1">
      <c r="BM48629" s="1025"/>
      <c r="BO48629" s="43"/>
    </row>
    <row r="48630" spans="65:67" ht="18.75" customHeight="1">
      <c r="BM48630" s="1025"/>
      <c r="BO48630" s="43"/>
    </row>
    <row r="48631" spans="65:67" ht="18.75" customHeight="1">
      <c r="BM48631" s="1025"/>
      <c r="BO48631" s="43"/>
    </row>
    <row r="48632" spans="65:67" ht="18.75" customHeight="1">
      <c r="BM48632" s="1025"/>
      <c r="BO48632" s="43"/>
    </row>
    <row r="48633" spans="65:67" ht="18.75" customHeight="1">
      <c r="BM48633" s="1025"/>
      <c r="BO48633" s="43"/>
    </row>
    <row r="48634" spans="65:67" ht="18.75" customHeight="1">
      <c r="BM48634" s="1025"/>
      <c r="BO48634" s="43"/>
    </row>
    <row r="48635" spans="65:67" ht="18.75" customHeight="1">
      <c r="BM48635" s="1025"/>
      <c r="BO48635" s="43"/>
    </row>
    <row r="48636" spans="65:67" ht="18.75" customHeight="1">
      <c r="BM48636" s="1025"/>
      <c r="BO48636" s="43"/>
    </row>
    <row r="48637" spans="65:67" ht="18.75" customHeight="1">
      <c r="BM48637" s="1025"/>
      <c r="BO48637" s="43"/>
    </row>
    <row r="48638" spans="65:67" ht="18.75" customHeight="1">
      <c r="BM48638" s="1025"/>
      <c r="BO48638" s="43"/>
    </row>
    <row r="48639" spans="65:67" ht="18.75" customHeight="1">
      <c r="BM48639" s="1025"/>
      <c r="BO48639" s="43"/>
    </row>
    <row r="48640" spans="65:67" ht="18.75" customHeight="1">
      <c r="BM48640" s="1025"/>
      <c r="BO48640" s="43"/>
    </row>
    <row r="48641" spans="65:67" ht="18.75" customHeight="1">
      <c r="BM48641" s="1025"/>
      <c r="BO48641" s="43"/>
    </row>
    <row r="48642" spans="65:67" ht="18.75" customHeight="1">
      <c r="BM48642" s="1025"/>
      <c r="BO48642" s="43"/>
    </row>
    <row r="48643" spans="65:67" ht="18.75" customHeight="1">
      <c r="BM48643" s="1025"/>
      <c r="BO48643" s="43"/>
    </row>
    <row r="48644" spans="65:67" ht="18.75" customHeight="1">
      <c r="BM48644" s="1025"/>
      <c r="BO48644" s="43"/>
    </row>
    <row r="48645" spans="65:67" ht="18.75" customHeight="1">
      <c r="BM48645" s="1025"/>
      <c r="BO48645" s="43"/>
    </row>
    <row r="48646" spans="65:67" ht="18.75" customHeight="1">
      <c r="BM48646" s="1025"/>
      <c r="BO48646" s="43"/>
    </row>
    <row r="48647" spans="65:67" ht="18.75" customHeight="1">
      <c r="BM48647" s="1025"/>
      <c r="BO48647" s="43"/>
    </row>
    <row r="48648" spans="65:67" ht="18.75" customHeight="1">
      <c r="BM48648" s="1025"/>
      <c r="BO48648" s="43"/>
    </row>
    <row r="48649" spans="65:67" ht="18.75" customHeight="1">
      <c r="BM48649" s="1025"/>
      <c r="BO48649" s="43"/>
    </row>
    <row r="48650" spans="65:67" ht="18.75" customHeight="1">
      <c r="BM48650" s="1025"/>
      <c r="BO48650" s="43"/>
    </row>
    <row r="48651" spans="65:67" ht="18.75" customHeight="1">
      <c r="BM48651" s="1025"/>
      <c r="BO48651" s="43"/>
    </row>
    <row r="48652" spans="65:67" ht="18.75" customHeight="1">
      <c r="BM48652" s="1025"/>
      <c r="BO48652" s="43"/>
    </row>
    <row r="48653" spans="65:67" ht="18.75" customHeight="1">
      <c r="BM48653" s="1025"/>
      <c r="BO48653" s="43"/>
    </row>
    <row r="48654" spans="65:67" ht="18.75" customHeight="1">
      <c r="BM48654" s="1025"/>
      <c r="BO48654" s="43"/>
    </row>
    <row r="48655" spans="65:67" ht="18.75" customHeight="1">
      <c r="BM48655" s="1025"/>
      <c r="BO48655" s="43"/>
    </row>
    <row r="48656" spans="65:67" ht="18.75" customHeight="1">
      <c r="BM48656" s="1025"/>
      <c r="BO48656" s="43"/>
    </row>
    <row r="48657" spans="65:67" ht="18.75" customHeight="1">
      <c r="BM48657" s="1025"/>
      <c r="BO48657" s="43"/>
    </row>
    <row r="48658" spans="65:67" ht="18.75" customHeight="1">
      <c r="BM48658" s="1025"/>
      <c r="BO48658" s="43"/>
    </row>
    <row r="48659" spans="65:67" ht="18.75" customHeight="1">
      <c r="BM48659" s="1025"/>
      <c r="BO48659" s="43"/>
    </row>
    <row r="48660" spans="65:67" ht="18.75" customHeight="1">
      <c r="BM48660" s="1025"/>
      <c r="BO48660" s="43"/>
    </row>
    <row r="48661" spans="65:67" ht="18.75" customHeight="1">
      <c r="BM48661" s="1025"/>
      <c r="BO48661" s="43"/>
    </row>
    <row r="48662" spans="65:67" ht="18.75" customHeight="1">
      <c r="BM48662" s="1025"/>
      <c r="BO48662" s="43"/>
    </row>
    <row r="48663" spans="65:67" ht="18.75" customHeight="1">
      <c r="BM48663" s="1025"/>
      <c r="BO48663" s="43"/>
    </row>
    <row r="48664" spans="65:67" ht="18.75" customHeight="1">
      <c r="BM48664" s="1025"/>
      <c r="BO48664" s="43"/>
    </row>
    <row r="48665" spans="65:67" ht="18.75" customHeight="1">
      <c r="BM48665" s="1025"/>
      <c r="BO48665" s="43"/>
    </row>
    <row r="48666" spans="65:67" ht="18.75" customHeight="1">
      <c r="BM48666" s="1025"/>
      <c r="BO48666" s="43"/>
    </row>
    <row r="48667" spans="65:67" ht="18.75" customHeight="1">
      <c r="BM48667" s="1025"/>
      <c r="BO48667" s="43"/>
    </row>
    <row r="48668" spans="65:67" ht="18.75" customHeight="1">
      <c r="BM48668" s="1025"/>
      <c r="BO48668" s="43"/>
    </row>
    <row r="48669" spans="65:67" ht="18.75" customHeight="1">
      <c r="BM48669" s="1025"/>
      <c r="BO48669" s="43"/>
    </row>
    <row r="48670" spans="65:67" ht="18.75" customHeight="1">
      <c r="BM48670" s="1025"/>
      <c r="BO48670" s="43"/>
    </row>
    <row r="48671" spans="65:67" ht="18.75" customHeight="1">
      <c r="BM48671" s="1025"/>
      <c r="BO48671" s="43"/>
    </row>
    <row r="48672" spans="65:67" ht="18.75" customHeight="1">
      <c r="BM48672" s="1025"/>
      <c r="BO48672" s="43"/>
    </row>
    <row r="48673" spans="65:67" ht="18.75" customHeight="1">
      <c r="BM48673" s="1025"/>
      <c r="BO48673" s="43"/>
    </row>
    <row r="48674" spans="65:67" ht="18.75" customHeight="1">
      <c r="BM48674" s="1025"/>
      <c r="BO48674" s="43"/>
    </row>
    <row r="48675" spans="65:67" ht="18.75" customHeight="1">
      <c r="BM48675" s="1025"/>
      <c r="BO48675" s="43"/>
    </row>
    <row r="48676" spans="65:67" ht="18.75" customHeight="1">
      <c r="BM48676" s="1025"/>
      <c r="BO48676" s="43"/>
    </row>
    <row r="48677" spans="65:67" ht="18.75" customHeight="1">
      <c r="BM48677" s="1025"/>
      <c r="BO48677" s="43"/>
    </row>
    <row r="48678" spans="65:67" ht="18.75" customHeight="1">
      <c r="BM48678" s="1025"/>
      <c r="BO48678" s="43"/>
    </row>
    <row r="48679" spans="65:67" ht="18.75" customHeight="1">
      <c r="BM48679" s="1025"/>
      <c r="BO48679" s="43"/>
    </row>
    <row r="48680" spans="65:67" ht="18.75" customHeight="1">
      <c r="BM48680" s="1025"/>
      <c r="BO48680" s="43"/>
    </row>
    <row r="48681" spans="65:67" ht="18.75" customHeight="1">
      <c r="BM48681" s="1025"/>
      <c r="BO48681" s="43"/>
    </row>
    <row r="48682" spans="65:67" ht="18.75" customHeight="1">
      <c r="BM48682" s="1025"/>
      <c r="BO48682" s="43"/>
    </row>
    <row r="48683" spans="65:67" ht="18.75" customHeight="1">
      <c r="BM48683" s="1025"/>
      <c r="BO48683" s="43"/>
    </row>
    <row r="48684" spans="65:67" ht="18.75" customHeight="1">
      <c r="BM48684" s="1025"/>
      <c r="BO48684" s="43"/>
    </row>
    <row r="48685" spans="65:67" ht="18.75" customHeight="1">
      <c r="BM48685" s="1025"/>
      <c r="BO48685" s="43"/>
    </row>
    <row r="48686" spans="65:67" ht="18.75" customHeight="1">
      <c r="BM48686" s="1025"/>
      <c r="BO48686" s="43"/>
    </row>
    <row r="48687" spans="65:67" ht="18.75" customHeight="1">
      <c r="BM48687" s="1025"/>
      <c r="BO48687" s="43"/>
    </row>
    <row r="48688" spans="65:67" ht="18.75" customHeight="1">
      <c r="BM48688" s="1025"/>
      <c r="BO48688" s="43"/>
    </row>
    <row r="48689" spans="65:67" ht="18.75" customHeight="1">
      <c r="BM48689" s="1025"/>
      <c r="BO48689" s="43"/>
    </row>
    <row r="48690" spans="65:67" ht="18.75" customHeight="1">
      <c r="BM48690" s="1025"/>
      <c r="BO48690" s="43"/>
    </row>
    <row r="48691" spans="65:67" ht="18.75" customHeight="1">
      <c r="BM48691" s="1025"/>
      <c r="BO48691" s="43"/>
    </row>
    <row r="48692" spans="65:67" ht="18.75" customHeight="1">
      <c r="BM48692" s="1025"/>
      <c r="BO48692" s="43"/>
    </row>
    <row r="48693" spans="65:67" ht="18.75" customHeight="1">
      <c r="BM48693" s="1025"/>
      <c r="BO48693" s="43"/>
    </row>
    <row r="48694" spans="65:67" ht="18.75" customHeight="1">
      <c r="BM48694" s="1025"/>
      <c r="BO48694" s="43"/>
    </row>
    <row r="48695" spans="65:67" ht="18.75" customHeight="1">
      <c r="BM48695" s="1025"/>
      <c r="BO48695" s="43"/>
    </row>
    <row r="48696" spans="65:67" ht="18.75" customHeight="1">
      <c r="BM48696" s="1025"/>
      <c r="BO48696" s="43"/>
    </row>
    <row r="48697" spans="65:67" ht="18.75" customHeight="1">
      <c r="BM48697" s="1025"/>
      <c r="BO48697" s="43"/>
    </row>
    <row r="48698" spans="65:67" ht="18.75" customHeight="1">
      <c r="BM48698" s="1025"/>
      <c r="BO48698" s="43"/>
    </row>
    <row r="48699" spans="65:67" ht="18.75" customHeight="1">
      <c r="BM48699" s="1025"/>
      <c r="BO48699" s="43"/>
    </row>
    <row r="48700" spans="65:67" ht="18.75" customHeight="1">
      <c r="BM48700" s="1025"/>
      <c r="BO48700" s="43"/>
    </row>
    <row r="48701" spans="65:67" ht="18.75" customHeight="1">
      <c r="BM48701" s="1025"/>
      <c r="BO48701" s="43"/>
    </row>
    <row r="48702" spans="65:67" ht="18.75" customHeight="1">
      <c r="BM48702" s="1025"/>
      <c r="BO48702" s="43"/>
    </row>
    <row r="48703" spans="65:67" ht="18.75" customHeight="1">
      <c r="BM48703" s="1025"/>
      <c r="BO48703" s="43"/>
    </row>
    <row r="48704" spans="65:67" ht="18.75" customHeight="1">
      <c r="BM48704" s="1025"/>
      <c r="BO48704" s="43"/>
    </row>
    <row r="48705" spans="65:67" ht="18.75" customHeight="1">
      <c r="BM48705" s="1025"/>
      <c r="BO48705" s="43"/>
    </row>
    <row r="48706" spans="65:67" ht="18.75" customHeight="1">
      <c r="BM48706" s="1025"/>
      <c r="BO48706" s="43"/>
    </row>
    <row r="48707" spans="65:67" ht="18.75" customHeight="1">
      <c r="BM48707" s="1025"/>
      <c r="BO48707" s="43"/>
    </row>
    <row r="48708" spans="65:67" ht="18.75" customHeight="1">
      <c r="BM48708" s="1025"/>
      <c r="BO48708" s="43"/>
    </row>
    <row r="48709" spans="65:67" ht="18.75" customHeight="1">
      <c r="BM48709" s="1025"/>
      <c r="BO48709" s="43"/>
    </row>
    <row r="48710" spans="65:67" ht="18.75" customHeight="1">
      <c r="BM48710" s="1025"/>
      <c r="BO48710" s="43"/>
    </row>
    <row r="48711" spans="65:67" ht="18.75" customHeight="1">
      <c r="BM48711" s="1025"/>
      <c r="BO48711" s="43"/>
    </row>
    <row r="48712" spans="65:67" ht="18.75" customHeight="1">
      <c r="BM48712" s="1025"/>
      <c r="BO48712" s="43"/>
    </row>
    <row r="48713" spans="65:67" ht="18.75" customHeight="1">
      <c r="BM48713" s="1025"/>
      <c r="BO48713" s="43"/>
    </row>
    <row r="48714" spans="65:67" ht="18.75" customHeight="1">
      <c r="BM48714" s="1025"/>
      <c r="BO48714" s="43"/>
    </row>
    <row r="48715" spans="65:67" ht="18.75" customHeight="1">
      <c r="BM48715" s="1025"/>
      <c r="BO48715" s="43"/>
    </row>
    <row r="48716" spans="65:67" ht="18.75" customHeight="1">
      <c r="BM48716" s="1025"/>
      <c r="BO48716" s="43"/>
    </row>
    <row r="48717" spans="65:67" ht="18.75" customHeight="1">
      <c r="BM48717" s="1025"/>
      <c r="BO48717" s="43"/>
    </row>
    <row r="48718" spans="65:67" ht="18.75" customHeight="1">
      <c r="BM48718" s="1025"/>
      <c r="BO48718" s="43"/>
    </row>
    <row r="48719" spans="65:67" ht="18.75" customHeight="1">
      <c r="BM48719" s="1025"/>
      <c r="BO48719" s="43"/>
    </row>
    <row r="48720" spans="65:67" ht="18.75" customHeight="1">
      <c r="BM48720" s="1025"/>
      <c r="BO48720" s="43"/>
    </row>
    <row r="48721" spans="65:67" ht="18.75" customHeight="1">
      <c r="BM48721" s="1025"/>
      <c r="BO48721" s="43"/>
    </row>
    <row r="48722" spans="65:67" ht="18.75" customHeight="1">
      <c r="BM48722" s="1025"/>
      <c r="BO48722" s="43"/>
    </row>
    <row r="48723" spans="65:67" ht="18.75" customHeight="1">
      <c r="BM48723" s="1025"/>
      <c r="BO48723" s="43"/>
    </row>
    <row r="48724" spans="65:67" ht="18.75" customHeight="1">
      <c r="BM48724" s="1025"/>
      <c r="BO48724" s="43"/>
    </row>
    <row r="48725" spans="65:67" ht="18.75" customHeight="1">
      <c r="BM48725" s="1025"/>
      <c r="BO48725" s="43"/>
    </row>
    <row r="48726" spans="65:67" ht="18.75" customHeight="1">
      <c r="BM48726" s="1025"/>
      <c r="BO48726" s="43"/>
    </row>
    <row r="48727" spans="65:67" ht="18.75" customHeight="1">
      <c r="BM48727" s="1025"/>
      <c r="BO48727" s="43"/>
    </row>
    <row r="48728" spans="65:67" ht="18.75" customHeight="1">
      <c r="BM48728" s="1025"/>
      <c r="BO48728" s="43"/>
    </row>
    <row r="48729" spans="65:67" ht="18.75" customHeight="1">
      <c r="BM48729" s="1025"/>
      <c r="BO48729" s="43"/>
    </row>
    <row r="48730" spans="65:67" ht="18.75" customHeight="1">
      <c r="BM48730" s="1025"/>
      <c r="BO48730" s="43"/>
    </row>
    <row r="48731" spans="65:67" ht="18.75" customHeight="1">
      <c r="BM48731" s="1025"/>
      <c r="BO48731" s="43"/>
    </row>
    <row r="48732" spans="65:67" ht="18.75" customHeight="1">
      <c r="BM48732" s="1025"/>
      <c r="BO48732" s="43"/>
    </row>
    <row r="48733" spans="65:67" ht="18.75" customHeight="1">
      <c r="BM48733" s="1025"/>
      <c r="BO48733" s="43"/>
    </row>
    <row r="48734" spans="65:67" ht="18.75" customHeight="1">
      <c r="BM48734" s="1025"/>
      <c r="BO48734" s="43"/>
    </row>
    <row r="48735" spans="65:67" ht="18.75" customHeight="1">
      <c r="BM48735" s="1025"/>
      <c r="BO48735" s="43"/>
    </row>
    <row r="48736" spans="65:67" ht="18.75" customHeight="1">
      <c r="BM48736" s="1025"/>
      <c r="BO48736" s="43"/>
    </row>
    <row r="48737" spans="65:67" ht="18.75" customHeight="1">
      <c r="BM48737" s="1025"/>
      <c r="BO48737" s="43"/>
    </row>
    <row r="48738" spans="65:67" ht="18.75" customHeight="1">
      <c r="BM48738" s="1025"/>
      <c r="BO48738" s="43"/>
    </row>
    <row r="48739" spans="65:67" ht="18.75" customHeight="1">
      <c r="BM48739" s="1025"/>
      <c r="BO48739" s="43"/>
    </row>
    <row r="48740" spans="65:67" ht="18.75" customHeight="1">
      <c r="BM48740" s="1025"/>
      <c r="BO48740" s="43"/>
    </row>
    <row r="48741" spans="65:67" ht="18.75" customHeight="1">
      <c r="BM48741" s="1025"/>
      <c r="BO48741" s="43"/>
    </row>
    <row r="48742" spans="65:67" ht="18.75" customHeight="1">
      <c r="BM48742" s="1025"/>
      <c r="BO48742" s="43"/>
    </row>
    <row r="48743" spans="65:67" ht="18.75" customHeight="1">
      <c r="BM48743" s="1025"/>
      <c r="BO48743" s="43"/>
    </row>
    <row r="48744" spans="65:67" ht="18.75" customHeight="1">
      <c r="BM48744" s="1025"/>
      <c r="BO48744" s="43"/>
    </row>
    <row r="48745" spans="65:67" ht="18.75" customHeight="1">
      <c r="BM48745" s="1025"/>
      <c r="BO48745" s="43"/>
    </row>
    <row r="48746" spans="65:67" ht="18.75" customHeight="1">
      <c r="BM48746" s="1025"/>
      <c r="BO48746" s="43"/>
    </row>
    <row r="48747" spans="65:67" ht="18.75" customHeight="1">
      <c r="BM48747" s="1025"/>
      <c r="BO48747" s="43"/>
    </row>
    <row r="48748" spans="65:67" ht="18.75" customHeight="1">
      <c r="BM48748" s="1025"/>
      <c r="BO48748" s="43"/>
    </row>
    <row r="48749" spans="65:67" ht="18.75" customHeight="1">
      <c r="BM48749" s="1025"/>
      <c r="BO48749" s="43"/>
    </row>
    <row r="48750" spans="65:67" ht="18.75" customHeight="1">
      <c r="BM48750" s="1025"/>
      <c r="BO48750" s="43"/>
    </row>
    <row r="48751" spans="65:67" ht="18.75" customHeight="1">
      <c r="BM48751" s="1025"/>
      <c r="BO48751" s="43"/>
    </row>
    <row r="48752" spans="65:67" ht="18.75" customHeight="1">
      <c r="BM48752" s="1025"/>
      <c r="BO48752" s="43"/>
    </row>
    <row r="48753" spans="65:67" ht="18.75" customHeight="1">
      <c r="BM48753" s="1025"/>
      <c r="BO48753" s="43"/>
    </row>
    <row r="48754" spans="65:67" ht="18.75" customHeight="1">
      <c r="BM48754" s="1025"/>
      <c r="BO48754" s="43"/>
    </row>
    <row r="48755" spans="65:67" ht="18.75" customHeight="1">
      <c r="BM48755" s="1025"/>
      <c r="BO48755" s="43"/>
    </row>
    <row r="48756" spans="65:67" ht="18.75" customHeight="1">
      <c r="BM48756" s="1025"/>
      <c r="BO48756" s="43"/>
    </row>
    <row r="48757" spans="65:67" ht="18.75" customHeight="1">
      <c r="BM48757" s="1025"/>
      <c r="BO48757" s="43"/>
    </row>
    <row r="48758" spans="65:67" ht="18.75" customHeight="1">
      <c r="BM48758" s="1025"/>
      <c r="BO48758" s="43"/>
    </row>
    <row r="48759" spans="65:67" ht="18.75" customHeight="1">
      <c r="BM48759" s="1025"/>
      <c r="BO48759" s="43"/>
    </row>
    <row r="48760" spans="65:67" ht="18.75" customHeight="1">
      <c r="BM48760" s="1025"/>
      <c r="BO48760" s="43"/>
    </row>
    <row r="48761" spans="65:67" ht="18.75" customHeight="1">
      <c r="BM48761" s="1025"/>
      <c r="BO48761" s="43"/>
    </row>
    <row r="48762" spans="65:67" ht="18.75" customHeight="1">
      <c r="BM48762" s="1025"/>
      <c r="BO48762" s="43"/>
    </row>
    <row r="48763" spans="65:67" ht="18.75" customHeight="1">
      <c r="BM48763" s="1025"/>
      <c r="BO48763" s="43"/>
    </row>
    <row r="48764" spans="65:67" ht="18.75" customHeight="1">
      <c r="BM48764" s="1025"/>
      <c r="BO48764" s="43"/>
    </row>
    <row r="48765" spans="65:67" ht="18.75" customHeight="1">
      <c r="BM48765" s="1025"/>
      <c r="BO48765" s="43"/>
    </row>
    <row r="48766" spans="65:67" ht="18.75" customHeight="1">
      <c r="BM48766" s="1025"/>
      <c r="BO48766" s="43"/>
    </row>
    <row r="48767" spans="65:67" ht="18.75" customHeight="1">
      <c r="BM48767" s="1025"/>
      <c r="BO48767" s="43"/>
    </row>
    <row r="48768" spans="65:67" ht="18.75" customHeight="1">
      <c r="BM48768" s="1025"/>
      <c r="BO48768" s="43"/>
    </row>
    <row r="48769" spans="65:67" ht="18.75" customHeight="1">
      <c r="BM48769" s="1025"/>
      <c r="BO48769" s="43"/>
    </row>
    <row r="48770" spans="65:67" ht="18.75" customHeight="1">
      <c r="BM48770" s="1025"/>
      <c r="BO48770" s="43"/>
    </row>
    <row r="48771" spans="65:67" ht="18.75" customHeight="1">
      <c r="BM48771" s="1025"/>
      <c r="BO48771" s="43"/>
    </row>
    <row r="48772" spans="65:67" ht="18.75" customHeight="1">
      <c r="BM48772" s="1025"/>
      <c r="BO48772" s="43"/>
    </row>
    <row r="48773" spans="65:67" ht="18.75" customHeight="1">
      <c r="BM48773" s="1025"/>
      <c r="BO48773" s="43"/>
    </row>
    <row r="48774" spans="65:67" ht="18.75" customHeight="1">
      <c r="BM48774" s="1025"/>
      <c r="BO48774" s="43"/>
    </row>
    <row r="48775" spans="65:67" ht="18.75" customHeight="1">
      <c r="BM48775" s="1025"/>
      <c r="BO48775" s="43"/>
    </row>
    <row r="48776" spans="65:67" ht="18.75" customHeight="1">
      <c r="BM48776" s="1025"/>
      <c r="BO48776" s="43"/>
    </row>
    <row r="48777" spans="65:67" ht="18.75" customHeight="1">
      <c r="BM48777" s="1025"/>
      <c r="BO48777" s="43"/>
    </row>
    <row r="48778" spans="65:67" ht="18.75" customHeight="1">
      <c r="BM48778" s="1025"/>
      <c r="BO48778" s="43"/>
    </row>
    <row r="48779" spans="65:67" ht="18.75" customHeight="1">
      <c r="BM48779" s="1025"/>
      <c r="BO48779" s="43"/>
    </row>
    <row r="48780" spans="65:67" ht="18.75" customHeight="1">
      <c r="BM48780" s="1025"/>
      <c r="BO48780" s="43"/>
    </row>
    <row r="48781" spans="65:67" ht="18.75" customHeight="1">
      <c r="BM48781" s="1025"/>
      <c r="BO48781" s="43"/>
    </row>
    <row r="48782" spans="65:67" ht="18.75" customHeight="1">
      <c r="BM48782" s="1025"/>
      <c r="BO48782" s="43"/>
    </row>
    <row r="48783" spans="65:67" ht="18.75" customHeight="1">
      <c r="BM48783" s="1025"/>
      <c r="BO48783" s="43"/>
    </row>
    <row r="48784" spans="65:67" ht="18.75" customHeight="1">
      <c r="BM48784" s="1025"/>
      <c r="BO48784" s="43"/>
    </row>
    <row r="48785" spans="65:67" ht="18.75" customHeight="1">
      <c r="BM48785" s="1025"/>
      <c r="BO48785" s="43"/>
    </row>
    <row r="48786" spans="65:67" ht="18.75" customHeight="1">
      <c r="BM48786" s="1025"/>
      <c r="BO48786" s="43"/>
    </row>
    <row r="48787" spans="65:67" ht="18.75" customHeight="1">
      <c r="BM48787" s="1025"/>
      <c r="BO48787" s="43"/>
    </row>
    <row r="48788" spans="65:67" ht="18.75" customHeight="1">
      <c r="BM48788" s="1025"/>
      <c r="BO48788" s="43"/>
    </row>
    <row r="48789" spans="65:67" ht="18.75" customHeight="1">
      <c r="BM48789" s="1025"/>
      <c r="BO48789" s="43"/>
    </row>
    <row r="48790" spans="65:67" ht="18.75" customHeight="1">
      <c r="BM48790" s="1025"/>
      <c r="BO48790" s="43"/>
    </row>
    <row r="48791" spans="65:67" ht="18.75" customHeight="1">
      <c r="BM48791" s="1025"/>
      <c r="BO48791" s="43"/>
    </row>
    <row r="48792" spans="65:67" ht="18.75" customHeight="1">
      <c r="BM48792" s="1025"/>
      <c r="BO48792" s="43"/>
    </row>
    <row r="48793" spans="65:67" ht="18.75" customHeight="1">
      <c r="BM48793" s="1025"/>
      <c r="BO48793" s="43"/>
    </row>
    <row r="48794" spans="65:67" ht="18.75" customHeight="1">
      <c r="BM48794" s="1025"/>
      <c r="BO48794" s="43"/>
    </row>
    <row r="48795" spans="65:67" ht="18.75" customHeight="1">
      <c r="BM48795" s="1025"/>
      <c r="BO48795" s="43"/>
    </row>
    <row r="48796" spans="65:67" ht="18.75" customHeight="1">
      <c r="BM48796" s="1025"/>
      <c r="BO48796" s="43"/>
    </row>
    <row r="48797" spans="65:67" ht="18.75" customHeight="1">
      <c r="BM48797" s="1025"/>
      <c r="BO48797" s="43"/>
    </row>
    <row r="48798" spans="65:67" ht="18.75" customHeight="1">
      <c r="BM48798" s="1025"/>
      <c r="BO48798" s="43"/>
    </row>
    <row r="48799" spans="65:67" ht="18.75" customHeight="1">
      <c r="BM48799" s="1025"/>
      <c r="BO48799" s="43"/>
    </row>
    <row r="48800" spans="65:67" ht="18.75" customHeight="1">
      <c r="BM48800" s="1025"/>
      <c r="BO48800" s="43"/>
    </row>
    <row r="48801" spans="65:67" ht="18.75" customHeight="1">
      <c r="BM48801" s="1025"/>
      <c r="BO48801" s="43"/>
    </row>
    <row r="48802" spans="65:67" ht="18.75" customHeight="1">
      <c r="BM48802" s="1025"/>
      <c r="BO48802" s="43"/>
    </row>
    <row r="48803" spans="65:67" ht="18.75" customHeight="1">
      <c r="BM48803" s="1025"/>
      <c r="BO48803" s="43"/>
    </row>
    <row r="48804" spans="65:67" ht="18.75" customHeight="1">
      <c r="BM48804" s="1025"/>
      <c r="BO48804" s="43"/>
    </row>
    <row r="48805" spans="65:67" ht="18.75" customHeight="1">
      <c r="BM48805" s="1025"/>
      <c r="BO48805" s="43"/>
    </row>
    <row r="48806" spans="65:67" ht="18.75" customHeight="1">
      <c r="BM48806" s="1025"/>
      <c r="BO48806" s="43"/>
    </row>
    <row r="48807" spans="65:67" ht="18.75" customHeight="1">
      <c r="BM48807" s="1025"/>
      <c r="BO48807" s="43"/>
    </row>
    <row r="48808" spans="65:67" ht="18.75" customHeight="1">
      <c r="BM48808" s="1025"/>
      <c r="BO48808" s="43"/>
    </row>
    <row r="48809" spans="65:67" ht="18.75" customHeight="1">
      <c r="BM48809" s="1025"/>
      <c r="BO48809" s="43"/>
    </row>
    <row r="48810" spans="65:67" ht="18.75" customHeight="1">
      <c r="BM48810" s="1025"/>
      <c r="BO48810" s="43"/>
    </row>
    <row r="48811" spans="65:67" ht="18.75" customHeight="1">
      <c r="BM48811" s="1025"/>
      <c r="BO48811" s="43"/>
    </row>
    <row r="48812" spans="65:67" ht="18.75" customHeight="1">
      <c r="BM48812" s="1025"/>
      <c r="BO48812" s="43"/>
    </row>
    <row r="48813" spans="65:67" ht="18.75" customHeight="1">
      <c r="BM48813" s="1025"/>
      <c r="BO48813" s="43"/>
    </row>
    <row r="48814" spans="65:67" ht="18.75" customHeight="1">
      <c r="BM48814" s="1025"/>
      <c r="BO48814" s="43"/>
    </row>
    <row r="48815" spans="65:67" ht="18.75" customHeight="1">
      <c r="BM48815" s="1025"/>
      <c r="BO48815" s="43"/>
    </row>
    <row r="48816" spans="65:67" ht="18.75" customHeight="1">
      <c r="BM48816" s="1025"/>
      <c r="BO48816" s="43"/>
    </row>
    <row r="48817" spans="65:67" ht="18.75" customHeight="1">
      <c r="BM48817" s="1025"/>
      <c r="BO48817" s="43"/>
    </row>
    <row r="48818" spans="65:67" ht="18.75" customHeight="1">
      <c r="BM48818" s="1025"/>
      <c r="BO48818" s="43"/>
    </row>
    <row r="48819" spans="65:67" ht="18.75" customHeight="1">
      <c r="BM48819" s="1025"/>
      <c r="BO48819" s="43"/>
    </row>
    <row r="48820" spans="65:67" ht="18.75" customHeight="1">
      <c r="BM48820" s="1025"/>
      <c r="BO48820" s="43"/>
    </row>
    <row r="48821" spans="65:67" ht="18.75" customHeight="1">
      <c r="BM48821" s="1025"/>
      <c r="BO48821" s="43"/>
    </row>
    <row r="48822" spans="65:67" ht="18.75" customHeight="1">
      <c r="BM48822" s="1025"/>
      <c r="BO48822" s="43"/>
    </row>
    <row r="48823" spans="65:67" ht="18.75" customHeight="1">
      <c r="BM48823" s="1025"/>
      <c r="BO48823" s="43"/>
    </row>
    <row r="48824" spans="65:67" ht="18.75" customHeight="1">
      <c r="BM48824" s="1025"/>
      <c r="BO48824" s="43"/>
    </row>
    <row r="48825" spans="65:67" ht="18.75" customHeight="1">
      <c r="BM48825" s="1025"/>
      <c r="BO48825" s="43"/>
    </row>
    <row r="48826" spans="65:67" ht="18.75" customHeight="1">
      <c r="BM48826" s="1025"/>
      <c r="BO48826" s="43"/>
    </row>
    <row r="48827" spans="65:67" ht="18.75" customHeight="1">
      <c r="BM48827" s="1025"/>
      <c r="BO48827" s="43"/>
    </row>
    <row r="48828" spans="65:67" ht="18.75" customHeight="1">
      <c r="BM48828" s="1025"/>
      <c r="BO48828" s="43"/>
    </row>
    <row r="48829" spans="65:67" ht="18.75" customHeight="1">
      <c r="BM48829" s="1025"/>
      <c r="BO48829" s="43"/>
    </row>
    <row r="48830" spans="65:67" ht="18.75" customHeight="1">
      <c r="BM48830" s="1025"/>
      <c r="BO48830" s="43"/>
    </row>
    <row r="48831" spans="65:67" ht="18.75" customHeight="1">
      <c r="BM48831" s="1025"/>
      <c r="BO48831" s="43"/>
    </row>
    <row r="48832" spans="65:67" ht="18.75" customHeight="1">
      <c r="BM48832" s="1025"/>
      <c r="BO48832" s="43"/>
    </row>
    <row r="48833" spans="65:67" ht="18.75" customHeight="1">
      <c r="BM48833" s="1025"/>
      <c r="BO48833" s="43"/>
    </row>
    <row r="48834" spans="65:67" ht="18.75" customHeight="1">
      <c r="BM48834" s="1025"/>
      <c r="BO48834" s="43"/>
    </row>
    <row r="48835" spans="65:67" ht="18.75" customHeight="1">
      <c r="BM48835" s="1025"/>
      <c r="BO48835" s="43"/>
    </row>
    <row r="48836" spans="65:67" ht="18.75" customHeight="1">
      <c r="BM48836" s="1025"/>
      <c r="BO48836" s="43"/>
    </row>
    <row r="48837" spans="65:67" ht="18.75" customHeight="1">
      <c r="BM48837" s="1025"/>
      <c r="BO48837" s="43"/>
    </row>
    <row r="48838" spans="65:67" ht="18.75" customHeight="1">
      <c r="BM48838" s="1025"/>
      <c r="BO48838" s="43"/>
    </row>
    <row r="48839" spans="65:67" ht="18.75" customHeight="1">
      <c r="BM48839" s="1025"/>
      <c r="BO48839" s="43"/>
    </row>
    <row r="48840" spans="65:67" ht="18.75" customHeight="1">
      <c r="BM48840" s="1025"/>
      <c r="BO48840" s="43"/>
    </row>
    <row r="48841" spans="65:67" ht="18.75" customHeight="1">
      <c r="BM48841" s="1025"/>
      <c r="BO48841" s="43"/>
    </row>
    <row r="48842" spans="65:67" ht="18.75" customHeight="1">
      <c r="BM48842" s="1025"/>
      <c r="BO48842" s="43"/>
    </row>
    <row r="48843" spans="65:67" ht="18.75" customHeight="1">
      <c r="BM48843" s="1025"/>
      <c r="BO48843" s="43"/>
    </row>
    <row r="48844" spans="65:67" ht="18.75" customHeight="1">
      <c r="BM48844" s="1025"/>
      <c r="BO48844" s="43"/>
    </row>
    <row r="48845" spans="65:67" ht="18.75" customHeight="1">
      <c r="BM48845" s="1025"/>
      <c r="BO48845" s="43"/>
    </row>
    <row r="48846" spans="65:67" ht="18.75" customHeight="1">
      <c r="BM48846" s="1025"/>
      <c r="BO48846" s="43"/>
    </row>
    <row r="48847" spans="65:67" ht="18.75" customHeight="1">
      <c r="BM48847" s="1025"/>
      <c r="BO48847" s="43"/>
    </row>
    <row r="48848" spans="65:67" ht="18.75" customHeight="1">
      <c r="BM48848" s="1025"/>
      <c r="BO48848" s="43"/>
    </row>
    <row r="48849" spans="65:67" ht="18.75" customHeight="1">
      <c r="BM48849" s="1025"/>
      <c r="BO48849" s="43"/>
    </row>
    <row r="48850" spans="65:67" ht="18.75" customHeight="1">
      <c r="BM48850" s="1025"/>
      <c r="BO48850" s="43"/>
    </row>
    <row r="48851" spans="65:67" ht="18.75" customHeight="1">
      <c r="BM48851" s="1025"/>
      <c r="BO48851" s="43"/>
    </row>
    <row r="48852" spans="65:67" ht="18.75" customHeight="1">
      <c r="BM48852" s="1025"/>
      <c r="BO48852" s="43"/>
    </row>
    <row r="48853" spans="65:67" ht="18.75" customHeight="1">
      <c r="BM48853" s="1025"/>
      <c r="BO48853" s="43"/>
    </row>
    <row r="48854" spans="65:67" ht="18.75" customHeight="1">
      <c r="BM48854" s="1025"/>
      <c r="BO48854" s="43"/>
    </row>
    <row r="48855" spans="65:67" ht="18.75" customHeight="1">
      <c r="BM48855" s="1025"/>
      <c r="BO48855" s="43"/>
    </row>
    <row r="48856" spans="65:67" ht="18.75" customHeight="1">
      <c r="BM48856" s="1025"/>
      <c r="BO48856" s="43"/>
    </row>
    <row r="48857" spans="65:67" ht="18.75" customHeight="1">
      <c r="BM48857" s="1025"/>
      <c r="BO48857" s="43"/>
    </row>
    <row r="48858" spans="65:67" ht="18.75" customHeight="1">
      <c r="BM48858" s="1025"/>
      <c r="BO48858" s="43"/>
    </row>
    <row r="48859" spans="65:67" ht="18.75" customHeight="1">
      <c r="BM48859" s="1025"/>
      <c r="BO48859" s="43"/>
    </row>
    <row r="48860" spans="65:67" ht="18.75" customHeight="1">
      <c r="BM48860" s="1025"/>
      <c r="BO48860" s="43"/>
    </row>
    <row r="48861" spans="65:67" ht="18.75" customHeight="1">
      <c r="BM48861" s="1025"/>
      <c r="BO48861" s="43"/>
    </row>
    <row r="48862" spans="65:67" ht="18.75" customHeight="1">
      <c r="BM48862" s="1025"/>
      <c r="BO48862" s="43"/>
    </row>
    <row r="48863" spans="65:67" ht="18.75" customHeight="1">
      <c r="BM48863" s="1025"/>
      <c r="BO48863" s="43"/>
    </row>
    <row r="48864" spans="65:67" ht="18.75" customHeight="1">
      <c r="BM48864" s="1025"/>
      <c r="BO48864" s="43"/>
    </row>
    <row r="48865" spans="65:67" ht="18.75" customHeight="1">
      <c r="BM48865" s="1025"/>
      <c r="BO48865" s="43"/>
    </row>
    <row r="48866" spans="65:67" ht="18.75" customHeight="1">
      <c r="BM48866" s="1025"/>
      <c r="BO48866" s="43"/>
    </row>
    <row r="48867" spans="65:67" ht="18.75" customHeight="1">
      <c r="BM48867" s="1025"/>
      <c r="BO48867" s="43"/>
    </row>
    <row r="48868" spans="65:67" ht="18.75" customHeight="1">
      <c r="BM48868" s="1025"/>
      <c r="BO48868" s="43"/>
    </row>
    <row r="48869" spans="65:67" ht="18.75" customHeight="1">
      <c r="BM48869" s="1025"/>
      <c r="BO48869" s="43"/>
    </row>
    <row r="48870" spans="65:67" ht="18.75" customHeight="1">
      <c r="BM48870" s="1025"/>
      <c r="BO48870" s="43"/>
    </row>
    <row r="48871" spans="65:67" ht="18.75" customHeight="1">
      <c r="BM48871" s="1025"/>
      <c r="BO48871" s="43"/>
    </row>
    <row r="48872" spans="65:67" ht="18.75" customHeight="1">
      <c r="BM48872" s="1025"/>
      <c r="BO48872" s="43"/>
    </row>
    <row r="48873" spans="65:67" ht="18.75" customHeight="1">
      <c r="BM48873" s="1025"/>
      <c r="BO48873" s="43"/>
    </row>
    <row r="48874" spans="65:67" ht="18.75" customHeight="1">
      <c r="BM48874" s="1025"/>
      <c r="BO48874" s="43"/>
    </row>
    <row r="48875" spans="65:67" ht="18.75" customHeight="1">
      <c r="BM48875" s="1025"/>
      <c r="BO48875" s="43"/>
    </row>
    <row r="48876" spans="65:67" ht="18.75" customHeight="1">
      <c r="BM48876" s="1025"/>
      <c r="BO48876" s="43"/>
    </row>
    <row r="48877" spans="65:67" ht="18.75" customHeight="1">
      <c r="BM48877" s="1025"/>
      <c r="BO48877" s="43"/>
    </row>
    <row r="48878" spans="65:67" ht="18.75" customHeight="1">
      <c r="BM48878" s="1025"/>
      <c r="BO48878" s="43"/>
    </row>
    <row r="48879" spans="65:67" ht="18.75" customHeight="1">
      <c r="BM48879" s="1025"/>
      <c r="BO48879" s="43"/>
    </row>
    <row r="48880" spans="65:67" ht="18.75" customHeight="1">
      <c r="BM48880" s="1025"/>
      <c r="BO48880" s="43"/>
    </row>
    <row r="48881" spans="65:67" ht="18.75" customHeight="1">
      <c r="BM48881" s="1025"/>
      <c r="BO48881" s="43"/>
    </row>
    <row r="48882" spans="65:67" ht="18.75" customHeight="1">
      <c r="BM48882" s="1025"/>
      <c r="BO48882" s="43"/>
    </row>
    <row r="48883" spans="65:67" ht="18.75" customHeight="1">
      <c r="BM48883" s="1025"/>
      <c r="BO48883" s="43"/>
    </row>
    <row r="48884" spans="65:67" ht="18.75" customHeight="1">
      <c r="BM48884" s="1025"/>
      <c r="BO48884" s="43"/>
    </row>
    <row r="48885" spans="65:67" ht="18.75" customHeight="1">
      <c r="BM48885" s="1025"/>
      <c r="BO48885" s="43"/>
    </row>
    <row r="48886" spans="65:67" ht="18.75" customHeight="1">
      <c r="BM48886" s="1025"/>
      <c r="BO48886" s="43"/>
    </row>
    <row r="48887" spans="65:67" ht="18.75" customHeight="1">
      <c r="BM48887" s="1025"/>
      <c r="BO48887" s="43"/>
    </row>
    <row r="48888" spans="65:67" ht="18.75" customHeight="1">
      <c r="BM48888" s="1025"/>
      <c r="BO48888" s="43"/>
    </row>
    <row r="48889" spans="65:67" ht="18.75" customHeight="1">
      <c r="BM48889" s="1025"/>
      <c r="BO48889" s="43"/>
    </row>
    <row r="48890" spans="65:67" ht="18.75" customHeight="1">
      <c r="BM48890" s="1025"/>
      <c r="BO48890" s="43"/>
    </row>
    <row r="48891" spans="65:67" ht="18.75" customHeight="1">
      <c r="BM48891" s="1025"/>
      <c r="BO48891" s="43"/>
    </row>
    <row r="48892" spans="65:67" ht="18.75" customHeight="1">
      <c r="BM48892" s="1025"/>
      <c r="BO48892" s="43"/>
    </row>
    <row r="48893" spans="65:67" ht="18.75" customHeight="1">
      <c r="BM48893" s="1025"/>
      <c r="BO48893" s="43"/>
    </row>
    <row r="48894" spans="65:67" ht="18.75" customHeight="1">
      <c r="BM48894" s="1025"/>
      <c r="BO48894" s="43"/>
    </row>
    <row r="48895" spans="65:67" ht="18.75" customHeight="1">
      <c r="BM48895" s="1025"/>
      <c r="BO48895" s="43"/>
    </row>
    <row r="48896" spans="65:67" ht="18.75" customHeight="1">
      <c r="BM48896" s="1025"/>
      <c r="BO48896" s="43"/>
    </row>
    <row r="48897" spans="65:67" ht="18.75" customHeight="1">
      <c r="BM48897" s="1025"/>
      <c r="BO48897" s="43"/>
    </row>
    <row r="48898" spans="65:67" ht="18.75" customHeight="1">
      <c r="BM48898" s="1025"/>
      <c r="BO48898" s="43"/>
    </row>
    <row r="48899" spans="65:67" ht="18.75" customHeight="1">
      <c r="BM48899" s="1025"/>
      <c r="BO48899" s="43"/>
    </row>
    <row r="48900" spans="65:67" ht="18.75" customHeight="1">
      <c r="BM48900" s="1025"/>
      <c r="BO48900" s="43"/>
    </row>
    <row r="48901" spans="65:67" ht="18.75" customHeight="1">
      <c r="BM48901" s="1025"/>
      <c r="BO48901" s="43"/>
    </row>
    <row r="48902" spans="65:67" ht="18.75" customHeight="1">
      <c r="BM48902" s="1025"/>
      <c r="BO48902" s="43"/>
    </row>
    <row r="48903" spans="65:67" ht="18.75" customHeight="1">
      <c r="BM48903" s="1025"/>
      <c r="BO48903" s="43"/>
    </row>
    <row r="48904" spans="65:67" ht="18.75" customHeight="1">
      <c r="BM48904" s="1025"/>
      <c r="BO48904" s="43"/>
    </row>
    <row r="48905" spans="65:67" ht="18.75" customHeight="1">
      <c r="BM48905" s="1025"/>
      <c r="BO48905" s="43"/>
    </row>
    <row r="48906" spans="65:67" ht="18.75" customHeight="1">
      <c r="BM48906" s="1025"/>
      <c r="BO48906" s="43"/>
    </row>
    <row r="48907" spans="65:67" ht="18.75" customHeight="1">
      <c r="BM48907" s="1025"/>
      <c r="BO48907" s="43"/>
    </row>
    <row r="48908" spans="65:67" ht="18.75" customHeight="1">
      <c r="BM48908" s="1025"/>
      <c r="BO48908" s="43"/>
    </row>
    <row r="48909" spans="65:67" ht="18.75" customHeight="1">
      <c r="BM48909" s="1025"/>
      <c r="BO48909" s="43"/>
    </row>
    <row r="48910" spans="65:67" ht="18.75" customHeight="1">
      <c r="BM48910" s="1025"/>
      <c r="BO48910" s="43"/>
    </row>
    <row r="48911" spans="65:67" ht="18.75" customHeight="1">
      <c r="BM48911" s="1025"/>
      <c r="BO48911" s="43"/>
    </row>
    <row r="48912" spans="65:67" ht="18.75" customHeight="1">
      <c r="BM48912" s="1025"/>
      <c r="BO48912" s="43"/>
    </row>
    <row r="48913" spans="65:67" ht="18.75" customHeight="1">
      <c r="BM48913" s="1025"/>
      <c r="BO48913" s="43"/>
    </row>
    <row r="48914" spans="65:67" ht="18.75" customHeight="1">
      <c r="BM48914" s="1025"/>
      <c r="BO48914" s="43"/>
    </row>
    <row r="48915" spans="65:67" ht="18.75" customHeight="1">
      <c r="BM48915" s="1025"/>
      <c r="BO48915" s="43"/>
    </row>
    <row r="48916" spans="65:67" ht="18.75" customHeight="1">
      <c r="BM48916" s="1025"/>
      <c r="BO48916" s="43"/>
    </row>
    <row r="48917" spans="65:67" ht="18.75" customHeight="1">
      <c r="BM48917" s="1025"/>
      <c r="BO48917" s="43"/>
    </row>
    <row r="48918" spans="65:67" ht="18.75" customHeight="1">
      <c r="BM48918" s="1025"/>
      <c r="BO48918" s="43"/>
    </row>
    <row r="48919" spans="65:67" ht="18.75" customHeight="1">
      <c r="BM48919" s="1025"/>
      <c r="BO48919" s="43"/>
    </row>
    <row r="48920" spans="65:67" ht="18.75" customHeight="1">
      <c r="BM48920" s="1025"/>
      <c r="BO48920" s="43"/>
    </row>
    <row r="48921" spans="65:67" ht="18.75" customHeight="1">
      <c r="BM48921" s="1025"/>
      <c r="BO48921" s="43"/>
    </row>
    <row r="48922" spans="65:67" ht="18.75" customHeight="1">
      <c r="BM48922" s="1025"/>
      <c r="BO48922" s="43"/>
    </row>
    <row r="48923" spans="65:67" ht="18.75" customHeight="1">
      <c r="BM48923" s="1025"/>
      <c r="BO48923" s="43"/>
    </row>
    <row r="48924" spans="65:67" ht="18.75" customHeight="1">
      <c r="BM48924" s="1025"/>
      <c r="BO48924" s="43"/>
    </row>
    <row r="48925" spans="65:67" ht="18.75" customHeight="1">
      <c r="BM48925" s="1025"/>
      <c r="BO48925" s="43"/>
    </row>
    <row r="48926" spans="65:67" ht="18.75" customHeight="1">
      <c r="BM48926" s="1025"/>
      <c r="BO48926" s="43"/>
    </row>
    <row r="48927" spans="65:67" ht="18.75" customHeight="1">
      <c r="BM48927" s="1025"/>
      <c r="BO48927" s="43"/>
    </row>
    <row r="48928" spans="65:67" ht="18.75" customHeight="1">
      <c r="BM48928" s="1025"/>
      <c r="BO48928" s="43"/>
    </row>
    <row r="48929" spans="65:67" ht="18.75" customHeight="1">
      <c r="BM48929" s="1025"/>
      <c r="BO48929" s="43"/>
    </row>
    <row r="48930" spans="65:67" ht="18.75" customHeight="1">
      <c r="BM48930" s="1025"/>
      <c r="BO48930" s="43"/>
    </row>
    <row r="48931" spans="65:67" ht="18.75" customHeight="1">
      <c r="BM48931" s="1025"/>
      <c r="BO48931" s="43"/>
    </row>
    <row r="48932" spans="65:67" ht="18.75" customHeight="1">
      <c r="BM48932" s="1025"/>
      <c r="BO48932" s="43"/>
    </row>
    <row r="48933" spans="65:67" ht="18.75" customHeight="1">
      <c r="BM48933" s="1025"/>
      <c r="BO48933" s="43"/>
    </row>
    <row r="48934" spans="65:67" ht="18.75" customHeight="1">
      <c r="BM48934" s="1025"/>
      <c r="BO48934" s="43"/>
    </row>
    <row r="48935" spans="65:67" ht="18.75" customHeight="1">
      <c r="BM48935" s="1025"/>
      <c r="BO48935" s="43"/>
    </row>
    <row r="48936" spans="65:67" ht="18.75" customHeight="1">
      <c r="BM48936" s="1025"/>
      <c r="BO48936" s="43"/>
    </row>
    <row r="48937" spans="65:67" ht="18.75" customHeight="1">
      <c r="BM48937" s="1025"/>
      <c r="BO48937" s="43"/>
    </row>
    <row r="48938" spans="65:67" ht="18.75" customHeight="1">
      <c r="BM48938" s="1025"/>
      <c r="BO48938" s="43"/>
    </row>
    <row r="48939" spans="65:67" ht="18.75" customHeight="1">
      <c r="BM48939" s="1025"/>
      <c r="BO48939" s="43"/>
    </row>
    <row r="48940" spans="65:67" ht="18.75" customHeight="1">
      <c r="BM48940" s="1025"/>
      <c r="BO48940" s="43"/>
    </row>
    <row r="48941" spans="65:67" ht="18.75" customHeight="1">
      <c r="BM48941" s="1025"/>
      <c r="BO48941" s="43"/>
    </row>
    <row r="48942" spans="65:67" ht="18.75" customHeight="1">
      <c r="BM48942" s="1025"/>
      <c r="BO48942" s="43"/>
    </row>
    <row r="48943" spans="65:67" ht="18.75" customHeight="1">
      <c r="BM48943" s="1025"/>
      <c r="BO48943" s="43"/>
    </row>
    <row r="48944" spans="65:67" ht="18.75" customHeight="1">
      <c r="BM48944" s="1025"/>
      <c r="BO48944" s="43"/>
    </row>
    <row r="48945" spans="65:67" ht="18.75" customHeight="1">
      <c r="BM48945" s="1025"/>
      <c r="BO48945" s="43"/>
    </row>
    <row r="48946" spans="65:67" ht="18.75" customHeight="1">
      <c r="BM48946" s="1025"/>
      <c r="BO48946" s="43"/>
    </row>
    <row r="48947" spans="65:67" ht="18.75" customHeight="1">
      <c r="BM48947" s="1025"/>
      <c r="BO48947" s="43"/>
    </row>
    <row r="48948" spans="65:67" ht="18.75" customHeight="1">
      <c r="BM48948" s="1025"/>
      <c r="BO48948" s="43"/>
    </row>
    <row r="48949" spans="65:67" ht="18.75" customHeight="1">
      <c r="BM48949" s="1025"/>
      <c r="BO48949" s="43"/>
    </row>
    <row r="48950" spans="65:67" ht="18.75" customHeight="1">
      <c r="BM48950" s="1025"/>
      <c r="BO48950" s="43"/>
    </row>
    <row r="48951" spans="65:67" ht="18.75" customHeight="1">
      <c r="BM48951" s="1025"/>
      <c r="BO48951" s="43"/>
    </row>
    <row r="48952" spans="65:67" ht="18.75" customHeight="1">
      <c r="BM48952" s="1025"/>
      <c r="BO48952" s="43"/>
    </row>
    <row r="48953" spans="65:67" ht="18.75" customHeight="1">
      <c r="BM48953" s="1025"/>
      <c r="BO48953" s="43"/>
    </row>
    <row r="48954" spans="65:67" ht="18.75" customHeight="1">
      <c r="BM48954" s="1025"/>
      <c r="BO48954" s="43"/>
    </row>
    <row r="48955" spans="65:67" ht="18.75" customHeight="1">
      <c r="BM48955" s="1025"/>
      <c r="BO48955" s="43"/>
    </row>
    <row r="48956" spans="65:67" ht="18.75" customHeight="1">
      <c r="BM48956" s="1025"/>
      <c r="BO48956" s="43"/>
    </row>
    <row r="48957" spans="65:67" ht="18.75" customHeight="1">
      <c r="BM48957" s="1025"/>
      <c r="BO48957" s="43"/>
    </row>
    <row r="48958" spans="65:67" ht="18.75" customHeight="1">
      <c r="BM48958" s="1025"/>
      <c r="BO48958" s="43"/>
    </row>
    <row r="48959" spans="65:67" ht="18.75" customHeight="1">
      <c r="BM48959" s="1025"/>
      <c r="BO48959" s="43"/>
    </row>
    <row r="48960" spans="65:67" ht="18.75" customHeight="1">
      <c r="BM48960" s="1025"/>
      <c r="BO48960" s="43"/>
    </row>
    <row r="48961" spans="65:67" ht="18.75" customHeight="1">
      <c r="BM48961" s="1025"/>
      <c r="BO48961" s="43"/>
    </row>
    <row r="48962" spans="65:67" ht="18.75" customHeight="1">
      <c r="BM48962" s="1025"/>
      <c r="BO48962" s="43"/>
    </row>
    <row r="48963" spans="65:67" ht="18.75" customHeight="1">
      <c r="BM48963" s="1025"/>
      <c r="BO48963" s="43"/>
    </row>
    <row r="48964" spans="65:67" ht="18.75" customHeight="1">
      <c r="BM48964" s="1025"/>
      <c r="BO48964" s="43"/>
    </row>
    <row r="48965" spans="65:67" ht="18.75" customHeight="1">
      <c r="BM48965" s="1025"/>
      <c r="BO48965" s="43"/>
    </row>
    <row r="48966" spans="65:67" ht="18.75" customHeight="1">
      <c r="BM48966" s="1025"/>
      <c r="BO48966" s="43"/>
    </row>
    <row r="48967" spans="65:67" ht="18.75" customHeight="1">
      <c r="BM48967" s="1025"/>
      <c r="BO48967" s="43"/>
    </row>
    <row r="48968" spans="65:67" ht="18.75" customHeight="1">
      <c r="BM48968" s="1025"/>
      <c r="BO48968" s="43"/>
    </row>
    <row r="48969" spans="65:67" ht="18.75" customHeight="1">
      <c r="BM48969" s="1025"/>
      <c r="BO48969" s="43"/>
    </row>
    <row r="48970" spans="65:67" ht="18.75" customHeight="1">
      <c r="BM48970" s="1025"/>
      <c r="BO48970" s="43"/>
    </row>
    <row r="48971" spans="65:67" ht="18.75" customHeight="1">
      <c r="BM48971" s="1025"/>
      <c r="BO48971" s="43"/>
    </row>
    <row r="48972" spans="65:67" ht="18.75" customHeight="1">
      <c r="BM48972" s="1025"/>
      <c r="BO48972" s="43"/>
    </row>
    <row r="48973" spans="65:67" ht="18.75" customHeight="1">
      <c r="BM48973" s="1025"/>
      <c r="BO48973" s="43"/>
    </row>
    <row r="48974" spans="65:67" ht="18.75" customHeight="1">
      <c r="BM48974" s="1025"/>
      <c r="BO48974" s="43"/>
    </row>
    <row r="48975" spans="65:67" ht="18.75" customHeight="1">
      <c r="BM48975" s="1025"/>
      <c r="BO48975" s="43"/>
    </row>
    <row r="48976" spans="65:67" ht="18.75" customHeight="1">
      <c r="BM48976" s="1025"/>
      <c r="BO48976" s="43"/>
    </row>
    <row r="48977" spans="65:67" ht="18.75" customHeight="1">
      <c r="BM48977" s="1025"/>
      <c r="BO48977" s="43"/>
    </row>
    <row r="48978" spans="65:67" ht="18.75" customHeight="1">
      <c r="BM48978" s="1025"/>
      <c r="BO48978" s="43"/>
    </row>
    <row r="48979" spans="65:67" ht="18.75" customHeight="1">
      <c r="BM48979" s="1025"/>
      <c r="BO48979" s="43"/>
    </row>
    <row r="48980" spans="65:67" ht="18.75" customHeight="1">
      <c r="BM48980" s="1025"/>
      <c r="BO48980" s="43"/>
    </row>
    <row r="48981" spans="65:67" ht="18.75" customHeight="1">
      <c r="BM48981" s="1025"/>
      <c r="BO48981" s="43"/>
    </row>
    <row r="48982" spans="65:67" ht="18.75" customHeight="1">
      <c r="BM48982" s="1025"/>
      <c r="BO48982" s="43"/>
    </row>
    <row r="48983" spans="65:67" ht="18.75" customHeight="1">
      <c r="BM48983" s="1025"/>
      <c r="BO48983" s="43"/>
    </row>
    <row r="48984" spans="65:67" ht="18.75" customHeight="1">
      <c r="BM48984" s="1025"/>
      <c r="BO48984" s="43"/>
    </row>
    <row r="48985" spans="65:67" ht="18.75" customHeight="1">
      <c r="BM48985" s="1025"/>
      <c r="BO48985" s="43"/>
    </row>
    <row r="48986" spans="65:67" ht="18.75" customHeight="1">
      <c r="BM48986" s="1025"/>
      <c r="BO48986" s="43"/>
    </row>
    <row r="48987" spans="65:67" ht="18.75" customHeight="1">
      <c r="BM48987" s="1025"/>
      <c r="BO48987" s="43"/>
    </row>
    <row r="48988" spans="65:67" ht="18.75" customHeight="1">
      <c r="BM48988" s="1025"/>
      <c r="BO48988" s="43"/>
    </row>
    <row r="48989" spans="65:67" ht="18.75" customHeight="1">
      <c r="BM48989" s="1025"/>
      <c r="BO48989" s="43"/>
    </row>
    <row r="48990" spans="65:67" ht="18.75" customHeight="1">
      <c r="BM48990" s="1025"/>
      <c r="BO48990" s="43"/>
    </row>
    <row r="48991" spans="65:67" ht="18.75" customHeight="1">
      <c r="BM48991" s="1025"/>
      <c r="BO48991" s="43"/>
    </row>
    <row r="48992" spans="65:67" ht="18.75" customHeight="1">
      <c r="BM48992" s="1025"/>
      <c r="BO48992" s="43"/>
    </row>
    <row r="48993" spans="65:67" ht="18.75" customHeight="1">
      <c r="BM48993" s="1025"/>
      <c r="BO48993" s="43"/>
    </row>
    <row r="48994" spans="65:67" ht="18.75" customHeight="1">
      <c r="BM48994" s="1025"/>
      <c r="BO48994" s="43"/>
    </row>
    <row r="48995" spans="65:67" ht="18.75" customHeight="1">
      <c r="BM48995" s="1025"/>
      <c r="BO48995" s="43"/>
    </row>
    <row r="48996" spans="65:67" ht="18.75" customHeight="1">
      <c r="BM48996" s="1025"/>
      <c r="BO48996" s="43"/>
    </row>
    <row r="48997" spans="65:67" ht="18.75" customHeight="1">
      <c r="BM48997" s="1025"/>
      <c r="BO48997" s="43"/>
    </row>
    <row r="48998" spans="65:67" ht="18.75" customHeight="1">
      <c r="BM48998" s="1025"/>
      <c r="BO48998" s="43"/>
    </row>
    <row r="48999" spans="65:67" ht="18.75" customHeight="1">
      <c r="BM48999" s="1025"/>
      <c r="BO48999" s="43"/>
    </row>
    <row r="49000" spans="65:67" ht="18.75" customHeight="1">
      <c r="BM49000" s="1025"/>
      <c r="BO49000" s="43"/>
    </row>
    <row r="49001" spans="65:67" ht="18.75" customHeight="1">
      <c r="BM49001" s="1025"/>
      <c r="BO49001" s="43"/>
    </row>
    <row r="49002" spans="65:67" ht="18.75" customHeight="1">
      <c r="BM49002" s="1025"/>
      <c r="BO49002" s="43"/>
    </row>
    <row r="49003" spans="65:67" ht="18.75" customHeight="1">
      <c r="BM49003" s="1025"/>
      <c r="BO49003" s="43"/>
    </row>
    <row r="49004" spans="65:67" ht="18.75" customHeight="1">
      <c r="BM49004" s="1025"/>
      <c r="BO49004" s="43"/>
    </row>
    <row r="49005" spans="65:67" ht="18.75" customHeight="1">
      <c r="BM49005" s="1025"/>
      <c r="BO49005" s="43"/>
    </row>
    <row r="49006" spans="65:67" ht="18.75" customHeight="1">
      <c r="BM49006" s="1025"/>
      <c r="BO49006" s="43"/>
    </row>
    <row r="49007" spans="65:67" ht="18.75" customHeight="1">
      <c r="BM49007" s="1025"/>
      <c r="BO49007" s="43"/>
    </row>
    <row r="49008" spans="65:67" ht="18.75" customHeight="1">
      <c r="BM49008" s="1025"/>
      <c r="BO49008" s="43"/>
    </row>
    <row r="49009" spans="65:67" ht="18.75" customHeight="1">
      <c r="BM49009" s="1025"/>
      <c r="BO49009" s="43"/>
    </row>
    <row r="49010" spans="65:67" ht="18.75" customHeight="1">
      <c r="BM49010" s="1025"/>
      <c r="BO49010" s="43"/>
    </row>
    <row r="49011" spans="65:67" ht="18.75" customHeight="1">
      <c r="BM49011" s="1025"/>
      <c r="BO49011" s="43"/>
    </row>
    <row r="49012" spans="65:67" ht="18.75" customHeight="1">
      <c r="BM49012" s="1025"/>
      <c r="BO49012" s="43"/>
    </row>
    <row r="49013" spans="65:67" ht="18.75" customHeight="1">
      <c r="BM49013" s="1025"/>
      <c r="BO49013" s="43"/>
    </row>
    <row r="49014" spans="65:67" ht="18.75" customHeight="1">
      <c r="BM49014" s="1025"/>
      <c r="BO49014" s="43"/>
    </row>
    <row r="49015" spans="65:67" ht="18.75" customHeight="1">
      <c r="BM49015" s="1025"/>
      <c r="BO49015" s="43"/>
    </row>
    <row r="49016" spans="65:67" ht="18.75" customHeight="1">
      <c r="BM49016" s="1025"/>
      <c r="BO49016" s="43"/>
    </row>
    <row r="49017" spans="65:67" ht="18.75" customHeight="1">
      <c r="BM49017" s="1025"/>
      <c r="BO49017" s="43"/>
    </row>
    <row r="49018" spans="65:67" ht="18.75" customHeight="1">
      <c r="BM49018" s="1025"/>
      <c r="BO49018" s="43"/>
    </row>
    <row r="49019" spans="65:67" ht="18.75" customHeight="1">
      <c r="BM49019" s="1025"/>
      <c r="BO49019" s="43"/>
    </row>
    <row r="49020" spans="65:67" ht="18.75" customHeight="1">
      <c r="BM49020" s="1025"/>
      <c r="BO49020" s="43"/>
    </row>
    <row r="49021" spans="65:67" ht="18.75" customHeight="1">
      <c r="BM49021" s="1025"/>
      <c r="BO49021" s="43"/>
    </row>
    <row r="49022" spans="65:67" ht="18.75" customHeight="1">
      <c r="BM49022" s="1025"/>
      <c r="BO49022" s="43"/>
    </row>
    <row r="49023" spans="65:67" ht="18.75" customHeight="1">
      <c r="BM49023" s="1025"/>
      <c r="BO49023" s="43"/>
    </row>
    <row r="49024" spans="65:67" ht="18.75" customHeight="1">
      <c r="BM49024" s="1025"/>
      <c r="BO49024" s="43"/>
    </row>
    <row r="49025" spans="65:67" ht="18.75" customHeight="1">
      <c r="BM49025" s="1025"/>
      <c r="BO49025" s="43"/>
    </row>
    <row r="49026" spans="65:67" ht="18.75" customHeight="1">
      <c r="BM49026" s="1025"/>
      <c r="BO49026" s="43"/>
    </row>
    <row r="49027" spans="65:67" ht="18.75" customHeight="1">
      <c r="BM49027" s="1025"/>
      <c r="BO49027" s="43"/>
    </row>
    <row r="49028" spans="65:67" ht="18.75" customHeight="1">
      <c r="BM49028" s="1025"/>
      <c r="BO49028" s="43"/>
    </row>
    <row r="49029" spans="65:67" ht="18.75" customHeight="1">
      <c r="BM49029" s="1025"/>
      <c r="BO49029" s="43"/>
    </row>
    <row r="49030" spans="65:67" ht="18.75" customHeight="1">
      <c r="BM49030" s="1025"/>
      <c r="BO49030" s="43"/>
    </row>
    <row r="49031" spans="65:67" ht="18.75" customHeight="1">
      <c r="BM49031" s="1025"/>
      <c r="BO49031" s="43"/>
    </row>
    <row r="49032" spans="65:67" ht="18.75" customHeight="1">
      <c r="BM49032" s="1025"/>
      <c r="BO49032" s="43"/>
    </row>
    <row r="49033" spans="65:67" ht="18.75" customHeight="1">
      <c r="BM49033" s="1025"/>
      <c r="BO49033" s="43"/>
    </row>
    <row r="49034" spans="65:67" ht="18.75" customHeight="1">
      <c r="BM49034" s="1025"/>
      <c r="BO49034" s="43"/>
    </row>
    <row r="49035" spans="65:67" ht="18.75" customHeight="1">
      <c r="BM49035" s="1025"/>
      <c r="BO49035" s="43"/>
    </row>
    <row r="49036" spans="65:67" ht="18.75" customHeight="1">
      <c r="BM49036" s="1025"/>
      <c r="BO49036" s="43"/>
    </row>
    <row r="49037" spans="65:67" ht="18.75" customHeight="1">
      <c r="BM49037" s="1025"/>
      <c r="BO49037" s="43"/>
    </row>
    <row r="49038" spans="65:67" ht="18.75" customHeight="1">
      <c r="BM49038" s="1025"/>
      <c r="BO49038" s="43"/>
    </row>
    <row r="49039" spans="65:67" ht="18.75" customHeight="1">
      <c r="BM49039" s="1025"/>
      <c r="BO49039" s="43"/>
    </row>
    <row r="49040" spans="65:67" ht="18.75" customHeight="1">
      <c r="BM49040" s="1025"/>
      <c r="BO49040" s="43"/>
    </row>
    <row r="49041" spans="65:67" ht="18.75" customHeight="1">
      <c r="BM49041" s="1025"/>
      <c r="BO49041" s="43"/>
    </row>
    <row r="49042" spans="65:67" ht="18.75" customHeight="1">
      <c r="BM49042" s="1025"/>
      <c r="BO49042" s="43"/>
    </row>
    <row r="49043" spans="65:67" ht="18.75" customHeight="1">
      <c r="BM49043" s="1025"/>
      <c r="BO49043" s="43"/>
    </row>
    <row r="49044" spans="65:67" ht="18.75" customHeight="1">
      <c r="BM49044" s="1025"/>
      <c r="BO49044" s="43"/>
    </row>
    <row r="49045" spans="65:67" ht="18.75" customHeight="1">
      <c r="BM49045" s="1025"/>
      <c r="BO49045" s="43"/>
    </row>
    <row r="49046" spans="65:67" ht="18.75" customHeight="1">
      <c r="BM49046" s="1025"/>
      <c r="BO49046" s="43"/>
    </row>
    <row r="49047" spans="65:67" ht="18.75" customHeight="1">
      <c r="BM49047" s="1025"/>
      <c r="BO49047" s="43"/>
    </row>
    <row r="49048" spans="65:67" ht="18.75" customHeight="1">
      <c r="BM49048" s="1025"/>
      <c r="BO49048" s="43"/>
    </row>
    <row r="49049" spans="65:67" ht="18.75" customHeight="1">
      <c r="BM49049" s="1025"/>
      <c r="BO49049" s="43"/>
    </row>
    <row r="49050" spans="65:67" ht="18.75" customHeight="1">
      <c r="BM49050" s="1025"/>
      <c r="BO49050" s="43"/>
    </row>
    <row r="49051" spans="65:67" ht="18.75" customHeight="1">
      <c r="BM49051" s="1025"/>
      <c r="BO49051" s="43"/>
    </row>
    <row r="49052" spans="65:67" ht="18.75" customHeight="1">
      <c r="BM49052" s="1025"/>
      <c r="BO49052" s="43"/>
    </row>
    <row r="49053" spans="65:67" ht="18.75" customHeight="1">
      <c r="BM49053" s="1025"/>
      <c r="BO49053" s="43"/>
    </row>
    <row r="49054" spans="65:67" ht="18.75" customHeight="1">
      <c r="BM49054" s="1025"/>
      <c r="BO49054" s="43"/>
    </row>
    <row r="49055" spans="65:67" ht="18.75" customHeight="1">
      <c r="BM49055" s="1025"/>
      <c r="BO49055" s="43"/>
    </row>
    <row r="49056" spans="65:67" ht="18.75" customHeight="1">
      <c r="BM49056" s="1025"/>
      <c r="BO49056" s="43"/>
    </row>
    <row r="49057" spans="65:67" ht="18.75" customHeight="1">
      <c r="BM49057" s="1025"/>
      <c r="BO49057" s="43"/>
    </row>
    <row r="49058" spans="65:67" ht="18.75" customHeight="1">
      <c r="BM49058" s="1025"/>
      <c r="BO49058" s="43"/>
    </row>
    <row r="49059" spans="65:67" ht="18.75" customHeight="1">
      <c r="BM49059" s="1025"/>
      <c r="BO49059" s="43"/>
    </row>
    <row r="49060" spans="65:67" ht="18.75" customHeight="1">
      <c r="BM49060" s="1025"/>
      <c r="BO49060" s="43"/>
    </row>
    <row r="49061" spans="65:67" ht="18.75" customHeight="1">
      <c r="BM49061" s="1025"/>
      <c r="BO49061" s="43"/>
    </row>
    <row r="49062" spans="65:67" ht="18.75" customHeight="1">
      <c r="BM49062" s="1025"/>
      <c r="BO49062" s="43"/>
    </row>
    <row r="49063" spans="65:67" ht="18.75" customHeight="1">
      <c r="BM49063" s="1025"/>
      <c r="BO49063" s="43"/>
    </row>
    <row r="49064" spans="65:67" ht="18.75" customHeight="1">
      <c r="BM49064" s="1025"/>
      <c r="BO49064" s="43"/>
    </row>
    <row r="49065" spans="65:67" ht="18.75" customHeight="1">
      <c r="BM49065" s="1025"/>
      <c r="BO49065" s="43"/>
    </row>
    <row r="49066" spans="65:67" ht="18.75" customHeight="1">
      <c r="BM49066" s="1025"/>
      <c r="BO49066" s="43"/>
    </row>
    <row r="49067" spans="65:67" ht="18.75" customHeight="1">
      <c r="BM49067" s="1025"/>
      <c r="BO49067" s="43"/>
    </row>
    <row r="49068" spans="65:67" ht="18.75" customHeight="1">
      <c r="BM49068" s="1025"/>
      <c r="BO49068" s="43"/>
    </row>
    <row r="49069" spans="65:67" ht="18.75" customHeight="1">
      <c r="BM49069" s="1025"/>
      <c r="BO49069" s="43"/>
    </row>
    <row r="49070" spans="65:67" ht="18.75" customHeight="1">
      <c r="BM49070" s="1025"/>
      <c r="BO49070" s="43"/>
    </row>
    <row r="49071" spans="65:67" ht="18.75" customHeight="1">
      <c r="BM49071" s="1025"/>
      <c r="BO49071" s="43"/>
    </row>
    <row r="49072" spans="65:67" ht="18.75" customHeight="1">
      <c r="BM49072" s="1025"/>
      <c r="BO49072" s="43"/>
    </row>
    <row r="49073" spans="65:67" ht="18.75" customHeight="1">
      <c r="BM49073" s="1025"/>
      <c r="BO49073" s="43"/>
    </row>
    <row r="49074" spans="65:67" ht="18.75" customHeight="1">
      <c r="BM49074" s="1025"/>
      <c r="BO49074" s="43"/>
    </row>
    <row r="49075" spans="65:67" ht="18.75" customHeight="1">
      <c r="BM49075" s="1025"/>
      <c r="BO49075" s="43"/>
    </row>
    <row r="49076" spans="65:67" ht="18.75" customHeight="1">
      <c r="BM49076" s="1025"/>
      <c r="BO49076" s="43"/>
    </row>
    <row r="49077" spans="65:67" ht="18.75" customHeight="1">
      <c r="BM49077" s="1025"/>
      <c r="BO49077" s="43"/>
    </row>
    <row r="49078" spans="65:67" ht="18.75" customHeight="1">
      <c r="BM49078" s="1025"/>
      <c r="BO49078" s="43"/>
    </row>
    <row r="49079" spans="65:67" ht="18.75" customHeight="1">
      <c r="BM49079" s="1025"/>
      <c r="BO49079" s="43"/>
    </row>
    <row r="49080" spans="65:67" ht="18.75" customHeight="1">
      <c r="BM49080" s="1025"/>
      <c r="BO49080" s="43"/>
    </row>
    <row r="49081" spans="65:67" ht="18.75" customHeight="1">
      <c r="BM49081" s="1025"/>
      <c r="BO49081" s="43"/>
    </row>
    <row r="49082" spans="65:67" ht="18.75" customHeight="1">
      <c r="BM49082" s="1025"/>
      <c r="BO49082" s="43"/>
    </row>
    <row r="49083" spans="65:67" ht="18.75" customHeight="1">
      <c r="BM49083" s="1025"/>
      <c r="BO49083" s="43"/>
    </row>
    <row r="49084" spans="65:67" ht="18.75" customHeight="1">
      <c r="BM49084" s="1025"/>
      <c r="BO49084" s="43"/>
    </row>
    <row r="49085" spans="65:67" ht="18.75" customHeight="1">
      <c r="BM49085" s="1025"/>
      <c r="BO49085" s="43"/>
    </row>
    <row r="49086" spans="65:67" ht="18.75" customHeight="1">
      <c r="BM49086" s="1025"/>
      <c r="BO49086" s="43"/>
    </row>
    <row r="49087" spans="65:67" ht="18.75" customHeight="1">
      <c r="BM49087" s="1025"/>
      <c r="BO49087" s="43"/>
    </row>
    <row r="49088" spans="65:67" ht="18.75" customHeight="1">
      <c r="BM49088" s="1025"/>
      <c r="BO49088" s="43"/>
    </row>
    <row r="49089" spans="65:67" ht="18.75" customHeight="1">
      <c r="BM49089" s="1025"/>
      <c r="BO49089" s="43"/>
    </row>
    <row r="49090" spans="65:67" ht="18.75" customHeight="1">
      <c r="BM49090" s="1025"/>
      <c r="BO49090" s="43"/>
    </row>
    <row r="49091" spans="65:67" ht="18.75" customHeight="1">
      <c r="BM49091" s="1025"/>
      <c r="BO49091" s="43"/>
    </row>
    <row r="49092" spans="65:67" ht="18.75" customHeight="1">
      <c r="BM49092" s="1025"/>
      <c r="BO49092" s="43"/>
    </row>
    <row r="49093" spans="65:67" ht="18.75" customHeight="1">
      <c r="BM49093" s="1025"/>
      <c r="BO49093" s="43"/>
    </row>
    <row r="49094" spans="65:67" ht="18.75" customHeight="1">
      <c r="BM49094" s="1025"/>
      <c r="BO49094" s="43"/>
    </row>
    <row r="49095" spans="65:67" ht="18.75" customHeight="1">
      <c r="BM49095" s="1025"/>
      <c r="BO49095" s="43"/>
    </row>
    <row r="49096" spans="65:67" ht="18.75" customHeight="1">
      <c r="BM49096" s="1025"/>
      <c r="BO49096" s="43"/>
    </row>
    <row r="49097" spans="65:67" ht="18.75" customHeight="1">
      <c r="BM49097" s="1025"/>
      <c r="BO49097" s="43"/>
    </row>
    <row r="49098" spans="65:67" ht="18.75" customHeight="1">
      <c r="BM49098" s="1025"/>
      <c r="BO49098" s="43"/>
    </row>
    <row r="49099" spans="65:67" ht="18.75" customHeight="1">
      <c r="BM49099" s="1025"/>
      <c r="BO49099" s="43"/>
    </row>
    <row r="49100" spans="65:67" ht="18.75" customHeight="1">
      <c r="BM49100" s="1025"/>
      <c r="BO49100" s="43"/>
    </row>
    <row r="49101" spans="65:67" ht="18.75" customHeight="1">
      <c r="BM49101" s="1025"/>
      <c r="BO49101" s="43"/>
    </row>
    <row r="49102" spans="65:67" ht="18.75" customHeight="1">
      <c r="BM49102" s="1025"/>
      <c r="BO49102" s="43"/>
    </row>
    <row r="49103" spans="65:67" ht="18.75" customHeight="1">
      <c r="BM49103" s="1025"/>
      <c r="BO49103" s="43"/>
    </row>
    <row r="49104" spans="65:67" ht="18.75" customHeight="1">
      <c r="BM49104" s="1025"/>
      <c r="BO49104" s="43"/>
    </row>
    <row r="49105" spans="65:67" ht="18.75" customHeight="1">
      <c r="BM49105" s="1025"/>
      <c r="BO49105" s="43"/>
    </row>
    <row r="49106" spans="65:67" ht="18.75" customHeight="1">
      <c r="BM49106" s="1025"/>
      <c r="BO49106" s="43"/>
    </row>
    <row r="49107" spans="65:67" ht="18.75" customHeight="1">
      <c r="BM49107" s="1025"/>
      <c r="BO49107" s="43"/>
    </row>
    <row r="49108" spans="65:67" ht="18.75" customHeight="1">
      <c r="BM49108" s="1025"/>
      <c r="BO49108" s="43"/>
    </row>
    <row r="49109" spans="65:67" ht="18.75" customHeight="1">
      <c r="BM49109" s="1025"/>
      <c r="BO49109" s="43"/>
    </row>
    <row r="49110" spans="65:67" ht="18.75" customHeight="1">
      <c r="BM49110" s="1025"/>
      <c r="BO49110" s="43"/>
    </row>
    <row r="49111" spans="65:67" ht="18.75" customHeight="1">
      <c r="BM49111" s="1025"/>
      <c r="BO49111" s="43"/>
    </row>
    <row r="49112" spans="65:67" ht="18.75" customHeight="1">
      <c r="BM49112" s="1025"/>
      <c r="BO49112" s="43"/>
    </row>
    <row r="49113" spans="65:67" ht="18.75" customHeight="1">
      <c r="BM49113" s="1025"/>
      <c r="BO49113" s="43"/>
    </row>
    <row r="49114" spans="65:67" ht="18.75" customHeight="1">
      <c r="BM49114" s="1025"/>
      <c r="BO49114" s="43"/>
    </row>
    <row r="49115" spans="65:67" ht="18.75" customHeight="1">
      <c r="BM49115" s="1025"/>
      <c r="BO49115" s="43"/>
    </row>
    <row r="49116" spans="65:67" ht="18.75" customHeight="1">
      <c r="BM49116" s="1025"/>
      <c r="BO49116" s="43"/>
    </row>
    <row r="49117" spans="65:67" ht="18.75" customHeight="1">
      <c r="BM49117" s="1025"/>
      <c r="BO49117" s="43"/>
    </row>
    <row r="49118" spans="65:67" ht="18.75" customHeight="1">
      <c r="BM49118" s="1025"/>
      <c r="BO49118" s="43"/>
    </row>
    <row r="49119" spans="65:67" ht="18.75" customHeight="1">
      <c r="BM49119" s="1025"/>
      <c r="BO49119" s="43"/>
    </row>
    <row r="49120" spans="65:67" ht="18.75" customHeight="1">
      <c r="BM49120" s="1025"/>
      <c r="BO49120" s="43"/>
    </row>
    <row r="49121" spans="65:67" ht="18.75" customHeight="1">
      <c r="BM49121" s="1025"/>
      <c r="BO49121" s="43"/>
    </row>
    <row r="49122" spans="65:67" ht="18.75" customHeight="1">
      <c r="BM49122" s="1025"/>
      <c r="BO49122" s="43"/>
    </row>
    <row r="49123" spans="65:67" ht="18.75" customHeight="1">
      <c r="BM49123" s="1025"/>
      <c r="BO49123" s="43"/>
    </row>
    <row r="49124" spans="65:67" ht="18.75" customHeight="1">
      <c r="BM49124" s="1025"/>
      <c r="BO49124" s="43"/>
    </row>
    <row r="49125" spans="65:67" ht="18.75" customHeight="1">
      <c r="BM49125" s="1025"/>
      <c r="BO49125" s="43"/>
    </row>
    <row r="49126" spans="65:67" ht="18.75" customHeight="1">
      <c r="BM49126" s="1025"/>
      <c r="BO49126" s="43"/>
    </row>
    <row r="49127" spans="65:67" ht="18.75" customHeight="1">
      <c r="BM49127" s="1025"/>
      <c r="BO49127" s="43"/>
    </row>
    <row r="49128" spans="65:67" ht="18.75" customHeight="1">
      <c r="BM49128" s="1025"/>
      <c r="BO49128" s="43"/>
    </row>
    <row r="49129" spans="65:67" ht="18.75" customHeight="1">
      <c r="BM49129" s="1025"/>
      <c r="BO49129" s="43"/>
    </row>
    <row r="49130" spans="65:67" ht="18.75" customHeight="1">
      <c r="BM49130" s="1025"/>
      <c r="BO49130" s="43"/>
    </row>
    <row r="49131" spans="65:67" ht="18.75" customHeight="1">
      <c r="BM49131" s="1025"/>
      <c r="BO49131" s="43"/>
    </row>
    <row r="49132" spans="65:67" ht="18.75" customHeight="1">
      <c r="BM49132" s="1025"/>
      <c r="BO49132" s="43"/>
    </row>
    <row r="49133" spans="65:67" ht="18.75" customHeight="1">
      <c r="BM49133" s="1025"/>
      <c r="BO49133" s="43"/>
    </row>
    <row r="49134" spans="65:67" ht="18.75" customHeight="1">
      <c r="BM49134" s="1025"/>
      <c r="BO49134" s="43"/>
    </row>
    <row r="49135" spans="65:67" ht="18.75" customHeight="1">
      <c r="BM49135" s="1025"/>
      <c r="BO49135" s="43"/>
    </row>
    <row r="49136" spans="65:67" ht="18.75" customHeight="1">
      <c r="BM49136" s="1025"/>
      <c r="BO49136" s="43"/>
    </row>
    <row r="49137" spans="65:67" ht="18.75" customHeight="1">
      <c r="BM49137" s="1025"/>
      <c r="BO49137" s="43"/>
    </row>
    <row r="49138" spans="65:67" ht="18.75" customHeight="1">
      <c r="BM49138" s="1025"/>
      <c r="BO49138" s="43"/>
    </row>
    <row r="49139" spans="65:67" ht="18.75" customHeight="1">
      <c r="BM49139" s="1025"/>
      <c r="BO49139" s="43"/>
    </row>
    <row r="49140" spans="65:67" ht="18.75" customHeight="1">
      <c r="BM49140" s="1025"/>
      <c r="BO49140" s="43"/>
    </row>
    <row r="49141" spans="65:67" ht="18.75" customHeight="1">
      <c r="BM49141" s="1025"/>
      <c r="BO49141" s="43"/>
    </row>
    <row r="49142" spans="65:67" ht="18.75" customHeight="1">
      <c r="BM49142" s="1025"/>
      <c r="BO49142" s="43"/>
    </row>
    <row r="49143" spans="65:67" ht="18.75" customHeight="1">
      <c r="BM49143" s="1025"/>
      <c r="BO49143" s="43"/>
    </row>
    <row r="49144" spans="65:67" ht="18.75" customHeight="1">
      <c r="BM49144" s="1025"/>
      <c r="BO49144" s="43"/>
    </row>
    <row r="49145" spans="65:67" ht="18.75" customHeight="1">
      <c r="BM49145" s="1025"/>
      <c r="BO49145" s="43"/>
    </row>
    <row r="49146" spans="65:67" ht="18.75" customHeight="1">
      <c r="BM49146" s="1025"/>
      <c r="BO49146" s="43"/>
    </row>
    <row r="49147" spans="65:67" ht="18.75" customHeight="1">
      <c r="BM49147" s="1025"/>
      <c r="BO49147" s="43"/>
    </row>
    <row r="49148" spans="65:67" ht="18.75" customHeight="1">
      <c r="BM49148" s="1025"/>
      <c r="BO49148" s="43"/>
    </row>
    <row r="49149" spans="65:67" ht="18.75" customHeight="1">
      <c r="BM49149" s="1025"/>
      <c r="BO49149" s="43"/>
    </row>
    <row r="49150" spans="65:67" ht="18.75" customHeight="1">
      <c r="BM49150" s="1025"/>
      <c r="BO49150" s="43"/>
    </row>
    <row r="49151" spans="65:67" ht="18.75" customHeight="1">
      <c r="BM49151" s="1025"/>
      <c r="BO49151" s="43"/>
    </row>
    <row r="49152" spans="65:67" ht="18.75" customHeight="1">
      <c r="BM49152" s="1025"/>
      <c r="BO49152" s="43"/>
    </row>
    <row r="49153" spans="65:67" ht="18.75" customHeight="1">
      <c r="BM49153" s="1025"/>
      <c r="BO49153" s="43"/>
    </row>
    <row r="49154" spans="65:67" ht="18.75" customHeight="1">
      <c r="BM49154" s="1025"/>
      <c r="BO49154" s="43"/>
    </row>
    <row r="49155" spans="65:67" ht="18.75" customHeight="1">
      <c r="BM49155" s="1025"/>
      <c r="BO49155" s="43"/>
    </row>
    <row r="49156" spans="65:67" ht="18.75" customHeight="1">
      <c r="BM49156" s="1025"/>
      <c r="BO49156" s="43"/>
    </row>
    <row r="49157" spans="65:67" ht="18.75" customHeight="1">
      <c r="BM49157" s="1025"/>
      <c r="BO49157" s="43"/>
    </row>
    <row r="49158" spans="65:67" ht="18.75" customHeight="1">
      <c r="BM49158" s="1025"/>
      <c r="BO49158" s="43"/>
    </row>
    <row r="49159" spans="65:67" ht="18.75" customHeight="1">
      <c r="BM49159" s="1025"/>
      <c r="BO49159" s="43"/>
    </row>
    <row r="49160" spans="65:67" ht="18.75" customHeight="1">
      <c r="BM49160" s="1025"/>
      <c r="BO49160" s="43"/>
    </row>
    <row r="49161" spans="65:67" ht="18.75" customHeight="1">
      <c r="BM49161" s="1025"/>
      <c r="BO49161" s="43"/>
    </row>
    <row r="49162" spans="65:67" ht="18.75" customHeight="1">
      <c r="BM49162" s="1025"/>
      <c r="BO49162" s="43"/>
    </row>
    <row r="49163" spans="65:67" ht="18.75" customHeight="1">
      <c r="BM49163" s="1025"/>
      <c r="BO49163" s="43"/>
    </row>
    <row r="49164" spans="65:67" ht="18.75" customHeight="1">
      <c r="BM49164" s="1025"/>
      <c r="BO49164" s="43"/>
    </row>
    <row r="49165" spans="65:67" ht="18.75" customHeight="1">
      <c r="BM49165" s="1025"/>
      <c r="BO49165" s="43"/>
    </row>
    <row r="49166" spans="65:67" ht="18.75" customHeight="1">
      <c r="BM49166" s="1025"/>
      <c r="BO49166" s="43"/>
    </row>
    <row r="49167" spans="65:67" ht="18.75" customHeight="1">
      <c r="BM49167" s="1025"/>
      <c r="BO49167" s="43"/>
    </row>
    <row r="49168" spans="65:67" ht="18.75" customHeight="1">
      <c r="BM49168" s="1025"/>
      <c r="BO49168" s="43"/>
    </row>
    <row r="49169" spans="65:67" ht="18.75" customHeight="1">
      <c r="BM49169" s="1025"/>
      <c r="BO49169" s="43"/>
    </row>
    <row r="49170" spans="65:67" ht="18.75" customHeight="1">
      <c r="BM49170" s="1025"/>
      <c r="BO49170" s="43"/>
    </row>
    <row r="49171" spans="65:67" ht="18.75" customHeight="1">
      <c r="BM49171" s="1025"/>
      <c r="BO49171" s="43"/>
    </row>
    <row r="49172" spans="65:67" ht="18.75" customHeight="1">
      <c r="BM49172" s="1025"/>
      <c r="BO49172" s="43"/>
    </row>
    <row r="49173" spans="65:67" ht="18.75" customHeight="1">
      <c r="BM49173" s="1025"/>
      <c r="BO49173" s="43"/>
    </row>
    <row r="49174" spans="65:67" ht="18.75" customHeight="1">
      <c r="BM49174" s="1025"/>
      <c r="BO49174" s="43"/>
    </row>
    <row r="49175" spans="65:67" ht="18.75" customHeight="1">
      <c r="BM49175" s="1025"/>
      <c r="BO49175" s="43"/>
    </row>
    <row r="49176" spans="65:67" ht="18.75" customHeight="1">
      <c r="BM49176" s="1025"/>
      <c r="BO49176" s="43"/>
    </row>
    <row r="49177" spans="65:67" ht="18.75" customHeight="1">
      <c r="BM49177" s="1025"/>
      <c r="BO49177" s="43"/>
    </row>
    <row r="49178" spans="65:67" ht="18.75" customHeight="1">
      <c r="BM49178" s="1025"/>
      <c r="BO49178" s="43"/>
    </row>
    <row r="49179" spans="65:67" ht="18.75" customHeight="1">
      <c r="BM49179" s="1025"/>
      <c r="BO49179" s="43"/>
    </row>
    <row r="49180" spans="65:67" ht="18.75" customHeight="1">
      <c r="BM49180" s="1025"/>
      <c r="BO49180" s="43"/>
    </row>
    <row r="49181" spans="65:67" ht="18.75" customHeight="1">
      <c r="BM49181" s="1025"/>
      <c r="BO49181" s="43"/>
    </row>
    <row r="49182" spans="65:67" ht="18.75" customHeight="1">
      <c r="BM49182" s="1025"/>
      <c r="BO49182" s="43"/>
    </row>
    <row r="49183" spans="65:67" ht="18.75" customHeight="1">
      <c r="BM49183" s="1025"/>
      <c r="BO49183" s="43"/>
    </row>
    <row r="49184" spans="65:67" ht="18.75" customHeight="1">
      <c r="BM49184" s="1025"/>
      <c r="BO49184" s="43"/>
    </row>
    <row r="49185" spans="65:67" ht="18.75" customHeight="1">
      <c r="BM49185" s="1025"/>
      <c r="BO49185" s="43"/>
    </row>
    <row r="49186" spans="65:67" ht="18.75" customHeight="1">
      <c r="BM49186" s="1025"/>
      <c r="BO49186" s="43"/>
    </row>
    <row r="49187" spans="65:67" ht="18.75" customHeight="1">
      <c r="BM49187" s="1025"/>
      <c r="BO49187" s="43"/>
    </row>
    <row r="49188" spans="65:67" ht="18.75" customHeight="1">
      <c r="BM49188" s="1025"/>
      <c r="BO49188" s="43"/>
    </row>
    <row r="49189" spans="65:67" ht="18.75" customHeight="1">
      <c r="BM49189" s="1025"/>
      <c r="BO49189" s="43"/>
    </row>
    <row r="49190" spans="65:67" ht="18.75" customHeight="1">
      <c r="BM49190" s="1025"/>
      <c r="BO49190" s="43"/>
    </row>
    <row r="49191" spans="65:67" ht="18.75" customHeight="1">
      <c r="BM49191" s="1025"/>
      <c r="BO49191" s="43"/>
    </row>
    <row r="49192" spans="65:67" ht="18.75" customHeight="1">
      <c r="BM49192" s="1025"/>
      <c r="BO49192" s="43"/>
    </row>
    <row r="49193" spans="65:67" ht="18.75" customHeight="1">
      <c r="BM49193" s="1025"/>
      <c r="BO49193" s="43"/>
    </row>
    <row r="49194" spans="65:67" ht="18.75" customHeight="1">
      <c r="BM49194" s="1025"/>
      <c r="BO49194" s="43"/>
    </row>
    <row r="49195" spans="65:67" ht="18.75" customHeight="1">
      <c r="BM49195" s="1025"/>
      <c r="BO49195" s="43"/>
    </row>
    <row r="49196" spans="65:67" ht="18.75" customHeight="1">
      <c r="BM49196" s="1025"/>
      <c r="BO49196" s="43"/>
    </row>
    <row r="49197" spans="65:67" ht="18.75" customHeight="1">
      <c r="BM49197" s="1025"/>
      <c r="BO49197" s="43"/>
    </row>
    <row r="49198" spans="65:67" ht="18.75" customHeight="1">
      <c r="BM49198" s="1025"/>
      <c r="BO49198" s="43"/>
    </row>
    <row r="49199" spans="65:67" ht="18.75" customHeight="1">
      <c r="BM49199" s="1025"/>
      <c r="BO49199" s="43"/>
    </row>
    <row r="49200" spans="65:67" ht="18.75" customHeight="1">
      <c r="BM49200" s="1025"/>
      <c r="BO49200" s="43"/>
    </row>
    <row r="49201" spans="65:67" ht="18.75" customHeight="1">
      <c r="BM49201" s="1025"/>
      <c r="BO49201" s="43"/>
    </row>
    <row r="49202" spans="65:67" ht="18.75" customHeight="1">
      <c r="BM49202" s="1025"/>
      <c r="BO49202" s="43"/>
    </row>
    <row r="49203" spans="65:67" ht="18.75" customHeight="1">
      <c r="BM49203" s="1025"/>
      <c r="BO49203" s="43"/>
    </row>
    <row r="49204" spans="65:67" ht="18.75" customHeight="1">
      <c r="BM49204" s="1025"/>
      <c r="BO49204" s="43"/>
    </row>
    <row r="49205" spans="65:67" ht="18.75" customHeight="1">
      <c r="BM49205" s="1025"/>
      <c r="BO49205" s="43"/>
    </row>
    <row r="49206" spans="65:67" ht="18.75" customHeight="1">
      <c r="BM49206" s="1025"/>
      <c r="BO49206" s="43"/>
    </row>
    <row r="49207" spans="65:67" ht="18.75" customHeight="1">
      <c r="BM49207" s="1025"/>
      <c r="BO49207" s="43"/>
    </row>
    <row r="49208" spans="65:67" ht="18.75" customHeight="1">
      <c r="BM49208" s="1025"/>
      <c r="BO49208" s="43"/>
    </row>
    <row r="49209" spans="65:67" ht="18.75" customHeight="1">
      <c r="BM49209" s="1025"/>
      <c r="BO49209" s="43"/>
    </row>
    <row r="49210" spans="65:67" ht="18.75" customHeight="1">
      <c r="BM49210" s="1025"/>
      <c r="BO49210" s="43"/>
    </row>
    <row r="49211" spans="65:67" ht="18.75" customHeight="1">
      <c r="BM49211" s="1025"/>
      <c r="BO49211" s="43"/>
    </row>
    <row r="49212" spans="65:67" ht="18.75" customHeight="1">
      <c r="BM49212" s="1025"/>
      <c r="BO49212" s="43"/>
    </row>
    <row r="49213" spans="65:67" ht="18.75" customHeight="1">
      <c r="BM49213" s="1025"/>
      <c r="BO49213" s="43"/>
    </row>
    <row r="49214" spans="65:67" ht="18.75" customHeight="1">
      <c r="BM49214" s="1025"/>
      <c r="BO49214" s="43"/>
    </row>
    <row r="49215" spans="65:67" ht="18.75" customHeight="1">
      <c r="BM49215" s="1025"/>
      <c r="BO49215" s="43"/>
    </row>
    <row r="49216" spans="65:67" ht="18.75" customHeight="1">
      <c r="BM49216" s="1025"/>
      <c r="BO49216" s="43"/>
    </row>
    <row r="49217" spans="65:67" ht="18.75" customHeight="1">
      <c r="BM49217" s="1025"/>
      <c r="BO49217" s="43"/>
    </row>
    <row r="49218" spans="65:67" ht="18.75" customHeight="1">
      <c r="BM49218" s="1025"/>
      <c r="BO49218" s="43"/>
    </row>
    <row r="49219" spans="65:67" ht="18.75" customHeight="1">
      <c r="BM49219" s="1025"/>
      <c r="BO49219" s="43"/>
    </row>
    <row r="49220" spans="65:67" ht="18.75" customHeight="1">
      <c r="BM49220" s="1025"/>
      <c r="BO49220" s="43"/>
    </row>
    <row r="49221" spans="65:67" ht="18.75" customHeight="1">
      <c r="BM49221" s="1025"/>
      <c r="BO49221" s="43"/>
    </row>
    <row r="49222" spans="65:67" ht="18.75" customHeight="1">
      <c r="BM49222" s="1025"/>
      <c r="BO49222" s="43"/>
    </row>
    <row r="49223" spans="65:67" ht="18.75" customHeight="1">
      <c r="BM49223" s="1025"/>
      <c r="BO49223" s="43"/>
    </row>
    <row r="49224" spans="65:67" ht="18.75" customHeight="1">
      <c r="BM49224" s="1025"/>
      <c r="BO49224" s="43"/>
    </row>
    <row r="49225" spans="65:67" ht="18.75" customHeight="1">
      <c r="BM49225" s="1025"/>
      <c r="BO49225" s="43"/>
    </row>
    <row r="49226" spans="65:67" ht="18.75" customHeight="1">
      <c r="BM49226" s="1025"/>
      <c r="BO49226" s="43"/>
    </row>
    <row r="49227" spans="65:67" ht="18.75" customHeight="1">
      <c r="BM49227" s="1025"/>
      <c r="BO49227" s="43"/>
    </row>
    <row r="49228" spans="65:67" ht="18.75" customHeight="1">
      <c r="BM49228" s="1025"/>
      <c r="BO49228" s="43"/>
    </row>
    <row r="49229" spans="65:67" ht="18.75" customHeight="1">
      <c r="BM49229" s="1025"/>
      <c r="BO49229" s="43"/>
    </row>
    <row r="49230" spans="65:67" ht="18.75" customHeight="1">
      <c r="BM49230" s="1025"/>
      <c r="BO49230" s="43"/>
    </row>
    <row r="49231" spans="65:67" ht="18.75" customHeight="1">
      <c r="BM49231" s="1025"/>
      <c r="BO49231" s="43"/>
    </row>
    <row r="49232" spans="65:67" ht="18.75" customHeight="1">
      <c r="BM49232" s="1025"/>
      <c r="BO49232" s="43"/>
    </row>
    <row r="49233" spans="65:67" ht="18.75" customHeight="1">
      <c r="BM49233" s="1025"/>
      <c r="BO49233" s="43"/>
    </row>
    <row r="49234" spans="65:67" ht="18.75" customHeight="1">
      <c r="BM49234" s="1025"/>
      <c r="BO49234" s="43"/>
    </row>
    <row r="49235" spans="65:67" ht="18.75" customHeight="1">
      <c r="BM49235" s="1025"/>
      <c r="BO49235" s="43"/>
    </row>
    <row r="49236" spans="65:67" ht="18.75" customHeight="1">
      <c r="BM49236" s="1025"/>
      <c r="BO49236" s="43"/>
    </row>
    <row r="49237" spans="65:67" ht="18.75" customHeight="1">
      <c r="BM49237" s="1025"/>
      <c r="BO49237" s="43"/>
    </row>
    <row r="49238" spans="65:67" ht="18.75" customHeight="1">
      <c r="BM49238" s="1025"/>
      <c r="BO49238" s="43"/>
    </row>
    <row r="49239" spans="65:67" ht="18.75" customHeight="1">
      <c r="BM49239" s="1025"/>
      <c r="BO49239" s="43"/>
    </row>
    <row r="49240" spans="65:67" ht="18.75" customHeight="1">
      <c r="BM49240" s="1025"/>
      <c r="BO49240" s="43"/>
    </row>
    <row r="49241" spans="65:67" ht="18.75" customHeight="1">
      <c r="BM49241" s="1025"/>
      <c r="BO49241" s="43"/>
    </row>
    <row r="49242" spans="65:67" ht="18.75" customHeight="1">
      <c r="BM49242" s="1025"/>
      <c r="BO49242" s="43"/>
    </row>
    <row r="49243" spans="65:67" ht="18.75" customHeight="1">
      <c r="BM49243" s="1025"/>
      <c r="BO49243" s="43"/>
    </row>
    <row r="49244" spans="65:67" ht="18.75" customHeight="1">
      <c r="BM49244" s="1025"/>
      <c r="BO49244" s="43"/>
    </row>
    <row r="49245" spans="65:67" ht="18.75" customHeight="1">
      <c r="BM49245" s="1025"/>
      <c r="BO49245" s="43"/>
    </row>
    <row r="49246" spans="65:67" ht="18.75" customHeight="1">
      <c r="BM49246" s="1025"/>
      <c r="BO49246" s="43"/>
    </row>
    <row r="49247" spans="65:67" ht="18.75" customHeight="1">
      <c r="BM49247" s="1025"/>
      <c r="BO49247" s="43"/>
    </row>
    <row r="49248" spans="65:67" ht="18.75" customHeight="1">
      <c r="BM49248" s="1025"/>
      <c r="BO49248" s="43"/>
    </row>
    <row r="49249" spans="65:67" ht="18.75" customHeight="1">
      <c r="BM49249" s="1025"/>
      <c r="BO49249" s="43"/>
    </row>
    <row r="49250" spans="65:67" ht="18.75" customHeight="1">
      <c r="BM49250" s="1025"/>
      <c r="BO49250" s="43"/>
    </row>
    <row r="49251" spans="65:67" ht="18.75" customHeight="1">
      <c r="BM49251" s="1025"/>
      <c r="BO49251" s="43"/>
    </row>
    <row r="49252" spans="65:67" ht="18.75" customHeight="1">
      <c r="BM49252" s="1025"/>
      <c r="BO49252" s="43"/>
    </row>
    <row r="49253" spans="65:67" ht="18.75" customHeight="1">
      <c r="BM49253" s="1025"/>
      <c r="BO49253" s="43"/>
    </row>
    <row r="49254" spans="65:67" ht="18.75" customHeight="1">
      <c r="BM49254" s="1025"/>
      <c r="BO49254" s="43"/>
    </row>
    <row r="49255" spans="65:67" ht="18.75" customHeight="1">
      <c r="BM49255" s="1025"/>
      <c r="BO49255" s="43"/>
    </row>
    <row r="49256" spans="65:67" ht="18.75" customHeight="1">
      <c r="BM49256" s="1025"/>
      <c r="BO49256" s="43"/>
    </row>
    <row r="49257" spans="65:67" ht="18.75" customHeight="1">
      <c r="BM49257" s="1025"/>
      <c r="BO49257" s="43"/>
    </row>
    <row r="49258" spans="65:67" ht="18.75" customHeight="1">
      <c r="BM49258" s="1025"/>
      <c r="BO49258" s="43"/>
    </row>
    <row r="49259" spans="65:67" ht="18.75" customHeight="1">
      <c r="BM49259" s="1025"/>
      <c r="BO49259" s="43"/>
    </row>
    <row r="49260" spans="65:67" ht="18.75" customHeight="1">
      <c r="BM49260" s="1025"/>
      <c r="BO49260" s="43"/>
    </row>
    <row r="49261" spans="65:67" ht="18.75" customHeight="1">
      <c r="BM49261" s="1025"/>
      <c r="BO49261" s="43"/>
    </row>
    <row r="49262" spans="65:67" ht="18.75" customHeight="1">
      <c r="BM49262" s="1025"/>
      <c r="BO49262" s="43"/>
    </row>
    <row r="49263" spans="65:67" ht="18.75" customHeight="1">
      <c r="BM49263" s="1025"/>
      <c r="BO49263" s="43"/>
    </row>
    <row r="49264" spans="65:67" ht="18.75" customHeight="1">
      <c r="BM49264" s="1025"/>
      <c r="BO49264" s="43"/>
    </row>
    <row r="49265" spans="65:67" ht="18.75" customHeight="1">
      <c r="BM49265" s="1025"/>
      <c r="BO49265" s="43"/>
    </row>
    <row r="49266" spans="65:67" ht="18.75" customHeight="1">
      <c r="BM49266" s="1025"/>
      <c r="BO49266" s="43"/>
    </row>
    <row r="49267" spans="65:67" ht="18.75" customHeight="1">
      <c r="BM49267" s="1025"/>
      <c r="BO49267" s="43"/>
    </row>
    <row r="49268" spans="65:67" ht="18.75" customHeight="1">
      <c r="BM49268" s="1025"/>
      <c r="BO49268" s="43"/>
    </row>
    <row r="49269" spans="65:67" ht="18.75" customHeight="1">
      <c r="BM49269" s="1025"/>
      <c r="BO49269" s="43"/>
    </row>
    <row r="49270" spans="65:67" ht="18.75" customHeight="1">
      <c r="BM49270" s="1025"/>
      <c r="BO49270" s="43"/>
    </row>
    <row r="49271" spans="65:67" ht="18.75" customHeight="1">
      <c r="BM49271" s="1025"/>
      <c r="BO49271" s="43"/>
    </row>
    <row r="49272" spans="65:67" ht="18.75" customHeight="1">
      <c r="BM49272" s="1025"/>
      <c r="BO49272" s="43"/>
    </row>
    <row r="49273" spans="65:67" ht="18.75" customHeight="1">
      <c r="BM49273" s="1025"/>
      <c r="BO49273" s="43"/>
    </row>
    <row r="49274" spans="65:67" ht="18.75" customHeight="1">
      <c r="BM49274" s="1025"/>
      <c r="BO49274" s="43"/>
    </row>
    <row r="49275" spans="65:67" ht="18.75" customHeight="1">
      <c r="BM49275" s="1025"/>
      <c r="BO49275" s="43"/>
    </row>
    <row r="49276" spans="65:67" ht="18.75" customHeight="1">
      <c r="BM49276" s="1025"/>
      <c r="BO49276" s="43"/>
    </row>
    <row r="49277" spans="65:67" ht="18.75" customHeight="1">
      <c r="BM49277" s="1025"/>
      <c r="BO49277" s="43"/>
    </row>
    <row r="49278" spans="65:67" ht="18.75" customHeight="1">
      <c r="BM49278" s="1025"/>
      <c r="BO49278" s="43"/>
    </row>
    <row r="49279" spans="65:67" ht="18.75" customHeight="1">
      <c r="BM49279" s="1025"/>
      <c r="BO49279" s="43"/>
    </row>
    <row r="49280" spans="65:67" ht="18.75" customHeight="1">
      <c r="BM49280" s="1025"/>
      <c r="BO49280" s="43"/>
    </row>
    <row r="49281" spans="65:67" ht="18.75" customHeight="1">
      <c r="BM49281" s="1025"/>
      <c r="BO49281" s="43"/>
    </row>
    <row r="49282" spans="65:67" ht="18.75" customHeight="1">
      <c r="BM49282" s="1025"/>
      <c r="BO49282" s="43"/>
    </row>
    <row r="49283" spans="65:67" ht="18.75" customHeight="1">
      <c r="BM49283" s="1025"/>
      <c r="BO49283" s="43"/>
    </row>
    <row r="49284" spans="65:67" ht="18.75" customHeight="1">
      <c r="BM49284" s="1025"/>
      <c r="BO49284" s="43"/>
    </row>
    <row r="49285" spans="65:67" ht="18.75" customHeight="1">
      <c r="BM49285" s="1025"/>
      <c r="BO49285" s="43"/>
    </row>
    <row r="49286" spans="65:67" ht="18.75" customHeight="1">
      <c r="BM49286" s="1025"/>
      <c r="BO49286" s="43"/>
    </row>
    <row r="49287" spans="65:67" ht="18.75" customHeight="1">
      <c r="BM49287" s="1025"/>
      <c r="BO49287" s="43"/>
    </row>
    <row r="49288" spans="65:67" ht="18.75" customHeight="1">
      <c r="BM49288" s="1025"/>
      <c r="BO49288" s="43"/>
    </row>
    <row r="49289" spans="65:67" ht="18.75" customHeight="1">
      <c r="BM49289" s="1025"/>
      <c r="BO49289" s="43"/>
    </row>
    <row r="49290" spans="65:67" ht="18.75" customHeight="1">
      <c r="BM49290" s="1025"/>
      <c r="BO49290" s="43"/>
    </row>
    <row r="49291" spans="65:67" ht="18.75" customHeight="1">
      <c r="BM49291" s="1025"/>
      <c r="BO49291" s="43"/>
    </row>
    <row r="49292" spans="65:67" ht="18.75" customHeight="1">
      <c r="BM49292" s="1025"/>
      <c r="BO49292" s="43"/>
    </row>
    <row r="49293" spans="65:67" ht="18.75" customHeight="1">
      <c r="BM49293" s="1025"/>
      <c r="BO49293" s="43"/>
    </row>
    <row r="49294" spans="65:67" ht="18.75" customHeight="1">
      <c r="BM49294" s="1025"/>
      <c r="BO49294" s="43"/>
    </row>
    <row r="49295" spans="65:67" ht="18.75" customHeight="1">
      <c r="BM49295" s="1025"/>
      <c r="BO49295" s="43"/>
    </row>
    <row r="49296" spans="65:67" ht="18.75" customHeight="1">
      <c r="BM49296" s="1025"/>
      <c r="BO49296" s="43"/>
    </row>
    <row r="49297" spans="65:67" ht="18.75" customHeight="1">
      <c r="BM49297" s="1025"/>
      <c r="BO49297" s="43"/>
    </row>
    <row r="49298" spans="65:67" ht="18.75" customHeight="1">
      <c r="BM49298" s="1025"/>
      <c r="BO49298" s="43"/>
    </row>
    <row r="49299" spans="65:67" ht="18.75" customHeight="1">
      <c r="BM49299" s="1025"/>
      <c r="BO49299" s="43"/>
    </row>
    <row r="49300" spans="65:67" ht="18.75" customHeight="1">
      <c r="BM49300" s="1025"/>
      <c r="BO49300" s="43"/>
    </row>
    <row r="49301" spans="65:67" ht="18.75" customHeight="1">
      <c r="BM49301" s="1025"/>
      <c r="BO49301" s="43"/>
    </row>
    <row r="49302" spans="65:67" ht="18.75" customHeight="1">
      <c r="BM49302" s="1025"/>
      <c r="BO49302" s="43"/>
    </row>
    <row r="49303" spans="65:67" ht="18.75" customHeight="1">
      <c r="BM49303" s="1025"/>
      <c r="BO49303" s="43"/>
    </row>
    <row r="49304" spans="65:67" ht="18.75" customHeight="1">
      <c r="BM49304" s="1025"/>
      <c r="BO49304" s="43"/>
    </row>
    <row r="49305" spans="65:67" ht="18.75" customHeight="1">
      <c r="BM49305" s="1025"/>
      <c r="BO49305" s="43"/>
    </row>
    <row r="49306" spans="65:67" ht="18.75" customHeight="1">
      <c r="BM49306" s="1025"/>
      <c r="BO49306" s="43"/>
    </row>
    <row r="49307" spans="65:67" ht="18.75" customHeight="1">
      <c r="BM49307" s="1025"/>
      <c r="BO49307" s="43"/>
    </row>
    <row r="49308" spans="65:67" ht="18.75" customHeight="1">
      <c r="BM49308" s="1025"/>
      <c r="BO49308" s="43"/>
    </row>
    <row r="49309" spans="65:67" ht="18.75" customHeight="1">
      <c r="BM49309" s="1025"/>
      <c r="BO49309" s="43"/>
    </row>
    <row r="49310" spans="65:67" ht="18.75" customHeight="1">
      <c r="BM49310" s="1025"/>
      <c r="BO49310" s="43"/>
    </row>
    <row r="49311" spans="65:67" ht="18.75" customHeight="1">
      <c r="BM49311" s="1025"/>
      <c r="BO49311" s="43"/>
    </row>
    <row r="49312" spans="65:67" ht="18.75" customHeight="1">
      <c r="BM49312" s="1025"/>
      <c r="BO49312" s="43"/>
    </row>
    <row r="49313" spans="65:67" ht="18.75" customHeight="1">
      <c r="BM49313" s="1025"/>
      <c r="BO49313" s="43"/>
    </row>
    <row r="49314" spans="65:67" ht="18.75" customHeight="1">
      <c r="BM49314" s="1025"/>
      <c r="BO49314" s="43"/>
    </row>
    <row r="49315" spans="65:67" ht="18.75" customHeight="1">
      <c r="BM49315" s="1025"/>
      <c r="BO49315" s="43"/>
    </row>
    <row r="49316" spans="65:67" ht="18.75" customHeight="1">
      <c r="BM49316" s="1025"/>
      <c r="BO49316" s="43"/>
    </row>
    <row r="49317" spans="65:67" ht="18.75" customHeight="1">
      <c r="BM49317" s="1025"/>
      <c r="BO49317" s="43"/>
    </row>
    <row r="49318" spans="65:67" ht="18.75" customHeight="1">
      <c r="BM49318" s="1025"/>
      <c r="BO49318" s="43"/>
    </row>
    <row r="49319" spans="65:67" ht="18.75" customHeight="1">
      <c r="BM49319" s="1025"/>
      <c r="BO49319" s="43"/>
    </row>
    <row r="49320" spans="65:67" ht="18.75" customHeight="1">
      <c r="BM49320" s="1025"/>
      <c r="BO49320" s="43"/>
    </row>
    <row r="49321" spans="65:67" ht="18.75" customHeight="1">
      <c r="BM49321" s="1025"/>
      <c r="BO49321" s="43"/>
    </row>
    <row r="49322" spans="65:67" ht="18.75" customHeight="1">
      <c r="BM49322" s="1025"/>
      <c r="BO49322" s="43"/>
    </row>
    <row r="49323" spans="65:67" ht="18.75" customHeight="1">
      <c r="BM49323" s="1025"/>
      <c r="BO49323" s="43"/>
    </row>
    <row r="49324" spans="65:67" ht="18.75" customHeight="1">
      <c r="BM49324" s="1025"/>
      <c r="BO49324" s="43"/>
    </row>
    <row r="49325" spans="65:67" ht="18.75" customHeight="1">
      <c r="BM49325" s="1025"/>
      <c r="BO49325" s="43"/>
    </row>
    <row r="49326" spans="65:67" ht="18.75" customHeight="1">
      <c r="BM49326" s="1025"/>
      <c r="BO49326" s="43"/>
    </row>
    <row r="49327" spans="65:67" ht="18.75" customHeight="1">
      <c r="BM49327" s="1025"/>
      <c r="BO49327" s="43"/>
    </row>
    <row r="49328" spans="65:67" ht="18.75" customHeight="1">
      <c r="BM49328" s="1025"/>
      <c r="BO49328" s="43"/>
    </row>
    <row r="49329" spans="65:67" ht="18.75" customHeight="1">
      <c r="BM49329" s="1025"/>
      <c r="BO49329" s="43"/>
    </row>
    <row r="49330" spans="65:67" ht="18.75" customHeight="1">
      <c r="BM49330" s="1025"/>
      <c r="BO49330" s="43"/>
    </row>
    <row r="49331" spans="65:67" ht="18.75" customHeight="1">
      <c r="BM49331" s="1025"/>
      <c r="BO49331" s="43"/>
    </row>
    <row r="49332" spans="65:67" ht="18.75" customHeight="1">
      <c r="BM49332" s="1025"/>
      <c r="BO49332" s="43"/>
    </row>
    <row r="49333" spans="65:67" ht="18.75" customHeight="1">
      <c r="BM49333" s="1025"/>
      <c r="BO49333" s="43"/>
    </row>
    <row r="49334" spans="65:67" ht="18.75" customHeight="1">
      <c r="BM49334" s="1025"/>
      <c r="BO49334" s="43"/>
    </row>
    <row r="49335" spans="65:67" ht="18.75" customHeight="1">
      <c r="BM49335" s="1025"/>
      <c r="BO49335" s="43"/>
    </row>
    <row r="49336" spans="65:67" ht="18.75" customHeight="1">
      <c r="BM49336" s="1025"/>
      <c r="BO49336" s="43"/>
    </row>
    <row r="49337" spans="65:67" ht="18.75" customHeight="1">
      <c r="BM49337" s="1025"/>
      <c r="BO49337" s="43"/>
    </row>
    <row r="49338" spans="65:67" ht="18.75" customHeight="1">
      <c r="BM49338" s="1025"/>
      <c r="BO49338" s="43"/>
    </row>
    <row r="49339" spans="65:67" ht="18.75" customHeight="1">
      <c r="BM49339" s="1025"/>
      <c r="BO49339" s="43"/>
    </row>
    <row r="49340" spans="65:67" ht="18.75" customHeight="1">
      <c r="BM49340" s="1025"/>
      <c r="BO49340" s="43"/>
    </row>
    <row r="49341" spans="65:67" ht="18.75" customHeight="1">
      <c r="BM49341" s="1025"/>
      <c r="BO49341" s="43"/>
    </row>
    <row r="49342" spans="65:67" ht="18.75" customHeight="1">
      <c r="BM49342" s="1025"/>
      <c r="BO49342" s="43"/>
    </row>
    <row r="49343" spans="65:67" ht="18.75" customHeight="1">
      <c r="BM49343" s="1025"/>
      <c r="BO49343" s="43"/>
    </row>
    <row r="49344" spans="65:67" ht="18.75" customHeight="1">
      <c r="BM49344" s="1025"/>
      <c r="BO49344" s="43"/>
    </row>
    <row r="49345" spans="65:67" ht="18.75" customHeight="1">
      <c r="BM49345" s="1025"/>
      <c r="BO49345" s="43"/>
    </row>
    <row r="49346" spans="65:67" ht="18.75" customHeight="1">
      <c r="BM49346" s="1025"/>
      <c r="BO49346" s="43"/>
    </row>
    <row r="49347" spans="65:67" ht="18.75" customHeight="1">
      <c r="BM49347" s="1025"/>
      <c r="BO49347" s="43"/>
    </row>
    <row r="49348" spans="65:67" ht="18.75" customHeight="1">
      <c r="BM49348" s="1025"/>
      <c r="BO49348" s="43"/>
    </row>
    <row r="49349" spans="65:67" ht="18.75" customHeight="1">
      <c r="BM49349" s="1025"/>
      <c r="BO49349" s="43"/>
    </row>
    <row r="49350" spans="65:67" ht="18.75" customHeight="1">
      <c r="BM49350" s="1025"/>
      <c r="BO49350" s="43"/>
    </row>
    <row r="49351" spans="65:67" ht="18.75" customHeight="1">
      <c r="BM49351" s="1025"/>
      <c r="BO49351" s="43"/>
    </row>
    <row r="49352" spans="65:67" ht="18.75" customHeight="1">
      <c r="BM49352" s="1025"/>
      <c r="BO49352" s="43"/>
    </row>
    <row r="49353" spans="65:67" ht="18.75" customHeight="1">
      <c r="BM49353" s="1025"/>
      <c r="BO49353" s="43"/>
    </row>
    <row r="49354" spans="65:67" ht="18.75" customHeight="1">
      <c r="BM49354" s="1025"/>
      <c r="BO49354" s="43"/>
    </row>
    <row r="49355" spans="65:67" ht="18.75" customHeight="1">
      <c r="BM49355" s="1025"/>
      <c r="BO49355" s="43"/>
    </row>
    <row r="49356" spans="65:67" ht="18.75" customHeight="1">
      <c r="BM49356" s="1025"/>
      <c r="BO49356" s="43"/>
    </row>
    <row r="49357" spans="65:67" ht="18.75" customHeight="1">
      <c r="BM49357" s="1025"/>
      <c r="BO49357" s="43"/>
    </row>
    <row r="49358" spans="65:67" ht="18.75" customHeight="1">
      <c r="BM49358" s="1025"/>
      <c r="BO49358" s="43"/>
    </row>
    <row r="49359" spans="65:67" ht="18.75" customHeight="1">
      <c r="BM49359" s="1025"/>
      <c r="BO49359" s="43"/>
    </row>
    <row r="49360" spans="65:67" ht="18.75" customHeight="1">
      <c r="BM49360" s="1025"/>
      <c r="BO49360" s="43"/>
    </row>
    <row r="49361" spans="65:67" ht="18.75" customHeight="1">
      <c r="BM49361" s="1025"/>
      <c r="BO49361" s="43"/>
    </row>
    <row r="49362" spans="65:67" ht="18.75" customHeight="1">
      <c r="BM49362" s="1025"/>
      <c r="BO49362" s="43"/>
    </row>
    <row r="49363" spans="65:67" ht="18.75" customHeight="1">
      <c r="BM49363" s="1025"/>
      <c r="BO49363" s="43"/>
    </row>
    <row r="49364" spans="65:67" ht="18.75" customHeight="1">
      <c r="BM49364" s="1025"/>
      <c r="BO49364" s="43"/>
    </row>
    <row r="49365" spans="65:67" ht="18.75" customHeight="1">
      <c r="BM49365" s="1025"/>
      <c r="BO49365" s="43"/>
    </row>
    <row r="49366" spans="65:67" ht="18.75" customHeight="1">
      <c r="BM49366" s="1025"/>
      <c r="BO49366" s="43"/>
    </row>
    <row r="49367" spans="65:67" ht="18.75" customHeight="1">
      <c r="BM49367" s="1025"/>
      <c r="BO49367" s="43"/>
    </row>
    <row r="49368" spans="65:67" ht="18.75" customHeight="1">
      <c r="BM49368" s="1025"/>
      <c r="BO49368" s="43"/>
    </row>
    <row r="49369" spans="65:67" ht="18.75" customHeight="1">
      <c r="BM49369" s="1025"/>
      <c r="BO49369" s="43"/>
    </row>
    <row r="49370" spans="65:67" ht="18.75" customHeight="1">
      <c r="BM49370" s="1025"/>
      <c r="BO49370" s="43"/>
    </row>
    <row r="49371" spans="65:67" ht="18.75" customHeight="1">
      <c r="BM49371" s="1025"/>
      <c r="BO49371" s="43"/>
    </row>
    <row r="49372" spans="65:67" ht="18.75" customHeight="1">
      <c r="BM49372" s="1025"/>
      <c r="BO49372" s="43"/>
    </row>
    <row r="49373" spans="65:67" ht="18.75" customHeight="1">
      <c r="BM49373" s="1025"/>
      <c r="BO49373" s="43"/>
    </row>
    <row r="49374" spans="65:67" ht="18.75" customHeight="1">
      <c r="BM49374" s="1025"/>
      <c r="BO49374" s="43"/>
    </row>
    <row r="49375" spans="65:67" ht="18.75" customHeight="1">
      <c r="BM49375" s="1025"/>
      <c r="BO49375" s="43"/>
    </row>
    <row r="49376" spans="65:67" ht="18.75" customHeight="1">
      <c r="BM49376" s="1025"/>
      <c r="BO49376" s="43"/>
    </row>
    <row r="49377" spans="65:67" ht="18.75" customHeight="1">
      <c r="BM49377" s="1025"/>
      <c r="BO49377" s="43"/>
    </row>
    <row r="49378" spans="65:67" ht="18.75" customHeight="1">
      <c r="BM49378" s="1025"/>
      <c r="BO49378" s="43"/>
    </row>
    <row r="49379" spans="65:67" ht="18.75" customHeight="1">
      <c r="BM49379" s="1025"/>
      <c r="BO49379" s="43"/>
    </row>
    <row r="49380" spans="65:67" ht="18.75" customHeight="1">
      <c r="BM49380" s="1025"/>
      <c r="BO49380" s="43"/>
    </row>
    <row r="49381" spans="65:67" ht="18.75" customHeight="1">
      <c r="BM49381" s="1025"/>
      <c r="BO49381" s="43"/>
    </row>
    <row r="49382" spans="65:67" ht="18.75" customHeight="1">
      <c r="BM49382" s="1025"/>
      <c r="BO49382" s="43"/>
    </row>
    <row r="49383" spans="65:67" ht="18.75" customHeight="1">
      <c r="BM49383" s="1025"/>
      <c r="BO49383" s="43"/>
    </row>
    <row r="49384" spans="65:67" ht="18.75" customHeight="1">
      <c r="BM49384" s="1025"/>
      <c r="BO49384" s="43"/>
    </row>
    <row r="49385" spans="65:67" ht="18.75" customHeight="1">
      <c r="BM49385" s="1025"/>
      <c r="BO49385" s="43"/>
    </row>
    <row r="49386" spans="65:67" ht="18.75" customHeight="1">
      <c r="BM49386" s="1025"/>
      <c r="BO49386" s="43"/>
    </row>
    <row r="49387" spans="65:67" ht="18.75" customHeight="1">
      <c r="BM49387" s="1025"/>
      <c r="BO49387" s="43"/>
    </row>
    <row r="49388" spans="65:67" ht="18.75" customHeight="1">
      <c r="BM49388" s="1025"/>
      <c r="BO49388" s="43"/>
    </row>
    <row r="49389" spans="65:67" ht="18.75" customHeight="1">
      <c r="BM49389" s="1025"/>
      <c r="BO49389" s="43"/>
    </row>
    <row r="49390" spans="65:67" ht="18.75" customHeight="1">
      <c r="BM49390" s="1025"/>
      <c r="BO49390" s="43"/>
    </row>
    <row r="49391" spans="65:67" ht="18.75" customHeight="1">
      <c r="BM49391" s="1025"/>
      <c r="BO49391" s="43"/>
    </row>
    <row r="49392" spans="65:67" ht="18.75" customHeight="1">
      <c r="BM49392" s="1025"/>
      <c r="BO49392" s="43"/>
    </row>
    <row r="49393" spans="65:67" ht="18.75" customHeight="1">
      <c r="BM49393" s="1025"/>
      <c r="BO49393" s="43"/>
    </row>
    <row r="49394" spans="65:67" ht="18.75" customHeight="1">
      <c r="BM49394" s="1025"/>
      <c r="BO49394" s="43"/>
    </row>
    <row r="49395" spans="65:67" ht="18.75" customHeight="1">
      <c r="BM49395" s="1025"/>
      <c r="BO49395" s="43"/>
    </row>
    <row r="49396" spans="65:67" ht="18.75" customHeight="1">
      <c r="BM49396" s="1025"/>
      <c r="BO49396" s="43"/>
    </row>
    <row r="49397" spans="65:67" ht="18.75" customHeight="1">
      <c r="BM49397" s="1025"/>
      <c r="BO49397" s="43"/>
    </row>
    <row r="49398" spans="65:67" ht="18.75" customHeight="1">
      <c r="BM49398" s="1025"/>
      <c r="BO49398" s="43"/>
    </row>
    <row r="49399" spans="65:67" ht="18.75" customHeight="1">
      <c r="BM49399" s="1025"/>
      <c r="BO49399" s="43"/>
    </row>
    <row r="49400" spans="65:67" ht="18.75" customHeight="1">
      <c r="BM49400" s="1025"/>
      <c r="BO49400" s="43"/>
    </row>
    <row r="49401" spans="65:67" ht="18.75" customHeight="1">
      <c r="BM49401" s="1025"/>
      <c r="BO49401" s="43"/>
    </row>
    <row r="49402" spans="65:67" ht="18.75" customHeight="1">
      <c r="BM49402" s="1025"/>
      <c r="BO49402" s="43"/>
    </row>
    <row r="49403" spans="65:67" ht="18.75" customHeight="1">
      <c r="BM49403" s="1025"/>
      <c r="BO49403" s="43"/>
    </row>
    <row r="49404" spans="65:67" ht="18.75" customHeight="1">
      <c r="BM49404" s="1025"/>
      <c r="BO49404" s="43"/>
    </row>
    <row r="49405" spans="65:67" ht="18.75" customHeight="1">
      <c r="BM49405" s="1025"/>
      <c r="BO49405" s="43"/>
    </row>
    <row r="49406" spans="65:67" ht="18.75" customHeight="1">
      <c r="BM49406" s="1025"/>
      <c r="BO49406" s="43"/>
    </row>
    <row r="49407" spans="65:67" ht="18.75" customHeight="1">
      <c r="BM49407" s="1025"/>
      <c r="BO49407" s="43"/>
    </row>
    <row r="49408" spans="65:67" ht="18.75" customHeight="1">
      <c r="BM49408" s="1025"/>
      <c r="BO49408" s="43"/>
    </row>
    <row r="49409" spans="65:67" ht="18.75" customHeight="1">
      <c r="BM49409" s="1025"/>
      <c r="BO49409" s="43"/>
    </row>
    <row r="49410" spans="65:67" ht="18.75" customHeight="1">
      <c r="BM49410" s="1025"/>
      <c r="BO49410" s="43"/>
    </row>
    <row r="49411" spans="65:67" ht="18.75" customHeight="1">
      <c r="BM49411" s="1025"/>
      <c r="BO49411" s="43"/>
    </row>
    <row r="49412" spans="65:67" ht="18.75" customHeight="1">
      <c r="BM49412" s="1025"/>
      <c r="BO49412" s="43"/>
    </row>
    <row r="49413" spans="65:67" ht="18.75" customHeight="1">
      <c r="BM49413" s="1025"/>
      <c r="BO49413" s="43"/>
    </row>
    <row r="49414" spans="65:67" ht="18.75" customHeight="1">
      <c r="BM49414" s="1025"/>
      <c r="BO49414" s="43"/>
    </row>
    <row r="49415" spans="65:67" ht="18.75" customHeight="1">
      <c r="BM49415" s="1025"/>
      <c r="BO49415" s="43"/>
    </row>
    <row r="49416" spans="65:67" ht="18.75" customHeight="1">
      <c r="BM49416" s="1025"/>
      <c r="BO49416" s="43"/>
    </row>
    <row r="49417" spans="65:67" ht="18.75" customHeight="1">
      <c r="BM49417" s="1025"/>
      <c r="BO49417" s="43"/>
    </row>
    <row r="49418" spans="65:67" ht="18.75" customHeight="1">
      <c r="BM49418" s="1025"/>
      <c r="BO49418" s="43"/>
    </row>
    <row r="49419" spans="65:67" ht="18.75" customHeight="1">
      <c r="BM49419" s="1025"/>
      <c r="BO49419" s="43"/>
    </row>
    <row r="49420" spans="65:67" ht="18.75" customHeight="1">
      <c r="BM49420" s="1025"/>
      <c r="BO49420" s="43"/>
    </row>
    <row r="49421" spans="65:67" ht="18.75" customHeight="1">
      <c r="BM49421" s="1025"/>
      <c r="BO49421" s="43"/>
    </row>
    <row r="49422" spans="65:67" ht="18.75" customHeight="1">
      <c r="BM49422" s="1025"/>
      <c r="BO49422" s="43"/>
    </row>
    <row r="49423" spans="65:67" ht="18.75" customHeight="1">
      <c r="BM49423" s="1025"/>
      <c r="BO49423" s="43"/>
    </row>
    <row r="49424" spans="65:67" ht="18.75" customHeight="1">
      <c r="BM49424" s="1025"/>
      <c r="BO49424" s="43"/>
    </row>
    <row r="49425" spans="65:67" ht="18.75" customHeight="1">
      <c r="BM49425" s="1025"/>
      <c r="BO49425" s="43"/>
    </row>
    <row r="49426" spans="65:67" ht="18.75" customHeight="1">
      <c r="BM49426" s="1025"/>
      <c r="BO49426" s="43"/>
    </row>
    <row r="49427" spans="65:67" ht="18.75" customHeight="1">
      <c r="BM49427" s="1025"/>
      <c r="BO49427" s="43"/>
    </row>
    <row r="49428" spans="65:67" ht="18.75" customHeight="1">
      <c r="BM49428" s="1025"/>
      <c r="BO49428" s="43"/>
    </row>
    <row r="49429" spans="65:67" ht="18.75" customHeight="1">
      <c r="BM49429" s="1025"/>
      <c r="BO49429" s="43"/>
    </row>
    <row r="49430" spans="65:67" ht="18.75" customHeight="1">
      <c r="BM49430" s="1025"/>
      <c r="BO49430" s="43"/>
    </row>
    <row r="49431" spans="65:67" ht="18.75" customHeight="1">
      <c r="BM49431" s="1025"/>
      <c r="BO49431" s="43"/>
    </row>
    <row r="49432" spans="65:67" ht="18.75" customHeight="1">
      <c r="BM49432" s="1025"/>
      <c r="BO49432" s="43"/>
    </row>
    <row r="49433" spans="65:67" ht="18.75" customHeight="1">
      <c r="BM49433" s="1025"/>
      <c r="BO49433" s="43"/>
    </row>
    <row r="49434" spans="65:67" ht="18.75" customHeight="1">
      <c r="BM49434" s="1025"/>
      <c r="BO49434" s="43"/>
    </row>
    <row r="49435" spans="65:67" ht="18.75" customHeight="1">
      <c r="BM49435" s="1025"/>
      <c r="BO49435" s="43"/>
    </row>
    <row r="49436" spans="65:67" ht="18.75" customHeight="1">
      <c r="BM49436" s="1025"/>
      <c r="BO49436" s="43"/>
    </row>
    <row r="49437" spans="65:67" ht="18.75" customHeight="1">
      <c r="BM49437" s="1025"/>
      <c r="BO49437" s="43"/>
    </row>
    <row r="49438" spans="65:67" ht="18.75" customHeight="1">
      <c r="BM49438" s="1025"/>
      <c r="BO49438" s="43"/>
    </row>
    <row r="49439" spans="65:67" ht="18.75" customHeight="1">
      <c r="BM49439" s="1025"/>
      <c r="BO49439" s="43"/>
    </row>
    <row r="49440" spans="65:67" ht="18.75" customHeight="1">
      <c r="BM49440" s="1025"/>
      <c r="BO49440" s="43"/>
    </row>
    <row r="49441" spans="65:67" ht="18.75" customHeight="1">
      <c r="BM49441" s="1025"/>
      <c r="BO49441" s="43"/>
    </row>
    <row r="49442" spans="65:67" ht="18.75" customHeight="1">
      <c r="BM49442" s="1025"/>
      <c r="BO49442" s="43"/>
    </row>
    <row r="49443" spans="65:67" ht="18.75" customHeight="1">
      <c r="BM49443" s="1025"/>
      <c r="BO49443" s="43"/>
    </row>
    <row r="49444" spans="65:67" ht="18.75" customHeight="1">
      <c r="BM49444" s="1025"/>
      <c r="BO49444" s="43"/>
    </row>
    <row r="49445" spans="65:67" ht="18.75" customHeight="1">
      <c r="BM49445" s="1025"/>
      <c r="BO49445" s="43"/>
    </row>
    <row r="49446" spans="65:67" ht="18.75" customHeight="1">
      <c r="BM49446" s="1025"/>
      <c r="BO49446" s="43"/>
    </row>
    <row r="49447" spans="65:67" ht="18.75" customHeight="1">
      <c r="BM49447" s="1025"/>
      <c r="BO49447" s="43"/>
    </row>
    <row r="49448" spans="65:67" ht="18.75" customHeight="1">
      <c r="BM49448" s="1025"/>
      <c r="BO49448" s="43"/>
    </row>
    <row r="49449" spans="65:67" ht="18.75" customHeight="1">
      <c r="BM49449" s="1025"/>
      <c r="BO49449" s="43"/>
    </row>
    <row r="49450" spans="65:67" ht="18.75" customHeight="1">
      <c r="BM49450" s="1025"/>
      <c r="BO49450" s="43"/>
    </row>
    <row r="49451" spans="65:67" ht="18.75" customHeight="1">
      <c r="BM49451" s="1025"/>
      <c r="BO49451" s="43"/>
    </row>
    <row r="49452" spans="65:67" ht="18.75" customHeight="1">
      <c r="BM49452" s="1025"/>
      <c r="BO49452" s="43"/>
    </row>
    <row r="49453" spans="65:67" ht="18.75" customHeight="1">
      <c r="BM49453" s="1025"/>
      <c r="BO49453" s="43"/>
    </row>
    <row r="49454" spans="65:67" ht="18.75" customHeight="1">
      <c r="BM49454" s="1025"/>
      <c r="BO49454" s="43"/>
    </row>
    <row r="49455" spans="65:67" ht="18.75" customHeight="1">
      <c r="BM49455" s="1025"/>
      <c r="BO49455" s="43"/>
    </row>
    <row r="49456" spans="65:67" ht="18.75" customHeight="1">
      <c r="BM49456" s="1025"/>
      <c r="BO49456" s="43"/>
    </row>
    <row r="49457" spans="65:67" ht="18.75" customHeight="1">
      <c r="BM49457" s="1025"/>
      <c r="BO49457" s="43"/>
    </row>
    <row r="49458" spans="65:67" ht="18.75" customHeight="1">
      <c r="BM49458" s="1025"/>
      <c r="BO49458" s="43"/>
    </row>
    <row r="49459" spans="65:67" ht="18.75" customHeight="1">
      <c r="BM49459" s="1025"/>
      <c r="BO49459" s="43"/>
    </row>
    <row r="49460" spans="65:67" ht="18.75" customHeight="1">
      <c r="BM49460" s="1025"/>
      <c r="BO49460" s="43"/>
    </row>
    <row r="49461" spans="65:67" ht="18.75" customHeight="1">
      <c r="BM49461" s="1025"/>
      <c r="BO49461" s="43"/>
    </row>
    <row r="49462" spans="65:67" ht="18.75" customHeight="1">
      <c r="BM49462" s="1025"/>
      <c r="BO49462" s="43"/>
    </row>
    <row r="49463" spans="65:67" ht="18.75" customHeight="1">
      <c r="BM49463" s="1025"/>
      <c r="BO49463" s="43"/>
    </row>
    <row r="49464" spans="65:67" ht="18.75" customHeight="1">
      <c r="BM49464" s="1025"/>
      <c r="BO49464" s="43"/>
    </row>
    <row r="49465" spans="65:67" ht="18.75" customHeight="1">
      <c r="BM49465" s="1025"/>
      <c r="BO49465" s="43"/>
    </row>
    <row r="49466" spans="65:67" ht="18.75" customHeight="1">
      <c r="BM49466" s="1025"/>
      <c r="BO49466" s="43"/>
    </row>
    <row r="49467" spans="65:67" ht="18.75" customHeight="1">
      <c r="BM49467" s="1025"/>
      <c r="BO49467" s="43"/>
    </row>
    <row r="49468" spans="65:67" ht="18.75" customHeight="1">
      <c r="BM49468" s="1025"/>
      <c r="BO49468" s="43"/>
    </row>
    <row r="49469" spans="65:67" ht="18.75" customHeight="1">
      <c r="BM49469" s="1025"/>
      <c r="BO49469" s="43"/>
    </row>
    <row r="49470" spans="65:67" ht="18.75" customHeight="1">
      <c r="BM49470" s="1025"/>
      <c r="BO49470" s="43"/>
    </row>
    <row r="49471" spans="65:67" ht="18.75" customHeight="1">
      <c r="BM49471" s="1025"/>
      <c r="BO49471" s="43"/>
    </row>
    <row r="49472" spans="65:67" ht="18.75" customHeight="1">
      <c r="BM49472" s="1025"/>
      <c r="BO49472" s="43"/>
    </row>
    <row r="49473" spans="65:67" ht="18.75" customHeight="1">
      <c r="BM49473" s="1025"/>
      <c r="BO49473" s="43"/>
    </row>
    <row r="49474" spans="65:67" ht="18.75" customHeight="1">
      <c r="BM49474" s="1025"/>
      <c r="BO49474" s="43"/>
    </row>
    <row r="49475" spans="65:67" ht="18.75" customHeight="1">
      <c r="BM49475" s="1025"/>
      <c r="BO49475" s="43"/>
    </row>
    <row r="49476" spans="65:67" ht="18.75" customHeight="1">
      <c r="BM49476" s="1025"/>
      <c r="BO49476" s="43"/>
    </row>
    <row r="49477" spans="65:67" ht="18.75" customHeight="1">
      <c r="BM49477" s="1025"/>
      <c r="BO49477" s="43"/>
    </row>
    <row r="49478" spans="65:67" ht="18.75" customHeight="1">
      <c r="BM49478" s="1025"/>
      <c r="BO49478" s="43"/>
    </row>
    <row r="49479" spans="65:67" ht="18.75" customHeight="1">
      <c r="BM49479" s="1025"/>
      <c r="BO49479" s="43"/>
    </row>
    <row r="49480" spans="65:67" ht="18.75" customHeight="1">
      <c r="BM49480" s="1025"/>
      <c r="BO49480" s="43"/>
    </row>
    <row r="49481" spans="65:67" ht="18.75" customHeight="1">
      <c r="BM49481" s="1025"/>
      <c r="BO49481" s="43"/>
    </row>
    <row r="49482" spans="65:67" ht="18.75" customHeight="1">
      <c r="BM49482" s="1025"/>
      <c r="BO49482" s="43"/>
    </row>
    <row r="49483" spans="65:67" ht="18.75" customHeight="1">
      <c r="BM49483" s="1025"/>
      <c r="BO49483" s="43"/>
    </row>
    <row r="49484" spans="65:67" ht="18.75" customHeight="1">
      <c r="BM49484" s="1025"/>
      <c r="BO49484" s="43"/>
    </row>
    <row r="49485" spans="65:67" ht="18.75" customHeight="1">
      <c r="BM49485" s="1025"/>
      <c r="BO49485" s="43"/>
    </row>
    <row r="49486" spans="65:67" ht="18.75" customHeight="1">
      <c r="BM49486" s="1025"/>
      <c r="BO49486" s="43"/>
    </row>
    <row r="49487" spans="65:67" ht="18.75" customHeight="1">
      <c r="BM49487" s="1025"/>
      <c r="BO49487" s="43"/>
    </row>
    <row r="49488" spans="65:67" ht="18.75" customHeight="1">
      <c r="BM49488" s="1025"/>
      <c r="BO49488" s="43"/>
    </row>
    <row r="49489" spans="65:67" ht="18.75" customHeight="1">
      <c r="BM49489" s="1025"/>
      <c r="BO49489" s="43"/>
    </row>
    <row r="49490" spans="65:67" ht="18.75" customHeight="1">
      <c r="BM49490" s="1025"/>
      <c r="BO49490" s="43"/>
    </row>
    <row r="49491" spans="65:67" ht="18.75" customHeight="1">
      <c r="BM49491" s="1025"/>
      <c r="BO49491" s="43"/>
    </row>
    <row r="49492" spans="65:67" ht="18.75" customHeight="1">
      <c r="BM49492" s="1025"/>
      <c r="BO49492" s="43"/>
    </row>
    <row r="49493" spans="65:67" ht="18.75" customHeight="1">
      <c r="BM49493" s="1025"/>
      <c r="BO49493" s="43"/>
    </row>
    <row r="49494" spans="65:67" ht="18.75" customHeight="1">
      <c r="BM49494" s="1025"/>
      <c r="BO49494" s="43"/>
    </row>
    <row r="49495" spans="65:67" ht="18.75" customHeight="1">
      <c r="BM49495" s="1025"/>
      <c r="BO49495" s="43"/>
    </row>
    <row r="49496" spans="65:67" ht="18.75" customHeight="1">
      <c r="BM49496" s="1025"/>
      <c r="BO49496" s="43"/>
    </row>
    <row r="49497" spans="65:67" ht="18.75" customHeight="1">
      <c r="BM49497" s="1025"/>
      <c r="BO49497" s="43"/>
    </row>
    <row r="49498" spans="65:67" ht="18.75" customHeight="1">
      <c r="BM49498" s="1025"/>
      <c r="BO49498" s="43"/>
    </row>
    <row r="49499" spans="65:67" ht="18.75" customHeight="1">
      <c r="BM49499" s="1025"/>
      <c r="BO49499" s="43"/>
    </row>
    <row r="49500" spans="65:67" ht="18.75" customHeight="1">
      <c r="BM49500" s="1025"/>
      <c r="BO49500" s="43"/>
    </row>
    <row r="49501" spans="65:67" ht="18.75" customHeight="1">
      <c r="BM49501" s="1025"/>
      <c r="BO49501" s="43"/>
    </row>
    <row r="49502" spans="65:67" ht="18.75" customHeight="1">
      <c r="BM49502" s="1025"/>
      <c r="BO49502" s="43"/>
    </row>
    <row r="49503" spans="65:67" ht="18.75" customHeight="1">
      <c r="BM49503" s="1025"/>
      <c r="BO49503" s="43"/>
    </row>
    <row r="49504" spans="65:67" ht="18.75" customHeight="1">
      <c r="BM49504" s="1025"/>
      <c r="BO49504" s="43"/>
    </row>
    <row r="49505" spans="65:67" ht="18.75" customHeight="1">
      <c r="BM49505" s="1025"/>
      <c r="BO49505" s="43"/>
    </row>
    <row r="49506" spans="65:67" ht="18.75" customHeight="1">
      <c r="BM49506" s="1025"/>
      <c r="BO49506" s="43"/>
    </row>
    <row r="49507" spans="65:67" ht="18.75" customHeight="1">
      <c r="BM49507" s="1025"/>
      <c r="BO49507" s="43"/>
    </row>
    <row r="49508" spans="65:67" ht="18.75" customHeight="1">
      <c r="BM49508" s="1025"/>
      <c r="BO49508" s="43"/>
    </row>
    <row r="49509" spans="65:67" ht="18.75" customHeight="1">
      <c r="BM49509" s="1025"/>
      <c r="BO49509" s="43"/>
    </row>
    <row r="49510" spans="65:67" ht="18.75" customHeight="1">
      <c r="BM49510" s="1025"/>
      <c r="BO49510" s="43"/>
    </row>
    <row r="49511" spans="65:67" ht="18.75" customHeight="1">
      <c r="BM49511" s="1025"/>
      <c r="BO49511" s="43"/>
    </row>
    <row r="49512" spans="65:67" ht="18.75" customHeight="1">
      <c r="BM49512" s="1025"/>
      <c r="BO49512" s="43"/>
    </row>
    <row r="49513" spans="65:67" ht="18.75" customHeight="1">
      <c r="BM49513" s="1025"/>
      <c r="BO49513" s="43"/>
    </row>
    <row r="49514" spans="65:67" ht="18.75" customHeight="1">
      <c r="BM49514" s="1025"/>
      <c r="BO49514" s="43"/>
    </row>
    <row r="49515" spans="65:67" ht="18.75" customHeight="1">
      <c r="BM49515" s="1025"/>
      <c r="BO49515" s="43"/>
    </row>
    <row r="49516" spans="65:67" ht="18.75" customHeight="1">
      <c r="BM49516" s="1025"/>
      <c r="BO49516" s="43"/>
    </row>
    <row r="49517" spans="65:67" ht="18.75" customHeight="1">
      <c r="BM49517" s="1025"/>
      <c r="BO49517" s="43"/>
    </row>
    <row r="49518" spans="65:67" ht="18.75" customHeight="1">
      <c r="BM49518" s="1025"/>
      <c r="BO49518" s="43"/>
    </row>
    <row r="49519" spans="65:67" ht="18.75" customHeight="1">
      <c r="BM49519" s="1025"/>
      <c r="BO49519" s="43"/>
    </row>
    <row r="49520" spans="65:67" ht="18.75" customHeight="1">
      <c r="BM49520" s="1025"/>
      <c r="BO49520" s="43"/>
    </row>
    <row r="49521" spans="65:67" ht="18.75" customHeight="1">
      <c r="BM49521" s="1025"/>
      <c r="BO49521" s="43"/>
    </row>
    <row r="49522" spans="65:67" ht="18.75" customHeight="1">
      <c r="BM49522" s="1025"/>
      <c r="BO49522" s="43"/>
    </row>
    <row r="49523" spans="65:67" ht="18.75" customHeight="1">
      <c r="BM49523" s="1025"/>
      <c r="BO49523" s="43"/>
    </row>
    <row r="49524" spans="65:67" ht="18.75" customHeight="1">
      <c r="BM49524" s="1025"/>
      <c r="BO49524" s="43"/>
    </row>
    <row r="49525" spans="65:67" ht="18.75" customHeight="1">
      <c r="BM49525" s="1025"/>
      <c r="BO49525" s="43"/>
    </row>
    <row r="49526" spans="65:67" ht="18.75" customHeight="1">
      <c r="BM49526" s="1025"/>
      <c r="BO49526" s="43"/>
    </row>
    <row r="49527" spans="65:67" ht="18.75" customHeight="1">
      <c r="BM49527" s="1025"/>
      <c r="BO49527" s="43"/>
    </row>
    <row r="49528" spans="65:67" ht="18.75" customHeight="1">
      <c r="BM49528" s="1025"/>
      <c r="BO49528" s="43"/>
    </row>
    <row r="49529" spans="65:67" ht="18.75" customHeight="1">
      <c r="BM49529" s="1025"/>
      <c r="BO49529" s="43"/>
    </row>
    <row r="49530" spans="65:67" ht="18.75" customHeight="1">
      <c r="BM49530" s="1025"/>
      <c r="BO49530" s="43"/>
    </row>
    <row r="49531" spans="65:67" ht="18.75" customHeight="1">
      <c r="BM49531" s="1025"/>
      <c r="BO49531" s="43"/>
    </row>
    <row r="49532" spans="65:67" ht="18.75" customHeight="1">
      <c r="BM49532" s="1025"/>
      <c r="BO49532" s="43"/>
    </row>
    <row r="49533" spans="65:67" ht="18.75" customHeight="1">
      <c r="BM49533" s="1025"/>
      <c r="BO49533" s="43"/>
    </row>
    <row r="49534" spans="65:67" ht="18.75" customHeight="1">
      <c r="BM49534" s="1025"/>
      <c r="BO49534" s="43"/>
    </row>
    <row r="49535" spans="65:67" ht="18.75" customHeight="1">
      <c r="BM49535" s="1025"/>
      <c r="BO49535" s="43"/>
    </row>
    <row r="49536" spans="65:67" ht="18.75" customHeight="1">
      <c r="BM49536" s="1025"/>
      <c r="BO49536" s="43"/>
    </row>
    <row r="49537" spans="65:67" ht="18.75" customHeight="1">
      <c r="BM49537" s="1025"/>
      <c r="BO49537" s="43"/>
    </row>
    <row r="49538" spans="65:67" ht="18.75" customHeight="1">
      <c r="BM49538" s="1025"/>
      <c r="BO49538" s="43"/>
    </row>
    <row r="49539" spans="65:67" ht="18.75" customHeight="1">
      <c r="BM49539" s="1025"/>
      <c r="BO49539" s="43"/>
    </row>
    <row r="49540" spans="65:67" ht="18.75" customHeight="1">
      <c r="BM49540" s="1025"/>
      <c r="BO49540" s="43"/>
    </row>
    <row r="49541" spans="65:67" ht="18.75" customHeight="1">
      <c r="BM49541" s="1025"/>
      <c r="BO49541" s="43"/>
    </row>
    <row r="49542" spans="65:67" ht="18.75" customHeight="1">
      <c r="BM49542" s="1025"/>
      <c r="BO49542" s="43"/>
    </row>
    <row r="49543" spans="65:67" ht="18.75" customHeight="1">
      <c r="BM49543" s="1025"/>
      <c r="BO49543" s="43"/>
    </row>
    <row r="49544" spans="65:67" ht="18.75" customHeight="1">
      <c r="BM49544" s="1025"/>
      <c r="BO49544" s="43"/>
    </row>
    <row r="49545" spans="65:67" ht="18.75" customHeight="1">
      <c r="BM49545" s="1025"/>
      <c r="BO49545" s="43"/>
    </row>
    <row r="49546" spans="65:67" ht="18.75" customHeight="1">
      <c r="BM49546" s="1025"/>
      <c r="BO49546" s="43"/>
    </row>
    <row r="49547" spans="65:67" ht="18.75" customHeight="1">
      <c r="BM49547" s="1025"/>
      <c r="BO49547" s="43"/>
    </row>
    <row r="49548" spans="65:67" ht="18.75" customHeight="1">
      <c r="BM49548" s="1025"/>
      <c r="BO49548" s="43"/>
    </row>
    <row r="49549" spans="65:67" ht="18.75" customHeight="1">
      <c r="BM49549" s="1025"/>
      <c r="BO49549" s="43"/>
    </row>
    <row r="49550" spans="65:67" ht="18.75" customHeight="1">
      <c r="BM49550" s="1025"/>
      <c r="BO49550" s="43"/>
    </row>
    <row r="49551" spans="65:67" ht="18.75" customHeight="1">
      <c r="BM49551" s="1025"/>
      <c r="BO49551" s="43"/>
    </row>
    <row r="49552" spans="65:67" ht="18.75" customHeight="1">
      <c r="BM49552" s="1025"/>
      <c r="BO49552" s="43"/>
    </row>
    <row r="49553" spans="65:67" ht="18.75" customHeight="1">
      <c r="BM49553" s="1025"/>
      <c r="BO49553" s="43"/>
    </row>
    <row r="49554" spans="65:67" ht="18.75" customHeight="1">
      <c r="BM49554" s="1025"/>
      <c r="BO49554" s="43"/>
    </row>
    <row r="49555" spans="65:67" ht="18.75" customHeight="1">
      <c r="BM49555" s="1025"/>
      <c r="BO49555" s="43"/>
    </row>
    <row r="49556" spans="65:67" ht="18.75" customHeight="1">
      <c r="BM49556" s="1025"/>
      <c r="BO49556" s="43"/>
    </row>
    <row r="49557" spans="65:67" ht="18.75" customHeight="1">
      <c r="BM49557" s="1025"/>
      <c r="BO49557" s="43"/>
    </row>
    <row r="49558" spans="65:67" ht="18.75" customHeight="1">
      <c r="BM49558" s="1025"/>
      <c r="BO49558" s="43"/>
    </row>
    <row r="49559" spans="65:67" ht="18.75" customHeight="1">
      <c r="BM49559" s="1025"/>
      <c r="BO49559" s="43"/>
    </row>
    <row r="49560" spans="65:67" ht="18.75" customHeight="1">
      <c r="BM49560" s="1025"/>
      <c r="BO49560" s="43"/>
    </row>
    <row r="49561" spans="65:67" ht="18.75" customHeight="1">
      <c r="BM49561" s="1025"/>
      <c r="BO49561" s="43"/>
    </row>
    <row r="49562" spans="65:67" ht="18.75" customHeight="1">
      <c r="BM49562" s="1025"/>
      <c r="BO49562" s="43"/>
    </row>
    <row r="49563" spans="65:67" ht="18.75" customHeight="1">
      <c r="BM49563" s="1025"/>
      <c r="BO49563" s="43"/>
    </row>
    <row r="49564" spans="65:67" ht="18.75" customHeight="1">
      <c r="BM49564" s="1025"/>
      <c r="BO49564" s="43"/>
    </row>
    <row r="49565" spans="65:67" ht="18.75" customHeight="1">
      <c r="BM49565" s="1025"/>
      <c r="BO49565" s="43"/>
    </row>
    <row r="49566" spans="65:67" ht="18.75" customHeight="1">
      <c r="BM49566" s="1025"/>
      <c r="BO49566" s="43"/>
    </row>
    <row r="49567" spans="65:67" ht="18.75" customHeight="1">
      <c r="BM49567" s="1025"/>
      <c r="BO49567" s="43"/>
    </row>
    <row r="49568" spans="65:67" ht="18.75" customHeight="1">
      <c r="BM49568" s="1025"/>
      <c r="BO49568" s="43"/>
    </row>
    <row r="49569" spans="65:67" ht="18.75" customHeight="1">
      <c r="BM49569" s="1025"/>
      <c r="BO49569" s="43"/>
    </row>
    <row r="49570" spans="65:67" ht="18.75" customHeight="1">
      <c r="BM49570" s="1025"/>
      <c r="BO49570" s="43"/>
    </row>
    <row r="49571" spans="65:67" ht="18.75" customHeight="1">
      <c r="BM49571" s="1025"/>
      <c r="BO49571" s="43"/>
    </row>
    <row r="49572" spans="65:67" ht="18.75" customHeight="1">
      <c r="BM49572" s="1025"/>
      <c r="BO49572" s="43"/>
    </row>
    <row r="49573" spans="65:67" ht="18.75" customHeight="1">
      <c r="BM49573" s="1025"/>
      <c r="BO49573" s="43"/>
    </row>
    <row r="49574" spans="65:67" ht="18.75" customHeight="1">
      <c r="BM49574" s="1025"/>
      <c r="BO49574" s="43"/>
    </row>
    <row r="49575" spans="65:67" ht="18.75" customHeight="1">
      <c r="BM49575" s="1025"/>
      <c r="BO49575" s="43"/>
    </row>
    <row r="49576" spans="65:67" ht="18.75" customHeight="1">
      <c r="BM49576" s="1025"/>
      <c r="BO49576" s="43"/>
    </row>
    <row r="49577" spans="65:67" ht="18.75" customHeight="1">
      <c r="BM49577" s="1025"/>
      <c r="BO49577" s="43"/>
    </row>
    <row r="49578" spans="65:67" ht="18.75" customHeight="1">
      <c r="BM49578" s="1025"/>
      <c r="BO49578" s="43"/>
    </row>
    <row r="49579" spans="65:67" ht="18.75" customHeight="1">
      <c r="BM49579" s="1025"/>
      <c r="BO49579" s="43"/>
    </row>
    <row r="49580" spans="65:67" ht="18.75" customHeight="1">
      <c r="BM49580" s="1025"/>
      <c r="BO49580" s="43"/>
    </row>
    <row r="49581" spans="65:67" ht="18.75" customHeight="1">
      <c r="BM49581" s="1025"/>
      <c r="BO49581" s="43"/>
    </row>
    <row r="49582" spans="65:67" ht="18.75" customHeight="1">
      <c r="BM49582" s="1025"/>
      <c r="BO49582" s="43"/>
    </row>
    <row r="49583" spans="65:67" ht="18.75" customHeight="1">
      <c r="BM49583" s="1025"/>
      <c r="BO49583" s="43"/>
    </row>
    <row r="49584" spans="65:67" ht="18.75" customHeight="1">
      <c r="BM49584" s="1025"/>
      <c r="BO49584" s="43"/>
    </row>
    <row r="49585" spans="65:67" ht="18.75" customHeight="1">
      <c r="BM49585" s="1025"/>
      <c r="BO49585" s="43"/>
    </row>
    <row r="49586" spans="65:67" ht="18.75" customHeight="1">
      <c r="BM49586" s="1025"/>
      <c r="BO49586" s="43"/>
    </row>
    <row r="49587" spans="65:67" ht="18.75" customHeight="1">
      <c r="BM49587" s="1025"/>
      <c r="BO49587" s="43"/>
    </row>
    <row r="49588" spans="65:67" ht="18.75" customHeight="1">
      <c r="BM49588" s="1025"/>
      <c r="BO49588" s="43"/>
    </row>
    <row r="49589" spans="65:67" ht="18.75" customHeight="1">
      <c r="BM49589" s="1025"/>
      <c r="BO49589" s="43"/>
    </row>
    <row r="49590" spans="65:67" ht="18.75" customHeight="1">
      <c r="BM49590" s="1025"/>
      <c r="BO49590" s="43"/>
    </row>
    <row r="49591" spans="65:67" ht="18.75" customHeight="1">
      <c r="BM49591" s="1025"/>
      <c r="BO49591" s="43"/>
    </row>
    <row r="49592" spans="65:67" ht="18.75" customHeight="1">
      <c r="BM49592" s="1025"/>
      <c r="BO49592" s="43"/>
    </row>
    <row r="49593" spans="65:67" ht="18.75" customHeight="1">
      <c r="BM49593" s="1025"/>
      <c r="BO49593" s="43"/>
    </row>
    <row r="49594" spans="65:67" ht="18.75" customHeight="1">
      <c r="BM49594" s="1025"/>
      <c r="BO49594" s="43"/>
    </row>
    <row r="49595" spans="65:67" ht="18.75" customHeight="1">
      <c r="BM49595" s="1025"/>
      <c r="BO49595" s="43"/>
    </row>
    <row r="49596" spans="65:67" ht="18.75" customHeight="1">
      <c r="BM49596" s="1025"/>
      <c r="BO49596" s="43"/>
    </row>
    <row r="49597" spans="65:67" ht="18.75" customHeight="1">
      <c r="BM49597" s="1025"/>
      <c r="BO49597" s="43"/>
    </row>
    <row r="49598" spans="65:67" ht="18.75" customHeight="1">
      <c r="BM49598" s="1025"/>
      <c r="BO49598" s="43"/>
    </row>
    <row r="49599" spans="65:67" ht="18.75" customHeight="1">
      <c r="BM49599" s="1025"/>
      <c r="BO49599" s="43"/>
    </row>
    <row r="49600" spans="65:67" ht="18.75" customHeight="1">
      <c r="BM49600" s="1025"/>
      <c r="BO49600" s="43"/>
    </row>
    <row r="49601" spans="65:67" ht="18.75" customHeight="1">
      <c r="BM49601" s="1025"/>
      <c r="BO49601" s="43"/>
    </row>
    <row r="49602" spans="65:67" ht="18.75" customHeight="1">
      <c r="BM49602" s="1025"/>
      <c r="BO49602" s="43"/>
    </row>
    <row r="49603" spans="65:67" ht="18.75" customHeight="1">
      <c r="BM49603" s="1025"/>
      <c r="BO49603" s="43"/>
    </row>
    <row r="49604" spans="65:67" ht="18.75" customHeight="1">
      <c r="BM49604" s="1025"/>
      <c r="BO49604" s="43"/>
    </row>
    <row r="49605" spans="65:67" ht="18.75" customHeight="1">
      <c r="BM49605" s="1025"/>
      <c r="BO49605" s="43"/>
    </row>
    <row r="49606" spans="65:67" ht="18.75" customHeight="1">
      <c r="BM49606" s="1025"/>
      <c r="BO49606" s="43"/>
    </row>
    <row r="49607" spans="65:67" ht="18.75" customHeight="1">
      <c r="BM49607" s="1025"/>
      <c r="BO49607" s="43"/>
    </row>
    <row r="49608" spans="65:67" ht="18.75" customHeight="1">
      <c r="BM49608" s="1025"/>
      <c r="BO49608" s="43"/>
    </row>
    <row r="49609" spans="65:67" ht="18.75" customHeight="1">
      <c r="BM49609" s="1025"/>
      <c r="BO49609" s="43"/>
    </row>
    <row r="49610" spans="65:67" ht="18.75" customHeight="1">
      <c r="BM49610" s="1025"/>
      <c r="BO49610" s="43"/>
    </row>
    <row r="49611" spans="65:67" ht="18.75" customHeight="1">
      <c r="BM49611" s="1025"/>
      <c r="BO49611" s="43"/>
    </row>
    <row r="49612" spans="65:67" ht="18.75" customHeight="1">
      <c r="BM49612" s="1025"/>
      <c r="BO49612" s="43"/>
    </row>
    <row r="49613" spans="65:67" ht="18.75" customHeight="1">
      <c r="BM49613" s="1025"/>
      <c r="BO49613" s="43"/>
    </row>
    <row r="49614" spans="65:67" ht="18.75" customHeight="1">
      <c r="BM49614" s="1025"/>
      <c r="BO49614" s="43"/>
    </row>
    <row r="49615" spans="65:67" ht="18.75" customHeight="1">
      <c r="BM49615" s="1025"/>
      <c r="BO49615" s="43"/>
    </row>
    <row r="49616" spans="65:67" ht="18.75" customHeight="1">
      <c r="BM49616" s="1025"/>
      <c r="BO49616" s="43"/>
    </row>
    <row r="49617" spans="65:67" ht="18.75" customHeight="1">
      <c r="BM49617" s="1025"/>
      <c r="BO49617" s="43"/>
    </row>
    <row r="49618" spans="65:67" ht="18.75" customHeight="1">
      <c r="BM49618" s="1025"/>
      <c r="BO49618" s="43"/>
    </row>
    <row r="49619" spans="65:67" ht="18.75" customHeight="1">
      <c r="BM49619" s="1025"/>
      <c r="BO49619" s="43"/>
    </row>
    <row r="49620" spans="65:67" ht="18.75" customHeight="1">
      <c r="BM49620" s="1025"/>
      <c r="BO49620" s="43"/>
    </row>
    <row r="49621" spans="65:67" ht="18.75" customHeight="1">
      <c r="BM49621" s="1025"/>
      <c r="BO49621" s="43"/>
    </row>
    <row r="49622" spans="65:67" ht="18.75" customHeight="1">
      <c r="BM49622" s="1025"/>
      <c r="BO49622" s="43"/>
    </row>
    <row r="49623" spans="65:67" ht="18.75" customHeight="1">
      <c r="BM49623" s="1025"/>
      <c r="BO49623" s="43"/>
    </row>
    <row r="49624" spans="65:67" ht="18.75" customHeight="1">
      <c r="BM49624" s="1025"/>
      <c r="BO49624" s="43"/>
    </row>
    <row r="49625" spans="65:67" ht="18.75" customHeight="1">
      <c r="BM49625" s="1025"/>
      <c r="BO49625" s="43"/>
    </row>
    <row r="49626" spans="65:67" ht="18.75" customHeight="1">
      <c r="BM49626" s="1025"/>
      <c r="BO49626" s="43"/>
    </row>
    <row r="49627" spans="65:67" ht="18.75" customHeight="1">
      <c r="BM49627" s="1025"/>
      <c r="BO49627" s="43"/>
    </row>
    <row r="49628" spans="65:67" ht="18.75" customHeight="1">
      <c r="BM49628" s="1025"/>
      <c r="BO49628" s="43"/>
    </row>
    <row r="49629" spans="65:67" ht="18.75" customHeight="1">
      <c r="BM49629" s="1025"/>
      <c r="BO49629" s="43"/>
    </row>
    <row r="49630" spans="65:67" ht="18.75" customHeight="1">
      <c r="BM49630" s="1025"/>
      <c r="BO49630" s="43"/>
    </row>
    <row r="49631" spans="65:67" ht="18.75" customHeight="1">
      <c r="BM49631" s="1025"/>
      <c r="BO49631" s="43"/>
    </row>
    <row r="49632" spans="65:67" ht="18.75" customHeight="1">
      <c r="BM49632" s="1025"/>
      <c r="BO49632" s="43"/>
    </row>
    <row r="49633" spans="65:67" ht="18.75" customHeight="1">
      <c r="BM49633" s="1025"/>
      <c r="BO49633" s="43"/>
    </row>
    <row r="49634" spans="65:67" ht="18.75" customHeight="1">
      <c r="BM49634" s="1025"/>
      <c r="BO49634" s="43"/>
    </row>
    <row r="49635" spans="65:67" ht="18.75" customHeight="1">
      <c r="BM49635" s="1025"/>
      <c r="BO49635" s="43"/>
    </row>
    <row r="49636" spans="65:67" ht="18.75" customHeight="1">
      <c r="BM49636" s="1025"/>
      <c r="BO49636" s="43"/>
    </row>
    <row r="49637" spans="65:67" ht="18.75" customHeight="1">
      <c r="BM49637" s="1025"/>
      <c r="BO49637" s="43"/>
    </row>
    <row r="49638" spans="65:67" ht="18.75" customHeight="1">
      <c r="BM49638" s="1025"/>
      <c r="BO49638" s="43"/>
    </row>
    <row r="49639" spans="65:67" ht="18.75" customHeight="1">
      <c r="BM49639" s="1025"/>
      <c r="BO49639" s="43"/>
    </row>
    <row r="49640" spans="65:67" ht="18.75" customHeight="1">
      <c r="BM49640" s="1025"/>
      <c r="BO49640" s="43"/>
    </row>
    <row r="49641" spans="65:67" ht="18.75" customHeight="1">
      <c r="BM49641" s="1025"/>
      <c r="BO49641" s="43"/>
    </row>
    <row r="49642" spans="65:67" ht="18.75" customHeight="1">
      <c r="BM49642" s="1025"/>
      <c r="BO49642" s="43"/>
    </row>
    <row r="49643" spans="65:67" ht="18.75" customHeight="1">
      <c r="BM49643" s="1025"/>
      <c r="BO49643" s="43"/>
    </row>
    <row r="49644" spans="65:67" ht="18.75" customHeight="1">
      <c r="BM49644" s="1025"/>
      <c r="BO49644" s="43"/>
    </row>
    <row r="49645" spans="65:67" ht="18.75" customHeight="1">
      <c r="BM49645" s="1025"/>
      <c r="BO49645" s="43"/>
    </row>
    <row r="49646" spans="65:67" ht="18.75" customHeight="1">
      <c r="BM49646" s="1025"/>
      <c r="BO49646" s="43"/>
    </row>
    <row r="49647" spans="65:67" ht="18.75" customHeight="1">
      <c r="BM49647" s="1025"/>
      <c r="BO49647" s="43"/>
    </row>
    <row r="49648" spans="65:67" ht="18.75" customHeight="1">
      <c r="BM49648" s="1025"/>
      <c r="BO49648" s="43"/>
    </row>
    <row r="49649" spans="65:67" ht="18.75" customHeight="1">
      <c r="BM49649" s="1025"/>
      <c r="BO49649" s="43"/>
    </row>
    <row r="49650" spans="65:67" ht="18.75" customHeight="1">
      <c r="BM49650" s="1025"/>
      <c r="BO49650" s="43"/>
    </row>
    <row r="49651" spans="65:67" ht="18.75" customHeight="1">
      <c r="BM49651" s="1025"/>
      <c r="BO49651" s="43"/>
    </row>
    <row r="49652" spans="65:67" ht="18.75" customHeight="1">
      <c r="BM49652" s="1025"/>
      <c r="BO49652" s="43"/>
    </row>
    <row r="49653" spans="65:67" ht="18.75" customHeight="1">
      <c r="BM49653" s="1025"/>
      <c r="BO49653" s="43"/>
    </row>
    <row r="49654" spans="65:67" ht="18.75" customHeight="1">
      <c r="BM49654" s="1025"/>
      <c r="BO49654" s="43"/>
    </row>
    <row r="49655" spans="65:67" ht="18.75" customHeight="1">
      <c r="BM49655" s="1025"/>
      <c r="BO49655" s="43"/>
    </row>
    <row r="49656" spans="65:67" ht="18.75" customHeight="1">
      <c r="BM49656" s="1025"/>
      <c r="BO49656" s="43"/>
    </row>
    <row r="49657" spans="65:67" ht="18.75" customHeight="1">
      <c r="BM49657" s="1025"/>
      <c r="BO49657" s="43"/>
    </row>
    <row r="49658" spans="65:67" ht="18.75" customHeight="1">
      <c r="BM49658" s="1025"/>
      <c r="BO49658" s="43"/>
    </row>
    <row r="49659" spans="65:67" ht="18.75" customHeight="1">
      <c r="BM49659" s="1025"/>
      <c r="BO49659" s="43"/>
    </row>
    <row r="49660" spans="65:67" ht="18.75" customHeight="1">
      <c r="BM49660" s="1025"/>
      <c r="BO49660" s="43"/>
    </row>
    <row r="49661" spans="65:67" ht="18.75" customHeight="1">
      <c r="BM49661" s="1025"/>
      <c r="BO49661" s="43"/>
    </row>
    <row r="49662" spans="65:67" ht="18.75" customHeight="1">
      <c r="BM49662" s="1025"/>
      <c r="BO49662" s="43"/>
    </row>
    <row r="49663" spans="65:67" ht="18.75" customHeight="1">
      <c r="BM49663" s="1025"/>
      <c r="BO49663" s="43"/>
    </row>
    <row r="49664" spans="65:67" ht="18.75" customHeight="1">
      <c r="BM49664" s="1025"/>
      <c r="BO49664" s="43"/>
    </row>
    <row r="49665" spans="65:67" ht="18.75" customHeight="1">
      <c r="BM49665" s="1025"/>
      <c r="BO49665" s="43"/>
    </row>
    <row r="49666" spans="65:67" ht="18.75" customHeight="1">
      <c r="BM49666" s="1025"/>
      <c r="BO49666" s="43"/>
    </row>
    <row r="49667" spans="65:67" ht="18.75" customHeight="1">
      <c r="BM49667" s="1025"/>
      <c r="BO49667" s="43"/>
    </row>
    <row r="49668" spans="65:67" ht="18.75" customHeight="1">
      <c r="BM49668" s="1025"/>
      <c r="BO49668" s="43"/>
    </row>
    <row r="49669" spans="65:67" ht="18.75" customHeight="1">
      <c r="BM49669" s="1025"/>
      <c r="BO49669" s="43"/>
    </row>
    <row r="49670" spans="65:67" ht="18.75" customHeight="1">
      <c r="BM49670" s="1025"/>
      <c r="BO49670" s="43"/>
    </row>
    <row r="49671" spans="65:67" ht="18.75" customHeight="1">
      <c r="BM49671" s="1025"/>
      <c r="BO49671" s="43"/>
    </row>
    <row r="49672" spans="65:67" ht="18.75" customHeight="1">
      <c r="BM49672" s="1025"/>
      <c r="BO49672" s="43"/>
    </row>
    <row r="49673" spans="65:67" ht="18.75" customHeight="1">
      <c r="BM49673" s="1025"/>
      <c r="BO49673" s="43"/>
    </row>
    <row r="49674" spans="65:67" ht="18.75" customHeight="1">
      <c r="BM49674" s="1025"/>
      <c r="BO49674" s="43"/>
    </row>
    <row r="49675" spans="65:67" ht="18.75" customHeight="1">
      <c r="BM49675" s="1025"/>
      <c r="BO49675" s="43"/>
    </row>
    <row r="49676" spans="65:67" ht="18.75" customHeight="1">
      <c r="BM49676" s="1025"/>
      <c r="BO49676" s="43"/>
    </row>
    <row r="49677" spans="65:67" ht="18.75" customHeight="1">
      <c r="BM49677" s="1025"/>
      <c r="BO49677" s="43"/>
    </row>
    <row r="49678" spans="65:67" ht="18.75" customHeight="1">
      <c r="BM49678" s="1025"/>
      <c r="BO49678" s="43"/>
    </row>
    <row r="49679" spans="65:67" ht="18.75" customHeight="1">
      <c r="BM49679" s="1025"/>
      <c r="BO49679" s="43"/>
    </row>
    <row r="49680" spans="65:67" ht="18.75" customHeight="1">
      <c r="BM49680" s="1025"/>
      <c r="BO49680" s="43"/>
    </row>
    <row r="49681" spans="65:67" ht="18.75" customHeight="1">
      <c r="BM49681" s="1025"/>
      <c r="BO49681" s="43"/>
    </row>
    <row r="49682" spans="65:67" ht="18.75" customHeight="1">
      <c r="BM49682" s="1025"/>
      <c r="BO49682" s="43"/>
    </row>
    <row r="49683" spans="65:67" ht="18.75" customHeight="1">
      <c r="BM49683" s="1025"/>
      <c r="BO49683" s="43"/>
    </row>
    <row r="49684" spans="65:67" ht="18.75" customHeight="1">
      <c r="BM49684" s="1025"/>
      <c r="BO49684" s="43"/>
    </row>
    <row r="49685" spans="65:67" ht="18.75" customHeight="1">
      <c r="BM49685" s="1025"/>
      <c r="BO49685" s="43"/>
    </row>
    <row r="49686" spans="65:67" ht="18.75" customHeight="1">
      <c r="BM49686" s="1025"/>
      <c r="BO49686" s="43"/>
    </row>
    <row r="49687" spans="65:67" ht="18.75" customHeight="1">
      <c r="BM49687" s="1025"/>
      <c r="BO49687" s="43"/>
    </row>
    <row r="49688" spans="65:67" ht="18.75" customHeight="1">
      <c r="BM49688" s="1025"/>
      <c r="BO49688" s="43"/>
    </row>
    <row r="49689" spans="65:67" ht="18.75" customHeight="1">
      <c r="BM49689" s="1025"/>
      <c r="BO49689" s="43"/>
    </row>
    <row r="49690" spans="65:67" ht="18.75" customHeight="1">
      <c r="BM49690" s="1025"/>
      <c r="BO49690" s="43"/>
    </row>
    <row r="49691" spans="65:67" ht="18.75" customHeight="1">
      <c r="BM49691" s="1025"/>
      <c r="BO49691" s="43"/>
    </row>
    <row r="49692" spans="65:67" ht="18.75" customHeight="1">
      <c r="BM49692" s="1025"/>
      <c r="BO49692" s="43"/>
    </row>
    <row r="49693" spans="65:67" ht="18.75" customHeight="1">
      <c r="BM49693" s="1025"/>
      <c r="BO49693" s="43"/>
    </row>
    <row r="49694" spans="65:67" ht="18.75" customHeight="1">
      <c r="BM49694" s="1025"/>
      <c r="BO49694" s="43"/>
    </row>
    <row r="49695" spans="65:67" ht="18.75" customHeight="1">
      <c r="BM49695" s="1025"/>
      <c r="BO49695" s="43"/>
    </row>
    <row r="49696" spans="65:67" ht="18.75" customHeight="1">
      <c r="BM49696" s="1025"/>
      <c r="BO49696" s="43"/>
    </row>
    <row r="49697" spans="65:67" ht="18.75" customHeight="1">
      <c r="BM49697" s="1025"/>
      <c r="BO49697" s="43"/>
    </row>
    <row r="49698" spans="65:67" ht="18.75" customHeight="1">
      <c r="BM49698" s="1025"/>
      <c r="BO49698" s="43"/>
    </row>
    <row r="49699" spans="65:67" ht="18.75" customHeight="1">
      <c r="BM49699" s="1025"/>
      <c r="BO49699" s="43"/>
    </row>
    <row r="49700" spans="65:67" ht="18.75" customHeight="1">
      <c r="BM49700" s="1025"/>
      <c r="BO49700" s="43"/>
    </row>
    <row r="49701" spans="65:67" ht="18.75" customHeight="1">
      <c r="BM49701" s="1025"/>
      <c r="BO49701" s="43"/>
    </row>
    <row r="49702" spans="65:67" ht="18.75" customHeight="1">
      <c r="BM49702" s="1025"/>
      <c r="BO49702" s="43"/>
    </row>
    <row r="49703" spans="65:67" ht="18.75" customHeight="1">
      <c r="BM49703" s="1025"/>
      <c r="BO49703" s="43"/>
    </row>
    <row r="49704" spans="65:67" ht="18.75" customHeight="1">
      <c r="BM49704" s="1025"/>
      <c r="BO49704" s="43"/>
    </row>
    <row r="49705" spans="65:67" ht="18.75" customHeight="1">
      <c r="BM49705" s="1025"/>
      <c r="BO49705" s="43"/>
    </row>
    <row r="49706" spans="65:67" ht="18.75" customHeight="1">
      <c r="BM49706" s="1025"/>
      <c r="BO49706" s="43"/>
    </row>
    <row r="49707" spans="65:67" ht="18.75" customHeight="1">
      <c r="BM49707" s="1025"/>
      <c r="BO49707" s="43"/>
    </row>
    <row r="49708" spans="65:67" ht="18.75" customHeight="1">
      <c r="BM49708" s="1025"/>
      <c r="BO49708" s="43"/>
    </row>
    <row r="49709" spans="65:67" ht="18.75" customHeight="1">
      <c r="BM49709" s="1025"/>
      <c r="BO49709" s="43"/>
    </row>
    <row r="49710" spans="65:67" ht="18.75" customHeight="1">
      <c r="BM49710" s="1025"/>
      <c r="BO49710" s="43"/>
    </row>
    <row r="49711" spans="65:67" ht="18.75" customHeight="1">
      <c r="BM49711" s="1025"/>
      <c r="BO49711" s="43"/>
    </row>
    <row r="49712" spans="65:67" ht="18.75" customHeight="1">
      <c r="BM49712" s="1025"/>
      <c r="BO49712" s="43"/>
    </row>
    <row r="49713" spans="65:67" ht="18.75" customHeight="1">
      <c r="BM49713" s="1025"/>
      <c r="BO49713" s="43"/>
    </row>
    <row r="49714" spans="65:67" ht="18.75" customHeight="1">
      <c r="BM49714" s="1025"/>
      <c r="BO49714" s="43"/>
    </row>
    <row r="49715" spans="65:67" ht="18.75" customHeight="1">
      <c r="BM49715" s="1025"/>
      <c r="BO49715" s="43"/>
    </row>
    <row r="49716" spans="65:67" ht="18.75" customHeight="1">
      <c r="BM49716" s="1025"/>
      <c r="BO49716" s="43"/>
    </row>
    <row r="49717" spans="65:67" ht="18.75" customHeight="1">
      <c r="BM49717" s="1025"/>
      <c r="BO49717" s="43"/>
    </row>
    <row r="49718" spans="65:67" ht="18.75" customHeight="1">
      <c r="BM49718" s="1025"/>
      <c r="BO49718" s="43"/>
    </row>
    <row r="49719" spans="65:67" ht="18.75" customHeight="1">
      <c r="BM49719" s="1025"/>
      <c r="BO49719" s="43"/>
    </row>
    <row r="49720" spans="65:67" ht="18.75" customHeight="1">
      <c r="BM49720" s="1025"/>
      <c r="BO49720" s="43"/>
    </row>
    <row r="49721" spans="65:67" ht="18.75" customHeight="1">
      <c r="BM49721" s="1025"/>
      <c r="BO49721" s="43"/>
    </row>
    <row r="49722" spans="65:67" ht="18.75" customHeight="1">
      <c r="BM49722" s="1025"/>
      <c r="BO49722" s="43"/>
    </row>
    <row r="49723" spans="65:67" ht="18.75" customHeight="1">
      <c r="BM49723" s="1025"/>
      <c r="BO49723" s="43"/>
    </row>
    <row r="49724" spans="65:67" ht="18.75" customHeight="1">
      <c r="BM49724" s="1025"/>
      <c r="BO49724" s="43"/>
    </row>
    <row r="49725" spans="65:67" ht="18.75" customHeight="1">
      <c r="BM49725" s="1025"/>
      <c r="BO49725" s="43"/>
    </row>
    <row r="49726" spans="65:67" ht="18.75" customHeight="1">
      <c r="BM49726" s="1025"/>
      <c r="BO49726" s="43"/>
    </row>
    <row r="49727" spans="65:67" ht="18.75" customHeight="1">
      <c r="BM49727" s="1025"/>
      <c r="BO49727" s="43"/>
    </row>
    <row r="49728" spans="65:67" ht="18.75" customHeight="1">
      <c r="BM49728" s="1025"/>
      <c r="BO49728" s="43"/>
    </row>
    <row r="49729" spans="65:67" ht="18.75" customHeight="1">
      <c r="BM49729" s="1025"/>
      <c r="BO49729" s="43"/>
    </row>
    <row r="49730" spans="65:67" ht="18.75" customHeight="1">
      <c r="BM49730" s="1025"/>
      <c r="BO49730" s="43"/>
    </row>
    <row r="49731" spans="65:67" ht="18.75" customHeight="1">
      <c r="BM49731" s="1025"/>
      <c r="BO49731" s="43"/>
    </row>
    <row r="49732" spans="65:67" ht="18.75" customHeight="1">
      <c r="BM49732" s="1025"/>
      <c r="BO49732" s="43"/>
    </row>
    <row r="49733" spans="65:67" ht="18.75" customHeight="1">
      <c r="BM49733" s="1025"/>
      <c r="BO49733" s="43"/>
    </row>
    <row r="49734" spans="65:67" ht="18.75" customHeight="1">
      <c r="BM49734" s="1025"/>
      <c r="BO49734" s="43"/>
    </row>
    <row r="49735" spans="65:67" ht="18.75" customHeight="1">
      <c r="BM49735" s="1025"/>
      <c r="BO49735" s="43"/>
    </row>
    <row r="49736" spans="65:67" ht="18.75" customHeight="1">
      <c r="BM49736" s="1025"/>
      <c r="BO49736" s="43"/>
    </row>
    <row r="49737" spans="65:67" ht="18.75" customHeight="1">
      <c r="BM49737" s="1025"/>
      <c r="BO49737" s="43"/>
    </row>
    <row r="49738" spans="65:67" ht="18.75" customHeight="1">
      <c r="BM49738" s="1025"/>
      <c r="BO49738" s="43"/>
    </row>
    <row r="49739" spans="65:67" ht="18.75" customHeight="1">
      <c r="BM49739" s="1025"/>
      <c r="BO49739" s="43"/>
    </row>
    <row r="49740" spans="65:67" ht="18.75" customHeight="1">
      <c r="BM49740" s="1025"/>
      <c r="BO49740" s="43"/>
    </row>
    <row r="49741" spans="65:67" ht="18.75" customHeight="1">
      <c r="BM49741" s="1025"/>
      <c r="BO49741" s="43"/>
    </row>
    <row r="49742" spans="65:67" ht="18.75" customHeight="1">
      <c r="BM49742" s="1025"/>
      <c r="BO49742" s="43"/>
    </row>
    <row r="49743" spans="65:67" ht="18.75" customHeight="1">
      <c r="BM49743" s="1025"/>
      <c r="BO49743" s="43"/>
    </row>
    <row r="49744" spans="65:67" ht="18.75" customHeight="1">
      <c r="BM49744" s="1025"/>
      <c r="BO49744" s="43"/>
    </row>
    <row r="49745" spans="65:67" ht="18.75" customHeight="1">
      <c r="BM49745" s="1025"/>
      <c r="BO49745" s="43"/>
    </row>
    <row r="49746" spans="65:67" ht="18.75" customHeight="1">
      <c r="BM49746" s="1025"/>
      <c r="BO49746" s="43"/>
    </row>
    <row r="49747" spans="65:67" ht="18.75" customHeight="1">
      <c r="BM49747" s="1025"/>
      <c r="BO49747" s="43"/>
    </row>
    <row r="49748" spans="65:67" ht="18.75" customHeight="1">
      <c r="BM49748" s="1025"/>
      <c r="BO49748" s="43"/>
    </row>
    <row r="49749" spans="65:67" ht="18.75" customHeight="1">
      <c r="BM49749" s="1025"/>
      <c r="BO49749" s="43"/>
    </row>
    <row r="49750" spans="65:67" ht="18.75" customHeight="1">
      <c r="BM49750" s="1025"/>
      <c r="BO49750" s="43"/>
    </row>
    <row r="49751" spans="65:67" ht="18.75" customHeight="1">
      <c r="BM49751" s="1025"/>
      <c r="BO49751" s="43"/>
    </row>
    <row r="49752" spans="65:67" ht="18.75" customHeight="1">
      <c r="BM49752" s="1025"/>
      <c r="BO49752" s="43"/>
    </row>
    <row r="49753" spans="65:67" ht="18.75" customHeight="1">
      <c r="BM49753" s="1025"/>
      <c r="BO49753" s="43"/>
    </row>
    <row r="49754" spans="65:67" ht="18.75" customHeight="1">
      <c r="BM49754" s="1025"/>
      <c r="BO49754" s="43"/>
    </row>
    <row r="49755" spans="65:67" ht="18.75" customHeight="1">
      <c r="BM49755" s="1025"/>
      <c r="BO49755" s="43"/>
    </row>
    <row r="49756" spans="65:67" ht="18.75" customHeight="1">
      <c r="BM49756" s="1025"/>
      <c r="BO49756" s="43"/>
    </row>
    <row r="49757" spans="65:67" ht="18.75" customHeight="1">
      <c r="BM49757" s="1025"/>
      <c r="BO49757" s="43"/>
    </row>
    <row r="49758" spans="65:67" ht="18.75" customHeight="1">
      <c r="BM49758" s="1025"/>
      <c r="BO49758" s="43"/>
    </row>
    <row r="49759" spans="65:67" ht="18.75" customHeight="1">
      <c r="BM49759" s="1025"/>
      <c r="BO49759" s="43"/>
    </row>
    <row r="49760" spans="65:67" ht="18.75" customHeight="1">
      <c r="BM49760" s="1025"/>
      <c r="BO49760" s="43"/>
    </row>
    <row r="49761" spans="65:67" ht="18.75" customHeight="1">
      <c r="BM49761" s="1025"/>
      <c r="BO49761" s="43"/>
    </row>
    <row r="49762" spans="65:67" ht="18.75" customHeight="1">
      <c r="BM49762" s="1025"/>
      <c r="BO49762" s="43"/>
    </row>
    <row r="49763" spans="65:67" ht="18.75" customHeight="1">
      <c r="BM49763" s="1025"/>
      <c r="BO49763" s="43"/>
    </row>
    <row r="49764" spans="65:67" ht="18.75" customHeight="1">
      <c r="BM49764" s="1025"/>
      <c r="BO49764" s="43"/>
    </row>
    <row r="49765" spans="65:67" ht="18.75" customHeight="1">
      <c r="BM49765" s="1025"/>
      <c r="BO49765" s="43"/>
    </row>
    <row r="49766" spans="65:67" ht="18.75" customHeight="1">
      <c r="BM49766" s="1025"/>
      <c r="BO49766" s="43"/>
    </row>
    <row r="49767" spans="65:67" ht="18.75" customHeight="1">
      <c r="BM49767" s="1025"/>
      <c r="BO49767" s="43"/>
    </row>
    <row r="49768" spans="65:67" ht="18.75" customHeight="1">
      <c r="BM49768" s="1025"/>
      <c r="BO49768" s="43"/>
    </row>
    <row r="49769" spans="65:67" ht="18.75" customHeight="1">
      <c r="BM49769" s="1025"/>
      <c r="BO49769" s="43"/>
    </row>
    <row r="49770" spans="65:67" ht="18.75" customHeight="1">
      <c r="BM49770" s="1025"/>
      <c r="BO49770" s="43"/>
    </row>
    <row r="49771" spans="65:67" ht="18.75" customHeight="1">
      <c r="BM49771" s="1025"/>
      <c r="BO49771" s="43"/>
    </row>
    <row r="49772" spans="65:67" ht="18.75" customHeight="1">
      <c r="BM49772" s="1025"/>
      <c r="BO49772" s="43"/>
    </row>
    <row r="49773" spans="65:67" ht="18.75" customHeight="1">
      <c r="BM49773" s="1025"/>
      <c r="BO49773" s="43"/>
    </row>
    <row r="49774" spans="65:67" ht="18.75" customHeight="1">
      <c r="BM49774" s="1025"/>
      <c r="BO49774" s="43"/>
    </row>
    <row r="49775" spans="65:67" ht="18.75" customHeight="1">
      <c r="BM49775" s="1025"/>
      <c r="BO49775" s="43"/>
    </row>
    <row r="49776" spans="65:67" ht="18.75" customHeight="1">
      <c r="BM49776" s="1025"/>
      <c r="BO49776" s="43"/>
    </row>
    <row r="49777" spans="65:67" ht="18.75" customHeight="1">
      <c r="BM49777" s="1025"/>
      <c r="BO49777" s="43"/>
    </row>
    <row r="49778" spans="65:67" ht="18.75" customHeight="1">
      <c r="BM49778" s="1025"/>
      <c r="BO49778" s="43"/>
    </row>
    <row r="49779" spans="65:67" ht="18.75" customHeight="1">
      <c r="BM49779" s="1025"/>
      <c r="BO49779" s="43"/>
    </row>
    <row r="49780" spans="65:67" ht="18.75" customHeight="1">
      <c r="BM49780" s="1025"/>
      <c r="BO49780" s="43"/>
    </row>
    <row r="49781" spans="65:67" ht="18.75" customHeight="1">
      <c r="BM49781" s="1025"/>
      <c r="BO49781" s="43"/>
    </row>
    <row r="49782" spans="65:67" ht="18.75" customHeight="1">
      <c r="BM49782" s="1025"/>
      <c r="BO49782" s="43"/>
    </row>
    <row r="49783" spans="65:67" ht="18.75" customHeight="1">
      <c r="BM49783" s="1025"/>
      <c r="BO49783" s="43"/>
    </row>
    <row r="49784" spans="65:67" ht="18.75" customHeight="1">
      <c r="BM49784" s="1025"/>
      <c r="BO49784" s="43"/>
    </row>
    <row r="49785" spans="65:67" ht="18.75" customHeight="1">
      <c r="BM49785" s="1025"/>
      <c r="BO49785" s="43"/>
    </row>
    <row r="49786" spans="65:67" ht="18.75" customHeight="1">
      <c r="BM49786" s="1025"/>
      <c r="BO49786" s="43"/>
    </row>
    <row r="49787" spans="65:67" ht="18.75" customHeight="1">
      <c r="BM49787" s="1025"/>
      <c r="BO49787" s="43"/>
    </row>
    <row r="49788" spans="65:67" ht="18.75" customHeight="1">
      <c r="BM49788" s="1025"/>
      <c r="BO49788" s="43"/>
    </row>
    <row r="49789" spans="65:67" ht="18.75" customHeight="1">
      <c r="BM49789" s="1025"/>
      <c r="BO49789" s="43"/>
    </row>
    <row r="49790" spans="65:67" ht="18.75" customHeight="1">
      <c r="BM49790" s="1025"/>
      <c r="BO49790" s="43"/>
    </row>
    <row r="49791" spans="65:67" ht="18.75" customHeight="1">
      <c r="BM49791" s="1025"/>
      <c r="BO49791" s="43"/>
    </row>
    <row r="49792" spans="65:67" ht="18.75" customHeight="1">
      <c r="BM49792" s="1025"/>
      <c r="BO49792" s="43"/>
    </row>
    <row r="49793" spans="65:67" ht="18.75" customHeight="1">
      <c r="BM49793" s="1025"/>
      <c r="BO49793" s="43"/>
    </row>
    <row r="49794" spans="65:67" ht="18.75" customHeight="1">
      <c r="BM49794" s="1025"/>
      <c r="BO49794" s="43"/>
    </row>
    <row r="49795" spans="65:67" ht="18.75" customHeight="1">
      <c r="BM49795" s="1025"/>
      <c r="BO49795" s="43"/>
    </row>
    <row r="49796" spans="65:67" ht="18.75" customHeight="1">
      <c r="BM49796" s="1025"/>
      <c r="BO49796" s="43"/>
    </row>
    <row r="49797" spans="65:67" ht="18.75" customHeight="1">
      <c r="BM49797" s="1025"/>
      <c r="BO49797" s="43"/>
    </row>
    <row r="49798" spans="65:67" ht="18.75" customHeight="1">
      <c r="BM49798" s="1025"/>
      <c r="BO49798" s="43"/>
    </row>
    <row r="49799" spans="65:67" ht="18.75" customHeight="1">
      <c r="BM49799" s="1025"/>
      <c r="BO49799" s="43"/>
    </row>
    <row r="49800" spans="65:67" ht="18.75" customHeight="1">
      <c r="BM49800" s="1025"/>
      <c r="BO49800" s="43"/>
    </row>
    <row r="49801" spans="65:67" ht="18.75" customHeight="1">
      <c r="BM49801" s="1025"/>
      <c r="BO49801" s="43"/>
    </row>
    <row r="49802" spans="65:67" ht="18.75" customHeight="1">
      <c r="BM49802" s="1025"/>
      <c r="BO49802" s="43"/>
    </row>
    <row r="49803" spans="65:67" ht="18.75" customHeight="1">
      <c r="BM49803" s="1025"/>
      <c r="BO49803" s="43"/>
    </row>
    <row r="49804" spans="65:67" ht="18.75" customHeight="1">
      <c r="BM49804" s="1025"/>
      <c r="BO49804" s="43"/>
    </row>
    <row r="49805" spans="65:67" ht="18.75" customHeight="1">
      <c r="BM49805" s="1025"/>
      <c r="BO49805" s="43"/>
    </row>
    <row r="49806" spans="65:67" ht="18.75" customHeight="1">
      <c r="BM49806" s="1025"/>
      <c r="BO49806" s="43"/>
    </row>
    <row r="49807" spans="65:67" ht="18.75" customHeight="1">
      <c r="BM49807" s="1025"/>
      <c r="BO49807" s="43"/>
    </row>
    <row r="49808" spans="65:67" ht="18.75" customHeight="1">
      <c r="BM49808" s="1025"/>
      <c r="BO49808" s="43"/>
    </row>
    <row r="49809" spans="65:67" ht="18.75" customHeight="1">
      <c r="BM49809" s="1025"/>
      <c r="BO49809" s="43"/>
    </row>
    <row r="49810" spans="65:67" ht="18.75" customHeight="1">
      <c r="BM49810" s="1025"/>
      <c r="BO49810" s="43"/>
    </row>
    <row r="49811" spans="65:67" ht="18.75" customHeight="1">
      <c r="BM49811" s="1025"/>
      <c r="BO49811" s="43"/>
    </row>
    <row r="49812" spans="65:67" ht="18.75" customHeight="1">
      <c r="BM49812" s="1025"/>
      <c r="BO49812" s="43"/>
    </row>
    <row r="49813" spans="65:67" ht="18.75" customHeight="1">
      <c r="BM49813" s="1025"/>
      <c r="BO49813" s="43"/>
    </row>
    <row r="49814" spans="65:67" ht="18.75" customHeight="1">
      <c r="BM49814" s="1025"/>
      <c r="BO49814" s="43"/>
    </row>
    <row r="49815" spans="65:67" ht="18.75" customHeight="1">
      <c r="BM49815" s="1025"/>
      <c r="BO49815" s="43"/>
    </row>
    <row r="49816" spans="65:67" ht="18.75" customHeight="1">
      <c r="BM49816" s="1025"/>
      <c r="BO49816" s="43"/>
    </row>
    <row r="49817" spans="65:67" ht="18.75" customHeight="1">
      <c r="BM49817" s="1025"/>
      <c r="BO49817" s="43"/>
    </row>
    <row r="49818" spans="65:67" ht="18.75" customHeight="1">
      <c r="BM49818" s="1025"/>
      <c r="BO49818" s="43"/>
    </row>
    <row r="49819" spans="65:67" ht="18.75" customHeight="1">
      <c r="BM49819" s="1025"/>
      <c r="BO49819" s="43"/>
    </row>
    <row r="49820" spans="65:67" ht="18.75" customHeight="1">
      <c r="BM49820" s="1025"/>
      <c r="BO49820" s="43"/>
    </row>
    <row r="49821" spans="65:67" ht="18.75" customHeight="1">
      <c r="BM49821" s="1025"/>
      <c r="BO49821" s="43"/>
    </row>
    <row r="49822" spans="65:67" ht="18.75" customHeight="1">
      <c r="BM49822" s="1025"/>
      <c r="BO49822" s="43"/>
    </row>
    <row r="49823" spans="65:67" ht="18.75" customHeight="1">
      <c r="BM49823" s="1025"/>
      <c r="BO49823" s="43"/>
    </row>
    <row r="49824" spans="65:67" ht="18.75" customHeight="1">
      <c r="BM49824" s="1025"/>
      <c r="BO49824" s="43"/>
    </row>
    <row r="49825" spans="65:67" ht="18.75" customHeight="1">
      <c r="BM49825" s="1025"/>
      <c r="BO49825" s="43"/>
    </row>
    <row r="49826" spans="65:67" ht="18.75" customHeight="1">
      <c r="BM49826" s="1025"/>
      <c r="BO49826" s="43"/>
    </row>
    <row r="49827" spans="65:67" ht="18.75" customHeight="1">
      <c r="BM49827" s="1025"/>
      <c r="BO49827" s="43"/>
    </row>
    <row r="49828" spans="65:67" ht="18.75" customHeight="1">
      <c r="BM49828" s="1025"/>
      <c r="BO49828" s="43"/>
    </row>
    <row r="49829" spans="65:67" ht="18.75" customHeight="1">
      <c r="BM49829" s="1025"/>
      <c r="BO49829" s="43"/>
    </row>
    <row r="49830" spans="65:67" ht="18.75" customHeight="1">
      <c r="BM49830" s="1025"/>
      <c r="BO49830" s="43"/>
    </row>
    <row r="49831" spans="65:67" ht="18.75" customHeight="1">
      <c r="BM49831" s="1025"/>
      <c r="BO49831" s="43"/>
    </row>
    <row r="49832" spans="65:67" ht="18.75" customHeight="1">
      <c r="BM49832" s="1025"/>
      <c r="BO49832" s="43"/>
    </row>
    <row r="49833" spans="65:67" ht="18.75" customHeight="1">
      <c r="BM49833" s="1025"/>
      <c r="BO49833" s="43"/>
    </row>
    <row r="49834" spans="65:67" ht="18.75" customHeight="1">
      <c r="BM49834" s="1025"/>
      <c r="BO49834" s="43"/>
    </row>
    <row r="49835" spans="65:67" ht="18.75" customHeight="1">
      <c r="BM49835" s="1025"/>
      <c r="BO49835" s="43"/>
    </row>
    <row r="49836" spans="65:67" ht="18.75" customHeight="1">
      <c r="BM49836" s="1025"/>
      <c r="BO49836" s="43"/>
    </row>
    <row r="49837" spans="65:67" ht="18.75" customHeight="1">
      <c r="BM49837" s="1025"/>
      <c r="BO49837" s="43"/>
    </row>
    <row r="49838" spans="65:67" ht="18.75" customHeight="1">
      <c r="BM49838" s="1025"/>
      <c r="BO49838" s="43"/>
    </row>
    <row r="49839" spans="65:67" ht="18.75" customHeight="1">
      <c r="BM49839" s="1025"/>
      <c r="BO49839" s="43"/>
    </row>
    <row r="49840" spans="65:67" ht="18.75" customHeight="1">
      <c r="BM49840" s="1025"/>
      <c r="BO49840" s="43"/>
    </row>
    <row r="49841" spans="65:67" ht="18.75" customHeight="1">
      <c r="BM49841" s="1025"/>
      <c r="BO49841" s="43"/>
    </row>
    <row r="49842" spans="65:67" ht="18.75" customHeight="1">
      <c r="BM49842" s="1025"/>
      <c r="BO49842" s="43"/>
    </row>
    <row r="49843" spans="65:67" ht="18.75" customHeight="1">
      <c r="BM49843" s="1025"/>
      <c r="BO49843" s="43"/>
    </row>
    <row r="49844" spans="65:67" ht="18.75" customHeight="1">
      <c r="BM49844" s="1025"/>
      <c r="BO49844" s="43"/>
    </row>
    <row r="49845" spans="65:67" ht="18.75" customHeight="1">
      <c r="BM49845" s="1025"/>
      <c r="BO49845" s="43"/>
    </row>
    <row r="49846" spans="65:67" ht="18.75" customHeight="1">
      <c r="BM49846" s="1025"/>
      <c r="BO49846" s="43"/>
    </row>
    <row r="49847" spans="65:67" ht="18.75" customHeight="1">
      <c r="BM49847" s="1025"/>
      <c r="BO49847" s="43"/>
    </row>
    <row r="49848" spans="65:67" ht="18.75" customHeight="1">
      <c r="BM49848" s="1025"/>
      <c r="BO49848" s="43"/>
    </row>
    <row r="49849" spans="65:67" ht="18.75" customHeight="1">
      <c r="BM49849" s="1025"/>
      <c r="BO49849" s="43"/>
    </row>
    <row r="49850" spans="65:67" ht="18.75" customHeight="1">
      <c r="BM49850" s="1025"/>
      <c r="BO49850" s="43"/>
    </row>
    <row r="49851" spans="65:67" ht="18.75" customHeight="1">
      <c r="BM49851" s="1025"/>
      <c r="BO49851" s="43"/>
    </row>
    <row r="49852" spans="65:67" ht="18.75" customHeight="1">
      <c r="BM49852" s="1025"/>
      <c r="BO49852" s="43"/>
    </row>
    <row r="49853" spans="65:67" ht="18.75" customHeight="1">
      <c r="BM49853" s="1025"/>
      <c r="BO49853" s="43"/>
    </row>
    <row r="49854" spans="65:67" ht="18.75" customHeight="1">
      <c r="BM49854" s="1025"/>
      <c r="BO49854" s="43"/>
    </row>
    <row r="49855" spans="65:67" ht="18.75" customHeight="1">
      <c r="BM49855" s="1025"/>
      <c r="BO49855" s="43"/>
    </row>
    <row r="49856" spans="65:67" ht="18.75" customHeight="1">
      <c r="BM49856" s="1025"/>
      <c r="BO49856" s="43"/>
    </row>
    <row r="49857" spans="65:67" ht="18.75" customHeight="1">
      <c r="BM49857" s="1025"/>
      <c r="BO49857" s="43"/>
    </row>
    <row r="49858" spans="65:67" ht="18.75" customHeight="1">
      <c r="BM49858" s="1025"/>
      <c r="BO49858" s="43"/>
    </row>
    <row r="49859" spans="65:67" ht="18.75" customHeight="1">
      <c r="BM49859" s="1025"/>
      <c r="BO49859" s="43"/>
    </row>
    <row r="49860" spans="65:67" ht="18.75" customHeight="1">
      <c r="BM49860" s="1025"/>
      <c r="BO49860" s="43"/>
    </row>
    <row r="49861" spans="65:67" ht="18.75" customHeight="1">
      <c r="BM49861" s="1025"/>
      <c r="BO49861" s="43"/>
    </row>
    <row r="49862" spans="65:67" ht="18.75" customHeight="1">
      <c r="BM49862" s="1025"/>
      <c r="BO49862" s="43"/>
    </row>
    <row r="49863" spans="65:67" ht="18.75" customHeight="1">
      <c r="BM49863" s="1025"/>
      <c r="BO49863" s="43"/>
    </row>
    <row r="49864" spans="65:67" ht="18.75" customHeight="1">
      <c r="BM49864" s="1025"/>
      <c r="BO49864" s="43"/>
    </row>
    <row r="49865" spans="65:67" ht="18.75" customHeight="1">
      <c r="BM49865" s="1025"/>
      <c r="BO49865" s="43"/>
    </row>
    <row r="49866" spans="65:67" ht="18.75" customHeight="1">
      <c r="BM49866" s="1025"/>
      <c r="BO49866" s="43"/>
    </row>
    <row r="49867" spans="65:67" ht="18.75" customHeight="1">
      <c r="BM49867" s="1025"/>
      <c r="BO49867" s="43"/>
    </row>
    <row r="49868" spans="65:67" ht="18.75" customHeight="1">
      <c r="BM49868" s="1025"/>
      <c r="BO49868" s="43"/>
    </row>
    <row r="49869" spans="65:67" ht="18.75" customHeight="1">
      <c r="BM49869" s="1025"/>
      <c r="BO49869" s="43"/>
    </row>
    <row r="49870" spans="65:67" ht="18.75" customHeight="1">
      <c r="BM49870" s="1025"/>
      <c r="BO49870" s="43"/>
    </row>
    <row r="49871" spans="65:67" ht="18.75" customHeight="1">
      <c r="BM49871" s="1025"/>
      <c r="BO49871" s="43"/>
    </row>
    <row r="49872" spans="65:67" ht="18.75" customHeight="1">
      <c r="BM49872" s="1025"/>
      <c r="BO49872" s="43"/>
    </row>
    <row r="49873" spans="65:67" ht="18.75" customHeight="1">
      <c r="BM49873" s="1025"/>
      <c r="BO49873" s="43"/>
    </row>
    <row r="49874" spans="65:67" ht="18.75" customHeight="1">
      <c r="BM49874" s="1025"/>
      <c r="BO49874" s="43"/>
    </row>
    <row r="49875" spans="65:67" ht="18.75" customHeight="1">
      <c r="BM49875" s="1025"/>
      <c r="BO49875" s="43"/>
    </row>
    <row r="49876" spans="65:67" ht="18.75" customHeight="1">
      <c r="BM49876" s="1025"/>
      <c r="BO49876" s="43"/>
    </row>
    <row r="49877" spans="65:67" ht="18.75" customHeight="1">
      <c r="BM49877" s="1025"/>
      <c r="BO49877" s="43"/>
    </row>
    <row r="49878" spans="65:67" ht="18.75" customHeight="1">
      <c r="BM49878" s="1025"/>
      <c r="BO49878" s="43"/>
    </row>
    <row r="49879" spans="65:67" ht="18.75" customHeight="1">
      <c r="BM49879" s="1025"/>
      <c r="BO49879" s="43"/>
    </row>
    <row r="49880" spans="65:67" ht="18.75" customHeight="1">
      <c r="BM49880" s="1025"/>
      <c r="BO49880" s="43"/>
    </row>
    <row r="49881" spans="65:67" ht="18.75" customHeight="1">
      <c r="BM49881" s="1025"/>
      <c r="BO49881" s="43"/>
    </row>
    <row r="49882" spans="65:67" ht="18.75" customHeight="1">
      <c r="BM49882" s="1025"/>
      <c r="BO49882" s="43"/>
    </row>
    <row r="49883" spans="65:67" ht="18.75" customHeight="1">
      <c r="BM49883" s="1025"/>
      <c r="BO49883" s="43"/>
    </row>
    <row r="49884" spans="65:67" ht="18.75" customHeight="1">
      <c r="BM49884" s="1025"/>
      <c r="BO49884" s="43"/>
    </row>
    <row r="49885" spans="65:67" ht="18.75" customHeight="1">
      <c r="BM49885" s="1025"/>
      <c r="BO49885" s="43"/>
    </row>
    <row r="49886" spans="65:67" ht="18.75" customHeight="1">
      <c r="BM49886" s="1025"/>
      <c r="BO49886" s="43"/>
    </row>
    <row r="49887" spans="65:67" ht="18.75" customHeight="1">
      <c r="BM49887" s="1025"/>
      <c r="BO49887" s="43"/>
    </row>
    <row r="49888" spans="65:67" ht="18.75" customHeight="1">
      <c r="BM49888" s="1025"/>
      <c r="BO49888" s="43"/>
    </row>
    <row r="49889" spans="65:67" ht="18.75" customHeight="1">
      <c r="BM49889" s="1025"/>
      <c r="BO49889" s="43"/>
    </row>
    <row r="49890" spans="65:67" ht="18.75" customHeight="1">
      <c r="BM49890" s="1025"/>
      <c r="BO49890" s="43"/>
    </row>
    <row r="49891" spans="65:67" ht="18.75" customHeight="1">
      <c r="BM49891" s="1025"/>
      <c r="BO49891" s="43"/>
    </row>
    <row r="49892" spans="65:67" ht="18.75" customHeight="1">
      <c r="BM49892" s="1025"/>
      <c r="BO49892" s="43"/>
    </row>
    <row r="49893" spans="65:67" ht="18.75" customHeight="1">
      <c r="BM49893" s="1025"/>
      <c r="BO49893" s="43"/>
    </row>
    <row r="49894" spans="65:67" ht="18.75" customHeight="1">
      <c r="BM49894" s="1025"/>
      <c r="BO49894" s="43"/>
    </row>
    <row r="49895" spans="65:67" ht="18.75" customHeight="1">
      <c r="BM49895" s="1025"/>
      <c r="BO49895" s="43"/>
    </row>
    <row r="49896" spans="65:67" ht="18.75" customHeight="1">
      <c r="BM49896" s="1025"/>
      <c r="BO49896" s="43"/>
    </row>
    <row r="49897" spans="65:67" ht="18.75" customHeight="1">
      <c r="BM49897" s="1025"/>
      <c r="BO49897" s="43"/>
    </row>
    <row r="49898" spans="65:67" ht="18.75" customHeight="1">
      <c r="BM49898" s="1025"/>
      <c r="BO49898" s="43"/>
    </row>
    <row r="49899" spans="65:67" ht="18.75" customHeight="1">
      <c r="BM49899" s="1025"/>
      <c r="BO49899" s="43"/>
    </row>
    <row r="49900" spans="65:67" ht="18.75" customHeight="1">
      <c r="BM49900" s="1025"/>
      <c r="BO49900" s="43"/>
    </row>
    <row r="49901" spans="65:67" ht="18.75" customHeight="1">
      <c r="BM49901" s="1025"/>
      <c r="BO49901" s="43"/>
    </row>
    <row r="49902" spans="65:67" ht="18.75" customHeight="1">
      <c r="BM49902" s="1025"/>
      <c r="BO49902" s="43"/>
    </row>
    <row r="49903" spans="65:67" ht="18.75" customHeight="1">
      <c r="BM49903" s="1025"/>
      <c r="BO49903" s="43"/>
    </row>
    <row r="49904" spans="65:67" ht="18.75" customHeight="1">
      <c r="BM49904" s="1025"/>
      <c r="BO49904" s="43"/>
    </row>
    <row r="49905" spans="65:67" ht="18.75" customHeight="1">
      <c r="BM49905" s="1025"/>
      <c r="BO49905" s="43"/>
    </row>
    <row r="49906" spans="65:67" ht="18.75" customHeight="1">
      <c r="BM49906" s="1025"/>
      <c r="BO49906" s="43"/>
    </row>
    <row r="49907" spans="65:67" ht="18.75" customHeight="1">
      <c r="BM49907" s="1025"/>
      <c r="BO49907" s="43"/>
    </row>
    <row r="49908" spans="65:67" ht="18.75" customHeight="1">
      <c r="BM49908" s="1025"/>
      <c r="BO49908" s="43"/>
    </row>
    <row r="49909" spans="65:67" ht="18.75" customHeight="1">
      <c r="BM49909" s="1025"/>
      <c r="BO49909" s="43"/>
    </row>
    <row r="49910" spans="65:67" ht="18.75" customHeight="1">
      <c r="BM49910" s="1025"/>
      <c r="BO49910" s="43"/>
    </row>
    <row r="49911" spans="65:67" ht="18.75" customHeight="1">
      <c r="BM49911" s="1025"/>
      <c r="BO49911" s="43"/>
    </row>
    <row r="49912" spans="65:67" ht="18.75" customHeight="1">
      <c r="BM49912" s="1025"/>
      <c r="BO49912" s="43"/>
    </row>
    <row r="49913" spans="65:67" ht="18.75" customHeight="1">
      <c r="BM49913" s="1025"/>
      <c r="BO49913" s="43"/>
    </row>
    <row r="49914" spans="65:67" ht="18.75" customHeight="1">
      <c r="BM49914" s="1025"/>
      <c r="BO49914" s="43"/>
    </row>
    <row r="49915" spans="65:67" ht="18.75" customHeight="1">
      <c r="BM49915" s="1025"/>
      <c r="BO49915" s="43"/>
    </row>
    <row r="49916" spans="65:67" ht="18.75" customHeight="1">
      <c r="BM49916" s="1025"/>
      <c r="BO49916" s="43"/>
    </row>
    <row r="49917" spans="65:67" ht="18.75" customHeight="1">
      <c r="BM49917" s="1025"/>
      <c r="BO49917" s="43"/>
    </row>
    <row r="49918" spans="65:67" ht="18.75" customHeight="1">
      <c r="BM49918" s="1025"/>
      <c r="BO49918" s="43"/>
    </row>
    <row r="49919" spans="65:67" ht="18.75" customHeight="1">
      <c r="BM49919" s="1025"/>
      <c r="BO49919" s="43"/>
    </row>
    <row r="49920" spans="65:67" ht="18.75" customHeight="1">
      <c r="BM49920" s="1025"/>
      <c r="BO49920" s="43"/>
    </row>
    <row r="49921" spans="65:67" ht="18.75" customHeight="1">
      <c r="BM49921" s="1025"/>
      <c r="BO49921" s="43"/>
    </row>
    <row r="49922" spans="65:67" ht="18.75" customHeight="1">
      <c r="BM49922" s="1025"/>
      <c r="BO49922" s="43"/>
    </row>
    <row r="49923" spans="65:67" ht="18.75" customHeight="1">
      <c r="BM49923" s="1025"/>
      <c r="BO49923" s="43"/>
    </row>
    <row r="49924" spans="65:67" ht="18.75" customHeight="1">
      <c r="BM49924" s="1025"/>
      <c r="BO49924" s="43"/>
    </row>
    <row r="49925" spans="65:67" ht="18.75" customHeight="1">
      <c r="BM49925" s="1025"/>
      <c r="BO49925" s="43"/>
    </row>
    <row r="49926" spans="65:67" ht="18.75" customHeight="1">
      <c r="BM49926" s="1025"/>
      <c r="BO49926" s="43"/>
    </row>
    <row r="49927" spans="65:67" ht="18.75" customHeight="1">
      <c r="BM49927" s="1025"/>
      <c r="BO49927" s="43"/>
    </row>
    <row r="49928" spans="65:67" ht="18.75" customHeight="1">
      <c r="BM49928" s="1025"/>
      <c r="BO49928" s="43"/>
    </row>
    <row r="49929" spans="65:67" ht="18.75" customHeight="1">
      <c r="BM49929" s="1025"/>
      <c r="BO49929" s="43"/>
    </row>
    <row r="49930" spans="65:67" ht="18.75" customHeight="1">
      <c r="BM49930" s="1025"/>
      <c r="BO49930" s="43"/>
    </row>
    <row r="49931" spans="65:67" ht="18.75" customHeight="1">
      <c r="BM49931" s="1025"/>
      <c r="BO49931" s="43"/>
    </row>
    <row r="49932" spans="65:67" ht="18.75" customHeight="1">
      <c r="BM49932" s="1025"/>
      <c r="BO49932" s="43"/>
    </row>
    <row r="49933" spans="65:67" ht="18.75" customHeight="1">
      <c r="BM49933" s="1025"/>
      <c r="BO49933" s="43"/>
    </row>
    <row r="49934" spans="65:67" ht="18.75" customHeight="1">
      <c r="BM49934" s="1025"/>
      <c r="BO49934" s="43"/>
    </row>
    <row r="49935" spans="65:67" ht="18.75" customHeight="1">
      <c r="BM49935" s="1025"/>
      <c r="BO49935" s="43"/>
    </row>
    <row r="49936" spans="65:67" ht="18.75" customHeight="1">
      <c r="BM49936" s="1025"/>
      <c r="BO49936" s="43"/>
    </row>
    <row r="49937" spans="65:67" ht="18.75" customHeight="1">
      <c r="BM49937" s="1025"/>
      <c r="BO49937" s="43"/>
    </row>
    <row r="49938" spans="65:67" ht="18.75" customHeight="1">
      <c r="BM49938" s="1025"/>
      <c r="BO49938" s="43"/>
    </row>
    <row r="49939" spans="65:67" ht="18.75" customHeight="1">
      <c r="BM49939" s="1025"/>
      <c r="BO49939" s="43"/>
    </row>
    <row r="49940" spans="65:67" ht="18.75" customHeight="1">
      <c r="BM49940" s="1025"/>
      <c r="BO49940" s="43"/>
    </row>
    <row r="49941" spans="65:67" ht="18.75" customHeight="1">
      <c r="BM49941" s="1025"/>
      <c r="BO49941" s="43"/>
    </row>
    <row r="49942" spans="65:67" ht="18.75" customHeight="1">
      <c r="BM49942" s="1025"/>
      <c r="BO49942" s="43"/>
    </row>
    <row r="49943" spans="65:67" ht="18.75" customHeight="1">
      <c r="BM49943" s="1025"/>
      <c r="BO49943" s="43"/>
    </row>
    <row r="49944" spans="65:67" ht="18.75" customHeight="1">
      <c r="BM49944" s="1025"/>
      <c r="BO49944" s="43"/>
    </row>
    <row r="49945" spans="65:67" ht="18.75" customHeight="1">
      <c r="BM49945" s="1025"/>
      <c r="BO49945" s="43"/>
    </row>
    <row r="49946" spans="65:67" ht="18.75" customHeight="1">
      <c r="BM49946" s="1025"/>
      <c r="BO49946" s="43"/>
    </row>
    <row r="49947" spans="65:67" ht="18.75" customHeight="1">
      <c r="BM49947" s="1025"/>
      <c r="BO49947" s="43"/>
    </row>
    <row r="49948" spans="65:67" ht="18.75" customHeight="1">
      <c r="BM49948" s="1025"/>
      <c r="BO49948" s="43"/>
    </row>
    <row r="49949" spans="65:67" ht="18.75" customHeight="1">
      <c r="BM49949" s="1025"/>
      <c r="BO49949" s="43"/>
    </row>
    <row r="49950" spans="65:67" ht="18.75" customHeight="1">
      <c r="BM49950" s="1025"/>
      <c r="BO49950" s="43"/>
    </row>
    <row r="49951" spans="65:67" ht="18.75" customHeight="1">
      <c r="BM49951" s="1025"/>
      <c r="BO49951" s="43"/>
    </row>
    <row r="49952" spans="65:67" ht="18.75" customHeight="1">
      <c r="BM49952" s="1025"/>
      <c r="BO49952" s="43"/>
    </row>
    <row r="49953" spans="65:67" ht="18.75" customHeight="1">
      <c r="BM49953" s="1025"/>
      <c r="BO49953" s="43"/>
    </row>
    <row r="49954" spans="65:67" ht="18.75" customHeight="1">
      <c r="BM49954" s="1025"/>
      <c r="BO49954" s="43"/>
    </row>
    <row r="49955" spans="65:67" ht="18.75" customHeight="1">
      <c r="BM49955" s="1025"/>
      <c r="BO49955" s="43"/>
    </row>
    <row r="49956" spans="65:67" ht="18.75" customHeight="1">
      <c r="BM49956" s="1025"/>
      <c r="BO49956" s="43"/>
    </row>
    <row r="49957" spans="65:67" ht="18.75" customHeight="1">
      <c r="BM49957" s="1025"/>
      <c r="BO49957" s="43"/>
    </row>
    <row r="49958" spans="65:67" ht="18.75" customHeight="1">
      <c r="BM49958" s="1025"/>
      <c r="BO49958" s="43"/>
    </row>
    <row r="49959" spans="65:67" ht="18.75" customHeight="1">
      <c r="BM49959" s="1025"/>
      <c r="BO49959" s="43"/>
    </row>
    <row r="49960" spans="65:67" ht="18.75" customHeight="1">
      <c r="BM49960" s="1025"/>
      <c r="BO49960" s="43"/>
    </row>
    <row r="49961" spans="65:67" ht="18.75" customHeight="1">
      <c r="BM49961" s="1025"/>
      <c r="BO49961" s="43"/>
    </row>
    <row r="49962" spans="65:67" ht="18.75" customHeight="1">
      <c r="BM49962" s="1025"/>
      <c r="BO49962" s="43"/>
    </row>
    <row r="49963" spans="65:67" ht="18.75" customHeight="1">
      <c r="BM49963" s="1025"/>
      <c r="BO49963" s="43"/>
    </row>
    <row r="49964" spans="65:67" ht="18.75" customHeight="1">
      <c r="BM49964" s="1025"/>
      <c r="BO49964" s="43"/>
    </row>
    <row r="49965" spans="65:67" ht="18.75" customHeight="1">
      <c r="BM49965" s="1025"/>
      <c r="BO49965" s="43"/>
    </row>
    <row r="49966" spans="65:67" ht="18.75" customHeight="1">
      <c r="BM49966" s="1025"/>
      <c r="BO49966" s="43"/>
    </row>
    <row r="49967" spans="65:67" ht="18.75" customHeight="1">
      <c r="BM49967" s="1025"/>
      <c r="BO49967" s="43"/>
    </row>
    <row r="49968" spans="65:67" ht="18.75" customHeight="1">
      <c r="BM49968" s="1025"/>
      <c r="BO49968" s="43"/>
    </row>
    <row r="49969" spans="65:67" ht="18.75" customHeight="1">
      <c r="BM49969" s="1025"/>
      <c r="BO49969" s="43"/>
    </row>
    <row r="49970" spans="65:67" ht="18.75" customHeight="1">
      <c r="BM49970" s="1025"/>
      <c r="BO49970" s="43"/>
    </row>
    <row r="49971" spans="65:67" ht="18.75" customHeight="1">
      <c r="BM49971" s="1025"/>
      <c r="BO49971" s="43"/>
    </row>
    <row r="49972" spans="65:67" ht="18.75" customHeight="1">
      <c r="BM49972" s="1025"/>
      <c r="BO49972" s="43"/>
    </row>
    <row r="49973" spans="65:67" ht="18.75" customHeight="1">
      <c r="BM49973" s="1025"/>
      <c r="BO49973" s="43"/>
    </row>
    <row r="49974" spans="65:67" ht="18.75" customHeight="1">
      <c r="BM49974" s="1025"/>
      <c r="BO49974" s="43"/>
    </row>
    <row r="49975" spans="65:67" ht="18.75" customHeight="1">
      <c r="BM49975" s="1025"/>
      <c r="BO49975" s="43"/>
    </row>
    <row r="49976" spans="65:67" ht="18.75" customHeight="1">
      <c r="BM49976" s="1025"/>
      <c r="BO49976" s="43"/>
    </row>
    <row r="49977" spans="65:67" ht="18.75" customHeight="1">
      <c r="BM49977" s="1025"/>
      <c r="BO49977" s="43"/>
    </row>
    <row r="49978" spans="65:67" ht="18.75" customHeight="1">
      <c r="BM49978" s="1025"/>
      <c r="BO49978" s="43"/>
    </row>
    <row r="49979" spans="65:67" ht="18.75" customHeight="1">
      <c r="BM49979" s="1025"/>
      <c r="BO49979" s="43"/>
    </row>
    <row r="49980" spans="65:67" ht="18.75" customHeight="1">
      <c r="BM49980" s="1025"/>
      <c r="BO49980" s="43"/>
    </row>
    <row r="49981" spans="65:67" ht="18.75" customHeight="1">
      <c r="BM49981" s="1025"/>
      <c r="BO49981" s="43"/>
    </row>
    <row r="49982" spans="65:67" ht="18.75" customHeight="1">
      <c r="BM49982" s="1025"/>
      <c r="BO49982" s="43"/>
    </row>
    <row r="49983" spans="65:67" ht="18.75" customHeight="1">
      <c r="BM49983" s="1025"/>
      <c r="BO49983" s="43"/>
    </row>
    <row r="49984" spans="65:67" ht="18.75" customHeight="1">
      <c r="BM49984" s="1025"/>
      <c r="BO49984" s="43"/>
    </row>
    <row r="49985" spans="65:67" ht="18.75" customHeight="1">
      <c r="BM49985" s="1025"/>
      <c r="BO49985" s="43"/>
    </row>
    <row r="49986" spans="65:67" ht="18.75" customHeight="1">
      <c r="BM49986" s="1025"/>
      <c r="BO49986" s="43"/>
    </row>
    <row r="49987" spans="65:67" ht="18.75" customHeight="1">
      <c r="BM49987" s="1025"/>
      <c r="BO49987" s="43"/>
    </row>
    <row r="49988" spans="65:67" ht="18.75" customHeight="1">
      <c r="BM49988" s="1025"/>
      <c r="BO49988" s="43"/>
    </row>
    <row r="49989" spans="65:67" ht="18.75" customHeight="1">
      <c r="BM49989" s="1025"/>
      <c r="BO49989" s="43"/>
    </row>
    <row r="49990" spans="65:67" ht="18.75" customHeight="1">
      <c r="BM49990" s="1025"/>
      <c r="BO49990" s="43"/>
    </row>
    <row r="49991" spans="65:67" ht="18.75" customHeight="1">
      <c r="BM49991" s="1025"/>
      <c r="BO49991" s="43"/>
    </row>
    <row r="49992" spans="65:67" ht="18.75" customHeight="1">
      <c r="BM49992" s="1025"/>
      <c r="BO49992" s="43"/>
    </row>
    <row r="49993" spans="65:67" ht="18.75" customHeight="1">
      <c r="BM49993" s="1025"/>
      <c r="BO49993" s="43"/>
    </row>
    <row r="49994" spans="65:67" ht="18.75" customHeight="1">
      <c r="BM49994" s="1025"/>
      <c r="BO49994" s="43"/>
    </row>
    <row r="49995" spans="65:67" ht="18.75" customHeight="1">
      <c r="BM49995" s="1025"/>
      <c r="BO49995" s="43"/>
    </row>
    <row r="49996" spans="65:67" ht="18.75" customHeight="1">
      <c r="BM49996" s="1025"/>
      <c r="BO49996" s="43"/>
    </row>
    <row r="49997" spans="65:67" ht="18.75" customHeight="1">
      <c r="BM49997" s="1025"/>
      <c r="BO49997" s="43"/>
    </row>
    <row r="49998" spans="65:67" ht="18.75" customHeight="1">
      <c r="BM49998" s="1025"/>
      <c r="BO49998" s="43"/>
    </row>
    <row r="49999" spans="65:67" ht="18.75" customHeight="1">
      <c r="BM49999" s="1025"/>
      <c r="BO49999" s="43"/>
    </row>
    <row r="50000" spans="65:67" ht="18.75" customHeight="1">
      <c r="BM50000" s="1025"/>
      <c r="BO50000" s="43"/>
    </row>
    <row r="50001" spans="65:67" ht="18.75" customHeight="1">
      <c r="BM50001" s="1025"/>
      <c r="BO50001" s="43"/>
    </row>
    <row r="50002" spans="65:67" ht="18.75" customHeight="1">
      <c r="BM50002" s="1025"/>
      <c r="BO50002" s="43"/>
    </row>
    <row r="50003" spans="65:67" ht="18.75" customHeight="1">
      <c r="BM50003" s="1025"/>
      <c r="BO50003" s="43"/>
    </row>
    <row r="50004" spans="65:67" ht="18.75" customHeight="1">
      <c r="BM50004" s="1025"/>
      <c r="BO50004" s="43"/>
    </row>
    <row r="50005" spans="65:67" ht="18.75" customHeight="1">
      <c r="BM50005" s="1025"/>
      <c r="BO50005" s="43"/>
    </row>
    <row r="50006" spans="65:67" ht="18.75" customHeight="1">
      <c r="BM50006" s="1025"/>
      <c r="BO50006" s="43"/>
    </row>
    <row r="50007" spans="65:67" ht="18.75" customHeight="1">
      <c r="BM50007" s="1025"/>
      <c r="BO50007" s="43"/>
    </row>
    <row r="50008" spans="65:67" ht="18.75" customHeight="1">
      <c r="BM50008" s="1025"/>
      <c r="BO50008" s="43"/>
    </row>
    <row r="50009" spans="65:67" ht="18.75" customHeight="1">
      <c r="BM50009" s="1025"/>
      <c r="BO50009" s="43"/>
    </row>
    <row r="50010" spans="65:67" ht="18.75" customHeight="1">
      <c r="BM50010" s="1025"/>
      <c r="BO50010" s="43"/>
    </row>
    <row r="50011" spans="65:67" ht="18.75" customHeight="1">
      <c r="BM50011" s="1025"/>
      <c r="BO50011" s="43"/>
    </row>
    <row r="50012" spans="65:67" ht="18.75" customHeight="1">
      <c r="BM50012" s="1025"/>
      <c r="BO50012" s="43"/>
    </row>
    <row r="50013" spans="65:67" ht="18.75" customHeight="1">
      <c r="BM50013" s="1025"/>
      <c r="BO50013" s="43"/>
    </row>
    <row r="50014" spans="65:67" ht="18.75" customHeight="1">
      <c r="BM50014" s="1025"/>
      <c r="BO50014" s="43"/>
    </row>
    <row r="50015" spans="65:67" ht="18.75" customHeight="1">
      <c r="BM50015" s="1025"/>
      <c r="BO50015" s="43"/>
    </row>
    <row r="50016" spans="65:67" ht="18.75" customHeight="1">
      <c r="BM50016" s="1025"/>
      <c r="BO50016" s="43"/>
    </row>
    <row r="50017" spans="65:67" ht="18.75" customHeight="1">
      <c r="BM50017" s="1025"/>
      <c r="BO50017" s="43"/>
    </row>
    <row r="50018" spans="65:67" ht="18.75" customHeight="1">
      <c r="BM50018" s="1025"/>
      <c r="BO50018" s="43"/>
    </row>
    <row r="50019" spans="65:67" ht="18.75" customHeight="1">
      <c r="BM50019" s="1025"/>
      <c r="BO50019" s="43"/>
    </row>
    <row r="50020" spans="65:67" ht="18.75" customHeight="1">
      <c r="BM50020" s="1025"/>
      <c r="BO50020" s="43"/>
    </row>
    <row r="50021" spans="65:67" ht="18.75" customHeight="1">
      <c r="BM50021" s="1025"/>
      <c r="BO50021" s="43"/>
    </row>
    <row r="50022" spans="65:67" ht="18.75" customHeight="1">
      <c r="BM50022" s="1025"/>
      <c r="BO50022" s="43"/>
    </row>
    <row r="50023" spans="65:67" ht="18.75" customHeight="1">
      <c r="BM50023" s="1025"/>
      <c r="BO50023" s="43"/>
    </row>
    <row r="50024" spans="65:67" ht="18.75" customHeight="1">
      <c r="BM50024" s="1025"/>
      <c r="BO50024" s="43"/>
    </row>
    <row r="50025" spans="65:67" ht="18.75" customHeight="1">
      <c r="BM50025" s="1025"/>
      <c r="BO50025" s="43"/>
    </row>
    <row r="50026" spans="65:67" ht="18.75" customHeight="1">
      <c r="BM50026" s="1025"/>
      <c r="BO50026" s="43"/>
    </row>
    <row r="50027" spans="65:67" ht="18.75" customHeight="1">
      <c r="BM50027" s="1025"/>
      <c r="BO50027" s="43"/>
    </row>
    <row r="50028" spans="65:67" ht="18.75" customHeight="1">
      <c r="BM50028" s="1025"/>
      <c r="BO50028" s="43"/>
    </row>
    <row r="50029" spans="65:67" ht="18.75" customHeight="1">
      <c r="BM50029" s="1025"/>
      <c r="BO50029" s="43"/>
    </row>
    <row r="50030" spans="65:67" ht="18.75" customHeight="1">
      <c r="BM50030" s="1025"/>
      <c r="BO50030" s="43"/>
    </row>
    <row r="50031" spans="65:67" ht="18.75" customHeight="1">
      <c r="BM50031" s="1025"/>
      <c r="BO50031" s="43"/>
    </row>
    <row r="50032" spans="65:67" ht="18.75" customHeight="1">
      <c r="BM50032" s="1025"/>
      <c r="BO50032" s="43"/>
    </row>
    <row r="50033" spans="65:67" ht="18.75" customHeight="1">
      <c r="BM50033" s="1025"/>
      <c r="BO50033" s="43"/>
    </row>
    <row r="50034" spans="65:67" ht="18.75" customHeight="1">
      <c r="BM50034" s="1025"/>
      <c r="BO50034" s="43"/>
    </row>
    <row r="50035" spans="65:67" ht="18.75" customHeight="1">
      <c r="BM50035" s="1025"/>
      <c r="BO50035" s="43"/>
    </row>
    <row r="50036" spans="65:67" ht="18.75" customHeight="1">
      <c r="BM50036" s="1025"/>
      <c r="BO50036" s="43"/>
    </row>
    <row r="50037" spans="65:67" ht="18.75" customHeight="1">
      <c r="BM50037" s="1025"/>
      <c r="BO50037" s="43"/>
    </row>
    <row r="50038" spans="65:67" ht="18.75" customHeight="1">
      <c r="BM50038" s="1025"/>
      <c r="BO50038" s="43"/>
    </row>
    <row r="50039" spans="65:67" ht="18.75" customHeight="1">
      <c r="BM50039" s="1025"/>
      <c r="BO50039" s="43"/>
    </row>
    <row r="50040" spans="65:67" ht="18.75" customHeight="1">
      <c r="BM50040" s="1025"/>
      <c r="BO50040" s="43"/>
    </row>
    <row r="50041" spans="65:67" ht="18.75" customHeight="1">
      <c r="BM50041" s="1025"/>
      <c r="BO50041" s="43"/>
    </row>
    <row r="50042" spans="65:67" ht="18.75" customHeight="1">
      <c r="BM50042" s="1025"/>
      <c r="BO50042" s="43"/>
    </row>
    <row r="50043" spans="65:67" ht="18.75" customHeight="1">
      <c r="BM50043" s="1025"/>
      <c r="BO50043" s="43"/>
    </row>
    <row r="50044" spans="65:67" ht="18.75" customHeight="1">
      <c r="BM50044" s="1025"/>
      <c r="BO50044" s="43"/>
    </row>
    <row r="50045" spans="65:67" ht="18.75" customHeight="1">
      <c r="BM50045" s="1025"/>
      <c r="BO50045" s="43"/>
    </row>
    <row r="50046" spans="65:67" ht="18.75" customHeight="1">
      <c r="BM50046" s="1025"/>
      <c r="BO50046" s="43"/>
    </row>
    <row r="50047" spans="65:67" ht="18.75" customHeight="1">
      <c r="BM50047" s="1025"/>
      <c r="BO50047" s="43"/>
    </row>
    <row r="50048" spans="65:67" ht="18.75" customHeight="1">
      <c r="BM50048" s="1025"/>
      <c r="BO50048" s="43"/>
    </row>
    <row r="50049" spans="65:67" ht="18.75" customHeight="1">
      <c r="BM50049" s="1025"/>
      <c r="BO50049" s="43"/>
    </row>
    <row r="50050" spans="65:67" ht="18.75" customHeight="1">
      <c r="BM50050" s="1025"/>
      <c r="BO50050" s="43"/>
    </row>
    <row r="50051" spans="65:67" ht="18.75" customHeight="1">
      <c r="BM50051" s="1025"/>
      <c r="BO50051" s="43"/>
    </row>
    <row r="50052" spans="65:67" ht="18.75" customHeight="1">
      <c r="BM50052" s="1025"/>
      <c r="BO50052" s="43"/>
    </row>
    <row r="50053" spans="65:67" ht="18.75" customHeight="1">
      <c r="BM50053" s="1025"/>
      <c r="BO50053" s="43"/>
    </row>
    <row r="50054" spans="65:67" ht="18.75" customHeight="1">
      <c r="BM50054" s="1025"/>
      <c r="BO50054" s="43"/>
    </row>
    <row r="50055" spans="65:67" ht="18.75" customHeight="1">
      <c r="BM50055" s="1025"/>
      <c r="BO50055" s="43"/>
    </row>
    <row r="50056" spans="65:67" ht="18.75" customHeight="1">
      <c r="BM50056" s="1025"/>
      <c r="BO50056" s="43"/>
    </row>
    <row r="50057" spans="65:67" ht="18.75" customHeight="1">
      <c r="BM50057" s="1025"/>
      <c r="BO50057" s="43"/>
    </row>
    <row r="50058" spans="65:67" ht="18.75" customHeight="1">
      <c r="BM50058" s="1025"/>
      <c r="BO50058" s="43"/>
    </row>
    <row r="50059" spans="65:67" ht="18.75" customHeight="1">
      <c r="BM50059" s="1025"/>
      <c r="BO50059" s="43"/>
    </row>
    <row r="50060" spans="65:67" ht="18.75" customHeight="1">
      <c r="BM50060" s="1025"/>
      <c r="BO50060" s="43"/>
    </row>
    <row r="50061" spans="65:67" ht="18.75" customHeight="1">
      <c r="BM50061" s="1025"/>
      <c r="BO50061" s="43"/>
    </row>
    <row r="50062" spans="65:67" ht="18.75" customHeight="1">
      <c r="BM50062" s="1025"/>
      <c r="BO50062" s="43"/>
    </row>
    <row r="50063" spans="65:67" ht="18.75" customHeight="1">
      <c r="BM50063" s="1025"/>
      <c r="BO50063" s="43"/>
    </row>
    <row r="50064" spans="65:67" ht="18.75" customHeight="1">
      <c r="BM50064" s="1025"/>
      <c r="BO50064" s="43"/>
    </row>
    <row r="50065" spans="65:67" ht="18.75" customHeight="1">
      <c r="BM50065" s="1025"/>
      <c r="BO50065" s="43"/>
    </row>
    <row r="50066" spans="65:67" ht="18.75" customHeight="1">
      <c r="BM50066" s="1025"/>
      <c r="BO50066" s="43"/>
    </row>
    <row r="50067" spans="65:67" ht="18.75" customHeight="1">
      <c r="BM50067" s="1025"/>
      <c r="BO50067" s="43"/>
    </row>
    <row r="50068" spans="65:67" ht="18.75" customHeight="1">
      <c r="BM50068" s="1025"/>
      <c r="BO50068" s="43"/>
    </row>
    <row r="50069" spans="65:67" ht="18.75" customHeight="1">
      <c r="BM50069" s="1025"/>
      <c r="BO50069" s="43"/>
    </row>
    <row r="50070" spans="65:67" ht="18.75" customHeight="1">
      <c r="BM50070" s="1025"/>
      <c r="BO50070" s="43"/>
    </row>
    <row r="50071" spans="65:67" ht="18.75" customHeight="1">
      <c r="BM50071" s="1025"/>
      <c r="BO50071" s="43"/>
    </row>
    <row r="50072" spans="65:67" ht="18.75" customHeight="1">
      <c r="BM50072" s="1025"/>
      <c r="BO50072" s="43"/>
    </row>
    <row r="50073" spans="65:67" ht="18.75" customHeight="1">
      <c r="BM50073" s="1025"/>
      <c r="BO50073" s="43"/>
    </row>
    <row r="50074" spans="65:67" ht="18.75" customHeight="1">
      <c r="BM50074" s="1025"/>
      <c r="BO50074" s="43"/>
    </row>
    <row r="50075" spans="65:67" ht="18.75" customHeight="1">
      <c r="BM50075" s="1025"/>
      <c r="BO50075" s="43"/>
    </row>
    <row r="50076" spans="65:67" ht="18.75" customHeight="1">
      <c r="BM50076" s="1025"/>
      <c r="BO50076" s="43"/>
    </row>
    <row r="50077" spans="65:67" ht="18.75" customHeight="1">
      <c r="BM50077" s="1025"/>
      <c r="BO50077" s="43"/>
    </row>
    <row r="50078" spans="65:67" ht="18.75" customHeight="1">
      <c r="BM50078" s="1025"/>
      <c r="BO50078" s="43"/>
    </row>
    <row r="50079" spans="65:67" ht="18.75" customHeight="1">
      <c r="BM50079" s="1025"/>
      <c r="BO50079" s="43"/>
    </row>
    <row r="50080" spans="65:67" ht="18.75" customHeight="1">
      <c r="BM50080" s="1025"/>
      <c r="BO50080" s="43"/>
    </row>
    <row r="50081" spans="65:67" ht="18.75" customHeight="1">
      <c r="BM50081" s="1025"/>
      <c r="BO50081" s="43"/>
    </row>
    <row r="50082" spans="65:67" ht="18.75" customHeight="1">
      <c r="BM50082" s="1025"/>
      <c r="BO50082" s="43"/>
    </row>
    <row r="50083" spans="65:67" ht="18.75" customHeight="1">
      <c r="BM50083" s="1025"/>
      <c r="BO50083" s="43"/>
    </row>
    <row r="50084" spans="65:67" ht="18.75" customHeight="1">
      <c r="BM50084" s="1025"/>
      <c r="BO50084" s="43"/>
    </row>
    <row r="50085" spans="65:67" ht="18.75" customHeight="1">
      <c r="BM50085" s="1025"/>
      <c r="BO50085" s="43"/>
    </row>
    <row r="50086" spans="65:67" ht="18.75" customHeight="1">
      <c r="BM50086" s="1025"/>
      <c r="BO50086" s="43"/>
    </row>
    <row r="50087" spans="65:67" ht="18.75" customHeight="1">
      <c r="BM50087" s="1025"/>
      <c r="BO50087" s="43"/>
    </row>
    <row r="50088" spans="65:67" ht="18.75" customHeight="1">
      <c r="BM50088" s="1025"/>
      <c r="BO50088" s="43"/>
    </row>
    <row r="50089" spans="65:67" ht="18.75" customHeight="1">
      <c r="BM50089" s="1025"/>
      <c r="BO50089" s="43"/>
    </row>
    <row r="50090" spans="65:67" ht="18.75" customHeight="1">
      <c r="BM50090" s="1025"/>
      <c r="BO50090" s="43"/>
    </row>
    <row r="50091" spans="65:67" ht="18.75" customHeight="1">
      <c r="BM50091" s="1025"/>
      <c r="BO50091" s="43"/>
    </row>
    <row r="50092" spans="65:67" ht="18.75" customHeight="1">
      <c r="BM50092" s="1025"/>
      <c r="BO50092" s="43"/>
    </row>
    <row r="50093" spans="65:67" ht="18.75" customHeight="1">
      <c r="BM50093" s="1025"/>
      <c r="BO50093" s="43"/>
    </row>
    <row r="50094" spans="65:67" ht="18.75" customHeight="1">
      <c r="BM50094" s="1025"/>
      <c r="BO50094" s="43"/>
    </row>
    <row r="50095" spans="65:67" ht="18.75" customHeight="1">
      <c r="BM50095" s="1025"/>
      <c r="BO50095" s="43"/>
    </row>
    <row r="50096" spans="65:67" ht="18.75" customHeight="1">
      <c r="BM50096" s="1025"/>
      <c r="BO50096" s="43"/>
    </row>
    <row r="50097" spans="65:67" ht="18.75" customHeight="1">
      <c r="BM50097" s="1025"/>
      <c r="BO50097" s="43"/>
    </row>
    <row r="50098" spans="65:67" ht="18.75" customHeight="1">
      <c r="BM50098" s="1025"/>
      <c r="BO50098" s="43"/>
    </row>
    <row r="50099" spans="65:67" ht="18.75" customHeight="1">
      <c r="BM50099" s="1025"/>
      <c r="BO50099" s="43"/>
    </row>
    <row r="50100" spans="65:67" ht="18.75" customHeight="1">
      <c r="BM50100" s="1025"/>
      <c r="BO50100" s="43"/>
    </row>
    <row r="50101" spans="65:67" ht="18.75" customHeight="1">
      <c r="BM50101" s="1025"/>
      <c r="BO50101" s="43"/>
    </row>
    <row r="50102" spans="65:67" ht="18.75" customHeight="1">
      <c r="BM50102" s="1025"/>
      <c r="BO50102" s="43"/>
    </row>
    <row r="50103" spans="65:67" ht="18.75" customHeight="1">
      <c r="BM50103" s="1025"/>
      <c r="BO50103" s="43"/>
    </row>
    <row r="50104" spans="65:67" ht="18.75" customHeight="1">
      <c r="BM50104" s="1025"/>
      <c r="BO50104" s="43"/>
    </row>
    <row r="50105" spans="65:67" ht="18.75" customHeight="1">
      <c r="BM50105" s="1025"/>
      <c r="BO50105" s="43"/>
    </row>
    <row r="50106" spans="65:67" ht="18.75" customHeight="1">
      <c r="BM50106" s="1025"/>
      <c r="BO50106" s="43"/>
    </row>
    <row r="50107" spans="65:67" ht="18.75" customHeight="1">
      <c r="BM50107" s="1025"/>
      <c r="BO50107" s="43"/>
    </row>
    <row r="50108" spans="65:67" ht="18.75" customHeight="1">
      <c r="BM50108" s="1025"/>
      <c r="BO50108" s="43"/>
    </row>
    <row r="50109" spans="65:67" ht="18.75" customHeight="1">
      <c r="BM50109" s="1025"/>
      <c r="BO50109" s="43"/>
    </row>
    <row r="50110" spans="65:67" ht="18.75" customHeight="1">
      <c r="BM50110" s="1025"/>
      <c r="BO50110" s="43"/>
    </row>
    <row r="50111" spans="65:67" ht="18.75" customHeight="1">
      <c r="BM50111" s="1025"/>
      <c r="BO50111" s="43"/>
    </row>
    <row r="50112" spans="65:67" ht="18.75" customHeight="1">
      <c r="BM50112" s="1025"/>
      <c r="BO50112" s="43"/>
    </row>
    <row r="50113" spans="65:67" ht="18.75" customHeight="1">
      <c r="BM50113" s="1025"/>
      <c r="BO50113" s="43"/>
    </row>
    <row r="50114" spans="65:67" ht="18.75" customHeight="1">
      <c r="BM50114" s="1025"/>
      <c r="BO50114" s="43"/>
    </row>
    <row r="50115" spans="65:67" ht="18.75" customHeight="1">
      <c r="BM50115" s="1025"/>
      <c r="BO50115" s="43"/>
    </row>
    <row r="50116" spans="65:67" ht="18.75" customHeight="1">
      <c r="BM50116" s="1025"/>
      <c r="BO50116" s="43"/>
    </row>
    <row r="50117" spans="65:67" ht="18.75" customHeight="1">
      <c r="BM50117" s="1025"/>
      <c r="BO50117" s="43"/>
    </row>
    <row r="50118" spans="65:67" ht="18.75" customHeight="1">
      <c r="BM50118" s="1025"/>
      <c r="BO50118" s="43"/>
    </row>
    <row r="50119" spans="65:67" ht="18.75" customHeight="1">
      <c r="BM50119" s="1025"/>
      <c r="BO50119" s="43"/>
    </row>
    <row r="50120" spans="65:67" ht="18.75" customHeight="1">
      <c r="BM50120" s="1025"/>
      <c r="BO50120" s="43"/>
    </row>
    <row r="50121" spans="65:67" ht="18.75" customHeight="1">
      <c r="BM50121" s="1025"/>
      <c r="BO50121" s="43"/>
    </row>
    <row r="50122" spans="65:67" ht="18.75" customHeight="1">
      <c r="BM50122" s="1025"/>
      <c r="BO50122" s="43"/>
    </row>
    <row r="50123" spans="65:67" ht="18.75" customHeight="1">
      <c r="BM50123" s="1025"/>
      <c r="BO50123" s="43"/>
    </row>
    <row r="50124" spans="65:67" ht="18.75" customHeight="1">
      <c r="BM50124" s="1025"/>
      <c r="BO50124" s="43"/>
    </row>
    <row r="50125" spans="65:67" ht="18.75" customHeight="1">
      <c r="BM50125" s="1025"/>
      <c r="BO50125" s="43"/>
    </row>
    <row r="50126" spans="65:67" ht="18.75" customHeight="1">
      <c r="BM50126" s="1025"/>
      <c r="BO50126" s="43"/>
    </row>
    <row r="50127" spans="65:67" ht="18.75" customHeight="1">
      <c r="BM50127" s="1025"/>
      <c r="BO50127" s="43"/>
    </row>
    <row r="50128" spans="65:67" ht="18.75" customHeight="1">
      <c r="BM50128" s="1025"/>
      <c r="BO50128" s="43"/>
    </row>
    <row r="50129" spans="65:67" ht="18.75" customHeight="1">
      <c r="BM50129" s="1025"/>
      <c r="BO50129" s="43"/>
    </row>
    <row r="50130" spans="65:67" ht="18.75" customHeight="1">
      <c r="BM50130" s="1025"/>
      <c r="BO50130" s="43"/>
    </row>
    <row r="50131" spans="65:67" ht="18.75" customHeight="1">
      <c r="BM50131" s="1025"/>
      <c r="BO50131" s="43"/>
    </row>
    <row r="50132" spans="65:67" ht="18.75" customHeight="1">
      <c r="BM50132" s="1025"/>
      <c r="BO50132" s="43"/>
    </row>
    <row r="50133" spans="65:67" ht="18.75" customHeight="1">
      <c r="BM50133" s="1025"/>
      <c r="BO50133" s="43"/>
    </row>
    <row r="50134" spans="65:67" ht="18.75" customHeight="1">
      <c r="BM50134" s="1025"/>
      <c r="BO50134" s="43"/>
    </row>
    <row r="50135" spans="65:67" ht="18.75" customHeight="1">
      <c r="BM50135" s="1025"/>
      <c r="BO50135" s="43"/>
    </row>
    <row r="50136" spans="65:67" ht="18.75" customHeight="1">
      <c r="BM50136" s="1025"/>
      <c r="BO50136" s="43"/>
    </row>
    <row r="50137" spans="65:67" ht="18.75" customHeight="1">
      <c r="BM50137" s="1025"/>
      <c r="BO50137" s="43"/>
    </row>
    <row r="50138" spans="65:67" ht="18.75" customHeight="1">
      <c r="BM50138" s="1025"/>
      <c r="BO50138" s="43"/>
    </row>
    <row r="50139" spans="65:67" ht="18.75" customHeight="1">
      <c r="BM50139" s="1025"/>
      <c r="BO50139" s="43"/>
    </row>
    <row r="50140" spans="65:67" ht="18.75" customHeight="1">
      <c r="BM50140" s="1025"/>
      <c r="BO50140" s="43"/>
    </row>
    <row r="50141" spans="65:67" ht="18.75" customHeight="1">
      <c r="BM50141" s="1025"/>
      <c r="BO50141" s="43"/>
    </row>
    <row r="50142" spans="65:67" ht="18.75" customHeight="1">
      <c r="BM50142" s="1025"/>
      <c r="BO50142" s="43"/>
    </row>
    <row r="50143" spans="65:67" ht="18.75" customHeight="1">
      <c r="BM50143" s="1025"/>
      <c r="BO50143" s="43"/>
    </row>
    <row r="50144" spans="65:67" ht="18.75" customHeight="1">
      <c r="BM50144" s="1025"/>
      <c r="BO50144" s="43"/>
    </row>
    <row r="50145" spans="65:67" ht="18.75" customHeight="1">
      <c r="BM50145" s="1025"/>
      <c r="BO50145" s="43"/>
    </row>
    <row r="50146" spans="65:67" ht="18.75" customHeight="1">
      <c r="BM50146" s="1025"/>
      <c r="BO50146" s="43"/>
    </row>
    <row r="50147" spans="65:67" ht="18.75" customHeight="1">
      <c r="BM50147" s="1025"/>
      <c r="BO50147" s="43"/>
    </row>
    <row r="50148" spans="65:67" ht="18.75" customHeight="1">
      <c r="BM50148" s="1025"/>
      <c r="BO50148" s="43"/>
    </row>
    <row r="50149" spans="65:67" ht="18.75" customHeight="1">
      <c r="BM50149" s="1025"/>
      <c r="BO50149" s="43"/>
    </row>
    <row r="50150" spans="65:67" ht="18.75" customHeight="1">
      <c r="BM50150" s="1025"/>
      <c r="BO50150" s="43"/>
    </row>
    <row r="50151" spans="65:67" ht="18.75" customHeight="1">
      <c r="BM50151" s="1025"/>
      <c r="BO50151" s="43"/>
    </row>
    <row r="50152" spans="65:67" ht="18.75" customHeight="1">
      <c r="BM50152" s="1025"/>
      <c r="BO50152" s="43"/>
    </row>
    <row r="50153" spans="65:67" ht="18.75" customHeight="1">
      <c r="BM50153" s="1025"/>
      <c r="BO50153" s="43"/>
    </row>
    <row r="50154" spans="65:67" ht="18.75" customHeight="1">
      <c r="BM50154" s="1025"/>
      <c r="BO50154" s="43"/>
    </row>
    <row r="50155" spans="65:67" ht="18.75" customHeight="1">
      <c r="BM50155" s="1025"/>
      <c r="BO50155" s="43"/>
    </row>
    <row r="50156" spans="65:67" ht="18.75" customHeight="1">
      <c r="BM50156" s="1025"/>
      <c r="BO50156" s="43"/>
    </row>
    <row r="50157" spans="65:67" ht="18.75" customHeight="1">
      <c r="BM50157" s="1025"/>
      <c r="BO50157" s="43"/>
    </row>
    <row r="50158" spans="65:67" ht="18.75" customHeight="1">
      <c r="BM50158" s="1025"/>
      <c r="BO50158" s="43"/>
    </row>
    <row r="50159" spans="65:67" ht="18.75" customHeight="1">
      <c r="BM50159" s="1025"/>
      <c r="BO50159" s="43"/>
    </row>
    <row r="50160" spans="65:67" ht="18.75" customHeight="1">
      <c r="BM50160" s="1025"/>
      <c r="BO50160" s="43"/>
    </row>
    <row r="50161" spans="65:67" ht="18.75" customHeight="1">
      <c r="BM50161" s="1025"/>
      <c r="BO50161" s="43"/>
    </row>
    <row r="50162" spans="65:67" ht="18.75" customHeight="1">
      <c r="BM50162" s="1025"/>
      <c r="BO50162" s="43"/>
    </row>
    <row r="50163" spans="65:67" ht="18.75" customHeight="1">
      <c r="BM50163" s="1025"/>
      <c r="BO50163" s="43"/>
    </row>
    <row r="50164" spans="65:67" ht="18.75" customHeight="1">
      <c r="BM50164" s="1025"/>
      <c r="BO50164" s="43"/>
    </row>
    <row r="50165" spans="65:67" ht="18.75" customHeight="1">
      <c r="BM50165" s="1025"/>
      <c r="BO50165" s="43"/>
    </row>
    <row r="50166" spans="65:67" ht="18.75" customHeight="1">
      <c r="BM50166" s="1025"/>
      <c r="BO50166" s="43"/>
    </row>
    <row r="50167" spans="65:67" ht="18.75" customHeight="1">
      <c r="BM50167" s="1025"/>
      <c r="BO50167" s="43"/>
    </row>
    <row r="50168" spans="65:67" ht="18.75" customHeight="1">
      <c r="BM50168" s="1025"/>
      <c r="BO50168" s="43"/>
    </row>
    <row r="50169" spans="65:67" ht="18.75" customHeight="1">
      <c r="BM50169" s="1025"/>
      <c r="BO50169" s="43"/>
    </row>
    <row r="50170" spans="65:67" ht="18.75" customHeight="1">
      <c r="BM50170" s="1025"/>
      <c r="BO50170" s="43"/>
    </row>
    <row r="50171" spans="65:67" ht="18.75" customHeight="1">
      <c r="BM50171" s="1025"/>
      <c r="BO50171" s="43"/>
    </row>
    <row r="50172" spans="65:67" ht="18.75" customHeight="1">
      <c r="BM50172" s="1025"/>
      <c r="BO50172" s="43"/>
    </row>
    <row r="50173" spans="65:67" ht="18.75" customHeight="1">
      <c r="BM50173" s="1025"/>
      <c r="BO50173" s="43"/>
    </row>
    <row r="50174" spans="65:67" ht="18.75" customHeight="1">
      <c r="BM50174" s="1025"/>
      <c r="BO50174" s="43"/>
    </row>
    <row r="50175" spans="65:67" ht="18.75" customHeight="1">
      <c r="BM50175" s="1025"/>
      <c r="BO50175" s="43"/>
    </row>
    <row r="50176" spans="65:67" ht="18.75" customHeight="1">
      <c r="BM50176" s="1025"/>
      <c r="BO50176" s="43"/>
    </row>
    <row r="50177" spans="65:67" ht="18.75" customHeight="1">
      <c r="BM50177" s="1025"/>
      <c r="BO50177" s="43"/>
    </row>
    <row r="50178" spans="65:67" ht="18.75" customHeight="1">
      <c r="BM50178" s="1025"/>
      <c r="BO50178" s="43"/>
    </row>
    <row r="50179" spans="65:67" ht="18.75" customHeight="1">
      <c r="BM50179" s="1025"/>
      <c r="BO50179" s="43"/>
    </row>
    <row r="50180" spans="65:67" ht="18.75" customHeight="1">
      <c r="BM50180" s="1025"/>
      <c r="BO50180" s="43"/>
    </row>
    <row r="50181" spans="65:67" ht="18.75" customHeight="1">
      <c r="BM50181" s="1025"/>
      <c r="BO50181" s="43"/>
    </row>
    <row r="50182" spans="65:67" ht="18.75" customHeight="1">
      <c r="BM50182" s="1025"/>
      <c r="BO50182" s="43"/>
    </row>
    <row r="50183" spans="65:67" ht="18.75" customHeight="1">
      <c r="BM50183" s="1025"/>
      <c r="BO50183" s="43"/>
    </row>
    <row r="50184" spans="65:67" ht="18.75" customHeight="1">
      <c r="BM50184" s="1025"/>
      <c r="BO50184" s="43"/>
    </row>
    <row r="50185" spans="65:67" ht="18.75" customHeight="1">
      <c r="BM50185" s="1025"/>
      <c r="BO50185" s="43"/>
    </row>
    <row r="50186" spans="65:67" ht="18.75" customHeight="1">
      <c r="BM50186" s="1025"/>
      <c r="BO50186" s="43"/>
    </row>
    <row r="50187" spans="65:67" ht="18.75" customHeight="1">
      <c r="BM50187" s="1025"/>
      <c r="BO50187" s="43"/>
    </row>
    <row r="50188" spans="65:67" ht="18.75" customHeight="1">
      <c r="BM50188" s="1025"/>
      <c r="BO50188" s="43"/>
    </row>
    <row r="50189" spans="65:67" ht="18.75" customHeight="1">
      <c r="BM50189" s="1025"/>
      <c r="BO50189" s="43"/>
    </row>
    <row r="50190" spans="65:67" ht="18.75" customHeight="1">
      <c r="BM50190" s="1025"/>
      <c r="BO50190" s="43"/>
    </row>
    <row r="50191" spans="65:67" ht="18.75" customHeight="1">
      <c r="BM50191" s="1025"/>
      <c r="BO50191" s="43"/>
    </row>
    <row r="50192" spans="65:67" ht="18.75" customHeight="1">
      <c r="BM50192" s="1025"/>
      <c r="BO50192" s="43"/>
    </row>
    <row r="50193" spans="65:67" ht="18.75" customHeight="1">
      <c r="BM50193" s="1025"/>
      <c r="BO50193" s="43"/>
    </row>
    <row r="50194" spans="65:67" ht="18.75" customHeight="1">
      <c r="BM50194" s="1025"/>
      <c r="BO50194" s="43"/>
    </row>
    <row r="50195" spans="65:67" ht="18.75" customHeight="1">
      <c r="BM50195" s="1025"/>
      <c r="BO50195" s="43"/>
    </row>
    <row r="50196" spans="65:67" ht="18.75" customHeight="1">
      <c r="BM50196" s="1025"/>
      <c r="BO50196" s="43"/>
    </row>
    <row r="50197" spans="65:67" ht="18.75" customHeight="1">
      <c r="BM50197" s="1025"/>
      <c r="BO50197" s="43"/>
    </row>
    <row r="50198" spans="65:67" ht="18.75" customHeight="1">
      <c r="BM50198" s="1025"/>
      <c r="BO50198" s="43"/>
    </row>
    <row r="50199" spans="65:67" ht="18.75" customHeight="1">
      <c r="BM50199" s="1025"/>
      <c r="BO50199" s="43"/>
    </row>
    <row r="50200" spans="65:67" ht="18.75" customHeight="1">
      <c r="BM50200" s="1025"/>
      <c r="BO50200" s="43"/>
    </row>
    <row r="50201" spans="65:67" ht="18.75" customHeight="1">
      <c r="BM50201" s="1025"/>
      <c r="BO50201" s="43"/>
    </row>
    <row r="50202" spans="65:67" ht="18.75" customHeight="1">
      <c r="BM50202" s="1025"/>
      <c r="BO50202" s="43"/>
    </row>
    <row r="50203" spans="65:67" ht="18.75" customHeight="1">
      <c r="BM50203" s="1025"/>
      <c r="BO50203" s="43"/>
    </row>
    <row r="50204" spans="65:67" ht="18.75" customHeight="1">
      <c r="BM50204" s="1025"/>
      <c r="BO50204" s="43"/>
    </row>
    <row r="50205" spans="65:67" ht="18.75" customHeight="1">
      <c r="BM50205" s="1025"/>
      <c r="BO50205" s="43"/>
    </row>
    <row r="50206" spans="65:67" ht="18.75" customHeight="1">
      <c r="BM50206" s="1025"/>
      <c r="BO50206" s="43"/>
    </row>
    <row r="50207" spans="65:67" ht="18.75" customHeight="1">
      <c r="BM50207" s="1025"/>
      <c r="BO50207" s="43"/>
    </row>
    <row r="50208" spans="65:67" ht="18.75" customHeight="1">
      <c r="BM50208" s="1025"/>
      <c r="BO50208" s="43"/>
    </row>
    <row r="50209" spans="65:67" ht="18.75" customHeight="1">
      <c r="BM50209" s="1025"/>
      <c r="BO50209" s="43"/>
    </row>
    <row r="50210" spans="65:67" ht="18.75" customHeight="1">
      <c r="BM50210" s="1025"/>
      <c r="BO50210" s="43"/>
    </row>
    <row r="50211" spans="65:67" ht="18.75" customHeight="1">
      <c r="BM50211" s="1025"/>
      <c r="BO50211" s="43"/>
    </row>
    <row r="50212" spans="65:67" ht="18.75" customHeight="1">
      <c r="BM50212" s="1025"/>
      <c r="BO50212" s="43"/>
    </row>
    <row r="50213" spans="65:67" ht="18.75" customHeight="1">
      <c r="BM50213" s="1025"/>
      <c r="BO50213" s="43"/>
    </row>
    <row r="50214" spans="65:67" ht="18.75" customHeight="1">
      <c r="BM50214" s="1025"/>
      <c r="BO50214" s="43"/>
    </row>
    <row r="50215" spans="65:67" ht="18.75" customHeight="1">
      <c r="BM50215" s="1025"/>
      <c r="BO50215" s="43"/>
    </row>
    <row r="50216" spans="65:67" ht="18.75" customHeight="1">
      <c r="BM50216" s="1025"/>
      <c r="BO50216" s="43"/>
    </row>
    <row r="50217" spans="65:67" ht="18.75" customHeight="1">
      <c r="BM50217" s="1025"/>
      <c r="BO50217" s="43"/>
    </row>
    <row r="50218" spans="65:67" ht="18.75" customHeight="1">
      <c r="BM50218" s="1025"/>
      <c r="BO50218" s="43"/>
    </row>
    <row r="50219" spans="65:67" ht="18.75" customHeight="1">
      <c r="BM50219" s="1025"/>
      <c r="BO50219" s="43"/>
    </row>
    <row r="50220" spans="65:67" ht="18.75" customHeight="1">
      <c r="BM50220" s="1025"/>
      <c r="BO50220" s="43"/>
    </row>
    <row r="50221" spans="65:67" ht="18.75" customHeight="1">
      <c r="BM50221" s="1025"/>
      <c r="BO50221" s="43"/>
    </row>
    <row r="50222" spans="65:67" ht="18.75" customHeight="1">
      <c r="BM50222" s="1025"/>
      <c r="BO50222" s="43"/>
    </row>
    <row r="50223" spans="65:67" ht="18.75" customHeight="1">
      <c r="BM50223" s="1025"/>
      <c r="BO50223" s="43"/>
    </row>
    <row r="50224" spans="65:67" ht="18.75" customHeight="1">
      <c r="BM50224" s="1025"/>
      <c r="BO50224" s="43"/>
    </row>
    <row r="50225" spans="65:67" ht="18.75" customHeight="1">
      <c r="BM50225" s="1025"/>
      <c r="BO50225" s="43"/>
    </row>
    <row r="50226" spans="65:67" ht="18.75" customHeight="1">
      <c r="BM50226" s="1025"/>
      <c r="BO50226" s="43"/>
    </row>
    <row r="50227" spans="65:67" ht="18.75" customHeight="1">
      <c r="BM50227" s="1025"/>
      <c r="BO50227" s="43"/>
    </row>
    <row r="50228" spans="65:67" ht="18.75" customHeight="1">
      <c r="BM50228" s="1025"/>
      <c r="BO50228" s="43"/>
    </row>
    <row r="50229" spans="65:67" ht="18.75" customHeight="1">
      <c r="BM50229" s="1025"/>
      <c r="BO50229" s="43"/>
    </row>
    <row r="50230" spans="65:67" ht="18.75" customHeight="1">
      <c r="BM50230" s="1025"/>
      <c r="BO50230" s="43"/>
    </row>
    <row r="50231" spans="65:67" ht="18.75" customHeight="1">
      <c r="BM50231" s="1025"/>
      <c r="BO50231" s="43"/>
    </row>
    <row r="50232" spans="65:67" ht="18.75" customHeight="1">
      <c r="BM50232" s="1025"/>
      <c r="BO50232" s="43"/>
    </row>
    <row r="50233" spans="65:67" ht="18.75" customHeight="1">
      <c r="BM50233" s="1025"/>
      <c r="BO50233" s="43"/>
    </row>
    <row r="50234" spans="65:67" ht="18.75" customHeight="1">
      <c r="BM50234" s="1025"/>
      <c r="BO50234" s="43"/>
    </row>
    <row r="50235" spans="65:67" ht="18.75" customHeight="1">
      <c r="BM50235" s="1025"/>
      <c r="BO50235" s="43"/>
    </row>
    <row r="50236" spans="65:67" ht="18.75" customHeight="1">
      <c r="BM50236" s="1025"/>
      <c r="BO50236" s="43"/>
    </row>
    <row r="50237" spans="65:67" ht="18.75" customHeight="1">
      <c r="BM50237" s="1025"/>
      <c r="BO50237" s="43"/>
    </row>
    <row r="50238" spans="65:67" ht="18.75" customHeight="1">
      <c r="BM50238" s="1025"/>
      <c r="BO50238" s="43"/>
    </row>
    <row r="50239" spans="65:67" ht="18.75" customHeight="1">
      <c r="BM50239" s="1025"/>
      <c r="BO50239" s="43"/>
    </row>
    <row r="50240" spans="65:67" ht="18.75" customHeight="1">
      <c r="BM50240" s="1025"/>
      <c r="BO50240" s="43"/>
    </row>
    <row r="50241" spans="65:67" ht="18.75" customHeight="1">
      <c r="BM50241" s="1025"/>
      <c r="BO50241" s="43"/>
    </row>
    <row r="50242" spans="65:67" ht="18.75" customHeight="1">
      <c r="BM50242" s="1025"/>
      <c r="BO50242" s="43"/>
    </row>
    <row r="50243" spans="65:67" ht="18.75" customHeight="1">
      <c r="BM50243" s="1025"/>
      <c r="BO50243" s="43"/>
    </row>
    <row r="50244" spans="65:67" ht="18.75" customHeight="1">
      <c r="BM50244" s="1025"/>
      <c r="BO50244" s="43"/>
    </row>
    <row r="50245" spans="65:67" ht="18.75" customHeight="1">
      <c r="BM50245" s="1025"/>
      <c r="BO50245" s="43"/>
    </row>
    <row r="50246" spans="65:67" ht="18.75" customHeight="1">
      <c r="BM50246" s="1025"/>
      <c r="BO50246" s="43"/>
    </row>
    <row r="50247" spans="65:67" ht="18.75" customHeight="1">
      <c r="BM50247" s="1025"/>
      <c r="BO50247" s="43"/>
    </row>
    <row r="50248" spans="65:67" ht="18.75" customHeight="1">
      <c r="BM50248" s="1025"/>
      <c r="BO50248" s="43"/>
    </row>
    <row r="50249" spans="65:67" ht="18.75" customHeight="1">
      <c r="BM50249" s="1025"/>
      <c r="BO50249" s="43"/>
    </row>
    <row r="50250" spans="65:67" ht="18.75" customHeight="1">
      <c r="BM50250" s="1025"/>
      <c r="BO50250" s="43"/>
    </row>
    <row r="50251" spans="65:67" ht="18.75" customHeight="1">
      <c r="BM50251" s="1025"/>
      <c r="BO50251" s="43"/>
    </row>
    <row r="50252" spans="65:67" ht="18.75" customHeight="1">
      <c r="BM50252" s="1025"/>
      <c r="BO50252" s="43"/>
    </row>
    <row r="50253" spans="65:67" ht="18.75" customHeight="1">
      <c r="BM50253" s="1025"/>
      <c r="BO50253" s="43"/>
    </row>
    <row r="50254" spans="65:67" ht="18.75" customHeight="1">
      <c r="BM50254" s="1025"/>
      <c r="BO50254" s="43"/>
    </row>
    <row r="50255" spans="65:67" ht="18.75" customHeight="1">
      <c r="BM50255" s="1025"/>
      <c r="BO50255" s="43"/>
    </row>
    <row r="50256" spans="65:67" ht="18.75" customHeight="1">
      <c r="BM50256" s="1025"/>
      <c r="BO50256" s="43"/>
    </row>
    <row r="50257" spans="65:67" ht="18.75" customHeight="1">
      <c r="BM50257" s="1025"/>
      <c r="BO50257" s="43"/>
    </row>
    <row r="50258" spans="65:67" ht="18.75" customHeight="1">
      <c r="BM50258" s="1025"/>
      <c r="BO50258" s="43"/>
    </row>
    <row r="50259" spans="65:67" ht="18.75" customHeight="1">
      <c r="BM50259" s="1025"/>
      <c r="BO50259" s="43"/>
    </row>
    <row r="50260" spans="65:67" ht="18.75" customHeight="1">
      <c r="BM50260" s="1025"/>
      <c r="BO50260" s="43"/>
    </row>
    <row r="50261" spans="65:67" ht="18.75" customHeight="1">
      <c r="BM50261" s="1025"/>
      <c r="BO50261" s="43"/>
    </row>
    <row r="50262" spans="65:67" ht="18.75" customHeight="1">
      <c r="BM50262" s="1025"/>
      <c r="BO50262" s="43"/>
    </row>
    <row r="50263" spans="65:67" ht="18.75" customHeight="1">
      <c r="BM50263" s="1025"/>
      <c r="BO50263" s="43"/>
    </row>
    <row r="50264" spans="65:67" ht="18.75" customHeight="1">
      <c r="BM50264" s="1025"/>
      <c r="BO50264" s="43"/>
    </row>
    <row r="50265" spans="65:67" ht="18.75" customHeight="1">
      <c r="BM50265" s="1025"/>
      <c r="BO50265" s="43"/>
    </row>
    <row r="50266" spans="65:67" ht="18.75" customHeight="1">
      <c r="BM50266" s="1025"/>
      <c r="BO50266" s="43"/>
    </row>
    <row r="50267" spans="65:67" ht="18.75" customHeight="1">
      <c r="BM50267" s="1025"/>
      <c r="BO50267" s="43"/>
    </row>
    <row r="50268" spans="65:67" ht="18.75" customHeight="1">
      <c r="BM50268" s="1025"/>
      <c r="BO50268" s="43"/>
    </row>
    <row r="50269" spans="65:67" ht="18.75" customHeight="1">
      <c r="BM50269" s="1025"/>
      <c r="BO50269" s="43"/>
    </row>
    <row r="50270" spans="65:67" ht="18.75" customHeight="1">
      <c r="BM50270" s="1025"/>
      <c r="BO50270" s="43"/>
    </row>
    <row r="50271" spans="65:67" ht="18.75" customHeight="1">
      <c r="BM50271" s="1025"/>
      <c r="BO50271" s="43"/>
    </row>
    <row r="50272" spans="65:67" ht="18.75" customHeight="1">
      <c r="BM50272" s="1025"/>
      <c r="BO50272" s="43"/>
    </row>
    <row r="50273" spans="65:67" ht="18.75" customHeight="1">
      <c r="BM50273" s="1025"/>
      <c r="BO50273" s="43"/>
    </row>
    <row r="50274" spans="65:67" ht="18.75" customHeight="1">
      <c r="BM50274" s="1025"/>
      <c r="BO50274" s="43"/>
    </row>
    <row r="50275" spans="65:67" ht="18.75" customHeight="1">
      <c r="BM50275" s="1025"/>
      <c r="BO50275" s="43"/>
    </row>
    <row r="50276" spans="65:67" ht="18.75" customHeight="1">
      <c r="BM50276" s="1025"/>
      <c r="BO50276" s="43"/>
    </row>
    <row r="50277" spans="65:67" ht="18.75" customHeight="1">
      <c r="BM50277" s="1025"/>
      <c r="BO50277" s="43"/>
    </row>
    <row r="50278" spans="65:67" ht="18.75" customHeight="1">
      <c r="BM50278" s="1025"/>
      <c r="BO50278" s="43"/>
    </row>
    <row r="50279" spans="65:67" ht="18.75" customHeight="1">
      <c r="BM50279" s="1025"/>
      <c r="BO50279" s="43"/>
    </row>
    <row r="50280" spans="65:67" ht="18.75" customHeight="1">
      <c r="BM50280" s="1025"/>
      <c r="BO50280" s="43"/>
    </row>
    <row r="50281" spans="65:67" ht="18.75" customHeight="1">
      <c r="BM50281" s="1025"/>
      <c r="BO50281" s="43"/>
    </row>
    <row r="50282" spans="65:67" ht="18.75" customHeight="1">
      <c r="BM50282" s="1025"/>
      <c r="BO50282" s="43"/>
    </row>
    <row r="50283" spans="65:67" ht="18.75" customHeight="1">
      <c r="BM50283" s="1025"/>
      <c r="BO50283" s="43"/>
    </row>
    <row r="50284" spans="65:67" ht="18.75" customHeight="1">
      <c r="BM50284" s="1025"/>
      <c r="BO50284" s="43"/>
    </row>
    <row r="50285" spans="65:67" ht="18.75" customHeight="1">
      <c r="BM50285" s="1025"/>
      <c r="BO50285" s="43"/>
    </row>
    <row r="50286" spans="65:67" ht="18.75" customHeight="1">
      <c r="BM50286" s="1025"/>
      <c r="BO50286" s="43"/>
    </row>
    <row r="50287" spans="65:67" ht="18.75" customHeight="1">
      <c r="BM50287" s="1025"/>
      <c r="BO50287" s="43"/>
    </row>
    <row r="50288" spans="65:67" ht="18.75" customHeight="1">
      <c r="BM50288" s="1025"/>
      <c r="BO50288" s="43"/>
    </row>
    <row r="50289" spans="65:67" ht="18.75" customHeight="1">
      <c r="BM50289" s="1025"/>
      <c r="BO50289" s="43"/>
    </row>
    <row r="50290" spans="65:67" ht="18.75" customHeight="1">
      <c r="BM50290" s="1025"/>
      <c r="BO50290" s="43"/>
    </row>
    <row r="50291" spans="65:67" ht="18.75" customHeight="1">
      <c r="BM50291" s="1025"/>
      <c r="BO50291" s="43"/>
    </row>
    <row r="50292" spans="65:67" ht="18.75" customHeight="1">
      <c r="BM50292" s="1025"/>
      <c r="BO50292" s="43"/>
    </row>
    <row r="50293" spans="65:67" ht="18.75" customHeight="1">
      <c r="BM50293" s="1025"/>
      <c r="BO50293" s="43"/>
    </row>
    <row r="50294" spans="65:67" ht="18.75" customHeight="1">
      <c r="BM50294" s="1025"/>
      <c r="BO50294" s="43"/>
    </row>
    <row r="50295" spans="65:67" ht="18.75" customHeight="1">
      <c r="BM50295" s="1025"/>
      <c r="BO50295" s="43"/>
    </row>
    <row r="50296" spans="65:67" ht="18.75" customHeight="1">
      <c r="BM50296" s="1025"/>
      <c r="BO50296" s="43"/>
    </row>
    <row r="50297" spans="65:67" ht="18.75" customHeight="1">
      <c r="BM50297" s="1025"/>
      <c r="BO50297" s="43"/>
    </row>
    <row r="50298" spans="65:67" ht="18.75" customHeight="1">
      <c r="BM50298" s="1025"/>
      <c r="BO50298" s="43"/>
    </row>
    <row r="50299" spans="65:67" ht="18.75" customHeight="1">
      <c r="BM50299" s="1025"/>
      <c r="BO50299" s="43"/>
    </row>
    <row r="50300" spans="65:67" ht="18.75" customHeight="1">
      <c r="BM50300" s="1025"/>
      <c r="BO50300" s="43"/>
    </row>
    <row r="50301" spans="65:67" ht="18.75" customHeight="1">
      <c r="BM50301" s="1025"/>
      <c r="BO50301" s="43"/>
    </row>
    <row r="50302" spans="65:67" ht="18.75" customHeight="1">
      <c r="BM50302" s="1025"/>
      <c r="BO50302" s="43"/>
    </row>
    <row r="50303" spans="65:67" ht="18.75" customHeight="1">
      <c r="BM50303" s="1025"/>
      <c r="BO50303" s="43"/>
    </row>
    <row r="50304" spans="65:67" ht="18.75" customHeight="1">
      <c r="BM50304" s="1025"/>
      <c r="BO50304" s="43"/>
    </row>
    <row r="50305" spans="65:67" ht="18.75" customHeight="1">
      <c r="BM50305" s="1025"/>
      <c r="BO50305" s="43"/>
    </row>
    <row r="50306" spans="65:67" ht="18.75" customHeight="1">
      <c r="BM50306" s="1025"/>
      <c r="BO50306" s="43"/>
    </row>
    <row r="50307" spans="65:67" ht="18.75" customHeight="1">
      <c r="BM50307" s="1025"/>
      <c r="BO50307" s="43"/>
    </row>
    <row r="50308" spans="65:67" ht="18.75" customHeight="1">
      <c r="BM50308" s="1025"/>
      <c r="BO50308" s="43"/>
    </row>
    <row r="50309" spans="65:67" ht="18.75" customHeight="1">
      <c r="BM50309" s="1025"/>
      <c r="BO50309" s="43"/>
    </row>
    <row r="50310" spans="65:67" ht="18.75" customHeight="1">
      <c r="BM50310" s="1025"/>
      <c r="BO50310" s="43"/>
    </row>
    <row r="50311" spans="65:67" ht="18.75" customHeight="1">
      <c r="BM50311" s="1025"/>
      <c r="BO50311" s="43"/>
    </row>
    <row r="50312" spans="65:67" ht="18.75" customHeight="1">
      <c r="BM50312" s="1025"/>
      <c r="BO50312" s="43"/>
    </row>
    <row r="50313" spans="65:67" ht="18.75" customHeight="1">
      <c r="BM50313" s="1025"/>
      <c r="BO50313" s="43"/>
    </row>
    <row r="50314" spans="65:67" ht="18.75" customHeight="1">
      <c r="BM50314" s="1025"/>
      <c r="BO50314" s="43"/>
    </row>
    <row r="50315" spans="65:67" ht="18.75" customHeight="1">
      <c r="BM50315" s="1025"/>
      <c r="BO50315" s="43"/>
    </row>
    <row r="50316" spans="65:67" ht="18.75" customHeight="1">
      <c r="BM50316" s="1025"/>
      <c r="BO50316" s="43"/>
    </row>
    <row r="50317" spans="65:67" ht="18.75" customHeight="1">
      <c r="BM50317" s="1025"/>
      <c r="BO50317" s="43"/>
    </row>
    <row r="50318" spans="65:67" ht="18.75" customHeight="1">
      <c r="BM50318" s="1025"/>
      <c r="BO50318" s="43"/>
    </row>
    <row r="50319" spans="65:67" ht="18.75" customHeight="1">
      <c r="BM50319" s="1025"/>
      <c r="BO50319" s="43"/>
    </row>
    <row r="50320" spans="65:67" ht="18.75" customHeight="1">
      <c r="BM50320" s="1025"/>
      <c r="BO50320" s="43"/>
    </row>
    <row r="50321" spans="65:67" ht="18.75" customHeight="1">
      <c r="BM50321" s="1025"/>
      <c r="BO50321" s="43"/>
    </row>
    <row r="50322" spans="65:67" ht="18.75" customHeight="1">
      <c r="BM50322" s="1025"/>
      <c r="BO50322" s="43"/>
    </row>
    <row r="50323" spans="65:67" ht="18.75" customHeight="1">
      <c r="BM50323" s="1025"/>
      <c r="BO50323" s="43"/>
    </row>
    <row r="50324" spans="65:67" ht="18.75" customHeight="1">
      <c r="BM50324" s="1025"/>
      <c r="BO50324" s="43"/>
    </row>
    <row r="50325" spans="65:67" ht="18.75" customHeight="1">
      <c r="BM50325" s="1025"/>
      <c r="BO50325" s="43"/>
    </row>
    <row r="50326" spans="65:67" ht="18.75" customHeight="1">
      <c r="BM50326" s="1025"/>
      <c r="BO50326" s="43"/>
    </row>
    <row r="50327" spans="65:67" ht="18.75" customHeight="1">
      <c r="BM50327" s="1025"/>
      <c r="BO50327" s="43"/>
    </row>
    <row r="50328" spans="65:67" ht="18.75" customHeight="1">
      <c r="BM50328" s="1025"/>
      <c r="BO50328" s="43"/>
    </row>
    <row r="50329" spans="65:67" ht="18.75" customHeight="1">
      <c r="BM50329" s="1025"/>
      <c r="BO50329" s="43"/>
    </row>
    <row r="50330" spans="65:67" ht="18.75" customHeight="1">
      <c r="BM50330" s="1025"/>
      <c r="BO50330" s="43"/>
    </row>
    <row r="50331" spans="65:67" ht="18.75" customHeight="1">
      <c r="BM50331" s="1025"/>
      <c r="BO50331" s="43"/>
    </row>
    <row r="50332" spans="65:67" ht="18.75" customHeight="1">
      <c r="BM50332" s="1025"/>
      <c r="BO50332" s="43"/>
    </row>
    <row r="50333" spans="65:67" ht="18.75" customHeight="1">
      <c r="BM50333" s="1025"/>
      <c r="BO50333" s="43"/>
    </row>
    <row r="50334" spans="65:67" ht="18.75" customHeight="1">
      <c r="BM50334" s="1025"/>
      <c r="BO50334" s="43"/>
    </row>
    <row r="50335" spans="65:67" ht="18.75" customHeight="1">
      <c r="BM50335" s="1025"/>
      <c r="BO50335" s="43"/>
    </row>
    <row r="50336" spans="65:67" ht="18.75" customHeight="1">
      <c r="BM50336" s="1025"/>
      <c r="BO50336" s="43"/>
    </row>
    <row r="50337" spans="65:67" ht="18.75" customHeight="1">
      <c r="BM50337" s="1025"/>
      <c r="BO50337" s="43"/>
    </row>
    <row r="50338" spans="65:67" ht="18.75" customHeight="1">
      <c r="BM50338" s="1025"/>
      <c r="BO50338" s="43"/>
    </row>
    <row r="50339" spans="65:67" ht="18.75" customHeight="1">
      <c r="BM50339" s="1025"/>
      <c r="BO50339" s="43"/>
    </row>
    <row r="50340" spans="65:67" ht="18.75" customHeight="1">
      <c r="BM50340" s="1025"/>
      <c r="BO50340" s="43"/>
    </row>
    <row r="50341" spans="65:67" ht="18.75" customHeight="1">
      <c r="BM50341" s="1025"/>
      <c r="BO50341" s="43"/>
    </row>
    <row r="50342" spans="65:67" ht="18.75" customHeight="1">
      <c r="BM50342" s="1025"/>
      <c r="BO50342" s="43"/>
    </row>
    <row r="50343" spans="65:67" ht="18.75" customHeight="1">
      <c r="BM50343" s="1025"/>
      <c r="BO50343" s="43"/>
    </row>
    <row r="50344" spans="65:67" ht="18.75" customHeight="1">
      <c r="BM50344" s="1025"/>
      <c r="BO50344" s="43"/>
    </row>
    <row r="50345" spans="65:67" ht="18.75" customHeight="1">
      <c r="BM50345" s="1025"/>
      <c r="BO50345" s="43"/>
    </row>
    <row r="50346" spans="65:67" ht="18.75" customHeight="1">
      <c r="BM50346" s="1025"/>
      <c r="BO50346" s="43"/>
    </row>
    <row r="50347" spans="65:67" ht="18.75" customHeight="1">
      <c r="BM50347" s="1025"/>
      <c r="BO50347" s="43"/>
    </row>
    <row r="50348" spans="65:67" ht="18.75" customHeight="1">
      <c r="BM50348" s="1025"/>
      <c r="BO50348" s="43"/>
    </row>
    <row r="50349" spans="65:67" ht="18.75" customHeight="1">
      <c r="BM50349" s="1025"/>
      <c r="BO50349" s="43"/>
    </row>
    <row r="50350" spans="65:67" ht="18.75" customHeight="1">
      <c r="BM50350" s="1025"/>
      <c r="BO50350" s="43"/>
    </row>
    <row r="50351" spans="65:67" ht="18.75" customHeight="1">
      <c r="BM50351" s="1025"/>
      <c r="BO50351" s="43"/>
    </row>
    <row r="50352" spans="65:67" ht="18.75" customHeight="1">
      <c r="BM50352" s="1025"/>
      <c r="BO50352" s="43"/>
    </row>
    <row r="50353" spans="65:67" ht="18.75" customHeight="1">
      <c r="BM50353" s="1025"/>
      <c r="BO50353" s="43"/>
    </row>
    <row r="50354" spans="65:67" ht="18.75" customHeight="1">
      <c r="BM50354" s="1025"/>
      <c r="BO50354" s="43"/>
    </row>
    <row r="50355" spans="65:67" ht="18.75" customHeight="1">
      <c r="BM50355" s="1025"/>
      <c r="BO50355" s="43"/>
    </row>
    <row r="50356" spans="65:67" ht="18.75" customHeight="1">
      <c r="BM50356" s="1025"/>
      <c r="BO50356" s="43"/>
    </row>
    <row r="50357" spans="65:67" ht="18.75" customHeight="1">
      <c r="BM50357" s="1025"/>
      <c r="BO50357" s="43"/>
    </row>
    <row r="50358" spans="65:67" ht="18.75" customHeight="1">
      <c r="BM50358" s="1025"/>
      <c r="BO50358" s="43"/>
    </row>
    <row r="50359" spans="65:67" ht="18.75" customHeight="1">
      <c r="BM50359" s="1025"/>
      <c r="BO50359" s="43"/>
    </row>
    <row r="50360" spans="65:67" ht="18.75" customHeight="1">
      <c r="BM50360" s="1025"/>
      <c r="BO50360" s="43"/>
    </row>
    <row r="50361" spans="65:67" ht="18.75" customHeight="1">
      <c r="BM50361" s="1025"/>
      <c r="BO50361" s="43"/>
    </row>
    <row r="50362" spans="65:67" ht="18.75" customHeight="1">
      <c r="BM50362" s="1025"/>
      <c r="BO50362" s="43"/>
    </row>
    <row r="50363" spans="65:67" ht="18.75" customHeight="1">
      <c r="BM50363" s="1025"/>
      <c r="BO50363" s="43"/>
    </row>
    <row r="50364" spans="65:67" ht="18.75" customHeight="1">
      <c r="BM50364" s="1025"/>
      <c r="BO50364" s="43"/>
    </row>
    <row r="50365" spans="65:67" ht="18.75" customHeight="1">
      <c r="BM50365" s="1025"/>
      <c r="BO50365" s="43"/>
    </row>
    <row r="50366" spans="65:67" ht="18.75" customHeight="1">
      <c r="BM50366" s="1025"/>
      <c r="BO50366" s="43"/>
    </row>
    <row r="50367" spans="65:67" ht="18.75" customHeight="1">
      <c r="BM50367" s="1025"/>
      <c r="BO50367" s="43"/>
    </row>
    <row r="50368" spans="65:67" ht="18.75" customHeight="1">
      <c r="BM50368" s="1025"/>
      <c r="BO50368" s="43"/>
    </row>
    <row r="50369" spans="65:67" ht="18.75" customHeight="1">
      <c r="BM50369" s="1025"/>
      <c r="BO50369" s="43"/>
    </row>
    <row r="50370" spans="65:67" ht="18.75" customHeight="1">
      <c r="BM50370" s="1025"/>
      <c r="BO50370" s="43"/>
    </row>
    <row r="50371" spans="65:67" ht="18.75" customHeight="1">
      <c r="BM50371" s="1025"/>
      <c r="BO50371" s="43"/>
    </row>
    <row r="50372" spans="65:67" ht="18.75" customHeight="1">
      <c r="BM50372" s="1025"/>
      <c r="BO50372" s="43"/>
    </row>
    <row r="50373" spans="65:67" ht="18.75" customHeight="1">
      <c r="BM50373" s="1025"/>
      <c r="BO50373" s="43"/>
    </row>
    <row r="50374" spans="65:67" ht="18.75" customHeight="1">
      <c r="BM50374" s="1025"/>
      <c r="BO50374" s="43"/>
    </row>
    <row r="50375" spans="65:67" ht="18.75" customHeight="1">
      <c r="BM50375" s="1025"/>
      <c r="BO50375" s="43"/>
    </row>
    <row r="50376" spans="65:67" ht="18.75" customHeight="1">
      <c r="BM50376" s="1025"/>
      <c r="BO50376" s="43"/>
    </row>
    <row r="50377" spans="65:67" ht="18.75" customHeight="1">
      <c r="BM50377" s="1025"/>
      <c r="BO50377" s="43"/>
    </row>
    <row r="50378" spans="65:67" ht="18.75" customHeight="1">
      <c r="BM50378" s="1025"/>
      <c r="BO50378" s="43"/>
    </row>
    <row r="50379" spans="65:67" ht="18.75" customHeight="1">
      <c r="BM50379" s="1025"/>
      <c r="BO50379" s="43"/>
    </row>
    <row r="50380" spans="65:67" ht="18.75" customHeight="1">
      <c r="BM50380" s="1025"/>
      <c r="BO50380" s="43"/>
    </row>
    <row r="50381" spans="65:67" ht="18.75" customHeight="1">
      <c r="BM50381" s="1025"/>
      <c r="BO50381" s="43"/>
    </row>
    <row r="50382" spans="65:67" ht="18.75" customHeight="1">
      <c r="BM50382" s="1025"/>
      <c r="BO50382" s="43"/>
    </row>
    <row r="50383" spans="65:67" ht="18.75" customHeight="1">
      <c r="BM50383" s="1025"/>
      <c r="BO50383" s="43"/>
    </row>
    <row r="50384" spans="65:67" ht="18.75" customHeight="1">
      <c r="BM50384" s="1025"/>
      <c r="BO50384" s="43"/>
    </row>
    <row r="50385" spans="65:67" ht="18.75" customHeight="1">
      <c r="BM50385" s="1025"/>
      <c r="BO50385" s="43"/>
    </row>
    <row r="50386" spans="65:67" ht="18.75" customHeight="1">
      <c r="BM50386" s="1025"/>
      <c r="BO50386" s="43"/>
    </row>
    <row r="50387" spans="65:67" ht="18.75" customHeight="1">
      <c r="BM50387" s="1025"/>
      <c r="BO50387" s="43"/>
    </row>
    <row r="50388" spans="65:67" ht="18.75" customHeight="1">
      <c r="BM50388" s="1025"/>
      <c r="BO50388" s="43"/>
    </row>
    <row r="50389" spans="65:67" ht="18.75" customHeight="1">
      <c r="BM50389" s="1025"/>
      <c r="BO50389" s="43"/>
    </row>
    <row r="50390" spans="65:67" ht="18.75" customHeight="1">
      <c r="BM50390" s="1025"/>
      <c r="BO50390" s="43"/>
    </row>
    <row r="50391" spans="65:67" ht="18.75" customHeight="1">
      <c r="BM50391" s="1025"/>
      <c r="BO50391" s="43"/>
    </row>
    <row r="50392" spans="65:67" ht="18.75" customHeight="1">
      <c r="BM50392" s="1025"/>
      <c r="BO50392" s="43"/>
    </row>
    <row r="50393" spans="65:67" ht="18.75" customHeight="1">
      <c r="BM50393" s="1025"/>
      <c r="BO50393" s="43"/>
    </row>
    <row r="50394" spans="65:67" ht="18.75" customHeight="1">
      <c r="BM50394" s="1025"/>
      <c r="BO50394" s="43"/>
    </row>
    <row r="50395" spans="65:67" ht="18.75" customHeight="1">
      <c r="BM50395" s="1025"/>
      <c r="BO50395" s="43"/>
    </row>
    <row r="50396" spans="65:67" ht="18.75" customHeight="1">
      <c r="BM50396" s="1025"/>
      <c r="BO50396" s="43"/>
    </row>
    <row r="50397" spans="65:67" ht="18.75" customHeight="1">
      <c r="BM50397" s="1025"/>
      <c r="BO50397" s="43"/>
    </row>
    <row r="50398" spans="65:67" ht="18.75" customHeight="1">
      <c r="BM50398" s="1025"/>
      <c r="BO50398" s="43"/>
    </row>
    <row r="50399" spans="65:67" ht="18.75" customHeight="1">
      <c r="BM50399" s="1025"/>
      <c r="BO50399" s="43"/>
    </row>
    <row r="50400" spans="65:67" ht="18.75" customHeight="1">
      <c r="BM50400" s="1025"/>
      <c r="BO50400" s="43"/>
    </row>
    <row r="50401" spans="65:67" ht="18.75" customHeight="1">
      <c r="BM50401" s="1025"/>
      <c r="BO50401" s="43"/>
    </row>
    <row r="50402" spans="65:67" ht="18.75" customHeight="1">
      <c r="BM50402" s="1025"/>
      <c r="BO50402" s="43"/>
    </row>
    <row r="50403" spans="65:67" ht="18.75" customHeight="1">
      <c r="BM50403" s="1025"/>
      <c r="BO50403" s="43"/>
    </row>
    <row r="50404" spans="65:67" ht="18.75" customHeight="1">
      <c r="BM50404" s="1025"/>
      <c r="BO50404" s="43"/>
    </row>
    <row r="50405" spans="65:67" ht="18.75" customHeight="1">
      <c r="BM50405" s="1025"/>
      <c r="BO50405" s="43"/>
    </row>
    <row r="50406" spans="65:67" ht="18.75" customHeight="1">
      <c r="BM50406" s="1025"/>
      <c r="BO50406" s="43"/>
    </row>
    <row r="50407" spans="65:67" ht="18.75" customHeight="1">
      <c r="BM50407" s="1025"/>
      <c r="BO50407" s="43"/>
    </row>
    <row r="50408" spans="65:67" ht="18.75" customHeight="1">
      <c r="BM50408" s="1025"/>
      <c r="BO50408" s="43"/>
    </row>
    <row r="50409" spans="65:67" ht="18.75" customHeight="1">
      <c r="BM50409" s="1025"/>
      <c r="BO50409" s="43"/>
    </row>
    <row r="50410" spans="65:67" ht="18.75" customHeight="1">
      <c r="BM50410" s="1025"/>
      <c r="BO50410" s="43"/>
    </row>
    <row r="50411" spans="65:67" ht="18.75" customHeight="1">
      <c r="BM50411" s="1025"/>
      <c r="BO50411" s="43"/>
    </row>
    <row r="50412" spans="65:67" ht="18.75" customHeight="1">
      <c r="BM50412" s="1025"/>
      <c r="BO50412" s="43"/>
    </row>
    <row r="50413" spans="65:67" ht="18.75" customHeight="1">
      <c r="BM50413" s="1025"/>
      <c r="BO50413" s="43"/>
    </row>
    <row r="50414" spans="65:67" ht="18.75" customHeight="1">
      <c r="BM50414" s="1025"/>
      <c r="BO50414" s="43"/>
    </row>
    <row r="50415" spans="65:67" ht="18.75" customHeight="1">
      <c r="BM50415" s="1025"/>
      <c r="BO50415" s="43"/>
    </row>
    <row r="50416" spans="65:67" ht="18.75" customHeight="1">
      <c r="BM50416" s="1025"/>
      <c r="BO50416" s="43"/>
    </row>
    <row r="50417" spans="65:67" ht="18.75" customHeight="1">
      <c r="BM50417" s="1025"/>
      <c r="BO50417" s="43"/>
    </row>
    <row r="50418" spans="65:67" ht="18.75" customHeight="1">
      <c r="BM50418" s="1025"/>
      <c r="BO50418" s="43"/>
    </row>
    <row r="50419" spans="65:67" ht="18.75" customHeight="1">
      <c r="BM50419" s="1025"/>
      <c r="BO50419" s="43"/>
    </row>
    <row r="50420" spans="65:67" ht="18.75" customHeight="1">
      <c r="BM50420" s="1025"/>
      <c r="BO50420" s="43"/>
    </row>
    <row r="50421" spans="65:67" ht="18.75" customHeight="1">
      <c r="BM50421" s="1025"/>
      <c r="BO50421" s="43"/>
    </row>
    <row r="50422" spans="65:67" ht="18.75" customHeight="1">
      <c r="BM50422" s="1025"/>
      <c r="BO50422" s="43"/>
    </row>
    <row r="50423" spans="65:67" ht="18.75" customHeight="1">
      <c r="BM50423" s="1025"/>
      <c r="BO50423" s="43"/>
    </row>
    <row r="50424" spans="65:67" ht="18.75" customHeight="1">
      <c r="BM50424" s="1025"/>
      <c r="BO50424" s="43"/>
    </row>
    <row r="50425" spans="65:67" ht="18.75" customHeight="1">
      <c r="BM50425" s="1025"/>
      <c r="BO50425" s="43"/>
    </row>
    <row r="50426" spans="65:67" ht="18.75" customHeight="1">
      <c r="BM50426" s="1025"/>
      <c r="BO50426" s="43"/>
    </row>
    <row r="50427" spans="65:67" ht="18.75" customHeight="1">
      <c r="BM50427" s="1025"/>
      <c r="BO50427" s="43"/>
    </row>
    <row r="50428" spans="65:67" ht="18.75" customHeight="1">
      <c r="BM50428" s="1025"/>
      <c r="BO50428" s="43"/>
    </row>
    <row r="50429" spans="65:67" ht="18.75" customHeight="1">
      <c r="BM50429" s="1025"/>
      <c r="BO50429" s="43"/>
    </row>
    <row r="50430" spans="65:67" ht="18.75" customHeight="1">
      <c r="BM50430" s="1025"/>
      <c r="BO50430" s="43"/>
    </row>
    <row r="50431" spans="65:67" ht="18.75" customHeight="1">
      <c r="BM50431" s="1025"/>
      <c r="BO50431" s="43"/>
    </row>
    <row r="50432" spans="65:67" ht="18.75" customHeight="1">
      <c r="BM50432" s="1025"/>
      <c r="BO50432" s="43"/>
    </row>
    <row r="50433" spans="65:67" ht="18.75" customHeight="1">
      <c r="BM50433" s="1025"/>
      <c r="BO50433" s="43"/>
    </row>
    <row r="50434" spans="65:67" ht="18.75" customHeight="1">
      <c r="BM50434" s="1025"/>
      <c r="BO50434" s="43"/>
    </row>
    <row r="50435" spans="65:67" ht="18.75" customHeight="1">
      <c r="BM50435" s="1025"/>
      <c r="BO50435" s="43"/>
    </row>
    <row r="50436" spans="65:67" ht="18.75" customHeight="1">
      <c r="BM50436" s="1025"/>
      <c r="BO50436" s="43"/>
    </row>
    <row r="50437" spans="65:67" ht="18.75" customHeight="1">
      <c r="BM50437" s="1025"/>
      <c r="BO50437" s="43"/>
    </row>
    <row r="50438" spans="65:67" ht="18.75" customHeight="1">
      <c r="BM50438" s="1025"/>
      <c r="BO50438" s="43"/>
    </row>
    <row r="50439" spans="65:67" ht="18.75" customHeight="1">
      <c r="BM50439" s="1025"/>
      <c r="BO50439" s="43"/>
    </row>
    <row r="50440" spans="65:67" ht="18.75" customHeight="1">
      <c r="BM50440" s="1025"/>
      <c r="BO50440" s="43"/>
    </row>
    <row r="50441" spans="65:67" ht="18.75" customHeight="1">
      <c r="BM50441" s="1025"/>
      <c r="BO50441" s="43"/>
    </row>
    <row r="50442" spans="65:67" ht="18.75" customHeight="1">
      <c r="BM50442" s="1025"/>
      <c r="BO50442" s="43"/>
    </row>
    <row r="50443" spans="65:67" ht="18.75" customHeight="1">
      <c r="BM50443" s="1025"/>
      <c r="BO50443" s="43"/>
    </row>
    <row r="50444" spans="65:67" ht="18.75" customHeight="1">
      <c r="BM50444" s="1025"/>
      <c r="BO50444" s="43"/>
    </row>
    <row r="50445" spans="65:67" ht="18.75" customHeight="1">
      <c r="BM50445" s="1025"/>
      <c r="BO50445" s="43"/>
    </row>
    <row r="50446" spans="65:67" ht="18.75" customHeight="1">
      <c r="BM50446" s="1025"/>
      <c r="BO50446" s="43"/>
    </row>
    <row r="50447" spans="65:67" ht="18.75" customHeight="1">
      <c r="BM50447" s="1025"/>
      <c r="BO50447" s="43"/>
    </row>
    <row r="50448" spans="65:67" ht="18.75" customHeight="1">
      <c r="BM50448" s="1025"/>
      <c r="BO50448" s="43"/>
    </row>
    <row r="50449" spans="65:67" ht="18.75" customHeight="1">
      <c r="BM50449" s="1025"/>
      <c r="BO50449" s="43"/>
    </row>
    <row r="50450" spans="65:67" ht="18.75" customHeight="1">
      <c r="BM50450" s="1025"/>
      <c r="BO50450" s="43"/>
    </row>
    <row r="50451" spans="65:67" ht="18.75" customHeight="1">
      <c r="BM50451" s="1025"/>
      <c r="BO50451" s="43"/>
    </row>
    <row r="50452" spans="65:67" ht="18.75" customHeight="1">
      <c r="BM50452" s="1025"/>
      <c r="BO50452" s="43"/>
    </row>
    <row r="50453" spans="65:67" ht="18.75" customHeight="1">
      <c r="BM50453" s="1025"/>
      <c r="BO50453" s="43"/>
    </row>
    <row r="50454" spans="65:67" ht="18.75" customHeight="1">
      <c r="BM50454" s="1025"/>
      <c r="BO50454" s="43"/>
    </row>
    <row r="50455" spans="65:67" ht="18.75" customHeight="1">
      <c r="BM50455" s="1025"/>
      <c r="BO50455" s="43"/>
    </row>
    <row r="50456" spans="65:67" ht="18.75" customHeight="1">
      <c r="BM50456" s="1025"/>
      <c r="BO50456" s="43"/>
    </row>
    <row r="50457" spans="65:67" ht="18.75" customHeight="1">
      <c r="BM50457" s="1025"/>
      <c r="BO50457" s="43"/>
    </row>
    <row r="50458" spans="65:67" ht="18.75" customHeight="1">
      <c r="BM50458" s="1025"/>
      <c r="BO50458" s="43"/>
    </row>
    <row r="50459" spans="65:67" ht="18.75" customHeight="1">
      <c r="BM50459" s="1025"/>
      <c r="BO50459" s="43"/>
    </row>
    <row r="50460" spans="65:67" ht="18.75" customHeight="1">
      <c r="BM50460" s="1025"/>
      <c r="BO50460" s="43"/>
    </row>
    <row r="50461" spans="65:67" ht="18.75" customHeight="1">
      <c r="BM50461" s="1025"/>
      <c r="BO50461" s="43"/>
    </row>
    <row r="50462" spans="65:67" ht="18.75" customHeight="1">
      <c r="BM50462" s="1025"/>
      <c r="BO50462" s="43"/>
    </row>
    <row r="50463" spans="65:67" ht="18.75" customHeight="1">
      <c r="BM50463" s="1025"/>
      <c r="BO50463" s="43"/>
    </row>
    <row r="50464" spans="65:67" ht="18.75" customHeight="1">
      <c r="BM50464" s="1025"/>
      <c r="BO50464" s="43"/>
    </row>
    <row r="50465" spans="65:67" ht="18.75" customHeight="1">
      <c r="BM50465" s="1025"/>
      <c r="BO50465" s="43"/>
    </row>
    <row r="50466" spans="65:67" ht="18.75" customHeight="1">
      <c r="BM50466" s="1025"/>
      <c r="BO50466" s="43"/>
    </row>
    <row r="50467" spans="65:67" ht="18.75" customHeight="1">
      <c r="BM50467" s="1025"/>
      <c r="BO50467" s="43"/>
    </row>
    <row r="50468" spans="65:67" ht="18.75" customHeight="1">
      <c r="BM50468" s="1025"/>
      <c r="BO50468" s="43"/>
    </row>
    <row r="50469" spans="65:67" ht="18.75" customHeight="1">
      <c r="BM50469" s="1025"/>
      <c r="BO50469" s="43"/>
    </row>
    <row r="50470" spans="65:67" ht="18.75" customHeight="1">
      <c r="BM50470" s="1025"/>
      <c r="BO50470" s="43"/>
    </row>
    <row r="50471" spans="65:67" ht="18.75" customHeight="1">
      <c r="BM50471" s="1025"/>
      <c r="BO50471" s="43"/>
    </row>
    <row r="50472" spans="65:67" ht="18.75" customHeight="1">
      <c r="BM50472" s="1025"/>
      <c r="BO50472" s="43"/>
    </row>
    <row r="50473" spans="65:67" ht="18.75" customHeight="1">
      <c r="BM50473" s="1025"/>
      <c r="BO50473" s="43"/>
    </row>
    <row r="50474" spans="65:67" ht="18.75" customHeight="1">
      <c r="BM50474" s="1025"/>
      <c r="BO50474" s="43"/>
    </row>
    <row r="50475" spans="65:67" ht="18.75" customHeight="1">
      <c r="BM50475" s="1025"/>
      <c r="BO50475" s="43"/>
    </row>
    <row r="50476" spans="65:67" ht="18.75" customHeight="1">
      <c r="BM50476" s="1025"/>
      <c r="BO50476" s="43"/>
    </row>
    <row r="50477" spans="65:67" ht="18.75" customHeight="1">
      <c r="BM50477" s="1025"/>
      <c r="BO50477" s="43"/>
    </row>
    <row r="50478" spans="65:67" ht="18.75" customHeight="1">
      <c r="BM50478" s="1025"/>
      <c r="BO50478" s="43"/>
    </row>
    <row r="50479" spans="65:67" ht="18.75" customHeight="1">
      <c r="BM50479" s="1025"/>
      <c r="BO50479" s="43"/>
    </row>
    <row r="50480" spans="65:67" ht="18.75" customHeight="1">
      <c r="BM50480" s="1025"/>
      <c r="BO50480" s="43"/>
    </row>
    <row r="50481" spans="65:67" ht="18.75" customHeight="1">
      <c r="BM50481" s="1025"/>
      <c r="BO50481" s="43"/>
    </row>
    <row r="50482" spans="65:67" ht="18.75" customHeight="1">
      <c r="BM50482" s="1025"/>
      <c r="BO50482" s="43"/>
    </row>
    <row r="50483" spans="65:67" ht="18.75" customHeight="1">
      <c r="BM50483" s="1025"/>
      <c r="BO50483" s="43"/>
    </row>
    <row r="50484" spans="65:67" ht="18.75" customHeight="1">
      <c r="BM50484" s="1025"/>
      <c r="BO50484" s="43"/>
    </row>
    <row r="50485" spans="65:67" ht="18.75" customHeight="1">
      <c r="BM50485" s="1025"/>
      <c r="BO50485" s="43"/>
    </row>
    <row r="50486" spans="65:67" ht="18.75" customHeight="1">
      <c r="BM50486" s="1025"/>
      <c r="BO50486" s="43"/>
    </row>
    <row r="50487" spans="65:67" ht="18.75" customHeight="1">
      <c r="BM50487" s="1025"/>
      <c r="BO50487" s="43"/>
    </row>
    <row r="50488" spans="65:67" ht="18.75" customHeight="1">
      <c r="BM50488" s="1025"/>
      <c r="BO50488" s="43"/>
    </row>
    <row r="50489" spans="65:67" ht="18.75" customHeight="1">
      <c r="BM50489" s="1025"/>
      <c r="BO50489" s="43"/>
    </row>
    <row r="50490" spans="65:67" ht="18.75" customHeight="1">
      <c r="BM50490" s="1025"/>
      <c r="BO50490" s="43"/>
    </row>
    <row r="50491" spans="65:67" ht="18.75" customHeight="1">
      <c r="BM50491" s="1025"/>
      <c r="BO50491" s="43"/>
    </row>
    <row r="50492" spans="65:67" ht="18.75" customHeight="1">
      <c r="BM50492" s="1025"/>
      <c r="BO50492" s="43"/>
    </row>
    <row r="50493" spans="65:67" ht="18.75" customHeight="1">
      <c r="BM50493" s="1025"/>
      <c r="BO50493" s="43"/>
    </row>
    <row r="50494" spans="65:67" ht="18.75" customHeight="1">
      <c r="BM50494" s="1025"/>
      <c r="BO50494" s="43"/>
    </row>
    <row r="50495" spans="65:67" ht="18.75" customHeight="1">
      <c r="BM50495" s="1025"/>
      <c r="BO50495" s="43"/>
    </row>
    <row r="50496" spans="65:67" ht="18.75" customHeight="1">
      <c r="BM50496" s="1025"/>
      <c r="BO50496" s="43"/>
    </row>
    <row r="50497" spans="65:67" ht="18.75" customHeight="1">
      <c r="BM50497" s="1025"/>
      <c r="BO50497" s="43"/>
    </row>
    <row r="50498" spans="65:67" ht="18.75" customHeight="1">
      <c r="BM50498" s="1025"/>
      <c r="BO50498" s="43"/>
    </row>
    <row r="50499" spans="65:67" ht="18.75" customHeight="1">
      <c r="BM50499" s="1025"/>
      <c r="BO50499" s="43"/>
    </row>
    <row r="50500" spans="65:67" ht="18.75" customHeight="1">
      <c r="BM50500" s="1025"/>
      <c r="BO50500" s="43"/>
    </row>
    <row r="50501" spans="65:67" ht="18.75" customHeight="1">
      <c r="BM50501" s="1025"/>
      <c r="BO50501" s="43"/>
    </row>
    <row r="50502" spans="65:67" ht="18.75" customHeight="1">
      <c r="BM50502" s="1025"/>
      <c r="BO50502" s="43"/>
    </row>
    <row r="50503" spans="65:67" ht="18.75" customHeight="1">
      <c r="BM50503" s="1025"/>
      <c r="BO50503" s="43"/>
    </row>
    <row r="50504" spans="65:67" ht="18.75" customHeight="1">
      <c r="BM50504" s="1025"/>
      <c r="BO50504" s="43"/>
    </row>
    <row r="50505" spans="65:67" ht="18.75" customHeight="1">
      <c r="BM50505" s="1025"/>
      <c r="BO50505" s="43"/>
    </row>
    <row r="50506" spans="65:67" ht="18.75" customHeight="1">
      <c r="BM50506" s="1025"/>
      <c r="BO50506" s="43"/>
    </row>
    <row r="50507" spans="65:67" ht="18.75" customHeight="1">
      <c r="BM50507" s="1025"/>
      <c r="BO50507" s="43"/>
    </row>
    <row r="50508" spans="65:67" ht="18.75" customHeight="1">
      <c r="BM50508" s="1025"/>
      <c r="BO50508" s="43"/>
    </row>
    <row r="50509" spans="65:67" ht="18.75" customHeight="1">
      <c r="BM50509" s="1025"/>
      <c r="BO50509" s="43"/>
    </row>
    <row r="50510" spans="65:67" ht="18.75" customHeight="1">
      <c r="BM50510" s="1025"/>
      <c r="BO50510" s="43"/>
    </row>
    <row r="50511" spans="65:67" ht="18.75" customHeight="1">
      <c r="BM50511" s="1025"/>
      <c r="BO50511" s="43"/>
    </row>
    <row r="50512" spans="65:67" ht="18.75" customHeight="1">
      <c r="BM50512" s="1025"/>
      <c r="BO50512" s="43"/>
    </row>
    <row r="50513" spans="65:67" ht="18.75" customHeight="1">
      <c r="BM50513" s="1025"/>
      <c r="BO50513" s="43"/>
    </row>
    <row r="50514" spans="65:67" ht="18.75" customHeight="1">
      <c r="BM50514" s="1025"/>
      <c r="BO50514" s="43"/>
    </row>
    <row r="50515" spans="65:67" ht="18.75" customHeight="1">
      <c r="BM50515" s="1025"/>
      <c r="BO50515" s="43"/>
    </row>
    <row r="50516" spans="65:67" ht="18.75" customHeight="1">
      <c r="BM50516" s="1025"/>
      <c r="BO50516" s="43"/>
    </row>
    <row r="50517" spans="65:67" ht="18.75" customHeight="1">
      <c r="BM50517" s="1025"/>
      <c r="BO50517" s="43"/>
    </row>
    <row r="50518" spans="65:67" ht="18.75" customHeight="1">
      <c r="BM50518" s="1025"/>
      <c r="BO50518" s="43"/>
    </row>
    <row r="50519" spans="65:67" ht="18.75" customHeight="1">
      <c r="BM50519" s="1025"/>
      <c r="BO50519" s="43"/>
    </row>
    <row r="50520" spans="65:67" ht="18.75" customHeight="1">
      <c r="BM50520" s="1025"/>
      <c r="BO50520" s="43"/>
    </row>
    <row r="50521" spans="65:67" ht="18.75" customHeight="1">
      <c r="BM50521" s="1025"/>
      <c r="BO50521" s="43"/>
    </row>
    <row r="50522" spans="65:67" ht="18.75" customHeight="1">
      <c r="BM50522" s="1025"/>
      <c r="BO50522" s="43"/>
    </row>
    <row r="50523" spans="65:67" ht="18.75" customHeight="1">
      <c r="BM50523" s="1025"/>
      <c r="BO50523" s="43"/>
    </row>
    <row r="50524" spans="65:67" ht="18.75" customHeight="1">
      <c r="BM50524" s="1025"/>
      <c r="BO50524" s="43"/>
    </row>
    <row r="50525" spans="65:67" ht="18.75" customHeight="1">
      <c r="BM50525" s="1025"/>
      <c r="BO50525" s="43"/>
    </row>
    <row r="50526" spans="65:67" ht="18.75" customHeight="1">
      <c r="BM50526" s="1025"/>
      <c r="BO50526" s="43"/>
    </row>
    <row r="50527" spans="65:67" ht="18.75" customHeight="1">
      <c r="BM50527" s="1025"/>
      <c r="BO50527" s="43"/>
    </row>
    <row r="50528" spans="65:67" ht="18.75" customHeight="1">
      <c r="BM50528" s="1025"/>
      <c r="BO50528" s="43"/>
    </row>
    <row r="50529" spans="65:67" ht="18.75" customHeight="1">
      <c r="BM50529" s="1025"/>
      <c r="BO50529" s="43"/>
    </row>
    <row r="50530" spans="65:67" ht="18.75" customHeight="1">
      <c r="BM50530" s="1025"/>
      <c r="BO50530" s="43"/>
    </row>
    <row r="50531" spans="65:67" ht="18.75" customHeight="1">
      <c r="BM50531" s="1025"/>
      <c r="BO50531" s="43"/>
    </row>
    <row r="50532" spans="65:67" ht="18.75" customHeight="1">
      <c r="BM50532" s="1025"/>
      <c r="BO50532" s="43"/>
    </row>
    <row r="50533" spans="65:67" ht="18.75" customHeight="1">
      <c r="BM50533" s="1025"/>
      <c r="BO50533" s="43"/>
    </row>
    <row r="50534" spans="65:67" ht="18.75" customHeight="1">
      <c r="BM50534" s="1025"/>
      <c r="BO50534" s="43"/>
    </row>
    <row r="50535" spans="65:67" ht="18.75" customHeight="1">
      <c r="BM50535" s="1025"/>
      <c r="BO50535" s="43"/>
    </row>
    <row r="50536" spans="65:67" ht="18.75" customHeight="1">
      <c r="BM50536" s="1025"/>
      <c r="BO50536" s="43"/>
    </row>
    <row r="50537" spans="65:67" ht="18.75" customHeight="1">
      <c r="BM50537" s="1025"/>
      <c r="BO50537" s="43"/>
    </row>
    <row r="50538" spans="65:67" ht="18.75" customHeight="1">
      <c r="BM50538" s="1025"/>
      <c r="BO50538" s="43"/>
    </row>
    <row r="50539" spans="65:67" ht="18.75" customHeight="1">
      <c r="BM50539" s="1025"/>
      <c r="BO50539" s="43"/>
    </row>
    <row r="50540" spans="65:67" ht="18.75" customHeight="1">
      <c r="BM50540" s="1025"/>
      <c r="BO50540" s="43"/>
    </row>
    <row r="50541" spans="65:67" ht="18.75" customHeight="1">
      <c r="BM50541" s="1025"/>
      <c r="BO50541" s="43"/>
    </row>
    <row r="50542" spans="65:67" ht="18.75" customHeight="1">
      <c r="BM50542" s="1025"/>
      <c r="BO50542" s="43"/>
    </row>
    <row r="50543" spans="65:67" ht="18.75" customHeight="1">
      <c r="BM50543" s="1025"/>
      <c r="BO50543" s="43"/>
    </row>
    <row r="50544" spans="65:67" ht="18.75" customHeight="1">
      <c r="BM50544" s="1025"/>
      <c r="BO50544" s="43"/>
    </row>
    <row r="50545" spans="65:67" ht="18.75" customHeight="1">
      <c r="BM50545" s="1025"/>
      <c r="BO50545" s="43"/>
    </row>
    <row r="50546" spans="65:67" ht="18.75" customHeight="1">
      <c r="BM50546" s="1025"/>
      <c r="BO50546" s="43"/>
    </row>
    <row r="50547" spans="65:67" ht="18.75" customHeight="1">
      <c r="BM50547" s="1025"/>
      <c r="BO50547" s="43"/>
    </row>
    <row r="50548" spans="65:67" ht="18.75" customHeight="1">
      <c r="BM50548" s="1025"/>
      <c r="BO50548" s="43"/>
    </row>
    <row r="50549" spans="65:67" ht="18.75" customHeight="1">
      <c r="BM50549" s="1025"/>
      <c r="BO50549" s="43"/>
    </row>
    <row r="50550" spans="65:67" ht="18.75" customHeight="1">
      <c r="BM50550" s="1025"/>
      <c r="BO50550" s="43"/>
    </row>
    <row r="50551" spans="65:67" ht="18.75" customHeight="1">
      <c r="BM50551" s="1025"/>
      <c r="BO50551" s="43"/>
    </row>
    <row r="50552" spans="65:67" ht="18.75" customHeight="1">
      <c r="BM50552" s="1025"/>
      <c r="BO50552" s="43"/>
    </row>
    <row r="50553" spans="65:67" ht="18.75" customHeight="1">
      <c r="BM50553" s="1025"/>
      <c r="BO50553" s="43"/>
    </row>
    <row r="50554" spans="65:67" ht="18.75" customHeight="1">
      <c r="BM50554" s="1025"/>
      <c r="BO50554" s="43"/>
    </row>
    <row r="50555" spans="65:67" ht="18.75" customHeight="1">
      <c r="BM50555" s="1025"/>
      <c r="BO50555" s="43"/>
    </row>
    <row r="50556" spans="65:67" ht="18.75" customHeight="1">
      <c r="BM50556" s="1025"/>
      <c r="BO50556" s="43"/>
    </row>
    <row r="50557" spans="65:67" ht="18.75" customHeight="1">
      <c r="BM50557" s="1025"/>
      <c r="BO50557" s="43"/>
    </row>
    <row r="50558" spans="65:67" ht="18.75" customHeight="1">
      <c r="BM50558" s="1025"/>
      <c r="BO50558" s="43"/>
    </row>
    <row r="50559" spans="65:67" ht="18.75" customHeight="1">
      <c r="BM50559" s="1025"/>
      <c r="BO50559" s="43"/>
    </row>
    <row r="50560" spans="65:67" ht="18.75" customHeight="1">
      <c r="BM50560" s="1025"/>
      <c r="BO50560" s="43"/>
    </row>
    <row r="50561" spans="65:67" ht="18.75" customHeight="1">
      <c r="BM50561" s="1025"/>
      <c r="BO50561" s="43"/>
    </row>
    <row r="50562" spans="65:67" ht="18.75" customHeight="1">
      <c r="BM50562" s="1025"/>
      <c r="BO50562" s="43"/>
    </row>
    <row r="50563" spans="65:67" ht="18.75" customHeight="1">
      <c r="BM50563" s="1025"/>
      <c r="BO50563" s="43"/>
    </row>
    <row r="50564" spans="65:67" ht="18.75" customHeight="1">
      <c r="BM50564" s="1025"/>
      <c r="BO50564" s="43"/>
    </row>
    <row r="50565" spans="65:67" ht="18.75" customHeight="1">
      <c r="BM50565" s="1025"/>
      <c r="BO50565" s="43"/>
    </row>
    <row r="50566" spans="65:67" ht="18.75" customHeight="1">
      <c r="BM50566" s="1025"/>
      <c r="BO50566" s="43"/>
    </row>
    <row r="50567" spans="65:67" ht="18.75" customHeight="1">
      <c r="BM50567" s="1025"/>
      <c r="BO50567" s="43"/>
    </row>
    <row r="50568" spans="65:67" ht="18.75" customHeight="1">
      <c r="BM50568" s="1025"/>
      <c r="BO50568" s="43"/>
    </row>
    <row r="50569" spans="65:67" ht="18.75" customHeight="1">
      <c r="BM50569" s="1025"/>
      <c r="BO50569" s="43"/>
    </row>
    <row r="50570" spans="65:67" ht="18.75" customHeight="1">
      <c r="BM50570" s="1025"/>
      <c r="BO50570" s="43"/>
    </row>
    <row r="50571" spans="65:67" ht="18.75" customHeight="1">
      <c r="BM50571" s="1025"/>
      <c r="BO50571" s="43"/>
    </row>
    <row r="50572" spans="65:67" ht="18.75" customHeight="1">
      <c r="BM50572" s="1025"/>
      <c r="BO50572" s="43"/>
    </row>
    <row r="50573" spans="65:67" ht="18.75" customHeight="1">
      <c r="BM50573" s="1025"/>
      <c r="BO50573" s="43"/>
    </row>
    <row r="50574" spans="65:67" ht="18.75" customHeight="1">
      <c r="BM50574" s="1025"/>
      <c r="BO50574" s="43"/>
    </row>
    <row r="50575" spans="65:67" ht="18.75" customHeight="1">
      <c r="BM50575" s="1025"/>
      <c r="BO50575" s="43"/>
    </row>
    <row r="50576" spans="65:67" ht="18.75" customHeight="1">
      <c r="BM50576" s="1025"/>
      <c r="BO50576" s="43"/>
    </row>
    <row r="50577" spans="65:67" ht="18.75" customHeight="1">
      <c r="BM50577" s="1025"/>
      <c r="BO50577" s="43"/>
    </row>
    <row r="50578" spans="65:67" ht="18.75" customHeight="1">
      <c r="BM50578" s="1025"/>
      <c r="BO50578" s="43"/>
    </row>
    <row r="50579" spans="65:67" ht="18.75" customHeight="1">
      <c r="BM50579" s="1025"/>
      <c r="BO50579" s="43"/>
    </row>
    <row r="50580" spans="65:67" ht="18.75" customHeight="1">
      <c r="BM50580" s="1025"/>
      <c r="BO50580" s="43"/>
    </row>
    <row r="50581" spans="65:67" ht="18.75" customHeight="1">
      <c r="BM50581" s="1025"/>
      <c r="BO50581" s="43"/>
    </row>
    <row r="50582" spans="65:67" ht="18.75" customHeight="1">
      <c r="BM50582" s="1025"/>
      <c r="BO50582" s="43"/>
    </row>
    <row r="50583" spans="65:67" ht="18.75" customHeight="1">
      <c r="BM50583" s="1025"/>
      <c r="BO50583" s="43"/>
    </row>
    <row r="50584" spans="65:67" ht="18.75" customHeight="1">
      <c r="BM50584" s="1025"/>
      <c r="BO50584" s="43"/>
    </row>
    <row r="50585" spans="65:67" ht="18.75" customHeight="1">
      <c r="BM50585" s="1025"/>
      <c r="BO50585" s="43"/>
    </row>
    <row r="50586" spans="65:67" ht="18.75" customHeight="1">
      <c r="BM50586" s="1025"/>
      <c r="BO50586" s="43"/>
    </row>
    <row r="50587" spans="65:67" ht="18.75" customHeight="1">
      <c r="BM50587" s="1025"/>
      <c r="BO50587" s="43"/>
    </row>
    <row r="50588" spans="65:67" ht="18.75" customHeight="1">
      <c r="BM50588" s="1025"/>
      <c r="BO50588" s="43"/>
    </row>
    <row r="50589" spans="65:67" ht="18.75" customHeight="1">
      <c r="BM50589" s="1025"/>
      <c r="BO50589" s="43"/>
    </row>
    <row r="50590" spans="65:67" ht="18.75" customHeight="1">
      <c r="BM50590" s="1025"/>
      <c r="BO50590" s="43"/>
    </row>
    <row r="50591" spans="65:67" ht="18.75" customHeight="1">
      <c r="BM50591" s="1025"/>
      <c r="BO50591" s="43"/>
    </row>
    <row r="50592" spans="65:67" ht="18.75" customHeight="1">
      <c r="BM50592" s="1025"/>
      <c r="BO50592" s="43"/>
    </row>
    <row r="50593" spans="65:67" ht="18.75" customHeight="1">
      <c r="BM50593" s="1025"/>
      <c r="BO50593" s="43"/>
    </row>
    <row r="50594" spans="65:67" ht="18.75" customHeight="1">
      <c r="BM50594" s="1025"/>
      <c r="BO50594" s="43"/>
    </row>
    <row r="50595" spans="65:67" ht="18.75" customHeight="1">
      <c r="BM50595" s="1025"/>
      <c r="BO50595" s="43"/>
    </row>
    <row r="50596" spans="65:67" ht="18.75" customHeight="1">
      <c r="BM50596" s="1025"/>
      <c r="BO50596" s="43"/>
    </row>
    <row r="50597" spans="65:67" ht="18.75" customHeight="1">
      <c r="BM50597" s="1025"/>
      <c r="BO50597" s="43"/>
    </row>
    <row r="50598" spans="65:67" ht="18.75" customHeight="1">
      <c r="BM50598" s="1025"/>
      <c r="BO50598" s="43"/>
    </row>
    <row r="50599" spans="65:67" ht="18.75" customHeight="1">
      <c r="BM50599" s="1025"/>
      <c r="BO50599" s="43"/>
    </row>
    <row r="50600" spans="65:67" ht="18.75" customHeight="1">
      <c r="BM50600" s="1025"/>
      <c r="BO50600" s="43"/>
    </row>
    <row r="50601" spans="65:67" ht="18.75" customHeight="1">
      <c r="BM50601" s="1025"/>
      <c r="BO50601" s="43"/>
    </row>
    <row r="50602" spans="65:67" ht="18.75" customHeight="1">
      <c r="BM50602" s="1025"/>
      <c r="BO50602" s="43"/>
    </row>
    <row r="50603" spans="65:67" ht="18.75" customHeight="1">
      <c r="BM50603" s="1025"/>
      <c r="BO50603" s="43"/>
    </row>
    <row r="50604" spans="65:67" ht="18.75" customHeight="1">
      <c r="BM50604" s="1025"/>
      <c r="BO50604" s="43"/>
    </row>
    <row r="50605" spans="65:67" ht="18.75" customHeight="1">
      <c r="BM50605" s="1025"/>
      <c r="BO50605" s="43"/>
    </row>
    <row r="50606" spans="65:67" ht="18.75" customHeight="1">
      <c r="BM50606" s="1025"/>
      <c r="BO50606" s="43"/>
    </row>
    <row r="50607" spans="65:67" ht="18.75" customHeight="1">
      <c r="BM50607" s="1025"/>
      <c r="BO50607" s="43"/>
    </row>
    <row r="50608" spans="65:67" ht="18.75" customHeight="1">
      <c r="BM50608" s="1025"/>
      <c r="BO50608" s="43"/>
    </row>
    <row r="50609" spans="65:67" ht="18.75" customHeight="1">
      <c r="BM50609" s="1025"/>
      <c r="BO50609" s="43"/>
    </row>
    <row r="50610" spans="65:67" ht="18.75" customHeight="1">
      <c r="BM50610" s="1025"/>
      <c r="BO50610" s="43"/>
    </row>
    <row r="50611" spans="65:67" ht="18.75" customHeight="1">
      <c r="BM50611" s="1025"/>
      <c r="BO50611" s="43"/>
    </row>
    <row r="50612" spans="65:67" ht="18.75" customHeight="1">
      <c r="BM50612" s="1025"/>
      <c r="BO50612" s="43"/>
    </row>
    <row r="50613" spans="65:67" ht="18.75" customHeight="1">
      <c r="BM50613" s="1025"/>
      <c r="BO50613" s="43"/>
    </row>
    <row r="50614" spans="65:67" ht="18.75" customHeight="1">
      <c r="BM50614" s="1025"/>
      <c r="BO50614" s="43"/>
    </row>
    <row r="50615" spans="65:67" ht="18.75" customHeight="1">
      <c r="BM50615" s="1025"/>
      <c r="BO50615" s="43"/>
    </row>
    <row r="50616" spans="65:67" ht="18.75" customHeight="1">
      <c r="BM50616" s="1025"/>
      <c r="BO50616" s="43"/>
    </row>
    <row r="50617" spans="65:67" ht="18.75" customHeight="1">
      <c r="BM50617" s="1025"/>
      <c r="BO50617" s="43"/>
    </row>
    <row r="50618" spans="65:67" ht="18.75" customHeight="1">
      <c r="BM50618" s="1025"/>
      <c r="BO50618" s="43"/>
    </row>
    <row r="50619" spans="65:67" ht="18.75" customHeight="1">
      <c r="BM50619" s="1025"/>
      <c r="BO50619" s="43"/>
    </row>
    <row r="50620" spans="65:67" ht="18.75" customHeight="1">
      <c r="BM50620" s="1025"/>
      <c r="BO50620" s="43"/>
    </row>
    <row r="50621" spans="65:67" ht="18.75" customHeight="1">
      <c r="BM50621" s="1025"/>
      <c r="BO50621" s="43"/>
    </row>
    <row r="50622" spans="65:67" ht="18.75" customHeight="1">
      <c r="BM50622" s="1025"/>
      <c r="BO50622" s="43"/>
    </row>
    <row r="50623" spans="65:67" ht="18.75" customHeight="1">
      <c r="BM50623" s="1025"/>
      <c r="BO50623" s="43"/>
    </row>
    <row r="50624" spans="65:67" ht="18.75" customHeight="1">
      <c r="BM50624" s="1025"/>
      <c r="BO50624" s="43"/>
    </row>
    <row r="50625" spans="65:67" ht="18.75" customHeight="1">
      <c r="BM50625" s="1025"/>
      <c r="BO50625" s="43"/>
    </row>
    <row r="50626" spans="65:67" ht="18.75" customHeight="1">
      <c r="BM50626" s="1025"/>
      <c r="BO50626" s="43"/>
    </row>
    <row r="50627" spans="65:67" ht="18.75" customHeight="1">
      <c r="BM50627" s="1025"/>
      <c r="BO50627" s="43"/>
    </row>
    <row r="50628" spans="65:67" ht="18.75" customHeight="1">
      <c r="BM50628" s="1025"/>
      <c r="BO50628" s="43"/>
    </row>
    <row r="50629" spans="65:67" ht="18.75" customHeight="1">
      <c r="BM50629" s="1025"/>
      <c r="BO50629" s="43"/>
    </row>
    <row r="50630" spans="65:67" ht="18.75" customHeight="1">
      <c r="BM50630" s="1025"/>
      <c r="BO50630" s="43"/>
    </row>
    <row r="50631" spans="65:67" ht="18.75" customHeight="1">
      <c r="BM50631" s="1025"/>
      <c r="BO50631" s="43"/>
    </row>
    <row r="50632" spans="65:67" ht="18.75" customHeight="1">
      <c r="BM50632" s="1025"/>
      <c r="BO50632" s="43"/>
    </row>
    <row r="50633" spans="65:67" ht="18.75" customHeight="1">
      <c r="BM50633" s="1025"/>
      <c r="BO50633" s="43"/>
    </row>
    <row r="50634" spans="65:67" ht="18.75" customHeight="1">
      <c r="BM50634" s="1025"/>
      <c r="BO50634" s="43"/>
    </row>
    <row r="50635" spans="65:67" ht="18.75" customHeight="1">
      <c r="BM50635" s="1025"/>
      <c r="BO50635" s="43"/>
    </row>
    <row r="50636" spans="65:67" ht="18.75" customHeight="1">
      <c r="BM50636" s="1025"/>
      <c r="BO50636" s="43"/>
    </row>
    <row r="50637" spans="65:67" ht="18.75" customHeight="1">
      <c r="BM50637" s="1025"/>
      <c r="BO50637" s="43"/>
    </row>
    <row r="50638" spans="65:67" ht="18.75" customHeight="1">
      <c r="BM50638" s="1025"/>
      <c r="BO50638" s="43"/>
    </row>
    <row r="50639" spans="65:67" ht="18.75" customHeight="1">
      <c r="BM50639" s="1025"/>
      <c r="BO50639" s="43"/>
    </row>
    <row r="50640" spans="65:67" ht="18.75" customHeight="1">
      <c r="BM50640" s="1025"/>
      <c r="BO50640" s="43"/>
    </row>
    <row r="50641" spans="65:67" ht="18.75" customHeight="1">
      <c r="BM50641" s="1025"/>
      <c r="BO50641" s="43"/>
    </row>
    <row r="50642" spans="65:67" ht="18.75" customHeight="1">
      <c r="BM50642" s="1025"/>
      <c r="BO50642" s="43"/>
    </row>
    <row r="50643" spans="65:67" ht="18.75" customHeight="1">
      <c r="BM50643" s="1025"/>
      <c r="BO50643" s="43"/>
    </row>
    <row r="50644" spans="65:67" ht="18.75" customHeight="1">
      <c r="BM50644" s="1025"/>
      <c r="BO50644" s="43"/>
    </row>
    <row r="50645" spans="65:67" ht="18.75" customHeight="1">
      <c r="BM50645" s="1025"/>
      <c r="BO50645" s="43"/>
    </row>
    <row r="50646" spans="65:67" ht="18.75" customHeight="1">
      <c r="BM50646" s="1025"/>
      <c r="BO50646" s="43"/>
    </row>
    <row r="50647" spans="65:67" ht="18.75" customHeight="1">
      <c r="BM50647" s="1025"/>
      <c r="BO50647" s="43"/>
    </row>
    <row r="50648" spans="65:67" ht="18.75" customHeight="1">
      <c r="BM50648" s="1025"/>
      <c r="BO50648" s="43"/>
    </row>
    <row r="50649" spans="65:67" ht="18.75" customHeight="1">
      <c r="BM50649" s="1025"/>
      <c r="BO50649" s="43"/>
    </row>
    <row r="50650" spans="65:67" ht="18.75" customHeight="1">
      <c r="BM50650" s="1025"/>
      <c r="BO50650" s="43"/>
    </row>
    <row r="50651" spans="65:67" ht="18.75" customHeight="1">
      <c r="BM50651" s="1025"/>
      <c r="BO50651" s="43"/>
    </row>
    <row r="50652" spans="65:67" ht="18.75" customHeight="1">
      <c r="BM50652" s="1025"/>
      <c r="BO50652" s="43"/>
    </row>
    <row r="50653" spans="65:67" ht="18.75" customHeight="1">
      <c r="BM50653" s="1025"/>
      <c r="BO50653" s="43"/>
    </row>
    <row r="50654" spans="65:67" ht="18.75" customHeight="1">
      <c r="BM50654" s="1025"/>
      <c r="BO50654" s="43"/>
    </row>
    <row r="50655" spans="65:67" ht="18.75" customHeight="1">
      <c r="BM50655" s="1025"/>
      <c r="BO50655" s="43"/>
    </row>
    <row r="50656" spans="65:67" ht="18.75" customHeight="1">
      <c r="BM50656" s="1025"/>
      <c r="BO50656" s="43"/>
    </row>
    <row r="50657" spans="65:67" ht="18.75" customHeight="1">
      <c r="BM50657" s="1025"/>
      <c r="BO50657" s="43"/>
    </row>
    <row r="50658" spans="65:67" ht="18.75" customHeight="1">
      <c r="BM50658" s="1025"/>
      <c r="BO50658" s="43"/>
    </row>
    <row r="50659" spans="65:67" ht="18.75" customHeight="1">
      <c r="BM50659" s="1025"/>
      <c r="BO50659" s="43"/>
    </row>
    <row r="50660" spans="65:67" ht="18.75" customHeight="1">
      <c r="BM50660" s="1025"/>
      <c r="BO50660" s="43"/>
    </row>
    <row r="50661" spans="65:67" ht="18.75" customHeight="1">
      <c r="BM50661" s="1025"/>
      <c r="BO50661" s="43"/>
    </row>
    <row r="50662" spans="65:67" ht="18.75" customHeight="1">
      <c r="BM50662" s="1025"/>
      <c r="BO50662" s="43"/>
    </row>
    <row r="50663" spans="65:67" ht="18.75" customHeight="1">
      <c r="BM50663" s="1025"/>
      <c r="BO50663" s="43"/>
    </row>
    <row r="50664" spans="65:67" ht="18.75" customHeight="1">
      <c r="BM50664" s="1025"/>
      <c r="BO50664" s="43"/>
    </row>
    <row r="50665" spans="65:67" ht="18.75" customHeight="1">
      <c r="BM50665" s="1025"/>
      <c r="BO50665" s="43"/>
    </row>
    <row r="50666" spans="65:67" ht="18.75" customHeight="1">
      <c r="BM50666" s="1025"/>
      <c r="BO50666" s="43"/>
    </row>
    <row r="50667" spans="65:67" ht="18.75" customHeight="1">
      <c r="BM50667" s="1025"/>
      <c r="BO50667" s="43"/>
    </row>
    <row r="50668" spans="65:67" ht="18.75" customHeight="1">
      <c r="BM50668" s="1025"/>
      <c r="BO50668" s="43"/>
    </row>
    <row r="50669" spans="65:67" ht="18.75" customHeight="1">
      <c r="BM50669" s="1025"/>
      <c r="BO50669" s="43"/>
    </row>
    <row r="50670" spans="65:67" ht="18.75" customHeight="1">
      <c r="BM50670" s="1025"/>
      <c r="BO50670" s="43"/>
    </row>
    <row r="50671" spans="65:67" ht="18.75" customHeight="1">
      <c r="BM50671" s="1025"/>
      <c r="BO50671" s="43"/>
    </row>
    <row r="50672" spans="65:67" ht="18.75" customHeight="1">
      <c r="BM50672" s="1025"/>
      <c r="BO50672" s="43"/>
    </row>
    <row r="50673" spans="65:67" ht="18.75" customHeight="1">
      <c r="BM50673" s="1025"/>
      <c r="BO50673" s="43"/>
    </row>
    <row r="50674" spans="65:67" ht="18.75" customHeight="1">
      <c r="BM50674" s="1025"/>
      <c r="BO50674" s="43"/>
    </row>
    <row r="50675" spans="65:67" ht="18.75" customHeight="1">
      <c r="BM50675" s="1025"/>
      <c r="BO50675" s="43"/>
    </row>
    <row r="50676" spans="65:67" ht="18.75" customHeight="1">
      <c r="BM50676" s="1025"/>
      <c r="BO50676" s="43"/>
    </row>
    <row r="50677" spans="65:67" ht="18.75" customHeight="1">
      <c r="BM50677" s="1025"/>
      <c r="BO50677" s="43"/>
    </row>
    <row r="50678" spans="65:67" ht="18.75" customHeight="1">
      <c r="BM50678" s="1025"/>
      <c r="BO50678" s="43"/>
    </row>
    <row r="50679" spans="65:67" ht="18.75" customHeight="1">
      <c r="BM50679" s="1025"/>
      <c r="BO50679" s="43"/>
    </row>
    <row r="50680" spans="65:67" ht="18.75" customHeight="1">
      <c r="BM50680" s="1025"/>
      <c r="BO50680" s="43"/>
    </row>
    <row r="50681" spans="65:67" ht="18.75" customHeight="1">
      <c r="BM50681" s="1025"/>
      <c r="BO50681" s="43"/>
    </row>
    <row r="50682" spans="65:67" ht="18.75" customHeight="1">
      <c r="BM50682" s="1025"/>
      <c r="BO50682" s="43"/>
    </row>
    <row r="50683" spans="65:67" ht="18.75" customHeight="1">
      <c r="BM50683" s="1025"/>
      <c r="BO50683" s="43"/>
    </row>
    <row r="50684" spans="65:67" ht="18.75" customHeight="1">
      <c r="BM50684" s="1025"/>
      <c r="BO50684" s="43"/>
    </row>
    <row r="50685" spans="65:67" ht="18.75" customHeight="1">
      <c r="BM50685" s="1025"/>
      <c r="BO50685" s="43"/>
    </row>
    <row r="50686" spans="65:67" ht="18.75" customHeight="1">
      <c r="BM50686" s="1025"/>
      <c r="BO50686" s="43"/>
    </row>
    <row r="50687" spans="65:67" ht="18.75" customHeight="1">
      <c r="BM50687" s="1025"/>
      <c r="BO50687" s="43"/>
    </row>
    <row r="50688" spans="65:67" ht="18.75" customHeight="1">
      <c r="BM50688" s="1025"/>
      <c r="BO50688" s="43"/>
    </row>
    <row r="50689" spans="65:67" ht="18.75" customHeight="1">
      <c r="BM50689" s="1025"/>
      <c r="BO50689" s="43"/>
    </row>
    <row r="50690" spans="65:67" ht="18.75" customHeight="1">
      <c r="BM50690" s="1025"/>
      <c r="BO50690" s="43"/>
    </row>
    <row r="50691" spans="65:67" ht="18.75" customHeight="1">
      <c r="BM50691" s="1025"/>
      <c r="BO50691" s="43"/>
    </row>
    <row r="50692" spans="65:67" ht="18.75" customHeight="1">
      <c r="BM50692" s="1025"/>
      <c r="BO50692" s="43"/>
    </row>
    <row r="50693" spans="65:67" ht="18.75" customHeight="1">
      <c r="BM50693" s="1025"/>
      <c r="BO50693" s="43"/>
    </row>
    <row r="50694" spans="65:67" ht="18.75" customHeight="1">
      <c r="BM50694" s="1025"/>
      <c r="BO50694" s="43"/>
    </row>
    <row r="50695" spans="65:67" ht="18.75" customHeight="1">
      <c r="BM50695" s="1025"/>
      <c r="BO50695" s="43"/>
    </row>
    <row r="50696" spans="65:67" ht="18.75" customHeight="1">
      <c r="BM50696" s="1025"/>
      <c r="BO50696" s="43"/>
    </row>
    <row r="50697" spans="65:67" ht="18.75" customHeight="1">
      <c r="BM50697" s="1025"/>
      <c r="BO50697" s="43"/>
    </row>
    <row r="50698" spans="65:67" ht="18.75" customHeight="1">
      <c r="BM50698" s="1025"/>
      <c r="BO50698" s="43"/>
    </row>
    <row r="50699" spans="65:67" ht="18.75" customHeight="1">
      <c r="BM50699" s="1025"/>
      <c r="BO50699" s="43"/>
    </row>
    <row r="50700" spans="65:67" ht="18.75" customHeight="1">
      <c r="BM50700" s="1025"/>
      <c r="BO50700" s="43"/>
    </row>
    <row r="50701" spans="65:67" ht="18.75" customHeight="1">
      <c r="BM50701" s="1025"/>
      <c r="BO50701" s="43"/>
    </row>
    <row r="50702" spans="65:67" ht="18.75" customHeight="1">
      <c r="BM50702" s="1025"/>
      <c r="BO50702" s="43"/>
    </row>
    <row r="50703" spans="65:67" ht="18.75" customHeight="1">
      <c r="BM50703" s="1025"/>
      <c r="BO50703" s="43"/>
    </row>
    <row r="50704" spans="65:67" ht="18.75" customHeight="1">
      <c r="BM50704" s="1025"/>
      <c r="BO50704" s="43"/>
    </row>
    <row r="50705" spans="65:67" ht="18.75" customHeight="1">
      <c r="BM50705" s="1025"/>
      <c r="BO50705" s="43"/>
    </row>
    <row r="50706" spans="65:67" ht="18.75" customHeight="1">
      <c r="BM50706" s="1025"/>
      <c r="BO50706" s="43"/>
    </row>
    <row r="50707" spans="65:67" ht="18.75" customHeight="1">
      <c r="BM50707" s="1025"/>
      <c r="BO50707" s="43"/>
    </row>
    <row r="50708" spans="65:67" ht="18.75" customHeight="1">
      <c r="BM50708" s="1025"/>
      <c r="BO50708" s="43"/>
    </row>
    <row r="50709" spans="65:67" ht="18.75" customHeight="1">
      <c r="BM50709" s="1025"/>
      <c r="BO50709" s="43"/>
    </row>
    <row r="50710" spans="65:67" ht="18.75" customHeight="1">
      <c r="BM50710" s="1025"/>
      <c r="BO50710" s="43"/>
    </row>
    <row r="50711" spans="65:67" ht="18.75" customHeight="1">
      <c r="BM50711" s="1025"/>
      <c r="BO50711" s="43"/>
    </row>
    <row r="50712" spans="65:67" ht="18.75" customHeight="1">
      <c r="BM50712" s="1025"/>
      <c r="BO50712" s="43"/>
    </row>
    <row r="50713" spans="65:67" ht="18.75" customHeight="1">
      <c r="BM50713" s="1025"/>
      <c r="BO50713" s="43"/>
    </row>
    <row r="50714" spans="65:67" ht="18.75" customHeight="1">
      <c r="BM50714" s="1025"/>
      <c r="BO50714" s="43"/>
    </row>
    <row r="50715" spans="65:67" ht="18.75" customHeight="1">
      <c r="BM50715" s="1025"/>
      <c r="BO50715" s="43"/>
    </row>
    <row r="50716" spans="65:67" ht="18.75" customHeight="1">
      <c r="BM50716" s="1025"/>
      <c r="BO50716" s="43"/>
    </row>
    <row r="50717" spans="65:67" ht="18.75" customHeight="1">
      <c r="BM50717" s="1025"/>
      <c r="BO50717" s="43"/>
    </row>
    <row r="50718" spans="65:67" ht="18.75" customHeight="1">
      <c r="BM50718" s="1025"/>
      <c r="BO50718" s="43"/>
    </row>
    <row r="50719" spans="65:67" ht="18.75" customHeight="1">
      <c r="BM50719" s="1025"/>
      <c r="BO50719" s="43"/>
    </row>
    <row r="50720" spans="65:67" ht="18.75" customHeight="1">
      <c r="BM50720" s="1025"/>
      <c r="BO50720" s="43"/>
    </row>
    <row r="50721" spans="65:67" ht="18.75" customHeight="1">
      <c r="BM50721" s="1025"/>
      <c r="BO50721" s="43"/>
    </row>
    <row r="50722" spans="65:67" ht="18.75" customHeight="1">
      <c r="BM50722" s="1025"/>
      <c r="BO50722" s="43"/>
    </row>
    <row r="50723" spans="65:67" ht="18.75" customHeight="1">
      <c r="BM50723" s="1025"/>
      <c r="BO50723" s="43"/>
    </row>
    <row r="50724" spans="65:67" ht="18.75" customHeight="1">
      <c r="BM50724" s="1025"/>
      <c r="BO50724" s="43"/>
    </row>
    <row r="50725" spans="65:67" ht="18.75" customHeight="1">
      <c r="BM50725" s="1025"/>
      <c r="BO50725" s="43"/>
    </row>
    <row r="50726" spans="65:67" ht="18.75" customHeight="1">
      <c r="BM50726" s="1025"/>
      <c r="BO50726" s="43"/>
    </row>
    <row r="50727" spans="65:67" ht="18.75" customHeight="1">
      <c r="BM50727" s="1025"/>
      <c r="BO50727" s="43"/>
    </row>
    <row r="50728" spans="65:67" ht="18.75" customHeight="1">
      <c r="BM50728" s="1025"/>
      <c r="BO50728" s="43"/>
    </row>
    <row r="50729" spans="65:67" ht="18.75" customHeight="1">
      <c r="BM50729" s="1025"/>
      <c r="BO50729" s="43"/>
    </row>
    <row r="50730" spans="65:67" ht="18.75" customHeight="1">
      <c r="BM50730" s="1025"/>
      <c r="BO50730" s="43"/>
    </row>
    <row r="50731" spans="65:67" ht="18.75" customHeight="1">
      <c r="BM50731" s="1025"/>
      <c r="BO50731" s="43"/>
    </row>
    <row r="50732" spans="65:67" ht="18.75" customHeight="1">
      <c r="BM50732" s="1025"/>
      <c r="BO50732" s="43"/>
    </row>
    <row r="50733" spans="65:67" ht="18.75" customHeight="1">
      <c r="BM50733" s="1025"/>
      <c r="BO50733" s="43"/>
    </row>
    <row r="50734" spans="65:67" ht="18.75" customHeight="1">
      <c r="BM50734" s="1025"/>
      <c r="BO50734" s="43"/>
    </row>
    <row r="50735" spans="65:67" ht="18.75" customHeight="1">
      <c r="BM50735" s="1025"/>
      <c r="BO50735" s="43"/>
    </row>
    <row r="50736" spans="65:67" ht="18.75" customHeight="1">
      <c r="BM50736" s="1025"/>
      <c r="BO50736" s="43"/>
    </row>
    <row r="50737" spans="65:67" ht="18.75" customHeight="1">
      <c r="BM50737" s="1025"/>
      <c r="BO50737" s="43"/>
    </row>
    <row r="50738" spans="65:67" ht="18.75" customHeight="1">
      <c r="BM50738" s="1025"/>
      <c r="BO50738" s="43"/>
    </row>
    <row r="50739" spans="65:67" ht="18.75" customHeight="1">
      <c r="BM50739" s="1025"/>
      <c r="BO50739" s="43"/>
    </row>
    <row r="50740" spans="65:67" ht="18.75" customHeight="1">
      <c r="BM50740" s="1025"/>
      <c r="BO50740" s="43"/>
    </row>
    <row r="50741" spans="65:67" ht="18.75" customHeight="1">
      <c r="BM50741" s="1025"/>
      <c r="BO50741" s="43"/>
    </row>
    <row r="50742" spans="65:67" ht="18.75" customHeight="1">
      <c r="BM50742" s="1025"/>
      <c r="BO50742" s="43"/>
    </row>
    <row r="50743" spans="65:67" ht="18.75" customHeight="1">
      <c r="BM50743" s="1025"/>
      <c r="BO50743" s="43"/>
    </row>
    <row r="50744" spans="65:67" ht="18.75" customHeight="1">
      <c r="BM50744" s="1025"/>
      <c r="BO50744" s="43"/>
    </row>
    <row r="50745" spans="65:67" ht="18.75" customHeight="1">
      <c r="BM50745" s="1025"/>
      <c r="BO50745" s="43"/>
    </row>
    <row r="50746" spans="65:67" ht="18.75" customHeight="1">
      <c r="BM50746" s="1025"/>
      <c r="BO50746" s="43"/>
    </row>
    <row r="50747" spans="65:67" ht="18.75" customHeight="1">
      <c r="BM50747" s="1025"/>
      <c r="BO50747" s="43"/>
    </row>
    <row r="50748" spans="65:67" ht="18.75" customHeight="1">
      <c r="BM50748" s="1025"/>
      <c r="BO50748" s="43"/>
    </row>
    <row r="50749" spans="65:67" ht="18.75" customHeight="1">
      <c r="BM50749" s="1025"/>
      <c r="BO50749" s="43"/>
    </row>
    <row r="50750" spans="65:67" ht="18.75" customHeight="1">
      <c r="BM50750" s="1025"/>
      <c r="BO50750" s="43"/>
    </row>
    <row r="50751" spans="65:67" ht="18.75" customHeight="1">
      <c r="BM50751" s="1025"/>
      <c r="BO50751" s="43"/>
    </row>
    <row r="50752" spans="65:67" ht="18.75" customHeight="1">
      <c r="BM50752" s="1025"/>
      <c r="BO50752" s="43"/>
    </row>
    <row r="50753" spans="65:67" ht="18.75" customHeight="1">
      <c r="BM50753" s="1025"/>
      <c r="BO50753" s="43"/>
    </row>
    <row r="50754" spans="65:67" ht="18.75" customHeight="1">
      <c r="BM50754" s="1025"/>
      <c r="BO50754" s="43"/>
    </row>
    <row r="50755" spans="65:67" ht="18.75" customHeight="1">
      <c r="BM50755" s="1025"/>
      <c r="BO50755" s="43"/>
    </row>
    <row r="50756" spans="65:67" ht="18.75" customHeight="1">
      <c r="BM50756" s="1025"/>
      <c r="BO50756" s="43"/>
    </row>
    <row r="50757" spans="65:67" ht="18.75" customHeight="1">
      <c r="BM50757" s="1025"/>
      <c r="BO50757" s="43"/>
    </row>
    <row r="50758" spans="65:67" ht="18.75" customHeight="1">
      <c r="BM50758" s="1025"/>
      <c r="BO50758" s="43"/>
    </row>
    <row r="50759" spans="65:67" ht="18.75" customHeight="1">
      <c r="BM50759" s="1025"/>
      <c r="BO50759" s="43"/>
    </row>
    <row r="50760" spans="65:67" ht="18.75" customHeight="1">
      <c r="BM50760" s="1025"/>
      <c r="BO50760" s="43"/>
    </row>
    <row r="50761" spans="65:67" ht="18.75" customHeight="1">
      <c r="BM50761" s="1025"/>
      <c r="BO50761" s="43"/>
    </row>
    <row r="50762" spans="65:67" ht="18.75" customHeight="1">
      <c r="BM50762" s="1025"/>
      <c r="BO50762" s="43"/>
    </row>
    <row r="50763" spans="65:67" ht="18.75" customHeight="1">
      <c r="BM50763" s="1025"/>
      <c r="BO50763" s="43"/>
    </row>
    <row r="50764" spans="65:67" ht="18.75" customHeight="1">
      <c r="BM50764" s="1025"/>
      <c r="BO50764" s="43"/>
    </row>
    <row r="50765" spans="65:67" ht="18.75" customHeight="1">
      <c r="BM50765" s="1025"/>
      <c r="BO50765" s="43"/>
    </row>
    <row r="50766" spans="65:67" ht="18.75" customHeight="1">
      <c r="BM50766" s="1025"/>
      <c r="BO50766" s="43"/>
    </row>
    <row r="50767" spans="65:67" ht="18.75" customHeight="1">
      <c r="BM50767" s="1025"/>
      <c r="BO50767" s="43"/>
    </row>
    <row r="50768" spans="65:67" ht="18.75" customHeight="1">
      <c r="BM50768" s="1025"/>
      <c r="BO50768" s="43"/>
    </row>
    <row r="50769" spans="65:67" ht="18.75" customHeight="1">
      <c r="BM50769" s="1025"/>
      <c r="BO50769" s="43"/>
    </row>
    <row r="50770" spans="65:67" ht="18.75" customHeight="1">
      <c r="BM50770" s="1025"/>
      <c r="BO50770" s="43"/>
    </row>
    <row r="50771" spans="65:67" ht="18.75" customHeight="1">
      <c r="BM50771" s="1025"/>
      <c r="BO50771" s="43"/>
    </row>
    <row r="50772" spans="65:67" ht="18.75" customHeight="1">
      <c r="BM50772" s="1025"/>
      <c r="BO50772" s="43"/>
    </row>
    <row r="50773" spans="65:67" ht="18.75" customHeight="1">
      <c r="BM50773" s="1025"/>
      <c r="BO50773" s="43"/>
    </row>
    <row r="50774" spans="65:67" ht="18.75" customHeight="1">
      <c r="BM50774" s="1025"/>
      <c r="BO50774" s="43"/>
    </row>
    <row r="50775" spans="65:67" ht="18.75" customHeight="1">
      <c r="BM50775" s="1025"/>
      <c r="BO50775" s="43"/>
    </row>
    <row r="50776" spans="65:67" ht="18.75" customHeight="1">
      <c r="BM50776" s="1025"/>
      <c r="BO50776" s="43"/>
    </row>
    <row r="50777" spans="65:67" ht="18.75" customHeight="1">
      <c r="BM50777" s="1025"/>
      <c r="BO50777" s="43"/>
    </row>
    <row r="50778" spans="65:67" ht="18.75" customHeight="1">
      <c r="BM50778" s="1025"/>
      <c r="BO50778" s="43"/>
    </row>
    <row r="50779" spans="65:67" ht="18.75" customHeight="1">
      <c r="BM50779" s="1025"/>
      <c r="BO50779" s="43"/>
    </row>
    <row r="50780" spans="65:67" ht="18.75" customHeight="1">
      <c r="BM50780" s="1025"/>
      <c r="BO50780" s="43"/>
    </row>
    <row r="50781" spans="65:67" ht="18.75" customHeight="1">
      <c r="BM50781" s="1025"/>
      <c r="BO50781" s="43"/>
    </row>
    <row r="50782" spans="65:67" ht="18.75" customHeight="1">
      <c r="BM50782" s="1025"/>
      <c r="BO50782" s="43"/>
    </row>
    <row r="50783" spans="65:67" ht="18.75" customHeight="1">
      <c r="BM50783" s="1025"/>
      <c r="BO50783" s="43"/>
    </row>
    <row r="50784" spans="65:67" ht="18.75" customHeight="1">
      <c r="BM50784" s="1025"/>
      <c r="BO50784" s="43"/>
    </row>
    <row r="50785" spans="65:67" ht="18.75" customHeight="1">
      <c r="BM50785" s="1025"/>
      <c r="BO50785" s="43"/>
    </row>
    <row r="50786" spans="65:67" ht="18.75" customHeight="1">
      <c r="BM50786" s="1025"/>
      <c r="BO50786" s="43"/>
    </row>
    <row r="50787" spans="65:67" ht="18.75" customHeight="1">
      <c r="BM50787" s="1025"/>
      <c r="BO50787" s="43"/>
    </row>
    <row r="50788" spans="65:67" ht="18.75" customHeight="1">
      <c r="BM50788" s="1025"/>
      <c r="BO50788" s="43"/>
    </row>
    <row r="50789" spans="65:67" ht="18.75" customHeight="1">
      <c r="BM50789" s="1025"/>
      <c r="BO50789" s="43"/>
    </row>
    <row r="50790" spans="65:67" ht="18.75" customHeight="1">
      <c r="BM50790" s="1025"/>
      <c r="BO50790" s="43"/>
    </row>
    <row r="50791" spans="65:67" ht="18.75" customHeight="1">
      <c r="BM50791" s="1025"/>
      <c r="BO50791" s="43"/>
    </row>
    <row r="50792" spans="65:67" ht="18.75" customHeight="1">
      <c r="BM50792" s="1025"/>
      <c r="BO50792" s="43"/>
    </row>
    <row r="50793" spans="65:67" ht="18.75" customHeight="1">
      <c r="BM50793" s="1025"/>
      <c r="BO50793" s="43"/>
    </row>
    <row r="50794" spans="65:67" ht="18.75" customHeight="1">
      <c r="BM50794" s="1025"/>
      <c r="BO50794" s="43"/>
    </row>
    <row r="50795" spans="65:67" ht="18.75" customHeight="1">
      <c r="BM50795" s="1025"/>
      <c r="BO50795" s="43"/>
    </row>
    <row r="50796" spans="65:67" ht="18.75" customHeight="1">
      <c r="BM50796" s="1025"/>
      <c r="BO50796" s="43"/>
    </row>
    <row r="50797" spans="65:67" ht="18.75" customHeight="1">
      <c r="BM50797" s="1025"/>
      <c r="BO50797" s="43"/>
    </row>
    <row r="50798" spans="65:67" ht="18.75" customHeight="1">
      <c r="BM50798" s="1025"/>
      <c r="BO50798" s="43"/>
    </row>
    <row r="50799" spans="65:67" ht="18.75" customHeight="1">
      <c r="BM50799" s="1025"/>
      <c r="BO50799" s="43"/>
    </row>
    <row r="50800" spans="65:67" ht="18.75" customHeight="1">
      <c r="BM50800" s="1025"/>
      <c r="BO50800" s="43"/>
    </row>
    <row r="50801" spans="65:67" ht="18.75" customHeight="1">
      <c r="BM50801" s="1025"/>
      <c r="BO50801" s="43"/>
    </row>
    <row r="50802" spans="65:67" ht="18.75" customHeight="1">
      <c r="BM50802" s="1025"/>
      <c r="BO50802" s="43"/>
    </row>
    <row r="50803" spans="65:67" ht="18.75" customHeight="1">
      <c r="BM50803" s="1025"/>
      <c r="BO50803" s="43"/>
    </row>
    <row r="50804" spans="65:67" ht="18.75" customHeight="1">
      <c r="BM50804" s="1025"/>
      <c r="BO50804" s="43"/>
    </row>
    <row r="50805" spans="65:67" ht="18.75" customHeight="1">
      <c r="BM50805" s="1025"/>
      <c r="BO50805" s="43"/>
    </row>
    <row r="50806" spans="65:67" ht="18.75" customHeight="1">
      <c r="BM50806" s="1025"/>
      <c r="BO50806" s="43"/>
    </row>
    <row r="50807" spans="65:67" ht="18.75" customHeight="1">
      <c r="BM50807" s="1025"/>
      <c r="BO50807" s="43"/>
    </row>
    <row r="50808" spans="65:67" ht="18.75" customHeight="1">
      <c r="BM50808" s="1025"/>
      <c r="BO50808" s="43"/>
    </row>
    <row r="50809" spans="65:67" ht="18.75" customHeight="1">
      <c r="BM50809" s="1025"/>
      <c r="BO50809" s="43"/>
    </row>
    <row r="50810" spans="65:67" ht="18.75" customHeight="1">
      <c r="BM50810" s="1025"/>
      <c r="BO50810" s="43"/>
    </row>
    <row r="50811" spans="65:67" ht="18.75" customHeight="1">
      <c r="BM50811" s="1025"/>
      <c r="BO50811" s="43"/>
    </row>
    <row r="50812" spans="65:67" ht="18.75" customHeight="1">
      <c r="BM50812" s="1025"/>
      <c r="BO50812" s="43"/>
    </row>
    <row r="50813" spans="65:67" ht="18.75" customHeight="1">
      <c r="BM50813" s="1025"/>
      <c r="BO50813" s="43"/>
    </row>
    <row r="50814" spans="65:67" ht="18.75" customHeight="1">
      <c r="BM50814" s="1025"/>
      <c r="BO50814" s="43"/>
    </row>
    <row r="50815" spans="65:67" ht="18.75" customHeight="1">
      <c r="BM50815" s="1025"/>
      <c r="BO50815" s="43"/>
    </row>
    <row r="50816" spans="65:67" ht="18.75" customHeight="1">
      <c r="BM50816" s="1025"/>
      <c r="BO50816" s="43"/>
    </row>
    <row r="50817" spans="65:67" ht="18.75" customHeight="1">
      <c r="BM50817" s="1025"/>
      <c r="BO50817" s="43"/>
    </row>
    <row r="50818" spans="65:67" ht="18.75" customHeight="1">
      <c r="BM50818" s="1025"/>
      <c r="BO50818" s="43"/>
    </row>
    <row r="50819" spans="65:67" ht="18.75" customHeight="1">
      <c r="BM50819" s="1025"/>
      <c r="BO50819" s="43"/>
    </row>
    <row r="50820" spans="65:67" ht="18.75" customHeight="1">
      <c r="BM50820" s="1025"/>
      <c r="BO50820" s="43"/>
    </row>
    <row r="50821" spans="65:67" ht="18.75" customHeight="1">
      <c r="BM50821" s="1025"/>
      <c r="BO50821" s="43"/>
    </row>
    <row r="50822" spans="65:67" ht="18.75" customHeight="1">
      <c r="BM50822" s="1025"/>
      <c r="BO50822" s="43"/>
    </row>
    <row r="50823" spans="65:67" ht="18.75" customHeight="1">
      <c r="BM50823" s="1025"/>
      <c r="BO50823" s="43"/>
    </row>
    <row r="50824" spans="65:67" ht="18.75" customHeight="1">
      <c r="BM50824" s="1025"/>
      <c r="BO50824" s="43"/>
    </row>
    <row r="50825" spans="65:67" ht="18.75" customHeight="1">
      <c r="BM50825" s="1025"/>
      <c r="BO50825" s="43"/>
    </row>
    <row r="50826" spans="65:67" ht="18.75" customHeight="1">
      <c r="BM50826" s="1025"/>
      <c r="BO50826" s="43"/>
    </row>
    <row r="50827" spans="65:67" ht="18.75" customHeight="1">
      <c r="BM50827" s="1025"/>
      <c r="BO50827" s="43"/>
    </row>
    <row r="50828" spans="65:67" ht="18.75" customHeight="1">
      <c r="BM50828" s="1025"/>
      <c r="BO50828" s="43"/>
    </row>
    <row r="50829" spans="65:67" ht="18.75" customHeight="1">
      <c r="BM50829" s="1025"/>
      <c r="BO50829" s="43"/>
    </row>
    <row r="50830" spans="65:67" ht="18.75" customHeight="1">
      <c r="BM50830" s="1025"/>
      <c r="BO50830" s="43"/>
    </row>
    <row r="50831" spans="65:67" ht="18.75" customHeight="1">
      <c r="BM50831" s="1025"/>
      <c r="BO50831" s="43"/>
    </row>
    <row r="50832" spans="65:67" ht="18.75" customHeight="1">
      <c r="BM50832" s="1025"/>
      <c r="BO50832" s="43"/>
    </row>
    <row r="50833" spans="65:67" ht="18.75" customHeight="1">
      <c r="BM50833" s="1025"/>
      <c r="BO50833" s="43"/>
    </row>
    <row r="50834" spans="65:67" ht="18.75" customHeight="1">
      <c r="BM50834" s="1025"/>
      <c r="BO50834" s="43"/>
    </row>
    <row r="50835" spans="65:67" ht="18.75" customHeight="1">
      <c r="BM50835" s="1025"/>
      <c r="BO50835" s="43"/>
    </row>
    <row r="50836" spans="65:67" ht="18.75" customHeight="1">
      <c r="BM50836" s="1025"/>
      <c r="BO50836" s="43"/>
    </row>
    <row r="50837" spans="65:67" ht="18.75" customHeight="1">
      <c r="BM50837" s="1025"/>
      <c r="BO50837" s="43"/>
    </row>
    <row r="50838" spans="65:67" ht="18.75" customHeight="1">
      <c r="BM50838" s="1025"/>
      <c r="BO50838" s="43"/>
    </row>
    <row r="50839" spans="65:67" ht="18.75" customHeight="1">
      <c r="BM50839" s="1025"/>
      <c r="BO50839" s="43"/>
    </row>
    <row r="50840" spans="65:67" ht="18.75" customHeight="1">
      <c r="BM50840" s="1025"/>
      <c r="BO50840" s="43"/>
    </row>
    <row r="50841" spans="65:67" ht="18.75" customHeight="1">
      <c r="BM50841" s="1025"/>
      <c r="BO50841" s="43"/>
    </row>
    <row r="50842" spans="65:67" ht="18.75" customHeight="1">
      <c r="BM50842" s="1025"/>
      <c r="BO50842" s="43"/>
    </row>
    <row r="50843" spans="65:67" ht="18.75" customHeight="1">
      <c r="BM50843" s="1025"/>
      <c r="BO50843" s="43"/>
    </row>
    <row r="50844" spans="65:67" ht="18.75" customHeight="1">
      <c r="BM50844" s="1025"/>
      <c r="BO50844" s="43"/>
    </row>
    <row r="50845" spans="65:67" ht="18.75" customHeight="1">
      <c r="BM50845" s="1025"/>
      <c r="BO50845" s="43"/>
    </row>
    <row r="50846" spans="65:67" ht="18.75" customHeight="1">
      <c r="BM50846" s="1025"/>
      <c r="BO50846" s="43"/>
    </row>
    <row r="50847" spans="65:67" ht="18.75" customHeight="1">
      <c r="BM50847" s="1025"/>
      <c r="BO50847" s="43"/>
    </row>
    <row r="50848" spans="65:67" ht="18.75" customHeight="1">
      <c r="BM50848" s="1025"/>
      <c r="BO50848" s="43"/>
    </row>
    <row r="50849" spans="65:67" ht="18.75" customHeight="1">
      <c r="BM50849" s="1025"/>
      <c r="BO50849" s="43"/>
    </row>
    <row r="50850" spans="65:67" ht="18.75" customHeight="1">
      <c r="BM50850" s="1025"/>
      <c r="BO50850" s="43"/>
    </row>
    <row r="50851" spans="65:67" ht="18.75" customHeight="1">
      <c r="BM50851" s="1025"/>
      <c r="BO50851" s="43"/>
    </row>
    <row r="50852" spans="65:67" ht="18.75" customHeight="1">
      <c r="BM50852" s="1025"/>
      <c r="BO50852" s="43"/>
    </row>
    <row r="50853" spans="65:67" ht="18.75" customHeight="1">
      <c r="BM50853" s="1025"/>
      <c r="BO50853" s="43"/>
    </row>
    <row r="50854" spans="65:67" ht="18.75" customHeight="1">
      <c r="BM50854" s="1025"/>
      <c r="BO50854" s="43"/>
    </row>
    <row r="50855" spans="65:67" ht="18.75" customHeight="1">
      <c r="BM50855" s="1025"/>
      <c r="BO50855" s="43"/>
    </row>
    <row r="50856" spans="65:67" ht="18.75" customHeight="1">
      <c r="BM50856" s="1025"/>
      <c r="BO50856" s="43"/>
    </row>
    <row r="50857" spans="65:67" ht="18.75" customHeight="1">
      <c r="BM50857" s="1025"/>
      <c r="BO50857" s="43"/>
    </row>
    <row r="50858" spans="65:67" ht="18.75" customHeight="1">
      <c r="BM50858" s="1025"/>
      <c r="BO50858" s="43"/>
    </row>
    <row r="50859" spans="65:67" ht="18.75" customHeight="1">
      <c r="BM50859" s="1025"/>
      <c r="BO50859" s="43"/>
    </row>
    <row r="50860" spans="65:67" ht="18.75" customHeight="1">
      <c r="BM50860" s="1025"/>
      <c r="BO50860" s="43"/>
    </row>
    <row r="50861" spans="65:67" ht="18.75" customHeight="1">
      <c r="BM50861" s="1025"/>
      <c r="BO50861" s="43"/>
    </row>
    <row r="50862" spans="65:67" ht="18.75" customHeight="1">
      <c r="BM50862" s="1025"/>
      <c r="BO50862" s="43"/>
    </row>
    <row r="50863" spans="65:67" ht="18.75" customHeight="1">
      <c r="BM50863" s="1025"/>
      <c r="BO50863" s="43"/>
    </row>
    <row r="50864" spans="65:67" ht="18.75" customHeight="1">
      <c r="BM50864" s="1025"/>
      <c r="BO50864" s="43"/>
    </row>
    <row r="50865" spans="65:67" ht="18.75" customHeight="1">
      <c r="BM50865" s="1025"/>
      <c r="BO50865" s="43"/>
    </row>
    <row r="50866" spans="65:67" ht="18.75" customHeight="1">
      <c r="BM50866" s="1025"/>
      <c r="BO50866" s="43"/>
    </row>
    <row r="50867" spans="65:67" ht="18.75" customHeight="1">
      <c r="BM50867" s="1025"/>
      <c r="BO50867" s="43"/>
    </row>
    <row r="50868" spans="65:67" ht="18.75" customHeight="1">
      <c r="BM50868" s="1025"/>
      <c r="BO50868" s="43"/>
    </row>
    <row r="50869" spans="65:67" ht="18.75" customHeight="1">
      <c r="BM50869" s="1025"/>
      <c r="BO50869" s="43"/>
    </row>
    <row r="50870" spans="65:67" ht="18.75" customHeight="1">
      <c r="BM50870" s="1025"/>
      <c r="BO50870" s="43"/>
    </row>
    <row r="50871" spans="65:67" ht="18.75" customHeight="1">
      <c r="BM50871" s="1025"/>
      <c r="BO50871" s="43"/>
    </row>
    <row r="50872" spans="65:67" ht="18.75" customHeight="1">
      <c r="BM50872" s="1025"/>
      <c r="BO50872" s="43"/>
    </row>
    <row r="50873" spans="65:67" ht="18.75" customHeight="1">
      <c r="BM50873" s="1025"/>
      <c r="BO50873" s="43"/>
    </row>
    <row r="50874" spans="65:67" ht="18.75" customHeight="1">
      <c r="BM50874" s="1025"/>
      <c r="BO50874" s="43"/>
    </row>
    <row r="50875" spans="65:67" ht="18.75" customHeight="1">
      <c r="BM50875" s="1025"/>
      <c r="BO50875" s="43"/>
    </row>
    <row r="50876" spans="65:67" ht="18.75" customHeight="1">
      <c r="BM50876" s="1025"/>
      <c r="BO50876" s="43"/>
    </row>
    <row r="50877" spans="65:67" ht="18.75" customHeight="1">
      <c r="BM50877" s="1025"/>
      <c r="BO50877" s="43"/>
    </row>
    <row r="50878" spans="65:67" ht="18.75" customHeight="1">
      <c r="BM50878" s="1025"/>
      <c r="BO50878" s="43"/>
    </row>
    <row r="50879" spans="65:67" ht="18.75" customHeight="1">
      <c r="BM50879" s="1025"/>
      <c r="BO50879" s="43"/>
    </row>
    <row r="50880" spans="65:67" ht="18.75" customHeight="1">
      <c r="BM50880" s="1025"/>
      <c r="BO50880" s="43"/>
    </row>
    <row r="50881" spans="65:67" ht="18.75" customHeight="1">
      <c r="BM50881" s="1025"/>
      <c r="BO50881" s="43"/>
    </row>
    <row r="50882" spans="65:67" ht="18.75" customHeight="1">
      <c r="BM50882" s="1025"/>
      <c r="BO50882" s="43"/>
    </row>
    <row r="50883" spans="65:67" ht="18.75" customHeight="1">
      <c r="BM50883" s="1025"/>
      <c r="BO50883" s="43"/>
    </row>
    <row r="50884" spans="65:67" ht="18.75" customHeight="1">
      <c r="BM50884" s="1025"/>
      <c r="BO50884" s="43"/>
    </row>
    <row r="50885" spans="65:67" ht="18.75" customHeight="1">
      <c r="BM50885" s="1025"/>
      <c r="BO50885" s="43"/>
    </row>
    <row r="50886" spans="65:67" ht="18.75" customHeight="1">
      <c r="BM50886" s="1025"/>
      <c r="BO50886" s="43"/>
    </row>
    <row r="50887" spans="65:67" ht="18.75" customHeight="1">
      <c r="BM50887" s="1025"/>
      <c r="BO50887" s="43"/>
    </row>
    <row r="50888" spans="65:67" ht="18.75" customHeight="1">
      <c r="BM50888" s="1025"/>
      <c r="BO50888" s="43"/>
    </row>
    <row r="50889" spans="65:67" ht="18.75" customHeight="1">
      <c r="BM50889" s="1025"/>
      <c r="BO50889" s="43"/>
    </row>
    <row r="50890" spans="65:67" ht="18.75" customHeight="1">
      <c r="BM50890" s="1025"/>
      <c r="BO50890" s="43"/>
    </row>
    <row r="50891" spans="65:67" ht="18.75" customHeight="1">
      <c r="BM50891" s="1025"/>
      <c r="BO50891" s="43"/>
    </row>
    <row r="50892" spans="65:67" ht="18.75" customHeight="1">
      <c r="BM50892" s="1025"/>
      <c r="BO50892" s="43"/>
    </row>
    <row r="50893" spans="65:67" ht="18.75" customHeight="1">
      <c r="BM50893" s="1025"/>
      <c r="BO50893" s="43"/>
    </row>
    <row r="50894" spans="65:67" ht="18.75" customHeight="1">
      <c r="BM50894" s="1025"/>
      <c r="BO50894" s="43"/>
    </row>
    <row r="50895" spans="65:67" ht="18.75" customHeight="1">
      <c r="BM50895" s="1025"/>
      <c r="BO50895" s="43"/>
    </row>
    <row r="50896" spans="65:67" ht="18.75" customHeight="1">
      <c r="BM50896" s="1025"/>
      <c r="BO50896" s="43"/>
    </row>
    <row r="50897" spans="65:67" ht="18.75" customHeight="1">
      <c r="BM50897" s="1025"/>
      <c r="BO50897" s="43"/>
    </row>
    <row r="50898" spans="65:67" ht="18.75" customHeight="1">
      <c r="BM50898" s="1025"/>
      <c r="BO50898" s="43"/>
    </row>
    <row r="50899" spans="65:67" ht="18.75" customHeight="1">
      <c r="BM50899" s="1025"/>
      <c r="BO50899" s="43"/>
    </row>
    <row r="50900" spans="65:67" ht="18.75" customHeight="1">
      <c r="BM50900" s="1025"/>
      <c r="BO50900" s="43"/>
    </row>
    <row r="50901" spans="65:67" ht="18.75" customHeight="1">
      <c r="BM50901" s="1025"/>
      <c r="BO50901" s="43"/>
    </row>
    <row r="50902" spans="65:67" ht="18.75" customHeight="1">
      <c r="BM50902" s="1025"/>
      <c r="BO50902" s="43"/>
    </row>
    <row r="50903" spans="65:67" ht="18.75" customHeight="1">
      <c r="BM50903" s="1025"/>
      <c r="BO50903" s="43"/>
    </row>
    <row r="50904" spans="65:67" ht="18.75" customHeight="1">
      <c r="BM50904" s="1025"/>
      <c r="BO50904" s="43"/>
    </row>
    <row r="50905" spans="65:67" ht="18.75" customHeight="1">
      <c r="BM50905" s="1025"/>
      <c r="BO50905" s="43"/>
    </row>
    <row r="50906" spans="65:67" ht="18.75" customHeight="1">
      <c r="BM50906" s="1025"/>
      <c r="BO50906" s="43"/>
    </row>
    <row r="50907" spans="65:67" ht="18.75" customHeight="1">
      <c r="BM50907" s="1025"/>
      <c r="BO50907" s="43"/>
    </row>
    <row r="50908" spans="65:67" ht="18.75" customHeight="1">
      <c r="BM50908" s="1025"/>
      <c r="BO50908" s="43"/>
    </row>
    <row r="50909" spans="65:67" ht="18.75" customHeight="1">
      <c r="BM50909" s="1025"/>
      <c r="BO50909" s="43"/>
    </row>
    <row r="50910" spans="65:67" ht="18.75" customHeight="1">
      <c r="BM50910" s="1025"/>
      <c r="BO50910" s="43"/>
    </row>
    <row r="50911" spans="65:67" ht="18.75" customHeight="1">
      <c r="BM50911" s="1025"/>
      <c r="BO50911" s="43"/>
    </row>
    <row r="50912" spans="65:67" ht="18.75" customHeight="1">
      <c r="BM50912" s="1025"/>
      <c r="BO50912" s="43"/>
    </row>
    <row r="50913" spans="65:67" ht="18.75" customHeight="1">
      <c r="BM50913" s="1025"/>
      <c r="BO50913" s="43"/>
    </row>
    <row r="50914" spans="65:67" ht="18.75" customHeight="1">
      <c r="BM50914" s="1025"/>
      <c r="BO50914" s="43"/>
    </row>
    <row r="50915" spans="65:67" ht="18.75" customHeight="1">
      <c r="BM50915" s="1025"/>
      <c r="BO50915" s="43"/>
    </row>
    <row r="50916" spans="65:67" ht="18.75" customHeight="1">
      <c r="BM50916" s="1025"/>
      <c r="BO50916" s="43"/>
    </row>
    <row r="50917" spans="65:67" ht="18.75" customHeight="1">
      <c r="BM50917" s="1025"/>
      <c r="BO50917" s="43"/>
    </row>
    <row r="50918" spans="65:67" ht="18.75" customHeight="1">
      <c r="BM50918" s="1025"/>
      <c r="BO50918" s="43"/>
    </row>
    <row r="50919" spans="65:67" ht="18.75" customHeight="1">
      <c r="BM50919" s="1025"/>
      <c r="BO50919" s="43"/>
    </row>
    <row r="50920" spans="65:67" ht="18.75" customHeight="1">
      <c r="BM50920" s="1025"/>
      <c r="BO50920" s="43"/>
    </row>
    <row r="50921" spans="65:67" ht="18.75" customHeight="1">
      <c r="BM50921" s="1025"/>
      <c r="BO50921" s="43"/>
    </row>
    <row r="50922" spans="65:67" ht="18.75" customHeight="1">
      <c r="BM50922" s="1025"/>
      <c r="BO50922" s="43"/>
    </row>
    <row r="50923" spans="65:67" ht="18.75" customHeight="1">
      <c r="BM50923" s="1025"/>
      <c r="BO50923" s="43"/>
    </row>
    <row r="50924" spans="65:67" ht="18.75" customHeight="1">
      <c r="BM50924" s="1025"/>
      <c r="BO50924" s="43"/>
    </row>
    <row r="50925" spans="65:67" ht="18.75" customHeight="1">
      <c r="BM50925" s="1025"/>
      <c r="BO50925" s="43"/>
    </row>
    <row r="50926" spans="65:67" ht="18.75" customHeight="1">
      <c r="BM50926" s="1025"/>
      <c r="BO50926" s="43"/>
    </row>
    <row r="50927" spans="65:67" ht="18.75" customHeight="1">
      <c r="BM50927" s="1025"/>
      <c r="BO50927" s="43"/>
    </row>
    <row r="50928" spans="65:67" ht="18.75" customHeight="1">
      <c r="BM50928" s="1025"/>
      <c r="BO50928" s="43"/>
    </row>
    <row r="50929" spans="65:67" ht="18.75" customHeight="1">
      <c r="BM50929" s="1025"/>
      <c r="BO50929" s="43"/>
    </row>
    <row r="50930" spans="65:67" ht="18.75" customHeight="1">
      <c r="BM50930" s="1025"/>
      <c r="BO50930" s="43"/>
    </row>
    <row r="50931" spans="65:67" ht="18.75" customHeight="1">
      <c r="BM50931" s="1025"/>
      <c r="BO50931" s="43"/>
    </row>
    <row r="50932" spans="65:67" ht="18.75" customHeight="1">
      <c r="BM50932" s="1025"/>
      <c r="BO50932" s="43"/>
    </row>
    <row r="50933" spans="65:67" ht="18.75" customHeight="1">
      <c r="BM50933" s="1025"/>
      <c r="BO50933" s="43"/>
    </row>
    <row r="50934" spans="65:67" ht="18.75" customHeight="1">
      <c r="BM50934" s="1025"/>
      <c r="BO50934" s="43"/>
    </row>
    <row r="50935" spans="65:67" ht="18.75" customHeight="1">
      <c r="BM50935" s="1025"/>
      <c r="BO50935" s="43"/>
    </row>
    <row r="50936" spans="65:67" ht="18.75" customHeight="1">
      <c r="BM50936" s="1025"/>
      <c r="BO50936" s="43"/>
    </row>
    <row r="50937" spans="65:67" ht="18.75" customHeight="1">
      <c r="BM50937" s="1025"/>
      <c r="BO50937" s="43"/>
    </row>
    <row r="50938" spans="65:67" ht="18.75" customHeight="1">
      <c r="BM50938" s="1025"/>
      <c r="BO50938" s="43"/>
    </row>
    <row r="50939" spans="65:67" ht="18.75" customHeight="1">
      <c r="BM50939" s="1025"/>
      <c r="BO50939" s="43"/>
    </row>
    <row r="50940" spans="65:67" ht="18.75" customHeight="1">
      <c r="BM50940" s="1025"/>
      <c r="BO50940" s="43"/>
    </row>
    <row r="50941" spans="65:67" ht="18.75" customHeight="1">
      <c r="BM50941" s="1025"/>
      <c r="BO50941" s="43"/>
    </row>
    <row r="50942" spans="65:67" ht="18.75" customHeight="1">
      <c r="BM50942" s="1025"/>
      <c r="BO50942" s="43"/>
    </row>
    <row r="50943" spans="65:67" ht="18.75" customHeight="1">
      <c r="BM50943" s="1025"/>
      <c r="BO50943" s="43"/>
    </row>
    <row r="50944" spans="65:67" ht="18.75" customHeight="1">
      <c r="BM50944" s="1025"/>
      <c r="BO50944" s="43"/>
    </row>
    <row r="50945" spans="65:67" ht="18.75" customHeight="1">
      <c r="BM50945" s="1025"/>
      <c r="BO50945" s="43"/>
    </row>
    <row r="50946" spans="65:67" ht="18.75" customHeight="1">
      <c r="BM50946" s="1025"/>
      <c r="BO50946" s="43"/>
    </row>
    <row r="50947" spans="65:67" ht="18.75" customHeight="1">
      <c r="BM50947" s="1025"/>
      <c r="BO50947" s="43"/>
    </row>
    <row r="50948" spans="65:67" ht="18.75" customHeight="1">
      <c r="BM50948" s="1025"/>
      <c r="BO50948" s="43"/>
    </row>
    <row r="50949" spans="65:67" ht="18.75" customHeight="1">
      <c r="BM50949" s="1025"/>
      <c r="BO50949" s="43"/>
    </row>
    <row r="50950" spans="65:67" ht="18.75" customHeight="1">
      <c r="BM50950" s="1025"/>
      <c r="BO50950" s="43"/>
    </row>
    <row r="50951" spans="65:67" ht="18.75" customHeight="1">
      <c r="BM50951" s="1025"/>
      <c r="BO50951" s="43"/>
    </row>
    <row r="50952" spans="65:67" ht="18.75" customHeight="1">
      <c r="BM50952" s="1025"/>
      <c r="BO50952" s="43"/>
    </row>
    <row r="50953" spans="65:67" ht="18.75" customHeight="1">
      <c r="BM50953" s="1025"/>
      <c r="BO50953" s="43"/>
    </row>
    <row r="50954" spans="65:67" ht="18.75" customHeight="1">
      <c r="BM50954" s="1025"/>
      <c r="BO50954" s="43"/>
    </row>
    <row r="50955" spans="65:67" ht="18.75" customHeight="1">
      <c r="BM50955" s="1025"/>
      <c r="BO50955" s="43"/>
    </row>
    <row r="50956" spans="65:67" ht="18.75" customHeight="1">
      <c r="BM50956" s="1025"/>
      <c r="BO50956" s="43"/>
    </row>
    <row r="50957" spans="65:67" ht="18.75" customHeight="1">
      <c r="BM50957" s="1025"/>
      <c r="BO50957" s="43"/>
    </row>
    <row r="50958" spans="65:67" ht="18.75" customHeight="1">
      <c r="BM50958" s="1025"/>
      <c r="BO50958" s="43"/>
    </row>
    <row r="50959" spans="65:67" ht="18.75" customHeight="1">
      <c r="BM50959" s="1025"/>
      <c r="BO50959" s="43"/>
    </row>
    <row r="50960" spans="65:67" ht="18.75" customHeight="1">
      <c r="BM50960" s="1025"/>
      <c r="BO50960" s="43"/>
    </row>
    <row r="50961" spans="65:67" ht="18.75" customHeight="1">
      <c r="BM50961" s="1025"/>
      <c r="BO50961" s="43"/>
    </row>
    <row r="50962" spans="65:67" ht="18.75" customHeight="1">
      <c r="BM50962" s="1025"/>
      <c r="BO50962" s="43"/>
    </row>
    <row r="50963" spans="65:67" ht="18.75" customHeight="1">
      <c r="BM50963" s="1025"/>
      <c r="BO50963" s="43"/>
    </row>
    <row r="50964" spans="65:67" ht="18.75" customHeight="1">
      <c r="BM50964" s="1025"/>
      <c r="BO50964" s="43"/>
    </row>
    <row r="50965" spans="65:67" ht="18.75" customHeight="1">
      <c r="BM50965" s="1025"/>
      <c r="BO50965" s="43"/>
    </row>
    <row r="50966" spans="65:67" ht="18.75" customHeight="1">
      <c r="BM50966" s="1025"/>
      <c r="BO50966" s="43"/>
    </row>
    <row r="50967" spans="65:67" ht="18.75" customHeight="1">
      <c r="BM50967" s="1025"/>
      <c r="BO50967" s="43"/>
    </row>
    <row r="50968" spans="65:67" ht="18.75" customHeight="1">
      <c r="BM50968" s="1025"/>
      <c r="BO50968" s="43"/>
    </row>
    <row r="50969" spans="65:67" ht="18.75" customHeight="1">
      <c r="BM50969" s="1025"/>
      <c r="BO50969" s="43"/>
    </row>
    <row r="50970" spans="65:67" ht="18.75" customHeight="1">
      <c r="BM50970" s="1025"/>
      <c r="BO50970" s="43"/>
    </row>
    <row r="50971" spans="65:67" ht="18.75" customHeight="1">
      <c r="BM50971" s="1025"/>
      <c r="BO50971" s="43"/>
    </row>
    <row r="50972" spans="65:67" ht="18.75" customHeight="1">
      <c r="BM50972" s="1025"/>
      <c r="BO50972" s="43"/>
    </row>
    <row r="50973" spans="65:67" ht="18.75" customHeight="1">
      <c r="BM50973" s="1025"/>
      <c r="BO50973" s="43"/>
    </row>
    <row r="50974" spans="65:67" ht="18.75" customHeight="1">
      <c r="BM50974" s="1025"/>
      <c r="BO50974" s="43"/>
    </row>
    <row r="50975" spans="65:67" ht="18.75" customHeight="1">
      <c r="BM50975" s="1025"/>
      <c r="BO50975" s="43"/>
    </row>
    <row r="50976" spans="65:67" ht="18.75" customHeight="1">
      <c r="BM50976" s="1025"/>
      <c r="BO50976" s="43"/>
    </row>
    <row r="50977" spans="65:67" ht="18.75" customHeight="1">
      <c r="BM50977" s="1025"/>
      <c r="BO50977" s="43"/>
    </row>
    <row r="50978" spans="65:67" ht="18.75" customHeight="1">
      <c r="BM50978" s="1025"/>
      <c r="BO50978" s="43"/>
    </row>
    <row r="50979" spans="65:67" ht="18.75" customHeight="1">
      <c r="BM50979" s="1025"/>
      <c r="BO50979" s="43"/>
    </row>
    <row r="50980" spans="65:67" ht="18.75" customHeight="1">
      <c r="BM50980" s="1025"/>
      <c r="BO50980" s="43"/>
    </row>
    <row r="50981" spans="65:67" ht="18.75" customHeight="1">
      <c r="BM50981" s="1025"/>
      <c r="BO50981" s="43"/>
    </row>
    <row r="50982" spans="65:67" ht="18.75" customHeight="1">
      <c r="BM50982" s="1025"/>
      <c r="BO50982" s="43"/>
    </row>
    <row r="50983" spans="65:67" ht="18.75" customHeight="1">
      <c r="BM50983" s="1025"/>
      <c r="BO50983" s="43"/>
    </row>
    <row r="50984" spans="65:67" ht="18.75" customHeight="1">
      <c r="BM50984" s="1025"/>
      <c r="BO50984" s="43"/>
    </row>
    <row r="50985" spans="65:67" ht="18.75" customHeight="1">
      <c r="BM50985" s="1025"/>
      <c r="BO50985" s="43"/>
    </row>
    <row r="50986" spans="65:67" ht="18.75" customHeight="1">
      <c r="BM50986" s="1025"/>
      <c r="BO50986" s="43"/>
    </row>
    <row r="50987" spans="65:67" ht="18.75" customHeight="1">
      <c r="BM50987" s="1025"/>
      <c r="BO50987" s="43"/>
    </row>
    <row r="50988" spans="65:67" ht="18.75" customHeight="1">
      <c r="BM50988" s="1025"/>
      <c r="BO50988" s="43"/>
    </row>
    <row r="50989" spans="65:67" ht="18.75" customHeight="1">
      <c r="BM50989" s="1025"/>
      <c r="BO50989" s="43"/>
    </row>
    <row r="50990" spans="65:67" ht="18.75" customHeight="1">
      <c r="BM50990" s="1025"/>
      <c r="BO50990" s="43"/>
    </row>
    <row r="50991" spans="65:67" ht="18.75" customHeight="1">
      <c r="BM50991" s="1025"/>
      <c r="BO50991" s="43"/>
    </row>
    <row r="50992" spans="65:67" ht="18.75" customHeight="1">
      <c r="BM50992" s="1025"/>
      <c r="BO50992" s="43"/>
    </row>
    <row r="50993" spans="65:67" ht="18.75" customHeight="1">
      <c r="BM50993" s="1025"/>
      <c r="BO50993" s="43"/>
    </row>
    <row r="50994" spans="65:67" ht="18.75" customHeight="1">
      <c r="BM50994" s="1025"/>
      <c r="BO50994" s="43"/>
    </row>
    <row r="50995" spans="65:67" ht="18.75" customHeight="1">
      <c r="BM50995" s="1025"/>
      <c r="BO50995" s="43"/>
    </row>
    <row r="50996" spans="65:67" ht="18.75" customHeight="1">
      <c r="BM50996" s="1025"/>
      <c r="BO50996" s="43"/>
    </row>
    <row r="50997" spans="65:67" ht="18.75" customHeight="1">
      <c r="BM50997" s="1025"/>
      <c r="BO50997" s="43"/>
    </row>
    <row r="50998" spans="65:67" ht="18.75" customHeight="1">
      <c r="BM50998" s="1025"/>
      <c r="BO50998" s="43"/>
    </row>
    <row r="50999" spans="65:67" ht="18.75" customHeight="1">
      <c r="BM50999" s="1025"/>
      <c r="BO50999" s="43"/>
    </row>
    <row r="51000" spans="65:67" ht="18.75" customHeight="1">
      <c r="BM51000" s="1025"/>
      <c r="BO51000" s="43"/>
    </row>
    <row r="51001" spans="65:67" ht="18.75" customHeight="1">
      <c r="BM51001" s="1025"/>
      <c r="BO51001" s="43"/>
    </row>
    <row r="51002" spans="65:67" ht="18.75" customHeight="1">
      <c r="BM51002" s="1025"/>
      <c r="BO51002" s="43"/>
    </row>
    <row r="51003" spans="65:67" ht="18.75" customHeight="1">
      <c r="BM51003" s="1025"/>
      <c r="BO51003" s="43"/>
    </row>
    <row r="51004" spans="65:67" ht="18.75" customHeight="1">
      <c r="BM51004" s="1025"/>
      <c r="BO51004" s="43"/>
    </row>
    <row r="51005" spans="65:67" ht="18.75" customHeight="1">
      <c r="BM51005" s="1025"/>
      <c r="BO51005" s="43"/>
    </row>
    <row r="51006" spans="65:67" ht="18.75" customHeight="1">
      <c r="BM51006" s="1025"/>
      <c r="BO51006" s="43"/>
    </row>
    <row r="51007" spans="65:67" ht="18.75" customHeight="1">
      <c r="BM51007" s="1025"/>
      <c r="BO51007" s="43"/>
    </row>
    <row r="51008" spans="65:67" ht="18.75" customHeight="1">
      <c r="BM51008" s="1025"/>
      <c r="BO51008" s="43"/>
    </row>
    <row r="51009" spans="65:67" ht="18.75" customHeight="1">
      <c r="BM51009" s="1025"/>
      <c r="BO51009" s="43"/>
    </row>
    <row r="51010" spans="65:67" ht="18.75" customHeight="1">
      <c r="BM51010" s="1025"/>
      <c r="BO51010" s="43"/>
    </row>
    <row r="51011" spans="65:67" ht="18.75" customHeight="1">
      <c r="BM51011" s="1025"/>
      <c r="BO51011" s="43"/>
    </row>
    <row r="51012" spans="65:67" ht="18.75" customHeight="1">
      <c r="BM51012" s="1025"/>
      <c r="BO51012" s="43"/>
    </row>
    <row r="51013" spans="65:67" ht="18.75" customHeight="1">
      <c r="BM51013" s="1025"/>
      <c r="BO51013" s="43"/>
    </row>
    <row r="51014" spans="65:67" ht="18.75" customHeight="1">
      <c r="BM51014" s="1025"/>
      <c r="BO51014" s="43"/>
    </row>
    <row r="51015" spans="65:67" ht="18.75" customHeight="1">
      <c r="BM51015" s="1025"/>
      <c r="BO51015" s="43"/>
    </row>
    <row r="51016" spans="65:67" ht="18.75" customHeight="1">
      <c r="BM51016" s="1025"/>
      <c r="BO51016" s="43"/>
    </row>
    <row r="51017" spans="65:67" ht="18.75" customHeight="1">
      <c r="BM51017" s="1025"/>
      <c r="BO51017" s="43"/>
    </row>
    <row r="51018" spans="65:67" ht="18.75" customHeight="1">
      <c r="BM51018" s="1025"/>
      <c r="BO51018" s="43"/>
    </row>
    <row r="51019" spans="65:67" ht="18.75" customHeight="1">
      <c r="BM51019" s="1025"/>
      <c r="BO51019" s="43"/>
    </row>
    <row r="51020" spans="65:67" ht="18.75" customHeight="1">
      <c r="BM51020" s="1025"/>
      <c r="BO51020" s="43"/>
    </row>
    <row r="51021" spans="65:67" ht="18.75" customHeight="1">
      <c r="BM51021" s="1025"/>
      <c r="BO51021" s="43"/>
    </row>
    <row r="51022" spans="65:67" ht="18.75" customHeight="1">
      <c r="BM51022" s="1025"/>
      <c r="BO51022" s="43"/>
    </row>
    <row r="51023" spans="65:67" ht="18.75" customHeight="1">
      <c r="BM51023" s="1025"/>
      <c r="BO51023" s="43"/>
    </row>
    <row r="51024" spans="65:67" ht="18.75" customHeight="1">
      <c r="BM51024" s="1025"/>
      <c r="BO51024" s="43"/>
    </row>
    <row r="51025" spans="65:67" ht="18.75" customHeight="1">
      <c r="BM51025" s="1025"/>
      <c r="BO51025" s="43"/>
    </row>
    <row r="51026" spans="65:67" ht="18.75" customHeight="1">
      <c r="BM51026" s="1025"/>
      <c r="BO51026" s="43"/>
    </row>
    <row r="51027" spans="65:67" ht="18.75" customHeight="1">
      <c r="BM51027" s="1025"/>
      <c r="BO51027" s="43"/>
    </row>
    <row r="51028" spans="65:67" ht="18.75" customHeight="1">
      <c r="BM51028" s="1025"/>
      <c r="BO51028" s="43"/>
    </row>
    <row r="51029" spans="65:67" ht="18.75" customHeight="1">
      <c r="BM51029" s="1025"/>
      <c r="BO51029" s="43"/>
    </row>
    <row r="51030" spans="65:67" ht="18.75" customHeight="1">
      <c r="BM51030" s="1025"/>
      <c r="BO51030" s="43"/>
    </row>
    <row r="51031" spans="65:67" ht="18.75" customHeight="1">
      <c r="BM51031" s="1025"/>
      <c r="BO51031" s="43"/>
    </row>
    <row r="51032" spans="65:67" ht="18.75" customHeight="1">
      <c r="BM51032" s="1025"/>
      <c r="BO51032" s="43"/>
    </row>
    <row r="51033" spans="65:67" ht="18.75" customHeight="1">
      <c r="BM51033" s="1025"/>
      <c r="BO51033" s="43"/>
    </row>
    <row r="51034" spans="65:67" ht="18.75" customHeight="1">
      <c r="BM51034" s="1025"/>
      <c r="BO51034" s="43"/>
    </row>
    <row r="51035" spans="65:67" ht="18.75" customHeight="1">
      <c r="BM51035" s="1025"/>
      <c r="BO51035" s="43"/>
    </row>
    <row r="51036" spans="65:67" ht="18.75" customHeight="1">
      <c r="BM51036" s="1025"/>
      <c r="BO51036" s="43"/>
    </row>
    <row r="51037" spans="65:67" ht="18.75" customHeight="1">
      <c r="BM51037" s="1025"/>
      <c r="BO51037" s="43"/>
    </row>
    <row r="51038" spans="65:67" ht="18.75" customHeight="1">
      <c r="BM51038" s="1025"/>
      <c r="BO51038" s="43"/>
    </row>
    <row r="51039" spans="65:67" ht="18.75" customHeight="1">
      <c r="BM51039" s="1025"/>
      <c r="BO51039" s="43"/>
    </row>
    <row r="51040" spans="65:67" ht="18.75" customHeight="1">
      <c r="BM51040" s="1025"/>
      <c r="BO51040" s="43"/>
    </row>
    <row r="51041" spans="65:67" ht="18.75" customHeight="1">
      <c r="BM51041" s="1025"/>
      <c r="BO51041" s="43"/>
    </row>
    <row r="51042" spans="65:67" ht="18.75" customHeight="1">
      <c r="BM51042" s="1025"/>
      <c r="BO51042" s="43"/>
    </row>
    <row r="51043" spans="65:67" ht="18.75" customHeight="1">
      <c r="BM51043" s="1025"/>
      <c r="BO51043" s="43"/>
    </row>
    <row r="51044" spans="65:67" ht="18.75" customHeight="1">
      <c r="BM51044" s="1025"/>
      <c r="BO51044" s="43"/>
    </row>
    <row r="51045" spans="65:67" ht="18.75" customHeight="1">
      <c r="BM51045" s="1025"/>
      <c r="BO51045" s="43"/>
    </row>
    <row r="51046" spans="65:67" ht="18.75" customHeight="1">
      <c r="BM51046" s="1025"/>
      <c r="BO51046" s="43"/>
    </row>
    <row r="51047" spans="65:67" ht="18.75" customHeight="1">
      <c r="BM51047" s="1025"/>
      <c r="BO51047" s="43"/>
    </row>
    <row r="51048" spans="65:67" ht="18.75" customHeight="1">
      <c r="BM51048" s="1025"/>
      <c r="BO51048" s="43"/>
    </row>
    <row r="51049" spans="65:67" ht="18.75" customHeight="1">
      <c r="BM51049" s="1025"/>
      <c r="BO51049" s="43"/>
    </row>
    <row r="51050" spans="65:67" ht="18.75" customHeight="1">
      <c r="BM51050" s="1025"/>
      <c r="BO51050" s="43"/>
    </row>
    <row r="51051" spans="65:67" ht="18.75" customHeight="1">
      <c r="BM51051" s="1025"/>
      <c r="BO51051" s="43"/>
    </row>
    <row r="51052" spans="65:67" ht="18.75" customHeight="1">
      <c r="BM51052" s="1025"/>
      <c r="BO51052" s="43"/>
    </row>
    <row r="51053" spans="65:67" ht="18.75" customHeight="1">
      <c r="BM51053" s="1025"/>
      <c r="BO51053" s="43"/>
    </row>
    <row r="51054" spans="65:67" ht="18.75" customHeight="1">
      <c r="BM51054" s="1025"/>
      <c r="BO51054" s="43"/>
    </row>
    <row r="51055" spans="65:67" ht="18.75" customHeight="1">
      <c r="BM51055" s="1025"/>
      <c r="BO51055" s="43"/>
    </row>
    <row r="51056" spans="65:67" ht="18.75" customHeight="1">
      <c r="BM51056" s="1025"/>
      <c r="BO51056" s="43"/>
    </row>
    <row r="51057" spans="65:67" ht="18.75" customHeight="1">
      <c r="BM51057" s="1025"/>
      <c r="BO51057" s="43"/>
    </row>
    <row r="51058" spans="65:67" ht="18.75" customHeight="1">
      <c r="BM51058" s="1025"/>
      <c r="BO51058" s="43"/>
    </row>
    <row r="51059" spans="65:67" ht="18.75" customHeight="1">
      <c r="BM51059" s="1025"/>
      <c r="BO51059" s="43"/>
    </row>
    <row r="51060" spans="65:67" ht="18.75" customHeight="1">
      <c r="BM51060" s="1025"/>
      <c r="BO51060" s="43"/>
    </row>
    <row r="51061" spans="65:67" ht="18.75" customHeight="1">
      <c r="BM51061" s="1025"/>
      <c r="BO51061" s="43"/>
    </row>
    <row r="51062" spans="65:67" ht="18.75" customHeight="1">
      <c r="BM51062" s="1025"/>
      <c r="BO51062" s="43"/>
    </row>
    <row r="51063" spans="65:67" ht="18.75" customHeight="1">
      <c r="BM51063" s="1025"/>
      <c r="BO51063" s="43"/>
    </row>
    <row r="51064" spans="65:67" ht="18.75" customHeight="1">
      <c r="BM51064" s="1025"/>
      <c r="BO51064" s="43"/>
    </row>
    <row r="51065" spans="65:67" ht="18.75" customHeight="1">
      <c r="BM51065" s="1025"/>
      <c r="BO51065" s="43"/>
    </row>
    <row r="51066" spans="65:67" ht="18.75" customHeight="1">
      <c r="BM51066" s="1025"/>
      <c r="BO51066" s="43"/>
    </row>
    <row r="51067" spans="65:67" ht="18.75" customHeight="1">
      <c r="BM51067" s="1025"/>
      <c r="BO51067" s="43"/>
    </row>
    <row r="51068" spans="65:67" ht="18.75" customHeight="1">
      <c r="BM51068" s="1025"/>
      <c r="BO51068" s="43"/>
    </row>
    <row r="51069" spans="65:67" ht="18.75" customHeight="1">
      <c r="BM51069" s="1025"/>
      <c r="BO51069" s="43"/>
    </row>
    <row r="51070" spans="65:67" ht="18.75" customHeight="1">
      <c r="BM51070" s="1025"/>
      <c r="BO51070" s="43"/>
    </row>
    <row r="51071" spans="65:67" ht="18.75" customHeight="1">
      <c r="BM51071" s="1025"/>
      <c r="BO51071" s="43"/>
    </row>
    <row r="51072" spans="65:67" ht="18.75" customHeight="1">
      <c r="BM51072" s="1025"/>
      <c r="BO51072" s="43"/>
    </row>
    <row r="51073" spans="65:67" ht="18.75" customHeight="1">
      <c r="BM51073" s="1025"/>
      <c r="BO51073" s="43"/>
    </row>
    <row r="51074" spans="65:67" ht="18.75" customHeight="1">
      <c r="BM51074" s="1025"/>
      <c r="BO51074" s="43"/>
    </row>
    <row r="51075" spans="65:67" ht="18.75" customHeight="1">
      <c r="BM51075" s="1025"/>
      <c r="BO51075" s="43"/>
    </row>
    <row r="51076" spans="65:67" ht="18.75" customHeight="1">
      <c r="BM51076" s="1025"/>
      <c r="BO51076" s="43"/>
    </row>
    <row r="51077" spans="65:67" ht="18.75" customHeight="1">
      <c r="BM51077" s="1025"/>
      <c r="BO51077" s="43"/>
    </row>
    <row r="51078" spans="65:67" ht="18.75" customHeight="1">
      <c r="BM51078" s="1025"/>
      <c r="BO51078" s="43"/>
    </row>
    <row r="51079" spans="65:67" ht="18.75" customHeight="1">
      <c r="BM51079" s="1025"/>
      <c r="BO51079" s="43"/>
    </row>
    <row r="51080" spans="65:67" ht="18.75" customHeight="1">
      <c r="BM51080" s="1025"/>
      <c r="BO51080" s="43"/>
    </row>
    <row r="51081" spans="65:67" ht="18.75" customHeight="1">
      <c r="BM51081" s="1025"/>
      <c r="BO51081" s="43"/>
    </row>
    <row r="51082" spans="65:67" ht="18.75" customHeight="1">
      <c r="BM51082" s="1025"/>
      <c r="BO51082" s="43"/>
    </row>
    <row r="51083" spans="65:67" ht="18.75" customHeight="1">
      <c r="BM51083" s="1025"/>
      <c r="BO51083" s="43"/>
    </row>
    <row r="51084" spans="65:67" ht="18.75" customHeight="1">
      <c r="BM51084" s="1025"/>
      <c r="BO51084" s="43"/>
    </row>
    <row r="51085" spans="65:67" ht="18.75" customHeight="1">
      <c r="BM51085" s="1025"/>
      <c r="BO51085" s="43"/>
    </row>
    <row r="51086" spans="65:67" ht="18.75" customHeight="1">
      <c r="BM51086" s="1025"/>
      <c r="BO51086" s="43"/>
    </row>
    <row r="51087" spans="65:67" ht="18.75" customHeight="1">
      <c r="BM51087" s="1025"/>
      <c r="BO51087" s="43"/>
    </row>
    <row r="51088" spans="65:67" ht="18.75" customHeight="1">
      <c r="BM51088" s="1025"/>
      <c r="BO51088" s="43"/>
    </row>
    <row r="51089" spans="65:67" ht="18.75" customHeight="1">
      <c r="BM51089" s="1025"/>
      <c r="BO51089" s="43"/>
    </row>
    <row r="51090" spans="65:67" ht="18.75" customHeight="1">
      <c r="BM51090" s="1025"/>
      <c r="BO51090" s="43"/>
    </row>
    <row r="51091" spans="65:67" ht="18.75" customHeight="1">
      <c r="BM51091" s="1025"/>
      <c r="BO51091" s="43"/>
    </row>
    <row r="51092" spans="65:67" ht="18.75" customHeight="1">
      <c r="BM51092" s="1025"/>
      <c r="BO51092" s="43"/>
    </row>
    <row r="51093" spans="65:67" ht="18.75" customHeight="1">
      <c r="BM51093" s="1025"/>
      <c r="BO51093" s="43"/>
    </row>
    <row r="51094" spans="65:67" ht="18.75" customHeight="1">
      <c r="BM51094" s="1025"/>
      <c r="BO51094" s="43"/>
    </row>
    <row r="51095" spans="65:67" ht="18.75" customHeight="1">
      <c r="BM51095" s="1025"/>
      <c r="BO51095" s="43"/>
    </row>
    <row r="51096" spans="65:67" ht="18.75" customHeight="1">
      <c r="BM51096" s="1025"/>
      <c r="BO51096" s="43"/>
    </row>
    <row r="51097" spans="65:67" ht="18.75" customHeight="1">
      <c r="BM51097" s="1025"/>
      <c r="BO51097" s="43"/>
    </row>
    <row r="51098" spans="65:67" ht="18.75" customHeight="1">
      <c r="BM51098" s="1025"/>
      <c r="BO51098" s="43"/>
    </row>
    <row r="51099" spans="65:67" ht="18.75" customHeight="1">
      <c r="BM51099" s="1025"/>
      <c r="BO51099" s="43"/>
    </row>
    <row r="51100" spans="65:67" ht="18.75" customHeight="1">
      <c r="BM51100" s="1025"/>
      <c r="BO51100" s="43"/>
    </row>
    <row r="51101" spans="65:67" ht="18.75" customHeight="1">
      <c r="BM51101" s="1025"/>
      <c r="BO51101" s="43"/>
    </row>
    <row r="51102" spans="65:67" ht="18.75" customHeight="1">
      <c r="BM51102" s="1025"/>
      <c r="BO51102" s="43"/>
    </row>
    <row r="51103" spans="65:67" ht="18.75" customHeight="1">
      <c r="BM51103" s="1025"/>
      <c r="BO51103" s="43"/>
    </row>
    <row r="51104" spans="65:67" ht="18.75" customHeight="1">
      <c r="BM51104" s="1025"/>
      <c r="BO51104" s="43"/>
    </row>
    <row r="51105" spans="65:67" ht="18.75" customHeight="1">
      <c r="BM51105" s="1025"/>
      <c r="BO51105" s="43"/>
    </row>
    <row r="51106" spans="65:67" ht="18.75" customHeight="1">
      <c r="BM51106" s="1025"/>
      <c r="BO51106" s="43"/>
    </row>
    <row r="51107" spans="65:67" ht="18.75" customHeight="1">
      <c r="BM51107" s="1025"/>
      <c r="BO51107" s="43"/>
    </row>
    <row r="51108" spans="65:67" ht="18.75" customHeight="1">
      <c r="BM51108" s="1025"/>
      <c r="BO51108" s="43"/>
    </row>
    <row r="51109" spans="65:67" ht="18.75" customHeight="1">
      <c r="BM51109" s="1025"/>
      <c r="BO51109" s="43"/>
    </row>
    <row r="51110" spans="65:67" ht="18.75" customHeight="1">
      <c r="BM51110" s="1025"/>
      <c r="BO51110" s="43"/>
    </row>
    <row r="51111" spans="65:67" ht="18.75" customHeight="1">
      <c r="BM51111" s="1025"/>
      <c r="BO51111" s="43"/>
    </row>
    <row r="51112" spans="65:67" ht="18.75" customHeight="1">
      <c r="BM51112" s="1025"/>
      <c r="BO51112" s="43"/>
    </row>
    <row r="51113" spans="65:67" ht="18.75" customHeight="1">
      <c r="BM51113" s="1025"/>
      <c r="BO51113" s="43"/>
    </row>
    <row r="51114" spans="65:67" ht="18.75" customHeight="1">
      <c r="BM51114" s="1025"/>
      <c r="BO51114" s="43"/>
    </row>
    <row r="51115" spans="65:67" ht="18.75" customHeight="1">
      <c r="BM51115" s="1025"/>
      <c r="BO51115" s="43"/>
    </row>
    <row r="51116" spans="65:67" ht="18.75" customHeight="1">
      <c r="BM51116" s="1025"/>
      <c r="BO51116" s="43"/>
    </row>
    <row r="51117" spans="65:67" ht="18.75" customHeight="1">
      <c r="BM51117" s="1025"/>
      <c r="BO51117" s="43"/>
    </row>
    <row r="51118" spans="65:67" ht="18.75" customHeight="1">
      <c r="BM51118" s="1025"/>
      <c r="BO51118" s="43"/>
    </row>
    <row r="51119" spans="65:67" ht="18.75" customHeight="1">
      <c r="BM51119" s="1025"/>
      <c r="BO51119" s="43"/>
    </row>
    <row r="51120" spans="65:67" ht="18.75" customHeight="1">
      <c r="BM51120" s="1025"/>
      <c r="BO51120" s="43"/>
    </row>
    <row r="51121" spans="65:67" ht="18.75" customHeight="1">
      <c r="BM51121" s="1025"/>
      <c r="BO51121" s="43"/>
    </row>
    <row r="51122" spans="65:67" ht="18.75" customHeight="1">
      <c r="BM51122" s="1025"/>
      <c r="BO51122" s="43"/>
    </row>
    <row r="51123" spans="65:67" ht="18.75" customHeight="1">
      <c r="BM51123" s="1025"/>
      <c r="BO51123" s="43"/>
    </row>
    <row r="51124" spans="65:67" ht="18.75" customHeight="1">
      <c r="BM51124" s="1025"/>
      <c r="BO51124" s="43"/>
    </row>
    <row r="51125" spans="65:67" ht="18.75" customHeight="1">
      <c r="BM51125" s="1025"/>
      <c r="BO51125" s="43"/>
    </row>
    <row r="51126" spans="65:67" ht="18.75" customHeight="1">
      <c r="BM51126" s="1025"/>
      <c r="BO51126" s="43"/>
    </row>
    <row r="51127" spans="65:67" ht="18.75" customHeight="1">
      <c r="BM51127" s="1025"/>
      <c r="BO51127" s="43"/>
    </row>
    <row r="51128" spans="65:67" ht="18.75" customHeight="1">
      <c r="BM51128" s="1025"/>
      <c r="BO51128" s="43"/>
    </row>
    <row r="51129" spans="65:67" ht="18.75" customHeight="1">
      <c r="BM51129" s="1025"/>
      <c r="BO51129" s="43"/>
    </row>
    <row r="51130" spans="65:67" ht="18.75" customHeight="1">
      <c r="BM51130" s="1025"/>
      <c r="BO51130" s="43"/>
    </row>
    <row r="51131" spans="65:67" ht="18.75" customHeight="1">
      <c r="BM51131" s="1025"/>
      <c r="BO51131" s="43"/>
    </row>
    <row r="51132" spans="65:67" ht="18.75" customHeight="1">
      <c r="BM51132" s="1025"/>
      <c r="BO51132" s="43"/>
    </row>
    <row r="51133" spans="65:67" ht="18.75" customHeight="1">
      <c r="BM51133" s="1025"/>
      <c r="BO51133" s="43"/>
    </row>
    <row r="51134" spans="65:67" ht="18.75" customHeight="1">
      <c r="BM51134" s="1025"/>
      <c r="BO51134" s="43"/>
    </row>
    <row r="51135" spans="65:67" ht="18.75" customHeight="1">
      <c r="BM51135" s="1025"/>
      <c r="BO51135" s="43"/>
    </row>
    <row r="51136" spans="65:67" ht="18.75" customHeight="1">
      <c r="BM51136" s="1025"/>
      <c r="BO51136" s="43"/>
    </row>
    <row r="51137" spans="65:67" ht="18.75" customHeight="1">
      <c r="BM51137" s="1025"/>
      <c r="BO51137" s="43"/>
    </row>
    <row r="51138" spans="65:67" ht="18.75" customHeight="1">
      <c r="BM51138" s="1025"/>
      <c r="BO51138" s="43"/>
    </row>
    <row r="51139" spans="65:67" ht="18.75" customHeight="1">
      <c r="BM51139" s="1025"/>
      <c r="BO51139" s="43"/>
    </row>
    <row r="51140" spans="65:67" ht="18.75" customHeight="1">
      <c r="BM51140" s="1025"/>
      <c r="BO51140" s="43"/>
    </row>
    <row r="51141" spans="65:67" ht="18.75" customHeight="1">
      <c r="BM51141" s="1025"/>
      <c r="BO51141" s="43"/>
    </row>
    <row r="51142" spans="65:67" ht="18.75" customHeight="1">
      <c r="BM51142" s="1025"/>
      <c r="BO51142" s="43"/>
    </row>
    <row r="51143" spans="65:67" ht="18.75" customHeight="1">
      <c r="BM51143" s="1025"/>
      <c r="BO51143" s="43"/>
    </row>
    <row r="51144" spans="65:67" ht="18.75" customHeight="1">
      <c r="BM51144" s="1025"/>
      <c r="BO51144" s="43"/>
    </row>
    <row r="51145" spans="65:67" ht="18.75" customHeight="1">
      <c r="BM51145" s="1025"/>
      <c r="BO51145" s="43"/>
    </row>
    <row r="51146" spans="65:67" ht="18.75" customHeight="1">
      <c r="BM51146" s="1025"/>
      <c r="BO51146" s="43"/>
    </row>
    <row r="51147" spans="65:67" ht="18.75" customHeight="1">
      <c r="BM51147" s="1025"/>
      <c r="BO51147" s="43"/>
    </row>
    <row r="51148" spans="65:67" ht="18.75" customHeight="1">
      <c r="BM51148" s="1025"/>
      <c r="BO51148" s="43"/>
    </row>
    <row r="51149" spans="65:67" ht="18.75" customHeight="1">
      <c r="BM51149" s="1025"/>
      <c r="BO51149" s="43"/>
    </row>
    <row r="51150" spans="65:67" ht="18.75" customHeight="1">
      <c r="BM51150" s="1025"/>
      <c r="BO51150" s="43"/>
    </row>
    <row r="51151" spans="65:67" ht="18.75" customHeight="1">
      <c r="BM51151" s="1025"/>
      <c r="BO51151" s="43"/>
    </row>
    <row r="51152" spans="65:67" ht="18.75" customHeight="1">
      <c r="BM51152" s="1025"/>
      <c r="BO51152" s="43"/>
    </row>
    <row r="51153" spans="65:67" ht="18.75" customHeight="1">
      <c r="BM51153" s="1025"/>
      <c r="BO51153" s="43"/>
    </row>
    <row r="51154" spans="65:67" ht="18.75" customHeight="1">
      <c r="BM51154" s="1025"/>
      <c r="BO51154" s="43"/>
    </row>
    <row r="51155" spans="65:67" ht="18.75" customHeight="1">
      <c r="BM51155" s="1025"/>
      <c r="BO51155" s="43"/>
    </row>
    <row r="51156" spans="65:67" ht="18.75" customHeight="1">
      <c r="BM51156" s="1025"/>
      <c r="BO51156" s="43"/>
    </row>
    <row r="51157" spans="65:67" ht="18.75" customHeight="1">
      <c r="BM51157" s="1025"/>
      <c r="BO51157" s="43"/>
    </row>
    <row r="51158" spans="65:67" ht="18.75" customHeight="1">
      <c r="BM51158" s="1025"/>
      <c r="BO51158" s="43"/>
    </row>
    <row r="51159" spans="65:67" ht="18.75" customHeight="1">
      <c r="BM51159" s="1025"/>
      <c r="BO51159" s="43"/>
    </row>
    <row r="51160" spans="65:67" ht="18.75" customHeight="1">
      <c r="BM51160" s="1025"/>
      <c r="BO51160" s="43"/>
    </row>
    <row r="51161" spans="65:67" ht="18.75" customHeight="1">
      <c r="BM51161" s="1025"/>
      <c r="BO51161" s="43"/>
    </row>
    <row r="51162" spans="65:67" ht="18.75" customHeight="1">
      <c r="BM51162" s="1025"/>
      <c r="BO51162" s="43"/>
    </row>
    <row r="51163" spans="65:67" ht="18.75" customHeight="1">
      <c r="BM51163" s="1025"/>
      <c r="BO51163" s="43"/>
    </row>
    <row r="51164" spans="65:67" ht="18.75" customHeight="1">
      <c r="BM51164" s="1025"/>
      <c r="BO51164" s="43"/>
    </row>
    <row r="51165" spans="65:67" ht="18.75" customHeight="1">
      <c r="BM51165" s="1025"/>
      <c r="BO51165" s="43"/>
    </row>
    <row r="51166" spans="65:67" ht="18.75" customHeight="1">
      <c r="BM51166" s="1025"/>
      <c r="BO51166" s="43"/>
    </row>
    <row r="51167" spans="65:67" ht="18.75" customHeight="1">
      <c r="BM51167" s="1025"/>
      <c r="BO51167" s="43"/>
    </row>
    <row r="51168" spans="65:67" ht="18.75" customHeight="1">
      <c r="BM51168" s="1025"/>
      <c r="BO51168" s="43"/>
    </row>
    <row r="51169" spans="65:67" ht="18.75" customHeight="1">
      <c r="BM51169" s="1025"/>
      <c r="BO51169" s="43"/>
    </row>
    <row r="51170" spans="65:67" ht="18.75" customHeight="1">
      <c r="BM51170" s="1025"/>
      <c r="BO51170" s="43"/>
    </row>
    <row r="51171" spans="65:67" ht="18.75" customHeight="1">
      <c r="BM51171" s="1025"/>
      <c r="BO51171" s="43"/>
    </row>
    <row r="51172" spans="65:67" ht="18.75" customHeight="1">
      <c r="BM51172" s="1025"/>
      <c r="BO51172" s="43"/>
    </row>
    <row r="51173" spans="65:67" ht="18.75" customHeight="1">
      <c r="BM51173" s="1025"/>
      <c r="BO51173" s="43"/>
    </row>
    <row r="51174" spans="65:67" ht="18.75" customHeight="1">
      <c r="BM51174" s="1025"/>
      <c r="BO51174" s="43"/>
    </row>
    <row r="51175" spans="65:67" ht="18.75" customHeight="1">
      <c r="BM51175" s="1025"/>
      <c r="BO51175" s="43"/>
    </row>
    <row r="51176" spans="65:67" ht="18.75" customHeight="1">
      <c r="BM51176" s="1025"/>
      <c r="BO51176" s="43"/>
    </row>
    <row r="51177" spans="65:67" ht="18.75" customHeight="1">
      <c r="BM51177" s="1025"/>
      <c r="BO51177" s="43"/>
    </row>
    <row r="51178" spans="65:67" ht="18.75" customHeight="1">
      <c r="BM51178" s="1025"/>
      <c r="BO51178" s="43"/>
    </row>
    <row r="51179" spans="65:67" ht="18.75" customHeight="1">
      <c r="BM51179" s="1025"/>
      <c r="BO51179" s="43"/>
    </row>
    <row r="51180" spans="65:67" ht="18.75" customHeight="1">
      <c r="BM51180" s="1025"/>
      <c r="BO51180" s="43"/>
    </row>
    <row r="51181" spans="65:67" ht="18.75" customHeight="1">
      <c r="BM51181" s="1025"/>
      <c r="BO51181" s="43"/>
    </row>
    <row r="51182" spans="65:67" ht="18.75" customHeight="1">
      <c r="BM51182" s="1025"/>
      <c r="BO51182" s="43"/>
    </row>
    <row r="51183" spans="65:67" ht="18.75" customHeight="1">
      <c r="BM51183" s="1025"/>
      <c r="BO51183" s="43"/>
    </row>
    <row r="51184" spans="65:67" ht="18.75" customHeight="1">
      <c r="BM51184" s="1025"/>
      <c r="BO51184" s="43"/>
    </row>
    <row r="51185" spans="65:67" ht="18.75" customHeight="1">
      <c r="BM51185" s="1025"/>
      <c r="BO51185" s="43"/>
    </row>
    <row r="51186" spans="65:67" ht="18.75" customHeight="1">
      <c r="BM51186" s="1025"/>
      <c r="BO51186" s="43"/>
    </row>
    <row r="51187" spans="65:67" ht="18.75" customHeight="1">
      <c r="BM51187" s="1025"/>
      <c r="BO51187" s="43"/>
    </row>
    <row r="51188" spans="65:67" ht="18.75" customHeight="1">
      <c r="BM51188" s="1025"/>
      <c r="BO51188" s="43"/>
    </row>
    <row r="51189" spans="65:67" ht="18.75" customHeight="1">
      <c r="BM51189" s="1025"/>
      <c r="BO51189" s="43"/>
    </row>
    <row r="51190" spans="65:67" ht="18.75" customHeight="1">
      <c r="BM51190" s="1025"/>
      <c r="BO51190" s="43"/>
    </row>
    <row r="51191" spans="65:67" ht="18.75" customHeight="1">
      <c r="BM51191" s="1025"/>
      <c r="BO51191" s="43"/>
    </row>
    <row r="51192" spans="65:67" ht="18.75" customHeight="1">
      <c r="BM51192" s="1025"/>
      <c r="BO51192" s="43"/>
    </row>
    <row r="51193" spans="65:67" ht="18.75" customHeight="1">
      <c r="BM51193" s="1025"/>
      <c r="BO51193" s="43"/>
    </row>
    <row r="51194" spans="65:67" ht="18.75" customHeight="1">
      <c r="BM51194" s="1025"/>
      <c r="BO51194" s="43"/>
    </row>
    <row r="51195" spans="65:67" ht="18.75" customHeight="1">
      <c r="BM51195" s="1025"/>
      <c r="BO51195" s="43"/>
    </row>
    <row r="51196" spans="65:67" ht="18.75" customHeight="1">
      <c r="BM51196" s="1025"/>
      <c r="BO51196" s="43"/>
    </row>
    <row r="51197" spans="65:67" ht="18.75" customHeight="1">
      <c r="BM51197" s="1025"/>
      <c r="BO51197" s="43"/>
    </row>
    <row r="51198" spans="65:67" ht="18.75" customHeight="1">
      <c r="BM51198" s="1025"/>
      <c r="BO51198" s="43"/>
    </row>
    <row r="51199" spans="65:67" ht="18.75" customHeight="1">
      <c r="BM51199" s="1025"/>
      <c r="BO51199" s="43"/>
    </row>
    <row r="51200" spans="65:67" ht="18.75" customHeight="1">
      <c r="BM51200" s="1025"/>
      <c r="BO51200" s="43"/>
    </row>
    <row r="51201" spans="65:67" ht="18.75" customHeight="1">
      <c r="BM51201" s="1025"/>
      <c r="BO51201" s="43"/>
    </row>
    <row r="51202" spans="65:67" ht="18.75" customHeight="1">
      <c r="BM51202" s="1025"/>
      <c r="BO51202" s="43"/>
    </row>
    <row r="51203" spans="65:67" ht="18.75" customHeight="1">
      <c r="BM51203" s="1025"/>
      <c r="BO51203" s="43"/>
    </row>
    <row r="51204" spans="65:67" ht="18.75" customHeight="1">
      <c r="BM51204" s="1025"/>
      <c r="BO51204" s="43"/>
    </row>
    <row r="51205" spans="65:67" ht="18.75" customHeight="1">
      <c r="BM51205" s="1025"/>
      <c r="BO51205" s="43"/>
    </row>
    <row r="51206" spans="65:67" ht="18.75" customHeight="1">
      <c r="BM51206" s="1025"/>
      <c r="BO51206" s="43"/>
    </row>
    <row r="51207" spans="65:67" ht="18.75" customHeight="1">
      <c r="BM51207" s="1025"/>
      <c r="BO51207" s="43"/>
    </row>
    <row r="51208" spans="65:67" ht="18.75" customHeight="1">
      <c r="BM51208" s="1025"/>
      <c r="BO51208" s="43"/>
    </row>
    <row r="51209" spans="65:67" ht="18.75" customHeight="1">
      <c r="BM51209" s="1025"/>
      <c r="BO51209" s="43"/>
    </row>
    <row r="51210" spans="65:67" ht="18.75" customHeight="1">
      <c r="BM51210" s="1025"/>
      <c r="BO51210" s="43"/>
    </row>
    <row r="51211" spans="65:67" ht="18.75" customHeight="1">
      <c r="BM51211" s="1025"/>
      <c r="BO51211" s="43"/>
    </row>
    <row r="51212" spans="65:67" ht="18.75" customHeight="1">
      <c r="BM51212" s="1025"/>
      <c r="BO51212" s="43"/>
    </row>
    <row r="51213" spans="65:67" ht="18.75" customHeight="1">
      <c r="BM51213" s="1025"/>
      <c r="BO51213" s="43"/>
    </row>
    <row r="51214" spans="65:67" ht="18.75" customHeight="1">
      <c r="BM51214" s="1025"/>
      <c r="BO51214" s="43"/>
    </row>
    <row r="51215" spans="65:67" ht="18.75" customHeight="1">
      <c r="BM51215" s="1025"/>
      <c r="BO51215" s="43"/>
    </row>
    <row r="51216" spans="65:67" ht="18.75" customHeight="1">
      <c r="BM51216" s="1025"/>
      <c r="BO51216" s="43"/>
    </row>
    <row r="51217" spans="65:67" ht="18.75" customHeight="1">
      <c r="BM51217" s="1025"/>
      <c r="BO51217" s="43"/>
    </row>
    <row r="51218" spans="65:67" ht="18.75" customHeight="1">
      <c r="BM51218" s="1025"/>
      <c r="BO51218" s="43"/>
    </row>
    <row r="51219" spans="65:67" ht="18.75" customHeight="1">
      <c r="BM51219" s="1025"/>
      <c r="BO51219" s="43"/>
    </row>
    <row r="51220" spans="65:67" ht="18.75" customHeight="1">
      <c r="BM51220" s="1025"/>
      <c r="BO51220" s="43"/>
    </row>
    <row r="51221" spans="65:67" ht="18.75" customHeight="1">
      <c r="BM51221" s="1025"/>
      <c r="BO51221" s="43"/>
    </row>
    <row r="51222" spans="65:67" ht="18.75" customHeight="1">
      <c r="BM51222" s="1025"/>
      <c r="BO51222" s="43"/>
    </row>
    <row r="51223" spans="65:67" ht="18.75" customHeight="1">
      <c r="BM51223" s="1025"/>
      <c r="BO51223" s="43"/>
    </row>
    <row r="51224" spans="65:67" ht="18.75" customHeight="1">
      <c r="BM51224" s="1025"/>
      <c r="BO51224" s="43"/>
    </row>
    <row r="51225" spans="65:67" ht="18.75" customHeight="1">
      <c r="BM51225" s="1025"/>
      <c r="BO51225" s="43"/>
    </row>
    <row r="51226" spans="65:67" ht="18.75" customHeight="1">
      <c r="BM51226" s="1025"/>
      <c r="BO51226" s="43"/>
    </row>
    <row r="51227" spans="65:67" ht="18.75" customHeight="1">
      <c r="BM51227" s="1025"/>
      <c r="BO51227" s="43"/>
    </row>
    <row r="51228" spans="65:67" ht="18.75" customHeight="1">
      <c r="BM51228" s="1025"/>
      <c r="BO51228" s="43"/>
    </row>
    <row r="51229" spans="65:67" ht="18.75" customHeight="1">
      <c r="BM51229" s="1025"/>
      <c r="BO51229" s="43"/>
    </row>
    <row r="51230" spans="65:67" ht="18.75" customHeight="1">
      <c r="BM51230" s="1025"/>
      <c r="BO51230" s="43"/>
    </row>
    <row r="51231" spans="65:67" ht="18.75" customHeight="1">
      <c r="BM51231" s="1025"/>
      <c r="BO51231" s="43"/>
    </row>
    <row r="51232" spans="65:67" ht="18.75" customHeight="1">
      <c r="BM51232" s="1025"/>
      <c r="BO51232" s="43"/>
    </row>
    <row r="51233" spans="65:67" ht="18.75" customHeight="1">
      <c r="BM51233" s="1025"/>
      <c r="BO51233" s="43"/>
    </row>
    <row r="51234" spans="65:67" ht="18.75" customHeight="1">
      <c r="BM51234" s="1025"/>
      <c r="BO51234" s="43"/>
    </row>
    <row r="51235" spans="65:67" ht="18.75" customHeight="1">
      <c r="BM51235" s="1025"/>
      <c r="BO51235" s="43"/>
    </row>
    <row r="51236" spans="65:67" ht="18.75" customHeight="1">
      <c r="BM51236" s="1025"/>
      <c r="BO51236" s="43"/>
    </row>
    <row r="51237" spans="65:67" ht="18.75" customHeight="1">
      <c r="BM51237" s="1025"/>
      <c r="BO51237" s="43"/>
    </row>
    <row r="51238" spans="65:67" ht="18.75" customHeight="1">
      <c r="BM51238" s="1025"/>
      <c r="BO51238" s="43"/>
    </row>
    <row r="51239" spans="65:67" ht="18.75" customHeight="1">
      <c r="BM51239" s="1025"/>
      <c r="BO51239" s="43"/>
    </row>
    <row r="51240" spans="65:67" ht="18.75" customHeight="1">
      <c r="BM51240" s="1025"/>
      <c r="BO51240" s="43"/>
    </row>
    <row r="51241" spans="65:67" ht="18.75" customHeight="1">
      <c r="BM51241" s="1025"/>
      <c r="BO51241" s="43"/>
    </row>
    <row r="51242" spans="65:67" ht="18.75" customHeight="1">
      <c r="BM51242" s="1025"/>
      <c r="BO51242" s="43"/>
    </row>
    <row r="51243" spans="65:67" ht="18.75" customHeight="1">
      <c r="BM51243" s="1025"/>
      <c r="BO51243" s="43"/>
    </row>
    <row r="51244" spans="65:67" ht="18.75" customHeight="1">
      <c r="BM51244" s="1025"/>
      <c r="BO51244" s="43"/>
    </row>
    <row r="51245" spans="65:67" ht="18.75" customHeight="1">
      <c r="BM51245" s="1025"/>
      <c r="BO51245" s="43"/>
    </row>
    <row r="51246" spans="65:67" ht="18.75" customHeight="1">
      <c r="BM51246" s="1025"/>
      <c r="BO51246" s="43"/>
    </row>
    <row r="51247" spans="65:67" ht="18.75" customHeight="1">
      <c r="BM51247" s="1025"/>
      <c r="BO51247" s="43"/>
    </row>
    <row r="51248" spans="65:67" ht="18.75" customHeight="1">
      <c r="BM51248" s="1025"/>
      <c r="BO51248" s="43"/>
    </row>
    <row r="51249" spans="65:67" ht="18.75" customHeight="1">
      <c r="BM51249" s="1025"/>
      <c r="BO51249" s="43"/>
    </row>
    <row r="51250" spans="65:67" ht="18.75" customHeight="1">
      <c r="BM51250" s="1025"/>
      <c r="BO51250" s="43"/>
    </row>
    <row r="51251" spans="65:67" ht="18.75" customHeight="1">
      <c r="BM51251" s="1025"/>
      <c r="BO51251" s="43"/>
    </row>
    <row r="51252" spans="65:67" ht="18.75" customHeight="1">
      <c r="BM51252" s="1025"/>
      <c r="BO51252" s="43"/>
    </row>
    <row r="51253" spans="65:67" ht="18.75" customHeight="1">
      <c r="BM51253" s="1025"/>
      <c r="BO51253" s="43"/>
    </row>
    <row r="51254" spans="65:67" ht="18.75" customHeight="1">
      <c r="BM51254" s="1025"/>
      <c r="BO51254" s="43"/>
    </row>
    <row r="51255" spans="65:67" ht="18.75" customHeight="1">
      <c r="BM51255" s="1025"/>
      <c r="BO51255" s="43"/>
    </row>
    <row r="51256" spans="65:67" ht="18.75" customHeight="1">
      <c r="BM51256" s="1025"/>
      <c r="BO51256" s="43"/>
    </row>
    <row r="51257" spans="65:67" ht="18.75" customHeight="1">
      <c r="BM51257" s="1025"/>
      <c r="BO51257" s="43"/>
    </row>
    <row r="51258" spans="65:67" ht="18.75" customHeight="1">
      <c r="BM51258" s="1025"/>
      <c r="BO51258" s="43"/>
    </row>
    <row r="51259" spans="65:67" ht="18.75" customHeight="1">
      <c r="BM51259" s="1025"/>
      <c r="BO51259" s="43"/>
    </row>
    <row r="51260" spans="65:67" ht="18.75" customHeight="1">
      <c r="BM51260" s="1025"/>
      <c r="BO51260" s="43"/>
    </row>
    <row r="51261" spans="65:67" ht="18.75" customHeight="1">
      <c r="BM51261" s="1025"/>
      <c r="BO51261" s="43"/>
    </row>
    <row r="51262" spans="65:67" ht="18.75" customHeight="1">
      <c r="BM51262" s="1025"/>
      <c r="BO51262" s="43"/>
    </row>
    <row r="51263" spans="65:67" ht="18.75" customHeight="1">
      <c r="BM51263" s="1025"/>
      <c r="BO51263" s="43"/>
    </row>
    <row r="51264" spans="65:67" ht="18.75" customHeight="1">
      <c r="BM51264" s="1025"/>
      <c r="BO51264" s="43"/>
    </row>
    <row r="51265" spans="65:67" ht="18.75" customHeight="1">
      <c r="BM51265" s="1025"/>
      <c r="BO51265" s="43"/>
    </row>
    <row r="51266" spans="65:67" ht="18.75" customHeight="1">
      <c r="BM51266" s="1025"/>
      <c r="BO51266" s="43"/>
    </row>
    <row r="51267" spans="65:67" ht="18.75" customHeight="1">
      <c r="BM51267" s="1025"/>
      <c r="BO51267" s="43"/>
    </row>
    <row r="51268" spans="65:67" ht="18.75" customHeight="1">
      <c r="BM51268" s="1025"/>
      <c r="BO51268" s="43"/>
    </row>
    <row r="51269" spans="65:67" ht="18.75" customHeight="1">
      <c r="BM51269" s="1025"/>
      <c r="BO51269" s="43"/>
    </row>
    <row r="51270" spans="65:67" ht="18.75" customHeight="1">
      <c r="BM51270" s="1025"/>
      <c r="BO51270" s="43"/>
    </row>
    <row r="51271" spans="65:67" ht="18.75" customHeight="1">
      <c r="BM51271" s="1025"/>
      <c r="BO51271" s="43"/>
    </row>
    <row r="51272" spans="65:67" ht="18.75" customHeight="1">
      <c r="BM51272" s="1025"/>
      <c r="BO51272" s="43"/>
    </row>
    <row r="51273" spans="65:67" ht="18.75" customHeight="1">
      <c r="BM51273" s="1025"/>
      <c r="BO51273" s="43"/>
    </row>
    <row r="51274" spans="65:67" ht="18.75" customHeight="1">
      <c r="BM51274" s="1025"/>
      <c r="BO51274" s="43"/>
    </row>
    <row r="51275" spans="65:67" ht="18.75" customHeight="1">
      <c r="BM51275" s="1025"/>
      <c r="BO51275" s="43"/>
    </row>
    <row r="51276" spans="65:67" ht="18.75" customHeight="1">
      <c r="BM51276" s="1025"/>
      <c r="BO51276" s="43"/>
    </row>
    <row r="51277" spans="65:67" ht="18.75" customHeight="1">
      <c r="BM51277" s="1025"/>
      <c r="BO51277" s="43"/>
    </row>
    <row r="51278" spans="65:67" ht="18.75" customHeight="1">
      <c r="BM51278" s="1025"/>
      <c r="BO51278" s="43"/>
    </row>
    <row r="51279" spans="65:67" ht="18.75" customHeight="1">
      <c r="BM51279" s="1025"/>
      <c r="BO51279" s="43"/>
    </row>
    <row r="51280" spans="65:67" ht="18.75" customHeight="1">
      <c r="BM51280" s="1025"/>
      <c r="BO51280" s="43"/>
    </row>
    <row r="51281" spans="65:67" ht="18.75" customHeight="1">
      <c r="BM51281" s="1025"/>
      <c r="BO51281" s="43"/>
    </row>
    <row r="51282" spans="65:67" ht="18.75" customHeight="1">
      <c r="BM51282" s="1025"/>
      <c r="BO51282" s="43"/>
    </row>
    <row r="51283" spans="65:67" ht="18.75" customHeight="1">
      <c r="BM51283" s="1025"/>
      <c r="BO51283" s="43"/>
    </row>
    <row r="51284" spans="65:67" ht="18.75" customHeight="1">
      <c r="BM51284" s="1025"/>
      <c r="BO51284" s="43"/>
    </row>
    <row r="51285" spans="65:67" ht="18.75" customHeight="1">
      <c r="BM51285" s="1025"/>
      <c r="BO51285" s="43"/>
    </row>
    <row r="51286" spans="65:67" ht="18.75" customHeight="1">
      <c r="BM51286" s="1025"/>
      <c r="BO51286" s="43"/>
    </row>
    <row r="51287" spans="65:67" ht="18.75" customHeight="1">
      <c r="BM51287" s="1025"/>
      <c r="BO51287" s="43"/>
    </row>
    <row r="51288" spans="65:67" ht="18.75" customHeight="1">
      <c r="BM51288" s="1025"/>
      <c r="BO51288" s="43"/>
    </row>
    <row r="51289" spans="65:67" ht="18.75" customHeight="1">
      <c r="BM51289" s="1025"/>
      <c r="BO51289" s="43"/>
    </row>
    <row r="51290" spans="65:67" ht="18.75" customHeight="1">
      <c r="BM51290" s="1025"/>
      <c r="BO51290" s="43"/>
    </row>
    <row r="51291" spans="65:67" ht="18.75" customHeight="1">
      <c r="BM51291" s="1025"/>
      <c r="BO51291" s="43"/>
    </row>
    <row r="51292" spans="65:67" ht="18.75" customHeight="1">
      <c r="BM51292" s="1025"/>
      <c r="BO51292" s="43"/>
    </row>
    <row r="51293" spans="65:67" ht="18.75" customHeight="1">
      <c r="BM51293" s="1025"/>
      <c r="BO51293" s="43"/>
    </row>
    <row r="51294" spans="65:67" ht="18.75" customHeight="1">
      <c r="BM51294" s="1025"/>
      <c r="BO51294" s="43"/>
    </row>
    <row r="51295" spans="65:67" ht="18.75" customHeight="1">
      <c r="BM51295" s="1025"/>
      <c r="BO51295" s="43"/>
    </row>
    <row r="51296" spans="65:67" ht="18.75" customHeight="1">
      <c r="BM51296" s="1025"/>
      <c r="BO51296" s="43"/>
    </row>
    <row r="51297" spans="65:67" ht="18.75" customHeight="1">
      <c r="BM51297" s="1025"/>
      <c r="BO51297" s="43"/>
    </row>
    <row r="51298" spans="65:67" ht="18.75" customHeight="1">
      <c r="BM51298" s="1025"/>
      <c r="BO51298" s="43"/>
    </row>
    <row r="51299" spans="65:67" ht="18.75" customHeight="1">
      <c r="BM51299" s="1025"/>
      <c r="BO51299" s="43"/>
    </row>
    <row r="51300" spans="65:67" ht="18.75" customHeight="1">
      <c r="BM51300" s="1025"/>
      <c r="BO51300" s="43"/>
    </row>
    <row r="51301" spans="65:67" ht="18.75" customHeight="1">
      <c r="BM51301" s="1025"/>
      <c r="BO51301" s="43"/>
    </row>
    <row r="51302" spans="65:67" ht="18.75" customHeight="1">
      <c r="BM51302" s="1025"/>
      <c r="BO51302" s="43"/>
    </row>
    <row r="51303" spans="65:67" ht="18.75" customHeight="1">
      <c r="BM51303" s="1025"/>
      <c r="BO51303" s="43"/>
    </row>
    <row r="51304" spans="65:67" ht="18.75" customHeight="1">
      <c r="BM51304" s="1025"/>
      <c r="BO51304" s="43"/>
    </row>
    <row r="51305" spans="65:67" ht="18.75" customHeight="1">
      <c r="BM51305" s="1025"/>
      <c r="BO51305" s="43"/>
    </row>
    <row r="51306" spans="65:67" ht="18.75" customHeight="1">
      <c r="BM51306" s="1025"/>
      <c r="BO51306" s="43"/>
    </row>
    <row r="51307" spans="65:67" ht="18.75" customHeight="1">
      <c r="BM51307" s="1025"/>
      <c r="BO51307" s="43"/>
    </row>
    <row r="51308" spans="65:67" ht="18.75" customHeight="1">
      <c r="BM51308" s="1025"/>
      <c r="BO51308" s="43"/>
    </row>
    <row r="51309" spans="65:67" ht="18.75" customHeight="1">
      <c r="BM51309" s="1025"/>
      <c r="BO51309" s="43"/>
    </row>
    <row r="51310" spans="65:67" ht="18.75" customHeight="1">
      <c r="BM51310" s="1025"/>
      <c r="BO51310" s="43"/>
    </row>
    <row r="51311" spans="65:67" ht="18.75" customHeight="1">
      <c r="BM51311" s="1025"/>
      <c r="BO51311" s="43"/>
    </row>
    <row r="51312" spans="65:67" ht="18.75" customHeight="1">
      <c r="BM51312" s="1025"/>
      <c r="BO51312" s="43"/>
    </row>
    <row r="51313" spans="65:67" ht="18.75" customHeight="1">
      <c r="BM51313" s="1025"/>
      <c r="BO51313" s="43"/>
    </row>
    <row r="51314" spans="65:67" ht="18.75" customHeight="1">
      <c r="BM51314" s="1025"/>
      <c r="BO51314" s="43"/>
    </row>
    <row r="51315" spans="65:67" ht="18.75" customHeight="1">
      <c r="BM51315" s="1025"/>
      <c r="BO51315" s="43"/>
    </row>
    <row r="51316" spans="65:67" ht="18.75" customHeight="1">
      <c r="BM51316" s="1025"/>
      <c r="BO51316" s="43"/>
    </row>
    <row r="51317" spans="65:67" ht="18.75" customHeight="1">
      <c r="BM51317" s="1025"/>
      <c r="BO51317" s="43"/>
    </row>
    <row r="51318" spans="65:67" ht="18.75" customHeight="1">
      <c r="BM51318" s="1025"/>
      <c r="BO51318" s="43"/>
    </row>
    <row r="51319" spans="65:67" ht="18.75" customHeight="1">
      <c r="BM51319" s="1025"/>
      <c r="BO51319" s="43"/>
    </row>
    <row r="51320" spans="65:67" ht="18.75" customHeight="1">
      <c r="BM51320" s="1025"/>
      <c r="BO51320" s="43"/>
    </row>
    <row r="51321" spans="65:67" ht="18.75" customHeight="1">
      <c r="BM51321" s="1025"/>
      <c r="BO51321" s="43"/>
    </row>
    <row r="51322" spans="65:67" ht="18.75" customHeight="1">
      <c r="BM51322" s="1025"/>
      <c r="BO51322" s="43"/>
    </row>
    <row r="51323" spans="65:67" ht="18.75" customHeight="1">
      <c r="BM51323" s="1025"/>
      <c r="BO51323" s="43"/>
    </row>
    <row r="51324" spans="65:67" ht="18.75" customHeight="1">
      <c r="BM51324" s="1025"/>
      <c r="BO51324" s="43"/>
    </row>
    <row r="51325" spans="65:67" ht="18.75" customHeight="1">
      <c r="BM51325" s="1025"/>
      <c r="BO51325" s="43"/>
    </row>
    <row r="51326" spans="65:67" ht="18.75" customHeight="1">
      <c r="BM51326" s="1025"/>
      <c r="BO51326" s="43"/>
    </row>
    <row r="51327" spans="65:67" ht="18.75" customHeight="1">
      <c r="BM51327" s="1025"/>
      <c r="BO51327" s="43"/>
    </row>
    <row r="51328" spans="65:67" ht="18.75" customHeight="1">
      <c r="BM51328" s="1025"/>
      <c r="BO51328" s="43"/>
    </row>
    <row r="51329" spans="65:67" ht="18.75" customHeight="1">
      <c r="BM51329" s="1025"/>
      <c r="BO51329" s="43"/>
    </row>
    <row r="51330" spans="65:67" ht="18.75" customHeight="1">
      <c r="BM51330" s="1025"/>
      <c r="BO51330" s="43"/>
    </row>
    <row r="51331" spans="65:67" ht="18.75" customHeight="1">
      <c r="BM51331" s="1025"/>
      <c r="BO51331" s="43"/>
    </row>
    <row r="51332" spans="65:67" ht="18.75" customHeight="1">
      <c r="BM51332" s="1025"/>
      <c r="BO51332" s="43"/>
    </row>
    <row r="51333" spans="65:67" ht="18.75" customHeight="1">
      <c r="BM51333" s="1025"/>
      <c r="BO51333" s="43"/>
    </row>
    <row r="51334" spans="65:67" ht="18.75" customHeight="1">
      <c r="BM51334" s="1025"/>
      <c r="BO51334" s="43"/>
    </row>
    <row r="51335" spans="65:67" ht="18.75" customHeight="1">
      <c r="BM51335" s="1025"/>
      <c r="BO51335" s="43"/>
    </row>
    <row r="51336" spans="65:67" ht="18.75" customHeight="1">
      <c r="BM51336" s="1025"/>
      <c r="BO51336" s="43"/>
    </row>
    <row r="51337" spans="65:67" ht="18.75" customHeight="1">
      <c r="BM51337" s="1025"/>
      <c r="BO51337" s="43"/>
    </row>
    <row r="51338" spans="65:67" ht="18.75" customHeight="1">
      <c r="BM51338" s="1025"/>
      <c r="BO51338" s="43"/>
    </row>
    <row r="51339" spans="65:67" ht="18.75" customHeight="1">
      <c r="BM51339" s="1025"/>
      <c r="BO51339" s="43"/>
    </row>
    <row r="51340" spans="65:67" ht="18.75" customHeight="1">
      <c r="BM51340" s="1025"/>
      <c r="BO51340" s="43"/>
    </row>
    <row r="51341" spans="65:67" ht="18.75" customHeight="1">
      <c r="BM51341" s="1025"/>
      <c r="BO51341" s="43"/>
    </row>
    <row r="51342" spans="65:67" ht="18.75" customHeight="1">
      <c r="BM51342" s="1025"/>
      <c r="BO51342" s="43"/>
    </row>
    <row r="51343" spans="65:67" ht="18.75" customHeight="1">
      <c r="BM51343" s="1025"/>
      <c r="BO51343" s="43"/>
    </row>
    <row r="51344" spans="65:67" ht="18.75" customHeight="1">
      <c r="BM51344" s="1025"/>
      <c r="BO51344" s="43"/>
    </row>
    <row r="51345" spans="65:67" ht="18.75" customHeight="1">
      <c r="BM51345" s="1025"/>
      <c r="BO51345" s="43"/>
    </row>
    <row r="51346" spans="65:67" ht="18.75" customHeight="1">
      <c r="BM51346" s="1025"/>
      <c r="BO51346" s="43"/>
    </row>
    <row r="51347" spans="65:67" ht="18.75" customHeight="1">
      <c r="BM51347" s="1025"/>
      <c r="BO51347" s="43"/>
    </row>
    <row r="51348" spans="65:67" ht="18.75" customHeight="1">
      <c r="BM51348" s="1025"/>
      <c r="BO51348" s="43"/>
    </row>
    <row r="51349" spans="65:67" ht="18.75" customHeight="1">
      <c r="BM51349" s="1025"/>
      <c r="BO51349" s="43"/>
    </row>
    <row r="51350" spans="65:67" ht="18.75" customHeight="1">
      <c r="BM51350" s="1025"/>
      <c r="BO51350" s="43"/>
    </row>
    <row r="51351" spans="65:67" ht="18.75" customHeight="1">
      <c r="BM51351" s="1025"/>
      <c r="BO51351" s="43"/>
    </row>
    <row r="51352" spans="65:67" ht="18.75" customHeight="1">
      <c r="BM51352" s="1025"/>
      <c r="BO51352" s="43"/>
    </row>
    <row r="51353" spans="65:67" ht="18.75" customHeight="1">
      <c r="BM51353" s="1025"/>
      <c r="BO51353" s="43"/>
    </row>
    <row r="51354" spans="65:67" ht="18.75" customHeight="1">
      <c r="BM51354" s="1025"/>
      <c r="BO51354" s="43"/>
    </row>
    <row r="51355" spans="65:67" ht="18.75" customHeight="1">
      <c r="BM51355" s="1025"/>
      <c r="BO51355" s="43"/>
    </row>
    <row r="51356" spans="65:67" ht="18.75" customHeight="1">
      <c r="BM51356" s="1025"/>
      <c r="BO51356" s="43"/>
    </row>
    <row r="51357" spans="65:67" ht="18.75" customHeight="1">
      <c r="BM51357" s="1025"/>
      <c r="BO51357" s="43"/>
    </row>
    <row r="51358" spans="65:67" ht="18.75" customHeight="1">
      <c r="BM51358" s="1025"/>
      <c r="BO51358" s="43"/>
    </row>
    <row r="51359" spans="65:67" ht="18.75" customHeight="1">
      <c r="BM51359" s="1025"/>
      <c r="BO51359" s="43"/>
    </row>
    <row r="51360" spans="65:67" ht="18.75" customHeight="1">
      <c r="BM51360" s="1025"/>
      <c r="BO51360" s="43"/>
    </row>
    <row r="51361" spans="65:67" ht="18.75" customHeight="1">
      <c r="BM51361" s="1025"/>
      <c r="BO51361" s="43"/>
    </row>
    <row r="51362" spans="65:67" ht="18.75" customHeight="1">
      <c r="BM51362" s="1025"/>
      <c r="BO51362" s="43"/>
    </row>
    <row r="51363" spans="65:67" ht="18.75" customHeight="1">
      <c r="BM51363" s="1025"/>
      <c r="BO51363" s="43"/>
    </row>
    <row r="51364" spans="65:67" ht="18.75" customHeight="1">
      <c r="BM51364" s="1025"/>
      <c r="BO51364" s="43"/>
    </row>
    <row r="51365" spans="65:67" ht="18.75" customHeight="1">
      <c r="BM51365" s="1025"/>
      <c r="BO51365" s="43"/>
    </row>
    <row r="51366" spans="65:67" ht="18.75" customHeight="1">
      <c r="BM51366" s="1025"/>
      <c r="BO51366" s="43"/>
    </row>
    <row r="51367" spans="65:67" ht="18.75" customHeight="1">
      <c r="BM51367" s="1025"/>
      <c r="BO51367" s="43"/>
    </row>
    <row r="51368" spans="65:67" ht="18.75" customHeight="1">
      <c r="BM51368" s="1025"/>
      <c r="BO51368" s="43"/>
    </row>
    <row r="51369" spans="65:67" ht="18.75" customHeight="1">
      <c r="BM51369" s="1025"/>
      <c r="BO51369" s="43"/>
    </row>
    <row r="51370" spans="65:67" ht="18.75" customHeight="1">
      <c r="BM51370" s="1025"/>
      <c r="BO51370" s="43"/>
    </row>
    <row r="51371" spans="65:67" ht="18.75" customHeight="1">
      <c r="BM51371" s="1025"/>
      <c r="BO51371" s="43"/>
    </row>
    <row r="51372" spans="65:67" ht="18.75" customHeight="1">
      <c r="BM51372" s="1025"/>
      <c r="BO51372" s="43"/>
    </row>
    <row r="51373" spans="65:67" ht="18.75" customHeight="1">
      <c r="BM51373" s="1025"/>
      <c r="BO51373" s="43"/>
    </row>
    <row r="51374" spans="65:67" ht="18.75" customHeight="1">
      <c r="BM51374" s="1025"/>
      <c r="BO51374" s="43"/>
    </row>
    <row r="51375" spans="65:67" ht="18.75" customHeight="1">
      <c r="BM51375" s="1025"/>
      <c r="BO51375" s="43"/>
    </row>
    <row r="51376" spans="65:67" ht="18.75" customHeight="1">
      <c r="BM51376" s="1025"/>
      <c r="BO51376" s="43"/>
    </row>
    <row r="51377" spans="65:67" ht="18.75" customHeight="1">
      <c r="BM51377" s="1025"/>
      <c r="BO51377" s="43"/>
    </row>
    <row r="51378" spans="65:67" ht="18.75" customHeight="1">
      <c r="BM51378" s="1025"/>
      <c r="BO51378" s="43"/>
    </row>
    <row r="51379" spans="65:67" ht="18.75" customHeight="1">
      <c r="BM51379" s="1025"/>
      <c r="BO51379" s="43"/>
    </row>
    <row r="51380" spans="65:67" ht="18.75" customHeight="1">
      <c r="BM51380" s="1025"/>
      <c r="BO51380" s="43"/>
    </row>
    <row r="51381" spans="65:67" ht="18.75" customHeight="1">
      <c r="BM51381" s="1025"/>
      <c r="BO51381" s="43"/>
    </row>
    <row r="51382" spans="65:67" ht="18.75" customHeight="1">
      <c r="BM51382" s="1025"/>
      <c r="BO51382" s="43"/>
    </row>
    <row r="51383" spans="65:67" ht="18.75" customHeight="1">
      <c r="BM51383" s="1025"/>
      <c r="BO51383" s="43"/>
    </row>
    <row r="51384" spans="65:67" ht="18.75" customHeight="1">
      <c r="BM51384" s="1025"/>
      <c r="BO51384" s="43"/>
    </row>
    <row r="51385" spans="65:67" ht="18.75" customHeight="1">
      <c r="BM51385" s="1025"/>
      <c r="BO51385" s="43"/>
    </row>
    <row r="51386" spans="65:67" ht="18.75" customHeight="1">
      <c r="BM51386" s="1025"/>
      <c r="BO51386" s="43"/>
    </row>
    <row r="51387" spans="65:67" ht="18.75" customHeight="1">
      <c r="BM51387" s="1025"/>
      <c r="BO51387" s="43"/>
    </row>
    <row r="51388" spans="65:67" ht="18.75" customHeight="1">
      <c r="BM51388" s="1025"/>
      <c r="BO51388" s="43"/>
    </row>
    <row r="51389" spans="65:67" ht="18.75" customHeight="1">
      <c r="BM51389" s="1025"/>
      <c r="BO51389" s="43"/>
    </row>
    <row r="51390" spans="65:67" ht="18.75" customHeight="1">
      <c r="BM51390" s="1025"/>
      <c r="BO51390" s="43"/>
    </row>
    <row r="51391" spans="65:67" ht="18.75" customHeight="1">
      <c r="BM51391" s="1025"/>
      <c r="BO51391" s="43"/>
    </row>
    <row r="51392" spans="65:67" ht="18.75" customHeight="1">
      <c r="BM51392" s="1025"/>
      <c r="BO51392" s="43"/>
    </row>
    <row r="51393" spans="65:67" ht="18.75" customHeight="1">
      <c r="BM51393" s="1025"/>
      <c r="BO51393" s="43"/>
    </row>
    <row r="51394" spans="65:67" ht="18.75" customHeight="1">
      <c r="BM51394" s="1025"/>
      <c r="BO51394" s="43"/>
    </row>
    <row r="51395" spans="65:67" ht="18.75" customHeight="1">
      <c r="BM51395" s="1025"/>
      <c r="BO51395" s="43"/>
    </row>
    <row r="51396" spans="65:67" ht="18.75" customHeight="1">
      <c r="BM51396" s="1025"/>
      <c r="BO51396" s="43"/>
    </row>
    <row r="51397" spans="65:67" ht="18.75" customHeight="1">
      <c r="BM51397" s="1025"/>
      <c r="BO51397" s="43"/>
    </row>
    <row r="51398" spans="65:67" ht="18.75" customHeight="1">
      <c r="BM51398" s="1025"/>
      <c r="BO51398" s="43"/>
    </row>
    <row r="51399" spans="65:67" ht="18.75" customHeight="1">
      <c r="BM51399" s="1025"/>
      <c r="BO51399" s="43"/>
    </row>
    <row r="51400" spans="65:67" ht="18.75" customHeight="1">
      <c r="BM51400" s="1025"/>
      <c r="BO51400" s="43"/>
    </row>
    <row r="51401" spans="65:67" ht="18.75" customHeight="1">
      <c r="BM51401" s="1025"/>
      <c r="BO51401" s="43"/>
    </row>
    <row r="51402" spans="65:67" ht="18.75" customHeight="1">
      <c r="BM51402" s="1025"/>
      <c r="BO51402" s="43"/>
    </row>
    <row r="51403" spans="65:67" ht="18.75" customHeight="1">
      <c r="BM51403" s="1025"/>
      <c r="BO51403" s="43"/>
    </row>
    <row r="51404" spans="65:67" ht="18.75" customHeight="1">
      <c r="BM51404" s="1025"/>
      <c r="BO51404" s="43"/>
    </row>
    <row r="51405" spans="65:67" ht="18.75" customHeight="1">
      <c r="BM51405" s="1025"/>
      <c r="BO51405" s="43"/>
    </row>
    <row r="51406" spans="65:67" ht="18.75" customHeight="1">
      <c r="BM51406" s="1025"/>
      <c r="BO51406" s="43"/>
    </row>
    <row r="51407" spans="65:67" ht="18.75" customHeight="1">
      <c r="BM51407" s="1025"/>
      <c r="BO51407" s="43"/>
    </row>
    <row r="51408" spans="65:67" ht="18.75" customHeight="1">
      <c r="BM51408" s="1025"/>
      <c r="BO51408" s="43"/>
    </row>
    <row r="51409" spans="65:67" ht="18.75" customHeight="1">
      <c r="BM51409" s="1025"/>
      <c r="BO51409" s="43"/>
    </row>
    <row r="51410" spans="65:67" ht="18.75" customHeight="1">
      <c r="BM51410" s="1025"/>
      <c r="BO51410" s="43"/>
    </row>
    <row r="51411" spans="65:67" ht="18.75" customHeight="1">
      <c r="BM51411" s="1025"/>
      <c r="BO51411" s="43"/>
    </row>
    <row r="51412" spans="65:67" ht="18.75" customHeight="1">
      <c r="BM51412" s="1025"/>
      <c r="BO51412" s="43"/>
    </row>
    <row r="51413" spans="65:67" ht="18.75" customHeight="1">
      <c r="BM51413" s="1025"/>
      <c r="BO51413" s="43"/>
    </row>
    <row r="51414" spans="65:67" ht="18.75" customHeight="1">
      <c r="BM51414" s="1025"/>
      <c r="BO51414" s="43"/>
    </row>
    <row r="51415" spans="65:67" ht="18.75" customHeight="1">
      <c r="BM51415" s="1025"/>
      <c r="BO51415" s="43"/>
    </row>
    <row r="51416" spans="65:67" ht="18.75" customHeight="1">
      <c r="BM51416" s="1025"/>
      <c r="BO51416" s="43"/>
    </row>
    <row r="51417" spans="65:67" ht="18.75" customHeight="1">
      <c r="BM51417" s="1025"/>
      <c r="BO51417" s="43"/>
    </row>
    <row r="51418" spans="65:67" ht="18.75" customHeight="1">
      <c r="BM51418" s="1025"/>
      <c r="BO51418" s="43"/>
    </row>
    <row r="51419" spans="65:67" ht="18.75" customHeight="1">
      <c r="BM51419" s="1025"/>
      <c r="BO51419" s="43"/>
    </row>
    <row r="51420" spans="65:67" ht="18.75" customHeight="1">
      <c r="BM51420" s="1025"/>
      <c r="BO51420" s="43"/>
    </row>
    <row r="51421" spans="65:67" ht="18.75" customHeight="1">
      <c r="BM51421" s="1025"/>
      <c r="BO51421" s="43"/>
    </row>
    <row r="51422" spans="65:67" ht="18.75" customHeight="1">
      <c r="BM51422" s="1025"/>
      <c r="BO51422" s="43"/>
    </row>
    <row r="51423" spans="65:67" ht="18.75" customHeight="1">
      <c r="BM51423" s="1025"/>
      <c r="BO51423" s="43"/>
    </row>
    <row r="51424" spans="65:67" ht="18.75" customHeight="1">
      <c r="BM51424" s="1025"/>
      <c r="BO51424" s="43"/>
    </row>
    <row r="51425" spans="65:67" ht="18.75" customHeight="1">
      <c r="BM51425" s="1025"/>
      <c r="BO51425" s="43"/>
    </row>
    <row r="51426" spans="65:67" ht="18.75" customHeight="1">
      <c r="BM51426" s="1025"/>
      <c r="BO51426" s="43"/>
    </row>
    <row r="51427" spans="65:67" ht="18.75" customHeight="1">
      <c r="BM51427" s="1025"/>
      <c r="BO51427" s="43"/>
    </row>
    <row r="51428" spans="65:67" ht="18.75" customHeight="1">
      <c r="BM51428" s="1025"/>
      <c r="BO51428" s="43"/>
    </row>
    <row r="51429" spans="65:67" ht="18.75" customHeight="1">
      <c r="BM51429" s="1025"/>
      <c r="BO51429" s="43"/>
    </row>
    <row r="51430" spans="65:67" ht="18.75" customHeight="1">
      <c r="BM51430" s="1025"/>
      <c r="BO51430" s="43"/>
    </row>
    <row r="51431" spans="65:67" ht="18.75" customHeight="1">
      <c r="BM51431" s="1025"/>
      <c r="BO51431" s="43"/>
    </row>
    <row r="51432" spans="65:67" ht="18.75" customHeight="1">
      <c r="BM51432" s="1025"/>
      <c r="BO51432" s="43"/>
    </row>
    <row r="51433" spans="65:67" ht="18.75" customHeight="1">
      <c r="BM51433" s="1025"/>
      <c r="BO51433" s="43"/>
    </row>
    <row r="51434" spans="65:67" ht="18.75" customHeight="1">
      <c r="BM51434" s="1025"/>
      <c r="BO51434" s="43"/>
    </row>
    <row r="51435" spans="65:67" ht="18.75" customHeight="1">
      <c r="BM51435" s="1025"/>
      <c r="BO51435" s="43"/>
    </row>
    <row r="51436" spans="65:67" ht="18.75" customHeight="1">
      <c r="BM51436" s="1025"/>
      <c r="BO51436" s="43"/>
    </row>
    <row r="51437" spans="65:67" ht="18.75" customHeight="1">
      <c r="BM51437" s="1025"/>
      <c r="BO51437" s="43"/>
    </row>
    <row r="51438" spans="65:67" ht="18.75" customHeight="1">
      <c r="BM51438" s="1025"/>
      <c r="BO51438" s="43"/>
    </row>
    <row r="51439" spans="65:67" ht="18.75" customHeight="1">
      <c r="BM51439" s="1025"/>
      <c r="BO51439" s="43"/>
    </row>
    <row r="51440" spans="65:67" ht="18.75" customHeight="1">
      <c r="BM51440" s="1025"/>
      <c r="BO51440" s="43"/>
    </row>
    <row r="51441" spans="65:67" ht="18.75" customHeight="1">
      <c r="BM51441" s="1025"/>
      <c r="BO51441" s="43"/>
    </row>
    <row r="51442" spans="65:67" ht="18.75" customHeight="1">
      <c r="BM51442" s="1025"/>
      <c r="BO51442" s="43"/>
    </row>
    <row r="51443" spans="65:67" ht="18.75" customHeight="1">
      <c r="BM51443" s="1025"/>
      <c r="BO51443" s="43"/>
    </row>
    <row r="51444" spans="65:67" ht="18.75" customHeight="1">
      <c r="BM51444" s="1025"/>
      <c r="BO51444" s="43"/>
    </row>
    <row r="51445" spans="65:67" ht="18.75" customHeight="1">
      <c r="BM51445" s="1025"/>
      <c r="BO51445" s="43"/>
    </row>
    <row r="51446" spans="65:67" ht="18.75" customHeight="1">
      <c r="BM51446" s="1025"/>
      <c r="BO51446" s="43"/>
    </row>
    <row r="51447" spans="65:67" ht="18.75" customHeight="1">
      <c r="BM51447" s="1025"/>
      <c r="BO51447" s="43"/>
    </row>
    <row r="51448" spans="65:67" ht="18.75" customHeight="1">
      <c r="BM51448" s="1025"/>
      <c r="BO51448" s="43"/>
    </row>
    <row r="51449" spans="65:67" ht="18.75" customHeight="1">
      <c r="BM51449" s="1025"/>
      <c r="BO51449" s="43"/>
    </row>
    <row r="51450" spans="65:67" ht="18.75" customHeight="1">
      <c r="BM51450" s="1025"/>
      <c r="BO51450" s="43"/>
    </row>
    <row r="51451" spans="65:67" ht="18.75" customHeight="1">
      <c r="BM51451" s="1025"/>
      <c r="BO51451" s="43"/>
    </row>
    <row r="51452" spans="65:67" ht="18.75" customHeight="1">
      <c r="BM51452" s="1025"/>
      <c r="BO51452" s="43"/>
    </row>
    <row r="51453" spans="65:67" ht="18.75" customHeight="1">
      <c r="BM51453" s="1025"/>
      <c r="BO51453" s="43"/>
    </row>
    <row r="51454" spans="65:67" ht="18.75" customHeight="1">
      <c r="BM51454" s="1025"/>
      <c r="BO51454" s="43"/>
    </row>
    <row r="51455" spans="65:67" ht="18.75" customHeight="1">
      <c r="BM51455" s="1025"/>
      <c r="BO51455" s="43"/>
    </row>
    <row r="51456" spans="65:67" ht="18.75" customHeight="1">
      <c r="BM51456" s="1025"/>
      <c r="BO51456" s="43"/>
    </row>
    <row r="51457" spans="65:67" ht="18.75" customHeight="1">
      <c r="BM51457" s="1025"/>
      <c r="BO51457" s="43"/>
    </row>
    <row r="51458" spans="65:67" ht="18.75" customHeight="1">
      <c r="BM51458" s="1025"/>
      <c r="BO51458" s="43"/>
    </row>
    <row r="51459" spans="65:67" ht="18.75" customHeight="1">
      <c r="BM51459" s="1025"/>
      <c r="BO51459" s="43"/>
    </row>
    <row r="51460" spans="65:67" ht="18.75" customHeight="1">
      <c r="BM51460" s="1025"/>
      <c r="BO51460" s="43"/>
    </row>
    <row r="51461" spans="65:67" ht="18.75" customHeight="1">
      <c r="BM51461" s="1025"/>
      <c r="BO51461" s="43"/>
    </row>
    <row r="51462" spans="65:67" ht="18.75" customHeight="1">
      <c r="BM51462" s="1025"/>
      <c r="BO51462" s="43"/>
    </row>
    <row r="51463" spans="65:67" ht="18.75" customHeight="1">
      <c r="BM51463" s="1025"/>
      <c r="BO51463" s="43"/>
    </row>
    <row r="51464" spans="65:67" ht="18.75" customHeight="1">
      <c r="BM51464" s="1025"/>
      <c r="BO51464" s="43"/>
    </row>
    <row r="51465" spans="65:67" ht="18.75" customHeight="1">
      <c r="BM51465" s="1025"/>
      <c r="BO51465" s="43"/>
    </row>
    <row r="51466" spans="65:67" ht="18.75" customHeight="1">
      <c r="BM51466" s="1025"/>
      <c r="BO51466" s="43"/>
    </row>
    <row r="51467" spans="65:67" ht="18.75" customHeight="1">
      <c r="BM51467" s="1025"/>
      <c r="BO51467" s="43"/>
    </row>
    <row r="51468" spans="65:67" ht="18.75" customHeight="1">
      <c r="BM51468" s="1025"/>
      <c r="BO51468" s="43"/>
    </row>
    <row r="51469" spans="65:67" ht="18.75" customHeight="1">
      <c r="BM51469" s="1025"/>
      <c r="BO51469" s="43"/>
    </row>
    <row r="51470" spans="65:67" ht="18.75" customHeight="1">
      <c r="BM51470" s="1025"/>
      <c r="BO51470" s="43"/>
    </row>
    <row r="51471" spans="65:67" ht="18.75" customHeight="1">
      <c r="BM51471" s="1025"/>
      <c r="BO51471" s="43"/>
    </row>
    <row r="51472" spans="65:67" ht="18.75" customHeight="1">
      <c r="BM51472" s="1025"/>
      <c r="BO51472" s="43"/>
    </row>
    <row r="51473" spans="65:67" ht="18.75" customHeight="1">
      <c r="BM51473" s="1025"/>
      <c r="BO51473" s="43"/>
    </row>
    <row r="51474" spans="65:67" ht="18.75" customHeight="1">
      <c r="BM51474" s="1025"/>
      <c r="BO51474" s="43"/>
    </row>
    <row r="51475" spans="65:67" ht="18.75" customHeight="1">
      <c r="BM51475" s="1025"/>
      <c r="BO51475" s="43"/>
    </row>
    <row r="51476" spans="65:67" ht="18.75" customHeight="1">
      <c r="BM51476" s="1025"/>
      <c r="BO51476" s="43"/>
    </row>
    <row r="51477" spans="65:67" ht="18.75" customHeight="1">
      <c r="BM51477" s="1025"/>
      <c r="BO51477" s="43"/>
    </row>
    <row r="51478" spans="65:67" ht="18.75" customHeight="1">
      <c r="BM51478" s="1025"/>
      <c r="BO51478" s="43"/>
    </row>
    <row r="51479" spans="65:67" ht="18.75" customHeight="1">
      <c r="BM51479" s="1025"/>
      <c r="BO51479" s="43"/>
    </row>
    <row r="51480" spans="65:67" ht="18.75" customHeight="1">
      <c r="BM51480" s="1025"/>
      <c r="BO51480" s="43"/>
    </row>
    <row r="51481" spans="65:67" ht="18.75" customHeight="1">
      <c r="BM51481" s="1025"/>
      <c r="BO51481" s="43"/>
    </row>
    <row r="51482" spans="65:67" ht="18.75" customHeight="1">
      <c r="BM51482" s="1025"/>
      <c r="BO51482" s="43"/>
    </row>
    <row r="51483" spans="65:67" ht="18.75" customHeight="1">
      <c r="BM51483" s="1025"/>
      <c r="BO51483" s="43"/>
    </row>
    <row r="51484" spans="65:67" ht="18.75" customHeight="1">
      <c r="BM51484" s="1025"/>
      <c r="BO51484" s="43"/>
    </row>
    <row r="51485" spans="65:67" ht="18.75" customHeight="1">
      <c r="BM51485" s="1025"/>
      <c r="BO51485" s="43"/>
    </row>
    <row r="51486" spans="65:67" ht="18.75" customHeight="1">
      <c r="BM51486" s="1025"/>
      <c r="BO51486" s="43"/>
    </row>
    <row r="51487" spans="65:67" ht="18.75" customHeight="1">
      <c r="BM51487" s="1025"/>
      <c r="BO51487" s="43"/>
    </row>
    <row r="51488" spans="65:67" ht="18.75" customHeight="1">
      <c r="BM51488" s="1025"/>
      <c r="BO51488" s="43"/>
    </row>
    <row r="51489" spans="65:67" ht="18.75" customHeight="1">
      <c r="BM51489" s="1025"/>
      <c r="BO51489" s="43"/>
    </row>
    <row r="51490" spans="65:67" ht="18.75" customHeight="1">
      <c r="BM51490" s="1025"/>
      <c r="BO51490" s="43"/>
    </row>
    <row r="51491" spans="65:67" ht="18.75" customHeight="1">
      <c r="BM51491" s="1025"/>
      <c r="BO51491" s="43"/>
    </row>
    <row r="51492" spans="65:67" ht="18.75" customHeight="1">
      <c r="BM51492" s="1025"/>
      <c r="BO51492" s="43"/>
    </row>
    <row r="51493" spans="65:67" ht="18.75" customHeight="1">
      <c r="BM51493" s="1025"/>
      <c r="BO51493" s="43"/>
    </row>
    <row r="51494" spans="65:67" ht="18.75" customHeight="1">
      <c r="BM51494" s="1025"/>
      <c r="BO51494" s="43"/>
    </row>
    <row r="51495" spans="65:67" ht="18.75" customHeight="1">
      <c r="BM51495" s="1025"/>
      <c r="BO51495" s="43"/>
    </row>
    <row r="51496" spans="65:67" ht="18.75" customHeight="1">
      <c r="BM51496" s="1025"/>
      <c r="BO51496" s="43"/>
    </row>
    <row r="51497" spans="65:67" ht="18.75" customHeight="1">
      <c r="BM51497" s="1025"/>
      <c r="BO51497" s="43"/>
    </row>
    <row r="51498" spans="65:67" ht="18.75" customHeight="1">
      <c r="BM51498" s="1025"/>
      <c r="BO51498" s="43"/>
    </row>
    <row r="51499" spans="65:67" ht="18.75" customHeight="1">
      <c r="BM51499" s="1025"/>
      <c r="BO51499" s="43"/>
    </row>
    <row r="51500" spans="65:67" ht="18.75" customHeight="1">
      <c r="BM51500" s="1025"/>
      <c r="BO51500" s="43"/>
    </row>
    <row r="51501" spans="65:67" ht="18.75" customHeight="1">
      <c r="BM51501" s="1025"/>
      <c r="BO51501" s="43"/>
    </row>
    <row r="51502" spans="65:67" ht="18.75" customHeight="1">
      <c r="BM51502" s="1025"/>
      <c r="BO51502" s="43"/>
    </row>
    <row r="51503" spans="65:67" ht="18.75" customHeight="1">
      <c r="BM51503" s="1025"/>
      <c r="BO51503" s="43"/>
    </row>
    <row r="51504" spans="65:67" ht="18.75" customHeight="1">
      <c r="BM51504" s="1025"/>
      <c r="BO51504" s="43"/>
    </row>
    <row r="51505" spans="65:67" ht="18.75" customHeight="1">
      <c r="BM51505" s="1025"/>
      <c r="BO51505" s="43"/>
    </row>
    <row r="51506" spans="65:67" ht="18.75" customHeight="1">
      <c r="BM51506" s="1025"/>
      <c r="BO51506" s="43"/>
    </row>
    <row r="51507" spans="65:67" ht="18.75" customHeight="1">
      <c r="BM51507" s="1025"/>
      <c r="BO51507" s="43"/>
    </row>
    <row r="51508" spans="65:67" ht="18.75" customHeight="1">
      <c r="BM51508" s="1025"/>
      <c r="BO51508" s="43"/>
    </row>
    <row r="51509" spans="65:67" ht="18.75" customHeight="1">
      <c r="BM51509" s="1025"/>
      <c r="BO51509" s="43"/>
    </row>
    <row r="51510" spans="65:67" ht="18.75" customHeight="1">
      <c r="BM51510" s="1025"/>
      <c r="BO51510" s="43"/>
    </row>
    <row r="51511" spans="65:67" ht="18.75" customHeight="1">
      <c r="BM51511" s="1025"/>
      <c r="BO51511" s="43"/>
    </row>
    <row r="51512" spans="65:67" ht="18.75" customHeight="1">
      <c r="BM51512" s="1025"/>
      <c r="BO51512" s="43"/>
    </row>
    <row r="51513" spans="65:67" ht="18.75" customHeight="1">
      <c r="BM51513" s="1025"/>
      <c r="BO51513" s="43"/>
    </row>
    <row r="51514" spans="65:67" ht="18.75" customHeight="1">
      <c r="BM51514" s="1025"/>
      <c r="BO51514" s="43"/>
    </row>
    <row r="51515" spans="65:67" ht="18.75" customHeight="1">
      <c r="BM51515" s="1025"/>
      <c r="BO51515" s="43"/>
    </row>
    <row r="51516" spans="65:67" ht="18.75" customHeight="1">
      <c r="BM51516" s="1025"/>
      <c r="BO51516" s="43"/>
    </row>
    <row r="51517" spans="65:67" ht="18.75" customHeight="1">
      <c r="BM51517" s="1025"/>
      <c r="BO51517" s="43"/>
    </row>
    <row r="51518" spans="65:67" ht="18.75" customHeight="1">
      <c r="BM51518" s="1025"/>
      <c r="BO51518" s="43"/>
    </row>
    <row r="51519" spans="65:67" ht="18.75" customHeight="1">
      <c r="BM51519" s="1025"/>
      <c r="BO51519" s="43"/>
    </row>
    <row r="51520" spans="65:67" ht="18.75" customHeight="1">
      <c r="BM51520" s="1025"/>
      <c r="BO51520" s="43"/>
    </row>
    <row r="51521" spans="65:67" ht="18.75" customHeight="1">
      <c r="BM51521" s="1025"/>
      <c r="BO51521" s="43"/>
    </row>
    <row r="51522" spans="65:67" ht="18.75" customHeight="1">
      <c r="BM51522" s="1025"/>
      <c r="BO51522" s="43"/>
    </row>
    <row r="51523" spans="65:67" ht="18.75" customHeight="1">
      <c r="BM51523" s="1025"/>
      <c r="BO51523" s="43"/>
    </row>
    <row r="51524" spans="65:67" ht="18.75" customHeight="1">
      <c r="BM51524" s="1025"/>
      <c r="BO51524" s="43"/>
    </row>
    <row r="51525" spans="65:67" ht="18.75" customHeight="1">
      <c r="BM51525" s="1025"/>
      <c r="BO51525" s="43"/>
    </row>
    <row r="51526" spans="65:67" ht="18.75" customHeight="1">
      <c r="BM51526" s="1025"/>
      <c r="BO51526" s="43"/>
    </row>
    <row r="51527" spans="65:67" ht="18.75" customHeight="1">
      <c r="BM51527" s="1025"/>
      <c r="BO51527" s="43"/>
    </row>
    <row r="51528" spans="65:67" ht="18.75" customHeight="1">
      <c r="BM51528" s="1025"/>
      <c r="BO51528" s="43"/>
    </row>
    <row r="51529" spans="65:67" ht="18.75" customHeight="1">
      <c r="BM51529" s="1025"/>
      <c r="BO51529" s="43"/>
    </row>
    <row r="51530" spans="65:67" ht="18.75" customHeight="1">
      <c r="BM51530" s="1025"/>
      <c r="BO51530" s="43"/>
    </row>
    <row r="51531" spans="65:67" ht="18.75" customHeight="1">
      <c r="BM51531" s="1025"/>
      <c r="BO51531" s="43"/>
    </row>
    <row r="51532" spans="65:67" ht="18.75" customHeight="1">
      <c r="BM51532" s="1025"/>
      <c r="BO51532" s="43"/>
    </row>
    <row r="51533" spans="65:67" ht="18.75" customHeight="1">
      <c r="BM51533" s="1025"/>
      <c r="BO51533" s="43"/>
    </row>
    <row r="51534" spans="65:67" ht="18.75" customHeight="1">
      <c r="BM51534" s="1025"/>
      <c r="BO51534" s="43"/>
    </row>
    <row r="51535" spans="65:67" ht="18.75" customHeight="1">
      <c r="BM51535" s="1025"/>
      <c r="BO51535" s="43"/>
    </row>
    <row r="51536" spans="65:67" ht="18.75" customHeight="1">
      <c r="BM51536" s="1025"/>
      <c r="BO51536" s="43"/>
    </row>
    <row r="51537" spans="65:67" ht="18.75" customHeight="1">
      <c r="BM51537" s="1025"/>
      <c r="BO51537" s="43"/>
    </row>
    <row r="51538" spans="65:67" ht="18.75" customHeight="1">
      <c r="BM51538" s="1025"/>
      <c r="BO51538" s="43"/>
    </row>
    <row r="51539" spans="65:67" ht="18.75" customHeight="1">
      <c r="BM51539" s="1025"/>
      <c r="BO51539" s="43"/>
    </row>
    <row r="51540" spans="65:67" ht="18.75" customHeight="1">
      <c r="BM51540" s="1025"/>
      <c r="BO51540" s="43"/>
    </row>
    <row r="51541" spans="65:67" ht="18.75" customHeight="1">
      <c r="BM51541" s="1025"/>
      <c r="BO51541" s="43"/>
    </row>
    <row r="51542" spans="65:67" ht="18.75" customHeight="1">
      <c r="BM51542" s="1025"/>
      <c r="BO51542" s="43"/>
    </row>
    <row r="51543" spans="65:67" ht="18.75" customHeight="1">
      <c r="BM51543" s="1025"/>
      <c r="BO51543" s="43"/>
    </row>
    <row r="51544" spans="65:67" ht="18.75" customHeight="1">
      <c r="BM51544" s="1025"/>
      <c r="BO51544" s="43"/>
    </row>
    <row r="51545" spans="65:67" ht="18.75" customHeight="1">
      <c r="BM51545" s="1025"/>
      <c r="BO51545" s="43"/>
    </row>
    <row r="51546" spans="65:67" ht="18.75" customHeight="1">
      <c r="BM51546" s="1025"/>
      <c r="BO51546" s="43"/>
    </row>
    <row r="51547" spans="65:67" ht="18.75" customHeight="1">
      <c r="BM51547" s="1025"/>
      <c r="BO51547" s="43"/>
    </row>
    <row r="51548" spans="65:67" ht="18.75" customHeight="1">
      <c r="BM51548" s="1025"/>
      <c r="BO51548" s="43"/>
    </row>
    <row r="51549" spans="65:67" ht="18.75" customHeight="1">
      <c r="BM51549" s="1025"/>
      <c r="BO51549" s="43"/>
    </row>
    <row r="51550" spans="65:67" ht="18.75" customHeight="1">
      <c r="BM51550" s="1025"/>
      <c r="BO51550" s="43"/>
    </row>
    <row r="51551" spans="65:67" ht="18.75" customHeight="1">
      <c r="BM51551" s="1025"/>
      <c r="BO51551" s="43"/>
    </row>
    <row r="51552" spans="65:67" ht="18.75" customHeight="1">
      <c r="BM51552" s="1025"/>
      <c r="BO51552" s="43"/>
    </row>
    <row r="51553" spans="65:67" ht="18.75" customHeight="1">
      <c r="BM51553" s="1025"/>
      <c r="BO51553" s="43"/>
    </row>
    <row r="51554" spans="65:67" ht="18.75" customHeight="1">
      <c r="BM51554" s="1025"/>
      <c r="BO51554" s="43"/>
    </row>
    <row r="51555" spans="65:67" ht="18.75" customHeight="1">
      <c r="BM51555" s="1025"/>
      <c r="BO51555" s="43"/>
    </row>
    <row r="51556" spans="65:67" ht="18.75" customHeight="1">
      <c r="BM51556" s="1025"/>
      <c r="BO51556" s="43"/>
    </row>
    <row r="51557" spans="65:67" ht="18.75" customHeight="1">
      <c r="BM51557" s="1025"/>
      <c r="BO51557" s="43"/>
    </row>
    <row r="51558" spans="65:67" ht="18.75" customHeight="1">
      <c r="BM51558" s="1025"/>
      <c r="BO51558" s="43"/>
    </row>
    <row r="51559" spans="65:67" ht="18.75" customHeight="1">
      <c r="BM51559" s="1025"/>
      <c r="BO51559" s="43"/>
    </row>
    <row r="51560" spans="65:67" ht="18.75" customHeight="1">
      <c r="BM51560" s="1025"/>
      <c r="BO51560" s="43"/>
    </row>
    <row r="51561" spans="65:67" ht="18.75" customHeight="1">
      <c r="BM51561" s="1025"/>
      <c r="BO51561" s="43"/>
    </row>
    <row r="51562" spans="65:67" ht="18.75" customHeight="1">
      <c r="BM51562" s="1025"/>
      <c r="BO51562" s="43"/>
    </row>
    <row r="51563" spans="65:67" ht="18.75" customHeight="1">
      <c r="BM51563" s="1025"/>
      <c r="BO51563" s="43"/>
    </row>
    <row r="51564" spans="65:67" ht="18.75" customHeight="1">
      <c r="BM51564" s="1025"/>
      <c r="BO51564" s="43"/>
    </row>
    <row r="51565" spans="65:67" ht="18.75" customHeight="1">
      <c r="BM51565" s="1025"/>
      <c r="BO51565" s="43"/>
    </row>
    <row r="51566" spans="65:67" ht="18.75" customHeight="1">
      <c r="BM51566" s="1025"/>
      <c r="BO51566" s="43"/>
    </row>
    <row r="51567" spans="65:67" ht="18.75" customHeight="1">
      <c r="BM51567" s="1025"/>
      <c r="BO51567" s="43"/>
    </row>
    <row r="51568" spans="65:67" ht="18.75" customHeight="1">
      <c r="BM51568" s="1025"/>
      <c r="BO51568" s="43"/>
    </row>
    <row r="51569" spans="65:67" ht="18.75" customHeight="1">
      <c r="BM51569" s="1025"/>
      <c r="BO51569" s="43"/>
    </row>
    <row r="51570" spans="65:67" ht="18.75" customHeight="1">
      <c r="BM51570" s="1025"/>
      <c r="BO51570" s="43"/>
    </row>
    <row r="51571" spans="65:67" ht="18.75" customHeight="1">
      <c r="BM51571" s="1025"/>
      <c r="BO51571" s="43"/>
    </row>
    <row r="51572" spans="65:67" ht="18.75" customHeight="1">
      <c r="BM51572" s="1025"/>
      <c r="BO51572" s="43"/>
    </row>
    <row r="51573" spans="65:67" ht="18.75" customHeight="1">
      <c r="BM51573" s="1025"/>
      <c r="BO51573" s="43"/>
    </row>
    <row r="51574" spans="65:67" ht="18.75" customHeight="1">
      <c r="BM51574" s="1025"/>
      <c r="BO51574" s="43"/>
    </row>
    <row r="51575" spans="65:67" ht="18.75" customHeight="1">
      <c r="BM51575" s="1025"/>
      <c r="BO51575" s="43"/>
    </row>
    <row r="51576" spans="65:67" ht="18.75" customHeight="1">
      <c r="BM51576" s="1025"/>
      <c r="BO51576" s="43"/>
    </row>
    <row r="51577" spans="65:67" ht="18.75" customHeight="1">
      <c r="BM51577" s="1025"/>
      <c r="BO51577" s="43"/>
    </row>
    <row r="51578" spans="65:67" ht="18.75" customHeight="1">
      <c r="BM51578" s="1025"/>
      <c r="BO51578" s="43"/>
    </row>
    <row r="51579" spans="65:67" ht="18.75" customHeight="1">
      <c r="BM51579" s="1025"/>
      <c r="BO51579" s="43"/>
    </row>
    <row r="51580" spans="65:67" ht="18.75" customHeight="1">
      <c r="BM51580" s="1025"/>
      <c r="BO51580" s="43"/>
    </row>
    <row r="51581" spans="65:67" ht="18.75" customHeight="1">
      <c r="BM51581" s="1025"/>
      <c r="BO51581" s="43"/>
    </row>
    <row r="51582" spans="65:67" ht="18.75" customHeight="1">
      <c r="BM51582" s="1025"/>
      <c r="BO51582" s="43"/>
    </row>
    <row r="51583" spans="65:67" ht="18.75" customHeight="1">
      <c r="BM51583" s="1025"/>
      <c r="BO51583" s="43"/>
    </row>
    <row r="51584" spans="65:67" ht="18.75" customHeight="1">
      <c r="BM51584" s="1025"/>
      <c r="BO51584" s="43"/>
    </row>
    <row r="51585" spans="65:67" ht="18.75" customHeight="1">
      <c r="BM51585" s="1025"/>
      <c r="BO51585" s="43"/>
    </row>
    <row r="51586" spans="65:67" ht="18.75" customHeight="1">
      <c r="BM51586" s="1025"/>
      <c r="BO51586" s="43"/>
    </row>
    <row r="51587" spans="65:67" ht="18.75" customHeight="1">
      <c r="BM51587" s="1025"/>
      <c r="BO51587" s="43"/>
    </row>
    <row r="51588" spans="65:67" ht="18.75" customHeight="1">
      <c r="BM51588" s="1025"/>
      <c r="BO51588" s="43"/>
    </row>
    <row r="51589" spans="65:67" ht="18.75" customHeight="1">
      <c r="BM51589" s="1025"/>
      <c r="BO51589" s="43"/>
    </row>
    <row r="51590" spans="65:67" ht="18.75" customHeight="1">
      <c r="BM51590" s="1025"/>
      <c r="BO51590" s="43"/>
    </row>
    <row r="51591" spans="65:67" ht="18.75" customHeight="1">
      <c r="BM51591" s="1025"/>
      <c r="BO51591" s="43"/>
    </row>
    <row r="51592" spans="65:67" ht="18.75" customHeight="1">
      <c r="BM51592" s="1025"/>
      <c r="BO51592" s="43"/>
    </row>
    <row r="51593" spans="65:67" ht="18.75" customHeight="1">
      <c r="BM51593" s="1025"/>
      <c r="BO51593" s="43"/>
    </row>
    <row r="51594" spans="65:67" ht="18.75" customHeight="1">
      <c r="BM51594" s="1025"/>
      <c r="BO51594" s="43"/>
    </row>
    <row r="51595" spans="65:67" ht="18.75" customHeight="1">
      <c r="BM51595" s="1025"/>
      <c r="BO51595" s="43"/>
    </row>
    <row r="51596" spans="65:67" ht="18.75" customHeight="1">
      <c r="BM51596" s="1025"/>
      <c r="BO51596" s="43"/>
    </row>
    <row r="51597" spans="65:67" ht="18.75" customHeight="1">
      <c r="BM51597" s="1025"/>
      <c r="BO51597" s="43"/>
    </row>
    <row r="51598" spans="65:67" ht="18.75" customHeight="1">
      <c r="BM51598" s="1025"/>
      <c r="BO51598" s="43"/>
    </row>
    <row r="51599" spans="65:67" ht="18.75" customHeight="1">
      <c r="BM51599" s="1025"/>
      <c r="BO51599" s="43"/>
    </row>
    <row r="51600" spans="65:67" ht="18.75" customHeight="1">
      <c r="BM51600" s="1025"/>
      <c r="BO51600" s="43"/>
    </row>
    <row r="51601" spans="65:67" ht="18.75" customHeight="1">
      <c r="BM51601" s="1025"/>
      <c r="BO51601" s="43"/>
    </row>
    <row r="51602" spans="65:67" ht="18.75" customHeight="1">
      <c r="BM51602" s="1025"/>
      <c r="BO51602" s="43"/>
    </row>
    <row r="51603" spans="65:67" ht="18.75" customHeight="1">
      <c r="BM51603" s="1025"/>
      <c r="BO51603" s="43"/>
    </row>
    <row r="51604" spans="65:67" ht="18.75" customHeight="1">
      <c r="BM51604" s="1025"/>
      <c r="BO51604" s="43"/>
    </row>
    <row r="51605" spans="65:67" ht="18.75" customHeight="1">
      <c r="BM51605" s="1025"/>
      <c r="BO51605" s="43"/>
    </row>
    <row r="51606" spans="65:67" ht="18.75" customHeight="1">
      <c r="BM51606" s="1025"/>
      <c r="BO51606" s="43"/>
    </row>
    <row r="51607" spans="65:67" ht="18.75" customHeight="1">
      <c r="BM51607" s="1025"/>
      <c r="BO51607" s="43"/>
    </row>
    <row r="51608" spans="65:67" ht="18.75" customHeight="1">
      <c r="BM51608" s="1025"/>
      <c r="BO51608" s="43"/>
    </row>
    <row r="51609" spans="65:67" ht="18.75" customHeight="1">
      <c r="BM51609" s="1025"/>
      <c r="BO51609" s="43"/>
    </row>
    <row r="51610" spans="65:67" ht="18.75" customHeight="1">
      <c r="BM51610" s="1025"/>
      <c r="BO51610" s="43"/>
    </row>
    <row r="51611" spans="65:67" ht="18.75" customHeight="1">
      <c r="BM51611" s="1025"/>
      <c r="BO51611" s="43"/>
    </row>
    <row r="51612" spans="65:67" ht="18.75" customHeight="1">
      <c r="BM51612" s="1025"/>
      <c r="BO51612" s="43"/>
    </row>
    <row r="51613" spans="65:67" ht="18.75" customHeight="1">
      <c r="BM51613" s="1025"/>
      <c r="BO51613" s="43"/>
    </row>
    <row r="51614" spans="65:67" ht="18.75" customHeight="1">
      <c r="BM51614" s="1025"/>
      <c r="BO51614" s="43"/>
    </row>
    <row r="51615" spans="65:67" ht="18.75" customHeight="1">
      <c r="BM51615" s="1025"/>
      <c r="BO51615" s="43"/>
    </row>
    <row r="51616" spans="65:67" ht="18.75" customHeight="1">
      <c r="BM51616" s="1025"/>
      <c r="BO51616" s="43"/>
    </row>
    <row r="51617" spans="65:67" ht="18.75" customHeight="1">
      <c r="BM51617" s="1025"/>
      <c r="BO51617" s="43"/>
    </row>
    <row r="51618" spans="65:67" ht="18.75" customHeight="1">
      <c r="BM51618" s="1025"/>
      <c r="BO51618" s="43"/>
    </row>
    <row r="51619" spans="65:67" ht="18.75" customHeight="1">
      <c r="BM51619" s="1025"/>
      <c r="BO51619" s="43"/>
    </row>
    <row r="51620" spans="65:67" ht="18.75" customHeight="1">
      <c r="BM51620" s="1025"/>
      <c r="BO51620" s="43"/>
    </row>
    <row r="51621" spans="65:67" ht="18.75" customHeight="1">
      <c r="BM51621" s="1025"/>
      <c r="BO51621" s="43"/>
    </row>
    <row r="51622" spans="65:67" ht="18.75" customHeight="1">
      <c r="BM51622" s="1025"/>
      <c r="BO51622" s="43"/>
    </row>
    <row r="51623" spans="65:67" ht="18.75" customHeight="1">
      <c r="BM51623" s="1025"/>
      <c r="BO51623" s="43"/>
    </row>
    <row r="51624" spans="65:67" ht="18.75" customHeight="1">
      <c r="BM51624" s="1025"/>
      <c r="BO51624" s="43"/>
    </row>
    <row r="51625" spans="65:67" ht="18.75" customHeight="1">
      <c r="BM51625" s="1025"/>
      <c r="BO51625" s="43"/>
    </row>
    <row r="51626" spans="65:67" ht="18.75" customHeight="1">
      <c r="BM51626" s="1025"/>
      <c r="BO51626" s="43"/>
    </row>
    <row r="51627" spans="65:67" ht="18.75" customHeight="1">
      <c r="BM51627" s="1025"/>
      <c r="BO51627" s="43"/>
    </row>
    <row r="51628" spans="65:67" ht="18.75" customHeight="1">
      <c r="BM51628" s="1025"/>
      <c r="BO51628" s="43"/>
    </row>
    <row r="51629" spans="65:67" ht="18.75" customHeight="1">
      <c r="BM51629" s="1025"/>
      <c r="BO51629" s="43"/>
    </row>
    <row r="51630" spans="65:67" ht="18.75" customHeight="1">
      <c r="BM51630" s="1025"/>
      <c r="BO51630" s="43"/>
    </row>
    <row r="51631" spans="65:67" ht="18.75" customHeight="1">
      <c r="BM51631" s="1025"/>
      <c r="BO51631" s="43"/>
    </row>
    <row r="51632" spans="65:67" ht="18.75" customHeight="1">
      <c r="BM51632" s="1025"/>
      <c r="BO51632" s="43"/>
    </row>
    <row r="51633" spans="65:67" ht="18.75" customHeight="1">
      <c r="BM51633" s="1025"/>
      <c r="BO51633" s="43"/>
    </row>
    <row r="51634" spans="65:67" ht="18.75" customHeight="1">
      <c r="BM51634" s="1025"/>
      <c r="BO51634" s="43"/>
    </row>
    <row r="51635" spans="65:67" ht="18.75" customHeight="1">
      <c r="BM51635" s="1025"/>
      <c r="BO51635" s="43"/>
    </row>
    <row r="51636" spans="65:67" ht="18.75" customHeight="1">
      <c r="BM51636" s="1025"/>
      <c r="BO51636" s="43"/>
    </row>
    <row r="51637" spans="65:67" ht="18.75" customHeight="1">
      <c r="BM51637" s="1025"/>
      <c r="BO51637" s="43"/>
    </row>
    <row r="51638" spans="65:67" ht="18.75" customHeight="1">
      <c r="BM51638" s="1025"/>
      <c r="BO51638" s="43"/>
    </row>
    <row r="51639" spans="65:67" ht="18.75" customHeight="1">
      <c r="BM51639" s="1025"/>
      <c r="BO51639" s="43"/>
    </row>
    <row r="51640" spans="65:67" ht="18.75" customHeight="1">
      <c r="BM51640" s="1025"/>
      <c r="BO51640" s="43"/>
    </row>
    <row r="51641" spans="65:67" ht="18.75" customHeight="1">
      <c r="BM51641" s="1025"/>
      <c r="BO51641" s="43"/>
    </row>
    <row r="51642" spans="65:67" ht="18.75" customHeight="1">
      <c r="BM51642" s="1025"/>
      <c r="BO51642" s="43"/>
    </row>
    <row r="51643" spans="65:67" ht="18.75" customHeight="1">
      <c r="BM51643" s="1025"/>
      <c r="BO51643" s="43"/>
    </row>
    <row r="51644" spans="65:67" ht="18.75" customHeight="1">
      <c r="BM51644" s="1025"/>
      <c r="BO51644" s="43"/>
    </row>
    <row r="51645" spans="65:67" ht="18.75" customHeight="1">
      <c r="BM51645" s="1025"/>
      <c r="BO51645" s="43"/>
    </row>
    <row r="51646" spans="65:67" ht="18.75" customHeight="1">
      <c r="BM51646" s="1025"/>
      <c r="BO51646" s="43"/>
    </row>
    <row r="51647" spans="65:67" ht="18.75" customHeight="1">
      <c r="BM51647" s="1025"/>
      <c r="BO51647" s="43"/>
    </row>
    <row r="51648" spans="65:67" ht="18.75" customHeight="1">
      <c r="BM51648" s="1025"/>
      <c r="BO51648" s="43"/>
    </row>
    <row r="51649" spans="65:67" ht="18.75" customHeight="1">
      <c r="BM51649" s="1025"/>
      <c r="BO51649" s="43"/>
    </row>
    <row r="51650" spans="65:67" ht="18.75" customHeight="1">
      <c r="BM51650" s="1025"/>
      <c r="BO51650" s="43"/>
    </row>
    <row r="51651" spans="65:67" ht="18.75" customHeight="1">
      <c r="BM51651" s="1025"/>
      <c r="BO51651" s="43"/>
    </row>
    <row r="51652" spans="65:67" ht="18.75" customHeight="1">
      <c r="BM51652" s="1025"/>
      <c r="BO51652" s="43"/>
    </row>
    <row r="51653" spans="65:67" ht="18.75" customHeight="1">
      <c r="BM51653" s="1025"/>
      <c r="BO51653" s="43"/>
    </row>
    <row r="51654" spans="65:67" ht="18.75" customHeight="1">
      <c r="BM51654" s="1025"/>
      <c r="BO51654" s="43"/>
    </row>
    <row r="51655" spans="65:67" ht="18.75" customHeight="1">
      <c r="BM51655" s="1025"/>
      <c r="BO51655" s="43"/>
    </row>
    <row r="51656" spans="65:67" ht="18.75" customHeight="1">
      <c r="BM51656" s="1025"/>
      <c r="BO51656" s="43"/>
    </row>
    <row r="51657" spans="65:67" ht="18.75" customHeight="1">
      <c r="BM51657" s="1025"/>
      <c r="BO51657" s="43"/>
    </row>
    <row r="51658" spans="65:67" ht="18.75" customHeight="1">
      <c r="BM51658" s="1025"/>
      <c r="BO51658" s="43"/>
    </row>
    <row r="51659" spans="65:67" ht="18.75" customHeight="1">
      <c r="BM51659" s="1025"/>
      <c r="BO51659" s="43"/>
    </row>
    <row r="51660" spans="65:67" ht="18.75" customHeight="1">
      <c r="BM51660" s="1025"/>
      <c r="BO51660" s="43"/>
    </row>
    <row r="51661" spans="65:67" ht="18.75" customHeight="1">
      <c r="BM51661" s="1025"/>
      <c r="BO51661" s="43"/>
    </row>
    <row r="51662" spans="65:67" ht="18.75" customHeight="1">
      <c r="BM51662" s="1025"/>
      <c r="BO51662" s="43"/>
    </row>
    <row r="51663" spans="65:67" ht="18.75" customHeight="1">
      <c r="BM51663" s="1025"/>
      <c r="BO51663" s="43"/>
    </row>
    <row r="51664" spans="65:67" ht="18.75" customHeight="1">
      <c r="BM51664" s="1025"/>
      <c r="BO51664" s="43"/>
    </row>
    <row r="51665" spans="65:67" ht="18.75" customHeight="1">
      <c r="BM51665" s="1025"/>
      <c r="BO51665" s="43"/>
    </row>
    <row r="51666" spans="65:67" ht="18.75" customHeight="1">
      <c r="BM51666" s="1025"/>
      <c r="BO51666" s="43"/>
    </row>
    <row r="51667" spans="65:67" ht="18.75" customHeight="1">
      <c r="BM51667" s="1025"/>
      <c r="BO51667" s="43"/>
    </row>
    <row r="51668" spans="65:67" ht="18.75" customHeight="1">
      <c r="BM51668" s="1025"/>
      <c r="BO51668" s="43"/>
    </row>
    <row r="51669" spans="65:67" ht="18.75" customHeight="1">
      <c r="BM51669" s="1025"/>
      <c r="BO51669" s="43"/>
    </row>
    <row r="51670" spans="65:67" ht="18.75" customHeight="1">
      <c r="BM51670" s="1025"/>
      <c r="BO51670" s="43"/>
    </row>
    <row r="51671" spans="65:67" ht="18.75" customHeight="1">
      <c r="BM51671" s="1025"/>
      <c r="BO51671" s="43"/>
    </row>
    <row r="51672" spans="65:67" ht="18.75" customHeight="1">
      <c r="BM51672" s="1025"/>
      <c r="BO51672" s="43"/>
    </row>
    <row r="51673" spans="65:67" ht="18.75" customHeight="1">
      <c r="BM51673" s="1025"/>
      <c r="BO51673" s="43"/>
    </row>
    <row r="51674" spans="65:67" ht="18.75" customHeight="1">
      <c r="BM51674" s="1025"/>
      <c r="BO51674" s="43"/>
    </row>
    <row r="51675" spans="65:67" ht="18.75" customHeight="1">
      <c r="BM51675" s="1025"/>
      <c r="BO51675" s="43"/>
    </row>
    <row r="51676" spans="65:67" ht="18.75" customHeight="1">
      <c r="BM51676" s="1025"/>
      <c r="BO51676" s="43"/>
    </row>
    <row r="51677" spans="65:67" ht="18.75" customHeight="1">
      <c r="BM51677" s="1025"/>
      <c r="BO51677" s="43"/>
    </row>
    <row r="51678" spans="65:67" ht="18.75" customHeight="1">
      <c r="BM51678" s="1025"/>
      <c r="BO51678" s="43"/>
    </row>
    <row r="51679" spans="65:67" ht="18.75" customHeight="1">
      <c r="BM51679" s="1025"/>
      <c r="BO51679" s="43"/>
    </row>
    <row r="51680" spans="65:67" ht="18.75" customHeight="1">
      <c r="BM51680" s="1025"/>
      <c r="BO51680" s="43"/>
    </row>
    <row r="51681" spans="65:67" ht="18.75" customHeight="1">
      <c r="BM51681" s="1025"/>
      <c r="BO51681" s="43"/>
    </row>
    <row r="51682" spans="65:67" ht="18.75" customHeight="1">
      <c r="BM51682" s="1025"/>
      <c r="BO51682" s="43"/>
    </row>
    <row r="51683" spans="65:67" ht="18.75" customHeight="1">
      <c r="BM51683" s="1025"/>
      <c r="BO51683" s="43"/>
    </row>
    <row r="51684" spans="65:67" ht="18.75" customHeight="1">
      <c r="BM51684" s="1025"/>
      <c r="BO51684" s="43"/>
    </row>
    <row r="51685" spans="65:67" ht="18.75" customHeight="1">
      <c r="BM51685" s="1025"/>
      <c r="BO51685" s="43"/>
    </row>
    <row r="51686" spans="65:67" ht="18.75" customHeight="1">
      <c r="BM51686" s="1025"/>
      <c r="BO51686" s="43"/>
    </row>
    <row r="51687" spans="65:67" ht="18.75" customHeight="1">
      <c r="BM51687" s="1025"/>
      <c r="BO51687" s="43"/>
    </row>
    <row r="51688" spans="65:67" ht="18.75" customHeight="1">
      <c r="BM51688" s="1025"/>
      <c r="BO51688" s="43"/>
    </row>
    <row r="51689" spans="65:67" ht="18.75" customHeight="1">
      <c r="BM51689" s="1025"/>
      <c r="BO51689" s="43"/>
    </row>
    <row r="51690" spans="65:67" ht="18.75" customHeight="1">
      <c r="BM51690" s="1025"/>
      <c r="BO51690" s="43"/>
    </row>
    <row r="51691" spans="65:67" ht="18.75" customHeight="1">
      <c r="BM51691" s="1025"/>
      <c r="BO51691" s="43"/>
    </row>
    <row r="51692" spans="65:67" ht="18.75" customHeight="1">
      <c r="BM51692" s="1025"/>
      <c r="BO51692" s="43"/>
    </row>
    <row r="51693" spans="65:67" ht="18.75" customHeight="1">
      <c r="BM51693" s="1025"/>
      <c r="BO51693" s="43"/>
    </row>
    <row r="51694" spans="65:67" ht="18.75" customHeight="1">
      <c r="BM51694" s="1025"/>
      <c r="BO51694" s="43"/>
    </row>
    <row r="51695" spans="65:67" ht="18.75" customHeight="1">
      <c r="BM51695" s="1025"/>
      <c r="BO51695" s="43"/>
    </row>
    <row r="51696" spans="65:67" ht="18.75" customHeight="1">
      <c r="BM51696" s="1025"/>
      <c r="BO51696" s="43"/>
    </row>
    <row r="51697" spans="65:67" ht="18.75" customHeight="1">
      <c r="BM51697" s="1025"/>
      <c r="BO51697" s="43"/>
    </row>
    <row r="51698" spans="65:67" ht="18.75" customHeight="1">
      <c r="BM51698" s="1025"/>
      <c r="BO51698" s="43"/>
    </row>
    <row r="51699" spans="65:67" ht="18.75" customHeight="1">
      <c r="BM51699" s="1025"/>
      <c r="BO51699" s="43"/>
    </row>
    <row r="51700" spans="65:67" ht="18.75" customHeight="1">
      <c r="BM51700" s="1025"/>
      <c r="BO51700" s="43"/>
    </row>
    <row r="51701" spans="65:67" ht="18.75" customHeight="1">
      <c r="BM51701" s="1025"/>
      <c r="BO51701" s="43"/>
    </row>
    <row r="51702" spans="65:67" ht="18.75" customHeight="1">
      <c r="BM51702" s="1025"/>
      <c r="BO51702" s="43"/>
    </row>
    <row r="51703" spans="65:67" ht="18.75" customHeight="1">
      <c r="BM51703" s="1025"/>
      <c r="BO51703" s="43"/>
    </row>
    <row r="51704" spans="65:67" ht="18.75" customHeight="1">
      <c r="BM51704" s="1025"/>
      <c r="BO51704" s="43"/>
    </row>
    <row r="51705" spans="65:67" ht="18.75" customHeight="1">
      <c r="BM51705" s="1025"/>
      <c r="BO51705" s="43"/>
    </row>
    <row r="51706" spans="65:67" ht="18.75" customHeight="1">
      <c r="BM51706" s="1025"/>
      <c r="BO51706" s="43"/>
    </row>
    <row r="51707" spans="65:67" ht="18.75" customHeight="1">
      <c r="BM51707" s="1025"/>
      <c r="BO51707" s="43"/>
    </row>
    <row r="51708" spans="65:67" ht="18.75" customHeight="1">
      <c r="BM51708" s="1025"/>
      <c r="BO51708" s="43"/>
    </row>
    <row r="51709" spans="65:67" ht="18.75" customHeight="1">
      <c r="BM51709" s="1025"/>
      <c r="BO51709" s="43"/>
    </row>
    <row r="51710" spans="65:67" ht="18.75" customHeight="1">
      <c r="BM51710" s="1025"/>
      <c r="BO51710" s="43"/>
    </row>
    <row r="51711" spans="65:67" ht="18.75" customHeight="1">
      <c r="BM51711" s="1025"/>
      <c r="BO51711" s="43"/>
    </row>
    <row r="51712" spans="65:67" ht="18.75" customHeight="1">
      <c r="BM51712" s="1025"/>
      <c r="BO51712" s="43"/>
    </row>
    <row r="51713" spans="65:67" ht="18.75" customHeight="1">
      <c r="BM51713" s="1025"/>
      <c r="BO51713" s="43"/>
    </row>
    <row r="51714" spans="65:67" ht="18.75" customHeight="1">
      <c r="BM51714" s="1025"/>
      <c r="BO51714" s="43"/>
    </row>
    <row r="51715" spans="65:67" ht="18.75" customHeight="1">
      <c r="BM51715" s="1025"/>
      <c r="BO51715" s="43"/>
    </row>
    <row r="51716" spans="65:67" ht="18.75" customHeight="1">
      <c r="BM51716" s="1025"/>
      <c r="BO51716" s="43"/>
    </row>
    <row r="51717" spans="65:67" ht="18.75" customHeight="1">
      <c r="BM51717" s="1025"/>
      <c r="BO51717" s="43"/>
    </row>
    <row r="51718" spans="65:67" ht="18.75" customHeight="1">
      <c r="BM51718" s="1025"/>
      <c r="BO51718" s="43"/>
    </row>
    <row r="51719" spans="65:67" ht="18.75" customHeight="1">
      <c r="BM51719" s="1025"/>
      <c r="BO51719" s="43"/>
    </row>
    <row r="51720" spans="65:67" ht="18.75" customHeight="1">
      <c r="BM51720" s="1025"/>
      <c r="BO51720" s="43"/>
    </row>
    <row r="51721" spans="65:67" ht="18.75" customHeight="1">
      <c r="BM51721" s="1025"/>
      <c r="BO51721" s="43"/>
    </row>
    <row r="51722" spans="65:67" ht="18.75" customHeight="1">
      <c r="BM51722" s="1025"/>
      <c r="BO51722" s="43"/>
    </row>
    <row r="51723" spans="65:67" ht="18.75" customHeight="1">
      <c r="BM51723" s="1025"/>
      <c r="BO51723" s="43"/>
    </row>
    <row r="51724" spans="65:67" ht="18.75" customHeight="1">
      <c r="BM51724" s="1025"/>
      <c r="BO51724" s="43"/>
    </row>
    <row r="51725" spans="65:67" ht="18.75" customHeight="1">
      <c r="BM51725" s="1025"/>
      <c r="BO51725" s="43"/>
    </row>
    <row r="51726" spans="65:67" ht="18.75" customHeight="1">
      <c r="BM51726" s="1025"/>
      <c r="BO51726" s="43"/>
    </row>
    <row r="51727" spans="65:67" ht="18.75" customHeight="1">
      <c r="BM51727" s="1025"/>
      <c r="BO51727" s="43"/>
    </row>
    <row r="51728" spans="65:67" ht="18.75" customHeight="1">
      <c r="BM51728" s="1025"/>
      <c r="BO51728" s="43"/>
    </row>
    <row r="51729" spans="65:67" ht="18.75" customHeight="1">
      <c r="BM51729" s="1025"/>
      <c r="BO51729" s="43"/>
    </row>
    <row r="51730" spans="65:67" ht="18.75" customHeight="1">
      <c r="BM51730" s="1025"/>
      <c r="BO51730" s="43"/>
    </row>
    <row r="51731" spans="65:67" ht="18.75" customHeight="1">
      <c r="BM51731" s="1025"/>
      <c r="BO51731" s="43"/>
    </row>
    <row r="51732" spans="65:67" ht="18.75" customHeight="1">
      <c r="BM51732" s="1025"/>
      <c r="BO51732" s="43"/>
    </row>
    <row r="51733" spans="65:67" ht="18.75" customHeight="1">
      <c r="BM51733" s="1025"/>
      <c r="BO51733" s="43"/>
    </row>
    <row r="51734" spans="65:67" ht="18.75" customHeight="1">
      <c r="BM51734" s="1025"/>
      <c r="BO51734" s="43"/>
    </row>
    <row r="51735" spans="65:67" ht="18.75" customHeight="1">
      <c r="BM51735" s="1025"/>
      <c r="BO51735" s="43"/>
    </row>
    <row r="51736" spans="65:67" ht="18.75" customHeight="1">
      <c r="BM51736" s="1025"/>
      <c r="BO51736" s="43"/>
    </row>
    <row r="51737" spans="65:67" ht="18.75" customHeight="1">
      <c r="BM51737" s="1025"/>
      <c r="BO51737" s="43"/>
    </row>
    <row r="51738" spans="65:67" ht="18.75" customHeight="1">
      <c r="BM51738" s="1025"/>
      <c r="BO51738" s="43"/>
    </row>
    <row r="51739" spans="65:67" ht="18.75" customHeight="1">
      <c r="BM51739" s="1025"/>
      <c r="BO51739" s="43"/>
    </row>
    <row r="51740" spans="65:67" ht="18.75" customHeight="1">
      <c r="BM51740" s="1025"/>
      <c r="BO51740" s="43"/>
    </row>
    <row r="51741" spans="65:67" ht="18.75" customHeight="1">
      <c r="BM51741" s="1025"/>
      <c r="BO51741" s="43"/>
    </row>
    <row r="51742" spans="65:67" ht="18.75" customHeight="1">
      <c r="BM51742" s="1025"/>
      <c r="BO51742" s="43"/>
    </row>
    <row r="51743" spans="65:67" ht="18.75" customHeight="1">
      <c r="BM51743" s="1025"/>
      <c r="BO51743" s="43"/>
    </row>
    <row r="51744" spans="65:67" ht="18.75" customHeight="1">
      <c r="BM51744" s="1025"/>
      <c r="BO51744" s="43"/>
    </row>
    <row r="51745" spans="65:67" ht="18.75" customHeight="1">
      <c r="BM51745" s="1025"/>
      <c r="BO51745" s="43"/>
    </row>
    <row r="51746" spans="65:67" ht="18.75" customHeight="1">
      <c r="BM51746" s="1025"/>
      <c r="BO51746" s="43"/>
    </row>
    <row r="51747" spans="65:67" ht="18.75" customHeight="1">
      <c r="BM51747" s="1025"/>
      <c r="BO51747" s="43"/>
    </row>
    <row r="51748" spans="65:67" ht="18.75" customHeight="1">
      <c r="BM51748" s="1025"/>
      <c r="BO51748" s="43"/>
    </row>
    <row r="51749" spans="65:67" ht="18.75" customHeight="1">
      <c r="BM51749" s="1025"/>
      <c r="BO51749" s="43"/>
    </row>
    <row r="51750" spans="65:67" ht="18.75" customHeight="1">
      <c r="BM51750" s="1025"/>
      <c r="BO51750" s="43"/>
    </row>
    <row r="51751" spans="65:67" ht="18.75" customHeight="1">
      <c r="BM51751" s="1025"/>
      <c r="BO51751" s="43"/>
    </row>
    <row r="51752" spans="65:67" ht="18.75" customHeight="1">
      <c r="BM51752" s="1025"/>
      <c r="BO51752" s="43"/>
    </row>
    <row r="51753" spans="65:67" ht="18.75" customHeight="1">
      <c r="BM51753" s="1025"/>
      <c r="BO51753" s="43"/>
    </row>
    <row r="51754" spans="65:67" ht="18.75" customHeight="1">
      <c r="BM51754" s="1025"/>
      <c r="BO51754" s="43"/>
    </row>
    <row r="51755" spans="65:67" ht="18.75" customHeight="1">
      <c r="BM51755" s="1025"/>
      <c r="BO51755" s="43"/>
    </row>
    <row r="51756" spans="65:67" ht="18.75" customHeight="1">
      <c r="BM51756" s="1025"/>
      <c r="BO51756" s="43"/>
    </row>
    <row r="51757" spans="65:67" ht="18.75" customHeight="1">
      <c r="BM51757" s="1025"/>
      <c r="BO51757" s="43"/>
    </row>
    <row r="51758" spans="65:67" ht="18.75" customHeight="1">
      <c r="BM51758" s="1025"/>
      <c r="BO51758" s="43"/>
    </row>
    <row r="51759" spans="65:67" ht="18.75" customHeight="1">
      <c r="BM51759" s="1025"/>
      <c r="BO51759" s="43"/>
    </row>
    <row r="51760" spans="65:67" ht="18.75" customHeight="1">
      <c r="BM51760" s="1025"/>
      <c r="BO51760" s="43"/>
    </row>
    <row r="51761" spans="65:67" ht="18.75" customHeight="1">
      <c r="BM51761" s="1025"/>
      <c r="BO51761" s="43"/>
    </row>
    <row r="51762" spans="65:67" ht="18.75" customHeight="1">
      <c r="BM51762" s="1025"/>
      <c r="BO51762" s="43"/>
    </row>
    <row r="51763" spans="65:67" ht="18.75" customHeight="1">
      <c r="BM51763" s="1025"/>
      <c r="BO51763" s="43"/>
    </row>
    <row r="51764" spans="65:67" ht="18.75" customHeight="1">
      <c r="BM51764" s="1025"/>
      <c r="BO51764" s="43"/>
    </row>
    <row r="51765" spans="65:67" ht="18.75" customHeight="1">
      <c r="BM51765" s="1025"/>
      <c r="BO51765" s="43"/>
    </row>
    <row r="51766" spans="65:67" ht="18.75" customHeight="1">
      <c r="BM51766" s="1025"/>
      <c r="BO51766" s="43"/>
    </row>
    <row r="51767" spans="65:67" ht="18.75" customHeight="1">
      <c r="BM51767" s="1025"/>
      <c r="BO51767" s="43"/>
    </row>
    <row r="51768" spans="65:67" ht="18.75" customHeight="1">
      <c r="BM51768" s="1025"/>
      <c r="BO51768" s="43"/>
    </row>
    <row r="51769" spans="65:67" ht="18.75" customHeight="1">
      <c r="BM51769" s="1025"/>
      <c r="BO51769" s="43"/>
    </row>
    <row r="51770" spans="65:67" ht="18.75" customHeight="1">
      <c r="BM51770" s="1025"/>
      <c r="BO51770" s="43"/>
    </row>
    <row r="51771" spans="65:67" ht="18.75" customHeight="1">
      <c r="BM51771" s="1025"/>
      <c r="BO51771" s="43"/>
    </row>
    <row r="51772" spans="65:67" ht="18.75" customHeight="1">
      <c r="BM51772" s="1025"/>
      <c r="BO51772" s="43"/>
    </row>
    <row r="51773" spans="65:67" ht="18.75" customHeight="1">
      <c r="BM51773" s="1025"/>
      <c r="BO51773" s="43"/>
    </row>
    <row r="51774" spans="65:67" ht="18.75" customHeight="1">
      <c r="BM51774" s="1025"/>
      <c r="BO51774" s="43"/>
    </row>
    <row r="51775" spans="65:67" ht="18.75" customHeight="1">
      <c r="BM51775" s="1025"/>
      <c r="BO51775" s="43"/>
    </row>
    <row r="51776" spans="65:67" ht="18.75" customHeight="1">
      <c r="BM51776" s="1025"/>
      <c r="BO51776" s="43"/>
    </row>
    <row r="51777" spans="65:67" ht="18.75" customHeight="1">
      <c r="BM51777" s="1025"/>
      <c r="BO51777" s="43"/>
    </row>
    <row r="51778" spans="65:67" ht="18.75" customHeight="1">
      <c r="BM51778" s="1025"/>
      <c r="BO51778" s="43"/>
    </row>
    <row r="51779" spans="65:67" ht="18.75" customHeight="1">
      <c r="BM51779" s="1025"/>
      <c r="BO51779" s="43"/>
    </row>
    <row r="51780" spans="65:67" ht="18.75" customHeight="1">
      <c r="BM51780" s="1025"/>
      <c r="BO51780" s="43"/>
    </row>
    <row r="51781" spans="65:67" ht="18.75" customHeight="1">
      <c r="BM51781" s="1025"/>
      <c r="BO51781" s="43"/>
    </row>
    <row r="51782" spans="65:67" ht="18.75" customHeight="1">
      <c r="BM51782" s="1025"/>
      <c r="BO51782" s="43"/>
    </row>
    <row r="51783" spans="65:67" ht="18.75" customHeight="1">
      <c r="BM51783" s="1025"/>
      <c r="BO51783" s="43"/>
    </row>
    <row r="51784" spans="65:67" ht="18.75" customHeight="1">
      <c r="BM51784" s="1025"/>
      <c r="BO51784" s="43"/>
    </row>
    <row r="51785" spans="65:67" ht="18.75" customHeight="1">
      <c r="BM51785" s="1025"/>
      <c r="BO51785" s="43"/>
    </row>
    <row r="51786" spans="65:67" ht="18.75" customHeight="1">
      <c r="BM51786" s="1025"/>
      <c r="BO51786" s="43"/>
    </row>
    <row r="51787" spans="65:67" ht="18.75" customHeight="1">
      <c r="BM51787" s="1025"/>
      <c r="BO51787" s="43"/>
    </row>
    <row r="51788" spans="65:67" ht="18.75" customHeight="1">
      <c r="BM51788" s="1025"/>
      <c r="BO51788" s="43"/>
    </row>
    <row r="51789" spans="65:67" ht="18.75" customHeight="1">
      <c r="BM51789" s="1025"/>
      <c r="BO51789" s="43"/>
    </row>
    <row r="51790" spans="65:67" ht="18.75" customHeight="1">
      <c r="BM51790" s="1025"/>
      <c r="BO51790" s="43"/>
    </row>
    <row r="51791" spans="65:67" ht="18.75" customHeight="1">
      <c r="BM51791" s="1025"/>
      <c r="BO51791" s="43"/>
    </row>
    <row r="51792" spans="65:67" ht="18.75" customHeight="1">
      <c r="BM51792" s="1025"/>
      <c r="BO51792" s="43"/>
    </row>
    <row r="51793" spans="65:67" ht="18.75" customHeight="1">
      <c r="BM51793" s="1025"/>
      <c r="BO51793" s="43"/>
    </row>
    <row r="51794" spans="65:67" ht="18.75" customHeight="1">
      <c r="BM51794" s="1025"/>
      <c r="BO51794" s="43"/>
    </row>
    <row r="51795" spans="65:67" ht="18.75" customHeight="1">
      <c r="BM51795" s="1025"/>
      <c r="BO51795" s="43"/>
    </row>
    <row r="51796" spans="65:67" ht="18.75" customHeight="1">
      <c r="BM51796" s="1025"/>
      <c r="BO51796" s="43"/>
    </row>
    <row r="51797" spans="65:67" ht="18.75" customHeight="1">
      <c r="BM51797" s="1025"/>
      <c r="BO51797" s="43"/>
    </row>
    <row r="51798" spans="65:67" ht="18.75" customHeight="1">
      <c r="BM51798" s="1025"/>
      <c r="BO51798" s="43"/>
    </row>
    <row r="51799" spans="65:67" ht="18.75" customHeight="1">
      <c r="BM51799" s="1025"/>
      <c r="BO51799" s="43"/>
    </row>
    <row r="51800" spans="65:67" ht="18.75" customHeight="1">
      <c r="BM51800" s="1025"/>
      <c r="BO51800" s="43"/>
    </row>
    <row r="51801" spans="65:67" ht="18.75" customHeight="1">
      <c r="BM51801" s="1025"/>
      <c r="BO51801" s="43"/>
    </row>
    <row r="51802" spans="65:67" ht="18.75" customHeight="1">
      <c r="BM51802" s="1025"/>
      <c r="BO51802" s="43"/>
    </row>
    <row r="51803" spans="65:67" ht="18.75" customHeight="1">
      <c r="BM51803" s="1025"/>
      <c r="BO51803" s="43"/>
    </row>
    <row r="51804" spans="65:67" ht="18.75" customHeight="1">
      <c r="BM51804" s="1025"/>
      <c r="BO51804" s="43"/>
    </row>
    <row r="51805" spans="65:67" ht="18.75" customHeight="1">
      <c r="BM51805" s="1025"/>
      <c r="BO51805" s="43"/>
    </row>
    <row r="51806" spans="65:67" ht="18.75" customHeight="1">
      <c r="BM51806" s="1025"/>
      <c r="BO51806" s="43"/>
    </row>
    <row r="51807" spans="65:67" ht="18.75" customHeight="1">
      <c r="BM51807" s="1025"/>
      <c r="BO51807" s="43"/>
    </row>
    <row r="51808" spans="65:67" ht="18.75" customHeight="1">
      <c r="BM51808" s="1025"/>
      <c r="BO51808" s="43"/>
    </row>
    <row r="51809" spans="65:67" ht="18.75" customHeight="1">
      <c r="BM51809" s="1025"/>
      <c r="BO51809" s="43"/>
    </row>
    <row r="51810" spans="65:67" ht="18.75" customHeight="1">
      <c r="BM51810" s="1025"/>
      <c r="BO51810" s="43"/>
    </row>
    <row r="51811" spans="65:67" ht="18.75" customHeight="1">
      <c r="BM51811" s="1025"/>
      <c r="BO51811" s="43"/>
    </row>
    <row r="51812" spans="65:67" ht="18.75" customHeight="1">
      <c r="BM51812" s="1025"/>
      <c r="BO51812" s="43"/>
    </row>
    <row r="51813" spans="65:67" ht="18.75" customHeight="1">
      <c r="BM51813" s="1025"/>
      <c r="BO51813" s="43"/>
    </row>
    <row r="51814" spans="65:67" ht="18.75" customHeight="1">
      <c r="BM51814" s="1025"/>
      <c r="BO51814" s="43"/>
    </row>
    <row r="51815" spans="65:67" ht="18.75" customHeight="1">
      <c r="BM51815" s="1025"/>
      <c r="BO51815" s="43"/>
    </row>
    <row r="51816" spans="65:67" ht="18.75" customHeight="1">
      <c r="BM51816" s="1025"/>
      <c r="BO51816" s="43"/>
    </row>
    <row r="51817" spans="65:67" ht="18.75" customHeight="1">
      <c r="BM51817" s="1025"/>
      <c r="BO51817" s="43"/>
    </row>
    <row r="51818" spans="65:67" ht="18.75" customHeight="1">
      <c r="BM51818" s="1025"/>
      <c r="BO51818" s="43"/>
    </row>
    <row r="51819" spans="65:67" ht="18.75" customHeight="1">
      <c r="BM51819" s="1025"/>
      <c r="BO51819" s="43"/>
    </row>
    <row r="51820" spans="65:67" ht="18.75" customHeight="1">
      <c r="BM51820" s="1025"/>
      <c r="BO51820" s="43"/>
    </row>
    <row r="51821" spans="65:67" ht="18.75" customHeight="1">
      <c r="BM51821" s="1025"/>
      <c r="BO51821" s="43"/>
    </row>
    <row r="51822" spans="65:67" ht="18.75" customHeight="1">
      <c r="BM51822" s="1025"/>
      <c r="BO51822" s="43"/>
    </row>
    <row r="51823" spans="65:67" ht="18.75" customHeight="1">
      <c r="BM51823" s="1025"/>
      <c r="BO51823" s="43"/>
    </row>
    <row r="51824" spans="65:67" ht="18.75" customHeight="1">
      <c r="BM51824" s="1025"/>
      <c r="BO51824" s="43"/>
    </row>
    <row r="51825" spans="65:67" ht="18.75" customHeight="1">
      <c r="BM51825" s="1025"/>
      <c r="BO51825" s="43"/>
    </row>
    <row r="51826" spans="65:67" ht="18.75" customHeight="1">
      <c r="BM51826" s="1025"/>
      <c r="BO51826" s="43"/>
    </row>
    <row r="51827" spans="65:67" ht="18.75" customHeight="1">
      <c r="BM51827" s="1025"/>
      <c r="BO51827" s="43"/>
    </row>
    <row r="51828" spans="65:67" ht="18.75" customHeight="1">
      <c r="BM51828" s="1025"/>
      <c r="BO51828" s="43"/>
    </row>
    <row r="51829" spans="65:67" ht="18.75" customHeight="1">
      <c r="BM51829" s="1025"/>
      <c r="BO51829" s="43"/>
    </row>
    <row r="51830" spans="65:67" ht="18.75" customHeight="1">
      <c r="BM51830" s="1025"/>
      <c r="BO51830" s="43"/>
    </row>
    <row r="51831" spans="65:67" ht="18.75" customHeight="1">
      <c r="BM51831" s="1025"/>
      <c r="BO51831" s="43"/>
    </row>
    <row r="51832" spans="65:67" ht="18.75" customHeight="1">
      <c r="BM51832" s="1025"/>
      <c r="BO51832" s="43"/>
    </row>
    <row r="51833" spans="65:67" ht="18.75" customHeight="1">
      <c r="BM51833" s="1025"/>
      <c r="BO51833" s="43"/>
    </row>
    <row r="51834" spans="65:67" ht="18.75" customHeight="1">
      <c r="BM51834" s="1025"/>
      <c r="BO51834" s="43"/>
    </row>
    <row r="51835" spans="65:67" ht="18.75" customHeight="1">
      <c r="BM51835" s="1025"/>
      <c r="BO51835" s="43"/>
    </row>
    <row r="51836" spans="65:67" ht="18.75" customHeight="1">
      <c r="BM51836" s="1025"/>
      <c r="BO51836" s="43"/>
    </row>
    <row r="51837" spans="65:67" ht="18.75" customHeight="1">
      <c r="BM51837" s="1025"/>
      <c r="BO51837" s="43"/>
    </row>
    <row r="51838" spans="65:67" ht="18.75" customHeight="1">
      <c r="BM51838" s="1025"/>
      <c r="BO51838" s="43"/>
    </row>
    <row r="51839" spans="65:67" ht="18.75" customHeight="1">
      <c r="BM51839" s="1025"/>
      <c r="BO51839" s="43"/>
    </row>
    <row r="51840" spans="65:67" ht="18.75" customHeight="1">
      <c r="BM51840" s="1025"/>
      <c r="BO51840" s="43"/>
    </row>
    <row r="51841" spans="65:67" ht="18.75" customHeight="1">
      <c r="BM51841" s="1025"/>
      <c r="BO51841" s="43"/>
    </row>
    <row r="51842" spans="65:67" ht="18.75" customHeight="1">
      <c r="BM51842" s="1025"/>
      <c r="BO51842" s="43"/>
    </row>
    <row r="51843" spans="65:67" ht="18.75" customHeight="1">
      <c r="BM51843" s="1025"/>
      <c r="BO51843" s="43"/>
    </row>
    <row r="51844" spans="65:67" ht="18.75" customHeight="1">
      <c r="BM51844" s="1025"/>
      <c r="BO51844" s="43"/>
    </row>
    <row r="51845" spans="65:67" ht="18.75" customHeight="1">
      <c r="BM51845" s="1025"/>
      <c r="BO51845" s="43"/>
    </row>
    <row r="51846" spans="65:67" ht="18.75" customHeight="1">
      <c r="BM51846" s="1025"/>
      <c r="BO51846" s="43"/>
    </row>
    <row r="51847" spans="65:67" ht="18.75" customHeight="1">
      <c r="BM51847" s="1025"/>
      <c r="BO51847" s="43"/>
    </row>
    <row r="51848" spans="65:67" ht="18.75" customHeight="1">
      <c r="BM51848" s="1025"/>
      <c r="BO51848" s="43"/>
    </row>
    <row r="51849" spans="65:67" ht="18.75" customHeight="1">
      <c r="BM51849" s="1025"/>
      <c r="BO51849" s="43"/>
    </row>
    <row r="51850" spans="65:67" ht="18.75" customHeight="1">
      <c r="BM51850" s="1025"/>
      <c r="BO51850" s="43"/>
    </row>
    <row r="51851" spans="65:67" ht="18.75" customHeight="1">
      <c r="BM51851" s="1025"/>
      <c r="BO51851" s="43"/>
    </row>
    <row r="51852" spans="65:67" ht="18.75" customHeight="1">
      <c r="BM51852" s="1025"/>
      <c r="BO51852" s="43"/>
    </row>
    <row r="51853" spans="65:67" ht="18.75" customHeight="1">
      <c r="BM51853" s="1025"/>
      <c r="BO51853" s="43"/>
    </row>
    <row r="51854" spans="65:67" ht="18.75" customHeight="1">
      <c r="BM51854" s="1025"/>
      <c r="BO51854" s="43"/>
    </row>
    <row r="51855" spans="65:67" ht="18.75" customHeight="1">
      <c r="BM51855" s="1025"/>
      <c r="BO51855" s="43"/>
    </row>
    <row r="51856" spans="65:67" ht="18.75" customHeight="1">
      <c r="BM51856" s="1025"/>
      <c r="BO51856" s="43"/>
    </row>
    <row r="51857" spans="65:67" ht="18.75" customHeight="1">
      <c r="BM51857" s="1025"/>
      <c r="BO51857" s="43"/>
    </row>
    <row r="51858" spans="65:67" ht="18.75" customHeight="1">
      <c r="BM51858" s="1025"/>
      <c r="BO51858" s="43"/>
    </row>
    <row r="51859" spans="65:67" ht="18.75" customHeight="1">
      <c r="BM51859" s="1025"/>
      <c r="BO51859" s="43"/>
    </row>
    <row r="51860" spans="65:67" ht="18.75" customHeight="1">
      <c r="BM51860" s="1025"/>
      <c r="BO51860" s="43"/>
    </row>
    <row r="51861" spans="65:67" ht="18.75" customHeight="1">
      <c r="BM51861" s="1025"/>
      <c r="BO51861" s="43"/>
    </row>
    <row r="51862" spans="65:67" ht="18.75" customHeight="1">
      <c r="BM51862" s="1025"/>
      <c r="BO51862" s="43"/>
    </row>
    <row r="51863" spans="65:67" ht="18.75" customHeight="1">
      <c r="BM51863" s="1025"/>
      <c r="BO51863" s="43"/>
    </row>
    <row r="51864" spans="65:67" ht="18.75" customHeight="1">
      <c r="BM51864" s="1025"/>
      <c r="BO51864" s="43"/>
    </row>
    <row r="51865" spans="65:67" ht="18.75" customHeight="1">
      <c r="BM51865" s="1025"/>
      <c r="BO51865" s="43"/>
    </row>
    <row r="51866" spans="65:67" ht="18.75" customHeight="1">
      <c r="BM51866" s="1025"/>
      <c r="BO51866" s="43"/>
    </row>
    <row r="51867" spans="65:67" ht="18.75" customHeight="1">
      <c r="BM51867" s="1025"/>
      <c r="BO51867" s="43"/>
    </row>
    <row r="51868" spans="65:67" ht="18.75" customHeight="1">
      <c r="BM51868" s="1025"/>
      <c r="BO51868" s="43"/>
    </row>
    <row r="51869" spans="65:67" ht="18.75" customHeight="1">
      <c r="BM51869" s="1025"/>
      <c r="BO51869" s="43"/>
    </row>
    <row r="51870" spans="65:67" ht="18.75" customHeight="1">
      <c r="BM51870" s="1025"/>
      <c r="BO51870" s="43"/>
    </row>
    <row r="51871" spans="65:67" ht="18.75" customHeight="1">
      <c r="BM51871" s="1025"/>
      <c r="BO51871" s="43"/>
    </row>
    <row r="51872" spans="65:67" ht="18.75" customHeight="1">
      <c r="BM51872" s="1025"/>
      <c r="BO51872" s="43"/>
    </row>
    <row r="51873" spans="65:67" ht="18.75" customHeight="1">
      <c r="BM51873" s="1025"/>
      <c r="BO51873" s="43"/>
    </row>
    <row r="51874" spans="65:67" ht="18.75" customHeight="1">
      <c r="BM51874" s="1025"/>
      <c r="BO51874" s="43"/>
    </row>
    <row r="51875" spans="65:67" ht="18.75" customHeight="1">
      <c r="BM51875" s="1025"/>
      <c r="BO51875" s="43"/>
    </row>
    <row r="51876" spans="65:67" ht="18.75" customHeight="1">
      <c r="BM51876" s="1025"/>
      <c r="BO51876" s="43"/>
    </row>
    <row r="51877" spans="65:67" ht="18.75" customHeight="1">
      <c r="BM51877" s="1025"/>
      <c r="BO51877" s="43"/>
    </row>
    <row r="51878" spans="65:67" ht="18.75" customHeight="1">
      <c r="BM51878" s="1025"/>
      <c r="BO51878" s="43"/>
    </row>
    <row r="51879" spans="65:67" ht="18.75" customHeight="1">
      <c r="BM51879" s="1025"/>
      <c r="BO51879" s="43"/>
    </row>
    <row r="51880" spans="65:67" ht="18.75" customHeight="1">
      <c r="BM51880" s="1025"/>
      <c r="BO51880" s="43"/>
    </row>
    <row r="51881" spans="65:67" ht="18.75" customHeight="1">
      <c r="BM51881" s="1025"/>
      <c r="BO51881" s="43"/>
    </row>
    <row r="51882" spans="65:67" ht="18.75" customHeight="1">
      <c r="BM51882" s="1025"/>
      <c r="BO51882" s="43"/>
    </row>
    <row r="51883" spans="65:67" ht="18.75" customHeight="1">
      <c r="BM51883" s="1025"/>
      <c r="BO51883" s="43"/>
    </row>
    <row r="51884" spans="65:67" ht="18.75" customHeight="1">
      <c r="BM51884" s="1025"/>
      <c r="BO51884" s="43"/>
    </row>
    <row r="51885" spans="65:67" ht="18.75" customHeight="1">
      <c r="BM51885" s="1025"/>
      <c r="BO51885" s="43"/>
    </row>
    <row r="51886" spans="65:67" ht="18.75" customHeight="1">
      <c r="BM51886" s="1025"/>
      <c r="BO51886" s="43"/>
    </row>
    <row r="51887" spans="65:67" ht="18.75" customHeight="1">
      <c r="BM51887" s="1025"/>
      <c r="BO51887" s="43"/>
    </row>
    <row r="51888" spans="65:67" ht="18.75" customHeight="1">
      <c r="BM51888" s="1025"/>
      <c r="BO51888" s="43"/>
    </row>
    <row r="51889" spans="65:67" ht="18.75" customHeight="1">
      <c r="BM51889" s="1025"/>
      <c r="BO51889" s="43"/>
    </row>
    <row r="51890" spans="65:67" ht="18.75" customHeight="1">
      <c r="BM51890" s="1025"/>
      <c r="BO51890" s="43"/>
    </row>
    <row r="51891" spans="65:67" ht="18.75" customHeight="1">
      <c r="BM51891" s="1025"/>
      <c r="BO51891" s="43"/>
    </row>
    <row r="51892" spans="65:67" ht="18.75" customHeight="1">
      <c r="BM51892" s="1025"/>
      <c r="BO51892" s="43"/>
    </row>
    <row r="51893" spans="65:67" ht="18.75" customHeight="1">
      <c r="BM51893" s="1025"/>
      <c r="BO51893" s="43"/>
    </row>
    <row r="51894" spans="65:67" ht="18.75" customHeight="1">
      <c r="BM51894" s="1025"/>
      <c r="BO51894" s="43"/>
    </row>
    <row r="51895" spans="65:67" ht="18.75" customHeight="1">
      <c r="BM51895" s="1025"/>
      <c r="BO51895" s="43"/>
    </row>
    <row r="51896" spans="65:67" ht="18.75" customHeight="1">
      <c r="BM51896" s="1025"/>
      <c r="BO51896" s="43"/>
    </row>
    <row r="51897" spans="65:67" ht="18.75" customHeight="1">
      <c r="BM51897" s="1025"/>
      <c r="BO51897" s="43"/>
    </row>
    <row r="51898" spans="65:67" ht="18.75" customHeight="1">
      <c r="BM51898" s="1025"/>
      <c r="BO51898" s="43"/>
    </row>
    <row r="51899" spans="65:67" ht="18.75" customHeight="1">
      <c r="BM51899" s="1025"/>
      <c r="BO51899" s="43"/>
    </row>
    <row r="51900" spans="65:67" ht="18.75" customHeight="1">
      <c r="BM51900" s="1025"/>
      <c r="BO51900" s="43"/>
    </row>
    <row r="51901" spans="65:67" ht="18.75" customHeight="1">
      <c r="BM51901" s="1025"/>
      <c r="BO51901" s="43"/>
    </row>
    <row r="51902" spans="65:67" ht="18.75" customHeight="1">
      <c r="BM51902" s="1025"/>
      <c r="BO51902" s="43"/>
    </row>
    <row r="51903" spans="65:67" ht="18.75" customHeight="1">
      <c r="BM51903" s="1025"/>
      <c r="BO51903" s="43"/>
    </row>
    <row r="51904" spans="65:67" ht="18.75" customHeight="1">
      <c r="BM51904" s="1025"/>
      <c r="BO51904" s="43"/>
    </row>
    <row r="51905" spans="65:67" ht="18.75" customHeight="1">
      <c r="BM51905" s="1025"/>
      <c r="BO51905" s="43"/>
    </row>
    <row r="51906" spans="65:67" ht="18.75" customHeight="1">
      <c r="BM51906" s="1025"/>
      <c r="BO51906" s="43"/>
    </row>
    <row r="51907" spans="65:67" ht="18.75" customHeight="1">
      <c r="BM51907" s="1025"/>
      <c r="BO51907" s="43"/>
    </row>
    <row r="51908" spans="65:67" ht="18.75" customHeight="1">
      <c r="BM51908" s="1025"/>
      <c r="BO51908" s="43"/>
    </row>
    <row r="51909" spans="65:67" ht="18.75" customHeight="1">
      <c r="BM51909" s="1025"/>
      <c r="BO51909" s="43"/>
    </row>
    <row r="51910" spans="65:67" ht="18.75" customHeight="1">
      <c r="BM51910" s="1025"/>
      <c r="BO51910" s="43"/>
    </row>
    <row r="51911" spans="65:67" ht="18.75" customHeight="1">
      <c r="BM51911" s="1025"/>
      <c r="BO51911" s="43"/>
    </row>
    <row r="51912" spans="65:67" ht="18.75" customHeight="1">
      <c r="BM51912" s="1025"/>
      <c r="BO51912" s="43"/>
    </row>
    <row r="51913" spans="65:67" ht="18.75" customHeight="1">
      <c r="BM51913" s="1025"/>
      <c r="BO51913" s="43"/>
    </row>
    <row r="51914" spans="65:67" ht="18.75" customHeight="1">
      <c r="BM51914" s="1025"/>
      <c r="BO51914" s="43"/>
    </row>
    <row r="51915" spans="65:67" ht="18.75" customHeight="1">
      <c r="BM51915" s="1025"/>
      <c r="BO51915" s="43"/>
    </row>
    <row r="51916" spans="65:67" ht="18.75" customHeight="1">
      <c r="BM51916" s="1025"/>
      <c r="BO51916" s="43"/>
    </row>
    <row r="51917" spans="65:67" ht="18.75" customHeight="1">
      <c r="BM51917" s="1025"/>
      <c r="BO51917" s="43"/>
    </row>
    <row r="51918" spans="65:67" ht="18.75" customHeight="1">
      <c r="BM51918" s="1025"/>
      <c r="BO51918" s="43"/>
    </row>
    <row r="51919" spans="65:67" ht="18.75" customHeight="1">
      <c r="BM51919" s="1025"/>
      <c r="BO51919" s="43"/>
    </row>
    <row r="51920" spans="65:67" ht="18.75" customHeight="1">
      <c r="BM51920" s="1025"/>
      <c r="BO51920" s="43"/>
    </row>
    <row r="51921" spans="65:67" ht="18.75" customHeight="1">
      <c r="BM51921" s="1025"/>
      <c r="BO51921" s="43"/>
    </row>
    <row r="51922" spans="65:67" ht="18.75" customHeight="1">
      <c r="BM51922" s="1025"/>
      <c r="BO51922" s="43"/>
    </row>
    <row r="51923" spans="65:67" ht="18.75" customHeight="1">
      <c r="BM51923" s="1025"/>
      <c r="BO51923" s="43"/>
    </row>
    <row r="51924" spans="65:67" ht="18.75" customHeight="1">
      <c r="BM51924" s="1025"/>
      <c r="BO51924" s="43"/>
    </row>
    <row r="51925" spans="65:67" ht="18.75" customHeight="1">
      <c r="BM51925" s="1025"/>
      <c r="BO51925" s="43"/>
    </row>
    <row r="51926" spans="65:67" ht="18.75" customHeight="1">
      <c r="BM51926" s="1025"/>
      <c r="BO51926" s="43"/>
    </row>
    <row r="51927" spans="65:67" ht="18.75" customHeight="1">
      <c r="BM51927" s="1025"/>
      <c r="BO51927" s="43"/>
    </row>
    <row r="51928" spans="65:67" ht="18.75" customHeight="1">
      <c r="BM51928" s="1025"/>
      <c r="BO51928" s="43"/>
    </row>
    <row r="51929" spans="65:67" ht="18.75" customHeight="1">
      <c r="BM51929" s="1025"/>
      <c r="BO51929" s="43"/>
    </row>
    <row r="51930" spans="65:67" ht="18.75" customHeight="1">
      <c r="BM51930" s="1025"/>
      <c r="BO51930" s="43"/>
    </row>
    <row r="51931" spans="65:67" ht="18.75" customHeight="1">
      <c r="BM51931" s="1025"/>
      <c r="BO51931" s="43"/>
    </row>
    <row r="51932" spans="65:67" ht="18.75" customHeight="1">
      <c r="BM51932" s="1025"/>
      <c r="BO51932" s="43"/>
    </row>
    <row r="51933" spans="65:67" ht="18.75" customHeight="1">
      <c r="BM51933" s="1025"/>
      <c r="BO51933" s="43"/>
    </row>
    <row r="51934" spans="65:67" ht="18.75" customHeight="1">
      <c r="BM51934" s="1025"/>
      <c r="BO51934" s="43"/>
    </row>
    <row r="51935" spans="65:67" ht="18.75" customHeight="1">
      <c r="BM51935" s="1025"/>
      <c r="BO51935" s="43"/>
    </row>
    <row r="51936" spans="65:67" ht="18.75" customHeight="1">
      <c r="BM51936" s="1025"/>
      <c r="BO51936" s="43"/>
    </row>
    <row r="51937" spans="65:67" ht="18.75" customHeight="1">
      <c r="BM51937" s="1025"/>
      <c r="BO51937" s="43"/>
    </row>
    <row r="51938" spans="65:67" ht="18.75" customHeight="1">
      <c r="BM51938" s="1025"/>
      <c r="BO51938" s="43"/>
    </row>
    <row r="51939" spans="65:67" ht="18.75" customHeight="1">
      <c r="BM51939" s="1025"/>
      <c r="BO51939" s="43"/>
    </row>
    <row r="51940" spans="65:67" ht="18.75" customHeight="1">
      <c r="BM51940" s="1025"/>
      <c r="BO51940" s="43"/>
    </row>
    <row r="51941" spans="65:67" ht="18.75" customHeight="1">
      <c r="BM51941" s="1025"/>
      <c r="BO51941" s="43"/>
    </row>
    <row r="51942" spans="65:67" ht="18.75" customHeight="1">
      <c r="BM51942" s="1025"/>
      <c r="BO51942" s="43"/>
    </row>
    <row r="51943" spans="65:67" ht="18.75" customHeight="1">
      <c r="BM51943" s="1025"/>
      <c r="BO51943" s="43"/>
    </row>
    <row r="51944" spans="65:67" ht="18.75" customHeight="1">
      <c r="BM51944" s="1025"/>
      <c r="BO51944" s="43"/>
    </row>
    <row r="51945" spans="65:67" ht="18.75" customHeight="1">
      <c r="BM51945" s="1025"/>
      <c r="BO51945" s="43"/>
    </row>
    <row r="51946" spans="65:67" ht="18.75" customHeight="1">
      <c r="BM51946" s="1025"/>
      <c r="BO51946" s="43"/>
    </row>
    <row r="51947" spans="65:67" ht="18.75" customHeight="1">
      <c r="BM51947" s="1025"/>
      <c r="BO51947" s="43"/>
    </row>
    <row r="51948" spans="65:67" ht="18.75" customHeight="1">
      <c r="BM51948" s="1025"/>
      <c r="BO51948" s="43"/>
    </row>
    <row r="51949" spans="65:67" ht="18.75" customHeight="1">
      <c r="BM51949" s="1025"/>
      <c r="BO51949" s="43"/>
    </row>
    <row r="51950" spans="65:67" ht="18.75" customHeight="1">
      <c r="BM51950" s="1025"/>
      <c r="BO51950" s="43"/>
    </row>
    <row r="51951" spans="65:67" ht="18.75" customHeight="1">
      <c r="BM51951" s="1025"/>
      <c r="BO51951" s="43"/>
    </row>
    <row r="51952" spans="65:67" ht="18.75" customHeight="1">
      <c r="BM51952" s="1025"/>
      <c r="BO51952" s="43"/>
    </row>
    <row r="51953" spans="65:67" ht="18.75" customHeight="1">
      <c r="BM51953" s="1025"/>
      <c r="BO51953" s="43"/>
    </row>
    <row r="51954" spans="65:67" ht="18.75" customHeight="1">
      <c r="BM51954" s="1025"/>
      <c r="BO51954" s="43"/>
    </row>
    <row r="51955" spans="65:67" ht="18.75" customHeight="1">
      <c r="BM51955" s="1025"/>
      <c r="BO51955" s="43"/>
    </row>
    <row r="51956" spans="65:67" ht="18.75" customHeight="1">
      <c r="BM51956" s="1025"/>
      <c r="BO51956" s="43"/>
    </row>
    <row r="51957" spans="65:67" ht="18.75" customHeight="1">
      <c r="BM51957" s="1025"/>
      <c r="BO51957" s="43"/>
    </row>
    <row r="51958" spans="65:67" ht="18.75" customHeight="1">
      <c r="BM51958" s="1025"/>
      <c r="BO51958" s="43"/>
    </row>
    <row r="51959" spans="65:67" ht="18.75" customHeight="1">
      <c r="BM51959" s="1025"/>
      <c r="BO51959" s="43"/>
    </row>
    <row r="51960" spans="65:67" ht="18.75" customHeight="1">
      <c r="BM51960" s="1025"/>
      <c r="BO51960" s="43"/>
    </row>
    <row r="51961" spans="65:67" ht="18.75" customHeight="1">
      <c r="BM51961" s="1025"/>
      <c r="BO51961" s="43"/>
    </row>
    <row r="51962" spans="65:67" ht="18.75" customHeight="1">
      <c r="BM51962" s="1025"/>
      <c r="BO51962" s="43"/>
    </row>
    <row r="51963" spans="65:67" ht="18.75" customHeight="1">
      <c r="BM51963" s="1025"/>
      <c r="BO51963" s="43"/>
    </row>
    <row r="51964" spans="65:67" ht="18.75" customHeight="1">
      <c r="BM51964" s="1025"/>
      <c r="BO51964" s="43"/>
    </row>
    <row r="51965" spans="65:67" ht="18.75" customHeight="1">
      <c r="BM51965" s="1025"/>
      <c r="BO51965" s="43"/>
    </row>
    <row r="51966" spans="65:67" ht="18.75" customHeight="1">
      <c r="BM51966" s="1025"/>
      <c r="BO51966" s="43"/>
    </row>
    <row r="51967" spans="65:67" ht="18.75" customHeight="1">
      <c r="BM51967" s="1025"/>
      <c r="BO51967" s="43"/>
    </row>
    <row r="51968" spans="65:67" ht="18.75" customHeight="1">
      <c r="BM51968" s="1025"/>
      <c r="BO51968" s="43"/>
    </row>
    <row r="51969" spans="65:67" ht="18.75" customHeight="1">
      <c r="BM51969" s="1025"/>
      <c r="BO51969" s="43"/>
    </row>
    <row r="51970" spans="65:67" ht="18.75" customHeight="1">
      <c r="BM51970" s="1025"/>
      <c r="BO51970" s="43"/>
    </row>
    <row r="51971" spans="65:67" ht="18.75" customHeight="1">
      <c r="BM51971" s="1025"/>
      <c r="BO51971" s="43"/>
    </row>
    <row r="51972" spans="65:67" ht="18.75" customHeight="1">
      <c r="BM51972" s="1025"/>
      <c r="BO51972" s="43"/>
    </row>
    <row r="51973" spans="65:67" ht="18.75" customHeight="1">
      <c r="BM51973" s="1025"/>
      <c r="BO51973" s="43"/>
    </row>
    <row r="51974" spans="65:67" ht="18.75" customHeight="1">
      <c r="BM51974" s="1025"/>
      <c r="BO51974" s="43"/>
    </row>
    <row r="51975" spans="65:67" ht="18.75" customHeight="1">
      <c r="BM51975" s="1025"/>
      <c r="BO51975" s="43"/>
    </row>
    <row r="51976" spans="65:67" ht="18.75" customHeight="1">
      <c r="BM51976" s="1025"/>
      <c r="BO51976" s="43"/>
    </row>
    <row r="51977" spans="65:67" ht="18.75" customHeight="1">
      <c r="BM51977" s="1025"/>
      <c r="BO51977" s="43"/>
    </row>
    <row r="51978" spans="65:67" ht="18.75" customHeight="1">
      <c r="BM51978" s="1025"/>
      <c r="BO51978" s="43"/>
    </row>
    <row r="51979" spans="65:67" ht="18.75" customHeight="1">
      <c r="BM51979" s="1025"/>
      <c r="BO51979" s="43"/>
    </row>
    <row r="51980" spans="65:67" ht="18.75" customHeight="1">
      <c r="BM51980" s="1025"/>
      <c r="BO51980" s="43"/>
    </row>
    <row r="51981" spans="65:67" ht="18.75" customHeight="1">
      <c r="BM51981" s="1025"/>
      <c r="BO51981" s="43"/>
    </row>
    <row r="51982" spans="65:67" ht="18.75" customHeight="1">
      <c r="BM51982" s="1025"/>
      <c r="BO51982" s="43"/>
    </row>
    <row r="51983" spans="65:67" ht="18.75" customHeight="1">
      <c r="BM51983" s="1025"/>
      <c r="BO51983" s="43"/>
    </row>
    <row r="51984" spans="65:67" ht="18.75" customHeight="1">
      <c r="BM51984" s="1025"/>
      <c r="BO51984" s="43"/>
    </row>
    <row r="51985" spans="65:67" ht="18.75" customHeight="1">
      <c r="BM51985" s="1025"/>
      <c r="BO51985" s="43"/>
    </row>
    <row r="51986" spans="65:67" ht="18.75" customHeight="1">
      <c r="BM51986" s="1025"/>
      <c r="BO51986" s="43"/>
    </row>
    <row r="51987" spans="65:67" ht="18.75" customHeight="1">
      <c r="BM51987" s="1025"/>
      <c r="BO51987" s="43"/>
    </row>
    <row r="51988" spans="65:67" ht="18.75" customHeight="1">
      <c r="BM51988" s="1025"/>
      <c r="BO51988" s="43"/>
    </row>
    <row r="51989" spans="65:67" ht="18.75" customHeight="1">
      <c r="BM51989" s="1025"/>
      <c r="BO51989" s="43"/>
    </row>
    <row r="51990" spans="65:67" ht="18.75" customHeight="1">
      <c r="BM51990" s="1025"/>
      <c r="BO51990" s="43"/>
    </row>
    <row r="51991" spans="65:67" ht="18.75" customHeight="1">
      <c r="BM51991" s="1025"/>
      <c r="BO51991" s="43"/>
    </row>
    <row r="51992" spans="65:67" ht="18.75" customHeight="1">
      <c r="BM51992" s="1025"/>
      <c r="BO51992" s="43"/>
    </row>
    <row r="51993" spans="65:67" ht="18.75" customHeight="1">
      <c r="BM51993" s="1025"/>
      <c r="BO51993" s="43"/>
    </row>
    <row r="51994" spans="65:67" ht="18.75" customHeight="1">
      <c r="BM51994" s="1025"/>
      <c r="BO51994" s="43"/>
    </row>
    <row r="51995" spans="65:67" ht="18.75" customHeight="1">
      <c r="BM51995" s="1025"/>
      <c r="BO51995" s="43"/>
    </row>
    <row r="51996" spans="65:67" ht="18.75" customHeight="1">
      <c r="BM51996" s="1025"/>
      <c r="BO51996" s="43"/>
    </row>
    <row r="51997" spans="65:67" ht="18.75" customHeight="1">
      <c r="BM51997" s="1025"/>
      <c r="BO51997" s="43"/>
    </row>
    <row r="51998" spans="65:67" ht="18.75" customHeight="1">
      <c r="BM51998" s="1025"/>
      <c r="BO51998" s="43"/>
    </row>
    <row r="51999" spans="65:67" ht="18.75" customHeight="1">
      <c r="BM51999" s="1025"/>
      <c r="BO51999" s="43"/>
    </row>
    <row r="52000" spans="65:67" ht="18.75" customHeight="1">
      <c r="BM52000" s="1025"/>
      <c r="BO52000" s="43"/>
    </row>
    <row r="52001" spans="65:67" ht="18.75" customHeight="1">
      <c r="BM52001" s="1025"/>
      <c r="BO52001" s="43"/>
    </row>
    <row r="52002" spans="65:67" ht="18.75" customHeight="1">
      <c r="BM52002" s="1025"/>
      <c r="BO52002" s="43"/>
    </row>
    <row r="52003" spans="65:67" ht="18.75" customHeight="1">
      <c r="BM52003" s="1025"/>
      <c r="BO52003" s="43"/>
    </row>
    <row r="52004" spans="65:67" ht="18.75" customHeight="1">
      <c r="BM52004" s="1025"/>
      <c r="BO52004" s="43"/>
    </row>
    <row r="52005" spans="65:67" ht="18.75" customHeight="1">
      <c r="BM52005" s="1025"/>
      <c r="BO52005" s="43"/>
    </row>
    <row r="52006" spans="65:67" ht="18.75" customHeight="1">
      <c r="BM52006" s="1025"/>
      <c r="BO52006" s="43"/>
    </row>
    <row r="52007" spans="65:67" ht="18.75" customHeight="1">
      <c r="BM52007" s="1025"/>
      <c r="BO52007" s="43"/>
    </row>
    <row r="52008" spans="65:67" ht="18.75" customHeight="1">
      <c r="BM52008" s="1025"/>
      <c r="BO52008" s="43"/>
    </row>
    <row r="52009" spans="65:67" ht="18.75" customHeight="1">
      <c r="BM52009" s="1025"/>
      <c r="BO52009" s="43"/>
    </row>
    <row r="52010" spans="65:67" ht="18.75" customHeight="1">
      <c r="BM52010" s="1025"/>
      <c r="BO52010" s="43"/>
    </row>
    <row r="52011" spans="65:67" ht="18.75" customHeight="1">
      <c r="BM52011" s="1025"/>
      <c r="BO52011" s="43"/>
    </row>
    <row r="52012" spans="65:67" ht="18.75" customHeight="1">
      <c r="BM52012" s="1025"/>
      <c r="BO52012" s="43"/>
    </row>
    <row r="52013" spans="65:67" ht="18.75" customHeight="1">
      <c r="BM52013" s="1025"/>
      <c r="BO52013" s="43"/>
    </row>
    <row r="52014" spans="65:67" ht="18.75" customHeight="1">
      <c r="BM52014" s="1025"/>
      <c r="BO52014" s="43"/>
    </row>
    <row r="52015" spans="65:67" ht="18.75" customHeight="1">
      <c r="BM52015" s="1025"/>
      <c r="BO52015" s="43"/>
    </row>
    <row r="52016" spans="65:67" ht="18.75" customHeight="1">
      <c r="BM52016" s="1025"/>
      <c r="BO52016" s="43"/>
    </row>
    <row r="52017" spans="65:67" ht="18.75" customHeight="1">
      <c r="BM52017" s="1025"/>
      <c r="BO52017" s="43"/>
    </row>
    <row r="52018" spans="65:67" ht="18.75" customHeight="1">
      <c r="BM52018" s="1025"/>
      <c r="BO52018" s="43"/>
    </row>
    <row r="52019" spans="65:67" ht="18.75" customHeight="1">
      <c r="BM52019" s="1025"/>
      <c r="BO52019" s="43"/>
    </row>
    <row r="52020" spans="65:67" ht="18.75" customHeight="1">
      <c r="BM52020" s="1025"/>
      <c r="BO52020" s="43"/>
    </row>
    <row r="52021" spans="65:67" ht="18.75" customHeight="1">
      <c r="BM52021" s="1025"/>
      <c r="BO52021" s="43"/>
    </row>
    <row r="52022" spans="65:67" ht="18.75" customHeight="1">
      <c r="BM52022" s="1025"/>
      <c r="BO52022" s="43"/>
    </row>
    <row r="52023" spans="65:67" ht="18.75" customHeight="1">
      <c r="BM52023" s="1025"/>
      <c r="BO52023" s="43"/>
    </row>
    <row r="52024" spans="65:67" ht="18.75" customHeight="1">
      <c r="BM52024" s="1025"/>
      <c r="BO52024" s="43"/>
    </row>
    <row r="52025" spans="65:67" ht="18.75" customHeight="1">
      <c r="BM52025" s="1025"/>
      <c r="BO52025" s="43"/>
    </row>
    <row r="52026" spans="65:67" ht="18.75" customHeight="1">
      <c r="BM52026" s="1025"/>
      <c r="BO52026" s="43"/>
    </row>
    <row r="52027" spans="65:67" ht="18.75" customHeight="1">
      <c r="BM52027" s="1025"/>
      <c r="BO52027" s="43"/>
    </row>
    <row r="52028" spans="65:67" ht="18.75" customHeight="1">
      <c r="BM52028" s="1025"/>
      <c r="BO52028" s="43"/>
    </row>
    <row r="52029" spans="65:67" ht="18.75" customHeight="1">
      <c r="BM52029" s="1025"/>
      <c r="BO52029" s="43"/>
    </row>
    <row r="52030" spans="65:67" ht="18.75" customHeight="1">
      <c r="BM52030" s="1025"/>
      <c r="BO52030" s="43"/>
    </row>
    <row r="52031" spans="65:67" ht="18.75" customHeight="1">
      <c r="BM52031" s="1025"/>
      <c r="BO52031" s="43"/>
    </row>
    <row r="52032" spans="65:67" ht="18.75" customHeight="1">
      <c r="BM52032" s="1025"/>
      <c r="BO52032" s="43"/>
    </row>
    <row r="52033" spans="65:67" ht="18.75" customHeight="1">
      <c r="BM52033" s="1025"/>
      <c r="BO52033" s="43"/>
    </row>
    <row r="52034" spans="65:67" ht="18.75" customHeight="1">
      <c r="BM52034" s="1025"/>
      <c r="BO52034" s="43"/>
    </row>
    <row r="52035" spans="65:67" ht="18.75" customHeight="1">
      <c r="BM52035" s="1025"/>
      <c r="BO52035" s="43"/>
    </row>
    <row r="52036" spans="65:67" ht="18.75" customHeight="1">
      <c r="BM52036" s="1025"/>
      <c r="BO52036" s="43"/>
    </row>
    <row r="52037" spans="65:67" ht="18.75" customHeight="1">
      <c r="BM52037" s="1025"/>
      <c r="BO52037" s="43"/>
    </row>
    <row r="52038" spans="65:67" ht="18.75" customHeight="1">
      <c r="BM52038" s="1025"/>
      <c r="BO52038" s="43"/>
    </row>
    <row r="52039" spans="65:67" ht="18.75" customHeight="1">
      <c r="BM52039" s="1025"/>
      <c r="BO52039" s="43"/>
    </row>
    <row r="52040" spans="65:67" ht="18.75" customHeight="1">
      <c r="BM52040" s="1025"/>
      <c r="BO52040" s="43"/>
    </row>
    <row r="52041" spans="65:67" ht="18.75" customHeight="1">
      <c r="BM52041" s="1025"/>
      <c r="BO52041" s="43"/>
    </row>
    <row r="52042" spans="65:67" ht="18.75" customHeight="1">
      <c r="BM52042" s="1025"/>
      <c r="BO52042" s="43"/>
    </row>
    <row r="52043" spans="65:67" ht="18.75" customHeight="1">
      <c r="BM52043" s="1025"/>
      <c r="BO52043" s="43"/>
    </row>
    <row r="52044" spans="65:67" ht="18.75" customHeight="1">
      <c r="BM52044" s="1025"/>
      <c r="BO52044" s="43"/>
    </row>
    <row r="52045" spans="65:67" ht="18.75" customHeight="1">
      <c r="BM52045" s="1025"/>
      <c r="BO52045" s="43"/>
    </row>
    <row r="52046" spans="65:67" ht="18.75" customHeight="1">
      <c r="BM52046" s="1025"/>
      <c r="BO52046" s="43"/>
    </row>
    <row r="52047" spans="65:67" ht="18.75" customHeight="1">
      <c r="BM52047" s="1025"/>
      <c r="BO52047" s="43"/>
    </row>
    <row r="52048" spans="65:67" ht="18.75" customHeight="1">
      <c r="BM52048" s="1025"/>
      <c r="BO52048" s="43"/>
    </row>
    <row r="52049" spans="65:67" ht="18.75" customHeight="1">
      <c r="BM52049" s="1025"/>
      <c r="BO52049" s="43"/>
    </row>
    <row r="52050" spans="65:67" ht="18.75" customHeight="1">
      <c r="BM52050" s="1025"/>
      <c r="BO52050" s="43"/>
    </row>
    <row r="52051" spans="65:67" ht="18.75" customHeight="1">
      <c r="BM52051" s="1025"/>
      <c r="BO52051" s="43"/>
    </row>
    <row r="52052" spans="65:67" ht="18.75" customHeight="1">
      <c r="BM52052" s="1025"/>
      <c r="BO52052" s="43"/>
    </row>
    <row r="52053" spans="65:67" ht="18.75" customHeight="1">
      <c r="BM52053" s="1025"/>
      <c r="BO52053" s="43"/>
    </row>
    <row r="52054" spans="65:67" ht="18.75" customHeight="1">
      <c r="BM52054" s="1025"/>
      <c r="BO52054" s="43"/>
    </row>
    <row r="52055" spans="65:67" ht="18.75" customHeight="1">
      <c r="BM52055" s="1025"/>
      <c r="BO52055" s="43"/>
    </row>
    <row r="52056" spans="65:67" ht="18.75" customHeight="1">
      <c r="BM52056" s="1025"/>
      <c r="BO52056" s="43"/>
    </row>
    <row r="52057" spans="65:67" ht="18.75" customHeight="1">
      <c r="BM52057" s="1025"/>
      <c r="BO52057" s="43"/>
    </row>
    <row r="52058" spans="65:67" ht="18.75" customHeight="1">
      <c r="BM52058" s="1025"/>
      <c r="BO52058" s="43"/>
    </row>
    <row r="52059" spans="65:67" ht="18.75" customHeight="1">
      <c r="BM52059" s="1025"/>
      <c r="BO52059" s="43"/>
    </row>
    <row r="52060" spans="65:67" ht="18.75" customHeight="1">
      <c r="BM52060" s="1025"/>
      <c r="BO52060" s="43"/>
    </row>
    <row r="52061" spans="65:67" ht="18.75" customHeight="1">
      <c r="BM52061" s="1025"/>
      <c r="BO52061" s="43"/>
    </row>
    <row r="52062" spans="65:67" ht="18.75" customHeight="1">
      <c r="BM52062" s="1025"/>
      <c r="BO52062" s="43"/>
    </row>
    <row r="52063" spans="65:67" ht="18.75" customHeight="1">
      <c r="BM52063" s="1025"/>
      <c r="BO52063" s="43"/>
    </row>
    <row r="52064" spans="65:67" ht="18.75" customHeight="1">
      <c r="BM52064" s="1025"/>
      <c r="BO52064" s="43"/>
    </row>
    <row r="52065" spans="65:67" ht="18.75" customHeight="1">
      <c r="BM52065" s="1025"/>
      <c r="BO52065" s="43"/>
    </row>
    <row r="52066" spans="65:67" ht="18.75" customHeight="1">
      <c r="BM52066" s="1025"/>
      <c r="BO52066" s="43"/>
    </row>
    <row r="52067" spans="65:67" ht="18.75" customHeight="1">
      <c r="BM52067" s="1025"/>
      <c r="BO52067" s="43"/>
    </row>
    <row r="52068" spans="65:67" ht="18.75" customHeight="1">
      <c r="BM52068" s="1025"/>
      <c r="BO52068" s="43"/>
    </row>
    <row r="52069" spans="65:67" ht="18.75" customHeight="1">
      <c r="BM52069" s="1025"/>
      <c r="BO52069" s="43"/>
    </row>
    <row r="52070" spans="65:67" ht="18.75" customHeight="1">
      <c r="BM52070" s="1025"/>
      <c r="BO52070" s="43"/>
    </row>
    <row r="52071" spans="65:67" ht="18.75" customHeight="1">
      <c r="BM52071" s="1025"/>
      <c r="BO52071" s="43"/>
    </row>
    <row r="52072" spans="65:67" ht="18.75" customHeight="1">
      <c r="BM52072" s="1025"/>
      <c r="BO52072" s="43"/>
    </row>
    <row r="52073" spans="65:67" ht="18.75" customHeight="1">
      <c r="BM52073" s="1025"/>
      <c r="BO52073" s="43"/>
    </row>
    <row r="52074" spans="65:67" ht="18.75" customHeight="1">
      <c r="BM52074" s="1025"/>
      <c r="BO52074" s="43"/>
    </row>
    <row r="52075" spans="65:67" ht="18.75" customHeight="1">
      <c r="BM52075" s="1025"/>
      <c r="BO52075" s="43"/>
    </row>
    <row r="52076" spans="65:67" ht="18.75" customHeight="1">
      <c r="BM52076" s="1025"/>
      <c r="BO52076" s="43"/>
    </row>
    <row r="52077" spans="65:67" ht="18.75" customHeight="1">
      <c r="BM52077" s="1025"/>
      <c r="BO52077" s="43"/>
    </row>
    <row r="52078" spans="65:67" ht="18.75" customHeight="1">
      <c r="BM52078" s="1025"/>
      <c r="BO52078" s="43"/>
    </row>
    <row r="52079" spans="65:67" ht="18.75" customHeight="1">
      <c r="BM52079" s="1025"/>
      <c r="BO52079" s="43"/>
    </row>
    <row r="52080" spans="65:67" ht="18.75" customHeight="1">
      <c r="BM52080" s="1025"/>
      <c r="BO52080" s="43"/>
    </row>
    <row r="52081" spans="65:67" ht="18.75" customHeight="1">
      <c r="BM52081" s="1025"/>
      <c r="BO52081" s="43"/>
    </row>
    <row r="52082" spans="65:67" ht="18.75" customHeight="1">
      <c r="BM52082" s="1025"/>
      <c r="BO52082" s="43"/>
    </row>
    <row r="52083" spans="65:67" ht="18.75" customHeight="1">
      <c r="BM52083" s="1025"/>
      <c r="BO52083" s="43"/>
    </row>
    <row r="52084" spans="65:67" ht="18.75" customHeight="1">
      <c r="BM52084" s="1025"/>
      <c r="BO52084" s="43"/>
    </row>
    <row r="52085" spans="65:67" ht="18.75" customHeight="1">
      <c r="BM52085" s="1025"/>
      <c r="BO52085" s="43"/>
    </row>
    <row r="52086" spans="65:67" ht="18.75" customHeight="1">
      <c r="BM52086" s="1025"/>
      <c r="BO52086" s="43"/>
    </row>
    <row r="52087" spans="65:67" ht="18.75" customHeight="1">
      <c r="BM52087" s="1025"/>
      <c r="BO52087" s="43"/>
    </row>
    <row r="52088" spans="65:67" ht="18.75" customHeight="1">
      <c r="BM52088" s="1025"/>
      <c r="BO52088" s="43"/>
    </row>
    <row r="52089" spans="65:67" ht="18.75" customHeight="1">
      <c r="BM52089" s="1025"/>
      <c r="BO52089" s="43"/>
    </row>
    <row r="52090" spans="65:67" ht="18.75" customHeight="1">
      <c r="BM52090" s="1025"/>
      <c r="BO52090" s="43"/>
    </row>
    <row r="52091" spans="65:67" ht="18.75" customHeight="1">
      <c r="BM52091" s="1025"/>
      <c r="BO52091" s="43"/>
    </row>
    <row r="52092" spans="65:67" ht="18.75" customHeight="1">
      <c r="BM52092" s="1025"/>
      <c r="BO52092" s="43"/>
    </row>
    <row r="52093" spans="65:67" ht="18.75" customHeight="1">
      <c r="BM52093" s="1025"/>
      <c r="BO52093" s="43"/>
    </row>
    <row r="52094" spans="65:67" ht="18.75" customHeight="1">
      <c r="BM52094" s="1025"/>
      <c r="BO52094" s="43"/>
    </row>
    <row r="52095" spans="65:67" ht="18.75" customHeight="1">
      <c r="BM52095" s="1025"/>
      <c r="BO52095" s="43"/>
    </row>
    <row r="52096" spans="65:67" ht="18.75" customHeight="1">
      <c r="BM52096" s="1025"/>
      <c r="BO52096" s="43"/>
    </row>
    <row r="52097" spans="65:67" ht="18.75" customHeight="1">
      <c r="BM52097" s="1025"/>
      <c r="BO52097" s="43"/>
    </row>
    <row r="52098" spans="65:67" ht="18.75" customHeight="1">
      <c r="BM52098" s="1025"/>
      <c r="BO52098" s="43"/>
    </row>
    <row r="52099" spans="65:67" ht="18.75" customHeight="1">
      <c r="BM52099" s="1025"/>
      <c r="BO52099" s="43"/>
    </row>
    <row r="52100" spans="65:67" ht="18.75" customHeight="1">
      <c r="BM52100" s="1025"/>
      <c r="BO52100" s="43"/>
    </row>
    <row r="52101" spans="65:67" ht="18.75" customHeight="1">
      <c r="BM52101" s="1025"/>
      <c r="BO52101" s="43"/>
    </row>
    <row r="52102" spans="65:67" ht="18.75" customHeight="1">
      <c r="BM52102" s="1025"/>
      <c r="BO52102" s="43"/>
    </row>
    <row r="52103" spans="65:67" ht="18.75" customHeight="1">
      <c r="BM52103" s="1025"/>
      <c r="BO52103" s="43"/>
    </row>
    <row r="52104" spans="65:67" ht="18.75" customHeight="1">
      <c r="BM52104" s="1025"/>
      <c r="BO52104" s="43"/>
    </row>
    <row r="52105" spans="65:67" ht="18.75" customHeight="1">
      <c r="BM52105" s="1025"/>
      <c r="BO52105" s="43"/>
    </row>
    <row r="52106" spans="65:67" ht="18.75" customHeight="1">
      <c r="BM52106" s="1025"/>
      <c r="BO52106" s="43"/>
    </row>
    <row r="52107" spans="65:67" ht="18.75" customHeight="1">
      <c r="BM52107" s="1025"/>
      <c r="BO52107" s="43"/>
    </row>
    <row r="52108" spans="65:67" ht="18.75" customHeight="1">
      <c r="BM52108" s="1025"/>
      <c r="BO52108" s="43"/>
    </row>
    <row r="52109" spans="65:67" ht="18.75" customHeight="1">
      <c r="BM52109" s="1025"/>
      <c r="BO52109" s="43"/>
    </row>
    <row r="52110" spans="65:67" ht="18.75" customHeight="1">
      <c r="BM52110" s="1025"/>
      <c r="BO52110" s="43"/>
    </row>
    <row r="52111" spans="65:67" ht="18.75" customHeight="1">
      <c r="BM52111" s="1025"/>
      <c r="BO52111" s="43"/>
    </row>
    <row r="52112" spans="65:67" ht="18.75" customHeight="1">
      <c r="BM52112" s="1025"/>
      <c r="BO52112" s="43"/>
    </row>
    <row r="52113" spans="65:67" ht="18.75" customHeight="1">
      <c r="BM52113" s="1025"/>
      <c r="BO52113" s="43"/>
    </row>
    <row r="52114" spans="65:67" ht="18.75" customHeight="1">
      <c r="BM52114" s="1025"/>
      <c r="BO52114" s="43"/>
    </row>
    <row r="52115" spans="65:67" ht="18.75" customHeight="1">
      <c r="BM52115" s="1025"/>
      <c r="BO52115" s="43"/>
    </row>
    <row r="52116" spans="65:67" ht="18.75" customHeight="1">
      <c r="BM52116" s="1025"/>
      <c r="BO52116" s="43"/>
    </row>
    <row r="52117" spans="65:67" ht="18.75" customHeight="1">
      <c r="BM52117" s="1025"/>
      <c r="BO52117" s="43"/>
    </row>
    <row r="52118" spans="65:67" ht="18.75" customHeight="1">
      <c r="BM52118" s="1025"/>
      <c r="BO52118" s="43"/>
    </row>
    <row r="52119" spans="65:67" ht="18.75" customHeight="1">
      <c r="BM52119" s="1025"/>
      <c r="BO52119" s="43"/>
    </row>
    <row r="52120" spans="65:67" ht="18.75" customHeight="1">
      <c r="BM52120" s="1025"/>
      <c r="BO52120" s="43"/>
    </row>
    <row r="52121" spans="65:67" ht="18.75" customHeight="1">
      <c r="BM52121" s="1025"/>
      <c r="BO52121" s="43"/>
    </row>
    <row r="52122" spans="65:67" ht="18.75" customHeight="1">
      <c r="BM52122" s="1025"/>
      <c r="BO52122" s="43"/>
    </row>
    <row r="52123" spans="65:67" ht="18.75" customHeight="1">
      <c r="BM52123" s="1025"/>
      <c r="BO52123" s="43"/>
    </row>
    <row r="52124" spans="65:67" ht="18.75" customHeight="1">
      <c r="BM52124" s="1025"/>
      <c r="BO52124" s="43"/>
    </row>
    <row r="52125" spans="65:67" ht="18.75" customHeight="1">
      <c r="BM52125" s="1025"/>
      <c r="BO52125" s="43"/>
    </row>
    <row r="52126" spans="65:67" ht="18.75" customHeight="1">
      <c r="BM52126" s="1025"/>
      <c r="BO52126" s="43"/>
    </row>
    <row r="52127" spans="65:67" ht="18.75" customHeight="1">
      <c r="BM52127" s="1025"/>
      <c r="BO52127" s="43"/>
    </row>
    <row r="52128" spans="65:67" ht="18.75" customHeight="1">
      <c r="BM52128" s="1025"/>
      <c r="BO52128" s="43"/>
    </row>
    <row r="52129" spans="65:67" ht="18.75" customHeight="1">
      <c r="BM52129" s="1025"/>
      <c r="BO52129" s="43"/>
    </row>
    <row r="52130" spans="65:67" ht="18.75" customHeight="1">
      <c r="BM52130" s="1025"/>
      <c r="BO52130" s="43"/>
    </row>
    <row r="52131" spans="65:67" ht="18.75" customHeight="1">
      <c r="BM52131" s="1025"/>
      <c r="BO52131" s="43"/>
    </row>
    <row r="52132" spans="65:67" ht="18.75" customHeight="1">
      <c r="BM52132" s="1025"/>
      <c r="BO52132" s="43"/>
    </row>
    <row r="52133" spans="65:67" ht="18.75" customHeight="1">
      <c r="BM52133" s="1025"/>
      <c r="BO52133" s="43"/>
    </row>
    <row r="52134" spans="65:67" ht="18.75" customHeight="1">
      <c r="BM52134" s="1025"/>
      <c r="BO52134" s="43"/>
    </row>
    <row r="52135" spans="65:67" ht="18.75" customHeight="1">
      <c r="BM52135" s="1025"/>
      <c r="BO52135" s="43"/>
    </row>
    <row r="52136" spans="65:67" ht="18.75" customHeight="1">
      <c r="BM52136" s="1025"/>
      <c r="BO52136" s="43"/>
    </row>
    <row r="52137" spans="65:67" ht="18.75" customHeight="1">
      <c r="BM52137" s="1025"/>
      <c r="BO52137" s="43"/>
    </row>
    <row r="52138" spans="65:67" ht="18.75" customHeight="1">
      <c r="BM52138" s="1025"/>
      <c r="BO52138" s="43"/>
    </row>
    <row r="52139" spans="65:67" ht="18.75" customHeight="1">
      <c r="BM52139" s="1025"/>
      <c r="BO52139" s="43"/>
    </row>
    <row r="52140" spans="65:67" ht="18.75" customHeight="1">
      <c r="BM52140" s="1025"/>
      <c r="BO52140" s="43"/>
    </row>
    <row r="52141" spans="65:67" ht="18.75" customHeight="1">
      <c r="BM52141" s="1025"/>
      <c r="BO52141" s="43"/>
    </row>
    <row r="52142" spans="65:67" ht="18.75" customHeight="1">
      <c r="BM52142" s="1025"/>
      <c r="BO52142" s="43"/>
    </row>
    <row r="52143" spans="65:67" ht="18.75" customHeight="1">
      <c r="BM52143" s="1025"/>
      <c r="BO52143" s="43"/>
    </row>
    <row r="52144" spans="65:67" ht="18.75" customHeight="1">
      <c r="BM52144" s="1025"/>
      <c r="BO52144" s="43"/>
    </row>
    <row r="52145" spans="65:67" ht="18.75" customHeight="1">
      <c r="BM52145" s="1025"/>
      <c r="BO52145" s="43"/>
    </row>
    <row r="52146" spans="65:67" ht="18.75" customHeight="1">
      <c r="BM52146" s="1025"/>
      <c r="BO52146" s="43"/>
    </row>
    <row r="52147" spans="65:67" ht="18.75" customHeight="1">
      <c r="BM52147" s="1025"/>
      <c r="BO52147" s="43"/>
    </row>
    <row r="52148" spans="65:67" ht="18.75" customHeight="1">
      <c r="BM52148" s="1025"/>
      <c r="BO52148" s="43"/>
    </row>
    <row r="52149" spans="65:67" ht="18.75" customHeight="1">
      <c r="BM52149" s="1025"/>
      <c r="BO52149" s="43"/>
    </row>
    <row r="52150" spans="65:67" ht="18.75" customHeight="1">
      <c r="BM52150" s="1025"/>
      <c r="BO52150" s="43"/>
    </row>
    <row r="52151" spans="65:67" ht="18.75" customHeight="1">
      <c r="BM52151" s="1025"/>
      <c r="BO52151" s="43"/>
    </row>
    <row r="52152" spans="65:67" ht="18.75" customHeight="1">
      <c r="BM52152" s="1025"/>
      <c r="BO52152" s="43"/>
    </row>
    <row r="52153" spans="65:67" ht="18.75" customHeight="1">
      <c r="BM52153" s="1025"/>
      <c r="BO52153" s="43"/>
    </row>
    <row r="52154" spans="65:67" ht="18.75" customHeight="1">
      <c r="BM52154" s="1025"/>
      <c r="BO52154" s="43"/>
    </row>
    <row r="52155" spans="65:67" ht="18.75" customHeight="1">
      <c r="BM52155" s="1025"/>
      <c r="BO52155" s="43"/>
    </row>
    <row r="52156" spans="65:67" ht="18.75" customHeight="1">
      <c r="BM52156" s="1025"/>
      <c r="BO52156" s="43"/>
    </row>
    <row r="52157" spans="65:67" ht="18.75" customHeight="1">
      <c r="BM52157" s="1025"/>
      <c r="BO52157" s="43"/>
    </row>
    <row r="52158" spans="65:67" ht="18.75" customHeight="1">
      <c r="BM52158" s="1025"/>
      <c r="BO52158" s="43"/>
    </row>
    <row r="52159" spans="65:67" ht="18.75" customHeight="1">
      <c r="BM52159" s="1025"/>
      <c r="BO52159" s="43"/>
    </row>
    <row r="52160" spans="65:67" ht="18.75" customHeight="1">
      <c r="BM52160" s="1025"/>
      <c r="BO52160" s="43"/>
    </row>
    <row r="52161" spans="65:67" ht="18.75" customHeight="1">
      <c r="BM52161" s="1025"/>
      <c r="BO52161" s="43"/>
    </row>
    <row r="52162" spans="65:67" ht="18.75" customHeight="1">
      <c r="BM52162" s="1025"/>
      <c r="BO52162" s="43"/>
    </row>
    <row r="52163" spans="65:67" ht="18.75" customHeight="1">
      <c r="BM52163" s="1025"/>
      <c r="BO52163" s="43"/>
    </row>
    <row r="52164" spans="65:67" ht="18.75" customHeight="1">
      <c r="BM52164" s="1025"/>
      <c r="BO52164" s="43"/>
    </row>
    <row r="52165" spans="65:67" ht="18.75" customHeight="1">
      <c r="BM52165" s="1025"/>
      <c r="BO52165" s="43"/>
    </row>
    <row r="52166" spans="65:67" ht="18.75" customHeight="1">
      <c r="BM52166" s="1025"/>
      <c r="BO52166" s="43"/>
    </row>
    <row r="52167" spans="65:67" ht="18.75" customHeight="1">
      <c r="BM52167" s="1025"/>
      <c r="BO52167" s="43"/>
    </row>
    <row r="52168" spans="65:67" ht="18.75" customHeight="1">
      <c r="BM52168" s="1025"/>
      <c r="BO52168" s="43"/>
    </row>
    <row r="52169" spans="65:67" ht="18.75" customHeight="1">
      <c r="BM52169" s="1025"/>
      <c r="BO52169" s="43"/>
    </row>
    <row r="52170" spans="65:67" ht="18.75" customHeight="1">
      <c r="BM52170" s="1025"/>
      <c r="BO52170" s="43"/>
    </row>
    <row r="52171" spans="65:67" ht="18.75" customHeight="1">
      <c r="BM52171" s="1025"/>
      <c r="BO52171" s="43"/>
    </row>
    <row r="52172" spans="65:67" ht="18.75" customHeight="1">
      <c r="BM52172" s="1025"/>
      <c r="BO52172" s="43"/>
    </row>
    <row r="52173" spans="65:67" ht="18.75" customHeight="1">
      <c r="BM52173" s="1025"/>
      <c r="BO52173" s="43"/>
    </row>
    <row r="52174" spans="65:67" ht="18.75" customHeight="1">
      <c r="BM52174" s="1025"/>
      <c r="BO52174" s="43"/>
    </row>
    <row r="52175" spans="65:67" ht="18.75" customHeight="1">
      <c r="BM52175" s="1025"/>
      <c r="BO52175" s="43"/>
    </row>
    <row r="52176" spans="65:67" ht="18.75" customHeight="1">
      <c r="BM52176" s="1025"/>
      <c r="BO52176" s="43"/>
    </row>
    <row r="52177" spans="65:67" ht="18.75" customHeight="1">
      <c r="BM52177" s="1025"/>
      <c r="BO52177" s="43"/>
    </row>
    <row r="52178" spans="65:67" ht="18.75" customHeight="1">
      <c r="BM52178" s="1025"/>
      <c r="BO52178" s="43"/>
    </row>
    <row r="52179" spans="65:67" ht="18.75" customHeight="1">
      <c r="BM52179" s="1025"/>
      <c r="BO52179" s="43"/>
    </row>
    <row r="52180" spans="65:67" ht="18.75" customHeight="1">
      <c r="BM52180" s="1025"/>
      <c r="BO52180" s="43"/>
    </row>
    <row r="52181" spans="65:67" ht="18.75" customHeight="1">
      <c r="BM52181" s="1025"/>
      <c r="BO52181" s="43"/>
    </row>
    <row r="52182" spans="65:67" ht="18.75" customHeight="1">
      <c r="BM52182" s="1025"/>
      <c r="BO52182" s="43"/>
    </row>
    <row r="52183" spans="65:67" ht="18.75" customHeight="1">
      <c r="BM52183" s="1025"/>
      <c r="BO52183" s="43"/>
    </row>
    <row r="52184" spans="65:67" ht="18.75" customHeight="1">
      <c r="BM52184" s="1025"/>
      <c r="BO52184" s="43"/>
    </row>
    <row r="52185" spans="65:67" ht="18.75" customHeight="1">
      <c r="BM52185" s="1025"/>
      <c r="BO52185" s="43"/>
    </row>
    <row r="52186" spans="65:67" ht="18.75" customHeight="1">
      <c r="BM52186" s="1025"/>
      <c r="BO52186" s="43"/>
    </row>
    <row r="52187" spans="65:67" ht="18.75" customHeight="1">
      <c r="BM52187" s="1025"/>
      <c r="BO52187" s="43"/>
    </row>
    <row r="52188" spans="65:67" ht="18.75" customHeight="1">
      <c r="BM52188" s="1025"/>
      <c r="BO52188" s="43"/>
    </row>
    <row r="52189" spans="65:67" ht="18.75" customHeight="1">
      <c r="BM52189" s="1025"/>
      <c r="BO52189" s="43"/>
    </row>
    <row r="52190" spans="65:67" ht="18.75" customHeight="1">
      <c r="BM52190" s="1025"/>
      <c r="BO52190" s="43"/>
    </row>
    <row r="52191" spans="65:67" ht="18.75" customHeight="1">
      <c r="BM52191" s="1025"/>
      <c r="BO52191" s="43"/>
    </row>
    <row r="52192" spans="65:67" ht="18.75" customHeight="1">
      <c r="BM52192" s="1025"/>
      <c r="BO52192" s="43"/>
    </row>
    <row r="52193" spans="65:67" ht="18.75" customHeight="1">
      <c r="BM52193" s="1025"/>
      <c r="BO52193" s="43"/>
    </row>
    <row r="52194" spans="65:67" ht="18.75" customHeight="1">
      <c r="BM52194" s="1025"/>
      <c r="BO52194" s="43"/>
    </row>
    <row r="52195" spans="65:67" ht="18.75" customHeight="1">
      <c r="BM52195" s="1025"/>
      <c r="BO52195" s="43"/>
    </row>
    <row r="52196" spans="65:67" ht="18.75" customHeight="1">
      <c r="BM52196" s="1025"/>
      <c r="BO52196" s="43"/>
    </row>
    <row r="52197" spans="65:67" ht="18.75" customHeight="1">
      <c r="BM52197" s="1025"/>
      <c r="BO52197" s="43"/>
    </row>
    <row r="52198" spans="65:67" ht="18.75" customHeight="1">
      <c r="BM52198" s="1025"/>
      <c r="BO52198" s="43"/>
    </row>
    <row r="52199" spans="65:67" ht="18.75" customHeight="1">
      <c r="BM52199" s="1025"/>
      <c r="BO52199" s="43"/>
    </row>
    <row r="52200" spans="65:67" ht="18.75" customHeight="1">
      <c r="BM52200" s="1025"/>
      <c r="BO52200" s="43"/>
    </row>
    <row r="52201" spans="65:67" ht="18.75" customHeight="1">
      <c r="BM52201" s="1025"/>
      <c r="BO52201" s="43"/>
    </row>
    <row r="52202" spans="65:67" ht="18.75" customHeight="1">
      <c r="BM52202" s="1025"/>
      <c r="BO52202" s="43"/>
    </row>
    <row r="52203" spans="65:67" ht="18.75" customHeight="1">
      <c r="BM52203" s="1025"/>
      <c r="BO52203" s="43"/>
    </row>
    <row r="52204" spans="65:67" ht="18.75" customHeight="1">
      <c r="BM52204" s="1025"/>
      <c r="BO52204" s="43"/>
    </row>
    <row r="52205" spans="65:67" ht="18.75" customHeight="1">
      <c r="BM52205" s="1025"/>
      <c r="BO52205" s="43"/>
    </row>
    <row r="52206" spans="65:67" ht="18.75" customHeight="1">
      <c r="BM52206" s="1025"/>
      <c r="BO52206" s="43"/>
    </row>
    <row r="52207" spans="65:67" ht="18.75" customHeight="1">
      <c r="BM52207" s="1025"/>
      <c r="BO52207" s="43"/>
    </row>
    <row r="52208" spans="65:67" ht="18.75" customHeight="1">
      <c r="BM52208" s="1025"/>
      <c r="BO52208" s="43"/>
    </row>
    <row r="52209" spans="65:67" ht="18.75" customHeight="1">
      <c r="BM52209" s="1025"/>
      <c r="BO52209" s="43"/>
    </row>
    <row r="52210" spans="65:67" ht="18.75" customHeight="1">
      <c r="BM52210" s="1025"/>
      <c r="BO52210" s="43"/>
    </row>
    <row r="52211" spans="65:67" ht="18.75" customHeight="1">
      <c r="BM52211" s="1025"/>
      <c r="BO52211" s="43"/>
    </row>
    <row r="52212" spans="65:67" ht="18.75" customHeight="1">
      <c r="BM52212" s="1025"/>
      <c r="BO52212" s="43"/>
    </row>
    <row r="52213" spans="65:67" ht="18.75" customHeight="1">
      <c r="BM52213" s="1025"/>
      <c r="BO52213" s="43"/>
    </row>
    <row r="52214" spans="65:67" ht="18.75" customHeight="1">
      <c r="BM52214" s="1025"/>
      <c r="BO52214" s="43"/>
    </row>
    <row r="52215" spans="65:67" ht="18.75" customHeight="1">
      <c r="BM52215" s="1025"/>
      <c r="BO52215" s="43"/>
    </row>
    <row r="52216" spans="65:67" ht="18.75" customHeight="1">
      <c r="BM52216" s="1025"/>
      <c r="BO52216" s="43"/>
    </row>
    <row r="52217" spans="65:67" ht="18.75" customHeight="1">
      <c r="BM52217" s="1025"/>
      <c r="BO52217" s="43"/>
    </row>
    <row r="52218" spans="65:67" ht="18.75" customHeight="1">
      <c r="BM52218" s="1025"/>
      <c r="BO52218" s="43"/>
    </row>
    <row r="52219" spans="65:67" ht="18.75" customHeight="1">
      <c r="BM52219" s="1025"/>
      <c r="BO52219" s="43"/>
    </row>
    <row r="52220" spans="65:67" ht="18.75" customHeight="1">
      <c r="BM52220" s="1025"/>
      <c r="BO52220" s="43"/>
    </row>
    <row r="52221" spans="65:67" ht="18.75" customHeight="1">
      <c r="BM52221" s="1025"/>
      <c r="BO52221" s="43"/>
    </row>
    <row r="52222" spans="65:67" ht="18.75" customHeight="1">
      <c r="BM52222" s="1025"/>
      <c r="BO52222" s="43"/>
    </row>
    <row r="52223" spans="65:67" ht="18.75" customHeight="1">
      <c r="BM52223" s="1025"/>
      <c r="BO52223" s="43"/>
    </row>
    <row r="52224" spans="65:67" ht="18.75" customHeight="1">
      <c r="BM52224" s="1025"/>
      <c r="BO52224" s="43"/>
    </row>
    <row r="52225" spans="65:67" ht="18.75" customHeight="1">
      <c r="BM52225" s="1025"/>
      <c r="BO52225" s="43"/>
    </row>
    <row r="52226" spans="65:67" ht="18.75" customHeight="1">
      <c r="BM52226" s="1025"/>
      <c r="BO52226" s="43"/>
    </row>
    <row r="52227" spans="65:67" ht="18.75" customHeight="1">
      <c r="BM52227" s="1025"/>
      <c r="BO52227" s="43"/>
    </row>
    <row r="52228" spans="65:67" ht="18.75" customHeight="1">
      <c r="BM52228" s="1025"/>
      <c r="BO52228" s="43"/>
    </row>
    <row r="52229" spans="65:67" ht="18.75" customHeight="1">
      <c r="BM52229" s="1025"/>
      <c r="BO52229" s="43"/>
    </row>
    <row r="52230" spans="65:67" ht="18.75" customHeight="1">
      <c r="BM52230" s="1025"/>
      <c r="BO52230" s="43"/>
    </row>
    <row r="52231" spans="65:67" ht="18.75" customHeight="1">
      <c r="BM52231" s="1025"/>
      <c r="BO52231" s="43"/>
    </row>
    <row r="52232" spans="65:67" ht="18.75" customHeight="1">
      <c r="BM52232" s="1025"/>
      <c r="BO52232" s="43"/>
    </row>
    <row r="52233" spans="65:67" ht="18.75" customHeight="1">
      <c r="BM52233" s="1025"/>
      <c r="BO52233" s="43"/>
    </row>
    <row r="52234" spans="65:67" ht="18.75" customHeight="1">
      <c r="BM52234" s="1025"/>
      <c r="BO52234" s="43"/>
    </row>
    <row r="52235" spans="65:67" ht="18.75" customHeight="1">
      <c r="BM52235" s="1025"/>
      <c r="BO52235" s="43"/>
    </row>
    <row r="52236" spans="65:67" ht="18.75" customHeight="1">
      <c r="BM52236" s="1025"/>
      <c r="BO52236" s="43"/>
    </row>
    <row r="52237" spans="65:67" ht="18.75" customHeight="1">
      <c r="BM52237" s="1025"/>
      <c r="BO52237" s="43"/>
    </row>
    <row r="52238" spans="65:67" ht="18.75" customHeight="1">
      <c r="BM52238" s="1025"/>
      <c r="BO52238" s="43"/>
    </row>
    <row r="52239" spans="65:67" ht="18.75" customHeight="1">
      <c r="BM52239" s="1025"/>
      <c r="BO52239" s="43"/>
    </row>
    <row r="52240" spans="65:67" ht="18.75" customHeight="1">
      <c r="BM52240" s="1025"/>
      <c r="BO52240" s="43"/>
    </row>
    <row r="52241" spans="65:67" ht="18.75" customHeight="1">
      <c r="BM52241" s="1025"/>
      <c r="BO52241" s="43"/>
    </row>
    <row r="52242" spans="65:67" ht="18.75" customHeight="1">
      <c r="BM52242" s="1025"/>
      <c r="BO52242" s="43"/>
    </row>
    <row r="52243" spans="65:67" ht="18.75" customHeight="1">
      <c r="BM52243" s="1025"/>
      <c r="BO52243" s="43"/>
    </row>
    <row r="52244" spans="65:67" ht="18.75" customHeight="1">
      <c r="BM52244" s="1025"/>
      <c r="BO52244" s="43"/>
    </row>
    <row r="52245" spans="65:67" ht="18.75" customHeight="1">
      <c r="BM52245" s="1025"/>
      <c r="BO52245" s="43"/>
    </row>
    <row r="52246" spans="65:67" ht="18.75" customHeight="1">
      <c r="BM52246" s="1025"/>
      <c r="BO52246" s="43"/>
    </row>
    <row r="52247" spans="65:67" ht="18.75" customHeight="1">
      <c r="BM52247" s="1025"/>
      <c r="BO52247" s="43"/>
    </row>
    <row r="52248" spans="65:67" ht="18.75" customHeight="1">
      <c r="BM52248" s="1025"/>
      <c r="BO52248" s="43"/>
    </row>
    <row r="52249" spans="65:67" ht="18.75" customHeight="1">
      <c r="BM52249" s="1025"/>
      <c r="BO52249" s="43"/>
    </row>
    <row r="52250" spans="65:67" ht="18.75" customHeight="1">
      <c r="BM52250" s="1025"/>
      <c r="BO52250" s="43"/>
    </row>
    <row r="52251" spans="65:67" ht="18.75" customHeight="1">
      <c r="BM52251" s="1025"/>
      <c r="BO52251" s="43"/>
    </row>
    <row r="52252" spans="65:67" ht="18.75" customHeight="1">
      <c r="BM52252" s="1025"/>
      <c r="BO52252" s="43"/>
    </row>
    <row r="52253" spans="65:67" ht="18.75" customHeight="1">
      <c r="BM52253" s="1025"/>
      <c r="BO52253" s="43"/>
    </row>
    <row r="52254" spans="65:67" ht="18.75" customHeight="1">
      <c r="BM52254" s="1025"/>
      <c r="BO52254" s="43"/>
    </row>
    <row r="52255" spans="65:67" ht="18.75" customHeight="1">
      <c r="BM52255" s="1025"/>
      <c r="BO52255" s="43"/>
    </row>
    <row r="52256" spans="65:67" ht="18.75" customHeight="1">
      <c r="BM52256" s="1025"/>
      <c r="BO52256" s="43"/>
    </row>
    <row r="52257" spans="65:67" ht="18.75" customHeight="1">
      <c r="BM52257" s="1025"/>
      <c r="BO52257" s="43"/>
    </row>
    <row r="52258" spans="65:67" ht="18.75" customHeight="1">
      <c r="BM52258" s="1025"/>
      <c r="BO52258" s="43"/>
    </row>
    <row r="52259" spans="65:67" ht="18.75" customHeight="1">
      <c r="BM52259" s="1025"/>
      <c r="BO52259" s="43"/>
    </row>
    <row r="52260" spans="65:67" ht="18.75" customHeight="1">
      <c r="BM52260" s="1025"/>
      <c r="BO52260" s="43"/>
    </row>
    <row r="52261" spans="65:67" ht="18.75" customHeight="1">
      <c r="BM52261" s="1025"/>
      <c r="BO52261" s="43"/>
    </row>
    <row r="52262" spans="65:67" ht="18.75" customHeight="1">
      <c r="BM52262" s="1025"/>
      <c r="BO52262" s="43"/>
    </row>
    <row r="52263" spans="65:67" ht="18.75" customHeight="1">
      <c r="BM52263" s="1025"/>
      <c r="BO52263" s="43"/>
    </row>
    <row r="52264" spans="65:67" ht="18.75" customHeight="1">
      <c r="BM52264" s="1025"/>
      <c r="BO52264" s="43"/>
    </row>
    <row r="52265" spans="65:67" ht="18.75" customHeight="1">
      <c r="BM52265" s="1025"/>
      <c r="BO52265" s="43"/>
    </row>
    <row r="52266" spans="65:67" ht="18.75" customHeight="1">
      <c r="BM52266" s="1025"/>
      <c r="BO52266" s="43"/>
    </row>
    <row r="52267" spans="65:67" ht="18.75" customHeight="1">
      <c r="BM52267" s="1025"/>
      <c r="BO52267" s="43"/>
    </row>
    <row r="52268" spans="65:67" ht="18.75" customHeight="1">
      <c r="BM52268" s="1025"/>
      <c r="BO52268" s="43"/>
    </row>
    <row r="52269" spans="65:67" ht="18.75" customHeight="1">
      <c r="BM52269" s="1025"/>
      <c r="BO52269" s="43"/>
    </row>
    <row r="52270" spans="65:67" ht="18.75" customHeight="1">
      <c r="BM52270" s="1025"/>
      <c r="BO52270" s="43"/>
    </row>
    <row r="52271" spans="65:67" ht="18.75" customHeight="1">
      <c r="BM52271" s="1025"/>
      <c r="BO52271" s="43"/>
    </row>
    <row r="52272" spans="65:67" ht="18.75" customHeight="1">
      <c r="BM52272" s="1025"/>
      <c r="BO52272" s="43"/>
    </row>
    <row r="52273" spans="65:67" ht="18.75" customHeight="1">
      <c r="BM52273" s="1025"/>
      <c r="BO52273" s="43"/>
    </row>
    <row r="52274" spans="65:67" ht="18.75" customHeight="1">
      <c r="BM52274" s="1025"/>
      <c r="BO52274" s="43"/>
    </row>
    <row r="52275" spans="65:67" ht="18.75" customHeight="1">
      <c r="BM52275" s="1025"/>
      <c r="BO52275" s="43"/>
    </row>
    <row r="52276" spans="65:67" ht="18.75" customHeight="1">
      <c r="BM52276" s="1025"/>
      <c r="BO52276" s="43"/>
    </row>
    <row r="52277" spans="65:67" ht="18.75" customHeight="1">
      <c r="BM52277" s="1025"/>
      <c r="BO52277" s="43"/>
    </row>
    <row r="52278" spans="65:67" ht="18.75" customHeight="1">
      <c r="BM52278" s="1025"/>
      <c r="BO52278" s="43"/>
    </row>
    <row r="52279" spans="65:67" ht="18.75" customHeight="1">
      <c r="BM52279" s="1025"/>
      <c r="BO52279" s="43"/>
    </row>
    <row r="52280" spans="65:67" ht="18.75" customHeight="1">
      <c r="BM52280" s="1025"/>
      <c r="BO52280" s="43"/>
    </row>
    <row r="52281" spans="65:67" ht="18.75" customHeight="1">
      <c r="BM52281" s="1025"/>
      <c r="BO52281" s="43"/>
    </row>
    <row r="52282" spans="65:67" ht="18.75" customHeight="1">
      <c r="BM52282" s="1025"/>
      <c r="BO52282" s="43"/>
    </row>
    <row r="52283" spans="65:67" ht="18.75" customHeight="1">
      <c r="BM52283" s="1025"/>
      <c r="BO52283" s="43"/>
    </row>
    <row r="52284" spans="65:67" ht="18.75" customHeight="1">
      <c r="BM52284" s="1025"/>
      <c r="BO52284" s="43"/>
    </row>
    <row r="52285" spans="65:67" ht="18.75" customHeight="1">
      <c r="BM52285" s="1025"/>
      <c r="BO52285" s="43"/>
    </row>
    <row r="52286" spans="65:67" ht="18.75" customHeight="1">
      <c r="BM52286" s="1025"/>
      <c r="BO52286" s="43"/>
    </row>
    <row r="52287" spans="65:67" ht="18.75" customHeight="1">
      <c r="BM52287" s="1025"/>
      <c r="BO52287" s="43"/>
    </row>
    <row r="52288" spans="65:67" ht="18.75" customHeight="1">
      <c r="BM52288" s="1025"/>
      <c r="BO52288" s="43"/>
    </row>
    <row r="52289" spans="65:67" ht="18.75" customHeight="1">
      <c r="BM52289" s="1025"/>
      <c r="BO52289" s="43"/>
    </row>
    <row r="52290" spans="65:67" ht="18.75" customHeight="1">
      <c r="BM52290" s="1025"/>
      <c r="BO52290" s="43"/>
    </row>
    <row r="52291" spans="65:67" ht="18.75" customHeight="1">
      <c r="BM52291" s="1025"/>
      <c r="BO52291" s="43"/>
    </row>
    <row r="52292" spans="65:67" ht="18.75" customHeight="1">
      <c r="BM52292" s="1025"/>
      <c r="BO52292" s="43"/>
    </row>
    <row r="52293" spans="65:67" ht="18.75" customHeight="1">
      <c r="BM52293" s="1025"/>
      <c r="BO52293" s="43"/>
    </row>
    <row r="52294" spans="65:67" ht="18.75" customHeight="1">
      <c r="BM52294" s="1025"/>
      <c r="BO52294" s="43"/>
    </row>
    <row r="52295" spans="65:67" ht="18.75" customHeight="1">
      <c r="BM52295" s="1025"/>
      <c r="BO52295" s="43"/>
    </row>
    <row r="52296" spans="65:67" ht="18.75" customHeight="1">
      <c r="BM52296" s="1025"/>
      <c r="BO52296" s="43"/>
    </row>
    <row r="52297" spans="65:67" ht="18.75" customHeight="1">
      <c r="BM52297" s="1025"/>
      <c r="BO52297" s="43"/>
    </row>
    <row r="52298" spans="65:67" ht="18.75" customHeight="1">
      <c r="BM52298" s="1025"/>
      <c r="BO52298" s="43"/>
    </row>
    <row r="52299" spans="65:67" ht="18.75" customHeight="1">
      <c r="BM52299" s="1025"/>
      <c r="BO52299" s="43"/>
    </row>
    <row r="52300" spans="65:67" ht="18.75" customHeight="1">
      <c r="BM52300" s="1025"/>
      <c r="BO52300" s="43"/>
    </row>
    <row r="52301" spans="65:67" ht="18.75" customHeight="1">
      <c r="BM52301" s="1025"/>
      <c r="BO52301" s="43"/>
    </row>
    <row r="52302" spans="65:67" ht="18.75" customHeight="1">
      <c r="BM52302" s="1025"/>
      <c r="BO52302" s="43"/>
    </row>
    <row r="52303" spans="65:67" ht="18.75" customHeight="1">
      <c r="BM52303" s="1025"/>
      <c r="BO52303" s="43"/>
    </row>
    <row r="52304" spans="65:67" ht="18.75" customHeight="1">
      <c r="BM52304" s="1025"/>
      <c r="BO52304" s="43"/>
    </row>
    <row r="52305" spans="65:67" ht="18.75" customHeight="1">
      <c r="BM52305" s="1025"/>
      <c r="BO52305" s="43"/>
    </row>
    <row r="52306" spans="65:67" ht="18.75" customHeight="1">
      <c r="BM52306" s="1025"/>
      <c r="BO52306" s="43"/>
    </row>
    <row r="52307" spans="65:67" ht="18.75" customHeight="1">
      <c r="BM52307" s="1025"/>
      <c r="BO52307" s="43"/>
    </row>
    <row r="52308" spans="65:67" ht="18.75" customHeight="1">
      <c r="BM52308" s="1025"/>
      <c r="BO52308" s="43"/>
    </row>
    <row r="52309" spans="65:67" ht="18.75" customHeight="1">
      <c r="BM52309" s="1025"/>
      <c r="BO52309" s="43"/>
    </row>
    <row r="52310" spans="65:67" ht="18.75" customHeight="1">
      <c r="BM52310" s="1025"/>
      <c r="BO52310" s="43"/>
    </row>
    <row r="52311" spans="65:67" ht="18.75" customHeight="1">
      <c r="BM52311" s="1025"/>
      <c r="BO52311" s="43"/>
    </row>
    <row r="52312" spans="65:67" ht="18.75" customHeight="1">
      <c r="BM52312" s="1025"/>
      <c r="BO52312" s="43"/>
    </row>
    <row r="52313" spans="65:67" ht="18.75" customHeight="1">
      <c r="BM52313" s="1025"/>
      <c r="BO52313" s="43"/>
    </row>
    <row r="52314" spans="65:67" ht="18.75" customHeight="1">
      <c r="BM52314" s="1025"/>
      <c r="BO52314" s="43"/>
    </row>
    <row r="52315" spans="65:67" ht="18.75" customHeight="1">
      <c r="BM52315" s="1025"/>
      <c r="BO52315" s="43"/>
    </row>
    <row r="52316" spans="65:67" ht="18.75" customHeight="1">
      <c r="BM52316" s="1025"/>
      <c r="BO52316" s="43"/>
    </row>
    <row r="52317" spans="65:67" ht="18.75" customHeight="1">
      <c r="BM52317" s="1025"/>
      <c r="BO52317" s="43"/>
    </row>
    <row r="52318" spans="65:67" ht="18.75" customHeight="1">
      <c r="BM52318" s="1025"/>
      <c r="BO52318" s="43"/>
    </row>
    <row r="52319" spans="65:67" ht="18.75" customHeight="1">
      <c r="BM52319" s="1025"/>
      <c r="BO52319" s="43"/>
    </row>
    <row r="52320" spans="65:67" ht="18.75" customHeight="1">
      <c r="BM52320" s="1025"/>
      <c r="BO52320" s="43"/>
    </row>
    <row r="52321" spans="65:67" ht="18.75" customHeight="1">
      <c r="BM52321" s="1025"/>
      <c r="BO52321" s="43"/>
    </row>
    <row r="52322" spans="65:67" ht="18.75" customHeight="1">
      <c r="BM52322" s="1025"/>
      <c r="BO52322" s="43"/>
    </row>
    <row r="52323" spans="65:67" ht="18.75" customHeight="1">
      <c r="BM52323" s="1025"/>
      <c r="BO52323" s="43"/>
    </row>
    <row r="52324" spans="65:67" ht="18.75" customHeight="1">
      <c r="BM52324" s="1025"/>
      <c r="BO52324" s="43"/>
    </row>
    <row r="52325" spans="65:67" ht="18.75" customHeight="1">
      <c r="BM52325" s="1025"/>
      <c r="BO52325" s="43"/>
    </row>
    <row r="52326" spans="65:67" ht="18.75" customHeight="1">
      <c r="BM52326" s="1025"/>
      <c r="BO52326" s="43"/>
    </row>
    <row r="52327" spans="65:67" ht="18.75" customHeight="1">
      <c r="BM52327" s="1025"/>
      <c r="BO52327" s="43"/>
    </row>
    <row r="52328" spans="65:67" ht="18.75" customHeight="1">
      <c r="BM52328" s="1025"/>
      <c r="BO52328" s="43"/>
    </row>
    <row r="52329" spans="65:67" ht="18.75" customHeight="1">
      <c r="BM52329" s="1025"/>
      <c r="BO52329" s="43"/>
    </row>
    <row r="52330" spans="65:67" ht="18.75" customHeight="1">
      <c r="BM52330" s="1025"/>
      <c r="BO52330" s="43"/>
    </row>
    <row r="52331" spans="65:67" ht="18.75" customHeight="1">
      <c r="BM52331" s="1025"/>
      <c r="BO52331" s="43"/>
    </row>
    <row r="52332" spans="65:67" ht="18.75" customHeight="1">
      <c r="BM52332" s="1025"/>
      <c r="BO52332" s="43"/>
    </row>
    <row r="52333" spans="65:67" ht="18.75" customHeight="1">
      <c r="BM52333" s="1025"/>
      <c r="BO52333" s="43"/>
    </row>
    <row r="52334" spans="65:67" ht="18.75" customHeight="1">
      <c r="BM52334" s="1025"/>
      <c r="BO52334" s="43"/>
    </row>
    <row r="52335" spans="65:67" ht="18.75" customHeight="1">
      <c r="BM52335" s="1025"/>
      <c r="BO52335" s="43"/>
    </row>
    <row r="52336" spans="65:67" ht="18.75" customHeight="1">
      <c r="BM52336" s="1025"/>
      <c r="BO52336" s="43"/>
    </row>
    <row r="52337" spans="65:67" ht="18.75" customHeight="1">
      <c r="BM52337" s="1025"/>
      <c r="BO52337" s="43"/>
    </row>
    <row r="52338" spans="65:67" ht="18.75" customHeight="1">
      <c r="BM52338" s="1025"/>
      <c r="BO52338" s="43"/>
    </row>
    <row r="52339" spans="65:67" ht="18.75" customHeight="1">
      <c r="BM52339" s="1025"/>
      <c r="BO52339" s="43"/>
    </row>
    <row r="52340" spans="65:67" ht="18.75" customHeight="1">
      <c r="BM52340" s="1025"/>
      <c r="BO52340" s="43"/>
    </row>
    <row r="52341" spans="65:67" ht="18.75" customHeight="1">
      <c r="BM52341" s="1025"/>
      <c r="BO52341" s="43"/>
    </row>
    <row r="52342" spans="65:67" ht="18.75" customHeight="1">
      <c r="BM52342" s="1025"/>
      <c r="BO52342" s="43"/>
    </row>
    <row r="52343" spans="65:67" ht="18.75" customHeight="1">
      <c r="BM52343" s="1025"/>
      <c r="BO52343" s="43"/>
    </row>
    <row r="52344" spans="65:67" ht="18.75" customHeight="1">
      <c r="BM52344" s="1025"/>
      <c r="BO52344" s="43"/>
    </row>
    <row r="52345" spans="65:67" ht="18.75" customHeight="1">
      <c r="BM52345" s="1025"/>
      <c r="BO52345" s="43"/>
    </row>
    <row r="52346" spans="65:67" ht="18.75" customHeight="1">
      <c r="BM52346" s="1025"/>
      <c r="BO52346" s="43"/>
    </row>
    <row r="52347" spans="65:67" ht="18.75" customHeight="1">
      <c r="BM52347" s="1025"/>
      <c r="BO52347" s="43"/>
    </row>
    <row r="52348" spans="65:67" ht="18.75" customHeight="1">
      <c r="BM52348" s="1025"/>
      <c r="BO52348" s="43"/>
    </row>
    <row r="52349" spans="65:67" ht="18.75" customHeight="1">
      <c r="BM52349" s="1025"/>
      <c r="BO52349" s="43"/>
    </row>
    <row r="52350" spans="65:67" ht="18.75" customHeight="1">
      <c r="BM52350" s="1025"/>
      <c r="BO52350" s="43"/>
    </row>
    <row r="52351" spans="65:67" ht="18.75" customHeight="1">
      <c r="BM52351" s="1025"/>
      <c r="BO52351" s="43"/>
    </row>
    <row r="52352" spans="65:67" ht="18.75" customHeight="1">
      <c r="BM52352" s="1025"/>
      <c r="BO52352" s="43"/>
    </row>
    <row r="52353" spans="65:67" ht="18.75" customHeight="1">
      <c r="BM52353" s="1025"/>
      <c r="BO52353" s="43"/>
    </row>
    <row r="52354" spans="65:67" ht="18.75" customHeight="1">
      <c r="BM52354" s="1025"/>
      <c r="BO52354" s="43"/>
    </row>
    <row r="52355" spans="65:67" ht="18.75" customHeight="1">
      <c r="BM52355" s="1025"/>
      <c r="BO52355" s="43"/>
    </row>
    <row r="52356" spans="65:67" ht="18.75" customHeight="1">
      <c r="BM52356" s="1025"/>
      <c r="BO52356" s="43"/>
    </row>
    <row r="52357" spans="65:67" ht="18.75" customHeight="1">
      <c r="BM52357" s="1025"/>
      <c r="BO52357" s="43"/>
    </row>
    <row r="52358" spans="65:67" ht="18.75" customHeight="1">
      <c r="BM52358" s="1025"/>
      <c r="BO52358" s="43"/>
    </row>
    <row r="52359" spans="65:67" ht="18.75" customHeight="1">
      <c r="BM52359" s="1025"/>
      <c r="BO52359" s="43"/>
    </row>
    <row r="52360" spans="65:67" ht="18.75" customHeight="1">
      <c r="BM52360" s="1025"/>
      <c r="BO52360" s="43"/>
    </row>
    <row r="52361" spans="65:67" ht="18.75" customHeight="1">
      <c r="BM52361" s="1025"/>
      <c r="BO52361" s="43"/>
    </row>
    <row r="52362" spans="65:67" ht="18.75" customHeight="1">
      <c r="BM52362" s="1025"/>
      <c r="BO52362" s="43"/>
    </row>
    <row r="52363" spans="65:67" ht="18.75" customHeight="1">
      <c r="BM52363" s="1025"/>
      <c r="BO52363" s="43"/>
    </row>
    <row r="52364" spans="65:67" ht="18.75" customHeight="1">
      <c r="BM52364" s="1025"/>
      <c r="BO52364" s="43"/>
    </row>
    <row r="52365" spans="65:67" ht="18.75" customHeight="1">
      <c r="BM52365" s="1025"/>
      <c r="BO52365" s="43"/>
    </row>
    <row r="52366" spans="65:67" ht="18.75" customHeight="1">
      <c r="BM52366" s="1025"/>
      <c r="BO52366" s="43"/>
    </row>
    <row r="52367" spans="65:67" ht="18.75" customHeight="1">
      <c r="BM52367" s="1025"/>
      <c r="BO52367" s="43"/>
    </row>
    <row r="52368" spans="65:67" ht="18.75" customHeight="1">
      <c r="BM52368" s="1025"/>
      <c r="BO52368" s="43"/>
    </row>
    <row r="52369" spans="65:67" ht="18.75" customHeight="1">
      <c r="BM52369" s="1025"/>
      <c r="BO52369" s="43"/>
    </row>
    <row r="52370" spans="65:67" ht="18.75" customHeight="1">
      <c r="BM52370" s="1025"/>
      <c r="BO52370" s="43"/>
    </row>
    <row r="52371" spans="65:67" ht="18.75" customHeight="1">
      <c r="BM52371" s="1025"/>
      <c r="BO52371" s="43"/>
    </row>
    <row r="52372" spans="65:67" ht="18.75" customHeight="1">
      <c r="BM52372" s="1025"/>
      <c r="BO52372" s="43"/>
    </row>
    <row r="52373" spans="65:67" ht="18.75" customHeight="1">
      <c r="BM52373" s="1025"/>
      <c r="BO52373" s="43"/>
    </row>
    <row r="52374" spans="65:67" ht="18.75" customHeight="1">
      <c r="BM52374" s="1025"/>
      <c r="BO52374" s="43"/>
    </row>
    <row r="52375" spans="65:67" ht="18.75" customHeight="1">
      <c r="BM52375" s="1025"/>
      <c r="BO52375" s="43"/>
    </row>
    <row r="52376" spans="65:67" ht="18.75" customHeight="1">
      <c r="BM52376" s="1025"/>
      <c r="BO52376" s="43"/>
    </row>
    <row r="52377" spans="65:67" ht="18.75" customHeight="1">
      <c r="BM52377" s="1025"/>
      <c r="BO52377" s="43"/>
    </row>
    <row r="52378" spans="65:67" ht="18.75" customHeight="1">
      <c r="BM52378" s="1025"/>
      <c r="BO52378" s="43"/>
    </row>
    <row r="52379" spans="65:67" ht="18.75" customHeight="1">
      <c r="BM52379" s="1025"/>
      <c r="BO52379" s="43"/>
    </row>
    <row r="52380" spans="65:67" ht="18.75" customHeight="1">
      <c r="BM52380" s="1025"/>
      <c r="BO52380" s="43"/>
    </row>
    <row r="52381" spans="65:67" ht="18.75" customHeight="1">
      <c r="BM52381" s="1025"/>
      <c r="BO52381" s="43"/>
    </row>
    <row r="52382" spans="65:67" ht="18.75" customHeight="1">
      <c r="BM52382" s="1025"/>
      <c r="BO52382" s="43"/>
    </row>
    <row r="52383" spans="65:67" ht="18.75" customHeight="1">
      <c r="BM52383" s="1025"/>
      <c r="BO52383" s="43"/>
    </row>
    <row r="52384" spans="65:67" ht="18.75" customHeight="1">
      <c r="BM52384" s="1025"/>
      <c r="BO52384" s="43"/>
    </row>
    <row r="52385" spans="65:67" ht="18.75" customHeight="1">
      <c r="BM52385" s="1025"/>
      <c r="BO52385" s="43"/>
    </row>
    <row r="52386" spans="65:67" ht="18.75" customHeight="1">
      <c r="BM52386" s="1025"/>
      <c r="BO52386" s="43"/>
    </row>
    <row r="52387" spans="65:67" ht="18.75" customHeight="1">
      <c r="BM52387" s="1025"/>
      <c r="BO52387" s="43"/>
    </row>
    <row r="52388" spans="65:67" ht="18.75" customHeight="1">
      <c r="BM52388" s="1025"/>
      <c r="BO52388" s="43"/>
    </row>
    <row r="52389" spans="65:67" ht="18.75" customHeight="1">
      <c r="BM52389" s="1025"/>
      <c r="BO52389" s="43"/>
    </row>
    <row r="52390" spans="65:67" ht="18.75" customHeight="1">
      <c r="BM52390" s="1025"/>
      <c r="BO52390" s="43"/>
    </row>
    <row r="52391" spans="65:67" ht="18.75" customHeight="1">
      <c r="BM52391" s="1025"/>
      <c r="BO52391" s="43"/>
    </row>
    <row r="52392" spans="65:67" ht="18.75" customHeight="1">
      <c r="BM52392" s="1025"/>
      <c r="BO52392" s="43"/>
    </row>
    <row r="52393" spans="65:67" ht="18.75" customHeight="1">
      <c r="BM52393" s="1025"/>
      <c r="BO52393" s="43"/>
    </row>
    <row r="52394" spans="65:67" ht="18.75" customHeight="1">
      <c r="BM52394" s="1025"/>
      <c r="BO52394" s="43"/>
    </row>
    <row r="52395" spans="65:67" ht="18.75" customHeight="1">
      <c r="BM52395" s="1025"/>
      <c r="BO52395" s="43"/>
    </row>
    <row r="52396" spans="65:67" ht="18.75" customHeight="1">
      <c r="BM52396" s="1025"/>
      <c r="BO52396" s="43"/>
    </row>
    <row r="52397" spans="65:67" ht="18.75" customHeight="1">
      <c r="BM52397" s="1025"/>
      <c r="BO52397" s="43"/>
    </row>
    <row r="52398" spans="65:67" ht="18.75" customHeight="1">
      <c r="BM52398" s="1025"/>
      <c r="BO52398" s="43"/>
    </row>
    <row r="52399" spans="65:67" ht="18.75" customHeight="1">
      <c r="BM52399" s="1025"/>
      <c r="BO52399" s="43"/>
    </row>
    <row r="52400" spans="65:67" ht="18.75" customHeight="1">
      <c r="BM52400" s="1025"/>
      <c r="BO52400" s="43"/>
    </row>
    <row r="52401" spans="65:67" ht="18.75" customHeight="1">
      <c r="BM52401" s="1025"/>
      <c r="BO52401" s="43"/>
    </row>
    <row r="52402" spans="65:67" ht="18.75" customHeight="1">
      <c r="BM52402" s="1025"/>
      <c r="BO52402" s="43"/>
    </row>
    <row r="52403" spans="65:67" ht="18.75" customHeight="1">
      <c r="BM52403" s="1025"/>
      <c r="BO52403" s="43"/>
    </row>
    <row r="52404" spans="65:67" ht="18.75" customHeight="1">
      <c r="BM52404" s="1025"/>
      <c r="BO52404" s="43"/>
    </row>
    <row r="52405" spans="65:67" ht="18.75" customHeight="1">
      <c r="BM52405" s="1025"/>
      <c r="BO52405" s="43"/>
    </row>
    <row r="52406" spans="65:67" ht="18.75" customHeight="1">
      <c r="BM52406" s="1025"/>
      <c r="BO52406" s="43"/>
    </row>
    <row r="52407" spans="65:67" ht="18.75" customHeight="1">
      <c r="BM52407" s="1025"/>
      <c r="BO52407" s="43"/>
    </row>
    <row r="52408" spans="65:67" ht="18.75" customHeight="1">
      <c r="BM52408" s="1025"/>
      <c r="BO52408" s="43"/>
    </row>
    <row r="52409" spans="65:67" ht="18.75" customHeight="1">
      <c r="BM52409" s="1025"/>
      <c r="BO52409" s="43"/>
    </row>
    <row r="52410" spans="65:67" ht="18.75" customHeight="1">
      <c r="BM52410" s="1025"/>
      <c r="BO52410" s="43"/>
    </row>
    <row r="52411" spans="65:67" ht="18.75" customHeight="1">
      <c r="BM52411" s="1025"/>
      <c r="BO52411" s="43"/>
    </row>
    <row r="52412" spans="65:67" ht="18.75" customHeight="1">
      <c r="BM52412" s="1025"/>
      <c r="BO52412" s="43"/>
    </row>
    <row r="52413" spans="65:67" ht="18.75" customHeight="1">
      <c r="BM52413" s="1025"/>
      <c r="BO52413" s="43"/>
    </row>
    <row r="52414" spans="65:67" ht="18.75" customHeight="1">
      <c r="BM52414" s="1025"/>
      <c r="BO52414" s="43"/>
    </row>
    <row r="52415" spans="65:67" ht="18.75" customHeight="1">
      <c r="BM52415" s="1025"/>
      <c r="BO52415" s="43"/>
    </row>
    <row r="52416" spans="65:67" ht="18.75" customHeight="1">
      <c r="BM52416" s="1025"/>
      <c r="BO52416" s="43"/>
    </row>
    <row r="52417" spans="65:67" ht="18.75" customHeight="1">
      <c r="BM52417" s="1025"/>
      <c r="BO52417" s="43"/>
    </row>
    <row r="52418" spans="65:67" ht="18.75" customHeight="1">
      <c r="BM52418" s="1025"/>
      <c r="BO52418" s="43"/>
    </row>
    <row r="52419" spans="65:67" ht="18.75" customHeight="1">
      <c r="BM52419" s="1025"/>
      <c r="BO52419" s="43"/>
    </row>
    <row r="52420" spans="65:67" ht="18.75" customHeight="1">
      <c r="BM52420" s="1025"/>
      <c r="BO52420" s="43"/>
    </row>
    <row r="52421" spans="65:67" ht="18.75" customHeight="1">
      <c r="BM52421" s="1025"/>
      <c r="BO52421" s="43"/>
    </row>
    <row r="52422" spans="65:67" ht="18.75" customHeight="1">
      <c r="BM52422" s="1025"/>
      <c r="BO52422" s="43"/>
    </row>
    <row r="52423" spans="65:67" ht="18.75" customHeight="1">
      <c r="BM52423" s="1025"/>
      <c r="BO52423" s="43"/>
    </row>
    <row r="52424" spans="65:67" ht="18.75" customHeight="1">
      <c r="BM52424" s="1025"/>
      <c r="BO52424" s="43"/>
    </row>
    <row r="52425" spans="65:67" ht="18.75" customHeight="1">
      <c r="BM52425" s="1025"/>
      <c r="BO52425" s="43"/>
    </row>
    <row r="52426" spans="65:67" ht="18.75" customHeight="1">
      <c r="BM52426" s="1025"/>
      <c r="BO52426" s="43"/>
    </row>
    <row r="52427" spans="65:67" ht="18.75" customHeight="1">
      <c r="BM52427" s="1025"/>
      <c r="BO52427" s="43"/>
    </row>
    <row r="52428" spans="65:67" ht="18.75" customHeight="1">
      <c r="BM52428" s="1025"/>
      <c r="BO52428" s="43"/>
    </row>
    <row r="52429" spans="65:67" ht="18.75" customHeight="1">
      <c r="BM52429" s="1025"/>
      <c r="BO52429" s="43"/>
    </row>
    <row r="52430" spans="65:67" ht="18.75" customHeight="1">
      <c r="BM52430" s="1025"/>
      <c r="BO52430" s="43"/>
    </row>
    <row r="52431" spans="65:67" ht="18.75" customHeight="1">
      <c r="BM52431" s="1025"/>
      <c r="BO52431" s="43"/>
    </row>
    <row r="52432" spans="65:67" ht="18.75" customHeight="1">
      <c r="BM52432" s="1025"/>
      <c r="BO52432" s="43"/>
    </row>
    <row r="52433" spans="65:67" ht="18.75" customHeight="1">
      <c r="BM52433" s="1025"/>
      <c r="BO52433" s="43"/>
    </row>
    <row r="52434" spans="65:67" ht="18.75" customHeight="1">
      <c r="BM52434" s="1025"/>
      <c r="BO52434" s="43"/>
    </row>
    <row r="52435" spans="65:67" ht="18.75" customHeight="1">
      <c r="BM52435" s="1025"/>
      <c r="BO52435" s="43"/>
    </row>
    <row r="52436" spans="65:67" ht="18.75" customHeight="1">
      <c r="BM52436" s="1025"/>
      <c r="BO52436" s="43"/>
    </row>
    <row r="52437" spans="65:67" ht="18.75" customHeight="1">
      <c r="BM52437" s="1025"/>
      <c r="BO52437" s="43"/>
    </row>
    <row r="52438" spans="65:67" ht="18.75" customHeight="1">
      <c r="BM52438" s="1025"/>
      <c r="BO52438" s="43"/>
    </row>
    <row r="52439" spans="65:67" ht="18.75" customHeight="1">
      <c r="BM52439" s="1025"/>
      <c r="BO52439" s="43"/>
    </row>
    <row r="52440" spans="65:67" ht="18.75" customHeight="1">
      <c r="BM52440" s="1025"/>
      <c r="BO52440" s="43"/>
    </row>
    <row r="52441" spans="65:67" ht="18.75" customHeight="1">
      <c r="BM52441" s="1025"/>
      <c r="BO52441" s="43"/>
    </row>
    <row r="52442" spans="65:67" ht="18.75" customHeight="1">
      <c r="BM52442" s="1025"/>
      <c r="BO52442" s="43"/>
    </row>
    <row r="52443" spans="65:67" ht="18.75" customHeight="1">
      <c r="BM52443" s="1025"/>
      <c r="BO52443" s="43"/>
    </row>
    <row r="52444" spans="65:67" ht="18.75" customHeight="1">
      <c r="BM52444" s="1025"/>
      <c r="BO52444" s="43"/>
    </row>
    <row r="52445" spans="65:67" ht="18.75" customHeight="1">
      <c r="BM52445" s="1025"/>
      <c r="BO52445" s="43"/>
    </row>
    <row r="52446" spans="65:67" ht="18.75" customHeight="1">
      <c r="BM52446" s="1025"/>
      <c r="BO52446" s="43"/>
    </row>
    <row r="52447" spans="65:67" ht="18.75" customHeight="1">
      <c r="BM52447" s="1025"/>
      <c r="BO52447" s="43"/>
    </row>
    <row r="52448" spans="65:67" ht="18.75" customHeight="1">
      <c r="BM52448" s="1025"/>
      <c r="BO52448" s="43"/>
    </row>
    <row r="52449" spans="65:67" ht="18.75" customHeight="1">
      <c r="BM52449" s="1025"/>
      <c r="BO52449" s="43"/>
    </row>
    <row r="52450" spans="65:67" ht="18.75" customHeight="1">
      <c r="BM52450" s="1025"/>
      <c r="BO52450" s="43"/>
    </row>
    <row r="52451" spans="65:67" ht="18.75" customHeight="1">
      <c r="BM52451" s="1025"/>
      <c r="BO52451" s="43"/>
    </row>
    <row r="52452" spans="65:67" ht="18.75" customHeight="1">
      <c r="BM52452" s="1025"/>
      <c r="BO52452" s="43"/>
    </row>
    <row r="52453" spans="65:67" ht="18.75" customHeight="1">
      <c r="BM52453" s="1025"/>
      <c r="BO52453" s="43"/>
    </row>
    <row r="52454" spans="65:67" ht="18.75" customHeight="1">
      <c r="BM52454" s="1025"/>
      <c r="BO52454" s="43"/>
    </row>
    <row r="52455" spans="65:67" ht="18.75" customHeight="1">
      <c r="BM52455" s="1025"/>
      <c r="BO52455" s="43"/>
    </row>
    <row r="52456" spans="65:67" ht="18.75" customHeight="1">
      <c r="BM52456" s="1025"/>
      <c r="BO52456" s="43"/>
    </row>
    <row r="52457" spans="65:67" ht="18.75" customHeight="1">
      <c r="BM52457" s="1025"/>
      <c r="BO52457" s="43"/>
    </row>
    <row r="52458" spans="65:67" ht="18.75" customHeight="1">
      <c r="BM52458" s="1025"/>
      <c r="BO52458" s="43"/>
    </row>
    <row r="52459" spans="65:67" ht="18.75" customHeight="1">
      <c r="BM52459" s="1025"/>
      <c r="BO52459" s="43"/>
    </row>
    <row r="52460" spans="65:67" ht="18.75" customHeight="1">
      <c r="BM52460" s="1025"/>
      <c r="BO52460" s="43"/>
    </row>
    <row r="52461" spans="65:67" ht="18.75" customHeight="1">
      <c r="BM52461" s="1025"/>
      <c r="BO52461" s="43"/>
    </row>
    <row r="52462" spans="65:67" ht="18.75" customHeight="1">
      <c r="BM52462" s="1025"/>
      <c r="BO52462" s="43"/>
    </row>
    <row r="52463" spans="65:67" ht="18.75" customHeight="1">
      <c r="BM52463" s="1025"/>
      <c r="BO52463" s="43"/>
    </row>
    <row r="52464" spans="65:67" ht="18.75" customHeight="1">
      <c r="BM52464" s="1025"/>
      <c r="BO52464" s="43"/>
    </row>
    <row r="52465" spans="65:67" ht="18.75" customHeight="1">
      <c r="BM52465" s="1025"/>
      <c r="BO52465" s="43"/>
    </row>
    <row r="52466" spans="65:67" ht="18.75" customHeight="1">
      <c r="BM52466" s="1025"/>
      <c r="BO52466" s="43"/>
    </row>
    <row r="52467" spans="65:67" ht="18.75" customHeight="1">
      <c r="BM52467" s="1025"/>
      <c r="BO52467" s="43"/>
    </row>
    <row r="52468" spans="65:67" ht="18.75" customHeight="1">
      <c r="BM52468" s="1025"/>
      <c r="BO52468" s="43"/>
    </row>
    <row r="52469" spans="65:67" ht="18.75" customHeight="1">
      <c r="BM52469" s="1025"/>
      <c r="BO52469" s="43"/>
    </row>
    <row r="52470" spans="65:67" ht="18.75" customHeight="1">
      <c r="BM52470" s="1025"/>
      <c r="BO52470" s="43"/>
    </row>
    <row r="52471" spans="65:67" ht="18.75" customHeight="1">
      <c r="BM52471" s="1025"/>
      <c r="BO52471" s="43"/>
    </row>
    <row r="52472" spans="65:67" ht="18.75" customHeight="1">
      <c r="BM52472" s="1025"/>
      <c r="BO52472" s="43"/>
    </row>
    <row r="52473" spans="65:67" ht="18.75" customHeight="1">
      <c r="BM52473" s="1025"/>
      <c r="BO52473" s="43"/>
    </row>
    <row r="52474" spans="65:67" ht="18.75" customHeight="1">
      <c r="BM52474" s="1025"/>
      <c r="BO52474" s="43"/>
    </row>
    <row r="52475" spans="65:67" ht="18.75" customHeight="1">
      <c r="BM52475" s="1025"/>
      <c r="BO52475" s="43"/>
    </row>
    <row r="52476" spans="65:67" ht="18.75" customHeight="1">
      <c r="BM52476" s="1025"/>
      <c r="BO52476" s="43"/>
    </row>
    <row r="52477" spans="65:67" ht="18.75" customHeight="1">
      <c r="BM52477" s="1025"/>
      <c r="BO52477" s="43"/>
    </row>
    <row r="52478" spans="65:67" ht="18.75" customHeight="1">
      <c r="BM52478" s="1025"/>
      <c r="BO52478" s="43"/>
    </row>
    <row r="52479" spans="65:67" ht="18.75" customHeight="1">
      <c r="BM52479" s="1025"/>
      <c r="BO52479" s="43"/>
    </row>
    <row r="52480" spans="65:67" ht="18.75" customHeight="1">
      <c r="BM52480" s="1025"/>
      <c r="BO52480" s="43"/>
    </row>
    <row r="52481" spans="65:67" ht="18.75" customHeight="1">
      <c r="BM52481" s="1025"/>
      <c r="BO52481" s="43"/>
    </row>
    <row r="52482" spans="65:67" ht="18.75" customHeight="1">
      <c r="BM52482" s="1025"/>
      <c r="BO52482" s="43"/>
    </row>
    <row r="52483" spans="65:67" ht="18.75" customHeight="1">
      <c r="BM52483" s="1025"/>
      <c r="BO52483" s="43"/>
    </row>
    <row r="52484" spans="65:67" ht="18.75" customHeight="1">
      <c r="BM52484" s="1025"/>
      <c r="BO52484" s="43"/>
    </row>
    <row r="52485" spans="65:67" ht="18.75" customHeight="1">
      <c r="BM52485" s="1025"/>
      <c r="BO52485" s="43"/>
    </row>
    <row r="52486" spans="65:67" ht="18.75" customHeight="1">
      <c r="BM52486" s="1025"/>
      <c r="BO52486" s="43"/>
    </row>
    <row r="52487" spans="65:67" ht="18.75" customHeight="1">
      <c r="BM52487" s="1025"/>
      <c r="BO52487" s="43"/>
    </row>
    <row r="52488" spans="65:67" ht="18.75" customHeight="1">
      <c r="BM52488" s="1025"/>
      <c r="BO52488" s="43"/>
    </row>
    <row r="52489" spans="65:67" ht="18.75" customHeight="1">
      <c r="BM52489" s="1025"/>
      <c r="BO52489" s="43"/>
    </row>
    <row r="52490" spans="65:67" ht="18.75" customHeight="1">
      <c r="BM52490" s="1025"/>
      <c r="BO52490" s="43"/>
    </row>
    <row r="52491" spans="65:67" ht="18.75" customHeight="1">
      <c r="BM52491" s="1025"/>
      <c r="BO52491" s="43"/>
    </row>
    <row r="52492" spans="65:67" ht="18.75" customHeight="1">
      <c r="BM52492" s="1025"/>
      <c r="BO52492" s="43"/>
    </row>
    <row r="52493" spans="65:67" ht="18.75" customHeight="1">
      <c r="BM52493" s="1025"/>
      <c r="BO52493" s="43"/>
    </row>
    <row r="52494" spans="65:67" ht="18.75" customHeight="1">
      <c r="BM52494" s="1025"/>
      <c r="BO52494" s="43"/>
    </row>
    <row r="52495" spans="65:67" ht="18.75" customHeight="1">
      <c r="BM52495" s="1025"/>
      <c r="BO52495" s="43"/>
    </row>
    <row r="52496" spans="65:67" ht="18.75" customHeight="1">
      <c r="BM52496" s="1025"/>
      <c r="BO52496" s="43"/>
    </row>
    <row r="52497" spans="65:67" ht="18.75" customHeight="1">
      <c r="BM52497" s="1025"/>
      <c r="BO52497" s="43"/>
    </row>
    <row r="52498" spans="65:67" ht="18.75" customHeight="1">
      <c r="BM52498" s="1025"/>
      <c r="BO52498" s="43"/>
    </row>
    <row r="52499" spans="65:67" ht="18.75" customHeight="1">
      <c r="BM52499" s="1025"/>
      <c r="BO52499" s="43"/>
    </row>
    <row r="52500" spans="65:67" ht="18.75" customHeight="1">
      <c r="BM52500" s="1025"/>
      <c r="BO52500" s="43"/>
    </row>
    <row r="52501" spans="65:67" ht="18.75" customHeight="1">
      <c r="BM52501" s="1025"/>
      <c r="BO52501" s="43"/>
    </row>
    <row r="52502" spans="65:67" ht="18.75" customHeight="1">
      <c r="BM52502" s="1025"/>
      <c r="BO52502" s="43"/>
    </row>
    <row r="52503" spans="65:67" ht="18.75" customHeight="1">
      <c r="BM52503" s="1025"/>
      <c r="BO52503" s="43"/>
    </row>
    <row r="52504" spans="65:67" ht="18.75" customHeight="1">
      <c r="BM52504" s="1025"/>
      <c r="BO52504" s="43"/>
    </row>
    <row r="52505" spans="65:67" ht="18.75" customHeight="1">
      <c r="BM52505" s="1025"/>
      <c r="BO52505" s="43"/>
    </row>
    <row r="52506" spans="65:67" ht="18.75" customHeight="1">
      <c r="BM52506" s="1025"/>
      <c r="BO52506" s="43"/>
    </row>
    <row r="52507" spans="65:67" ht="18.75" customHeight="1">
      <c r="BM52507" s="1025"/>
      <c r="BO52507" s="43"/>
    </row>
    <row r="52508" spans="65:67" ht="18.75" customHeight="1">
      <c r="BM52508" s="1025"/>
      <c r="BO52508" s="43"/>
    </row>
    <row r="52509" spans="65:67" ht="18.75" customHeight="1">
      <c r="BM52509" s="1025"/>
      <c r="BO52509" s="43"/>
    </row>
    <row r="52510" spans="65:67" ht="18.75" customHeight="1">
      <c r="BM52510" s="1025"/>
      <c r="BO52510" s="43"/>
    </row>
    <row r="52511" spans="65:67" ht="18.75" customHeight="1">
      <c r="BM52511" s="1025"/>
      <c r="BO52511" s="43"/>
    </row>
    <row r="52512" spans="65:67" ht="18.75" customHeight="1">
      <c r="BM52512" s="1025"/>
      <c r="BO52512" s="43"/>
    </row>
    <row r="52513" spans="65:67" ht="18.75" customHeight="1">
      <c r="BM52513" s="1025"/>
      <c r="BO52513" s="43"/>
    </row>
    <row r="52514" spans="65:67" ht="18.75" customHeight="1">
      <c r="BM52514" s="1025"/>
      <c r="BO52514" s="43"/>
    </row>
    <row r="52515" spans="65:67" ht="18.75" customHeight="1">
      <c r="BM52515" s="1025"/>
      <c r="BO52515" s="43"/>
    </row>
    <row r="52516" spans="65:67" ht="18.75" customHeight="1">
      <c r="BM52516" s="1025"/>
      <c r="BO52516" s="43"/>
    </row>
    <row r="52517" spans="65:67" ht="18.75" customHeight="1">
      <c r="BM52517" s="1025"/>
      <c r="BO52517" s="43"/>
    </row>
    <row r="52518" spans="65:67" ht="18.75" customHeight="1">
      <c r="BM52518" s="1025"/>
      <c r="BO52518" s="43"/>
    </row>
    <row r="52519" spans="65:67" ht="18.75" customHeight="1">
      <c r="BM52519" s="1025"/>
      <c r="BO52519" s="43"/>
    </row>
    <row r="52520" spans="65:67" ht="18.75" customHeight="1">
      <c r="BM52520" s="1025"/>
      <c r="BO52520" s="43"/>
    </row>
    <row r="52521" spans="65:67" ht="18.75" customHeight="1">
      <c r="BM52521" s="1025"/>
      <c r="BO52521" s="43"/>
    </row>
    <row r="52522" spans="65:67" ht="18.75" customHeight="1">
      <c r="BM52522" s="1025"/>
      <c r="BO52522" s="43"/>
    </row>
    <row r="52523" spans="65:67" ht="18.75" customHeight="1">
      <c r="BM52523" s="1025"/>
      <c r="BO52523" s="43"/>
    </row>
    <row r="52524" spans="65:67" ht="18.75" customHeight="1">
      <c r="BM52524" s="1025"/>
      <c r="BO52524" s="43"/>
    </row>
    <row r="52525" spans="65:67" ht="18.75" customHeight="1">
      <c r="BM52525" s="1025"/>
      <c r="BO52525" s="43"/>
    </row>
    <row r="52526" spans="65:67" ht="18.75" customHeight="1">
      <c r="BM52526" s="1025"/>
      <c r="BO52526" s="43"/>
    </row>
    <row r="52527" spans="65:67" ht="18.75" customHeight="1">
      <c r="BM52527" s="1025"/>
      <c r="BO52527" s="43"/>
    </row>
    <row r="52528" spans="65:67" ht="18.75" customHeight="1">
      <c r="BM52528" s="1025"/>
      <c r="BO52528" s="43"/>
    </row>
    <row r="52529" spans="65:67" ht="18.75" customHeight="1">
      <c r="BM52529" s="1025"/>
      <c r="BO52529" s="43"/>
    </row>
    <row r="52530" spans="65:67" ht="18.75" customHeight="1">
      <c r="BM52530" s="1025"/>
      <c r="BO52530" s="43"/>
    </row>
    <row r="52531" spans="65:67" ht="18.75" customHeight="1">
      <c r="BM52531" s="1025"/>
      <c r="BO52531" s="43"/>
    </row>
    <row r="52532" spans="65:67" ht="18.75" customHeight="1">
      <c r="BM52532" s="1025"/>
      <c r="BO52532" s="43"/>
    </row>
    <row r="52533" spans="65:67" ht="18.75" customHeight="1">
      <c r="BM52533" s="1025"/>
      <c r="BO52533" s="43"/>
    </row>
    <row r="52534" spans="65:67" ht="18.75" customHeight="1">
      <c r="BM52534" s="1025"/>
      <c r="BO52534" s="43"/>
    </row>
    <row r="52535" spans="65:67" ht="18.75" customHeight="1">
      <c r="BM52535" s="1025"/>
      <c r="BO52535" s="43"/>
    </row>
    <row r="52536" spans="65:67" ht="18.75" customHeight="1">
      <c r="BM52536" s="1025"/>
      <c r="BO52536" s="43"/>
    </row>
    <row r="52537" spans="65:67" ht="18.75" customHeight="1">
      <c r="BM52537" s="1025"/>
      <c r="BO52537" s="43"/>
    </row>
    <row r="52538" spans="65:67" ht="18.75" customHeight="1">
      <c r="BM52538" s="1025"/>
      <c r="BO52538" s="43"/>
    </row>
    <row r="52539" spans="65:67" ht="18.75" customHeight="1">
      <c r="BM52539" s="1025"/>
      <c r="BO52539" s="43"/>
    </row>
    <row r="52540" spans="65:67" ht="18.75" customHeight="1">
      <c r="BM52540" s="1025"/>
      <c r="BO52540" s="43"/>
    </row>
    <row r="52541" spans="65:67" ht="18.75" customHeight="1">
      <c r="BM52541" s="1025"/>
      <c r="BO52541" s="43"/>
    </row>
    <row r="52542" spans="65:67" ht="18.75" customHeight="1">
      <c r="BM52542" s="1025"/>
      <c r="BO52542" s="43"/>
    </row>
    <row r="52543" spans="65:67" ht="18.75" customHeight="1">
      <c r="BM52543" s="1025"/>
      <c r="BO52543" s="43"/>
    </row>
    <row r="52544" spans="65:67" ht="18.75" customHeight="1">
      <c r="BM52544" s="1025"/>
      <c r="BO52544" s="43"/>
    </row>
    <row r="52545" spans="65:67" ht="18.75" customHeight="1">
      <c r="BM52545" s="1025"/>
      <c r="BO52545" s="43"/>
    </row>
    <row r="52546" spans="65:67" ht="18.75" customHeight="1">
      <c r="BM52546" s="1025"/>
      <c r="BO52546" s="43"/>
    </row>
    <row r="52547" spans="65:67" ht="18.75" customHeight="1">
      <c r="BM52547" s="1025"/>
      <c r="BO52547" s="43"/>
    </row>
    <row r="52548" spans="65:67" ht="18.75" customHeight="1">
      <c r="BM52548" s="1025"/>
      <c r="BO52548" s="43"/>
    </row>
    <row r="52549" spans="65:67" ht="18.75" customHeight="1">
      <c r="BM52549" s="1025"/>
      <c r="BO52549" s="43"/>
    </row>
    <row r="52550" spans="65:67" ht="18.75" customHeight="1">
      <c r="BM52550" s="1025"/>
      <c r="BO52550" s="43"/>
    </row>
    <row r="52551" spans="65:67" ht="18.75" customHeight="1">
      <c r="BM52551" s="1025"/>
      <c r="BO52551" s="43"/>
    </row>
    <row r="52552" spans="65:67" ht="18.75" customHeight="1">
      <c r="BM52552" s="1025"/>
      <c r="BO52552" s="43"/>
    </row>
    <row r="52553" spans="65:67" ht="18.75" customHeight="1">
      <c r="BM52553" s="1025"/>
      <c r="BO52553" s="43"/>
    </row>
    <row r="52554" spans="65:67" ht="18.75" customHeight="1">
      <c r="BM52554" s="1025"/>
      <c r="BO52554" s="43"/>
    </row>
    <row r="52555" spans="65:67" ht="18.75" customHeight="1">
      <c r="BM52555" s="1025"/>
      <c r="BO52555" s="43"/>
    </row>
    <row r="52556" spans="65:67" ht="18.75" customHeight="1">
      <c r="BM52556" s="1025"/>
      <c r="BO52556" s="43"/>
    </row>
    <row r="52557" spans="65:67" ht="18.75" customHeight="1">
      <c r="BM52557" s="1025"/>
      <c r="BO52557" s="43"/>
    </row>
    <row r="52558" spans="65:67" ht="18.75" customHeight="1">
      <c r="BM52558" s="1025"/>
      <c r="BO52558" s="43"/>
    </row>
    <row r="52559" spans="65:67" ht="18.75" customHeight="1">
      <c r="BM52559" s="1025"/>
      <c r="BO52559" s="43"/>
    </row>
    <row r="52560" spans="65:67" ht="18.75" customHeight="1">
      <c r="BM52560" s="1025"/>
      <c r="BO52560" s="43"/>
    </row>
    <row r="52561" spans="65:67" ht="18.75" customHeight="1">
      <c r="BM52561" s="1025"/>
      <c r="BO52561" s="43"/>
    </row>
    <row r="52562" spans="65:67" ht="18.75" customHeight="1">
      <c r="BM52562" s="1025"/>
      <c r="BO52562" s="43"/>
    </row>
    <row r="52563" spans="65:67" ht="18.75" customHeight="1">
      <c r="BM52563" s="1025"/>
      <c r="BO52563" s="43"/>
    </row>
    <row r="52564" spans="65:67" ht="18.75" customHeight="1">
      <c r="BM52564" s="1025"/>
      <c r="BO52564" s="43"/>
    </row>
    <row r="52565" spans="65:67" ht="18.75" customHeight="1">
      <c r="BM52565" s="1025"/>
      <c r="BO52565" s="43"/>
    </row>
    <row r="52566" spans="65:67" ht="18.75" customHeight="1">
      <c r="BM52566" s="1025"/>
      <c r="BO52566" s="43"/>
    </row>
    <row r="52567" spans="65:67" ht="18.75" customHeight="1">
      <c r="BM52567" s="1025"/>
      <c r="BO52567" s="43"/>
    </row>
    <row r="52568" spans="65:67" ht="18.75" customHeight="1">
      <c r="BM52568" s="1025"/>
      <c r="BO52568" s="43"/>
    </row>
    <row r="52569" spans="65:67" ht="18.75" customHeight="1">
      <c r="BM52569" s="1025"/>
      <c r="BO52569" s="43"/>
    </row>
    <row r="52570" spans="65:67" ht="18.75" customHeight="1">
      <c r="BM52570" s="1025"/>
      <c r="BO52570" s="43"/>
    </row>
    <row r="52571" spans="65:67" ht="18.75" customHeight="1">
      <c r="BM52571" s="1025"/>
      <c r="BO52571" s="43"/>
    </row>
    <row r="52572" spans="65:67" ht="18.75" customHeight="1">
      <c r="BM52572" s="1025"/>
      <c r="BO52572" s="43"/>
    </row>
    <row r="52573" spans="65:67" ht="18.75" customHeight="1">
      <c r="BM52573" s="1025"/>
      <c r="BO52573" s="43"/>
    </row>
    <row r="52574" spans="65:67" ht="18.75" customHeight="1">
      <c r="BM52574" s="1025"/>
      <c r="BO52574" s="43"/>
    </row>
    <row r="52575" spans="65:67" ht="18.75" customHeight="1">
      <c r="BM52575" s="1025"/>
      <c r="BO52575" s="43"/>
    </row>
    <row r="52576" spans="65:67" ht="18.75" customHeight="1">
      <c r="BM52576" s="1025"/>
      <c r="BO52576" s="43"/>
    </row>
    <row r="52577" spans="65:67" ht="18.75" customHeight="1">
      <c r="BM52577" s="1025"/>
      <c r="BO52577" s="43"/>
    </row>
    <row r="52578" spans="65:67" ht="18.75" customHeight="1">
      <c r="BM52578" s="1025"/>
      <c r="BO52578" s="43"/>
    </row>
    <row r="52579" spans="65:67" ht="18.75" customHeight="1">
      <c r="BM52579" s="1025"/>
      <c r="BO52579" s="43"/>
    </row>
    <row r="52580" spans="65:67" ht="18.75" customHeight="1">
      <c r="BM52580" s="1025"/>
      <c r="BO52580" s="43"/>
    </row>
    <row r="52581" spans="65:67" ht="18.75" customHeight="1">
      <c r="BM52581" s="1025"/>
      <c r="BO52581" s="43"/>
    </row>
    <row r="52582" spans="65:67" ht="18.75" customHeight="1">
      <c r="BM52582" s="1025"/>
      <c r="BO52582" s="43"/>
    </row>
    <row r="52583" spans="65:67" ht="18.75" customHeight="1">
      <c r="BM52583" s="1025"/>
      <c r="BO52583" s="43"/>
    </row>
    <row r="52584" spans="65:67" ht="18.75" customHeight="1">
      <c r="BM52584" s="1025"/>
      <c r="BO52584" s="43"/>
    </row>
    <row r="52585" spans="65:67" ht="18.75" customHeight="1">
      <c r="BM52585" s="1025"/>
      <c r="BO52585" s="43"/>
    </row>
    <row r="52586" spans="65:67" ht="18.75" customHeight="1">
      <c r="BM52586" s="1025"/>
      <c r="BO52586" s="43"/>
    </row>
    <row r="52587" spans="65:67" ht="18.75" customHeight="1">
      <c r="BM52587" s="1025"/>
      <c r="BO52587" s="43"/>
    </row>
    <row r="52588" spans="65:67" ht="18.75" customHeight="1">
      <c r="BM52588" s="1025"/>
      <c r="BO52588" s="43"/>
    </row>
    <row r="52589" spans="65:67" ht="18.75" customHeight="1">
      <c r="BM52589" s="1025"/>
      <c r="BO52589" s="43"/>
    </row>
    <row r="52590" spans="65:67" ht="18.75" customHeight="1">
      <c r="BM52590" s="1025"/>
      <c r="BO52590" s="43"/>
    </row>
    <row r="52591" spans="65:67" ht="18.75" customHeight="1">
      <c r="BM52591" s="1025"/>
      <c r="BO52591" s="43"/>
    </row>
    <row r="52592" spans="65:67" ht="18.75" customHeight="1">
      <c r="BM52592" s="1025"/>
      <c r="BO52592" s="43"/>
    </row>
    <row r="52593" spans="65:67" ht="18.75" customHeight="1">
      <c r="BM52593" s="1025"/>
      <c r="BO52593" s="43"/>
    </row>
    <row r="52594" spans="65:67" ht="18.75" customHeight="1">
      <c r="BM52594" s="1025"/>
      <c r="BO52594" s="43"/>
    </row>
    <row r="52595" spans="65:67" ht="18.75" customHeight="1">
      <c r="BM52595" s="1025"/>
      <c r="BO52595" s="43"/>
    </row>
    <row r="52596" spans="65:67" ht="18.75" customHeight="1">
      <c r="BM52596" s="1025"/>
      <c r="BO52596" s="43"/>
    </row>
    <row r="52597" spans="65:67" ht="18.75" customHeight="1">
      <c r="BM52597" s="1025"/>
      <c r="BO52597" s="43"/>
    </row>
    <row r="52598" spans="65:67" ht="18.75" customHeight="1">
      <c r="BM52598" s="1025"/>
      <c r="BO52598" s="43"/>
    </row>
    <row r="52599" spans="65:67" ht="18.75" customHeight="1">
      <c r="BM52599" s="1025"/>
      <c r="BO52599" s="43"/>
    </row>
    <row r="52600" spans="65:67" ht="18.75" customHeight="1">
      <c r="BM52600" s="1025"/>
      <c r="BO52600" s="43"/>
    </row>
    <row r="52601" spans="65:67" ht="18.75" customHeight="1">
      <c r="BM52601" s="1025"/>
      <c r="BO52601" s="43"/>
    </row>
    <row r="52602" spans="65:67" ht="18.75" customHeight="1">
      <c r="BM52602" s="1025"/>
      <c r="BO52602" s="43"/>
    </row>
    <row r="52603" spans="65:67" ht="18.75" customHeight="1">
      <c r="BM52603" s="1025"/>
      <c r="BO52603" s="43"/>
    </row>
    <row r="52604" spans="65:67" ht="18.75" customHeight="1">
      <c r="BM52604" s="1025"/>
      <c r="BO52604" s="43"/>
    </row>
    <row r="52605" spans="65:67" ht="18.75" customHeight="1">
      <c r="BM52605" s="1025"/>
      <c r="BO52605" s="43"/>
    </row>
    <row r="52606" spans="65:67" ht="18.75" customHeight="1">
      <c r="BM52606" s="1025"/>
      <c r="BO52606" s="43"/>
    </row>
    <row r="52607" spans="65:67" ht="18.75" customHeight="1">
      <c r="BM52607" s="1025"/>
      <c r="BO52607" s="43"/>
    </row>
    <row r="52608" spans="65:67" ht="18.75" customHeight="1">
      <c r="BM52608" s="1025"/>
      <c r="BO52608" s="43"/>
    </row>
    <row r="52609" spans="65:67" ht="18.75" customHeight="1">
      <c r="BM52609" s="1025"/>
      <c r="BO52609" s="43"/>
    </row>
    <row r="52610" spans="65:67" ht="18.75" customHeight="1">
      <c r="BM52610" s="1025"/>
      <c r="BO52610" s="43"/>
    </row>
    <row r="52611" spans="65:67" ht="18.75" customHeight="1">
      <c r="BM52611" s="1025"/>
      <c r="BO52611" s="43"/>
    </row>
    <row r="52612" spans="65:67" ht="18.75" customHeight="1">
      <c r="BM52612" s="1025"/>
      <c r="BO52612" s="43"/>
    </row>
    <row r="52613" spans="65:67" ht="18.75" customHeight="1">
      <c r="BM52613" s="1025"/>
      <c r="BO52613" s="43"/>
    </row>
    <row r="52614" spans="65:67" ht="18.75" customHeight="1">
      <c r="BM52614" s="1025"/>
      <c r="BO52614" s="43"/>
    </row>
    <row r="52615" spans="65:67" ht="18.75" customHeight="1">
      <c r="BM52615" s="1025"/>
      <c r="BO52615" s="43"/>
    </row>
    <row r="52616" spans="65:67" ht="18.75" customHeight="1">
      <c r="BM52616" s="1025"/>
      <c r="BO52616" s="43"/>
    </row>
    <row r="52617" spans="65:67" ht="18.75" customHeight="1">
      <c r="BM52617" s="1025"/>
      <c r="BO52617" s="43"/>
    </row>
    <row r="52618" spans="65:67" ht="18.75" customHeight="1">
      <c r="BM52618" s="1025"/>
      <c r="BO52618" s="43"/>
    </row>
    <row r="52619" spans="65:67" ht="18.75" customHeight="1">
      <c r="BM52619" s="1025"/>
      <c r="BO52619" s="43"/>
    </row>
    <row r="52620" spans="65:67" ht="18.75" customHeight="1">
      <c r="BM52620" s="1025"/>
      <c r="BO52620" s="43"/>
    </row>
    <row r="52621" spans="65:67" ht="18.75" customHeight="1">
      <c r="BM52621" s="1025"/>
      <c r="BO52621" s="43"/>
    </row>
    <row r="52622" spans="65:67" ht="18.75" customHeight="1">
      <c r="BM52622" s="1025"/>
      <c r="BO52622" s="43"/>
    </row>
    <row r="52623" spans="65:67" ht="18.75" customHeight="1">
      <c r="BM52623" s="1025"/>
      <c r="BO52623" s="43"/>
    </row>
    <row r="52624" spans="65:67" ht="18.75" customHeight="1">
      <c r="BM52624" s="1025"/>
      <c r="BO52624" s="43"/>
    </row>
    <row r="52625" spans="65:67" ht="18.75" customHeight="1">
      <c r="BM52625" s="1025"/>
      <c r="BO52625" s="43"/>
    </row>
    <row r="52626" spans="65:67" ht="18.75" customHeight="1">
      <c r="BM52626" s="1025"/>
      <c r="BO52626" s="43"/>
    </row>
    <row r="52627" spans="65:67" ht="18.75" customHeight="1">
      <c r="BM52627" s="1025"/>
      <c r="BO52627" s="43"/>
    </row>
    <row r="52628" spans="65:67" ht="18.75" customHeight="1">
      <c r="BM52628" s="1025"/>
      <c r="BO52628" s="43"/>
    </row>
    <row r="52629" spans="65:67" ht="18.75" customHeight="1">
      <c r="BM52629" s="1025"/>
      <c r="BO52629" s="43"/>
    </row>
    <row r="52630" spans="65:67" ht="18.75" customHeight="1">
      <c r="BM52630" s="1025"/>
      <c r="BO52630" s="43"/>
    </row>
    <row r="52631" spans="65:67" ht="18.75" customHeight="1">
      <c r="BM52631" s="1025"/>
      <c r="BO52631" s="43"/>
    </row>
    <row r="52632" spans="65:67" ht="18.75" customHeight="1">
      <c r="BM52632" s="1025"/>
      <c r="BO52632" s="43"/>
    </row>
    <row r="52633" spans="65:67" ht="18.75" customHeight="1">
      <c r="BM52633" s="1025"/>
      <c r="BO52633" s="43"/>
    </row>
    <row r="52634" spans="65:67" ht="18.75" customHeight="1">
      <c r="BM52634" s="1025"/>
      <c r="BO52634" s="43"/>
    </row>
    <row r="52635" spans="65:67" ht="18.75" customHeight="1">
      <c r="BM52635" s="1025"/>
      <c r="BO52635" s="43"/>
    </row>
    <row r="52636" spans="65:67" ht="18.75" customHeight="1">
      <c r="BM52636" s="1025"/>
      <c r="BO52636" s="43"/>
    </row>
    <row r="52637" spans="65:67" ht="18.75" customHeight="1">
      <c r="BM52637" s="1025"/>
      <c r="BO52637" s="43"/>
    </row>
    <row r="52638" spans="65:67" ht="18.75" customHeight="1">
      <c r="BM52638" s="1025"/>
      <c r="BO52638" s="43"/>
    </row>
    <row r="52639" spans="65:67" ht="18.75" customHeight="1">
      <c r="BM52639" s="1025"/>
      <c r="BO52639" s="43"/>
    </row>
    <row r="52640" spans="65:67" ht="18.75" customHeight="1">
      <c r="BM52640" s="1025"/>
      <c r="BO52640" s="43"/>
    </row>
    <row r="52641" spans="65:67" ht="18.75" customHeight="1">
      <c r="BM52641" s="1025"/>
      <c r="BO52641" s="43"/>
    </row>
    <row r="52642" spans="65:67" ht="18.75" customHeight="1">
      <c r="BM52642" s="1025"/>
      <c r="BO52642" s="43"/>
    </row>
    <row r="52643" spans="65:67" ht="18.75" customHeight="1">
      <c r="BM52643" s="1025"/>
      <c r="BO52643" s="43"/>
    </row>
    <row r="52644" spans="65:67" ht="18.75" customHeight="1">
      <c r="BM52644" s="1025"/>
      <c r="BO52644" s="43"/>
    </row>
    <row r="52645" spans="65:67" ht="18.75" customHeight="1">
      <c r="BM52645" s="1025"/>
      <c r="BO52645" s="43"/>
    </row>
    <row r="52646" spans="65:67" ht="18.75" customHeight="1">
      <c r="BM52646" s="1025"/>
      <c r="BO52646" s="43"/>
    </row>
    <row r="52647" spans="65:67" ht="18.75" customHeight="1">
      <c r="BM52647" s="1025"/>
      <c r="BO52647" s="43"/>
    </row>
    <row r="52648" spans="65:67" ht="18.75" customHeight="1">
      <c r="BM52648" s="1025"/>
      <c r="BO52648" s="43"/>
    </row>
    <row r="52649" spans="65:67" ht="18.75" customHeight="1">
      <c r="BM52649" s="1025"/>
      <c r="BO52649" s="43"/>
    </row>
    <row r="52650" spans="65:67" ht="18.75" customHeight="1">
      <c r="BM52650" s="1025"/>
      <c r="BO52650" s="43"/>
    </row>
    <row r="52651" spans="65:67" ht="18.75" customHeight="1">
      <c r="BM52651" s="1025"/>
      <c r="BO52651" s="43"/>
    </row>
    <row r="52652" spans="65:67" ht="18.75" customHeight="1">
      <c r="BM52652" s="1025"/>
      <c r="BO52652" s="43"/>
    </row>
    <row r="52653" spans="65:67" ht="18.75" customHeight="1">
      <c r="BM52653" s="1025"/>
      <c r="BO52653" s="43"/>
    </row>
    <row r="52654" spans="65:67" ht="18.75" customHeight="1">
      <c r="BM52654" s="1025"/>
      <c r="BO52654" s="43"/>
    </row>
    <row r="52655" spans="65:67" ht="18.75" customHeight="1">
      <c r="BM52655" s="1025"/>
      <c r="BO52655" s="43"/>
    </row>
    <row r="52656" spans="65:67" ht="18.75" customHeight="1">
      <c r="BM52656" s="1025"/>
      <c r="BO52656" s="43"/>
    </row>
    <row r="52657" spans="65:67" ht="18.75" customHeight="1">
      <c r="BM52657" s="1025"/>
      <c r="BO52657" s="43"/>
    </row>
    <row r="52658" spans="65:67" ht="18.75" customHeight="1">
      <c r="BM52658" s="1025"/>
      <c r="BO52658" s="43"/>
    </row>
    <row r="52659" spans="65:67" ht="18.75" customHeight="1">
      <c r="BM52659" s="1025"/>
      <c r="BO52659" s="43"/>
    </row>
    <row r="52660" spans="65:67" ht="18.75" customHeight="1">
      <c r="BM52660" s="1025"/>
      <c r="BO52660" s="43"/>
    </row>
    <row r="52661" spans="65:67" ht="18.75" customHeight="1">
      <c r="BM52661" s="1025"/>
      <c r="BO52661" s="43"/>
    </row>
    <row r="52662" spans="65:67" ht="18.75" customHeight="1">
      <c r="BM52662" s="1025"/>
      <c r="BO52662" s="43"/>
    </row>
    <row r="52663" spans="65:67" ht="18.75" customHeight="1">
      <c r="BM52663" s="1025"/>
      <c r="BO52663" s="43"/>
    </row>
    <row r="52664" spans="65:67" ht="18.75" customHeight="1">
      <c r="BM52664" s="1025"/>
      <c r="BO52664" s="43"/>
    </row>
    <row r="52665" spans="65:67" ht="18.75" customHeight="1">
      <c r="BM52665" s="1025"/>
      <c r="BO52665" s="43"/>
    </row>
    <row r="52666" spans="65:67" ht="18.75" customHeight="1">
      <c r="BM52666" s="1025"/>
      <c r="BO52666" s="43"/>
    </row>
    <row r="52667" spans="65:67" ht="18.75" customHeight="1">
      <c r="BM52667" s="1025"/>
      <c r="BO52667" s="43"/>
    </row>
    <row r="52668" spans="65:67" ht="18.75" customHeight="1">
      <c r="BM52668" s="1025"/>
      <c r="BO52668" s="43"/>
    </row>
    <row r="52669" spans="65:67" ht="18.75" customHeight="1">
      <c r="BM52669" s="1025"/>
      <c r="BO52669" s="43"/>
    </row>
    <row r="52670" spans="65:67" ht="18.75" customHeight="1">
      <c r="BM52670" s="1025"/>
      <c r="BO52670" s="43"/>
    </row>
    <row r="52671" spans="65:67" ht="18.75" customHeight="1">
      <c r="BM52671" s="1025"/>
      <c r="BO52671" s="43"/>
    </row>
    <row r="52672" spans="65:67" ht="18.75" customHeight="1">
      <c r="BM52672" s="1025"/>
      <c r="BO52672" s="43"/>
    </row>
    <row r="52673" spans="65:67" ht="18.75" customHeight="1">
      <c r="BM52673" s="1025"/>
      <c r="BO52673" s="43"/>
    </row>
    <row r="52674" spans="65:67" ht="18.75" customHeight="1">
      <c r="BM52674" s="1025"/>
      <c r="BO52674" s="43"/>
    </row>
    <row r="52675" spans="65:67" ht="18.75" customHeight="1">
      <c r="BM52675" s="1025"/>
      <c r="BO52675" s="43"/>
    </row>
    <row r="52676" spans="65:67" ht="18.75" customHeight="1">
      <c r="BM52676" s="1025"/>
      <c r="BO52676" s="43"/>
    </row>
    <row r="52677" spans="65:67" ht="18.75" customHeight="1">
      <c r="BM52677" s="1025"/>
      <c r="BO52677" s="43"/>
    </row>
    <row r="52678" spans="65:67" ht="18.75" customHeight="1">
      <c r="BM52678" s="1025"/>
      <c r="BO52678" s="43"/>
    </row>
    <row r="52679" spans="65:67" ht="18.75" customHeight="1">
      <c r="BM52679" s="1025"/>
      <c r="BO52679" s="43"/>
    </row>
    <row r="52680" spans="65:67" ht="18.75" customHeight="1">
      <c r="BM52680" s="1025"/>
      <c r="BO52680" s="43"/>
    </row>
    <row r="52681" spans="65:67" ht="18.75" customHeight="1">
      <c r="BM52681" s="1025"/>
      <c r="BO52681" s="43"/>
    </row>
    <row r="52682" spans="65:67" ht="18.75" customHeight="1">
      <c r="BM52682" s="1025"/>
      <c r="BO52682" s="43"/>
    </row>
    <row r="52683" spans="65:67" ht="18.75" customHeight="1">
      <c r="BM52683" s="1025"/>
      <c r="BO52683" s="43"/>
    </row>
    <row r="52684" spans="65:67" ht="18.75" customHeight="1">
      <c r="BM52684" s="1025"/>
      <c r="BO52684" s="43"/>
    </row>
    <row r="52685" spans="65:67" ht="18.75" customHeight="1">
      <c r="BM52685" s="1025"/>
      <c r="BO52685" s="43"/>
    </row>
    <row r="52686" spans="65:67" ht="18.75" customHeight="1">
      <c r="BM52686" s="1025"/>
      <c r="BO52686" s="43"/>
    </row>
    <row r="52687" spans="65:67" ht="18.75" customHeight="1">
      <c r="BM52687" s="1025"/>
      <c r="BO52687" s="43"/>
    </row>
    <row r="52688" spans="65:67" ht="18.75" customHeight="1">
      <c r="BM52688" s="1025"/>
      <c r="BO52688" s="43"/>
    </row>
    <row r="52689" spans="65:67" ht="18.75" customHeight="1">
      <c r="BM52689" s="1025"/>
      <c r="BO52689" s="43"/>
    </row>
    <row r="52690" spans="65:67" ht="18.75" customHeight="1">
      <c r="BM52690" s="1025"/>
      <c r="BO52690" s="43"/>
    </row>
    <row r="52691" spans="65:67" ht="18.75" customHeight="1">
      <c r="BM52691" s="1025"/>
      <c r="BO52691" s="43"/>
    </row>
    <row r="52692" spans="65:67" ht="18.75" customHeight="1">
      <c r="BM52692" s="1025"/>
      <c r="BO52692" s="43"/>
    </row>
    <row r="52693" spans="65:67" ht="18.75" customHeight="1">
      <c r="BM52693" s="1025"/>
      <c r="BO52693" s="43"/>
    </row>
    <row r="52694" spans="65:67" ht="18.75" customHeight="1">
      <c r="BM52694" s="1025"/>
      <c r="BO52694" s="43"/>
    </row>
    <row r="52695" spans="65:67" ht="18.75" customHeight="1">
      <c r="BM52695" s="1025"/>
      <c r="BO52695" s="43"/>
    </row>
    <row r="52696" spans="65:67" ht="18.75" customHeight="1">
      <c r="BM52696" s="1025"/>
      <c r="BO52696" s="43"/>
    </row>
    <row r="52697" spans="65:67" ht="18.75" customHeight="1">
      <c r="BM52697" s="1025"/>
      <c r="BO52697" s="43"/>
    </row>
    <row r="52698" spans="65:67" ht="18.75" customHeight="1">
      <c r="BM52698" s="1025"/>
      <c r="BO52698" s="43"/>
    </row>
    <row r="52699" spans="65:67" ht="18.75" customHeight="1">
      <c r="BM52699" s="1025"/>
      <c r="BO52699" s="43"/>
    </row>
    <row r="52700" spans="65:67" ht="18.75" customHeight="1">
      <c r="BM52700" s="1025"/>
      <c r="BO52700" s="43"/>
    </row>
    <row r="52701" spans="65:67" ht="18.75" customHeight="1">
      <c r="BM52701" s="1025"/>
      <c r="BO52701" s="43"/>
    </row>
    <row r="52702" spans="65:67" ht="18.75" customHeight="1">
      <c r="BM52702" s="1025"/>
      <c r="BO52702" s="43"/>
    </row>
    <row r="52703" spans="65:67" ht="18.75" customHeight="1">
      <c r="BM52703" s="1025"/>
      <c r="BO52703" s="43"/>
    </row>
    <row r="52704" spans="65:67" ht="18.75" customHeight="1">
      <c r="BM52704" s="1025"/>
      <c r="BO52704" s="43"/>
    </row>
    <row r="52705" spans="65:67" ht="18.75" customHeight="1">
      <c r="BM52705" s="1025"/>
      <c r="BO52705" s="43"/>
    </row>
    <row r="52706" spans="65:67" ht="18.75" customHeight="1">
      <c r="BM52706" s="1025"/>
      <c r="BO52706" s="43"/>
    </row>
    <row r="52707" spans="65:67" ht="18.75" customHeight="1">
      <c r="BM52707" s="1025"/>
      <c r="BO52707" s="43"/>
    </row>
    <row r="52708" spans="65:67" ht="18.75" customHeight="1">
      <c r="BM52708" s="1025"/>
      <c r="BO52708" s="43"/>
    </row>
    <row r="52709" spans="65:67" ht="18.75" customHeight="1">
      <c r="BM52709" s="1025"/>
      <c r="BO52709" s="43"/>
    </row>
    <row r="52710" spans="65:67" ht="18.75" customHeight="1">
      <c r="BM52710" s="1025"/>
      <c r="BO52710" s="43"/>
    </row>
    <row r="52711" spans="65:67" ht="18.75" customHeight="1">
      <c r="BM52711" s="1025"/>
      <c r="BO52711" s="43"/>
    </row>
    <row r="52712" spans="65:67" ht="18.75" customHeight="1">
      <c r="BM52712" s="1025"/>
      <c r="BO52712" s="43"/>
    </row>
    <row r="52713" spans="65:67" ht="18.75" customHeight="1">
      <c r="BM52713" s="1025"/>
      <c r="BO52713" s="43"/>
    </row>
    <row r="52714" spans="65:67" ht="18.75" customHeight="1">
      <c r="BM52714" s="1025"/>
      <c r="BO52714" s="43"/>
    </row>
    <row r="52715" spans="65:67" ht="18.75" customHeight="1">
      <c r="BM52715" s="1025"/>
      <c r="BO52715" s="43"/>
    </row>
    <row r="52716" spans="65:67" ht="18.75" customHeight="1">
      <c r="BM52716" s="1025"/>
      <c r="BO52716" s="43"/>
    </row>
    <row r="52717" spans="65:67" ht="18.75" customHeight="1">
      <c r="BM52717" s="1025"/>
      <c r="BO52717" s="43"/>
    </row>
    <row r="52718" spans="65:67" ht="18.75" customHeight="1">
      <c r="BM52718" s="1025"/>
      <c r="BO52718" s="43"/>
    </row>
    <row r="52719" spans="65:67" ht="18.75" customHeight="1">
      <c r="BM52719" s="1025"/>
      <c r="BO52719" s="43"/>
    </row>
    <row r="52720" spans="65:67" ht="18.75" customHeight="1">
      <c r="BM52720" s="1025"/>
      <c r="BO52720" s="43"/>
    </row>
    <row r="52721" spans="65:67" ht="18.75" customHeight="1">
      <c r="BM52721" s="1025"/>
      <c r="BO52721" s="43"/>
    </row>
    <row r="52722" spans="65:67" ht="18.75" customHeight="1">
      <c r="BM52722" s="1025"/>
      <c r="BO52722" s="43"/>
    </row>
    <row r="52723" spans="65:67" ht="18.75" customHeight="1">
      <c r="BM52723" s="1025"/>
      <c r="BO52723" s="43"/>
    </row>
    <row r="52724" spans="65:67" ht="18.75" customHeight="1">
      <c r="BM52724" s="1025"/>
      <c r="BO52724" s="43"/>
    </row>
    <row r="52725" spans="65:67" ht="18.75" customHeight="1">
      <c r="BM52725" s="1025"/>
      <c r="BO52725" s="43"/>
    </row>
    <row r="52726" spans="65:67" ht="18.75" customHeight="1">
      <c r="BM52726" s="1025"/>
      <c r="BO52726" s="43"/>
    </row>
    <row r="52727" spans="65:67" ht="18.75" customHeight="1">
      <c r="BM52727" s="1025"/>
      <c r="BO52727" s="43"/>
    </row>
    <row r="52728" spans="65:67" ht="18.75" customHeight="1">
      <c r="BM52728" s="1025"/>
      <c r="BO52728" s="43"/>
    </row>
    <row r="52729" spans="65:67" ht="18.75" customHeight="1">
      <c r="BM52729" s="1025"/>
      <c r="BO52729" s="43"/>
    </row>
    <row r="52730" spans="65:67" ht="18.75" customHeight="1">
      <c r="BM52730" s="1025"/>
      <c r="BO52730" s="43"/>
    </row>
    <row r="52731" spans="65:67" ht="18.75" customHeight="1">
      <c r="BM52731" s="1025"/>
      <c r="BO52731" s="43"/>
    </row>
    <row r="52732" spans="65:67" ht="18.75" customHeight="1">
      <c r="BM52732" s="1025"/>
      <c r="BO52732" s="43"/>
    </row>
    <row r="52733" spans="65:67" ht="18.75" customHeight="1">
      <c r="BM52733" s="1025"/>
      <c r="BO52733" s="43"/>
    </row>
    <row r="52734" spans="65:67" ht="18.75" customHeight="1">
      <c r="BM52734" s="1025"/>
      <c r="BO52734" s="43"/>
    </row>
    <row r="52735" spans="65:67" ht="18.75" customHeight="1">
      <c r="BM52735" s="1025"/>
      <c r="BO52735" s="43"/>
    </row>
    <row r="52736" spans="65:67" ht="18.75" customHeight="1">
      <c r="BM52736" s="1025"/>
      <c r="BO52736" s="43"/>
    </row>
    <row r="52737" spans="65:67" ht="18.75" customHeight="1">
      <c r="BM52737" s="1025"/>
      <c r="BO52737" s="43"/>
    </row>
    <row r="52738" spans="65:67" ht="18.75" customHeight="1">
      <c r="BM52738" s="1025"/>
      <c r="BO52738" s="43"/>
    </row>
    <row r="52739" spans="65:67" ht="18.75" customHeight="1">
      <c r="BM52739" s="1025"/>
      <c r="BO52739" s="43"/>
    </row>
    <row r="52740" spans="65:67" ht="18.75" customHeight="1">
      <c r="BM52740" s="1025"/>
      <c r="BO52740" s="43"/>
    </row>
    <row r="52741" spans="65:67" ht="18.75" customHeight="1">
      <c r="BM52741" s="1025"/>
      <c r="BO52741" s="43"/>
    </row>
    <row r="52742" spans="65:67" ht="18.75" customHeight="1">
      <c r="BM52742" s="1025"/>
      <c r="BO52742" s="43"/>
    </row>
    <row r="52743" spans="65:67" ht="18.75" customHeight="1">
      <c r="BM52743" s="1025"/>
      <c r="BO52743" s="43"/>
    </row>
    <row r="52744" spans="65:67" ht="18.75" customHeight="1">
      <c r="BM52744" s="1025"/>
      <c r="BO52744" s="43"/>
    </row>
    <row r="52745" spans="65:67" ht="18.75" customHeight="1">
      <c r="BM52745" s="1025"/>
      <c r="BO52745" s="43"/>
    </row>
    <row r="52746" spans="65:67" ht="18.75" customHeight="1">
      <c r="BM52746" s="1025"/>
      <c r="BO52746" s="43"/>
    </row>
    <row r="52747" spans="65:67" ht="18.75" customHeight="1">
      <c r="BM52747" s="1025"/>
      <c r="BO52747" s="43"/>
    </row>
    <row r="52748" spans="65:67" ht="18.75" customHeight="1">
      <c r="BM52748" s="1025"/>
      <c r="BO52748" s="43"/>
    </row>
    <row r="52749" spans="65:67" ht="18.75" customHeight="1">
      <c r="BM52749" s="1025"/>
      <c r="BO52749" s="43"/>
    </row>
    <row r="52750" spans="65:67" ht="18.75" customHeight="1">
      <c r="BM52750" s="1025"/>
      <c r="BO52750" s="43"/>
    </row>
    <row r="52751" spans="65:67" ht="18.75" customHeight="1">
      <c r="BM52751" s="1025"/>
      <c r="BO52751" s="43"/>
    </row>
    <row r="52752" spans="65:67" ht="18.75" customHeight="1">
      <c r="BM52752" s="1025"/>
      <c r="BO52752" s="43"/>
    </row>
    <row r="52753" spans="65:67" ht="18.75" customHeight="1">
      <c r="BM52753" s="1025"/>
      <c r="BO52753" s="43"/>
    </row>
    <row r="52754" spans="65:67" ht="18.75" customHeight="1">
      <c r="BM52754" s="1025"/>
      <c r="BO52754" s="43"/>
    </row>
    <row r="52755" spans="65:67" ht="18.75" customHeight="1">
      <c r="BM52755" s="1025"/>
      <c r="BO52755" s="43"/>
    </row>
    <row r="52756" spans="65:67" ht="18.75" customHeight="1">
      <c r="BM52756" s="1025"/>
      <c r="BO52756" s="43"/>
    </row>
    <row r="52757" spans="65:67" ht="18.75" customHeight="1">
      <c r="BM52757" s="1025"/>
      <c r="BO52757" s="43"/>
    </row>
    <row r="52758" spans="65:67" ht="18.75" customHeight="1">
      <c r="BM52758" s="1025"/>
      <c r="BO52758" s="43"/>
    </row>
    <row r="52759" spans="65:67" ht="18.75" customHeight="1">
      <c r="BM52759" s="1025"/>
      <c r="BO52759" s="43"/>
    </row>
    <row r="52760" spans="65:67" ht="18.75" customHeight="1">
      <c r="BM52760" s="1025"/>
      <c r="BO52760" s="43"/>
    </row>
    <row r="52761" spans="65:67" ht="18.75" customHeight="1">
      <c r="BM52761" s="1025"/>
      <c r="BO52761" s="43"/>
    </row>
    <row r="52762" spans="65:67" ht="18.75" customHeight="1">
      <c r="BM52762" s="1025"/>
      <c r="BO52762" s="43"/>
    </row>
    <row r="52763" spans="65:67" ht="18.75" customHeight="1">
      <c r="BM52763" s="1025"/>
      <c r="BO52763" s="43"/>
    </row>
    <row r="52764" spans="65:67" ht="18.75" customHeight="1">
      <c r="BM52764" s="1025"/>
      <c r="BO52764" s="43"/>
    </row>
    <row r="52765" spans="65:67" ht="18.75" customHeight="1">
      <c r="BM52765" s="1025"/>
      <c r="BO52765" s="43"/>
    </row>
    <row r="52766" spans="65:67" ht="18.75" customHeight="1">
      <c r="BM52766" s="1025"/>
      <c r="BO52766" s="43"/>
    </row>
    <row r="52767" spans="65:67" ht="18.75" customHeight="1">
      <c r="BM52767" s="1025"/>
      <c r="BO52767" s="43"/>
    </row>
    <row r="52768" spans="65:67" ht="18.75" customHeight="1">
      <c r="BM52768" s="1025"/>
      <c r="BO52768" s="43"/>
    </row>
    <row r="52769" spans="65:67" ht="18.75" customHeight="1">
      <c r="BM52769" s="1025"/>
      <c r="BO52769" s="43"/>
    </row>
    <row r="52770" spans="65:67" ht="18.75" customHeight="1">
      <c r="BM52770" s="1025"/>
      <c r="BO52770" s="43"/>
    </row>
    <row r="52771" spans="65:67" ht="18.75" customHeight="1">
      <c r="BM52771" s="1025"/>
      <c r="BO52771" s="43"/>
    </row>
    <row r="52772" spans="65:67" ht="18.75" customHeight="1">
      <c r="BM52772" s="1025"/>
      <c r="BO52772" s="43"/>
    </row>
    <row r="52773" spans="65:67" ht="18.75" customHeight="1">
      <c r="BM52773" s="1025"/>
      <c r="BO52773" s="43"/>
    </row>
    <row r="52774" spans="65:67" ht="18.75" customHeight="1">
      <c r="BM52774" s="1025"/>
      <c r="BO52774" s="43"/>
    </row>
    <row r="52775" spans="65:67" ht="18.75" customHeight="1">
      <c r="BM52775" s="1025"/>
      <c r="BO52775" s="43"/>
    </row>
    <row r="52776" spans="65:67" ht="18.75" customHeight="1">
      <c r="BM52776" s="1025"/>
      <c r="BO52776" s="43"/>
    </row>
    <row r="52777" spans="65:67" ht="18.75" customHeight="1">
      <c r="BM52777" s="1025"/>
      <c r="BO52777" s="43"/>
    </row>
    <row r="52778" spans="65:67" ht="18.75" customHeight="1">
      <c r="BM52778" s="1025"/>
      <c r="BO52778" s="43"/>
    </row>
    <row r="52779" spans="65:67" ht="18.75" customHeight="1">
      <c r="BM52779" s="1025"/>
      <c r="BO52779" s="43"/>
    </row>
    <row r="52780" spans="65:67" ht="18.75" customHeight="1">
      <c r="BM52780" s="1025"/>
      <c r="BO52780" s="43"/>
    </row>
    <row r="52781" spans="65:67" ht="18.75" customHeight="1">
      <c r="BM52781" s="1025"/>
      <c r="BO52781" s="43"/>
    </row>
    <row r="52782" spans="65:67" ht="18.75" customHeight="1">
      <c r="BM52782" s="1025"/>
      <c r="BO52782" s="43"/>
    </row>
    <row r="52783" spans="65:67" ht="18.75" customHeight="1">
      <c r="BM52783" s="1025"/>
      <c r="BO52783" s="43"/>
    </row>
    <row r="52784" spans="65:67" ht="18.75" customHeight="1">
      <c r="BM52784" s="1025"/>
      <c r="BO52784" s="43"/>
    </row>
    <row r="52785" spans="65:67" ht="18.75" customHeight="1">
      <c r="BM52785" s="1025"/>
      <c r="BO52785" s="43"/>
    </row>
    <row r="52786" spans="65:67" ht="18.75" customHeight="1">
      <c r="BM52786" s="1025"/>
      <c r="BO52786" s="43"/>
    </row>
    <row r="52787" spans="65:67" ht="18.75" customHeight="1">
      <c r="BM52787" s="1025"/>
      <c r="BO52787" s="43"/>
    </row>
    <row r="52788" spans="65:67" ht="18.75" customHeight="1">
      <c r="BM52788" s="1025"/>
      <c r="BO52788" s="43"/>
    </row>
    <row r="52789" spans="65:67" ht="18.75" customHeight="1">
      <c r="BM52789" s="1025"/>
      <c r="BO52789" s="43"/>
    </row>
    <row r="52790" spans="65:67" ht="18.75" customHeight="1">
      <c r="BM52790" s="1025"/>
      <c r="BO52790" s="43"/>
    </row>
    <row r="52791" spans="65:67" ht="18.75" customHeight="1">
      <c r="BM52791" s="1025"/>
      <c r="BO52791" s="43"/>
    </row>
    <row r="52792" spans="65:67" ht="18.75" customHeight="1">
      <c r="BM52792" s="1025"/>
      <c r="BO52792" s="43"/>
    </row>
    <row r="52793" spans="65:67" ht="18.75" customHeight="1">
      <c r="BM52793" s="1025"/>
      <c r="BO52793" s="43"/>
    </row>
    <row r="52794" spans="65:67" ht="18.75" customHeight="1">
      <c r="BM52794" s="1025"/>
      <c r="BO52794" s="43"/>
    </row>
    <row r="52795" spans="65:67" ht="18.75" customHeight="1">
      <c r="BM52795" s="1025"/>
      <c r="BO52795" s="43"/>
    </row>
    <row r="52796" spans="65:67" ht="18.75" customHeight="1">
      <c r="BM52796" s="1025"/>
      <c r="BO52796" s="43"/>
    </row>
    <row r="52797" spans="65:67" ht="18.75" customHeight="1">
      <c r="BM52797" s="1025"/>
      <c r="BO52797" s="43"/>
    </row>
    <row r="52798" spans="65:67" ht="18.75" customHeight="1">
      <c r="BM52798" s="1025"/>
      <c r="BO52798" s="43"/>
    </row>
    <row r="52799" spans="65:67" ht="18.75" customHeight="1">
      <c r="BM52799" s="1025"/>
      <c r="BO52799" s="43"/>
    </row>
    <row r="52800" spans="65:67" ht="18.75" customHeight="1">
      <c r="BM52800" s="1025"/>
      <c r="BO52800" s="43"/>
    </row>
    <row r="52801" spans="65:67" ht="18.75" customHeight="1">
      <c r="BM52801" s="1025"/>
      <c r="BO52801" s="43"/>
    </row>
    <row r="52802" spans="65:67" ht="18.75" customHeight="1">
      <c r="BM52802" s="1025"/>
      <c r="BO52802" s="43"/>
    </row>
    <row r="52803" spans="65:67" ht="18.75" customHeight="1">
      <c r="BM52803" s="1025"/>
      <c r="BO52803" s="43"/>
    </row>
    <row r="52804" spans="65:67" ht="18.75" customHeight="1">
      <c r="BM52804" s="1025"/>
      <c r="BO52804" s="43"/>
    </row>
    <row r="52805" spans="65:67" ht="18.75" customHeight="1">
      <c r="BM52805" s="1025"/>
      <c r="BO52805" s="43"/>
    </row>
    <row r="52806" spans="65:67" ht="18.75" customHeight="1">
      <c r="BM52806" s="1025"/>
      <c r="BO52806" s="43"/>
    </row>
    <row r="52807" spans="65:67" ht="18.75" customHeight="1">
      <c r="BM52807" s="1025"/>
      <c r="BO52807" s="43"/>
    </row>
    <row r="52808" spans="65:67" ht="18.75" customHeight="1">
      <c r="BM52808" s="1025"/>
      <c r="BO52808" s="43"/>
    </row>
    <row r="52809" spans="65:67" ht="18.75" customHeight="1">
      <c r="BM52809" s="1025"/>
      <c r="BO52809" s="43"/>
    </row>
    <row r="52810" spans="65:67" ht="18.75" customHeight="1">
      <c r="BM52810" s="1025"/>
      <c r="BO52810" s="43"/>
    </row>
    <row r="52811" spans="65:67" ht="18.75" customHeight="1">
      <c r="BM52811" s="1025"/>
      <c r="BO52811" s="43"/>
    </row>
    <row r="52812" spans="65:67" ht="18.75" customHeight="1">
      <c r="BM52812" s="1025"/>
      <c r="BO52812" s="43"/>
    </row>
    <row r="52813" spans="65:67" ht="18.75" customHeight="1">
      <c r="BM52813" s="1025"/>
      <c r="BO52813" s="43"/>
    </row>
    <row r="52814" spans="65:67" ht="18.75" customHeight="1">
      <c r="BM52814" s="1025"/>
      <c r="BO52814" s="43"/>
    </row>
    <row r="52815" spans="65:67" ht="18.75" customHeight="1">
      <c r="BM52815" s="1025"/>
      <c r="BO52815" s="43"/>
    </row>
    <row r="52816" spans="65:67" ht="18.75" customHeight="1">
      <c r="BM52816" s="1025"/>
      <c r="BO52816" s="43"/>
    </row>
    <row r="52817" spans="65:67" ht="18.75" customHeight="1">
      <c r="BM52817" s="1025"/>
      <c r="BO52817" s="43"/>
    </row>
    <row r="52818" spans="65:67" ht="18.75" customHeight="1">
      <c r="BM52818" s="1025"/>
      <c r="BO52818" s="43"/>
    </row>
    <row r="52819" spans="65:67" ht="18.75" customHeight="1">
      <c r="BM52819" s="1025"/>
      <c r="BO52819" s="43"/>
    </row>
    <row r="52820" spans="65:67" ht="18.75" customHeight="1">
      <c r="BM52820" s="1025"/>
      <c r="BO52820" s="43"/>
    </row>
    <row r="52821" spans="65:67" ht="18.75" customHeight="1">
      <c r="BM52821" s="1025"/>
      <c r="BO52821" s="43"/>
    </row>
    <row r="52822" spans="65:67" ht="18.75" customHeight="1">
      <c r="BM52822" s="1025"/>
      <c r="BO52822" s="43"/>
    </row>
    <row r="52823" spans="65:67" ht="18.75" customHeight="1">
      <c r="BM52823" s="1025"/>
      <c r="BO52823" s="43"/>
    </row>
    <row r="52824" spans="65:67" ht="18.75" customHeight="1">
      <c r="BM52824" s="1025"/>
      <c r="BO52824" s="43"/>
    </row>
    <row r="52825" spans="65:67" ht="18.75" customHeight="1">
      <c r="BM52825" s="1025"/>
      <c r="BO52825" s="43"/>
    </row>
    <row r="52826" spans="65:67" ht="18.75" customHeight="1">
      <c r="BM52826" s="1025"/>
      <c r="BO52826" s="43"/>
    </row>
    <row r="52827" spans="65:67" ht="18.75" customHeight="1">
      <c r="BM52827" s="1025"/>
      <c r="BO52827" s="43"/>
    </row>
    <row r="52828" spans="65:67" ht="18.75" customHeight="1">
      <c r="BM52828" s="1025"/>
      <c r="BO52828" s="43"/>
    </row>
    <row r="52829" spans="65:67" ht="18.75" customHeight="1">
      <c r="BM52829" s="1025"/>
      <c r="BO52829" s="43"/>
    </row>
    <row r="52830" spans="65:67" ht="18.75" customHeight="1">
      <c r="BM52830" s="1025"/>
      <c r="BO52830" s="43"/>
    </row>
    <row r="52831" spans="65:67" ht="18.75" customHeight="1">
      <c r="BM52831" s="1025"/>
      <c r="BO52831" s="43"/>
    </row>
    <row r="52832" spans="65:67" ht="18.75" customHeight="1">
      <c r="BM52832" s="1025"/>
      <c r="BO52832" s="43"/>
    </row>
    <row r="52833" spans="65:67" ht="18.75" customHeight="1">
      <c r="BM52833" s="1025"/>
      <c r="BO52833" s="43"/>
    </row>
    <row r="52834" spans="65:67" ht="18.75" customHeight="1">
      <c r="BM52834" s="1025"/>
      <c r="BO52834" s="43"/>
    </row>
    <row r="52835" spans="65:67" ht="18.75" customHeight="1">
      <c r="BM52835" s="1025"/>
      <c r="BO52835" s="43"/>
    </row>
    <row r="52836" spans="65:67" ht="18.75" customHeight="1">
      <c r="BM52836" s="1025"/>
      <c r="BO52836" s="43"/>
    </row>
    <row r="52837" spans="65:67" ht="18.75" customHeight="1">
      <c r="BM52837" s="1025"/>
      <c r="BO52837" s="43"/>
    </row>
    <row r="52838" spans="65:67" ht="18.75" customHeight="1">
      <c r="BM52838" s="1025"/>
      <c r="BO52838" s="43"/>
    </row>
    <row r="52839" spans="65:67" ht="18.75" customHeight="1">
      <c r="BM52839" s="1025"/>
      <c r="BO52839" s="43"/>
    </row>
    <row r="52840" spans="65:67" ht="18.75" customHeight="1">
      <c r="BM52840" s="1025"/>
      <c r="BO52840" s="43"/>
    </row>
    <row r="52841" spans="65:67" ht="18.75" customHeight="1">
      <c r="BM52841" s="1025"/>
      <c r="BO52841" s="43"/>
    </row>
    <row r="52842" spans="65:67" ht="18.75" customHeight="1">
      <c r="BM52842" s="1025"/>
      <c r="BO52842" s="43"/>
    </row>
    <row r="52843" spans="65:67" ht="18.75" customHeight="1">
      <c r="BM52843" s="1025"/>
      <c r="BO52843" s="43"/>
    </row>
    <row r="52844" spans="65:67" ht="18.75" customHeight="1">
      <c r="BM52844" s="1025"/>
      <c r="BO52844" s="43"/>
    </row>
    <row r="52845" spans="65:67" ht="18.75" customHeight="1">
      <c r="BM52845" s="1025"/>
      <c r="BO52845" s="43"/>
    </row>
    <row r="52846" spans="65:67" ht="18.75" customHeight="1">
      <c r="BM52846" s="1025"/>
      <c r="BO52846" s="43"/>
    </row>
    <row r="52847" spans="65:67" ht="18.75" customHeight="1">
      <c r="BM52847" s="1025"/>
      <c r="BO52847" s="43"/>
    </row>
    <row r="52848" spans="65:67" ht="18.75" customHeight="1">
      <c r="BM52848" s="1025"/>
      <c r="BO52848" s="43"/>
    </row>
    <row r="52849" spans="65:67" ht="18.75" customHeight="1">
      <c r="BM52849" s="1025"/>
      <c r="BO52849" s="43"/>
    </row>
    <row r="52850" spans="65:67" ht="18.75" customHeight="1">
      <c r="BM52850" s="1025"/>
      <c r="BO52850" s="43"/>
    </row>
    <row r="52851" spans="65:67" ht="18.75" customHeight="1">
      <c r="BM52851" s="1025"/>
      <c r="BO52851" s="43"/>
    </row>
    <row r="52852" spans="65:67" ht="18.75" customHeight="1">
      <c r="BM52852" s="1025"/>
      <c r="BO52852" s="43"/>
    </row>
    <row r="52853" spans="65:67" ht="18.75" customHeight="1">
      <c r="BM52853" s="1025"/>
      <c r="BO52853" s="43"/>
    </row>
    <row r="52854" spans="65:67" ht="18.75" customHeight="1">
      <c r="BM52854" s="1025"/>
      <c r="BO52854" s="43"/>
    </row>
    <row r="52855" spans="65:67" ht="18.75" customHeight="1">
      <c r="BM52855" s="1025"/>
      <c r="BO52855" s="43"/>
    </row>
    <row r="52856" spans="65:67" ht="18.75" customHeight="1">
      <c r="BM52856" s="1025"/>
      <c r="BO52856" s="43"/>
    </row>
    <row r="52857" spans="65:67" ht="18.75" customHeight="1">
      <c r="BM52857" s="1025"/>
      <c r="BO52857" s="43"/>
    </row>
    <row r="52858" spans="65:67" ht="18.75" customHeight="1">
      <c r="BM52858" s="1025"/>
      <c r="BO52858" s="43"/>
    </row>
    <row r="52859" spans="65:67" ht="18.75" customHeight="1">
      <c r="BM52859" s="1025"/>
      <c r="BO52859" s="43"/>
    </row>
    <row r="52860" spans="65:67" ht="18.75" customHeight="1">
      <c r="BM52860" s="1025"/>
      <c r="BO52860" s="43"/>
    </row>
    <row r="52861" spans="65:67" ht="18.75" customHeight="1">
      <c r="BM52861" s="1025"/>
      <c r="BO52861" s="43"/>
    </row>
    <row r="52862" spans="65:67" ht="18.75" customHeight="1">
      <c r="BM52862" s="1025"/>
      <c r="BO52862" s="43"/>
    </row>
    <row r="52863" spans="65:67" ht="18.75" customHeight="1">
      <c r="BM52863" s="1025"/>
      <c r="BO52863" s="43"/>
    </row>
    <row r="52864" spans="65:67" ht="18.75" customHeight="1">
      <c r="BM52864" s="1025"/>
      <c r="BO52864" s="43"/>
    </row>
    <row r="52865" spans="65:67" ht="18.75" customHeight="1">
      <c r="BM52865" s="1025"/>
      <c r="BO52865" s="43"/>
    </row>
    <row r="52866" spans="65:67" ht="18.75" customHeight="1">
      <c r="BM52866" s="1025"/>
      <c r="BO52866" s="43"/>
    </row>
    <row r="52867" spans="65:67" ht="18.75" customHeight="1">
      <c r="BM52867" s="1025"/>
      <c r="BO52867" s="43"/>
    </row>
    <row r="52868" spans="65:67" ht="18.75" customHeight="1">
      <c r="BM52868" s="1025"/>
      <c r="BO52868" s="43"/>
    </row>
    <row r="52869" spans="65:67" ht="18.75" customHeight="1">
      <c r="BM52869" s="1025"/>
      <c r="BO52869" s="43"/>
    </row>
    <row r="52870" spans="65:67" ht="18.75" customHeight="1">
      <c r="BM52870" s="1025"/>
      <c r="BO52870" s="43"/>
    </row>
    <row r="52871" spans="65:67" ht="18.75" customHeight="1">
      <c r="BM52871" s="1025"/>
      <c r="BO52871" s="43"/>
    </row>
    <row r="52872" spans="65:67" ht="18.75" customHeight="1">
      <c r="BM52872" s="1025"/>
      <c r="BO52872" s="43"/>
    </row>
    <row r="52873" spans="65:67" ht="18.75" customHeight="1">
      <c r="BM52873" s="1025"/>
      <c r="BO52873" s="43"/>
    </row>
    <row r="52874" spans="65:67" ht="18.75" customHeight="1">
      <c r="BM52874" s="1025"/>
      <c r="BO52874" s="43"/>
    </row>
    <row r="52875" spans="65:67" ht="18.75" customHeight="1">
      <c r="BM52875" s="1025"/>
      <c r="BO52875" s="43"/>
    </row>
    <row r="52876" spans="65:67" ht="18.75" customHeight="1">
      <c r="BM52876" s="1025"/>
      <c r="BO52876" s="43"/>
    </row>
    <row r="52877" spans="65:67" ht="18.75" customHeight="1">
      <c r="BM52877" s="1025"/>
      <c r="BO52877" s="43"/>
    </row>
    <row r="52878" spans="65:67" ht="18.75" customHeight="1">
      <c r="BM52878" s="1025"/>
      <c r="BO52878" s="43"/>
    </row>
    <row r="52879" spans="65:67" ht="18.75" customHeight="1">
      <c r="BM52879" s="1025"/>
      <c r="BO52879" s="43"/>
    </row>
    <row r="52880" spans="65:67" ht="18.75" customHeight="1">
      <c r="BM52880" s="1025"/>
      <c r="BO52880" s="43"/>
    </row>
    <row r="52881" spans="65:67" ht="18.75" customHeight="1">
      <c r="BM52881" s="1025"/>
      <c r="BO52881" s="43"/>
    </row>
    <row r="52882" spans="65:67" ht="18.75" customHeight="1">
      <c r="BM52882" s="1025"/>
      <c r="BO52882" s="43"/>
    </row>
    <row r="52883" spans="65:67" ht="18.75" customHeight="1">
      <c r="BM52883" s="1025"/>
      <c r="BO52883" s="43"/>
    </row>
    <row r="52884" spans="65:67" ht="18.75" customHeight="1">
      <c r="BM52884" s="1025"/>
      <c r="BO52884" s="43"/>
    </row>
    <row r="52885" spans="65:67" ht="18.75" customHeight="1">
      <c r="BM52885" s="1025"/>
      <c r="BO52885" s="43"/>
    </row>
    <row r="52886" spans="65:67" ht="18.75" customHeight="1">
      <c r="BM52886" s="1025"/>
      <c r="BO52886" s="43"/>
    </row>
    <row r="52887" spans="65:67" ht="18.75" customHeight="1">
      <c r="BM52887" s="1025"/>
      <c r="BO52887" s="43"/>
    </row>
    <row r="52888" spans="65:67" ht="18.75" customHeight="1">
      <c r="BM52888" s="1025"/>
      <c r="BO52888" s="43"/>
    </row>
    <row r="52889" spans="65:67" ht="18.75" customHeight="1">
      <c r="BM52889" s="1025"/>
      <c r="BO52889" s="43"/>
    </row>
    <row r="52890" spans="65:67" ht="18.75" customHeight="1">
      <c r="BM52890" s="1025"/>
      <c r="BO52890" s="43"/>
    </row>
    <row r="52891" spans="65:67" ht="18.75" customHeight="1">
      <c r="BM52891" s="1025"/>
      <c r="BO52891" s="43"/>
    </row>
    <row r="52892" spans="65:67" ht="18.75" customHeight="1">
      <c r="BM52892" s="1025"/>
      <c r="BO52892" s="43"/>
    </row>
    <row r="52893" spans="65:67" ht="18.75" customHeight="1">
      <c r="BM52893" s="1025"/>
      <c r="BO52893" s="43"/>
    </row>
    <row r="52894" spans="65:67" ht="18.75" customHeight="1">
      <c r="BM52894" s="1025"/>
      <c r="BO52894" s="43"/>
    </row>
    <row r="52895" spans="65:67" ht="18.75" customHeight="1">
      <c r="BM52895" s="1025"/>
      <c r="BO52895" s="43"/>
    </row>
    <row r="52896" spans="65:67" ht="18.75" customHeight="1">
      <c r="BM52896" s="1025"/>
      <c r="BO52896" s="43"/>
    </row>
    <row r="52897" spans="65:67" ht="18.75" customHeight="1">
      <c r="BM52897" s="1025"/>
      <c r="BO52897" s="43"/>
    </row>
    <row r="52898" spans="65:67" ht="18.75" customHeight="1">
      <c r="BM52898" s="1025"/>
      <c r="BO52898" s="43"/>
    </row>
    <row r="52899" spans="65:67" ht="18.75" customHeight="1">
      <c r="BM52899" s="1025"/>
      <c r="BO52899" s="43"/>
    </row>
    <row r="52900" spans="65:67" ht="18.75" customHeight="1">
      <c r="BM52900" s="1025"/>
      <c r="BO52900" s="43"/>
    </row>
    <row r="52901" spans="65:67" ht="18.75" customHeight="1">
      <c r="BM52901" s="1025"/>
      <c r="BO52901" s="43"/>
    </row>
    <row r="52902" spans="65:67" ht="18.75" customHeight="1">
      <c r="BM52902" s="1025"/>
      <c r="BO52902" s="43"/>
    </row>
    <row r="52903" spans="65:67" ht="18.75" customHeight="1">
      <c r="BM52903" s="1025"/>
      <c r="BO52903" s="43"/>
    </row>
    <row r="52904" spans="65:67" ht="18.75" customHeight="1">
      <c r="BM52904" s="1025"/>
      <c r="BO52904" s="43"/>
    </row>
    <row r="52905" spans="65:67" ht="18.75" customHeight="1">
      <c r="BM52905" s="1025"/>
      <c r="BO52905" s="43"/>
    </row>
    <row r="52906" spans="65:67" ht="18.75" customHeight="1">
      <c r="BM52906" s="1025"/>
      <c r="BO52906" s="43"/>
    </row>
    <row r="52907" spans="65:67" ht="18.75" customHeight="1">
      <c r="BM52907" s="1025"/>
      <c r="BO52907" s="43"/>
    </row>
    <row r="52908" spans="65:67" ht="18.75" customHeight="1">
      <c r="BM52908" s="1025"/>
      <c r="BO52908" s="43"/>
    </row>
    <row r="52909" spans="65:67" ht="18.75" customHeight="1">
      <c r="BM52909" s="1025"/>
      <c r="BO52909" s="43"/>
    </row>
    <row r="52910" spans="65:67" ht="18.75" customHeight="1">
      <c r="BM52910" s="1025"/>
      <c r="BO52910" s="43"/>
    </row>
    <row r="52911" spans="65:67" ht="18.75" customHeight="1">
      <c r="BM52911" s="1025"/>
      <c r="BO52911" s="43"/>
    </row>
    <row r="52912" spans="65:67" ht="18.75" customHeight="1">
      <c r="BM52912" s="1025"/>
      <c r="BO52912" s="43"/>
    </row>
    <row r="52913" spans="65:67" ht="18.75" customHeight="1">
      <c r="BM52913" s="1025"/>
      <c r="BO52913" s="43"/>
    </row>
    <row r="52914" spans="65:67" ht="18.75" customHeight="1">
      <c r="BM52914" s="1025"/>
      <c r="BO52914" s="43"/>
    </row>
    <row r="52915" spans="65:67" ht="18.75" customHeight="1">
      <c r="BM52915" s="1025"/>
      <c r="BO52915" s="43"/>
    </row>
    <row r="52916" spans="65:67" ht="18.75" customHeight="1">
      <c r="BM52916" s="1025"/>
      <c r="BO52916" s="43"/>
    </row>
    <row r="52917" spans="65:67" ht="18.75" customHeight="1">
      <c r="BM52917" s="1025"/>
      <c r="BO52917" s="43"/>
    </row>
    <row r="52918" spans="65:67" ht="18.75" customHeight="1">
      <c r="BM52918" s="1025"/>
      <c r="BO52918" s="43"/>
    </row>
    <row r="52919" spans="65:67" ht="18.75" customHeight="1">
      <c r="BM52919" s="1025"/>
      <c r="BO52919" s="43"/>
    </row>
    <row r="52920" spans="65:67" ht="18.75" customHeight="1">
      <c r="BM52920" s="1025"/>
      <c r="BO52920" s="43"/>
    </row>
    <row r="52921" spans="65:67" ht="18.75" customHeight="1">
      <c r="BM52921" s="1025"/>
      <c r="BO52921" s="43"/>
    </row>
    <row r="52922" spans="65:67" ht="18.75" customHeight="1">
      <c r="BM52922" s="1025"/>
      <c r="BO52922" s="43"/>
    </row>
    <row r="52923" spans="65:67" ht="18.75" customHeight="1">
      <c r="BM52923" s="1025"/>
      <c r="BO52923" s="43"/>
    </row>
    <row r="52924" spans="65:67" ht="18.75" customHeight="1">
      <c r="BM52924" s="1025"/>
      <c r="BO52924" s="43"/>
    </row>
    <row r="52925" spans="65:67" ht="18.75" customHeight="1">
      <c r="BM52925" s="1025"/>
      <c r="BO52925" s="43"/>
    </row>
    <row r="52926" spans="65:67" ht="18.75" customHeight="1">
      <c r="BM52926" s="1025"/>
      <c r="BO52926" s="43"/>
    </row>
    <row r="52927" spans="65:67" ht="18.75" customHeight="1">
      <c r="BM52927" s="1025"/>
      <c r="BO52927" s="43"/>
    </row>
    <row r="52928" spans="65:67" ht="18.75" customHeight="1">
      <c r="BM52928" s="1025"/>
      <c r="BO52928" s="43"/>
    </row>
    <row r="52929" spans="65:67" ht="18.75" customHeight="1">
      <c r="BM52929" s="1025"/>
      <c r="BO52929" s="43"/>
    </row>
    <row r="52930" spans="65:67" ht="18.75" customHeight="1">
      <c r="BM52930" s="1025"/>
      <c r="BO52930" s="43"/>
    </row>
    <row r="52931" spans="65:67" ht="18.75" customHeight="1">
      <c r="BM52931" s="1025"/>
      <c r="BO52931" s="43"/>
    </row>
    <row r="52932" spans="65:67" ht="18.75" customHeight="1">
      <c r="BM52932" s="1025"/>
      <c r="BO52932" s="43"/>
    </row>
    <row r="52933" spans="65:67" ht="18.75" customHeight="1">
      <c r="BM52933" s="1025"/>
      <c r="BO52933" s="43"/>
    </row>
    <row r="52934" spans="65:67" ht="18.75" customHeight="1">
      <c r="BM52934" s="1025"/>
      <c r="BO52934" s="43"/>
    </row>
    <row r="52935" spans="65:67" ht="18.75" customHeight="1">
      <c r="BM52935" s="1025"/>
      <c r="BO52935" s="43"/>
    </row>
    <row r="52936" spans="65:67" ht="18.75" customHeight="1">
      <c r="BM52936" s="1025"/>
      <c r="BO52936" s="43"/>
    </row>
    <row r="52937" spans="65:67" ht="18.75" customHeight="1">
      <c r="BM52937" s="1025"/>
      <c r="BO52937" s="43"/>
    </row>
    <row r="52938" spans="65:67" ht="18.75" customHeight="1">
      <c r="BM52938" s="1025"/>
      <c r="BO52938" s="43"/>
    </row>
    <row r="52939" spans="65:67" ht="18.75" customHeight="1">
      <c r="BM52939" s="1025"/>
      <c r="BO52939" s="43"/>
    </row>
    <row r="52940" spans="65:67" ht="18.75" customHeight="1">
      <c r="BM52940" s="1025"/>
      <c r="BO52940" s="43"/>
    </row>
    <row r="52941" spans="65:67" ht="18.75" customHeight="1">
      <c r="BM52941" s="1025"/>
      <c r="BO52941" s="43"/>
    </row>
    <row r="52942" spans="65:67" ht="18.75" customHeight="1">
      <c r="BM52942" s="1025"/>
      <c r="BO52942" s="43"/>
    </row>
    <row r="52943" spans="65:67" ht="18.75" customHeight="1">
      <c r="BM52943" s="1025"/>
      <c r="BO52943" s="43"/>
    </row>
    <row r="52944" spans="65:67" ht="18.75" customHeight="1">
      <c r="BM52944" s="1025"/>
      <c r="BO52944" s="43"/>
    </row>
    <row r="52945" spans="65:67" ht="18.75" customHeight="1">
      <c r="BM52945" s="1025"/>
      <c r="BO52945" s="43"/>
    </row>
    <row r="52946" spans="65:67" ht="18.75" customHeight="1">
      <c r="BM52946" s="1025"/>
      <c r="BO52946" s="43"/>
    </row>
    <row r="52947" spans="65:67" ht="18.75" customHeight="1">
      <c r="BM52947" s="1025"/>
      <c r="BO52947" s="43"/>
    </row>
    <row r="52948" spans="65:67" ht="18.75" customHeight="1">
      <c r="BM52948" s="1025"/>
      <c r="BO52948" s="43"/>
    </row>
    <row r="52949" spans="65:67" ht="18.75" customHeight="1">
      <c r="BM52949" s="1025"/>
      <c r="BO52949" s="43"/>
    </row>
    <row r="52950" spans="65:67" ht="18.75" customHeight="1">
      <c r="BM52950" s="1025"/>
      <c r="BO52950" s="43"/>
    </row>
    <row r="52951" spans="65:67" ht="18.75" customHeight="1">
      <c r="BM52951" s="1025"/>
      <c r="BO52951" s="43"/>
    </row>
    <row r="52952" spans="65:67" ht="18.75" customHeight="1">
      <c r="BM52952" s="1025"/>
      <c r="BO52952" s="43"/>
    </row>
    <row r="52953" spans="65:67" ht="18.75" customHeight="1">
      <c r="BM52953" s="1025"/>
      <c r="BO52953" s="43"/>
    </row>
    <row r="52954" spans="65:67" ht="18.75" customHeight="1">
      <c r="BM52954" s="1025"/>
      <c r="BO52954" s="43"/>
    </row>
    <row r="52955" spans="65:67" ht="18.75" customHeight="1">
      <c r="BM52955" s="1025"/>
      <c r="BO52955" s="43"/>
    </row>
    <row r="52956" spans="65:67" ht="18.75" customHeight="1">
      <c r="BM52956" s="1025"/>
      <c r="BO52956" s="43"/>
    </row>
    <row r="52957" spans="65:67" ht="18.75" customHeight="1">
      <c r="BM52957" s="1025"/>
      <c r="BO52957" s="43"/>
    </row>
    <row r="52958" spans="65:67" ht="18.75" customHeight="1">
      <c r="BM52958" s="1025"/>
      <c r="BO52958" s="43"/>
    </row>
    <row r="52959" spans="65:67" ht="18.75" customHeight="1">
      <c r="BM52959" s="1025"/>
      <c r="BO52959" s="43"/>
    </row>
    <row r="52960" spans="65:67" ht="18.75" customHeight="1">
      <c r="BM52960" s="1025"/>
      <c r="BO52960" s="43"/>
    </row>
    <row r="52961" spans="65:67" ht="18.75" customHeight="1">
      <c r="BM52961" s="1025"/>
      <c r="BO52961" s="43"/>
    </row>
    <row r="52962" spans="65:67" ht="18.75" customHeight="1">
      <c r="BM52962" s="1025"/>
      <c r="BO52962" s="43"/>
    </row>
    <row r="52963" spans="65:67" ht="18.75" customHeight="1">
      <c r="BM52963" s="1025"/>
      <c r="BO52963" s="43"/>
    </row>
    <row r="52964" spans="65:67" ht="18.75" customHeight="1">
      <c r="BM52964" s="1025"/>
      <c r="BO52964" s="43"/>
    </row>
    <row r="52965" spans="65:67" ht="18.75" customHeight="1">
      <c r="BM52965" s="1025"/>
      <c r="BO52965" s="43"/>
    </row>
    <row r="52966" spans="65:67" ht="18.75" customHeight="1">
      <c r="BM52966" s="1025"/>
      <c r="BO52966" s="43"/>
    </row>
    <row r="52967" spans="65:67" ht="18.75" customHeight="1">
      <c r="BM52967" s="1025"/>
      <c r="BO52967" s="43"/>
    </row>
    <row r="52968" spans="65:67" ht="18.75" customHeight="1">
      <c r="BM52968" s="1025"/>
      <c r="BO52968" s="43"/>
    </row>
    <row r="52969" spans="65:67" ht="18.75" customHeight="1">
      <c r="BM52969" s="1025"/>
      <c r="BO52969" s="43"/>
    </row>
    <row r="52970" spans="65:67" ht="18.75" customHeight="1">
      <c r="BM52970" s="1025"/>
      <c r="BO52970" s="43"/>
    </row>
    <row r="52971" spans="65:67" ht="18.75" customHeight="1">
      <c r="BM52971" s="1025"/>
      <c r="BO52971" s="43"/>
    </row>
    <row r="52972" spans="65:67" ht="18.75" customHeight="1">
      <c r="BM52972" s="1025"/>
      <c r="BO52972" s="43"/>
    </row>
    <row r="52973" spans="65:67" ht="18.75" customHeight="1">
      <c r="BM52973" s="1025"/>
      <c r="BO52973" s="43"/>
    </row>
    <row r="52974" spans="65:67" ht="18.75" customHeight="1">
      <c r="BM52974" s="1025"/>
      <c r="BO52974" s="43"/>
    </row>
    <row r="52975" spans="65:67" ht="18.75" customHeight="1">
      <c r="BM52975" s="1025"/>
      <c r="BO52975" s="43"/>
    </row>
    <row r="52976" spans="65:67" ht="18.75" customHeight="1">
      <c r="BM52976" s="1025"/>
      <c r="BO52976" s="43"/>
    </row>
    <row r="52977" spans="65:67" ht="18.75" customHeight="1">
      <c r="BM52977" s="1025"/>
      <c r="BO52977" s="43"/>
    </row>
    <row r="52978" spans="65:67" ht="18.75" customHeight="1">
      <c r="BM52978" s="1025"/>
      <c r="BO52978" s="43"/>
    </row>
    <row r="52979" spans="65:67" ht="18.75" customHeight="1">
      <c r="BM52979" s="1025"/>
      <c r="BO52979" s="43"/>
    </row>
    <row r="52980" spans="65:67" ht="18.75" customHeight="1">
      <c r="BM52980" s="1025"/>
      <c r="BO52980" s="43"/>
    </row>
    <row r="52981" spans="65:67" ht="18.75" customHeight="1">
      <c r="BM52981" s="1025"/>
      <c r="BO52981" s="43"/>
    </row>
    <row r="52982" spans="65:67" ht="18.75" customHeight="1">
      <c r="BM52982" s="1025"/>
      <c r="BO52982" s="43"/>
    </row>
    <row r="52983" spans="65:67" ht="18.75" customHeight="1">
      <c r="BM52983" s="1025"/>
      <c r="BO52983" s="43"/>
    </row>
    <row r="52984" spans="65:67" ht="18.75" customHeight="1">
      <c r="BM52984" s="1025"/>
      <c r="BO52984" s="43"/>
    </row>
    <row r="52985" spans="65:67" ht="18.75" customHeight="1">
      <c r="BM52985" s="1025"/>
      <c r="BO52985" s="43"/>
    </row>
    <row r="52986" spans="65:67" ht="18.75" customHeight="1">
      <c r="BM52986" s="1025"/>
      <c r="BO52986" s="43"/>
    </row>
    <row r="52987" spans="65:67" ht="18.75" customHeight="1">
      <c r="BM52987" s="1025"/>
      <c r="BO52987" s="43"/>
    </row>
    <row r="52988" spans="65:67" ht="18.75" customHeight="1">
      <c r="BM52988" s="1025"/>
      <c r="BO52988" s="43"/>
    </row>
    <row r="52989" spans="65:67" ht="18.75" customHeight="1">
      <c r="BM52989" s="1025"/>
      <c r="BO52989" s="43"/>
    </row>
    <row r="52990" spans="65:67" ht="18.75" customHeight="1">
      <c r="BM52990" s="1025"/>
      <c r="BO52990" s="43"/>
    </row>
    <row r="52991" spans="65:67" ht="18.75" customHeight="1">
      <c r="BM52991" s="1025"/>
      <c r="BO52991" s="43"/>
    </row>
    <row r="52992" spans="65:67" ht="18.75" customHeight="1">
      <c r="BM52992" s="1025"/>
      <c r="BO52992" s="43"/>
    </row>
    <row r="52993" spans="65:67" ht="18.75" customHeight="1">
      <c r="BM52993" s="1025"/>
      <c r="BO52993" s="43"/>
    </row>
    <row r="52994" spans="65:67" ht="18.75" customHeight="1">
      <c r="BM52994" s="1025"/>
      <c r="BO52994" s="43"/>
    </row>
    <row r="52995" spans="65:67" ht="18.75" customHeight="1">
      <c r="BM52995" s="1025"/>
      <c r="BO52995" s="43"/>
    </row>
    <row r="52996" spans="65:67" ht="18.75" customHeight="1">
      <c r="BM52996" s="1025"/>
      <c r="BO52996" s="43"/>
    </row>
    <row r="52997" spans="65:67" ht="18.75" customHeight="1">
      <c r="BM52997" s="1025"/>
      <c r="BO52997" s="43"/>
    </row>
    <row r="52998" spans="65:67" ht="18.75" customHeight="1">
      <c r="BM52998" s="1025"/>
      <c r="BO52998" s="43"/>
    </row>
    <row r="52999" spans="65:67" ht="18.75" customHeight="1">
      <c r="BM52999" s="1025"/>
      <c r="BO52999" s="43"/>
    </row>
    <row r="53000" spans="65:67" ht="18.75" customHeight="1">
      <c r="BM53000" s="1025"/>
      <c r="BO53000" s="43"/>
    </row>
    <row r="53001" spans="65:67" ht="18.75" customHeight="1">
      <c r="BM53001" s="1025"/>
      <c r="BO53001" s="43"/>
    </row>
    <row r="53002" spans="65:67" ht="18.75" customHeight="1">
      <c r="BM53002" s="1025"/>
      <c r="BO53002" s="43"/>
    </row>
    <row r="53003" spans="65:67" ht="18.75" customHeight="1">
      <c r="BM53003" s="1025"/>
      <c r="BO53003" s="43"/>
    </row>
    <row r="53004" spans="65:67" ht="18.75" customHeight="1">
      <c r="BM53004" s="1025"/>
      <c r="BO53004" s="43"/>
    </row>
    <row r="53005" spans="65:67" ht="18.75" customHeight="1">
      <c r="BM53005" s="1025"/>
      <c r="BO53005" s="43"/>
    </row>
    <row r="53006" spans="65:67" ht="18.75" customHeight="1">
      <c r="BM53006" s="1025"/>
      <c r="BO53006" s="43"/>
    </row>
    <row r="53007" spans="65:67" ht="18.75" customHeight="1">
      <c r="BM53007" s="1025"/>
      <c r="BO53007" s="43"/>
    </row>
    <row r="53008" spans="65:67" ht="18.75" customHeight="1">
      <c r="BM53008" s="1025"/>
      <c r="BO53008" s="43"/>
    </row>
    <row r="53009" spans="65:67" ht="18.75" customHeight="1">
      <c r="BM53009" s="1025"/>
      <c r="BO53009" s="43"/>
    </row>
    <row r="53010" spans="65:67" ht="18.75" customHeight="1">
      <c r="BM53010" s="1025"/>
      <c r="BO53010" s="43"/>
    </row>
    <row r="53011" spans="65:67" ht="18.75" customHeight="1">
      <c r="BM53011" s="1025"/>
      <c r="BO53011" s="43"/>
    </row>
    <row r="53012" spans="65:67" ht="18.75" customHeight="1">
      <c r="BM53012" s="1025"/>
      <c r="BO53012" s="43"/>
    </row>
    <row r="53013" spans="65:67" ht="18.75" customHeight="1">
      <c r="BM53013" s="1025"/>
      <c r="BO53013" s="43"/>
    </row>
    <row r="53014" spans="65:67" ht="18.75" customHeight="1">
      <c r="BM53014" s="1025"/>
      <c r="BO53014" s="43"/>
    </row>
    <row r="53015" spans="65:67" ht="18.75" customHeight="1">
      <c r="BM53015" s="1025"/>
      <c r="BO53015" s="43"/>
    </row>
    <row r="53016" spans="65:67" ht="18.75" customHeight="1">
      <c r="BM53016" s="1025"/>
      <c r="BO53016" s="43"/>
    </row>
    <row r="53017" spans="65:67" ht="18.75" customHeight="1">
      <c r="BM53017" s="1025"/>
      <c r="BO53017" s="43"/>
    </row>
    <row r="53018" spans="65:67" ht="18.75" customHeight="1">
      <c r="BM53018" s="1025"/>
      <c r="BO53018" s="43"/>
    </row>
    <row r="53019" spans="65:67" ht="18.75" customHeight="1">
      <c r="BM53019" s="1025"/>
      <c r="BO53019" s="43"/>
    </row>
    <row r="53020" spans="65:67" ht="18.75" customHeight="1">
      <c r="BM53020" s="1025"/>
      <c r="BO53020" s="43"/>
    </row>
    <row r="53021" spans="65:67" ht="18.75" customHeight="1">
      <c r="BM53021" s="1025"/>
      <c r="BO53021" s="43"/>
    </row>
    <row r="53022" spans="65:67" ht="18.75" customHeight="1">
      <c r="BM53022" s="1025"/>
      <c r="BO53022" s="43"/>
    </row>
    <row r="53023" spans="65:67" ht="18.75" customHeight="1">
      <c r="BM53023" s="1025"/>
      <c r="BO53023" s="43"/>
    </row>
    <row r="53024" spans="65:67" ht="18.75" customHeight="1">
      <c r="BM53024" s="1025"/>
      <c r="BO53024" s="43"/>
    </row>
    <row r="53025" spans="65:67" ht="18.75" customHeight="1">
      <c r="BM53025" s="1025"/>
      <c r="BO53025" s="43"/>
    </row>
    <row r="53026" spans="65:67" ht="18.75" customHeight="1">
      <c r="BM53026" s="1025"/>
      <c r="BO53026" s="43"/>
    </row>
    <row r="53027" spans="65:67" ht="18.75" customHeight="1">
      <c r="BM53027" s="1025"/>
      <c r="BO53027" s="43"/>
    </row>
    <row r="53028" spans="65:67" ht="18.75" customHeight="1">
      <c r="BM53028" s="1025"/>
      <c r="BO53028" s="43"/>
    </row>
    <row r="53029" spans="65:67" ht="18.75" customHeight="1">
      <c r="BM53029" s="1025"/>
      <c r="BO53029" s="43"/>
    </row>
    <row r="53030" spans="65:67" ht="18.75" customHeight="1">
      <c r="BM53030" s="1025"/>
      <c r="BO53030" s="43"/>
    </row>
    <row r="53031" spans="65:67" ht="18.75" customHeight="1">
      <c r="BM53031" s="1025"/>
      <c r="BO53031" s="43"/>
    </row>
    <row r="53032" spans="65:67" ht="18.75" customHeight="1">
      <c r="BM53032" s="1025"/>
      <c r="BO53032" s="43"/>
    </row>
    <row r="53033" spans="65:67" ht="18.75" customHeight="1">
      <c r="BM53033" s="1025"/>
      <c r="BO53033" s="43"/>
    </row>
    <row r="53034" spans="65:67" ht="18.75" customHeight="1">
      <c r="BM53034" s="1025"/>
      <c r="BO53034" s="43"/>
    </row>
    <row r="53035" spans="65:67" ht="18.75" customHeight="1">
      <c r="BM53035" s="1025"/>
      <c r="BO53035" s="43"/>
    </row>
    <row r="53036" spans="65:67" ht="18.75" customHeight="1">
      <c r="BM53036" s="1025"/>
      <c r="BO53036" s="43"/>
    </row>
    <row r="53037" spans="65:67" ht="18.75" customHeight="1">
      <c r="BM53037" s="1025"/>
      <c r="BO53037" s="43"/>
    </row>
    <row r="53038" spans="65:67" ht="18.75" customHeight="1">
      <c r="BM53038" s="1025"/>
      <c r="BO53038" s="43"/>
    </row>
    <row r="53039" spans="65:67" ht="18.75" customHeight="1">
      <c r="BM53039" s="1025"/>
      <c r="BO53039" s="43"/>
    </row>
    <row r="53040" spans="65:67" ht="18.75" customHeight="1">
      <c r="BM53040" s="1025"/>
      <c r="BO53040" s="43"/>
    </row>
    <row r="53041" spans="65:67" ht="18.75" customHeight="1">
      <c r="BM53041" s="1025"/>
      <c r="BO53041" s="43"/>
    </row>
    <row r="53042" spans="65:67" ht="18.75" customHeight="1">
      <c r="BM53042" s="1025"/>
      <c r="BO53042" s="43"/>
    </row>
    <row r="53043" spans="65:67" ht="18.75" customHeight="1">
      <c r="BM53043" s="1025"/>
      <c r="BO53043" s="43"/>
    </row>
    <row r="53044" spans="65:67" ht="18.75" customHeight="1">
      <c r="BM53044" s="1025"/>
      <c r="BO53044" s="43"/>
    </row>
    <row r="53045" spans="65:67" ht="18.75" customHeight="1">
      <c r="BM53045" s="1025"/>
      <c r="BO53045" s="43"/>
    </row>
    <row r="53046" spans="65:67" ht="18.75" customHeight="1">
      <c r="BM53046" s="1025"/>
      <c r="BO53046" s="43"/>
    </row>
    <row r="53047" spans="65:67" ht="18.75" customHeight="1">
      <c r="BM53047" s="1025"/>
      <c r="BO53047" s="43"/>
    </row>
    <row r="53048" spans="65:67" ht="18.75" customHeight="1">
      <c r="BM53048" s="1025"/>
      <c r="BO53048" s="43"/>
    </row>
    <row r="53049" spans="65:67" ht="18.75" customHeight="1">
      <c r="BM53049" s="1025"/>
      <c r="BO53049" s="43"/>
    </row>
    <row r="53050" spans="65:67" ht="18.75" customHeight="1">
      <c r="BM53050" s="1025"/>
      <c r="BO53050" s="43"/>
    </row>
    <row r="53051" spans="65:67" ht="18.75" customHeight="1">
      <c r="BM53051" s="1025"/>
      <c r="BO53051" s="43"/>
    </row>
    <row r="53052" spans="65:67" ht="18.75" customHeight="1">
      <c r="BM53052" s="1025"/>
      <c r="BO53052" s="43"/>
    </row>
    <row r="53053" spans="65:67" ht="18.75" customHeight="1">
      <c r="BM53053" s="1025"/>
      <c r="BO53053" s="43"/>
    </row>
    <row r="53054" spans="65:67" ht="18.75" customHeight="1">
      <c r="BM53054" s="1025"/>
      <c r="BO53054" s="43"/>
    </row>
    <row r="53055" spans="65:67" ht="18.75" customHeight="1">
      <c r="BM53055" s="1025"/>
      <c r="BO53055" s="43"/>
    </row>
    <row r="53056" spans="65:67" ht="18.75" customHeight="1">
      <c r="BM53056" s="1025"/>
      <c r="BO53056" s="43"/>
    </row>
    <row r="53057" spans="65:67" ht="18.75" customHeight="1">
      <c r="BM53057" s="1025"/>
      <c r="BO53057" s="43"/>
    </row>
    <row r="53058" spans="65:67" ht="18.75" customHeight="1">
      <c r="BM53058" s="1025"/>
      <c r="BO53058" s="43"/>
    </row>
    <row r="53059" spans="65:67" ht="18.75" customHeight="1">
      <c r="BM53059" s="1025"/>
      <c r="BO53059" s="43"/>
    </row>
    <row r="53060" spans="65:67" ht="18.75" customHeight="1">
      <c r="BM53060" s="1025"/>
      <c r="BO53060" s="43"/>
    </row>
    <row r="53061" spans="65:67" ht="18.75" customHeight="1">
      <c r="BM53061" s="1025"/>
      <c r="BO53061" s="43"/>
    </row>
    <row r="53062" spans="65:67" ht="18.75" customHeight="1">
      <c r="BM53062" s="1025"/>
      <c r="BO53062" s="43"/>
    </row>
    <row r="53063" spans="65:67" ht="18.75" customHeight="1">
      <c r="BM53063" s="1025"/>
      <c r="BO53063" s="43"/>
    </row>
    <row r="53064" spans="65:67" ht="18.75" customHeight="1">
      <c r="BM53064" s="1025"/>
      <c r="BO53064" s="43"/>
    </row>
    <row r="53065" spans="65:67" ht="18.75" customHeight="1">
      <c r="BM53065" s="1025"/>
      <c r="BO53065" s="43"/>
    </row>
    <row r="53066" spans="65:67" ht="18.75" customHeight="1">
      <c r="BM53066" s="1025"/>
      <c r="BO53066" s="43"/>
    </row>
    <row r="53067" spans="65:67" ht="18.75" customHeight="1">
      <c r="BM53067" s="1025"/>
      <c r="BO53067" s="43"/>
    </row>
    <row r="53068" spans="65:67" ht="18.75" customHeight="1">
      <c r="BM53068" s="1025"/>
      <c r="BO53068" s="43"/>
    </row>
    <row r="53069" spans="65:67" ht="18.75" customHeight="1">
      <c r="BM53069" s="1025"/>
      <c r="BO53069" s="43"/>
    </row>
    <row r="53070" spans="65:67" ht="18.75" customHeight="1">
      <c r="BM53070" s="1025"/>
      <c r="BO53070" s="43"/>
    </row>
    <row r="53071" spans="65:67" ht="18.75" customHeight="1">
      <c r="BM53071" s="1025"/>
      <c r="BO53071" s="43"/>
    </row>
    <row r="53072" spans="65:67" ht="18.75" customHeight="1">
      <c r="BM53072" s="1025"/>
      <c r="BO53072" s="43"/>
    </row>
    <row r="53073" spans="65:67" ht="18.75" customHeight="1">
      <c r="BM53073" s="1025"/>
      <c r="BO53073" s="43"/>
    </row>
    <row r="53074" spans="65:67" ht="18.75" customHeight="1">
      <c r="BM53074" s="1025"/>
      <c r="BO53074" s="43"/>
    </row>
    <row r="53075" spans="65:67" ht="18.75" customHeight="1">
      <c r="BM53075" s="1025"/>
      <c r="BO53075" s="43"/>
    </row>
    <row r="53076" spans="65:67" ht="18.75" customHeight="1">
      <c r="BM53076" s="1025"/>
      <c r="BO53076" s="43"/>
    </row>
    <row r="53077" spans="65:67" ht="18.75" customHeight="1">
      <c r="BM53077" s="1025"/>
      <c r="BO53077" s="43"/>
    </row>
    <row r="53078" spans="65:67" ht="18.75" customHeight="1">
      <c r="BM53078" s="1025"/>
      <c r="BO53078" s="43"/>
    </row>
    <row r="53079" spans="65:67" ht="18.75" customHeight="1">
      <c r="BM53079" s="1025"/>
      <c r="BO53079" s="43"/>
    </row>
    <row r="53080" spans="65:67" ht="18.75" customHeight="1">
      <c r="BM53080" s="1025"/>
      <c r="BO53080" s="43"/>
    </row>
    <row r="53081" spans="65:67" ht="18.75" customHeight="1">
      <c r="BM53081" s="1025"/>
      <c r="BO53081" s="43"/>
    </row>
    <row r="53082" spans="65:67" ht="18.75" customHeight="1">
      <c r="BM53082" s="1025"/>
      <c r="BO53082" s="43"/>
    </row>
    <row r="53083" spans="65:67" ht="18.75" customHeight="1">
      <c r="BM53083" s="1025"/>
      <c r="BO53083" s="43"/>
    </row>
    <row r="53084" spans="65:67" ht="18.75" customHeight="1">
      <c r="BM53084" s="1025"/>
      <c r="BO53084" s="43"/>
    </row>
    <row r="53085" spans="65:67" ht="18.75" customHeight="1">
      <c r="BM53085" s="1025"/>
      <c r="BO53085" s="43"/>
    </row>
    <row r="53086" spans="65:67" ht="18.75" customHeight="1">
      <c r="BM53086" s="1025"/>
      <c r="BO53086" s="43"/>
    </row>
    <row r="53087" spans="65:67" ht="18.75" customHeight="1">
      <c r="BM53087" s="1025"/>
      <c r="BO53087" s="43"/>
    </row>
    <row r="53088" spans="65:67" ht="18.75" customHeight="1">
      <c r="BM53088" s="1025"/>
      <c r="BO53088" s="43"/>
    </row>
    <row r="53089" spans="65:67" ht="18.75" customHeight="1">
      <c r="BM53089" s="1025"/>
      <c r="BO53089" s="43"/>
    </row>
    <row r="53090" spans="65:67" ht="18.75" customHeight="1">
      <c r="BM53090" s="1025"/>
      <c r="BO53090" s="43"/>
    </row>
    <row r="53091" spans="65:67" ht="18.75" customHeight="1">
      <c r="BM53091" s="1025"/>
      <c r="BO53091" s="43"/>
    </row>
    <row r="53092" spans="65:67" ht="18.75" customHeight="1">
      <c r="BM53092" s="1025"/>
      <c r="BO53092" s="43"/>
    </row>
    <row r="53093" spans="65:67" ht="18.75" customHeight="1">
      <c r="BM53093" s="1025"/>
      <c r="BO53093" s="43"/>
    </row>
    <row r="53094" spans="65:67" ht="18.75" customHeight="1">
      <c r="BM53094" s="1025"/>
      <c r="BO53094" s="43"/>
    </row>
    <row r="53095" spans="65:67" ht="18.75" customHeight="1">
      <c r="BM53095" s="1025"/>
      <c r="BO53095" s="43"/>
    </row>
    <row r="53096" spans="65:67" ht="18.75" customHeight="1">
      <c r="BM53096" s="1025"/>
      <c r="BO53096" s="43"/>
    </row>
    <row r="53097" spans="65:67" ht="18.75" customHeight="1">
      <c r="BM53097" s="1025"/>
      <c r="BO53097" s="43"/>
    </row>
    <row r="53098" spans="65:67" ht="18.75" customHeight="1">
      <c r="BM53098" s="1025"/>
      <c r="BO53098" s="43"/>
    </row>
    <row r="53099" spans="65:67" ht="18.75" customHeight="1">
      <c r="BM53099" s="1025"/>
      <c r="BO53099" s="43"/>
    </row>
    <row r="53100" spans="65:67" ht="18.75" customHeight="1">
      <c r="BM53100" s="1025"/>
      <c r="BO53100" s="43"/>
    </row>
    <row r="53101" spans="65:67" ht="18.75" customHeight="1">
      <c r="BM53101" s="1025"/>
      <c r="BO53101" s="43"/>
    </row>
    <row r="53102" spans="65:67" ht="18.75" customHeight="1">
      <c r="BM53102" s="1025"/>
      <c r="BO53102" s="43"/>
    </row>
    <row r="53103" spans="65:67" ht="18.75" customHeight="1">
      <c r="BM53103" s="1025"/>
      <c r="BO53103" s="43"/>
    </row>
    <row r="53104" spans="65:67" ht="18.75" customHeight="1">
      <c r="BM53104" s="1025"/>
      <c r="BO53104" s="43"/>
    </row>
    <row r="53105" spans="65:67" ht="18.75" customHeight="1">
      <c r="BM53105" s="1025"/>
      <c r="BO53105" s="43"/>
    </row>
    <row r="53106" spans="65:67" ht="18.75" customHeight="1">
      <c r="BM53106" s="1025"/>
      <c r="BO53106" s="43"/>
    </row>
    <row r="53107" spans="65:67" ht="18.75" customHeight="1">
      <c r="BM53107" s="1025"/>
      <c r="BO53107" s="43"/>
    </row>
    <row r="53108" spans="65:67" ht="18.75" customHeight="1">
      <c r="BM53108" s="1025"/>
      <c r="BO53108" s="43"/>
    </row>
    <row r="53109" spans="65:67" ht="18.75" customHeight="1">
      <c r="BM53109" s="1025"/>
      <c r="BO53109" s="43"/>
    </row>
    <row r="53110" spans="65:67" ht="18.75" customHeight="1">
      <c r="BM53110" s="1025"/>
      <c r="BO53110" s="43"/>
    </row>
    <row r="53111" spans="65:67" ht="18.75" customHeight="1">
      <c r="BM53111" s="1025"/>
      <c r="BO53111" s="43"/>
    </row>
    <row r="53112" spans="65:67" ht="18.75" customHeight="1">
      <c r="BM53112" s="1025"/>
      <c r="BO53112" s="43"/>
    </row>
    <row r="53113" spans="65:67" ht="18.75" customHeight="1">
      <c r="BM53113" s="1025"/>
      <c r="BO53113" s="43"/>
    </row>
    <row r="53114" spans="65:67" ht="18.75" customHeight="1">
      <c r="BM53114" s="1025"/>
      <c r="BO53114" s="43"/>
    </row>
    <row r="53115" spans="65:67" ht="18.75" customHeight="1">
      <c r="BM53115" s="1025"/>
      <c r="BO53115" s="43"/>
    </row>
    <row r="53116" spans="65:67" ht="18.75" customHeight="1">
      <c r="BM53116" s="1025"/>
      <c r="BO53116" s="43"/>
    </row>
    <row r="53117" spans="65:67" ht="18.75" customHeight="1">
      <c r="BM53117" s="1025"/>
      <c r="BO53117" s="43"/>
    </row>
    <row r="53118" spans="65:67" ht="18.75" customHeight="1">
      <c r="BM53118" s="1025"/>
      <c r="BO53118" s="43"/>
    </row>
    <row r="53119" spans="65:67" ht="18.75" customHeight="1">
      <c r="BM53119" s="1025"/>
      <c r="BO53119" s="43"/>
    </row>
    <row r="53120" spans="65:67" ht="18.75" customHeight="1">
      <c r="BM53120" s="1025"/>
      <c r="BO53120" s="43"/>
    </row>
    <row r="53121" spans="65:67" ht="18.75" customHeight="1">
      <c r="BM53121" s="1025"/>
      <c r="BO53121" s="43"/>
    </row>
    <row r="53122" spans="65:67" ht="18.75" customHeight="1">
      <c r="BM53122" s="1025"/>
      <c r="BO53122" s="43"/>
    </row>
    <row r="53123" spans="65:67" ht="18.75" customHeight="1">
      <c r="BM53123" s="1025"/>
      <c r="BO53123" s="43"/>
    </row>
    <row r="53124" spans="65:67" ht="18.75" customHeight="1">
      <c r="BM53124" s="1025"/>
      <c r="BO53124" s="43"/>
    </row>
    <row r="53125" spans="65:67" ht="18.75" customHeight="1">
      <c r="BM53125" s="1025"/>
      <c r="BO53125" s="43"/>
    </row>
    <row r="53126" spans="65:67" ht="18.75" customHeight="1">
      <c r="BM53126" s="1025"/>
      <c r="BO53126" s="43"/>
    </row>
    <row r="53127" spans="65:67" ht="18.75" customHeight="1">
      <c r="BM53127" s="1025"/>
      <c r="BO53127" s="43"/>
    </row>
    <row r="53128" spans="65:67" ht="18.75" customHeight="1">
      <c r="BM53128" s="1025"/>
      <c r="BO53128" s="43"/>
    </row>
    <row r="53129" spans="65:67" ht="18.75" customHeight="1">
      <c r="BM53129" s="1025"/>
      <c r="BO53129" s="43"/>
    </row>
    <row r="53130" spans="65:67" ht="18.75" customHeight="1">
      <c r="BM53130" s="1025"/>
      <c r="BO53130" s="43"/>
    </row>
    <row r="53131" spans="65:67" ht="18.75" customHeight="1">
      <c r="BM53131" s="1025"/>
      <c r="BO53131" s="43"/>
    </row>
    <row r="53132" spans="65:67" ht="18.75" customHeight="1">
      <c r="BM53132" s="1025"/>
      <c r="BO53132" s="43"/>
    </row>
    <row r="53133" spans="65:67" ht="18.75" customHeight="1">
      <c r="BM53133" s="1025"/>
      <c r="BO53133" s="43"/>
    </row>
    <row r="53134" spans="65:67" ht="18.75" customHeight="1">
      <c r="BM53134" s="1025"/>
      <c r="BO53134" s="43"/>
    </row>
    <row r="53135" spans="65:67" ht="18.75" customHeight="1">
      <c r="BM53135" s="1025"/>
      <c r="BO53135" s="43"/>
    </row>
    <row r="53136" spans="65:67" ht="18.75" customHeight="1">
      <c r="BM53136" s="1025"/>
      <c r="BO53136" s="43"/>
    </row>
    <row r="53137" spans="65:67" ht="18.75" customHeight="1">
      <c r="BM53137" s="1025"/>
      <c r="BO53137" s="43"/>
    </row>
    <row r="53138" spans="65:67" ht="18.75" customHeight="1">
      <c r="BM53138" s="1025"/>
      <c r="BO53138" s="43"/>
    </row>
    <row r="53139" spans="65:67" ht="18.75" customHeight="1">
      <c r="BM53139" s="1025"/>
      <c r="BO53139" s="43"/>
    </row>
    <row r="53140" spans="65:67" ht="18.75" customHeight="1">
      <c r="BM53140" s="1025"/>
      <c r="BO53140" s="43"/>
    </row>
    <row r="53141" spans="65:67" ht="18.75" customHeight="1">
      <c r="BM53141" s="1025"/>
      <c r="BO53141" s="43"/>
    </row>
    <row r="53142" spans="65:67" ht="18.75" customHeight="1">
      <c r="BM53142" s="1025"/>
      <c r="BO53142" s="43"/>
    </row>
    <row r="53143" spans="65:67" ht="18.75" customHeight="1">
      <c r="BM53143" s="1025"/>
      <c r="BO53143" s="43"/>
    </row>
    <row r="53144" spans="65:67" ht="18.75" customHeight="1">
      <c r="BM53144" s="1025"/>
      <c r="BO53144" s="43"/>
    </row>
    <row r="53145" spans="65:67" ht="18.75" customHeight="1">
      <c r="BM53145" s="1025"/>
      <c r="BO53145" s="43"/>
    </row>
    <row r="53146" spans="65:67" ht="18.75" customHeight="1">
      <c r="BM53146" s="1025"/>
      <c r="BO53146" s="43"/>
    </row>
    <row r="53147" spans="65:67" ht="18.75" customHeight="1">
      <c r="BM53147" s="1025"/>
      <c r="BO53147" s="43"/>
    </row>
    <row r="53148" spans="65:67" ht="18.75" customHeight="1">
      <c r="BM53148" s="1025"/>
      <c r="BO53148" s="43"/>
    </row>
    <row r="53149" spans="65:67" ht="18.75" customHeight="1">
      <c r="BM53149" s="1025"/>
      <c r="BO53149" s="43"/>
    </row>
    <row r="53150" spans="65:67" ht="18.75" customHeight="1">
      <c r="BM53150" s="1025"/>
      <c r="BO53150" s="43"/>
    </row>
    <row r="53151" spans="65:67" ht="18.75" customHeight="1">
      <c r="BM53151" s="1025"/>
      <c r="BO53151" s="43"/>
    </row>
    <row r="53152" spans="65:67" ht="18.75" customHeight="1">
      <c r="BM53152" s="1025"/>
      <c r="BO53152" s="43"/>
    </row>
    <row r="53153" spans="65:67" ht="18.75" customHeight="1">
      <c r="BM53153" s="1025"/>
      <c r="BO53153" s="43"/>
    </row>
    <row r="53154" spans="65:67" ht="18.75" customHeight="1">
      <c r="BM53154" s="1025"/>
      <c r="BO53154" s="43"/>
    </row>
    <row r="53155" spans="65:67" ht="18.75" customHeight="1">
      <c r="BM53155" s="1025"/>
      <c r="BO53155" s="43"/>
    </row>
    <row r="53156" spans="65:67" ht="18.75" customHeight="1">
      <c r="BM53156" s="1025"/>
      <c r="BO53156" s="43"/>
    </row>
    <row r="53157" spans="65:67" ht="18.75" customHeight="1">
      <c r="BM53157" s="1025"/>
      <c r="BO53157" s="43"/>
    </row>
    <row r="53158" spans="65:67" ht="18.75" customHeight="1">
      <c r="BM53158" s="1025"/>
      <c r="BO53158" s="43"/>
    </row>
    <row r="53159" spans="65:67" ht="18.75" customHeight="1">
      <c r="BM53159" s="1025"/>
      <c r="BO53159" s="43"/>
    </row>
    <row r="53160" spans="65:67" ht="18.75" customHeight="1">
      <c r="BM53160" s="1025"/>
      <c r="BO53160" s="43"/>
    </row>
    <row r="53161" spans="65:67" ht="18.75" customHeight="1">
      <c r="BM53161" s="1025"/>
      <c r="BO53161" s="43"/>
    </row>
    <row r="53162" spans="65:67" ht="18.75" customHeight="1">
      <c r="BM53162" s="1025"/>
      <c r="BO53162" s="43"/>
    </row>
    <row r="53163" spans="65:67" ht="18.75" customHeight="1">
      <c r="BM53163" s="1025"/>
      <c r="BO53163" s="43"/>
    </row>
    <row r="53164" spans="65:67" ht="18.75" customHeight="1">
      <c r="BM53164" s="1025"/>
      <c r="BO53164" s="43"/>
    </row>
    <row r="53165" spans="65:67" ht="18.75" customHeight="1">
      <c r="BM53165" s="1025"/>
      <c r="BO53165" s="43"/>
    </row>
    <row r="53166" spans="65:67" ht="18.75" customHeight="1">
      <c r="BM53166" s="1025"/>
      <c r="BO53166" s="43"/>
    </row>
    <row r="53167" spans="65:67" ht="18.75" customHeight="1">
      <c r="BM53167" s="1025"/>
      <c r="BO53167" s="43"/>
    </row>
    <row r="53168" spans="65:67" ht="18.75" customHeight="1">
      <c r="BM53168" s="1025"/>
      <c r="BO53168" s="43"/>
    </row>
    <row r="53169" spans="65:67" ht="18.75" customHeight="1">
      <c r="BM53169" s="1025"/>
      <c r="BO53169" s="43"/>
    </row>
    <row r="53170" spans="65:67" ht="18.75" customHeight="1">
      <c r="BM53170" s="1025"/>
      <c r="BO53170" s="43"/>
    </row>
    <row r="53171" spans="65:67" ht="18.75" customHeight="1">
      <c r="BM53171" s="1025"/>
      <c r="BO53171" s="43"/>
    </row>
    <row r="53172" spans="65:67" ht="18.75" customHeight="1">
      <c r="BM53172" s="1025"/>
      <c r="BO53172" s="43"/>
    </row>
    <row r="53173" spans="65:67" ht="18.75" customHeight="1">
      <c r="BM53173" s="1025"/>
      <c r="BO53173" s="43"/>
    </row>
    <row r="53174" spans="65:67" ht="18.75" customHeight="1">
      <c r="BM53174" s="1025"/>
      <c r="BO53174" s="43"/>
    </row>
    <row r="53175" spans="65:67" ht="18.75" customHeight="1">
      <c r="BM53175" s="1025"/>
      <c r="BO53175" s="43"/>
    </row>
    <row r="53176" spans="65:67" ht="18.75" customHeight="1">
      <c r="BM53176" s="1025"/>
      <c r="BO53176" s="43"/>
    </row>
    <row r="53177" spans="65:67" ht="18.75" customHeight="1">
      <c r="BM53177" s="1025"/>
      <c r="BO53177" s="43"/>
    </row>
    <row r="53178" spans="65:67" ht="18.75" customHeight="1">
      <c r="BM53178" s="1025"/>
      <c r="BO53178" s="43"/>
    </row>
    <row r="53179" spans="65:67" ht="18.75" customHeight="1">
      <c r="BM53179" s="1025"/>
      <c r="BO53179" s="43"/>
    </row>
    <row r="53180" spans="65:67" ht="18.75" customHeight="1">
      <c r="BM53180" s="1025"/>
      <c r="BO53180" s="43"/>
    </row>
    <row r="53181" spans="65:67" ht="18.75" customHeight="1">
      <c r="BM53181" s="1025"/>
      <c r="BO53181" s="43"/>
    </row>
    <row r="53182" spans="65:67" ht="18.75" customHeight="1">
      <c r="BM53182" s="1025"/>
      <c r="BO53182" s="43"/>
    </row>
    <row r="53183" spans="65:67" ht="18.75" customHeight="1">
      <c r="BM53183" s="1025"/>
      <c r="BO53183" s="43"/>
    </row>
    <row r="53184" spans="65:67" ht="18.75" customHeight="1">
      <c r="BM53184" s="1025"/>
      <c r="BO53184" s="43"/>
    </row>
    <row r="53185" spans="65:67" ht="18.75" customHeight="1">
      <c r="BM53185" s="1025"/>
      <c r="BO53185" s="43"/>
    </row>
    <row r="53186" spans="65:67" ht="18.75" customHeight="1">
      <c r="BM53186" s="1025"/>
      <c r="BO53186" s="43"/>
    </row>
    <row r="53187" spans="65:67" ht="18.75" customHeight="1">
      <c r="BM53187" s="1025"/>
      <c r="BO53187" s="43"/>
    </row>
    <row r="53188" spans="65:67" ht="18.75" customHeight="1">
      <c r="BM53188" s="1025"/>
      <c r="BO53188" s="43"/>
    </row>
    <row r="53189" spans="65:67" ht="18.75" customHeight="1">
      <c r="BM53189" s="1025"/>
      <c r="BO53189" s="43"/>
    </row>
    <row r="53190" spans="65:67" ht="18.75" customHeight="1">
      <c r="BM53190" s="1025"/>
      <c r="BO53190" s="43"/>
    </row>
    <row r="53191" spans="65:67" ht="18.75" customHeight="1">
      <c r="BM53191" s="1025"/>
      <c r="BO53191" s="43"/>
    </row>
    <row r="53192" spans="65:67" ht="18.75" customHeight="1">
      <c r="BM53192" s="1025"/>
      <c r="BO53192" s="43"/>
    </row>
    <row r="53193" spans="65:67" ht="18.75" customHeight="1">
      <c r="BM53193" s="1025"/>
      <c r="BO53193" s="43"/>
    </row>
    <row r="53194" spans="65:67" ht="18.75" customHeight="1">
      <c r="BM53194" s="1025"/>
      <c r="BO53194" s="43"/>
    </row>
    <row r="53195" spans="65:67" ht="18.75" customHeight="1">
      <c r="BM53195" s="1025"/>
      <c r="BO53195" s="43"/>
    </row>
    <row r="53196" spans="65:67" ht="18.75" customHeight="1">
      <c r="BM53196" s="1025"/>
      <c r="BO53196" s="43"/>
    </row>
    <row r="53197" spans="65:67" ht="18.75" customHeight="1">
      <c r="BM53197" s="1025"/>
      <c r="BO53197" s="43"/>
    </row>
    <row r="53198" spans="65:67" ht="18.75" customHeight="1">
      <c r="BM53198" s="1025"/>
      <c r="BO53198" s="43"/>
    </row>
    <row r="53199" spans="65:67" ht="18.75" customHeight="1">
      <c r="BM53199" s="1025"/>
      <c r="BO53199" s="43"/>
    </row>
    <row r="53200" spans="65:67" ht="18.75" customHeight="1">
      <c r="BM53200" s="1025"/>
      <c r="BO53200" s="43"/>
    </row>
    <row r="53201" spans="65:67" ht="18.75" customHeight="1">
      <c r="BM53201" s="1025"/>
      <c r="BO53201" s="43"/>
    </row>
    <row r="53202" spans="65:67" ht="18.75" customHeight="1">
      <c r="BM53202" s="1025"/>
      <c r="BO53202" s="43"/>
    </row>
    <row r="53203" spans="65:67" ht="18.75" customHeight="1">
      <c r="BM53203" s="1025"/>
      <c r="BO53203" s="43"/>
    </row>
    <row r="53204" spans="65:67" ht="18.75" customHeight="1">
      <c r="BM53204" s="1025"/>
      <c r="BO53204" s="43"/>
    </row>
    <row r="53205" spans="65:67" ht="18.75" customHeight="1">
      <c r="BM53205" s="1025"/>
      <c r="BO53205" s="43"/>
    </row>
    <row r="53206" spans="65:67" ht="18.75" customHeight="1">
      <c r="BM53206" s="1025"/>
      <c r="BO53206" s="43"/>
    </row>
    <row r="53207" spans="65:67" ht="18.75" customHeight="1">
      <c r="BM53207" s="1025"/>
      <c r="BO53207" s="43"/>
    </row>
    <row r="53208" spans="65:67" ht="18.75" customHeight="1">
      <c r="BM53208" s="1025"/>
      <c r="BO53208" s="43"/>
    </row>
    <row r="53209" spans="65:67" ht="18.75" customHeight="1">
      <c r="BM53209" s="1025"/>
      <c r="BO53209" s="43"/>
    </row>
    <row r="53210" spans="65:67" ht="18.75" customHeight="1">
      <c r="BM53210" s="1025"/>
      <c r="BO53210" s="43"/>
    </row>
    <row r="53211" spans="65:67" ht="18.75" customHeight="1">
      <c r="BM53211" s="1025"/>
      <c r="BO53211" s="43"/>
    </row>
    <row r="53212" spans="65:67" ht="18.75" customHeight="1">
      <c r="BM53212" s="1025"/>
      <c r="BO53212" s="43"/>
    </row>
    <row r="53213" spans="65:67" ht="18.75" customHeight="1">
      <c r="BM53213" s="1025"/>
      <c r="BO53213" s="43"/>
    </row>
    <row r="53214" spans="65:67" ht="18.75" customHeight="1">
      <c r="BM53214" s="1025"/>
      <c r="BO53214" s="43"/>
    </row>
    <row r="53215" spans="65:67" ht="18.75" customHeight="1">
      <c r="BM53215" s="1025"/>
      <c r="BO53215" s="43"/>
    </row>
    <row r="53216" spans="65:67" ht="18.75" customHeight="1">
      <c r="BM53216" s="1025"/>
      <c r="BO53216" s="43"/>
    </row>
    <row r="53217" spans="65:67" ht="18.75" customHeight="1">
      <c r="BM53217" s="1025"/>
      <c r="BO53217" s="43"/>
    </row>
    <row r="53218" spans="65:67" ht="18.75" customHeight="1">
      <c r="BM53218" s="1025"/>
      <c r="BO53218" s="43"/>
    </row>
    <row r="53219" spans="65:67" ht="18.75" customHeight="1">
      <c r="BM53219" s="1025"/>
      <c r="BO53219" s="43"/>
    </row>
    <row r="53220" spans="65:67" ht="18.75" customHeight="1">
      <c r="BM53220" s="1025"/>
      <c r="BO53220" s="43"/>
    </row>
    <row r="53221" spans="65:67" ht="18.75" customHeight="1">
      <c r="BM53221" s="1025"/>
      <c r="BO53221" s="43"/>
    </row>
    <row r="53222" spans="65:67" ht="18.75" customHeight="1">
      <c r="BM53222" s="1025"/>
      <c r="BO53222" s="43"/>
    </row>
    <row r="53223" spans="65:67" ht="18.75" customHeight="1">
      <c r="BM53223" s="1025"/>
      <c r="BO53223" s="43"/>
    </row>
    <row r="53224" spans="65:67" ht="18.75" customHeight="1">
      <c r="BM53224" s="1025"/>
      <c r="BO53224" s="43"/>
    </row>
    <row r="53225" spans="65:67" ht="18.75" customHeight="1">
      <c r="BM53225" s="1025"/>
      <c r="BO53225" s="43"/>
    </row>
    <row r="53226" spans="65:67" ht="18.75" customHeight="1">
      <c r="BM53226" s="1025"/>
      <c r="BO53226" s="43"/>
    </row>
    <row r="53227" spans="65:67" ht="18.75" customHeight="1">
      <c r="BM53227" s="1025"/>
      <c r="BO53227" s="43"/>
    </row>
    <row r="53228" spans="65:67" ht="18.75" customHeight="1">
      <c r="BM53228" s="1025"/>
      <c r="BO53228" s="43"/>
    </row>
    <row r="53229" spans="65:67" ht="18.75" customHeight="1">
      <c r="BM53229" s="1025"/>
      <c r="BO53229" s="43"/>
    </row>
    <row r="53230" spans="65:67" ht="18.75" customHeight="1">
      <c r="BM53230" s="1025"/>
      <c r="BO53230" s="43"/>
    </row>
    <row r="53231" spans="65:67" ht="18.75" customHeight="1">
      <c r="BM53231" s="1025"/>
      <c r="BO53231" s="43"/>
    </row>
    <row r="53232" spans="65:67" ht="18.75" customHeight="1">
      <c r="BM53232" s="1025"/>
      <c r="BO53232" s="43"/>
    </row>
    <row r="53233" spans="65:67" ht="18.75" customHeight="1">
      <c r="BM53233" s="1025"/>
      <c r="BO53233" s="43"/>
    </row>
    <row r="53234" spans="65:67" ht="18.75" customHeight="1">
      <c r="BM53234" s="1025"/>
      <c r="BO53234" s="43"/>
    </row>
    <row r="53235" spans="65:67" ht="18.75" customHeight="1">
      <c r="BM53235" s="1025"/>
      <c r="BO53235" s="43"/>
    </row>
    <row r="53236" spans="65:67" ht="18.75" customHeight="1">
      <c r="BM53236" s="1025"/>
      <c r="BO53236" s="43"/>
    </row>
    <row r="53237" spans="65:67" ht="18.75" customHeight="1">
      <c r="BM53237" s="1025"/>
      <c r="BO53237" s="43"/>
    </row>
    <row r="53238" spans="65:67" ht="18.75" customHeight="1">
      <c r="BM53238" s="1025"/>
      <c r="BO53238" s="43"/>
    </row>
    <row r="53239" spans="65:67" ht="18.75" customHeight="1">
      <c r="BM53239" s="1025"/>
      <c r="BO53239" s="43"/>
    </row>
    <row r="53240" spans="65:67" ht="18.75" customHeight="1">
      <c r="BM53240" s="1025"/>
      <c r="BO53240" s="43"/>
    </row>
    <row r="53241" spans="65:67" ht="18.75" customHeight="1">
      <c r="BM53241" s="1025"/>
      <c r="BO53241" s="43"/>
    </row>
    <row r="53242" spans="65:67" ht="18.75" customHeight="1">
      <c r="BM53242" s="1025"/>
      <c r="BO53242" s="43"/>
    </row>
    <row r="53243" spans="65:67" ht="18.75" customHeight="1">
      <c r="BM53243" s="1025"/>
      <c r="BO53243" s="43"/>
    </row>
    <row r="53244" spans="65:67" ht="18.75" customHeight="1">
      <c r="BM53244" s="1025"/>
      <c r="BO53244" s="43"/>
    </row>
    <row r="53245" spans="65:67" ht="18.75" customHeight="1">
      <c r="BM53245" s="1025"/>
      <c r="BO53245" s="43"/>
    </row>
    <row r="53246" spans="65:67" ht="18.75" customHeight="1">
      <c r="BM53246" s="1025"/>
      <c r="BO53246" s="43"/>
    </row>
    <row r="53247" spans="65:67" ht="18.75" customHeight="1">
      <c r="BM53247" s="1025"/>
      <c r="BO53247" s="43"/>
    </row>
    <row r="53248" spans="65:67" ht="18.75" customHeight="1">
      <c r="BM53248" s="1025"/>
      <c r="BO53248" s="43"/>
    </row>
    <row r="53249" spans="65:67" ht="18.75" customHeight="1">
      <c r="BM53249" s="1025"/>
      <c r="BO53249" s="43"/>
    </row>
    <row r="53250" spans="65:67" ht="18.75" customHeight="1">
      <c r="BM53250" s="1025"/>
      <c r="BO53250" s="43"/>
    </row>
    <row r="53251" spans="65:67" ht="18.75" customHeight="1">
      <c r="BM53251" s="1025"/>
      <c r="BO53251" s="43"/>
    </row>
    <row r="53252" spans="65:67" ht="18.75" customHeight="1">
      <c r="BM53252" s="1025"/>
      <c r="BO53252" s="43"/>
    </row>
    <row r="53253" spans="65:67" ht="18.75" customHeight="1">
      <c r="BM53253" s="1025"/>
      <c r="BO53253" s="43"/>
    </row>
    <row r="53254" spans="65:67" ht="18.75" customHeight="1">
      <c r="BM53254" s="1025"/>
      <c r="BO53254" s="43"/>
    </row>
    <row r="53255" spans="65:67" ht="18.75" customHeight="1">
      <c r="BM53255" s="1025"/>
      <c r="BO53255" s="43"/>
    </row>
    <row r="53256" spans="65:67" ht="18.75" customHeight="1">
      <c r="BM53256" s="1025"/>
      <c r="BO53256" s="43"/>
    </row>
    <row r="53257" spans="65:67" ht="18.75" customHeight="1">
      <c r="BM53257" s="1025"/>
      <c r="BO53257" s="43"/>
    </row>
    <row r="53258" spans="65:67" ht="18.75" customHeight="1">
      <c r="BM53258" s="1025"/>
      <c r="BO53258" s="43"/>
    </row>
    <row r="53259" spans="65:67" ht="18.75" customHeight="1">
      <c r="BM53259" s="1025"/>
      <c r="BO53259" s="43"/>
    </row>
    <row r="53260" spans="65:67" ht="18.75" customHeight="1">
      <c r="BM53260" s="1025"/>
      <c r="BO53260" s="43"/>
    </row>
    <row r="53261" spans="65:67" ht="18.75" customHeight="1">
      <c r="BM53261" s="1025"/>
      <c r="BO53261" s="43"/>
    </row>
    <row r="53262" spans="65:67" ht="18.75" customHeight="1">
      <c r="BM53262" s="1025"/>
      <c r="BO53262" s="43"/>
    </row>
    <row r="53263" spans="65:67" ht="18.75" customHeight="1">
      <c r="BM53263" s="1025"/>
      <c r="BO53263" s="43"/>
    </row>
    <row r="53264" spans="65:67" ht="18.75" customHeight="1">
      <c r="BM53264" s="1025"/>
      <c r="BO53264" s="43"/>
    </row>
    <row r="53265" spans="65:67" ht="18.75" customHeight="1">
      <c r="BM53265" s="1025"/>
      <c r="BO53265" s="43"/>
    </row>
    <row r="53266" spans="65:67" ht="18.75" customHeight="1">
      <c r="BM53266" s="1025"/>
      <c r="BO53266" s="43"/>
    </row>
    <row r="53267" spans="65:67" ht="18.75" customHeight="1">
      <c r="BM53267" s="1025"/>
      <c r="BO53267" s="43"/>
    </row>
    <row r="53268" spans="65:67" ht="18.75" customHeight="1">
      <c r="BM53268" s="1025"/>
      <c r="BO53268" s="43"/>
    </row>
    <row r="53269" spans="65:67" ht="18.75" customHeight="1">
      <c r="BM53269" s="1025"/>
      <c r="BO53269" s="43"/>
    </row>
    <row r="53270" spans="65:67" ht="18.75" customHeight="1">
      <c r="BM53270" s="1025"/>
      <c r="BO53270" s="43"/>
    </row>
    <row r="53271" spans="65:67" ht="18.75" customHeight="1">
      <c r="BM53271" s="1025"/>
      <c r="BO53271" s="43"/>
    </row>
    <row r="53272" spans="65:67" ht="18.75" customHeight="1">
      <c r="BM53272" s="1025"/>
      <c r="BO53272" s="43"/>
    </row>
    <row r="53273" spans="65:67" ht="18.75" customHeight="1">
      <c r="BM53273" s="1025"/>
      <c r="BO53273" s="43"/>
    </row>
    <row r="53274" spans="65:67" ht="18.75" customHeight="1">
      <c r="BM53274" s="1025"/>
      <c r="BO53274" s="43"/>
    </row>
    <row r="53275" spans="65:67" ht="18.75" customHeight="1">
      <c r="BM53275" s="1025"/>
      <c r="BO53275" s="43"/>
    </row>
    <row r="53276" spans="65:67" ht="18.75" customHeight="1">
      <c r="BM53276" s="1025"/>
      <c r="BO53276" s="43"/>
    </row>
    <row r="53277" spans="65:67" ht="18.75" customHeight="1">
      <c r="BM53277" s="1025"/>
      <c r="BO53277" s="43"/>
    </row>
    <row r="53278" spans="65:67" ht="18.75" customHeight="1">
      <c r="BM53278" s="1025"/>
      <c r="BO53278" s="43"/>
    </row>
    <row r="53279" spans="65:67" ht="18.75" customHeight="1">
      <c r="BM53279" s="1025"/>
      <c r="BO53279" s="43"/>
    </row>
    <row r="53280" spans="65:67" ht="18.75" customHeight="1">
      <c r="BM53280" s="1025"/>
      <c r="BO53280" s="43"/>
    </row>
    <row r="53281" spans="65:67" ht="18.75" customHeight="1">
      <c r="BM53281" s="1025"/>
      <c r="BO53281" s="43"/>
    </row>
    <row r="53282" spans="65:67" ht="18.75" customHeight="1">
      <c r="BM53282" s="1025"/>
      <c r="BO53282" s="43"/>
    </row>
    <row r="53283" spans="65:67" ht="18.75" customHeight="1">
      <c r="BM53283" s="1025"/>
      <c r="BO53283" s="43"/>
    </row>
    <row r="53284" spans="65:67" ht="18.75" customHeight="1">
      <c r="BM53284" s="1025"/>
      <c r="BO53284" s="43"/>
    </row>
    <row r="53285" spans="65:67" ht="18.75" customHeight="1">
      <c r="BM53285" s="1025"/>
      <c r="BO53285" s="43"/>
    </row>
    <row r="53286" spans="65:67" ht="18.75" customHeight="1">
      <c r="BM53286" s="1025"/>
      <c r="BO53286" s="43"/>
    </row>
    <row r="53287" spans="65:67" ht="18.75" customHeight="1">
      <c r="BM53287" s="1025"/>
      <c r="BO53287" s="43"/>
    </row>
    <row r="53288" spans="65:67" ht="18.75" customHeight="1">
      <c r="BM53288" s="1025"/>
      <c r="BO53288" s="43"/>
    </row>
    <row r="53289" spans="65:67" ht="18.75" customHeight="1">
      <c r="BM53289" s="1025"/>
      <c r="BO53289" s="43"/>
    </row>
    <row r="53290" spans="65:67" ht="18.75" customHeight="1">
      <c r="BM53290" s="1025"/>
      <c r="BO53290" s="43"/>
    </row>
    <row r="53291" spans="65:67" ht="18.75" customHeight="1">
      <c r="BM53291" s="1025"/>
      <c r="BO53291" s="43"/>
    </row>
    <row r="53292" spans="65:67" ht="18.75" customHeight="1">
      <c r="BM53292" s="1025"/>
      <c r="BO53292" s="43"/>
    </row>
    <row r="53293" spans="65:67" ht="18.75" customHeight="1">
      <c r="BM53293" s="1025"/>
      <c r="BO53293" s="43"/>
    </row>
    <row r="53294" spans="65:67" ht="18.75" customHeight="1">
      <c r="BM53294" s="1025"/>
      <c r="BO53294" s="43"/>
    </row>
    <row r="53295" spans="65:67" ht="18.75" customHeight="1">
      <c r="BM53295" s="1025"/>
      <c r="BO53295" s="43"/>
    </row>
    <row r="53296" spans="65:67" ht="18.75" customHeight="1">
      <c r="BM53296" s="1025"/>
      <c r="BO53296" s="43"/>
    </row>
    <row r="53297" spans="65:67" ht="18.75" customHeight="1">
      <c r="BM53297" s="1025"/>
      <c r="BO53297" s="43"/>
    </row>
    <row r="53298" spans="65:67" ht="18.75" customHeight="1">
      <c r="BM53298" s="1025"/>
      <c r="BO53298" s="43"/>
    </row>
    <row r="53299" spans="65:67" ht="18.75" customHeight="1">
      <c r="BM53299" s="1025"/>
      <c r="BO53299" s="43"/>
    </row>
    <row r="53300" spans="65:67" ht="18.75" customHeight="1">
      <c r="BM53300" s="1025"/>
      <c r="BO53300" s="43"/>
    </row>
    <row r="53301" spans="65:67" ht="18.75" customHeight="1">
      <c r="BM53301" s="1025"/>
      <c r="BO53301" s="43"/>
    </row>
    <row r="53302" spans="65:67" ht="18.75" customHeight="1">
      <c r="BM53302" s="1025"/>
      <c r="BO53302" s="43"/>
    </row>
    <row r="53303" spans="65:67" ht="18.75" customHeight="1">
      <c r="BM53303" s="1025"/>
      <c r="BO53303" s="43"/>
    </row>
    <row r="53304" spans="65:67" ht="18.75" customHeight="1">
      <c r="BM53304" s="1025"/>
      <c r="BO53304" s="43"/>
    </row>
    <row r="53305" spans="65:67" ht="18.75" customHeight="1">
      <c r="BM53305" s="1025"/>
      <c r="BO53305" s="43"/>
    </row>
    <row r="53306" spans="65:67" ht="18.75" customHeight="1">
      <c r="BM53306" s="1025"/>
      <c r="BO53306" s="43"/>
    </row>
    <row r="53307" spans="65:67" ht="18.75" customHeight="1">
      <c r="BM53307" s="1025"/>
      <c r="BO53307" s="43"/>
    </row>
    <row r="53308" spans="65:67" ht="18.75" customHeight="1">
      <c r="BM53308" s="1025"/>
      <c r="BO53308" s="43"/>
    </row>
    <row r="53309" spans="65:67" ht="18.75" customHeight="1">
      <c r="BM53309" s="1025"/>
      <c r="BO53309" s="43"/>
    </row>
    <row r="53310" spans="65:67" ht="18.75" customHeight="1">
      <c r="BM53310" s="1025"/>
      <c r="BO53310" s="43"/>
    </row>
    <row r="53311" spans="65:67" ht="18.75" customHeight="1">
      <c r="BM53311" s="1025"/>
      <c r="BO53311" s="43"/>
    </row>
    <row r="53312" spans="65:67" ht="18.75" customHeight="1">
      <c r="BM53312" s="1025"/>
      <c r="BO53312" s="43"/>
    </row>
    <row r="53313" spans="65:67" ht="18.75" customHeight="1">
      <c r="BM53313" s="1025"/>
      <c r="BO53313" s="43"/>
    </row>
    <row r="53314" spans="65:67" ht="18.75" customHeight="1">
      <c r="BM53314" s="1025"/>
      <c r="BO53314" s="43"/>
    </row>
    <row r="53315" spans="65:67" ht="18.75" customHeight="1">
      <c r="BM53315" s="1025"/>
      <c r="BO53315" s="43"/>
    </row>
    <row r="53316" spans="65:67" ht="18.75" customHeight="1">
      <c r="BM53316" s="1025"/>
      <c r="BO53316" s="43"/>
    </row>
    <row r="53317" spans="65:67" ht="18.75" customHeight="1">
      <c r="BM53317" s="1025"/>
      <c r="BO53317" s="43"/>
    </row>
    <row r="53318" spans="65:67" ht="18.75" customHeight="1">
      <c r="BM53318" s="1025"/>
      <c r="BO53318" s="43"/>
    </row>
    <row r="53319" spans="65:67" ht="18.75" customHeight="1">
      <c r="BM53319" s="1025"/>
      <c r="BO53319" s="43"/>
    </row>
    <row r="53320" spans="65:67" ht="18.75" customHeight="1">
      <c r="BM53320" s="1025"/>
      <c r="BO53320" s="43"/>
    </row>
    <row r="53321" spans="65:67" ht="18.75" customHeight="1">
      <c r="BM53321" s="1025"/>
      <c r="BO53321" s="43"/>
    </row>
    <row r="53322" spans="65:67" ht="18.75" customHeight="1">
      <c r="BM53322" s="1025"/>
      <c r="BO53322" s="43"/>
    </row>
    <row r="53323" spans="65:67" ht="18.75" customHeight="1">
      <c r="BM53323" s="1025"/>
      <c r="BO53323" s="43"/>
    </row>
    <row r="53324" spans="65:67" ht="18.75" customHeight="1">
      <c r="BM53324" s="1025"/>
      <c r="BO53324" s="43"/>
    </row>
    <row r="53325" spans="65:67" ht="18.75" customHeight="1">
      <c r="BM53325" s="1025"/>
      <c r="BO53325" s="43"/>
    </row>
    <row r="53326" spans="65:67" ht="18.75" customHeight="1">
      <c r="BM53326" s="1025"/>
      <c r="BO53326" s="43"/>
    </row>
    <row r="53327" spans="65:67" ht="18.75" customHeight="1">
      <c r="BM53327" s="1025"/>
      <c r="BO53327" s="43"/>
    </row>
    <row r="53328" spans="65:67" ht="18.75" customHeight="1">
      <c r="BM53328" s="1025"/>
      <c r="BO53328" s="43"/>
    </row>
    <row r="53329" spans="65:67" ht="18.75" customHeight="1">
      <c r="BM53329" s="1025"/>
      <c r="BO53329" s="43"/>
    </row>
    <row r="53330" spans="65:67" ht="18.75" customHeight="1">
      <c r="BM53330" s="1025"/>
      <c r="BO53330" s="43"/>
    </row>
    <row r="53331" spans="65:67" ht="18.75" customHeight="1">
      <c r="BM53331" s="1025"/>
      <c r="BO53331" s="43"/>
    </row>
    <row r="53332" spans="65:67" ht="18.75" customHeight="1">
      <c r="BM53332" s="1025"/>
      <c r="BO53332" s="43"/>
    </row>
    <row r="53333" spans="65:67" ht="18.75" customHeight="1">
      <c r="BM53333" s="1025"/>
      <c r="BO53333" s="43"/>
    </row>
    <row r="53334" spans="65:67" ht="18.75" customHeight="1">
      <c r="BM53334" s="1025"/>
      <c r="BO53334" s="43"/>
    </row>
    <row r="53335" spans="65:67" ht="18.75" customHeight="1">
      <c r="BM53335" s="1025"/>
      <c r="BO53335" s="43"/>
    </row>
    <row r="53336" spans="65:67" ht="18.75" customHeight="1">
      <c r="BM53336" s="1025"/>
      <c r="BO53336" s="43"/>
    </row>
    <row r="53337" spans="65:67" ht="18.75" customHeight="1">
      <c r="BM53337" s="1025"/>
      <c r="BO53337" s="43"/>
    </row>
    <row r="53338" spans="65:67" ht="18.75" customHeight="1">
      <c r="BM53338" s="1025"/>
      <c r="BO53338" s="43"/>
    </row>
    <row r="53339" spans="65:67" ht="18.75" customHeight="1">
      <c r="BM53339" s="1025"/>
      <c r="BO53339" s="43"/>
    </row>
    <row r="53340" spans="65:67" ht="18.75" customHeight="1">
      <c r="BM53340" s="1025"/>
      <c r="BO53340" s="43"/>
    </row>
    <row r="53341" spans="65:67" ht="18.75" customHeight="1">
      <c r="BM53341" s="1025"/>
      <c r="BO53341" s="43"/>
    </row>
    <row r="53342" spans="65:67" ht="18.75" customHeight="1">
      <c r="BM53342" s="1025"/>
      <c r="BO53342" s="43"/>
    </row>
    <row r="53343" spans="65:67" ht="18.75" customHeight="1">
      <c r="BM53343" s="1025"/>
      <c r="BO53343" s="43"/>
    </row>
    <row r="53344" spans="65:67" ht="18.75" customHeight="1">
      <c r="BM53344" s="1025"/>
      <c r="BO53344" s="43"/>
    </row>
    <row r="53345" spans="65:67" ht="18.75" customHeight="1">
      <c r="BM53345" s="1025"/>
      <c r="BO53345" s="43"/>
    </row>
    <row r="53346" spans="65:67" ht="18.75" customHeight="1">
      <c r="BM53346" s="1025"/>
      <c r="BO53346" s="43"/>
    </row>
    <row r="53347" spans="65:67" ht="18.75" customHeight="1">
      <c r="BM53347" s="1025"/>
      <c r="BO53347" s="43"/>
    </row>
    <row r="53348" spans="65:67" ht="18.75" customHeight="1">
      <c r="BM53348" s="1025"/>
      <c r="BO53348" s="43"/>
    </row>
    <row r="53349" spans="65:67" ht="18.75" customHeight="1">
      <c r="BM53349" s="1025"/>
      <c r="BO53349" s="43"/>
    </row>
    <row r="53350" spans="65:67" ht="18.75" customHeight="1">
      <c r="BM53350" s="1025"/>
      <c r="BO53350" s="43"/>
    </row>
    <row r="53351" spans="65:67" ht="18.75" customHeight="1">
      <c r="BM53351" s="1025"/>
      <c r="BO53351" s="43"/>
    </row>
    <row r="53352" spans="65:67" ht="18.75" customHeight="1">
      <c r="BM53352" s="1025"/>
      <c r="BO53352" s="43"/>
    </row>
    <row r="53353" spans="65:67" ht="18.75" customHeight="1">
      <c r="BM53353" s="1025"/>
      <c r="BO53353" s="43"/>
    </row>
    <row r="53354" spans="65:67" ht="18.75" customHeight="1">
      <c r="BM53354" s="1025"/>
      <c r="BO53354" s="43"/>
    </row>
    <row r="53355" spans="65:67" ht="18.75" customHeight="1">
      <c r="BM53355" s="1025"/>
      <c r="BO53355" s="43"/>
    </row>
    <row r="53356" spans="65:67" ht="18.75" customHeight="1">
      <c r="BM53356" s="1025"/>
      <c r="BO53356" s="43"/>
    </row>
    <row r="53357" spans="65:67" ht="18.75" customHeight="1">
      <c r="BM53357" s="1025"/>
      <c r="BO53357" s="43"/>
    </row>
    <row r="53358" spans="65:67" ht="18.75" customHeight="1">
      <c r="BM53358" s="1025"/>
      <c r="BO53358" s="43"/>
    </row>
    <row r="53359" spans="65:67" ht="18.75" customHeight="1">
      <c r="BM53359" s="1025"/>
      <c r="BO53359" s="43"/>
    </row>
    <row r="53360" spans="65:67" ht="18.75" customHeight="1">
      <c r="BM53360" s="1025"/>
      <c r="BO53360" s="43"/>
    </row>
    <row r="53361" spans="65:67" ht="18.75" customHeight="1">
      <c r="BM53361" s="1025"/>
      <c r="BO53361" s="43"/>
    </row>
    <row r="53362" spans="65:67" ht="18.75" customHeight="1">
      <c r="BM53362" s="1025"/>
      <c r="BO53362" s="43"/>
    </row>
    <row r="53363" spans="65:67" ht="18.75" customHeight="1">
      <c r="BM53363" s="1025"/>
      <c r="BO53363" s="43"/>
    </row>
    <row r="53364" spans="65:67" ht="18.75" customHeight="1">
      <c r="BM53364" s="1025"/>
      <c r="BO53364" s="43"/>
    </row>
    <row r="53365" spans="65:67" ht="18.75" customHeight="1">
      <c r="BM53365" s="1025"/>
      <c r="BO53365" s="43"/>
    </row>
    <row r="53366" spans="65:67" ht="18.75" customHeight="1">
      <c r="BM53366" s="1025"/>
      <c r="BO53366" s="43"/>
    </row>
    <row r="53367" spans="65:67" ht="18.75" customHeight="1">
      <c r="BM53367" s="1025"/>
      <c r="BO53367" s="43"/>
    </row>
    <row r="53368" spans="65:67" ht="18.75" customHeight="1">
      <c r="BM53368" s="1025"/>
      <c r="BO53368" s="43"/>
    </row>
    <row r="53369" spans="65:67" ht="18.75" customHeight="1">
      <c r="BM53369" s="1025"/>
      <c r="BO53369" s="43"/>
    </row>
    <row r="53370" spans="65:67" ht="18.75" customHeight="1">
      <c r="BM53370" s="1025"/>
      <c r="BO53370" s="43"/>
    </row>
    <row r="53371" spans="65:67" ht="18.75" customHeight="1">
      <c r="BM53371" s="1025"/>
      <c r="BO53371" s="43"/>
    </row>
    <row r="53372" spans="65:67" ht="18.75" customHeight="1">
      <c r="BM53372" s="1025"/>
      <c r="BO53372" s="43"/>
    </row>
    <row r="53373" spans="65:67" ht="18.75" customHeight="1">
      <c r="BM53373" s="1025"/>
      <c r="BO53373" s="43"/>
    </row>
    <row r="53374" spans="65:67" ht="18.75" customHeight="1">
      <c r="BM53374" s="1025"/>
      <c r="BO53374" s="43"/>
    </row>
    <row r="53375" spans="65:67" ht="18.75" customHeight="1">
      <c r="BM53375" s="1025"/>
      <c r="BO53375" s="43"/>
    </row>
    <row r="53376" spans="65:67" ht="18.75" customHeight="1">
      <c r="BM53376" s="1025"/>
      <c r="BO53376" s="43"/>
    </row>
    <row r="53377" spans="65:67" ht="18.75" customHeight="1">
      <c r="BM53377" s="1025"/>
      <c r="BO53377" s="43"/>
    </row>
    <row r="53378" spans="65:67" ht="18.75" customHeight="1">
      <c r="BM53378" s="1025"/>
      <c r="BO53378" s="43"/>
    </row>
    <row r="53379" spans="65:67" ht="18.75" customHeight="1">
      <c r="BM53379" s="1025"/>
      <c r="BO53379" s="43"/>
    </row>
    <row r="53380" spans="65:67" ht="18.75" customHeight="1">
      <c r="BM53380" s="1025"/>
      <c r="BO53380" s="43"/>
    </row>
    <row r="53381" spans="65:67" ht="18.75" customHeight="1">
      <c r="BM53381" s="1025"/>
      <c r="BO53381" s="43"/>
    </row>
    <row r="53382" spans="65:67" ht="18.75" customHeight="1">
      <c r="BM53382" s="1025"/>
      <c r="BO53382" s="43"/>
    </row>
    <row r="53383" spans="65:67" ht="18.75" customHeight="1">
      <c r="BM53383" s="1025"/>
      <c r="BO53383" s="43"/>
    </row>
    <row r="53384" spans="65:67" ht="18.75" customHeight="1">
      <c r="BM53384" s="1025"/>
      <c r="BO53384" s="43"/>
    </row>
    <row r="53385" spans="65:67" ht="18.75" customHeight="1">
      <c r="BM53385" s="1025"/>
      <c r="BO53385" s="43"/>
    </row>
    <row r="53386" spans="65:67" ht="18.75" customHeight="1">
      <c r="BM53386" s="1025"/>
      <c r="BO53386" s="43"/>
    </row>
    <row r="53387" spans="65:67" ht="18.75" customHeight="1">
      <c r="BM53387" s="1025"/>
      <c r="BO53387" s="43"/>
    </row>
    <row r="53388" spans="65:67" ht="18.75" customHeight="1">
      <c r="BM53388" s="1025"/>
      <c r="BO53388" s="43"/>
    </row>
    <row r="53389" spans="65:67" ht="18.75" customHeight="1">
      <c r="BM53389" s="1025"/>
      <c r="BO53389" s="43"/>
    </row>
    <row r="53390" spans="65:67" ht="18.75" customHeight="1">
      <c r="BM53390" s="1025"/>
      <c r="BO53390" s="43"/>
    </row>
    <row r="53391" spans="65:67" ht="18.75" customHeight="1">
      <c r="BM53391" s="1025"/>
      <c r="BO53391" s="43"/>
    </row>
    <row r="53392" spans="65:67" ht="18.75" customHeight="1">
      <c r="BM53392" s="1025"/>
      <c r="BO53392" s="43"/>
    </row>
    <row r="53393" spans="65:67" ht="18.75" customHeight="1">
      <c r="BM53393" s="1025"/>
      <c r="BO53393" s="43"/>
    </row>
    <row r="53394" spans="65:67" ht="18.75" customHeight="1">
      <c r="BM53394" s="1025"/>
      <c r="BO53394" s="43"/>
    </row>
    <row r="53395" spans="65:67" ht="18.75" customHeight="1">
      <c r="BM53395" s="1025"/>
      <c r="BO53395" s="43"/>
    </row>
    <row r="53396" spans="65:67" ht="18.75" customHeight="1">
      <c r="BM53396" s="1025"/>
      <c r="BO53396" s="43"/>
    </row>
    <row r="53397" spans="65:67" ht="18.75" customHeight="1">
      <c r="BM53397" s="1025"/>
      <c r="BO53397" s="43"/>
    </row>
    <row r="53398" spans="65:67" ht="18.75" customHeight="1">
      <c r="BM53398" s="1025"/>
      <c r="BO53398" s="43"/>
    </row>
    <row r="53399" spans="65:67" ht="18.75" customHeight="1">
      <c r="BM53399" s="1025"/>
      <c r="BO53399" s="43"/>
    </row>
    <row r="53400" spans="65:67" ht="18.75" customHeight="1">
      <c r="BM53400" s="1025"/>
      <c r="BO53400" s="43"/>
    </row>
    <row r="53401" spans="65:67" ht="18.75" customHeight="1">
      <c r="BM53401" s="1025"/>
      <c r="BO53401" s="43"/>
    </row>
    <row r="53402" spans="65:67" ht="18.75" customHeight="1">
      <c r="BM53402" s="1025"/>
      <c r="BO53402" s="43"/>
    </row>
    <row r="53403" spans="65:67" ht="18.75" customHeight="1">
      <c r="BM53403" s="1025"/>
      <c r="BO53403" s="43"/>
    </row>
    <row r="53404" spans="65:67" ht="18.75" customHeight="1">
      <c r="BM53404" s="1025"/>
      <c r="BO53404" s="43"/>
    </row>
    <row r="53405" spans="65:67" ht="18.75" customHeight="1">
      <c r="BM53405" s="1025"/>
      <c r="BO53405" s="43"/>
    </row>
    <row r="53406" spans="65:67" ht="18.75" customHeight="1">
      <c r="BM53406" s="1025"/>
      <c r="BO53406" s="43"/>
    </row>
    <row r="53407" spans="65:67" ht="18.75" customHeight="1">
      <c r="BM53407" s="1025"/>
      <c r="BO53407" s="43"/>
    </row>
    <row r="53408" spans="65:67" ht="18.75" customHeight="1">
      <c r="BM53408" s="1025"/>
      <c r="BO53408" s="43"/>
    </row>
    <row r="53409" spans="65:67" ht="18.75" customHeight="1">
      <c r="BM53409" s="1025"/>
      <c r="BO53409" s="43"/>
    </row>
    <row r="53410" spans="65:67" ht="18.75" customHeight="1">
      <c r="BM53410" s="1025"/>
      <c r="BO53410" s="43"/>
    </row>
    <row r="53411" spans="65:67" ht="18.75" customHeight="1">
      <c r="BM53411" s="1025"/>
      <c r="BO53411" s="43"/>
    </row>
    <row r="53412" spans="65:67" ht="18.75" customHeight="1">
      <c r="BM53412" s="1025"/>
      <c r="BO53412" s="43"/>
    </row>
    <row r="53413" spans="65:67" ht="18.75" customHeight="1">
      <c r="BM53413" s="1025"/>
      <c r="BO53413" s="43"/>
    </row>
    <row r="53414" spans="65:67" ht="18.75" customHeight="1">
      <c r="BM53414" s="1025"/>
      <c r="BO53414" s="43"/>
    </row>
    <row r="53415" spans="65:67" ht="18.75" customHeight="1">
      <c r="BM53415" s="1025"/>
      <c r="BO53415" s="43"/>
    </row>
    <row r="53416" spans="65:67" ht="18.75" customHeight="1">
      <c r="BM53416" s="1025"/>
      <c r="BO53416" s="43"/>
    </row>
    <row r="53417" spans="65:67" ht="18.75" customHeight="1">
      <c r="BM53417" s="1025"/>
      <c r="BO53417" s="43"/>
    </row>
    <row r="53418" spans="65:67" ht="18.75" customHeight="1">
      <c r="BM53418" s="1025"/>
      <c r="BO53418" s="43"/>
    </row>
    <row r="53419" spans="65:67" ht="18.75" customHeight="1">
      <c r="BM53419" s="1025"/>
      <c r="BO53419" s="43"/>
    </row>
    <row r="53420" spans="65:67" ht="18.75" customHeight="1">
      <c r="BM53420" s="1025"/>
      <c r="BO53420" s="43"/>
    </row>
    <row r="53421" spans="65:67" ht="18.75" customHeight="1">
      <c r="BM53421" s="1025"/>
      <c r="BO53421" s="43"/>
    </row>
    <row r="53422" spans="65:67" ht="18.75" customHeight="1">
      <c r="BM53422" s="1025"/>
      <c r="BO53422" s="43"/>
    </row>
    <row r="53423" spans="65:67" ht="18.75" customHeight="1">
      <c r="BM53423" s="1025"/>
      <c r="BO53423" s="43"/>
    </row>
    <row r="53424" spans="65:67" ht="18.75" customHeight="1">
      <c r="BM53424" s="1025"/>
      <c r="BO53424" s="43"/>
    </row>
    <row r="53425" spans="65:67" ht="18.75" customHeight="1">
      <c r="BM53425" s="1025"/>
      <c r="BO53425" s="43"/>
    </row>
    <row r="53426" spans="65:67" ht="18.75" customHeight="1">
      <c r="BM53426" s="1025"/>
      <c r="BO53426" s="43"/>
    </row>
    <row r="53427" spans="65:67" ht="18.75" customHeight="1">
      <c r="BM53427" s="1025"/>
      <c r="BO53427" s="43"/>
    </row>
    <row r="53428" spans="65:67" ht="18.75" customHeight="1">
      <c r="BM53428" s="1025"/>
      <c r="BO53428" s="43"/>
    </row>
    <row r="53429" spans="65:67" ht="18.75" customHeight="1">
      <c r="BM53429" s="1025"/>
      <c r="BO53429" s="43"/>
    </row>
    <row r="53430" spans="65:67" ht="18.75" customHeight="1">
      <c r="BM53430" s="1025"/>
      <c r="BO53430" s="43"/>
    </row>
    <row r="53431" spans="65:67" ht="18.75" customHeight="1">
      <c r="BM53431" s="1025"/>
      <c r="BO53431" s="43"/>
    </row>
    <row r="53432" spans="65:67" ht="18.75" customHeight="1">
      <c r="BM53432" s="1025"/>
      <c r="BO53432" s="43"/>
    </row>
    <row r="53433" spans="65:67" ht="18.75" customHeight="1">
      <c r="BM53433" s="1025"/>
      <c r="BO53433" s="43"/>
    </row>
    <row r="53434" spans="65:67" ht="18.75" customHeight="1">
      <c r="BM53434" s="1025"/>
      <c r="BO53434" s="43"/>
    </row>
    <row r="53435" spans="65:67" ht="18.75" customHeight="1">
      <c r="BM53435" s="1025"/>
      <c r="BO53435" s="43"/>
    </row>
    <row r="53436" spans="65:67" ht="18.75" customHeight="1">
      <c r="BM53436" s="1025"/>
      <c r="BO53436" s="43"/>
    </row>
    <row r="53437" spans="65:67" ht="18.75" customHeight="1">
      <c r="BM53437" s="1025"/>
      <c r="BO53437" s="43"/>
    </row>
    <row r="53438" spans="65:67" ht="18.75" customHeight="1">
      <c r="BM53438" s="1025"/>
      <c r="BO53438" s="43"/>
    </row>
    <row r="53439" spans="65:67" ht="18.75" customHeight="1">
      <c r="BM53439" s="1025"/>
      <c r="BO53439" s="43"/>
    </row>
    <row r="53440" spans="65:67" ht="18.75" customHeight="1">
      <c r="BM53440" s="1025"/>
      <c r="BO53440" s="43"/>
    </row>
    <row r="53441" spans="65:67" ht="18.75" customHeight="1">
      <c r="BM53441" s="1025"/>
      <c r="BO53441" s="43"/>
    </row>
    <row r="53442" spans="65:67" ht="18.75" customHeight="1">
      <c r="BM53442" s="1025"/>
      <c r="BO53442" s="43"/>
    </row>
    <row r="53443" spans="65:67" ht="18.75" customHeight="1">
      <c r="BM53443" s="1025"/>
      <c r="BO53443" s="43"/>
    </row>
    <row r="53444" spans="65:67" ht="18.75" customHeight="1">
      <c r="BM53444" s="1025"/>
      <c r="BO53444" s="43"/>
    </row>
    <row r="53445" spans="65:67" ht="18.75" customHeight="1">
      <c r="BM53445" s="1025"/>
      <c r="BO53445" s="43"/>
    </row>
    <row r="53446" spans="65:67" ht="18.75" customHeight="1">
      <c r="BM53446" s="1025"/>
      <c r="BO53446" s="43"/>
    </row>
    <row r="53447" spans="65:67" ht="18.75" customHeight="1">
      <c r="BM53447" s="1025"/>
      <c r="BO53447" s="43"/>
    </row>
    <row r="53448" spans="65:67" ht="18.75" customHeight="1">
      <c r="BM53448" s="1025"/>
      <c r="BO53448" s="43"/>
    </row>
    <row r="53449" spans="65:67" ht="18.75" customHeight="1">
      <c r="BM53449" s="1025"/>
      <c r="BO53449" s="43"/>
    </row>
    <row r="53450" spans="65:67" ht="18.75" customHeight="1">
      <c r="BM53450" s="1025"/>
      <c r="BO53450" s="43"/>
    </row>
    <row r="53451" spans="65:67" ht="18.75" customHeight="1">
      <c r="BM53451" s="1025"/>
      <c r="BO53451" s="43"/>
    </row>
    <row r="53452" spans="65:67" ht="18.75" customHeight="1">
      <c r="BM53452" s="1025"/>
      <c r="BO53452" s="43"/>
    </row>
    <row r="53453" spans="65:67" ht="18.75" customHeight="1">
      <c r="BM53453" s="1025"/>
      <c r="BO53453" s="43"/>
    </row>
    <row r="53454" spans="65:67" ht="18.75" customHeight="1">
      <c r="BM53454" s="1025"/>
      <c r="BO53454" s="43"/>
    </row>
    <row r="53455" spans="65:67" ht="18.75" customHeight="1">
      <c r="BM53455" s="1025"/>
      <c r="BO53455" s="43"/>
    </row>
    <row r="53456" spans="65:67" ht="18.75" customHeight="1">
      <c r="BM53456" s="1025"/>
      <c r="BO53456" s="43"/>
    </row>
    <row r="53457" spans="65:67" ht="18.75" customHeight="1">
      <c r="BM53457" s="1025"/>
      <c r="BO53457" s="43"/>
    </row>
    <row r="53458" spans="65:67" ht="18.75" customHeight="1">
      <c r="BM53458" s="1025"/>
      <c r="BO53458" s="43"/>
    </row>
    <row r="53459" spans="65:67" ht="18.75" customHeight="1">
      <c r="BM53459" s="1025"/>
      <c r="BO53459" s="43"/>
    </row>
    <row r="53460" spans="65:67" ht="18.75" customHeight="1">
      <c r="BM53460" s="1025"/>
      <c r="BO53460" s="43"/>
    </row>
    <row r="53461" spans="65:67" ht="18.75" customHeight="1">
      <c r="BM53461" s="1025"/>
      <c r="BO53461" s="43"/>
    </row>
    <row r="53462" spans="65:67" ht="18.75" customHeight="1">
      <c r="BM53462" s="1025"/>
      <c r="BO53462" s="43"/>
    </row>
    <row r="53463" spans="65:67" ht="18.75" customHeight="1">
      <c r="BM53463" s="1025"/>
      <c r="BO53463" s="43"/>
    </row>
    <row r="53464" spans="65:67" ht="18.75" customHeight="1">
      <c r="BM53464" s="1025"/>
      <c r="BO53464" s="43"/>
    </row>
    <row r="53465" spans="65:67" ht="18.75" customHeight="1">
      <c r="BM53465" s="1025"/>
      <c r="BO53465" s="43"/>
    </row>
    <row r="53466" spans="65:67" ht="18.75" customHeight="1">
      <c r="BM53466" s="1025"/>
      <c r="BO53466" s="43"/>
    </row>
    <row r="53467" spans="65:67" ht="18.75" customHeight="1">
      <c r="BM53467" s="1025"/>
      <c r="BO53467" s="43"/>
    </row>
    <row r="53468" spans="65:67" ht="18.75" customHeight="1">
      <c r="BM53468" s="1025"/>
      <c r="BO53468" s="43"/>
    </row>
    <row r="53469" spans="65:67" ht="18.75" customHeight="1">
      <c r="BM53469" s="1025"/>
      <c r="BO53469" s="43"/>
    </row>
    <row r="53470" spans="65:67" ht="18.75" customHeight="1">
      <c r="BM53470" s="1025"/>
      <c r="BO53470" s="43"/>
    </row>
    <row r="53471" spans="65:67" ht="18.75" customHeight="1">
      <c r="BM53471" s="1025"/>
      <c r="BO53471" s="43"/>
    </row>
    <row r="53472" spans="65:67" ht="18.75" customHeight="1">
      <c r="BM53472" s="1025"/>
      <c r="BO53472" s="43"/>
    </row>
    <row r="53473" spans="65:67" ht="18.75" customHeight="1">
      <c r="BM53473" s="1025"/>
      <c r="BO53473" s="43"/>
    </row>
    <row r="53474" spans="65:67" ht="18.75" customHeight="1">
      <c r="BM53474" s="1025"/>
      <c r="BO53474" s="43"/>
    </row>
    <row r="53475" spans="65:67" ht="18.75" customHeight="1">
      <c r="BM53475" s="1025"/>
      <c r="BO53475" s="43"/>
    </row>
    <row r="53476" spans="65:67" ht="18.75" customHeight="1">
      <c r="BM53476" s="1025"/>
      <c r="BO53476" s="43"/>
    </row>
    <row r="53477" spans="65:67" ht="18.75" customHeight="1">
      <c r="BM53477" s="1025"/>
      <c r="BO53477" s="43"/>
    </row>
    <row r="53478" spans="65:67" ht="18.75" customHeight="1">
      <c r="BM53478" s="1025"/>
      <c r="BO53478" s="43"/>
    </row>
    <row r="53479" spans="65:67" ht="18.75" customHeight="1">
      <c r="BM53479" s="1025"/>
      <c r="BO53479" s="43"/>
    </row>
    <row r="53480" spans="65:67" ht="18.75" customHeight="1">
      <c r="BM53480" s="1025"/>
      <c r="BO53480" s="43"/>
    </row>
    <row r="53481" spans="65:67" ht="18.75" customHeight="1">
      <c r="BM53481" s="1025"/>
      <c r="BO53481" s="43"/>
    </row>
    <row r="53482" spans="65:67" ht="18.75" customHeight="1">
      <c r="BM53482" s="1025"/>
      <c r="BO53482" s="43"/>
    </row>
    <row r="53483" spans="65:67" ht="18.75" customHeight="1">
      <c r="BM53483" s="1025"/>
      <c r="BO53483" s="43"/>
    </row>
    <row r="53484" spans="65:67" ht="18.75" customHeight="1">
      <c r="BM53484" s="1025"/>
      <c r="BO53484" s="43"/>
    </row>
    <row r="53485" spans="65:67" ht="18.75" customHeight="1">
      <c r="BM53485" s="1025"/>
      <c r="BO53485" s="43"/>
    </row>
    <row r="53486" spans="65:67" ht="18.75" customHeight="1">
      <c r="BM53486" s="1025"/>
      <c r="BO53486" s="43"/>
    </row>
    <row r="53487" spans="65:67" ht="18.75" customHeight="1">
      <c r="BM53487" s="1025"/>
      <c r="BO53487" s="43"/>
    </row>
    <row r="53488" spans="65:67" ht="18.75" customHeight="1">
      <c r="BM53488" s="1025"/>
      <c r="BO53488" s="43"/>
    </row>
    <row r="53489" spans="65:67" ht="18.75" customHeight="1">
      <c r="BM53489" s="1025"/>
      <c r="BO53489" s="43"/>
    </row>
    <row r="53490" spans="65:67" ht="18.75" customHeight="1">
      <c r="BM53490" s="1025"/>
      <c r="BO53490" s="43"/>
    </row>
    <row r="53491" spans="65:67" ht="18.75" customHeight="1">
      <c r="BM53491" s="1025"/>
      <c r="BO53491" s="43"/>
    </row>
    <row r="53492" spans="65:67" ht="18.75" customHeight="1">
      <c r="BM53492" s="1025"/>
      <c r="BO53492" s="43"/>
    </row>
    <row r="53493" spans="65:67" ht="18.75" customHeight="1">
      <c r="BM53493" s="1025"/>
      <c r="BO53493" s="43"/>
    </row>
    <row r="53494" spans="65:67" ht="18.75" customHeight="1">
      <c r="BM53494" s="1025"/>
      <c r="BO53494" s="43"/>
    </row>
    <row r="53495" spans="65:67" ht="18.75" customHeight="1">
      <c r="BM53495" s="1025"/>
      <c r="BO53495" s="43"/>
    </row>
    <row r="53496" spans="65:67" ht="18.75" customHeight="1">
      <c r="BM53496" s="1025"/>
      <c r="BO53496" s="43"/>
    </row>
    <row r="53497" spans="65:67" ht="18.75" customHeight="1">
      <c r="BM53497" s="1025"/>
      <c r="BO53497" s="43"/>
    </row>
    <row r="53498" spans="65:67" ht="18.75" customHeight="1">
      <c r="BM53498" s="1025"/>
      <c r="BO53498" s="43"/>
    </row>
    <row r="53499" spans="65:67" ht="18.75" customHeight="1">
      <c r="BM53499" s="1025"/>
      <c r="BO53499" s="43"/>
    </row>
    <row r="53500" spans="65:67" ht="18.75" customHeight="1">
      <c r="BM53500" s="1025"/>
      <c r="BO53500" s="43"/>
    </row>
    <row r="53501" spans="65:67" ht="18.75" customHeight="1">
      <c r="BM53501" s="1025"/>
      <c r="BO53501" s="43"/>
    </row>
    <row r="53502" spans="65:67" ht="18.75" customHeight="1">
      <c r="BM53502" s="1025"/>
      <c r="BO53502" s="43"/>
    </row>
    <row r="53503" spans="65:67" ht="18.75" customHeight="1">
      <c r="BM53503" s="1025"/>
      <c r="BO53503" s="43"/>
    </row>
    <row r="53504" spans="65:67" ht="18.75" customHeight="1">
      <c r="BM53504" s="1025"/>
      <c r="BO53504" s="43"/>
    </row>
    <row r="53505" spans="65:67" ht="18.75" customHeight="1">
      <c r="BM53505" s="1025"/>
      <c r="BO53505" s="43"/>
    </row>
    <row r="53506" spans="65:67" ht="18.75" customHeight="1">
      <c r="BM53506" s="1025"/>
      <c r="BO53506" s="43"/>
    </row>
    <row r="53507" spans="65:67" ht="18.75" customHeight="1">
      <c r="BM53507" s="1025"/>
      <c r="BO53507" s="43"/>
    </row>
    <row r="53508" spans="65:67" ht="18.75" customHeight="1">
      <c r="BM53508" s="1025"/>
      <c r="BO53508" s="43"/>
    </row>
    <row r="53509" spans="65:67" ht="18.75" customHeight="1">
      <c r="BM53509" s="1025"/>
      <c r="BO53509" s="43"/>
    </row>
    <row r="53510" spans="65:67" ht="18.75" customHeight="1">
      <c r="BM53510" s="1025"/>
      <c r="BO53510" s="43"/>
    </row>
    <row r="53511" spans="65:67" ht="18.75" customHeight="1">
      <c r="BM53511" s="1025"/>
      <c r="BO53511" s="43"/>
    </row>
    <row r="53512" spans="65:67" ht="18.75" customHeight="1">
      <c r="BM53512" s="1025"/>
      <c r="BO53512" s="43"/>
    </row>
    <row r="53513" spans="65:67" ht="18.75" customHeight="1">
      <c r="BM53513" s="1025"/>
      <c r="BO53513" s="43"/>
    </row>
    <row r="53514" spans="65:67" ht="18.75" customHeight="1">
      <c r="BM53514" s="1025"/>
      <c r="BO53514" s="43"/>
    </row>
    <row r="53515" spans="65:67" ht="18.75" customHeight="1">
      <c r="BM53515" s="1025"/>
      <c r="BO53515" s="43"/>
    </row>
    <row r="53516" spans="65:67" ht="18.75" customHeight="1">
      <c r="BM53516" s="1025"/>
      <c r="BO53516" s="43"/>
    </row>
    <row r="53517" spans="65:67" ht="18.75" customHeight="1">
      <c r="BM53517" s="1025"/>
      <c r="BO53517" s="43"/>
    </row>
    <row r="53518" spans="65:67" ht="18.75" customHeight="1">
      <c r="BM53518" s="1025"/>
      <c r="BO53518" s="43"/>
    </row>
    <row r="53519" spans="65:67" ht="18.75" customHeight="1">
      <c r="BM53519" s="1025"/>
      <c r="BO53519" s="43"/>
    </row>
    <row r="53520" spans="65:67" ht="18.75" customHeight="1">
      <c r="BM53520" s="1025"/>
      <c r="BO53520" s="43"/>
    </row>
    <row r="53521" spans="65:67" ht="18.75" customHeight="1">
      <c r="BM53521" s="1025"/>
      <c r="BO53521" s="43"/>
    </row>
    <row r="53522" spans="65:67" ht="18.75" customHeight="1">
      <c r="BM53522" s="1025"/>
      <c r="BO53522" s="43"/>
    </row>
    <row r="53523" spans="65:67" ht="18.75" customHeight="1">
      <c r="BM53523" s="1025"/>
      <c r="BO53523" s="43"/>
    </row>
    <row r="53524" spans="65:67" ht="18.75" customHeight="1">
      <c r="BM53524" s="1025"/>
      <c r="BO53524" s="43"/>
    </row>
    <row r="53525" spans="65:67" ht="18.75" customHeight="1">
      <c r="BM53525" s="1025"/>
      <c r="BO53525" s="43"/>
    </row>
    <row r="53526" spans="65:67" ht="18.75" customHeight="1">
      <c r="BM53526" s="1025"/>
      <c r="BO53526" s="43"/>
    </row>
    <row r="53527" spans="65:67" ht="18.75" customHeight="1">
      <c r="BM53527" s="1025"/>
      <c r="BO53527" s="43"/>
    </row>
    <row r="53528" spans="65:67" ht="18.75" customHeight="1">
      <c r="BM53528" s="1025"/>
      <c r="BO53528" s="43"/>
    </row>
    <row r="53529" spans="65:67" ht="18.75" customHeight="1">
      <c r="BM53529" s="1025"/>
      <c r="BO53529" s="43"/>
    </row>
    <row r="53530" spans="65:67" ht="18.75" customHeight="1">
      <c r="BM53530" s="1025"/>
      <c r="BO53530" s="43"/>
    </row>
    <row r="53531" spans="65:67" ht="18.75" customHeight="1">
      <c r="BM53531" s="1025"/>
      <c r="BO53531" s="43"/>
    </row>
    <row r="53532" spans="65:67" ht="18.75" customHeight="1">
      <c r="BM53532" s="1025"/>
      <c r="BO53532" s="43"/>
    </row>
    <row r="53533" spans="65:67" ht="18.75" customHeight="1">
      <c r="BM53533" s="1025"/>
      <c r="BO53533" s="43"/>
    </row>
    <row r="53534" spans="65:67" ht="18.75" customHeight="1">
      <c r="BM53534" s="1025"/>
      <c r="BO53534" s="43"/>
    </row>
    <row r="53535" spans="65:67" ht="18.75" customHeight="1">
      <c r="BM53535" s="1025"/>
      <c r="BO53535" s="43"/>
    </row>
    <row r="53536" spans="65:67" ht="18.75" customHeight="1">
      <c r="BM53536" s="1025"/>
      <c r="BO53536" s="43"/>
    </row>
    <row r="53537" spans="65:67" ht="18.75" customHeight="1">
      <c r="BM53537" s="1025"/>
      <c r="BO53537" s="43"/>
    </row>
    <row r="53538" spans="65:67" ht="18.75" customHeight="1">
      <c r="BM53538" s="1025"/>
      <c r="BO53538" s="43"/>
    </row>
    <row r="53539" spans="65:67" ht="18.75" customHeight="1">
      <c r="BM53539" s="1025"/>
      <c r="BO53539" s="43"/>
    </row>
    <row r="53540" spans="65:67" ht="18.75" customHeight="1">
      <c r="BM53540" s="1025"/>
      <c r="BO53540" s="43"/>
    </row>
    <row r="53541" spans="65:67" ht="18.75" customHeight="1">
      <c r="BM53541" s="1025"/>
      <c r="BO53541" s="43"/>
    </row>
    <row r="53542" spans="65:67" ht="18.75" customHeight="1">
      <c r="BM53542" s="1025"/>
      <c r="BO53542" s="43"/>
    </row>
    <row r="53543" spans="65:67" ht="18.75" customHeight="1">
      <c r="BM53543" s="1025"/>
      <c r="BO53543" s="43"/>
    </row>
    <row r="53544" spans="65:67" ht="18.75" customHeight="1">
      <c r="BM53544" s="1025"/>
      <c r="BO53544" s="43"/>
    </row>
    <row r="53545" spans="65:67" ht="18.75" customHeight="1">
      <c r="BM53545" s="1025"/>
      <c r="BO53545" s="43"/>
    </row>
    <row r="53546" spans="65:67" ht="18.75" customHeight="1">
      <c r="BM53546" s="1025"/>
      <c r="BO53546" s="43"/>
    </row>
    <row r="53547" spans="65:67" ht="18.75" customHeight="1">
      <c r="BM53547" s="1025"/>
      <c r="BO53547" s="43"/>
    </row>
    <row r="53548" spans="65:67" ht="18.75" customHeight="1">
      <c r="BM53548" s="1025"/>
      <c r="BO53548" s="43"/>
    </row>
    <row r="53549" spans="65:67" ht="18.75" customHeight="1">
      <c r="BM53549" s="1025"/>
      <c r="BO53549" s="43"/>
    </row>
    <row r="53550" spans="65:67" ht="18.75" customHeight="1">
      <c r="BM53550" s="1025"/>
      <c r="BO53550" s="43"/>
    </row>
    <row r="53551" spans="65:67" ht="18.75" customHeight="1">
      <c r="BM53551" s="1025"/>
      <c r="BO53551" s="43"/>
    </row>
    <row r="53552" spans="65:67" ht="18.75" customHeight="1">
      <c r="BM53552" s="1025"/>
      <c r="BO53552" s="43"/>
    </row>
    <row r="53553" spans="65:67" ht="18.75" customHeight="1">
      <c r="BM53553" s="1025"/>
      <c r="BO53553" s="43"/>
    </row>
    <row r="53554" spans="65:67" ht="18.75" customHeight="1">
      <c r="BM53554" s="1025"/>
      <c r="BO53554" s="43"/>
    </row>
    <row r="53555" spans="65:67" ht="18.75" customHeight="1">
      <c r="BM53555" s="1025"/>
      <c r="BO53555" s="43"/>
    </row>
    <row r="53556" spans="65:67" ht="18.75" customHeight="1">
      <c r="BM53556" s="1025"/>
      <c r="BO53556" s="43"/>
    </row>
    <row r="53557" spans="65:67" ht="18.75" customHeight="1">
      <c r="BM53557" s="1025"/>
      <c r="BO53557" s="43"/>
    </row>
    <row r="53558" spans="65:67" ht="18.75" customHeight="1">
      <c r="BM53558" s="1025"/>
      <c r="BO53558" s="43"/>
    </row>
    <row r="53559" spans="65:67" ht="18.75" customHeight="1">
      <c r="BM53559" s="1025"/>
      <c r="BO53559" s="43"/>
    </row>
    <row r="53560" spans="65:67" ht="18.75" customHeight="1">
      <c r="BM53560" s="1025"/>
      <c r="BO53560" s="43"/>
    </row>
    <row r="53561" spans="65:67" ht="18.75" customHeight="1">
      <c r="BM53561" s="1025"/>
      <c r="BO53561" s="43"/>
    </row>
    <row r="53562" spans="65:67" ht="18.75" customHeight="1">
      <c r="BM53562" s="1025"/>
      <c r="BO53562" s="43"/>
    </row>
    <row r="53563" spans="65:67" ht="18.75" customHeight="1">
      <c r="BM53563" s="1025"/>
      <c r="BO53563" s="43"/>
    </row>
    <row r="53564" spans="65:67" ht="18.75" customHeight="1">
      <c r="BM53564" s="1025"/>
      <c r="BO53564" s="43"/>
    </row>
    <row r="53565" spans="65:67" ht="18.75" customHeight="1">
      <c r="BM53565" s="1025"/>
      <c r="BO53565" s="43"/>
    </row>
    <row r="53566" spans="65:67" ht="18.75" customHeight="1">
      <c r="BM53566" s="1025"/>
      <c r="BO53566" s="43"/>
    </row>
    <row r="53567" spans="65:67" ht="18.75" customHeight="1">
      <c r="BM53567" s="1025"/>
      <c r="BO53567" s="43"/>
    </row>
    <row r="53568" spans="65:67" ht="18.75" customHeight="1">
      <c r="BM53568" s="1025"/>
      <c r="BO53568" s="43"/>
    </row>
    <row r="53569" spans="65:67" ht="18.75" customHeight="1">
      <c r="BM53569" s="1025"/>
      <c r="BO53569" s="43"/>
    </row>
    <row r="53570" spans="65:67" ht="18.75" customHeight="1">
      <c r="BM53570" s="1025"/>
      <c r="BO53570" s="43"/>
    </row>
    <row r="53571" spans="65:67" ht="18.75" customHeight="1">
      <c r="BM53571" s="1025"/>
      <c r="BO53571" s="43"/>
    </row>
    <row r="53572" spans="65:67" ht="18.75" customHeight="1">
      <c r="BM53572" s="1025"/>
      <c r="BO53572" s="43"/>
    </row>
    <row r="53573" spans="65:67" ht="18.75" customHeight="1">
      <c r="BM53573" s="1025"/>
      <c r="BO53573" s="43"/>
    </row>
    <row r="53574" spans="65:67" ht="18.75" customHeight="1">
      <c r="BM53574" s="1025"/>
      <c r="BO53574" s="43"/>
    </row>
    <row r="53575" spans="65:67" ht="18.75" customHeight="1">
      <c r="BM53575" s="1025"/>
      <c r="BO53575" s="43"/>
    </row>
    <row r="53576" spans="65:67" ht="18.75" customHeight="1">
      <c r="BM53576" s="1025"/>
      <c r="BO53576" s="43"/>
    </row>
    <row r="53577" spans="65:67" ht="18.75" customHeight="1">
      <c r="BM53577" s="1025"/>
      <c r="BO53577" s="43"/>
    </row>
    <row r="53578" spans="65:67" ht="18.75" customHeight="1">
      <c r="BM53578" s="1025"/>
      <c r="BO53578" s="43"/>
    </row>
    <row r="53579" spans="65:67" ht="18.75" customHeight="1">
      <c r="BM53579" s="1025"/>
      <c r="BO53579" s="43"/>
    </row>
    <row r="53580" spans="65:67" ht="18.75" customHeight="1">
      <c r="BM53580" s="1025"/>
      <c r="BO53580" s="43"/>
    </row>
    <row r="53581" spans="65:67" ht="18.75" customHeight="1">
      <c r="BM53581" s="1025"/>
      <c r="BO53581" s="43"/>
    </row>
    <row r="53582" spans="65:67" ht="18.75" customHeight="1">
      <c r="BM53582" s="1025"/>
      <c r="BO53582" s="43"/>
    </row>
    <row r="53583" spans="65:67" ht="18.75" customHeight="1">
      <c r="BM53583" s="1025"/>
      <c r="BO53583" s="43"/>
    </row>
    <row r="53584" spans="65:67" ht="18.75" customHeight="1">
      <c r="BM53584" s="1025"/>
      <c r="BO53584" s="43"/>
    </row>
    <row r="53585" spans="65:67" ht="18.75" customHeight="1">
      <c r="BM53585" s="1025"/>
      <c r="BO53585" s="43"/>
    </row>
    <row r="53586" spans="65:67" ht="18.75" customHeight="1">
      <c r="BM53586" s="1025"/>
      <c r="BO53586" s="43"/>
    </row>
    <row r="53587" spans="65:67" ht="18.75" customHeight="1">
      <c r="BM53587" s="1025"/>
      <c r="BO53587" s="43"/>
    </row>
    <row r="53588" spans="65:67" ht="18.75" customHeight="1">
      <c r="BM53588" s="1025"/>
      <c r="BO53588" s="43"/>
    </row>
    <row r="53589" spans="65:67" ht="18.75" customHeight="1">
      <c r="BM53589" s="1025"/>
      <c r="BO53589" s="43"/>
    </row>
    <row r="53590" spans="65:67" ht="18.75" customHeight="1">
      <c r="BM53590" s="1025"/>
      <c r="BO53590" s="43"/>
    </row>
    <row r="53591" spans="65:67" ht="18.75" customHeight="1">
      <c r="BM53591" s="1025"/>
      <c r="BO53591" s="43"/>
    </row>
    <row r="53592" spans="65:67" ht="18.75" customHeight="1">
      <c r="BM53592" s="1025"/>
      <c r="BO53592" s="43"/>
    </row>
    <row r="53593" spans="65:67" ht="18.75" customHeight="1">
      <c r="BM53593" s="1025"/>
      <c r="BO53593" s="43"/>
    </row>
    <row r="53594" spans="65:67" ht="18.75" customHeight="1">
      <c r="BM53594" s="1025"/>
      <c r="BO53594" s="43"/>
    </row>
    <row r="53595" spans="65:67" ht="18.75" customHeight="1">
      <c r="BM53595" s="1025"/>
      <c r="BO53595" s="43"/>
    </row>
    <row r="53596" spans="65:67" ht="18.75" customHeight="1">
      <c r="BM53596" s="1025"/>
      <c r="BO53596" s="43"/>
    </row>
    <row r="53597" spans="65:67" ht="18.75" customHeight="1">
      <c r="BM53597" s="1025"/>
      <c r="BO53597" s="43"/>
    </row>
    <row r="53598" spans="65:67" ht="18.75" customHeight="1">
      <c r="BM53598" s="1025"/>
      <c r="BO53598" s="43"/>
    </row>
    <row r="53599" spans="65:67" ht="18.75" customHeight="1">
      <c r="BM53599" s="1025"/>
      <c r="BO53599" s="43"/>
    </row>
    <row r="53600" spans="65:67" ht="18.75" customHeight="1">
      <c r="BM53600" s="1025"/>
      <c r="BO53600" s="43"/>
    </row>
    <row r="53601" spans="65:67" ht="18.75" customHeight="1">
      <c r="BM53601" s="1025"/>
      <c r="BO53601" s="43"/>
    </row>
    <row r="53602" spans="65:67" ht="18.75" customHeight="1">
      <c r="BM53602" s="1025"/>
      <c r="BO53602" s="43"/>
    </row>
    <row r="53603" spans="65:67" ht="18.75" customHeight="1">
      <c r="BM53603" s="1025"/>
      <c r="BO53603" s="43"/>
    </row>
    <row r="53604" spans="65:67" ht="18.75" customHeight="1">
      <c r="BM53604" s="1025"/>
      <c r="BO53604" s="43"/>
    </row>
    <row r="53605" spans="65:67" ht="18.75" customHeight="1">
      <c r="BM53605" s="1025"/>
      <c r="BO53605" s="43"/>
    </row>
    <row r="53606" spans="65:67" ht="18.75" customHeight="1">
      <c r="BM53606" s="1025"/>
      <c r="BO53606" s="43"/>
    </row>
    <row r="53607" spans="65:67" ht="18.75" customHeight="1">
      <c r="BM53607" s="1025"/>
      <c r="BO53607" s="43"/>
    </row>
    <row r="53608" spans="65:67" ht="18.75" customHeight="1">
      <c r="BM53608" s="1025"/>
      <c r="BO53608" s="43"/>
    </row>
    <row r="53609" spans="65:67" ht="18.75" customHeight="1">
      <c r="BM53609" s="1025"/>
      <c r="BO53609" s="43"/>
    </row>
    <row r="53610" spans="65:67" ht="18.75" customHeight="1">
      <c r="BM53610" s="1025"/>
      <c r="BO53610" s="43"/>
    </row>
    <row r="53611" spans="65:67" ht="18.75" customHeight="1">
      <c r="BM53611" s="1025"/>
      <c r="BO53611" s="43"/>
    </row>
    <row r="53612" spans="65:67" ht="18.75" customHeight="1">
      <c r="BM53612" s="1025"/>
      <c r="BO53612" s="43"/>
    </row>
    <row r="53613" spans="65:67" ht="18.75" customHeight="1">
      <c r="BM53613" s="1025"/>
      <c r="BO53613" s="43"/>
    </row>
    <row r="53614" spans="65:67" ht="18.75" customHeight="1">
      <c r="BM53614" s="1025"/>
      <c r="BO53614" s="43"/>
    </row>
    <row r="53615" spans="65:67" ht="18.75" customHeight="1">
      <c r="BM53615" s="1025"/>
      <c r="BO53615" s="43"/>
    </row>
    <row r="53616" spans="65:67" ht="18.75" customHeight="1">
      <c r="BM53616" s="1025"/>
      <c r="BO53616" s="43"/>
    </row>
    <row r="53617" spans="65:67" ht="18.75" customHeight="1">
      <c r="BM53617" s="1025"/>
      <c r="BO53617" s="43"/>
    </row>
    <row r="53618" spans="65:67" ht="18.75" customHeight="1">
      <c r="BM53618" s="1025"/>
      <c r="BO53618" s="43"/>
    </row>
    <row r="53619" spans="65:67" ht="18.75" customHeight="1">
      <c r="BM53619" s="1025"/>
      <c r="BO53619" s="43"/>
    </row>
    <row r="53620" spans="65:67" ht="18.75" customHeight="1">
      <c r="BM53620" s="1025"/>
      <c r="BO53620" s="43"/>
    </row>
    <row r="53621" spans="65:67" ht="18.75" customHeight="1">
      <c r="BM53621" s="1025"/>
      <c r="BO53621" s="43"/>
    </row>
    <row r="53622" spans="65:67" ht="18.75" customHeight="1">
      <c r="BM53622" s="1025"/>
      <c r="BO53622" s="43"/>
    </row>
    <row r="53623" spans="65:67" ht="18.75" customHeight="1">
      <c r="BM53623" s="1025"/>
      <c r="BO53623" s="43"/>
    </row>
    <row r="53624" spans="65:67" ht="18.75" customHeight="1">
      <c r="BM53624" s="1025"/>
      <c r="BO53624" s="43"/>
    </row>
    <row r="53625" spans="65:67" ht="18.75" customHeight="1">
      <c r="BM53625" s="1025"/>
      <c r="BO53625" s="43"/>
    </row>
    <row r="53626" spans="65:67" ht="18.75" customHeight="1">
      <c r="BM53626" s="1025"/>
      <c r="BO53626" s="43"/>
    </row>
    <row r="53627" spans="65:67" ht="18.75" customHeight="1">
      <c r="BM53627" s="1025"/>
      <c r="BO53627" s="43"/>
    </row>
    <row r="53628" spans="65:67" ht="18.75" customHeight="1">
      <c r="BM53628" s="1025"/>
      <c r="BO53628" s="43"/>
    </row>
    <row r="53629" spans="65:67" ht="18.75" customHeight="1">
      <c r="BM53629" s="1025"/>
      <c r="BO53629" s="43"/>
    </row>
    <row r="53630" spans="65:67" ht="18.75" customHeight="1">
      <c r="BM53630" s="1025"/>
      <c r="BO53630" s="43"/>
    </row>
    <row r="53631" spans="65:67" ht="18.75" customHeight="1">
      <c r="BM53631" s="1025"/>
      <c r="BO53631" s="43"/>
    </row>
    <row r="53632" spans="65:67" ht="18.75" customHeight="1">
      <c r="BM53632" s="1025"/>
      <c r="BO53632" s="43"/>
    </row>
    <row r="53633" spans="65:67" ht="18.75" customHeight="1">
      <c r="BM53633" s="1025"/>
      <c r="BO53633" s="43"/>
    </row>
    <row r="53634" spans="65:67" ht="18.75" customHeight="1">
      <c r="BM53634" s="1025"/>
      <c r="BO53634" s="43"/>
    </row>
    <row r="53635" spans="65:67" ht="18.75" customHeight="1">
      <c r="BM53635" s="1025"/>
      <c r="BO53635" s="43"/>
    </row>
    <row r="53636" spans="65:67" ht="18.75" customHeight="1">
      <c r="BM53636" s="1025"/>
      <c r="BO53636" s="43"/>
    </row>
    <row r="53637" spans="65:67" ht="18.75" customHeight="1">
      <c r="BM53637" s="1025"/>
      <c r="BO53637" s="43"/>
    </row>
    <row r="53638" spans="65:67" ht="18.75" customHeight="1">
      <c r="BM53638" s="1025"/>
      <c r="BO53638" s="43"/>
    </row>
    <row r="53639" spans="65:67" ht="18.75" customHeight="1">
      <c r="BM53639" s="1025"/>
      <c r="BO53639" s="43"/>
    </row>
    <row r="53640" spans="65:67" ht="18.75" customHeight="1">
      <c r="BM53640" s="1025"/>
      <c r="BO53640" s="43"/>
    </row>
    <row r="53641" spans="65:67" ht="18.75" customHeight="1">
      <c r="BM53641" s="1025"/>
      <c r="BO53641" s="43"/>
    </row>
    <row r="53642" spans="65:67" ht="18.75" customHeight="1">
      <c r="BM53642" s="1025"/>
      <c r="BO53642" s="43"/>
    </row>
    <row r="53643" spans="65:67" ht="18.75" customHeight="1">
      <c r="BM53643" s="1025"/>
      <c r="BO53643" s="43"/>
    </row>
    <row r="53644" spans="65:67" ht="18.75" customHeight="1">
      <c r="BM53644" s="1025"/>
      <c r="BO53644" s="43"/>
    </row>
    <row r="53645" spans="65:67" ht="18.75" customHeight="1">
      <c r="BM53645" s="1025"/>
      <c r="BO53645" s="43"/>
    </row>
    <row r="53646" spans="65:67" ht="18.75" customHeight="1">
      <c r="BM53646" s="1025"/>
      <c r="BO53646" s="43"/>
    </row>
    <row r="53647" spans="65:67" ht="18.75" customHeight="1">
      <c r="BM53647" s="1025"/>
      <c r="BO53647" s="43"/>
    </row>
    <row r="53648" spans="65:67" ht="18.75" customHeight="1">
      <c r="BM53648" s="1025"/>
      <c r="BO53648" s="43"/>
    </row>
    <row r="53649" spans="65:67" ht="18.75" customHeight="1">
      <c r="BM53649" s="1025"/>
      <c r="BO53649" s="43"/>
    </row>
    <row r="53650" spans="65:67" ht="18.75" customHeight="1">
      <c r="BM53650" s="1025"/>
      <c r="BO53650" s="43"/>
    </row>
    <row r="53651" spans="65:67" ht="18.75" customHeight="1">
      <c r="BM53651" s="1025"/>
      <c r="BO53651" s="43"/>
    </row>
    <row r="53652" spans="65:67" ht="18.75" customHeight="1">
      <c r="BM53652" s="1025"/>
      <c r="BO53652" s="43"/>
    </row>
    <row r="53653" spans="65:67" ht="18.75" customHeight="1">
      <c r="BM53653" s="1025"/>
      <c r="BO53653" s="43"/>
    </row>
    <row r="53654" spans="65:67" ht="18.75" customHeight="1">
      <c r="BM53654" s="1025"/>
      <c r="BO53654" s="43"/>
    </row>
    <row r="53655" spans="65:67" ht="18.75" customHeight="1">
      <c r="BM53655" s="1025"/>
      <c r="BO53655" s="43"/>
    </row>
    <row r="53656" spans="65:67" ht="18.75" customHeight="1">
      <c r="BM53656" s="1025"/>
      <c r="BO53656" s="43"/>
    </row>
    <row r="53657" spans="65:67" ht="18.75" customHeight="1">
      <c r="BM53657" s="1025"/>
      <c r="BO53657" s="43"/>
    </row>
    <row r="53658" spans="65:67" ht="18.75" customHeight="1">
      <c r="BM53658" s="1025"/>
      <c r="BO53658" s="43"/>
    </row>
    <row r="53659" spans="65:67" ht="18.75" customHeight="1">
      <c r="BM53659" s="1025"/>
      <c r="BO53659" s="43"/>
    </row>
    <row r="53660" spans="65:67" ht="18.75" customHeight="1">
      <c r="BM53660" s="1025"/>
      <c r="BO53660" s="43"/>
    </row>
    <row r="53661" spans="65:67" ht="18.75" customHeight="1">
      <c r="BM53661" s="1025"/>
      <c r="BO53661" s="43"/>
    </row>
    <row r="53662" spans="65:67" ht="18.75" customHeight="1">
      <c r="BM53662" s="1025"/>
      <c r="BO53662" s="43"/>
    </row>
    <row r="53663" spans="65:67" ht="18.75" customHeight="1">
      <c r="BM53663" s="1025"/>
      <c r="BO53663" s="43"/>
    </row>
    <row r="53664" spans="65:67" ht="18.75" customHeight="1">
      <c r="BM53664" s="1025"/>
      <c r="BO53664" s="43"/>
    </row>
    <row r="53665" spans="65:67" ht="18.75" customHeight="1">
      <c r="BM53665" s="1025"/>
      <c r="BO53665" s="43"/>
    </row>
    <row r="53666" spans="65:67" ht="18.75" customHeight="1">
      <c r="BM53666" s="1025"/>
      <c r="BO53666" s="43"/>
    </row>
    <row r="53667" spans="65:67" ht="18.75" customHeight="1">
      <c r="BM53667" s="1025"/>
      <c r="BO53667" s="43"/>
    </row>
    <row r="53668" spans="65:67" ht="18.75" customHeight="1">
      <c r="BM53668" s="1025"/>
      <c r="BO53668" s="43"/>
    </row>
    <row r="53669" spans="65:67" ht="18.75" customHeight="1">
      <c r="BM53669" s="1025"/>
      <c r="BO53669" s="43"/>
    </row>
    <row r="53670" spans="65:67" ht="18.75" customHeight="1">
      <c r="BM53670" s="1025"/>
      <c r="BO53670" s="43"/>
    </row>
    <row r="53671" spans="65:67" ht="18.75" customHeight="1">
      <c r="BM53671" s="1025"/>
      <c r="BO53671" s="43"/>
    </row>
    <row r="53672" spans="65:67" ht="18.75" customHeight="1">
      <c r="BM53672" s="1025"/>
      <c r="BO53672" s="43"/>
    </row>
    <row r="53673" spans="65:67" ht="18.75" customHeight="1">
      <c r="BM53673" s="1025"/>
      <c r="BO53673" s="43"/>
    </row>
    <row r="53674" spans="65:67" ht="18.75" customHeight="1">
      <c r="BM53674" s="1025"/>
      <c r="BO53674" s="43"/>
    </row>
    <row r="53675" spans="65:67" ht="18.75" customHeight="1">
      <c r="BM53675" s="1025"/>
      <c r="BO53675" s="43"/>
    </row>
    <row r="53676" spans="65:67" ht="18.75" customHeight="1">
      <c r="BM53676" s="1025"/>
      <c r="BO53676" s="43"/>
    </row>
    <row r="53677" spans="65:67" ht="18.75" customHeight="1">
      <c r="BM53677" s="1025"/>
      <c r="BO53677" s="43"/>
    </row>
    <row r="53678" spans="65:67" ht="18.75" customHeight="1">
      <c r="BM53678" s="1025"/>
      <c r="BO53678" s="43"/>
    </row>
    <row r="53679" spans="65:67" ht="18.75" customHeight="1">
      <c r="BM53679" s="1025"/>
      <c r="BO53679" s="43"/>
    </row>
    <row r="53680" spans="65:67" ht="18.75" customHeight="1">
      <c r="BM53680" s="1025"/>
      <c r="BO53680" s="43"/>
    </row>
    <row r="53681" spans="65:67" ht="18.75" customHeight="1">
      <c r="BM53681" s="1025"/>
      <c r="BO53681" s="43"/>
    </row>
    <row r="53682" spans="65:67" ht="18.75" customHeight="1">
      <c r="BM53682" s="1025"/>
      <c r="BO53682" s="43"/>
    </row>
    <row r="53683" spans="65:67" ht="18.75" customHeight="1">
      <c r="BM53683" s="1025"/>
      <c r="BO53683" s="43"/>
    </row>
    <row r="53684" spans="65:67" ht="18.75" customHeight="1">
      <c r="BM53684" s="1025"/>
      <c r="BO53684" s="43"/>
    </row>
    <row r="53685" spans="65:67" ht="18.75" customHeight="1">
      <c r="BM53685" s="1025"/>
      <c r="BO53685" s="43"/>
    </row>
    <row r="53686" spans="65:67" ht="18.75" customHeight="1">
      <c r="BM53686" s="1025"/>
      <c r="BO53686" s="43"/>
    </row>
    <row r="53687" spans="65:67" ht="18.75" customHeight="1">
      <c r="BM53687" s="1025"/>
      <c r="BO53687" s="43"/>
    </row>
    <row r="53688" spans="65:67" ht="18.75" customHeight="1">
      <c r="BM53688" s="1025"/>
      <c r="BO53688" s="43"/>
    </row>
    <row r="53689" spans="65:67" ht="18.75" customHeight="1">
      <c r="BM53689" s="1025"/>
      <c r="BO53689" s="43"/>
    </row>
    <row r="53690" spans="65:67" ht="18.75" customHeight="1">
      <c r="BM53690" s="1025"/>
      <c r="BO53690" s="43"/>
    </row>
    <row r="53691" spans="65:67" ht="18.75" customHeight="1">
      <c r="BM53691" s="1025"/>
      <c r="BO53691" s="43"/>
    </row>
    <row r="53692" spans="65:67" ht="18.75" customHeight="1">
      <c r="BM53692" s="1025"/>
      <c r="BO53692" s="43"/>
    </row>
    <row r="53693" spans="65:67" ht="18.75" customHeight="1">
      <c r="BM53693" s="1025"/>
      <c r="BO53693" s="43"/>
    </row>
    <row r="53694" spans="65:67" ht="18.75" customHeight="1">
      <c r="BM53694" s="1025"/>
      <c r="BO53694" s="43"/>
    </row>
    <row r="53695" spans="65:67" ht="18.75" customHeight="1">
      <c r="BM53695" s="1025"/>
      <c r="BO53695" s="43"/>
    </row>
    <row r="53696" spans="65:67" ht="18.75" customHeight="1">
      <c r="BM53696" s="1025"/>
      <c r="BO53696" s="43"/>
    </row>
    <row r="53697" spans="65:67" ht="18.75" customHeight="1">
      <c r="BM53697" s="1025"/>
      <c r="BO53697" s="43"/>
    </row>
    <row r="53698" spans="65:67" ht="18.75" customHeight="1">
      <c r="BM53698" s="1025"/>
      <c r="BO53698" s="43"/>
    </row>
    <row r="53699" spans="65:67" ht="18.75" customHeight="1">
      <c r="BM53699" s="1025"/>
      <c r="BO53699" s="43"/>
    </row>
    <row r="53700" spans="65:67" ht="18.75" customHeight="1">
      <c r="BM53700" s="1025"/>
      <c r="BO53700" s="43"/>
    </row>
    <row r="53701" spans="65:67" ht="18.75" customHeight="1">
      <c r="BM53701" s="1025"/>
      <c r="BO53701" s="43"/>
    </row>
    <row r="53702" spans="65:67" ht="18.75" customHeight="1">
      <c r="BM53702" s="1025"/>
      <c r="BO53702" s="43"/>
    </row>
    <row r="53703" spans="65:67" ht="18.75" customHeight="1">
      <c r="BM53703" s="1025"/>
      <c r="BO53703" s="43"/>
    </row>
    <row r="53704" spans="65:67" ht="18.75" customHeight="1">
      <c r="BM53704" s="1025"/>
      <c r="BO53704" s="43"/>
    </row>
    <row r="53705" spans="65:67" ht="18.75" customHeight="1">
      <c r="BM53705" s="1025"/>
      <c r="BO53705" s="43"/>
    </row>
    <row r="53706" spans="65:67" ht="18.75" customHeight="1">
      <c r="BM53706" s="1025"/>
      <c r="BO53706" s="43"/>
    </row>
    <row r="53707" spans="65:67" ht="18.75" customHeight="1">
      <c r="BM53707" s="1025"/>
      <c r="BO53707" s="43"/>
    </row>
    <row r="53708" spans="65:67" ht="18.75" customHeight="1">
      <c r="BM53708" s="1025"/>
      <c r="BO53708" s="43"/>
    </row>
    <row r="53709" spans="65:67" ht="18.75" customHeight="1">
      <c r="BM53709" s="1025"/>
      <c r="BO53709" s="43"/>
    </row>
    <row r="53710" spans="65:67" ht="18.75" customHeight="1">
      <c r="BM53710" s="1025"/>
      <c r="BO53710" s="43"/>
    </row>
    <row r="53711" spans="65:67" ht="18.75" customHeight="1">
      <c r="BM53711" s="1025"/>
      <c r="BO53711" s="43"/>
    </row>
    <row r="53712" spans="65:67" ht="18.75" customHeight="1">
      <c r="BM53712" s="1025"/>
      <c r="BO53712" s="43"/>
    </row>
    <row r="53713" spans="65:67" ht="18.75" customHeight="1">
      <c r="BM53713" s="1025"/>
      <c r="BO53713" s="43"/>
    </row>
    <row r="53714" spans="65:67" ht="18.75" customHeight="1">
      <c r="BM53714" s="1025"/>
      <c r="BO53714" s="43"/>
    </row>
    <row r="53715" spans="65:67" ht="18.75" customHeight="1">
      <c r="BM53715" s="1025"/>
      <c r="BO53715" s="43"/>
    </row>
    <row r="53716" spans="65:67" ht="18.75" customHeight="1">
      <c r="BM53716" s="1025"/>
      <c r="BO53716" s="43"/>
    </row>
    <row r="53717" spans="65:67" ht="18.75" customHeight="1">
      <c r="BM53717" s="1025"/>
      <c r="BO53717" s="43"/>
    </row>
    <row r="53718" spans="65:67" ht="18.75" customHeight="1">
      <c r="BM53718" s="1025"/>
      <c r="BO53718" s="43"/>
    </row>
    <row r="53719" spans="65:67" ht="18.75" customHeight="1">
      <c r="BM53719" s="1025"/>
      <c r="BO53719" s="43"/>
    </row>
    <row r="53720" spans="65:67" ht="18.75" customHeight="1">
      <c r="BM53720" s="1025"/>
      <c r="BO53720" s="43"/>
    </row>
    <row r="53721" spans="65:67" ht="18.75" customHeight="1">
      <c r="BM53721" s="1025"/>
      <c r="BO53721" s="43"/>
    </row>
    <row r="53722" spans="65:67" ht="18.75" customHeight="1">
      <c r="BM53722" s="1025"/>
      <c r="BO53722" s="43"/>
    </row>
    <row r="53723" spans="65:67" ht="18.75" customHeight="1">
      <c r="BM53723" s="1025"/>
      <c r="BO53723" s="43"/>
    </row>
    <row r="53724" spans="65:67" ht="18.75" customHeight="1">
      <c r="BM53724" s="1025"/>
      <c r="BO53724" s="43"/>
    </row>
    <row r="53725" spans="65:67" ht="18.75" customHeight="1">
      <c r="BM53725" s="1025"/>
      <c r="BO53725" s="43"/>
    </row>
    <row r="53726" spans="65:67" ht="18.75" customHeight="1">
      <c r="BM53726" s="1025"/>
      <c r="BO53726" s="43"/>
    </row>
    <row r="53727" spans="65:67" ht="18.75" customHeight="1">
      <c r="BM53727" s="1025"/>
      <c r="BO53727" s="43"/>
    </row>
    <row r="53728" spans="65:67" ht="18.75" customHeight="1">
      <c r="BM53728" s="1025"/>
      <c r="BO53728" s="43"/>
    </row>
    <row r="53729" spans="65:67" ht="18.75" customHeight="1">
      <c r="BM53729" s="1025"/>
      <c r="BO53729" s="43"/>
    </row>
    <row r="53730" spans="65:67" ht="18.75" customHeight="1">
      <c r="BM53730" s="1025"/>
      <c r="BO53730" s="43"/>
    </row>
    <row r="53731" spans="65:67" ht="18.75" customHeight="1">
      <c r="BM53731" s="1025"/>
      <c r="BO53731" s="43"/>
    </row>
    <row r="53732" spans="65:67" ht="18.75" customHeight="1">
      <c r="BM53732" s="1025"/>
      <c r="BO53732" s="43"/>
    </row>
    <row r="53733" spans="65:67" ht="18.75" customHeight="1">
      <c r="BM53733" s="1025"/>
      <c r="BO53733" s="43"/>
    </row>
    <row r="53734" spans="65:67" ht="18.75" customHeight="1">
      <c r="BM53734" s="1025"/>
      <c r="BO53734" s="43"/>
    </row>
    <row r="53735" spans="65:67" ht="18.75" customHeight="1">
      <c r="BM53735" s="1025"/>
      <c r="BO53735" s="43"/>
    </row>
    <row r="53736" spans="65:67" ht="18.75" customHeight="1">
      <c r="BM53736" s="1025"/>
      <c r="BO53736" s="43"/>
    </row>
    <row r="53737" spans="65:67" ht="18.75" customHeight="1">
      <c r="BM53737" s="1025"/>
      <c r="BO53737" s="43"/>
    </row>
    <row r="53738" spans="65:67" ht="18.75" customHeight="1">
      <c r="BM53738" s="1025"/>
      <c r="BO53738" s="43"/>
    </row>
    <row r="53739" spans="65:67" ht="18.75" customHeight="1">
      <c r="BM53739" s="1025"/>
      <c r="BO53739" s="43"/>
    </row>
    <row r="53740" spans="65:67" ht="18.75" customHeight="1">
      <c r="BM53740" s="1025"/>
      <c r="BO53740" s="43"/>
    </row>
    <row r="53741" spans="65:67" ht="18.75" customHeight="1">
      <c r="BM53741" s="1025"/>
      <c r="BO53741" s="43"/>
    </row>
    <row r="53742" spans="65:67" ht="18.75" customHeight="1">
      <c r="BM53742" s="1025"/>
      <c r="BO53742" s="43"/>
    </row>
    <row r="53743" spans="65:67" ht="18.75" customHeight="1">
      <c r="BM53743" s="1025"/>
      <c r="BO53743" s="43"/>
    </row>
    <row r="53744" spans="65:67" ht="18.75" customHeight="1">
      <c r="BM53744" s="1025"/>
      <c r="BO53744" s="43"/>
    </row>
    <row r="53745" spans="65:67" ht="18.75" customHeight="1">
      <c r="BM53745" s="1025"/>
      <c r="BO53745" s="43"/>
    </row>
    <row r="53746" spans="65:67" ht="18.75" customHeight="1">
      <c r="BM53746" s="1025"/>
      <c r="BO53746" s="43"/>
    </row>
    <row r="53747" spans="65:67" ht="18.75" customHeight="1">
      <c r="BM53747" s="1025"/>
      <c r="BO53747" s="43"/>
    </row>
    <row r="53748" spans="65:67" ht="18.75" customHeight="1">
      <c r="BM53748" s="1025"/>
      <c r="BO53748" s="43"/>
    </row>
    <row r="53749" spans="65:67" ht="18.75" customHeight="1">
      <c r="BM53749" s="1025"/>
      <c r="BO53749" s="43"/>
    </row>
    <row r="53750" spans="65:67" ht="18.75" customHeight="1">
      <c r="BM53750" s="1025"/>
      <c r="BO53750" s="43"/>
    </row>
    <row r="53751" spans="65:67" ht="18.75" customHeight="1">
      <c r="BM53751" s="1025"/>
      <c r="BO53751" s="43"/>
    </row>
    <row r="53752" spans="65:67" ht="18.75" customHeight="1">
      <c r="BM53752" s="1025"/>
      <c r="BO53752" s="43"/>
    </row>
    <row r="53753" spans="65:67" ht="18.75" customHeight="1">
      <c r="BM53753" s="1025"/>
      <c r="BO53753" s="43"/>
    </row>
    <row r="53754" spans="65:67" ht="18.75" customHeight="1">
      <c r="BM53754" s="1025"/>
      <c r="BO53754" s="43"/>
    </row>
    <row r="53755" spans="65:67" ht="18.75" customHeight="1">
      <c r="BM53755" s="1025"/>
      <c r="BO53755" s="43"/>
    </row>
    <row r="53756" spans="65:67" ht="18.75" customHeight="1">
      <c r="BM53756" s="1025"/>
      <c r="BO53756" s="43"/>
    </row>
    <row r="53757" spans="65:67" ht="18.75" customHeight="1">
      <c r="BM53757" s="1025"/>
      <c r="BO53757" s="43"/>
    </row>
    <row r="53758" spans="65:67" ht="18.75" customHeight="1">
      <c r="BM53758" s="1025"/>
      <c r="BO53758" s="43"/>
    </row>
    <row r="53759" spans="65:67" ht="18.75" customHeight="1">
      <c r="BM53759" s="1025"/>
      <c r="BO53759" s="43"/>
    </row>
    <row r="53760" spans="65:67" ht="18.75" customHeight="1">
      <c r="BM53760" s="1025"/>
      <c r="BO53760" s="43"/>
    </row>
    <row r="53761" spans="65:67" ht="18.75" customHeight="1">
      <c r="BM53761" s="1025"/>
      <c r="BO53761" s="43"/>
    </row>
    <row r="53762" spans="65:67" ht="18.75" customHeight="1">
      <c r="BM53762" s="1025"/>
      <c r="BO53762" s="43"/>
    </row>
    <row r="53763" spans="65:67" ht="18.75" customHeight="1">
      <c r="BM53763" s="1025"/>
      <c r="BO53763" s="43"/>
    </row>
    <row r="53764" spans="65:67" ht="18.75" customHeight="1">
      <c r="BM53764" s="1025"/>
      <c r="BO53764" s="43"/>
    </row>
    <row r="53765" spans="65:67" ht="18.75" customHeight="1">
      <c r="BM53765" s="1025"/>
      <c r="BO53765" s="43"/>
    </row>
    <row r="53766" spans="65:67" ht="18.75" customHeight="1">
      <c r="BM53766" s="1025"/>
      <c r="BO53766" s="43"/>
    </row>
    <row r="53767" spans="65:67" ht="18.75" customHeight="1">
      <c r="BM53767" s="1025"/>
      <c r="BO53767" s="43"/>
    </row>
    <row r="53768" spans="65:67" ht="18.75" customHeight="1">
      <c r="BM53768" s="1025"/>
      <c r="BO53768" s="43"/>
    </row>
    <row r="53769" spans="65:67" ht="18.75" customHeight="1">
      <c r="BM53769" s="1025"/>
      <c r="BO53769" s="43"/>
    </row>
    <row r="53770" spans="65:67" ht="18.75" customHeight="1">
      <c r="BM53770" s="1025"/>
      <c r="BO53770" s="43"/>
    </row>
    <row r="53771" spans="65:67" ht="18.75" customHeight="1">
      <c r="BM53771" s="1025"/>
      <c r="BO53771" s="43"/>
    </row>
    <row r="53772" spans="65:67" ht="18.75" customHeight="1">
      <c r="BM53772" s="1025"/>
      <c r="BO53772" s="43"/>
    </row>
    <row r="53773" spans="65:67" ht="18.75" customHeight="1">
      <c r="BM53773" s="1025"/>
      <c r="BO53773" s="43"/>
    </row>
    <row r="53774" spans="65:67" ht="18.75" customHeight="1">
      <c r="BM53774" s="1025"/>
      <c r="BO53774" s="43"/>
    </row>
    <row r="53775" spans="65:67" ht="18.75" customHeight="1">
      <c r="BM53775" s="1025"/>
      <c r="BO53775" s="43"/>
    </row>
    <row r="53776" spans="65:67" ht="18.75" customHeight="1">
      <c r="BM53776" s="1025"/>
      <c r="BO53776" s="43"/>
    </row>
    <row r="53777" spans="65:67" ht="18.75" customHeight="1">
      <c r="BM53777" s="1025"/>
      <c r="BO53777" s="43"/>
    </row>
    <row r="53778" spans="65:67" ht="18.75" customHeight="1">
      <c r="BM53778" s="1025"/>
      <c r="BO53778" s="43"/>
    </row>
    <row r="53779" spans="65:67" ht="18.75" customHeight="1">
      <c r="BM53779" s="1025"/>
      <c r="BO53779" s="43"/>
    </row>
    <row r="53780" spans="65:67" ht="18.75" customHeight="1">
      <c r="BM53780" s="1025"/>
      <c r="BO53780" s="43"/>
    </row>
    <row r="53781" spans="65:67" ht="18.75" customHeight="1">
      <c r="BM53781" s="1025"/>
      <c r="BO53781" s="43"/>
    </row>
    <row r="53782" spans="65:67" ht="18.75" customHeight="1">
      <c r="BM53782" s="1025"/>
      <c r="BO53782" s="43"/>
    </row>
    <row r="53783" spans="65:67" ht="18.75" customHeight="1">
      <c r="BM53783" s="1025"/>
      <c r="BO53783" s="43"/>
    </row>
    <row r="53784" spans="65:67" ht="18.75" customHeight="1">
      <c r="BM53784" s="1025"/>
      <c r="BO53784" s="43"/>
    </row>
    <row r="53785" spans="65:67" ht="18.75" customHeight="1">
      <c r="BM53785" s="1025"/>
      <c r="BO53785" s="43"/>
    </row>
    <row r="53786" spans="65:67" ht="18.75" customHeight="1">
      <c r="BM53786" s="1025"/>
      <c r="BO53786" s="43"/>
    </row>
    <row r="53787" spans="65:67" ht="18.75" customHeight="1">
      <c r="BM53787" s="1025"/>
      <c r="BO53787" s="43"/>
    </row>
    <row r="53788" spans="65:67" ht="18.75" customHeight="1">
      <c r="BM53788" s="1025"/>
      <c r="BO53788" s="43"/>
    </row>
    <row r="53789" spans="65:67" ht="18.75" customHeight="1">
      <c r="BM53789" s="1025"/>
      <c r="BO53789" s="43"/>
    </row>
    <row r="53790" spans="65:67" ht="18.75" customHeight="1">
      <c r="BM53790" s="1025"/>
      <c r="BO53790" s="43"/>
    </row>
    <row r="53791" spans="65:67" ht="18.75" customHeight="1">
      <c r="BM53791" s="1025"/>
      <c r="BO53791" s="43"/>
    </row>
    <row r="53792" spans="65:67" ht="18.75" customHeight="1">
      <c r="BM53792" s="1025"/>
      <c r="BO53792" s="43"/>
    </row>
    <row r="53793" spans="65:67" ht="18.75" customHeight="1">
      <c r="BM53793" s="1025"/>
      <c r="BO53793" s="43"/>
    </row>
    <row r="53794" spans="65:67" ht="18.75" customHeight="1">
      <c r="BM53794" s="1025"/>
      <c r="BO53794" s="43"/>
    </row>
    <row r="53795" spans="65:67" ht="18.75" customHeight="1">
      <c r="BM53795" s="1025"/>
      <c r="BO53795" s="43"/>
    </row>
    <row r="53796" spans="65:67" ht="18.75" customHeight="1">
      <c r="BM53796" s="1025"/>
      <c r="BO53796" s="43"/>
    </row>
    <row r="53797" spans="65:67" ht="18.75" customHeight="1">
      <c r="BM53797" s="1025"/>
      <c r="BO53797" s="43"/>
    </row>
    <row r="53798" spans="65:67" ht="18.75" customHeight="1">
      <c r="BM53798" s="1025"/>
      <c r="BO53798" s="43"/>
    </row>
    <row r="53799" spans="65:67" ht="18.75" customHeight="1">
      <c r="BM53799" s="1025"/>
      <c r="BO53799" s="43"/>
    </row>
    <row r="53800" spans="65:67" ht="18.75" customHeight="1">
      <c r="BM53800" s="1025"/>
      <c r="BO53800" s="43"/>
    </row>
    <row r="53801" spans="65:67" ht="18.75" customHeight="1">
      <c r="BM53801" s="1025"/>
      <c r="BO53801" s="43"/>
    </row>
    <row r="53802" spans="65:67" ht="18.75" customHeight="1">
      <c r="BM53802" s="1025"/>
      <c r="BO53802" s="43"/>
    </row>
    <row r="53803" spans="65:67" ht="18.75" customHeight="1">
      <c r="BM53803" s="1025"/>
      <c r="BO53803" s="43"/>
    </row>
    <row r="53804" spans="65:67" ht="18.75" customHeight="1">
      <c r="BM53804" s="1025"/>
      <c r="BO53804" s="43"/>
    </row>
    <row r="53805" spans="65:67" ht="18.75" customHeight="1">
      <c r="BM53805" s="1025"/>
      <c r="BO53805" s="43"/>
    </row>
    <row r="53806" spans="65:67" ht="18.75" customHeight="1">
      <c r="BM53806" s="1025"/>
      <c r="BO53806" s="43"/>
    </row>
    <row r="53807" spans="65:67" ht="18.75" customHeight="1">
      <c r="BM53807" s="1025"/>
      <c r="BO53807" s="43"/>
    </row>
    <row r="53808" spans="65:67" ht="18.75" customHeight="1">
      <c r="BM53808" s="1025"/>
      <c r="BO53808" s="43"/>
    </row>
    <row r="53809" spans="65:67" ht="18.75" customHeight="1">
      <c r="BM53809" s="1025"/>
      <c r="BO53809" s="43"/>
    </row>
    <row r="53810" spans="65:67" ht="18.75" customHeight="1">
      <c r="BM53810" s="1025"/>
      <c r="BO53810" s="43"/>
    </row>
    <row r="53811" spans="65:67" ht="18.75" customHeight="1">
      <c r="BM53811" s="1025"/>
      <c r="BO53811" s="43"/>
    </row>
    <row r="53812" spans="65:67" ht="18.75" customHeight="1">
      <c r="BM53812" s="1025"/>
      <c r="BO53812" s="43"/>
    </row>
    <row r="53813" spans="65:67" ht="18.75" customHeight="1">
      <c r="BM53813" s="1025"/>
      <c r="BO53813" s="43"/>
    </row>
    <row r="53814" spans="65:67" ht="18.75" customHeight="1">
      <c r="BM53814" s="1025"/>
      <c r="BO53814" s="43"/>
    </row>
    <row r="53815" spans="65:67" ht="18.75" customHeight="1">
      <c r="BM53815" s="1025"/>
      <c r="BO53815" s="43"/>
    </row>
    <row r="53816" spans="65:67" ht="18.75" customHeight="1">
      <c r="BM53816" s="1025"/>
      <c r="BO53816" s="43"/>
    </row>
    <row r="53817" spans="65:67" ht="18.75" customHeight="1">
      <c r="BM53817" s="1025"/>
      <c r="BO53817" s="43"/>
    </row>
    <row r="53818" spans="65:67" ht="18.75" customHeight="1">
      <c r="BM53818" s="1025"/>
      <c r="BO53818" s="43"/>
    </row>
    <row r="53819" spans="65:67" ht="18.75" customHeight="1">
      <c r="BM53819" s="1025"/>
      <c r="BO53819" s="43"/>
    </row>
    <row r="53820" spans="65:67" ht="18.75" customHeight="1">
      <c r="BM53820" s="1025"/>
      <c r="BO53820" s="43"/>
    </row>
    <row r="53821" spans="65:67" ht="18.75" customHeight="1">
      <c r="BM53821" s="1025"/>
      <c r="BO53821" s="43"/>
    </row>
    <row r="53822" spans="65:67" ht="18.75" customHeight="1">
      <c r="BM53822" s="1025"/>
      <c r="BO53822" s="43"/>
    </row>
    <row r="53823" spans="65:67" ht="18.75" customHeight="1">
      <c r="BM53823" s="1025"/>
      <c r="BO53823" s="43"/>
    </row>
    <row r="53824" spans="65:67" ht="18.75" customHeight="1">
      <c r="BM53824" s="1025"/>
      <c r="BO53824" s="43"/>
    </row>
    <row r="53825" spans="65:67" ht="18.75" customHeight="1">
      <c r="BM53825" s="1025"/>
      <c r="BO53825" s="43"/>
    </row>
    <row r="53826" spans="65:67" ht="18.75" customHeight="1">
      <c r="BM53826" s="1025"/>
      <c r="BO53826" s="43"/>
    </row>
    <row r="53827" spans="65:67" ht="18.75" customHeight="1">
      <c r="BM53827" s="1025"/>
      <c r="BO53827" s="43"/>
    </row>
    <row r="53828" spans="65:67" ht="18.75" customHeight="1">
      <c r="BM53828" s="1025"/>
      <c r="BO53828" s="43"/>
    </row>
    <row r="53829" spans="65:67" ht="18.75" customHeight="1">
      <c r="BM53829" s="1025"/>
      <c r="BO53829" s="43"/>
    </row>
    <row r="53830" spans="65:67" ht="18.75" customHeight="1">
      <c r="BM53830" s="1025"/>
      <c r="BO53830" s="43"/>
    </row>
    <row r="53831" spans="65:67" ht="18.75" customHeight="1">
      <c r="BM53831" s="1025"/>
      <c r="BO53831" s="43"/>
    </row>
    <row r="53832" spans="65:67" ht="18.75" customHeight="1">
      <c r="BM53832" s="1025"/>
      <c r="BO53832" s="43"/>
    </row>
    <row r="53833" spans="65:67" ht="18.75" customHeight="1">
      <c r="BM53833" s="1025"/>
      <c r="BO53833" s="43"/>
    </row>
    <row r="53834" spans="65:67" ht="18.75" customHeight="1">
      <c r="BM53834" s="1025"/>
      <c r="BO53834" s="43"/>
    </row>
    <row r="53835" spans="65:67" ht="18.75" customHeight="1">
      <c r="BM53835" s="1025"/>
      <c r="BO53835" s="43"/>
    </row>
    <row r="53836" spans="65:67" ht="18.75" customHeight="1">
      <c r="BM53836" s="1025"/>
      <c r="BO53836" s="43"/>
    </row>
    <row r="53837" spans="65:67" ht="18.75" customHeight="1">
      <c r="BM53837" s="1025"/>
      <c r="BO53837" s="43"/>
    </row>
    <row r="53838" spans="65:67" ht="18.75" customHeight="1">
      <c r="BM53838" s="1025"/>
      <c r="BO53838" s="43"/>
    </row>
    <row r="53839" spans="65:67" ht="18.75" customHeight="1">
      <c r="BM53839" s="1025"/>
      <c r="BO53839" s="43"/>
    </row>
    <row r="53840" spans="65:67" ht="18.75" customHeight="1">
      <c r="BM53840" s="1025"/>
      <c r="BO53840" s="43"/>
    </row>
    <row r="53841" spans="65:67" ht="18.75" customHeight="1">
      <c r="BM53841" s="1025"/>
      <c r="BO53841" s="43"/>
    </row>
    <row r="53842" spans="65:67" ht="18.75" customHeight="1">
      <c r="BM53842" s="1025"/>
      <c r="BO53842" s="43"/>
    </row>
    <row r="53843" spans="65:67" ht="18.75" customHeight="1">
      <c r="BM53843" s="1025"/>
      <c r="BO53843" s="43"/>
    </row>
    <row r="53844" spans="65:67" ht="18.75" customHeight="1">
      <c r="BM53844" s="1025"/>
      <c r="BO53844" s="43"/>
    </row>
    <row r="53845" spans="65:67" ht="18.75" customHeight="1">
      <c r="BM53845" s="1025"/>
      <c r="BO53845" s="43"/>
    </row>
    <row r="53846" spans="65:67" ht="18.75" customHeight="1">
      <c r="BM53846" s="1025"/>
      <c r="BO53846" s="43"/>
    </row>
    <row r="53847" spans="65:67" ht="18.75" customHeight="1">
      <c r="BM53847" s="1025"/>
      <c r="BO53847" s="43"/>
    </row>
    <row r="53848" spans="65:67" ht="18.75" customHeight="1">
      <c r="BM53848" s="1025"/>
      <c r="BO53848" s="43"/>
    </row>
    <row r="53849" spans="65:67" ht="18.75" customHeight="1">
      <c r="BM53849" s="1025"/>
      <c r="BO53849" s="43"/>
    </row>
    <row r="53850" spans="65:67" ht="18.75" customHeight="1">
      <c r="BM53850" s="1025"/>
      <c r="BO53850" s="43"/>
    </row>
    <row r="53851" spans="65:67" ht="18.75" customHeight="1">
      <c r="BM53851" s="1025"/>
      <c r="BO53851" s="43"/>
    </row>
    <row r="53852" spans="65:67" ht="18.75" customHeight="1">
      <c r="BM53852" s="1025"/>
      <c r="BO53852" s="43"/>
    </row>
    <row r="53853" spans="65:67" ht="18.75" customHeight="1">
      <c r="BM53853" s="1025"/>
      <c r="BO53853" s="43"/>
    </row>
    <row r="53854" spans="65:67" ht="18.75" customHeight="1">
      <c r="BM53854" s="1025"/>
      <c r="BO53854" s="43"/>
    </row>
    <row r="53855" spans="65:67" ht="18.75" customHeight="1">
      <c r="BM53855" s="1025"/>
      <c r="BO53855" s="43"/>
    </row>
    <row r="53856" spans="65:67" ht="18.75" customHeight="1">
      <c r="BM53856" s="1025"/>
      <c r="BO53856" s="43"/>
    </row>
    <row r="53857" spans="65:67" ht="18.75" customHeight="1">
      <c r="BM53857" s="1025"/>
      <c r="BO53857" s="43"/>
    </row>
    <row r="53858" spans="65:67" ht="18.75" customHeight="1">
      <c r="BM53858" s="1025"/>
      <c r="BO53858" s="43"/>
    </row>
    <row r="53859" spans="65:67" ht="18.75" customHeight="1">
      <c r="BM53859" s="1025"/>
      <c r="BO53859" s="43"/>
    </row>
    <row r="53860" spans="65:67" ht="18.75" customHeight="1">
      <c r="BM53860" s="1025"/>
      <c r="BO53860" s="43"/>
    </row>
    <row r="53861" spans="65:67" ht="18.75" customHeight="1">
      <c r="BM53861" s="1025"/>
      <c r="BO53861" s="43"/>
    </row>
    <row r="53862" spans="65:67" ht="18.75" customHeight="1">
      <c r="BM53862" s="1025"/>
      <c r="BO53862" s="43"/>
    </row>
    <row r="53863" spans="65:67" ht="18.75" customHeight="1">
      <c r="BM53863" s="1025"/>
      <c r="BO53863" s="43"/>
    </row>
    <row r="53864" spans="65:67" ht="18.75" customHeight="1">
      <c r="BM53864" s="1025"/>
      <c r="BO53864" s="43"/>
    </row>
    <row r="53865" spans="65:67" ht="18.75" customHeight="1">
      <c r="BM53865" s="1025"/>
      <c r="BO53865" s="43"/>
    </row>
    <row r="53866" spans="65:67" ht="18.75" customHeight="1">
      <c r="BM53866" s="1025"/>
      <c r="BO53866" s="43"/>
    </row>
    <row r="53867" spans="65:67" ht="18.75" customHeight="1">
      <c r="BM53867" s="1025"/>
      <c r="BO53867" s="43"/>
    </row>
    <row r="53868" spans="65:67" ht="18.75" customHeight="1">
      <c r="BM53868" s="1025"/>
      <c r="BO53868" s="43"/>
    </row>
    <row r="53869" spans="65:67" ht="18.75" customHeight="1">
      <c r="BM53869" s="1025"/>
      <c r="BO53869" s="43"/>
    </row>
    <row r="53870" spans="65:67" ht="18.75" customHeight="1">
      <c r="BM53870" s="1025"/>
      <c r="BO53870" s="43"/>
    </row>
    <row r="53871" spans="65:67" ht="18.75" customHeight="1">
      <c r="BM53871" s="1025"/>
      <c r="BO53871" s="43"/>
    </row>
    <row r="53872" spans="65:67" ht="18.75" customHeight="1">
      <c r="BM53872" s="1025"/>
      <c r="BO53872" s="43"/>
    </row>
    <row r="53873" spans="65:67" ht="18.75" customHeight="1">
      <c r="BM53873" s="1025"/>
      <c r="BO53873" s="43"/>
    </row>
    <row r="53874" spans="65:67" ht="18.75" customHeight="1">
      <c r="BM53874" s="1025"/>
      <c r="BO53874" s="43"/>
    </row>
    <row r="53875" spans="65:67" ht="18.75" customHeight="1">
      <c r="BM53875" s="1025"/>
      <c r="BO53875" s="43"/>
    </row>
    <row r="53876" spans="65:67" ht="18.75" customHeight="1">
      <c r="BM53876" s="1025"/>
      <c r="BO53876" s="43"/>
    </row>
    <row r="53877" spans="65:67" ht="18.75" customHeight="1">
      <c r="BM53877" s="1025"/>
      <c r="BO53877" s="43"/>
    </row>
    <row r="53878" spans="65:67" ht="18.75" customHeight="1">
      <c r="BM53878" s="1025"/>
      <c r="BO53878" s="43"/>
    </row>
    <row r="53879" spans="65:67" ht="18.75" customHeight="1">
      <c r="BM53879" s="1025"/>
      <c r="BO53879" s="43"/>
    </row>
    <row r="53880" spans="65:67" ht="18.75" customHeight="1">
      <c r="BM53880" s="1025"/>
      <c r="BO53880" s="43"/>
    </row>
    <row r="53881" spans="65:67" ht="18.75" customHeight="1">
      <c r="BM53881" s="1025"/>
      <c r="BO53881" s="43"/>
    </row>
    <row r="53882" spans="65:67" ht="18.75" customHeight="1">
      <c r="BM53882" s="1025"/>
      <c r="BO53882" s="43"/>
    </row>
    <row r="53883" spans="65:67" ht="18.75" customHeight="1">
      <c r="BM53883" s="1025"/>
      <c r="BO53883" s="43"/>
    </row>
    <row r="53884" spans="65:67" ht="18.75" customHeight="1">
      <c r="BM53884" s="1025"/>
      <c r="BO53884" s="43"/>
    </row>
    <row r="53885" spans="65:67" ht="18.75" customHeight="1">
      <c r="BM53885" s="1025"/>
      <c r="BO53885" s="43"/>
    </row>
    <row r="53886" spans="65:67" ht="18.75" customHeight="1">
      <c r="BM53886" s="1025"/>
      <c r="BO53886" s="43"/>
    </row>
    <row r="53887" spans="65:67" ht="18.75" customHeight="1">
      <c r="BM53887" s="1025"/>
      <c r="BO53887" s="43"/>
    </row>
    <row r="53888" spans="65:67" ht="18.75" customHeight="1">
      <c r="BM53888" s="1025"/>
      <c r="BO53888" s="43"/>
    </row>
    <row r="53889" spans="65:67" ht="18.75" customHeight="1">
      <c r="BM53889" s="1025"/>
      <c r="BO53889" s="43"/>
    </row>
    <row r="53890" spans="65:67" ht="18.75" customHeight="1">
      <c r="BM53890" s="1025"/>
      <c r="BO53890" s="43"/>
    </row>
    <row r="53891" spans="65:67" ht="18.75" customHeight="1">
      <c r="BM53891" s="1025"/>
      <c r="BO53891" s="43"/>
    </row>
    <row r="53892" spans="65:67" ht="18.75" customHeight="1">
      <c r="BM53892" s="1025"/>
      <c r="BO53892" s="43"/>
    </row>
    <row r="53893" spans="65:67" ht="18.75" customHeight="1">
      <c r="BM53893" s="1025"/>
      <c r="BO53893" s="43"/>
    </row>
    <row r="53894" spans="65:67" ht="18.75" customHeight="1">
      <c r="BM53894" s="1025"/>
      <c r="BO53894" s="43"/>
    </row>
    <row r="53895" spans="65:67" ht="18.75" customHeight="1">
      <c r="BM53895" s="1025"/>
      <c r="BO53895" s="43"/>
    </row>
    <row r="53896" spans="65:67" ht="18.75" customHeight="1">
      <c r="BM53896" s="1025"/>
      <c r="BO53896" s="43"/>
    </row>
    <row r="53897" spans="65:67" ht="18.75" customHeight="1">
      <c r="BM53897" s="1025"/>
      <c r="BO53897" s="43"/>
    </row>
    <row r="53898" spans="65:67" ht="18.75" customHeight="1">
      <c r="BM53898" s="1025"/>
      <c r="BO53898" s="43"/>
    </row>
    <row r="53899" spans="65:67" ht="18.75" customHeight="1">
      <c r="BM53899" s="1025"/>
      <c r="BO53899" s="43"/>
    </row>
    <row r="53900" spans="65:67" ht="18.75" customHeight="1">
      <c r="BM53900" s="1025"/>
      <c r="BO53900" s="43"/>
    </row>
    <row r="53901" spans="65:67" ht="18.75" customHeight="1">
      <c r="BM53901" s="1025"/>
      <c r="BO53901" s="43"/>
    </row>
    <row r="53902" spans="65:67" ht="18.75" customHeight="1">
      <c r="BM53902" s="1025"/>
      <c r="BO53902" s="43"/>
    </row>
    <row r="53903" spans="65:67" ht="18.75" customHeight="1">
      <c r="BM53903" s="1025"/>
      <c r="BO53903" s="43"/>
    </row>
    <row r="53904" spans="65:67" ht="18.75" customHeight="1">
      <c r="BM53904" s="1025"/>
      <c r="BO53904" s="43"/>
    </row>
    <row r="53905" spans="65:67" ht="18.75" customHeight="1">
      <c r="BM53905" s="1025"/>
      <c r="BO53905" s="43"/>
    </row>
    <row r="53906" spans="65:67" ht="18.75" customHeight="1">
      <c r="BM53906" s="1025"/>
      <c r="BO53906" s="43"/>
    </row>
    <row r="53907" spans="65:67" ht="18.75" customHeight="1">
      <c r="BM53907" s="1025"/>
      <c r="BO53907" s="43"/>
    </row>
    <row r="53908" spans="65:67" ht="18.75" customHeight="1">
      <c r="BM53908" s="1025"/>
      <c r="BO53908" s="43"/>
    </row>
    <row r="53909" spans="65:67" ht="18.75" customHeight="1">
      <c r="BM53909" s="1025"/>
      <c r="BO53909" s="43"/>
    </row>
    <row r="53910" spans="65:67" ht="18.75" customHeight="1">
      <c r="BM53910" s="1025"/>
      <c r="BO53910" s="43"/>
    </row>
    <row r="53911" spans="65:67" ht="18.75" customHeight="1">
      <c r="BM53911" s="1025"/>
      <c r="BO53911" s="43"/>
    </row>
    <row r="53912" spans="65:67" ht="18.75" customHeight="1">
      <c r="BM53912" s="1025"/>
      <c r="BO53912" s="43"/>
    </row>
    <row r="53913" spans="65:67" ht="18.75" customHeight="1">
      <c r="BM53913" s="1025"/>
      <c r="BO53913" s="43"/>
    </row>
    <row r="53914" spans="65:67" ht="18.75" customHeight="1">
      <c r="BM53914" s="1025"/>
      <c r="BO53914" s="43"/>
    </row>
    <row r="53915" spans="65:67" ht="18.75" customHeight="1">
      <c r="BM53915" s="1025"/>
      <c r="BO53915" s="43"/>
    </row>
    <row r="53916" spans="65:67" ht="18.75" customHeight="1">
      <c r="BM53916" s="1025"/>
      <c r="BO53916" s="43"/>
    </row>
    <row r="53917" spans="65:67" ht="18.75" customHeight="1">
      <c r="BM53917" s="1025"/>
      <c r="BO53917" s="43"/>
    </row>
    <row r="53918" spans="65:67" ht="18.75" customHeight="1">
      <c r="BM53918" s="1025"/>
      <c r="BO53918" s="43"/>
    </row>
    <row r="53919" spans="65:67" ht="18.75" customHeight="1">
      <c r="BM53919" s="1025"/>
      <c r="BO53919" s="43"/>
    </row>
    <row r="53920" spans="65:67" ht="18.75" customHeight="1">
      <c r="BM53920" s="1025"/>
      <c r="BO53920" s="43"/>
    </row>
    <row r="53921" spans="65:67" ht="18.75" customHeight="1">
      <c r="BM53921" s="1025"/>
      <c r="BO53921" s="43"/>
    </row>
    <row r="53922" spans="65:67" ht="18.75" customHeight="1">
      <c r="BM53922" s="1025"/>
      <c r="BO53922" s="43"/>
    </row>
    <row r="53923" spans="65:67" ht="18.75" customHeight="1">
      <c r="BM53923" s="1025"/>
      <c r="BO53923" s="43"/>
    </row>
    <row r="53924" spans="65:67" ht="18.75" customHeight="1">
      <c r="BM53924" s="1025"/>
      <c r="BO53924" s="43"/>
    </row>
    <row r="53925" spans="65:67" ht="18.75" customHeight="1">
      <c r="BM53925" s="1025"/>
      <c r="BO53925" s="43"/>
    </row>
    <row r="53926" spans="65:67" ht="18.75" customHeight="1">
      <c r="BM53926" s="1025"/>
      <c r="BO53926" s="43"/>
    </row>
    <row r="53927" spans="65:67" ht="18.75" customHeight="1">
      <c r="BM53927" s="1025"/>
      <c r="BO53927" s="43"/>
    </row>
    <row r="53928" spans="65:67" ht="18.75" customHeight="1">
      <c r="BM53928" s="1025"/>
      <c r="BO53928" s="43"/>
    </row>
    <row r="53929" spans="65:67" ht="18.75" customHeight="1">
      <c r="BM53929" s="1025"/>
      <c r="BO53929" s="43"/>
    </row>
    <row r="53930" spans="65:67" ht="18.75" customHeight="1">
      <c r="BM53930" s="1025"/>
      <c r="BO53930" s="43"/>
    </row>
    <row r="53931" spans="65:67" ht="18.75" customHeight="1">
      <c r="BM53931" s="1025"/>
      <c r="BO53931" s="43"/>
    </row>
    <row r="53932" spans="65:67" ht="18.75" customHeight="1">
      <c r="BM53932" s="1025"/>
      <c r="BO53932" s="43"/>
    </row>
    <row r="53933" spans="65:67" ht="18.75" customHeight="1">
      <c r="BM53933" s="1025"/>
      <c r="BO53933" s="43"/>
    </row>
    <row r="53934" spans="65:67" ht="18.75" customHeight="1">
      <c r="BM53934" s="1025"/>
      <c r="BO53934" s="43"/>
    </row>
    <row r="53935" spans="65:67" ht="18.75" customHeight="1">
      <c r="BM53935" s="1025"/>
      <c r="BO53935" s="43"/>
    </row>
    <row r="53936" spans="65:67" ht="18.75" customHeight="1">
      <c r="BM53936" s="1025"/>
      <c r="BO53936" s="43"/>
    </row>
    <row r="53937" spans="65:67" ht="18.75" customHeight="1">
      <c r="BM53937" s="1025"/>
      <c r="BO53937" s="43"/>
    </row>
    <row r="53938" spans="65:67" ht="18.75" customHeight="1">
      <c r="BM53938" s="1025"/>
      <c r="BO53938" s="43"/>
    </row>
    <row r="53939" spans="65:67" ht="18.75" customHeight="1">
      <c r="BM53939" s="1025"/>
      <c r="BO53939" s="43"/>
    </row>
    <row r="53940" spans="65:67" ht="18.75" customHeight="1">
      <c r="BM53940" s="1025"/>
      <c r="BO53940" s="43"/>
    </row>
    <row r="53941" spans="65:67" ht="18.75" customHeight="1">
      <c r="BM53941" s="1025"/>
      <c r="BO53941" s="43"/>
    </row>
    <row r="53942" spans="65:67" ht="18.75" customHeight="1">
      <c r="BM53942" s="1025"/>
      <c r="BO53942" s="43"/>
    </row>
    <row r="53943" spans="65:67" ht="18.75" customHeight="1">
      <c r="BM53943" s="1025"/>
      <c r="BO53943" s="43"/>
    </row>
    <row r="53944" spans="65:67" ht="18.75" customHeight="1">
      <c r="BM53944" s="1025"/>
      <c r="BO53944" s="43"/>
    </row>
    <row r="53945" spans="65:67" ht="18.75" customHeight="1">
      <c r="BM53945" s="1025"/>
      <c r="BO53945" s="43"/>
    </row>
    <row r="53946" spans="65:67" ht="18.75" customHeight="1">
      <c r="BM53946" s="1025"/>
      <c r="BO53946" s="43"/>
    </row>
    <row r="53947" spans="65:67" ht="18.75" customHeight="1">
      <c r="BM53947" s="1025"/>
      <c r="BO53947" s="43"/>
    </row>
    <row r="53948" spans="65:67" ht="18.75" customHeight="1">
      <c r="BM53948" s="1025"/>
      <c r="BO53948" s="43"/>
    </row>
    <row r="53949" spans="65:67" ht="18.75" customHeight="1">
      <c r="BM53949" s="1025"/>
      <c r="BO53949" s="43"/>
    </row>
    <row r="53950" spans="65:67" ht="18.75" customHeight="1">
      <c r="BM53950" s="1025"/>
      <c r="BO53950" s="43"/>
    </row>
    <row r="53951" spans="65:67" ht="18.75" customHeight="1">
      <c r="BM53951" s="1025"/>
      <c r="BO53951" s="43"/>
    </row>
    <row r="53952" spans="65:67" ht="18.75" customHeight="1">
      <c r="BM53952" s="1025"/>
      <c r="BO53952" s="43"/>
    </row>
    <row r="53953" spans="65:67" ht="18.75" customHeight="1">
      <c r="BM53953" s="1025"/>
      <c r="BO53953" s="43"/>
    </row>
    <row r="53954" spans="65:67" ht="18.75" customHeight="1">
      <c r="BM53954" s="1025"/>
      <c r="BO53954" s="43"/>
    </row>
    <row r="53955" spans="65:67" ht="18.75" customHeight="1">
      <c r="BM53955" s="1025"/>
      <c r="BO53955" s="43"/>
    </row>
    <row r="53956" spans="65:67" ht="18.75" customHeight="1">
      <c r="BM53956" s="1025"/>
      <c r="BO53956" s="43"/>
    </row>
    <row r="53957" spans="65:67" ht="18.75" customHeight="1">
      <c r="BM53957" s="1025"/>
      <c r="BO53957" s="43"/>
    </row>
    <row r="53958" spans="65:67" ht="18.75" customHeight="1">
      <c r="BM53958" s="1025"/>
      <c r="BO53958" s="43"/>
    </row>
    <row r="53959" spans="65:67" ht="18.75" customHeight="1">
      <c r="BM53959" s="1025"/>
      <c r="BO53959" s="43"/>
    </row>
    <row r="53960" spans="65:67" ht="18.75" customHeight="1">
      <c r="BM53960" s="1025"/>
      <c r="BO53960" s="43"/>
    </row>
    <row r="53961" spans="65:67" ht="18.75" customHeight="1">
      <c r="BM53961" s="1025"/>
      <c r="BO53961" s="43"/>
    </row>
    <row r="53962" spans="65:67" ht="18.75" customHeight="1">
      <c r="BM53962" s="1025"/>
      <c r="BO53962" s="43"/>
    </row>
    <row r="53963" spans="65:67" ht="18.75" customHeight="1">
      <c r="BM53963" s="1025"/>
      <c r="BO53963" s="43"/>
    </row>
    <row r="53964" spans="65:67" ht="18.75" customHeight="1">
      <c r="BM53964" s="1025"/>
      <c r="BO53964" s="43"/>
    </row>
    <row r="53965" spans="65:67" ht="18.75" customHeight="1">
      <c r="BM53965" s="1025"/>
      <c r="BO53965" s="43"/>
    </row>
    <row r="53966" spans="65:67" ht="18.75" customHeight="1">
      <c r="BM53966" s="1025"/>
      <c r="BO53966" s="43"/>
    </row>
    <row r="53967" spans="65:67" ht="18.75" customHeight="1">
      <c r="BM53967" s="1025"/>
      <c r="BO53967" s="43"/>
    </row>
    <row r="53968" spans="65:67" ht="18.75" customHeight="1">
      <c r="BM53968" s="1025"/>
      <c r="BO53968" s="43"/>
    </row>
    <row r="53969" spans="65:67" ht="18.75" customHeight="1">
      <c r="BM53969" s="1025"/>
      <c r="BO53969" s="43"/>
    </row>
    <row r="53970" spans="65:67" ht="18.75" customHeight="1">
      <c r="BM53970" s="1025"/>
      <c r="BO53970" s="43"/>
    </row>
    <row r="53971" spans="65:67" ht="18.75" customHeight="1">
      <c r="BM53971" s="1025"/>
      <c r="BO53971" s="43"/>
    </row>
    <row r="53972" spans="65:67" ht="18.75" customHeight="1">
      <c r="BM53972" s="1025"/>
      <c r="BO53972" s="43"/>
    </row>
    <row r="53973" spans="65:67" ht="18.75" customHeight="1">
      <c r="BM53973" s="1025"/>
      <c r="BO53973" s="43"/>
    </row>
    <row r="53974" spans="65:67" ht="18.75" customHeight="1">
      <c r="BM53974" s="1025"/>
      <c r="BO53974" s="43"/>
    </row>
    <row r="53975" spans="65:67" ht="18.75" customHeight="1">
      <c r="BM53975" s="1025"/>
      <c r="BO53975" s="43"/>
    </row>
    <row r="53976" spans="65:67" ht="18.75" customHeight="1">
      <c r="BM53976" s="1025"/>
      <c r="BO53976" s="43"/>
    </row>
    <row r="53977" spans="65:67" ht="18.75" customHeight="1">
      <c r="BM53977" s="1025"/>
      <c r="BO53977" s="43"/>
    </row>
    <row r="53978" spans="65:67" ht="18.75" customHeight="1">
      <c r="BM53978" s="1025"/>
      <c r="BO53978" s="43"/>
    </row>
    <row r="53979" spans="65:67" ht="18.75" customHeight="1">
      <c r="BM53979" s="1025"/>
      <c r="BO53979" s="43"/>
    </row>
    <row r="53980" spans="65:67" ht="18.75" customHeight="1">
      <c r="BM53980" s="1025"/>
      <c r="BO53980" s="43"/>
    </row>
    <row r="53981" spans="65:67" ht="18.75" customHeight="1">
      <c r="BM53981" s="1025"/>
      <c r="BO53981" s="43"/>
    </row>
    <row r="53982" spans="65:67" ht="18.75" customHeight="1">
      <c r="BM53982" s="1025"/>
      <c r="BO53982" s="43"/>
    </row>
    <row r="53983" spans="65:67" ht="18.75" customHeight="1">
      <c r="BM53983" s="1025"/>
      <c r="BO53983" s="43"/>
    </row>
    <row r="53984" spans="65:67" ht="18.75" customHeight="1">
      <c r="BM53984" s="1025"/>
      <c r="BO53984" s="43"/>
    </row>
    <row r="53985" spans="65:67" ht="18.75" customHeight="1">
      <c r="BM53985" s="1025"/>
      <c r="BO53985" s="43"/>
    </row>
    <row r="53986" spans="65:67" ht="18.75" customHeight="1">
      <c r="BM53986" s="1025"/>
      <c r="BO53986" s="43"/>
    </row>
    <row r="53987" spans="65:67" ht="18.75" customHeight="1">
      <c r="BM53987" s="1025"/>
      <c r="BO53987" s="43"/>
    </row>
    <row r="53988" spans="65:67" ht="18.75" customHeight="1">
      <c r="BM53988" s="1025"/>
      <c r="BO53988" s="43"/>
    </row>
    <row r="53989" spans="65:67" ht="18.75" customHeight="1">
      <c r="BM53989" s="1025"/>
      <c r="BO53989" s="43"/>
    </row>
    <row r="53990" spans="65:67" ht="18.75" customHeight="1">
      <c r="BM53990" s="1025"/>
      <c r="BO53990" s="43"/>
    </row>
    <row r="53991" spans="65:67" ht="18.75" customHeight="1">
      <c r="BM53991" s="1025"/>
      <c r="BO53991" s="43"/>
    </row>
    <row r="53992" spans="65:67" ht="18.75" customHeight="1">
      <c r="BM53992" s="1025"/>
      <c r="BO53992" s="43"/>
    </row>
    <row r="53993" spans="65:67" ht="18.75" customHeight="1">
      <c r="BM53993" s="1025"/>
      <c r="BO53993" s="43"/>
    </row>
    <row r="53994" spans="65:67" ht="18.75" customHeight="1">
      <c r="BM53994" s="1025"/>
      <c r="BO53994" s="43"/>
    </row>
    <row r="53995" spans="65:67" ht="18.75" customHeight="1">
      <c r="BM53995" s="1025"/>
      <c r="BO53995" s="43"/>
    </row>
    <row r="53996" spans="65:67" ht="18.75" customHeight="1">
      <c r="BM53996" s="1025"/>
      <c r="BO53996" s="43"/>
    </row>
    <row r="53997" spans="65:67" ht="18.75" customHeight="1">
      <c r="BM53997" s="1025"/>
      <c r="BO53997" s="43"/>
    </row>
    <row r="53998" spans="65:67" ht="18.75" customHeight="1">
      <c r="BM53998" s="1025"/>
      <c r="BO53998" s="43"/>
    </row>
    <row r="53999" spans="65:67" ht="18.75" customHeight="1">
      <c r="BM53999" s="1025"/>
      <c r="BO53999" s="43"/>
    </row>
    <row r="54000" spans="65:67" ht="18.75" customHeight="1">
      <c r="BM54000" s="1025"/>
      <c r="BO54000" s="43"/>
    </row>
    <row r="54001" spans="65:67" ht="18.75" customHeight="1">
      <c r="BM54001" s="1025"/>
      <c r="BO54001" s="43"/>
    </row>
    <row r="54002" spans="65:67" ht="18.75" customHeight="1">
      <c r="BM54002" s="1025"/>
      <c r="BO54002" s="43"/>
    </row>
    <row r="54003" spans="65:67" ht="18.75" customHeight="1">
      <c r="BM54003" s="1025"/>
      <c r="BO54003" s="43"/>
    </row>
    <row r="54004" spans="65:67" ht="18.75" customHeight="1">
      <c r="BM54004" s="1025"/>
      <c r="BO54004" s="43"/>
    </row>
    <row r="54005" spans="65:67" ht="18.75" customHeight="1">
      <c r="BM54005" s="1025"/>
      <c r="BO54005" s="43"/>
    </row>
    <row r="54006" spans="65:67" ht="18.75" customHeight="1">
      <c r="BM54006" s="1025"/>
      <c r="BO54006" s="43"/>
    </row>
    <row r="54007" spans="65:67" ht="18.75" customHeight="1">
      <c r="BM54007" s="1025"/>
      <c r="BO54007" s="43"/>
    </row>
    <row r="54008" spans="65:67" ht="18.75" customHeight="1">
      <c r="BM54008" s="1025"/>
      <c r="BO54008" s="43"/>
    </row>
    <row r="54009" spans="65:67" ht="18.75" customHeight="1">
      <c r="BM54009" s="1025"/>
      <c r="BO54009" s="43"/>
    </row>
    <row r="54010" spans="65:67" ht="18.75" customHeight="1">
      <c r="BM54010" s="1025"/>
      <c r="BO54010" s="43"/>
    </row>
    <row r="54011" spans="65:67" ht="18.75" customHeight="1">
      <c r="BM54011" s="1025"/>
      <c r="BO54011" s="43"/>
    </row>
    <row r="54012" spans="65:67" ht="18.75" customHeight="1">
      <c r="BM54012" s="1025"/>
      <c r="BO54012" s="43"/>
    </row>
    <row r="54013" spans="65:67" ht="18.75" customHeight="1">
      <c r="BM54013" s="1025"/>
      <c r="BO54013" s="43"/>
    </row>
    <row r="54014" spans="65:67" ht="18.75" customHeight="1">
      <c r="BM54014" s="1025"/>
      <c r="BO54014" s="43"/>
    </row>
    <row r="54015" spans="65:67" ht="18.75" customHeight="1">
      <c r="BM54015" s="1025"/>
      <c r="BO54015" s="43"/>
    </row>
    <row r="54016" spans="65:67" ht="18.75" customHeight="1">
      <c r="BM54016" s="1025"/>
      <c r="BO54016" s="43"/>
    </row>
    <row r="54017" spans="65:67" ht="18.75" customHeight="1">
      <c r="BM54017" s="1025"/>
      <c r="BO54017" s="43"/>
    </row>
    <row r="54018" spans="65:67" ht="18.75" customHeight="1">
      <c r="BM54018" s="1025"/>
      <c r="BO54018" s="43"/>
    </row>
    <row r="54019" spans="65:67" ht="18.75" customHeight="1">
      <c r="BM54019" s="1025"/>
      <c r="BO54019" s="43"/>
    </row>
    <row r="54020" spans="65:67" ht="18.75" customHeight="1">
      <c r="BM54020" s="1025"/>
      <c r="BO54020" s="43"/>
    </row>
    <row r="54021" spans="65:67" ht="18.75" customHeight="1">
      <c r="BM54021" s="1025"/>
      <c r="BO54021" s="43"/>
    </row>
    <row r="54022" spans="65:67" ht="18.75" customHeight="1">
      <c r="BM54022" s="1025"/>
      <c r="BO54022" s="43"/>
    </row>
    <row r="54023" spans="65:67" ht="18.75" customHeight="1">
      <c r="BM54023" s="1025"/>
      <c r="BO54023" s="43"/>
    </row>
    <row r="54024" spans="65:67" ht="18.75" customHeight="1">
      <c r="BM54024" s="1025"/>
      <c r="BO54024" s="43"/>
    </row>
    <row r="54025" spans="65:67" ht="18.75" customHeight="1">
      <c r="BM54025" s="1025"/>
      <c r="BO54025" s="43"/>
    </row>
    <row r="54026" spans="65:67" ht="18.75" customHeight="1">
      <c r="BM54026" s="1025"/>
      <c r="BO54026" s="43"/>
    </row>
    <row r="54027" spans="65:67" ht="18.75" customHeight="1">
      <c r="BM54027" s="1025"/>
      <c r="BO54027" s="43"/>
    </row>
    <row r="54028" spans="65:67" ht="18.75" customHeight="1">
      <c r="BM54028" s="1025"/>
      <c r="BO54028" s="43"/>
    </row>
    <row r="54029" spans="65:67" ht="18.75" customHeight="1">
      <c r="BM54029" s="1025"/>
      <c r="BO54029" s="43"/>
    </row>
    <row r="54030" spans="65:67" ht="18.75" customHeight="1">
      <c r="BM54030" s="1025"/>
      <c r="BO54030" s="43"/>
    </row>
    <row r="54031" spans="65:67" ht="18.75" customHeight="1">
      <c r="BM54031" s="1025"/>
      <c r="BO54031" s="43"/>
    </row>
    <row r="54032" spans="65:67" ht="18.75" customHeight="1">
      <c r="BM54032" s="1025"/>
      <c r="BO54032" s="43"/>
    </row>
    <row r="54033" spans="65:67" ht="18.75" customHeight="1">
      <c r="BM54033" s="1025"/>
      <c r="BO54033" s="43"/>
    </row>
    <row r="54034" spans="65:67" ht="18.75" customHeight="1">
      <c r="BM54034" s="1025"/>
      <c r="BO54034" s="43"/>
    </row>
    <row r="54035" spans="65:67" ht="18.75" customHeight="1">
      <c r="BM54035" s="1025"/>
      <c r="BO54035" s="43"/>
    </row>
    <row r="54036" spans="65:67" ht="18.75" customHeight="1">
      <c r="BM54036" s="1025"/>
      <c r="BO54036" s="43"/>
    </row>
    <row r="54037" spans="65:67" ht="18.75" customHeight="1">
      <c r="BM54037" s="1025"/>
      <c r="BO54037" s="43"/>
    </row>
    <row r="54038" spans="65:67" ht="18.75" customHeight="1">
      <c r="BM54038" s="1025"/>
      <c r="BO54038" s="43"/>
    </row>
    <row r="54039" spans="65:67" ht="18.75" customHeight="1">
      <c r="BM54039" s="1025"/>
      <c r="BO54039" s="43"/>
    </row>
    <row r="54040" spans="65:67" ht="18.75" customHeight="1">
      <c r="BM54040" s="1025"/>
      <c r="BO54040" s="43"/>
    </row>
    <row r="54041" spans="65:67" ht="18.75" customHeight="1">
      <c r="BM54041" s="1025"/>
      <c r="BO54041" s="43"/>
    </row>
    <row r="54042" spans="65:67" ht="18.75" customHeight="1">
      <c r="BM54042" s="1025"/>
      <c r="BO54042" s="43"/>
    </row>
    <row r="54043" spans="65:67" ht="18.75" customHeight="1">
      <c r="BM54043" s="1025"/>
      <c r="BO54043" s="43"/>
    </row>
    <row r="54044" spans="65:67" ht="18.75" customHeight="1">
      <c r="BM54044" s="1025"/>
      <c r="BO54044" s="43"/>
    </row>
    <row r="54045" spans="65:67" ht="18.75" customHeight="1">
      <c r="BM54045" s="1025"/>
      <c r="BO54045" s="43"/>
    </row>
    <row r="54046" spans="65:67" ht="18.75" customHeight="1">
      <c r="BM54046" s="1025"/>
      <c r="BO54046" s="43"/>
    </row>
    <row r="54047" spans="65:67" ht="18.75" customHeight="1">
      <c r="BM54047" s="1025"/>
      <c r="BO54047" s="43"/>
    </row>
    <row r="54048" spans="65:67" ht="18.75" customHeight="1">
      <c r="BM54048" s="1025"/>
      <c r="BO54048" s="43"/>
    </row>
    <row r="54049" spans="65:67" ht="18.75" customHeight="1">
      <c r="BM54049" s="1025"/>
      <c r="BO54049" s="43"/>
    </row>
    <row r="54050" spans="65:67" ht="18.75" customHeight="1">
      <c r="BM54050" s="1025"/>
      <c r="BO54050" s="43"/>
    </row>
    <row r="54051" spans="65:67" ht="18.75" customHeight="1">
      <c r="BM54051" s="1025"/>
      <c r="BO54051" s="43"/>
    </row>
    <row r="54052" spans="65:67" ht="18.75" customHeight="1">
      <c r="BM54052" s="1025"/>
      <c r="BO54052" s="43"/>
    </row>
    <row r="54053" spans="65:67" ht="18.75" customHeight="1">
      <c r="BM54053" s="1025"/>
      <c r="BO54053" s="43"/>
    </row>
    <row r="54054" spans="65:67" ht="18.75" customHeight="1">
      <c r="BM54054" s="1025"/>
      <c r="BO54054" s="43"/>
    </row>
    <row r="54055" spans="65:67" ht="18.75" customHeight="1">
      <c r="BM54055" s="1025"/>
      <c r="BO54055" s="43"/>
    </row>
    <row r="54056" spans="65:67" ht="18.75" customHeight="1">
      <c r="BM54056" s="1025"/>
      <c r="BO54056" s="43"/>
    </row>
    <row r="54057" spans="65:67" ht="18.75" customHeight="1">
      <c r="BM54057" s="1025"/>
      <c r="BO54057" s="43"/>
    </row>
    <row r="54058" spans="65:67" ht="18.75" customHeight="1">
      <c r="BM54058" s="1025"/>
      <c r="BO54058" s="43"/>
    </row>
    <row r="54059" spans="65:67" ht="18.75" customHeight="1">
      <c r="BM54059" s="1025"/>
      <c r="BO54059" s="43"/>
    </row>
    <row r="54060" spans="65:67" ht="18.75" customHeight="1">
      <c r="BM54060" s="1025"/>
      <c r="BO54060" s="43"/>
    </row>
    <row r="54061" spans="65:67" ht="18.75" customHeight="1">
      <c r="BM54061" s="1025"/>
      <c r="BO54061" s="43"/>
    </row>
    <row r="54062" spans="65:67" ht="18.75" customHeight="1">
      <c r="BM54062" s="1025"/>
      <c r="BO54062" s="43"/>
    </row>
    <row r="54063" spans="65:67" ht="18.75" customHeight="1">
      <c r="BM54063" s="1025"/>
      <c r="BO54063" s="43"/>
    </row>
    <row r="54064" spans="65:67" ht="18.75" customHeight="1">
      <c r="BM54064" s="1025"/>
      <c r="BO54064" s="43"/>
    </row>
    <row r="54065" spans="65:67" ht="18.75" customHeight="1">
      <c r="BM54065" s="1025"/>
      <c r="BO54065" s="43"/>
    </row>
    <row r="54066" spans="65:67" ht="18.75" customHeight="1">
      <c r="BM54066" s="1025"/>
      <c r="BO54066" s="43"/>
    </row>
    <row r="54067" spans="65:67" ht="18.75" customHeight="1">
      <c r="BM54067" s="1025"/>
      <c r="BO54067" s="43"/>
    </row>
    <row r="54068" spans="65:67" ht="18.75" customHeight="1">
      <c r="BM54068" s="1025"/>
      <c r="BO54068" s="43"/>
    </row>
    <row r="54069" spans="65:67" ht="18.75" customHeight="1">
      <c r="BM54069" s="1025"/>
      <c r="BO54069" s="43"/>
    </row>
    <row r="54070" spans="65:67" ht="18.75" customHeight="1">
      <c r="BM54070" s="1025"/>
      <c r="BO54070" s="43"/>
    </row>
    <row r="54071" spans="65:67" ht="18.75" customHeight="1">
      <c r="BM54071" s="1025"/>
      <c r="BO54071" s="43"/>
    </row>
    <row r="54072" spans="65:67" ht="18.75" customHeight="1">
      <c r="BM54072" s="1025"/>
      <c r="BO54072" s="43"/>
    </row>
    <row r="54073" spans="65:67" ht="18.75" customHeight="1">
      <c r="BM54073" s="1025"/>
      <c r="BO54073" s="43"/>
    </row>
    <row r="54074" spans="65:67" ht="18.75" customHeight="1">
      <c r="BM54074" s="1025"/>
      <c r="BO54074" s="43"/>
    </row>
    <row r="54075" spans="65:67" ht="18.75" customHeight="1">
      <c r="BM54075" s="1025"/>
      <c r="BO54075" s="43"/>
    </row>
    <row r="54076" spans="65:67" ht="18.75" customHeight="1">
      <c r="BM54076" s="1025"/>
      <c r="BO54076" s="43"/>
    </row>
    <row r="54077" spans="65:67" ht="18.75" customHeight="1">
      <c r="BM54077" s="1025"/>
      <c r="BO54077" s="43"/>
    </row>
    <row r="54078" spans="65:67" ht="18.75" customHeight="1">
      <c r="BM54078" s="1025"/>
      <c r="BO54078" s="43"/>
    </row>
    <row r="54079" spans="65:67" ht="18.75" customHeight="1">
      <c r="BM54079" s="1025"/>
      <c r="BO54079" s="43"/>
    </row>
    <row r="54080" spans="65:67" ht="18.75" customHeight="1">
      <c r="BM54080" s="1025"/>
      <c r="BO54080" s="43"/>
    </row>
    <row r="54081" spans="65:67" ht="18.75" customHeight="1">
      <c r="BM54081" s="1025"/>
      <c r="BO54081" s="43"/>
    </row>
    <row r="54082" spans="65:67" ht="18.75" customHeight="1">
      <c r="BM54082" s="1025"/>
      <c r="BO54082" s="43"/>
    </row>
    <row r="54083" spans="65:67" ht="18.75" customHeight="1">
      <c r="BM54083" s="1025"/>
      <c r="BO54083" s="43"/>
    </row>
    <row r="54084" spans="65:67" ht="18.75" customHeight="1">
      <c r="BM54084" s="1025"/>
      <c r="BO54084" s="43"/>
    </row>
    <row r="54085" spans="65:67" ht="18.75" customHeight="1">
      <c r="BM54085" s="1025"/>
      <c r="BO54085" s="43"/>
    </row>
    <row r="54086" spans="65:67" ht="18.75" customHeight="1">
      <c r="BM54086" s="1025"/>
      <c r="BO54086" s="43"/>
    </row>
    <row r="54087" spans="65:67" ht="18.75" customHeight="1">
      <c r="BM54087" s="1025"/>
      <c r="BO54087" s="43"/>
    </row>
    <row r="54088" spans="65:67" ht="18.75" customHeight="1">
      <c r="BM54088" s="1025"/>
      <c r="BO54088" s="43"/>
    </row>
    <row r="54089" spans="65:67" ht="18.75" customHeight="1">
      <c r="BM54089" s="1025"/>
      <c r="BO54089" s="43"/>
    </row>
    <row r="54090" spans="65:67" ht="18.75" customHeight="1">
      <c r="BM54090" s="1025"/>
      <c r="BO54090" s="43"/>
    </row>
    <row r="54091" spans="65:67" ht="18.75" customHeight="1">
      <c r="BM54091" s="1025"/>
      <c r="BO54091" s="43"/>
    </row>
    <row r="54092" spans="65:67" ht="18.75" customHeight="1">
      <c r="BM54092" s="1025"/>
      <c r="BO54092" s="43"/>
    </row>
    <row r="54093" spans="65:67" ht="18.75" customHeight="1">
      <c r="BM54093" s="1025"/>
      <c r="BO54093" s="43"/>
    </row>
    <row r="54094" spans="65:67" ht="18.75" customHeight="1">
      <c r="BM54094" s="1025"/>
      <c r="BO54094" s="43"/>
    </row>
    <row r="54095" spans="65:67" ht="18.75" customHeight="1">
      <c r="BM54095" s="1025"/>
      <c r="BO54095" s="43"/>
    </row>
    <row r="54096" spans="65:67" ht="18.75" customHeight="1">
      <c r="BM54096" s="1025"/>
      <c r="BO54096" s="43"/>
    </row>
    <row r="54097" spans="65:67" ht="18.75" customHeight="1">
      <c r="BM54097" s="1025"/>
      <c r="BO54097" s="43"/>
    </row>
    <row r="54098" spans="65:67" ht="18.75" customHeight="1">
      <c r="BM54098" s="1025"/>
      <c r="BO54098" s="43"/>
    </row>
    <row r="54099" spans="65:67" ht="18.75" customHeight="1">
      <c r="BM54099" s="1025"/>
      <c r="BO54099" s="43"/>
    </row>
    <row r="54100" spans="65:67" ht="18.75" customHeight="1">
      <c r="BM54100" s="1025"/>
      <c r="BO54100" s="43"/>
    </row>
    <row r="54101" spans="65:67" ht="18.75" customHeight="1">
      <c r="BM54101" s="1025"/>
      <c r="BO54101" s="43"/>
    </row>
    <row r="54102" spans="65:67" ht="18.75" customHeight="1">
      <c r="BM54102" s="1025"/>
      <c r="BO54102" s="43"/>
    </row>
    <row r="54103" spans="65:67" ht="18.75" customHeight="1">
      <c r="BM54103" s="1025"/>
      <c r="BO54103" s="43"/>
    </row>
    <row r="54104" spans="65:67" ht="18.75" customHeight="1">
      <c r="BM54104" s="1025"/>
      <c r="BO54104" s="43"/>
    </row>
    <row r="54105" spans="65:67" ht="18.75" customHeight="1">
      <c r="BM54105" s="1025"/>
      <c r="BO54105" s="43"/>
    </row>
    <row r="54106" spans="65:67" ht="18.75" customHeight="1">
      <c r="BM54106" s="1025"/>
      <c r="BO54106" s="43"/>
    </row>
    <row r="54107" spans="65:67" ht="18.75" customHeight="1">
      <c r="BM54107" s="1025"/>
      <c r="BO54107" s="43"/>
    </row>
    <row r="54108" spans="65:67" ht="18.75" customHeight="1">
      <c r="BM54108" s="1025"/>
      <c r="BO54108" s="43"/>
    </row>
    <row r="54109" spans="65:67" ht="18.75" customHeight="1">
      <c r="BM54109" s="1025"/>
      <c r="BO54109" s="43"/>
    </row>
    <row r="54110" spans="65:67" ht="18.75" customHeight="1">
      <c r="BM54110" s="1025"/>
      <c r="BO54110" s="43"/>
    </row>
    <row r="54111" spans="65:67" ht="18.75" customHeight="1">
      <c r="BM54111" s="1025"/>
      <c r="BO54111" s="43"/>
    </row>
    <row r="54112" spans="65:67" ht="18.75" customHeight="1">
      <c r="BM54112" s="1025"/>
      <c r="BO54112" s="43"/>
    </row>
    <row r="54113" spans="65:67" ht="18.75" customHeight="1">
      <c r="BM54113" s="1025"/>
      <c r="BO54113" s="43"/>
    </row>
    <row r="54114" spans="65:67" ht="18.75" customHeight="1">
      <c r="BM54114" s="1025"/>
      <c r="BO54114" s="43"/>
    </row>
    <row r="54115" spans="65:67" ht="18.75" customHeight="1">
      <c r="BM54115" s="1025"/>
      <c r="BO54115" s="43"/>
    </row>
    <row r="54116" spans="65:67" ht="18.75" customHeight="1">
      <c r="BM54116" s="1025"/>
      <c r="BO54116" s="43"/>
    </row>
    <row r="54117" spans="65:67" ht="18.75" customHeight="1">
      <c r="BM54117" s="1025"/>
      <c r="BO54117" s="43"/>
    </row>
    <row r="54118" spans="65:67" ht="18.75" customHeight="1">
      <c r="BM54118" s="1025"/>
      <c r="BO54118" s="43"/>
    </row>
    <row r="54119" spans="65:67" ht="18.75" customHeight="1">
      <c r="BM54119" s="1025"/>
      <c r="BO54119" s="43"/>
    </row>
    <row r="54120" spans="65:67" ht="18.75" customHeight="1">
      <c r="BM54120" s="1025"/>
      <c r="BO54120" s="43"/>
    </row>
    <row r="54121" spans="65:67" ht="18.75" customHeight="1">
      <c r="BM54121" s="1025"/>
      <c r="BO54121" s="43"/>
    </row>
    <row r="54122" spans="65:67" ht="18.75" customHeight="1">
      <c r="BM54122" s="1025"/>
      <c r="BO54122" s="43"/>
    </row>
    <row r="54123" spans="65:67" ht="18.75" customHeight="1">
      <c r="BM54123" s="1025"/>
      <c r="BO54123" s="43"/>
    </row>
    <row r="54124" spans="65:67" ht="18.75" customHeight="1">
      <c r="BM54124" s="1025"/>
      <c r="BO54124" s="43"/>
    </row>
    <row r="54125" spans="65:67" ht="18.75" customHeight="1">
      <c r="BM54125" s="1025"/>
      <c r="BO54125" s="43"/>
    </row>
    <row r="54126" spans="65:67" ht="18.75" customHeight="1">
      <c r="BM54126" s="1025"/>
      <c r="BO54126" s="43"/>
    </row>
    <row r="54127" spans="65:67" ht="18.75" customHeight="1">
      <c r="BM54127" s="1025"/>
      <c r="BO54127" s="43"/>
    </row>
    <row r="54128" spans="65:67" ht="18.75" customHeight="1">
      <c r="BM54128" s="1025"/>
      <c r="BO54128" s="43"/>
    </row>
    <row r="54129" spans="65:67" ht="18.75" customHeight="1">
      <c r="BM54129" s="1025"/>
      <c r="BO54129" s="43"/>
    </row>
    <row r="54130" spans="65:67" ht="18.75" customHeight="1">
      <c r="BM54130" s="1025"/>
      <c r="BO54130" s="43"/>
    </row>
    <row r="54131" spans="65:67" ht="18.75" customHeight="1">
      <c r="BM54131" s="1025"/>
      <c r="BO54131" s="43"/>
    </row>
    <row r="54132" spans="65:67" ht="18.75" customHeight="1">
      <c r="BM54132" s="1025"/>
      <c r="BO54132" s="43"/>
    </row>
    <row r="54133" spans="65:67" ht="18.75" customHeight="1">
      <c r="BM54133" s="1025"/>
      <c r="BO54133" s="43"/>
    </row>
    <row r="54134" spans="65:67" ht="18.75" customHeight="1">
      <c r="BM54134" s="1025"/>
      <c r="BO54134" s="43"/>
    </row>
    <row r="54135" spans="65:67" ht="18.75" customHeight="1">
      <c r="BM54135" s="1025"/>
      <c r="BO54135" s="43"/>
    </row>
    <row r="54136" spans="65:67" ht="18.75" customHeight="1">
      <c r="BM54136" s="1025"/>
      <c r="BO54136" s="43"/>
    </row>
    <row r="54137" spans="65:67" ht="18.75" customHeight="1">
      <c r="BM54137" s="1025"/>
      <c r="BO54137" s="43"/>
    </row>
    <row r="54138" spans="65:67" ht="18.75" customHeight="1">
      <c r="BM54138" s="1025"/>
      <c r="BO54138" s="43"/>
    </row>
    <row r="54139" spans="65:67" ht="18.75" customHeight="1">
      <c r="BM54139" s="1025"/>
      <c r="BO54139" s="43"/>
    </row>
    <row r="54140" spans="65:67" ht="18.75" customHeight="1">
      <c r="BM54140" s="1025"/>
      <c r="BO54140" s="43"/>
    </row>
    <row r="54141" spans="65:67" ht="18.75" customHeight="1">
      <c r="BM54141" s="1025"/>
      <c r="BO54141" s="43"/>
    </row>
    <row r="54142" spans="65:67" ht="18.75" customHeight="1">
      <c r="BM54142" s="1025"/>
      <c r="BO54142" s="43"/>
    </row>
    <row r="54143" spans="65:67" ht="18.75" customHeight="1">
      <c r="BM54143" s="1025"/>
      <c r="BO54143" s="43"/>
    </row>
    <row r="54144" spans="65:67" ht="18.75" customHeight="1">
      <c r="BM54144" s="1025"/>
      <c r="BO54144" s="43"/>
    </row>
    <row r="54145" spans="65:67" ht="18.75" customHeight="1">
      <c r="BM54145" s="1025"/>
      <c r="BO54145" s="43"/>
    </row>
    <row r="54146" spans="65:67" ht="18.75" customHeight="1">
      <c r="BM54146" s="1025"/>
      <c r="BO54146" s="43"/>
    </row>
    <row r="54147" spans="65:67" ht="18.75" customHeight="1">
      <c r="BM54147" s="1025"/>
      <c r="BO54147" s="43"/>
    </row>
    <row r="54148" spans="65:67" ht="18.75" customHeight="1">
      <c r="BM54148" s="1025"/>
      <c r="BO54148" s="43"/>
    </row>
    <row r="54149" spans="65:67" ht="18.75" customHeight="1">
      <c r="BM54149" s="1025"/>
      <c r="BO54149" s="43"/>
    </row>
    <row r="54150" spans="65:67" ht="18.75" customHeight="1">
      <c r="BM54150" s="1025"/>
      <c r="BO54150" s="43"/>
    </row>
    <row r="54151" spans="65:67" ht="18.75" customHeight="1">
      <c r="BM54151" s="1025"/>
      <c r="BO54151" s="43"/>
    </row>
    <row r="54152" spans="65:67" ht="18.75" customHeight="1">
      <c r="BM54152" s="1025"/>
      <c r="BO54152" s="43"/>
    </row>
    <row r="54153" spans="65:67" ht="18.75" customHeight="1">
      <c r="BM54153" s="1025"/>
      <c r="BO54153" s="43"/>
    </row>
    <row r="54154" spans="65:67" ht="18.75" customHeight="1">
      <c r="BM54154" s="1025"/>
      <c r="BO54154" s="43"/>
    </row>
    <row r="54155" spans="65:67" ht="18.75" customHeight="1">
      <c r="BM54155" s="1025"/>
      <c r="BO54155" s="43"/>
    </row>
    <row r="54156" spans="65:67" ht="18.75" customHeight="1">
      <c r="BM54156" s="1025"/>
      <c r="BO54156" s="43"/>
    </row>
    <row r="54157" spans="65:67" ht="18.75" customHeight="1">
      <c r="BM54157" s="1025"/>
      <c r="BO54157" s="43"/>
    </row>
    <row r="54158" spans="65:67" ht="18.75" customHeight="1">
      <c r="BM54158" s="1025"/>
      <c r="BO54158" s="43"/>
    </row>
    <row r="54159" spans="65:67" ht="18.75" customHeight="1">
      <c r="BM54159" s="1025"/>
      <c r="BO54159" s="43"/>
    </row>
    <row r="54160" spans="65:67" ht="18.75" customHeight="1">
      <c r="BM54160" s="1025"/>
      <c r="BO54160" s="43"/>
    </row>
    <row r="54161" spans="65:67" ht="18.75" customHeight="1">
      <c r="BM54161" s="1025"/>
      <c r="BO54161" s="43"/>
    </row>
    <row r="54162" spans="65:67" ht="18.75" customHeight="1">
      <c r="BM54162" s="1025"/>
      <c r="BO54162" s="43"/>
    </row>
    <row r="54163" spans="65:67" ht="18.75" customHeight="1">
      <c r="BM54163" s="1025"/>
      <c r="BO54163" s="43"/>
    </row>
    <row r="54164" spans="65:67" ht="18.75" customHeight="1">
      <c r="BM54164" s="1025"/>
      <c r="BO54164" s="43"/>
    </row>
    <row r="54165" spans="65:67" ht="18.75" customHeight="1">
      <c r="BM54165" s="1025"/>
      <c r="BO54165" s="43"/>
    </row>
    <row r="54166" spans="65:67" ht="18.75" customHeight="1">
      <c r="BM54166" s="1025"/>
      <c r="BO54166" s="43"/>
    </row>
    <row r="54167" spans="65:67" ht="18.75" customHeight="1">
      <c r="BM54167" s="1025"/>
      <c r="BO54167" s="43"/>
    </row>
    <row r="54168" spans="65:67" ht="18.75" customHeight="1">
      <c r="BM54168" s="1025"/>
      <c r="BO54168" s="43"/>
    </row>
    <row r="54169" spans="65:67" ht="18.75" customHeight="1">
      <c r="BM54169" s="1025"/>
      <c r="BO54169" s="43"/>
    </row>
    <row r="54170" spans="65:67" ht="18.75" customHeight="1">
      <c r="BM54170" s="1025"/>
      <c r="BO54170" s="43"/>
    </row>
    <row r="54171" spans="65:67" ht="18.75" customHeight="1">
      <c r="BM54171" s="1025"/>
      <c r="BO54171" s="43"/>
    </row>
    <row r="54172" spans="65:67" ht="18.75" customHeight="1">
      <c r="BM54172" s="1025"/>
      <c r="BO54172" s="43"/>
    </row>
    <row r="54173" spans="65:67" ht="18.75" customHeight="1">
      <c r="BM54173" s="1025"/>
      <c r="BO54173" s="43"/>
    </row>
    <row r="54174" spans="65:67" ht="18.75" customHeight="1">
      <c r="BM54174" s="1025"/>
      <c r="BO54174" s="43"/>
    </row>
    <row r="54175" spans="65:67" ht="18.75" customHeight="1">
      <c r="BM54175" s="1025"/>
      <c r="BO54175" s="43"/>
    </row>
    <row r="54176" spans="65:67" ht="18.75" customHeight="1">
      <c r="BM54176" s="1025"/>
      <c r="BO54176" s="43"/>
    </row>
    <row r="54177" spans="65:67" ht="18.75" customHeight="1">
      <c r="BM54177" s="1025"/>
      <c r="BO54177" s="43"/>
    </row>
    <row r="54178" spans="65:67" ht="18.75" customHeight="1">
      <c r="BM54178" s="1025"/>
      <c r="BO54178" s="43"/>
    </row>
    <row r="54179" spans="65:67" ht="18.75" customHeight="1">
      <c r="BM54179" s="1025"/>
      <c r="BO54179" s="43"/>
    </row>
    <row r="54180" spans="65:67" ht="18.75" customHeight="1">
      <c r="BM54180" s="1025"/>
      <c r="BO54180" s="43"/>
    </row>
    <row r="54181" spans="65:67" ht="18.75" customHeight="1">
      <c r="BM54181" s="1025"/>
      <c r="BO54181" s="43"/>
    </row>
    <row r="54182" spans="65:67" ht="18.75" customHeight="1">
      <c r="BM54182" s="1025"/>
      <c r="BO54182" s="43"/>
    </row>
    <row r="54183" spans="65:67" ht="18.75" customHeight="1">
      <c r="BM54183" s="1025"/>
      <c r="BO54183" s="43"/>
    </row>
    <row r="54184" spans="65:67" ht="18.75" customHeight="1">
      <c r="BM54184" s="1025"/>
      <c r="BO54184" s="43"/>
    </row>
    <row r="54185" spans="65:67" ht="18.75" customHeight="1">
      <c r="BM54185" s="1025"/>
      <c r="BO54185" s="43"/>
    </row>
    <row r="54186" spans="65:67" ht="18.75" customHeight="1">
      <c r="BM54186" s="1025"/>
      <c r="BO54186" s="43"/>
    </row>
    <row r="54187" spans="65:67" ht="18.75" customHeight="1">
      <c r="BM54187" s="1025"/>
      <c r="BO54187" s="43"/>
    </row>
    <row r="54188" spans="65:67" ht="18.75" customHeight="1">
      <c r="BM54188" s="1025"/>
      <c r="BO54188" s="43"/>
    </row>
    <row r="54189" spans="65:67" ht="18.75" customHeight="1">
      <c r="BM54189" s="1025"/>
      <c r="BO54189" s="43"/>
    </row>
    <row r="54190" spans="65:67" ht="18.75" customHeight="1">
      <c r="BM54190" s="1025"/>
      <c r="BO54190" s="43"/>
    </row>
    <row r="54191" spans="65:67" ht="18.75" customHeight="1">
      <c r="BM54191" s="1025"/>
      <c r="BO54191" s="43"/>
    </row>
    <row r="54192" spans="65:67" ht="18.75" customHeight="1">
      <c r="BM54192" s="1025"/>
      <c r="BO54192" s="43"/>
    </row>
    <row r="54193" spans="65:67" ht="18.75" customHeight="1">
      <c r="BM54193" s="1025"/>
      <c r="BO54193" s="43"/>
    </row>
    <row r="54194" spans="65:67" ht="18.75" customHeight="1">
      <c r="BM54194" s="1025"/>
      <c r="BO54194" s="43"/>
    </row>
    <row r="54195" spans="65:67" ht="18.75" customHeight="1">
      <c r="BM54195" s="1025"/>
      <c r="BO54195" s="43"/>
    </row>
    <row r="54196" spans="65:67" ht="18.75" customHeight="1">
      <c r="BM54196" s="1025"/>
      <c r="BO54196" s="43"/>
    </row>
    <row r="54197" spans="65:67" ht="18.75" customHeight="1">
      <c r="BM54197" s="1025"/>
      <c r="BO54197" s="43"/>
    </row>
    <row r="54198" spans="65:67" ht="18.75" customHeight="1">
      <c r="BM54198" s="1025"/>
      <c r="BO54198" s="43"/>
    </row>
    <row r="54199" spans="65:67" ht="18.75" customHeight="1">
      <c r="BM54199" s="1025"/>
      <c r="BO54199" s="43"/>
    </row>
    <row r="54200" spans="65:67" ht="18.75" customHeight="1">
      <c r="BM54200" s="1025"/>
      <c r="BO54200" s="43"/>
    </row>
    <row r="54201" spans="65:67" ht="18.75" customHeight="1">
      <c r="BM54201" s="1025"/>
      <c r="BO54201" s="43"/>
    </row>
    <row r="54202" spans="65:67" ht="18.75" customHeight="1">
      <c r="BM54202" s="1025"/>
      <c r="BO54202" s="43"/>
    </row>
    <row r="54203" spans="65:67" ht="18.75" customHeight="1">
      <c r="BM54203" s="1025"/>
      <c r="BO54203" s="43"/>
    </row>
    <row r="54204" spans="65:67" ht="18.75" customHeight="1">
      <c r="BM54204" s="1025"/>
      <c r="BO54204" s="43"/>
    </row>
    <row r="54205" spans="65:67" ht="18.75" customHeight="1">
      <c r="BM54205" s="1025"/>
      <c r="BO54205" s="43"/>
    </row>
    <row r="54206" spans="65:67" ht="18.75" customHeight="1">
      <c r="BM54206" s="1025"/>
      <c r="BO54206" s="43"/>
    </row>
    <row r="54207" spans="65:67" ht="18.75" customHeight="1">
      <c r="BM54207" s="1025"/>
      <c r="BO54207" s="43"/>
    </row>
    <row r="54208" spans="65:67" ht="18.75" customHeight="1">
      <c r="BM54208" s="1025"/>
      <c r="BO54208" s="43"/>
    </row>
    <row r="54209" spans="65:67" ht="18.75" customHeight="1">
      <c r="BM54209" s="1025"/>
      <c r="BO54209" s="43"/>
    </row>
    <row r="54210" spans="65:67" ht="18.75" customHeight="1">
      <c r="BM54210" s="1025"/>
      <c r="BO54210" s="43"/>
    </row>
    <row r="54211" spans="65:67" ht="18.75" customHeight="1">
      <c r="BM54211" s="1025"/>
      <c r="BO54211" s="43"/>
    </row>
    <row r="54212" spans="65:67" ht="18.75" customHeight="1">
      <c r="BM54212" s="1025"/>
      <c r="BO54212" s="43"/>
    </row>
    <row r="54213" spans="65:67" ht="18.75" customHeight="1">
      <c r="BM54213" s="1025"/>
      <c r="BO54213" s="43"/>
    </row>
    <row r="54214" spans="65:67" ht="18.75" customHeight="1">
      <c r="BM54214" s="1025"/>
      <c r="BO54214" s="43"/>
    </row>
    <row r="54215" spans="65:67" ht="18.75" customHeight="1">
      <c r="BM54215" s="1025"/>
      <c r="BO54215" s="43"/>
    </row>
    <row r="54216" spans="65:67" ht="18.75" customHeight="1">
      <c r="BM54216" s="1025"/>
      <c r="BO54216" s="43"/>
    </row>
    <row r="54217" spans="65:67" ht="18.75" customHeight="1">
      <c r="BM54217" s="1025"/>
      <c r="BO54217" s="43"/>
    </row>
    <row r="54218" spans="65:67" ht="18.75" customHeight="1">
      <c r="BM54218" s="1025"/>
      <c r="BO54218" s="43"/>
    </row>
    <row r="54219" spans="65:67" ht="18.75" customHeight="1">
      <c r="BM54219" s="1025"/>
      <c r="BO54219" s="43"/>
    </row>
    <row r="54220" spans="65:67" ht="18.75" customHeight="1">
      <c r="BM54220" s="1025"/>
      <c r="BO54220" s="43"/>
    </row>
    <row r="54221" spans="65:67" ht="18.75" customHeight="1">
      <c r="BM54221" s="1025"/>
      <c r="BO54221" s="43"/>
    </row>
    <row r="54222" spans="65:67" ht="18.75" customHeight="1">
      <c r="BM54222" s="1025"/>
      <c r="BO54222" s="43"/>
    </row>
    <row r="54223" spans="65:67" ht="18.75" customHeight="1">
      <c r="BM54223" s="1025"/>
      <c r="BO54223" s="43"/>
    </row>
    <row r="54224" spans="65:67" ht="18.75" customHeight="1">
      <c r="BM54224" s="1025"/>
      <c r="BO54224" s="43"/>
    </row>
    <row r="54225" spans="65:67" ht="18.75" customHeight="1">
      <c r="BM54225" s="1025"/>
      <c r="BO54225" s="43"/>
    </row>
    <row r="54226" spans="65:67" ht="18.75" customHeight="1">
      <c r="BM54226" s="1025"/>
      <c r="BO54226" s="43"/>
    </row>
    <row r="54227" spans="65:67" ht="18.75" customHeight="1">
      <c r="BM54227" s="1025"/>
      <c r="BO54227" s="43"/>
    </row>
    <row r="54228" spans="65:67" ht="18.75" customHeight="1">
      <c r="BM54228" s="1025"/>
      <c r="BO54228" s="43"/>
    </row>
    <row r="54229" spans="65:67" ht="18.75" customHeight="1">
      <c r="BM54229" s="1025"/>
      <c r="BO54229" s="43"/>
    </row>
    <row r="54230" spans="65:67" ht="18.75" customHeight="1">
      <c r="BM54230" s="1025"/>
      <c r="BO54230" s="43"/>
    </row>
    <row r="54231" spans="65:67" ht="18.75" customHeight="1">
      <c r="BM54231" s="1025"/>
      <c r="BO54231" s="43"/>
    </row>
    <row r="54232" spans="65:67" ht="18.75" customHeight="1">
      <c r="BM54232" s="1025"/>
      <c r="BO54232" s="43"/>
    </row>
    <row r="54233" spans="65:67" ht="18.75" customHeight="1">
      <c r="BM54233" s="1025"/>
      <c r="BO54233" s="43"/>
    </row>
    <row r="54234" spans="65:67" ht="18.75" customHeight="1">
      <c r="BM54234" s="1025"/>
      <c r="BO54234" s="43"/>
    </row>
    <row r="54235" spans="65:67" ht="18.75" customHeight="1">
      <c r="BM54235" s="1025"/>
      <c r="BO54235" s="43"/>
    </row>
    <row r="54236" spans="65:67" ht="18.75" customHeight="1">
      <c r="BM54236" s="1025"/>
      <c r="BO54236" s="43"/>
    </row>
    <row r="54237" spans="65:67" ht="18.75" customHeight="1">
      <c r="BM54237" s="1025"/>
      <c r="BO54237" s="43"/>
    </row>
    <row r="54238" spans="65:67" ht="18.75" customHeight="1">
      <c r="BM54238" s="1025"/>
      <c r="BO54238" s="43"/>
    </row>
    <row r="54239" spans="65:67" ht="18.75" customHeight="1">
      <c r="BM54239" s="1025"/>
      <c r="BO54239" s="43"/>
    </row>
    <row r="54240" spans="65:67" ht="18.75" customHeight="1">
      <c r="BM54240" s="1025"/>
      <c r="BO54240" s="43"/>
    </row>
    <row r="54241" spans="65:67" ht="18.75" customHeight="1">
      <c r="BM54241" s="1025"/>
      <c r="BO54241" s="43"/>
    </row>
    <row r="54242" spans="65:67" ht="18.75" customHeight="1">
      <c r="BM54242" s="1025"/>
      <c r="BO54242" s="43"/>
    </row>
    <row r="54243" spans="65:67" ht="18.75" customHeight="1">
      <c r="BM54243" s="1025"/>
      <c r="BO54243" s="43"/>
    </row>
    <row r="54244" spans="65:67" ht="18.75" customHeight="1">
      <c r="BM54244" s="1025"/>
      <c r="BO54244" s="43"/>
    </row>
    <row r="54245" spans="65:67" ht="18.75" customHeight="1">
      <c r="BM54245" s="1025"/>
      <c r="BO54245" s="43"/>
    </row>
    <row r="54246" spans="65:67" ht="18.75" customHeight="1">
      <c r="BM54246" s="1025"/>
      <c r="BO54246" s="43"/>
    </row>
    <row r="54247" spans="65:67" ht="18.75" customHeight="1">
      <c r="BM54247" s="1025"/>
      <c r="BO54247" s="43"/>
    </row>
    <row r="54248" spans="65:67" ht="18.75" customHeight="1">
      <c r="BM54248" s="1025"/>
      <c r="BO54248" s="43"/>
    </row>
    <row r="54249" spans="65:67" ht="18.75" customHeight="1">
      <c r="BM54249" s="1025"/>
      <c r="BO54249" s="43"/>
    </row>
    <row r="54250" spans="65:67" ht="18.75" customHeight="1">
      <c r="BM54250" s="1025"/>
      <c r="BO54250" s="43"/>
    </row>
    <row r="54251" spans="65:67" ht="18.75" customHeight="1">
      <c r="BM54251" s="1025"/>
      <c r="BO54251" s="43"/>
    </row>
    <row r="54252" spans="65:67" ht="18.75" customHeight="1">
      <c r="BM54252" s="1025"/>
      <c r="BO54252" s="43"/>
    </row>
    <row r="54253" spans="65:67" ht="18.75" customHeight="1">
      <c r="BM54253" s="1025"/>
      <c r="BO54253" s="43"/>
    </row>
    <row r="54254" spans="65:67" ht="18.75" customHeight="1">
      <c r="BM54254" s="1025"/>
      <c r="BO54254" s="43"/>
    </row>
    <row r="54255" spans="65:67" ht="18.75" customHeight="1">
      <c r="BM54255" s="1025"/>
      <c r="BO54255" s="43"/>
    </row>
    <row r="54256" spans="65:67" ht="18.75" customHeight="1">
      <c r="BM54256" s="1025"/>
      <c r="BO54256" s="43"/>
    </row>
    <row r="54257" spans="65:67" ht="18.75" customHeight="1">
      <c r="BM54257" s="1025"/>
      <c r="BO54257" s="43"/>
    </row>
    <row r="54258" spans="65:67" ht="18.75" customHeight="1">
      <c r="BM54258" s="1025"/>
      <c r="BO54258" s="43"/>
    </row>
    <row r="54259" spans="65:67" ht="18.75" customHeight="1">
      <c r="BM54259" s="1025"/>
      <c r="BO54259" s="43"/>
    </row>
    <row r="54260" spans="65:67" ht="18.75" customHeight="1">
      <c r="BM54260" s="1025"/>
      <c r="BO54260" s="43"/>
    </row>
    <row r="54261" spans="65:67" ht="18.75" customHeight="1">
      <c r="BM54261" s="1025"/>
      <c r="BO54261" s="43"/>
    </row>
    <row r="54262" spans="65:67" ht="18.75" customHeight="1">
      <c r="BM54262" s="1025"/>
      <c r="BO54262" s="43"/>
    </row>
    <row r="54263" spans="65:67" ht="18.75" customHeight="1">
      <c r="BM54263" s="1025"/>
      <c r="BO54263" s="43"/>
    </row>
    <row r="54264" spans="65:67" ht="18.75" customHeight="1">
      <c r="BM54264" s="1025"/>
      <c r="BO54264" s="43"/>
    </row>
    <row r="54265" spans="65:67" ht="18.75" customHeight="1">
      <c r="BM54265" s="1025"/>
      <c r="BO54265" s="43"/>
    </row>
    <row r="54266" spans="65:67" ht="18.75" customHeight="1">
      <c r="BM54266" s="1025"/>
      <c r="BO54266" s="43"/>
    </row>
    <row r="54267" spans="65:67" ht="18.75" customHeight="1">
      <c r="BM54267" s="1025"/>
      <c r="BO54267" s="43"/>
    </row>
    <row r="54268" spans="65:67" ht="18.75" customHeight="1">
      <c r="BM54268" s="1025"/>
      <c r="BO54268" s="43"/>
    </row>
    <row r="54269" spans="65:67" ht="18.75" customHeight="1">
      <c r="BM54269" s="1025"/>
      <c r="BO54269" s="43"/>
    </row>
    <row r="54270" spans="65:67" ht="18.75" customHeight="1">
      <c r="BM54270" s="1025"/>
      <c r="BO54270" s="43"/>
    </row>
    <row r="54271" spans="65:67" ht="18.75" customHeight="1">
      <c r="BM54271" s="1025"/>
      <c r="BO54271" s="43"/>
    </row>
    <row r="54272" spans="65:67" ht="18.75" customHeight="1">
      <c r="BM54272" s="1025"/>
      <c r="BO54272" s="43"/>
    </row>
    <row r="54273" spans="65:67" ht="18.75" customHeight="1">
      <c r="BM54273" s="1025"/>
      <c r="BO54273" s="43"/>
    </row>
    <row r="54274" spans="65:67" ht="18.75" customHeight="1">
      <c r="BM54274" s="1025"/>
      <c r="BO54274" s="43"/>
    </row>
    <row r="54275" spans="65:67" ht="18.75" customHeight="1">
      <c r="BM54275" s="1025"/>
      <c r="BO54275" s="43"/>
    </row>
    <row r="54276" spans="65:67" ht="18.75" customHeight="1">
      <c r="BM54276" s="1025"/>
      <c r="BO54276" s="43"/>
    </row>
    <row r="54277" spans="65:67" ht="18.75" customHeight="1">
      <c r="BM54277" s="1025"/>
      <c r="BO54277" s="43"/>
    </row>
    <row r="54278" spans="65:67" ht="18.75" customHeight="1">
      <c r="BM54278" s="1025"/>
      <c r="BO54278" s="43"/>
    </row>
    <row r="54279" spans="65:67" ht="18.75" customHeight="1">
      <c r="BM54279" s="1025"/>
      <c r="BO54279" s="43"/>
    </row>
    <row r="54280" spans="65:67" ht="18.75" customHeight="1">
      <c r="BM54280" s="1025"/>
      <c r="BO54280" s="43"/>
    </row>
    <row r="54281" spans="65:67" ht="18.75" customHeight="1">
      <c r="BM54281" s="1025"/>
      <c r="BO54281" s="43"/>
    </row>
    <row r="54282" spans="65:67" ht="18.75" customHeight="1">
      <c r="BM54282" s="1025"/>
      <c r="BO54282" s="43"/>
    </row>
    <row r="54283" spans="65:67" ht="18.75" customHeight="1">
      <c r="BM54283" s="1025"/>
      <c r="BO54283" s="43"/>
    </row>
    <row r="54284" spans="65:67" ht="18.75" customHeight="1">
      <c r="BM54284" s="1025"/>
      <c r="BO54284" s="43"/>
    </row>
    <row r="54285" spans="65:67" ht="18.75" customHeight="1">
      <c r="BM54285" s="1025"/>
      <c r="BO54285" s="43"/>
    </row>
    <row r="54286" spans="65:67" ht="18.75" customHeight="1">
      <c r="BM54286" s="1025"/>
      <c r="BO54286" s="43"/>
    </row>
    <row r="54287" spans="65:67" ht="18.75" customHeight="1">
      <c r="BM54287" s="1025"/>
      <c r="BO54287" s="43"/>
    </row>
    <row r="54288" spans="65:67" ht="18.75" customHeight="1">
      <c r="BM54288" s="1025"/>
      <c r="BO54288" s="43"/>
    </row>
    <row r="54289" spans="65:67" ht="18.75" customHeight="1">
      <c r="BM54289" s="1025"/>
      <c r="BO54289" s="43"/>
    </row>
    <row r="54290" spans="65:67" ht="18.75" customHeight="1">
      <c r="BM54290" s="1025"/>
      <c r="BO54290" s="43"/>
    </row>
    <row r="54291" spans="65:67" ht="18.75" customHeight="1">
      <c r="BM54291" s="1025"/>
      <c r="BO54291" s="43"/>
    </row>
    <row r="54292" spans="65:67" ht="18.75" customHeight="1">
      <c r="BM54292" s="1025"/>
      <c r="BO54292" s="43"/>
    </row>
    <row r="54293" spans="65:67" ht="18.75" customHeight="1">
      <c r="BM54293" s="1025"/>
      <c r="BO54293" s="43"/>
    </row>
    <row r="54294" spans="65:67" ht="18.75" customHeight="1">
      <c r="BM54294" s="1025"/>
      <c r="BO54294" s="43"/>
    </row>
    <row r="54295" spans="65:67" ht="18.75" customHeight="1">
      <c r="BM54295" s="1025"/>
      <c r="BO54295" s="43"/>
    </row>
    <row r="54296" spans="65:67" ht="18.75" customHeight="1">
      <c r="BM54296" s="1025"/>
      <c r="BO54296" s="43"/>
    </row>
    <row r="54297" spans="65:67" ht="18.75" customHeight="1">
      <c r="BM54297" s="1025"/>
      <c r="BO54297" s="43"/>
    </row>
    <row r="54298" spans="65:67" ht="18.75" customHeight="1">
      <c r="BM54298" s="1025"/>
      <c r="BO54298" s="43"/>
    </row>
    <row r="54299" spans="65:67" ht="18.75" customHeight="1">
      <c r="BM54299" s="1025"/>
      <c r="BO54299" s="43"/>
    </row>
    <row r="54300" spans="65:67" ht="18.75" customHeight="1">
      <c r="BM54300" s="1025"/>
      <c r="BO54300" s="43"/>
    </row>
    <row r="54301" spans="65:67" ht="18.75" customHeight="1">
      <c r="BM54301" s="1025"/>
      <c r="BO54301" s="43"/>
    </row>
    <row r="54302" spans="65:67" ht="18.75" customHeight="1">
      <c r="BM54302" s="1025"/>
      <c r="BO54302" s="43"/>
    </row>
    <row r="54303" spans="65:67" ht="18.75" customHeight="1">
      <c r="BM54303" s="1025"/>
      <c r="BO54303" s="43"/>
    </row>
    <row r="54304" spans="65:67" ht="18.75" customHeight="1">
      <c r="BM54304" s="1025"/>
      <c r="BO54304" s="43"/>
    </row>
    <row r="54305" spans="65:67" ht="18.75" customHeight="1">
      <c r="BM54305" s="1025"/>
      <c r="BO54305" s="43"/>
    </row>
    <row r="54306" spans="65:67" ht="18.75" customHeight="1">
      <c r="BM54306" s="1025"/>
      <c r="BO54306" s="43"/>
    </row>
    <row r="54307" spans="65:67" ht="18.75" customHeight="1">
      <c r="BM54307" s="1025"/>
      <c r="BO54307" s="43"/>
    </row>
    <row r="54308" spans="65:67" ht="18.75" customHeight="1">
      <c r="BM54308" s="1025"/>
      <c r="BO54308" s="43"/>
    </row>
    <row r="54309" spans="65:67" ht="18.75" customHeight="1">
      <c r="BM54309" s="1025"/>
      <c r="BO54309" s="43"/>
    </row>
    <row r="54310" spans="65:67" ht="18.75" customHeight="1">
      <c r="BM54310" s="1025"/>
      <c r="BO54310" s="43"/>
    </row>
    <row r="54311" spans="65:67" ht="18.75" customHeight="1">
      <c r="BM54311" s="1025"/>
      <c r="BO54311" s="43"/>
    </row>
    <row r="54312" spans="65:67" ht="18.75" customHeight="1">
      <c r="BM54312" s="1025"/>
      <c r="BO54312" s="43"/>
    </row>
    <row r="54313" spans="65:67" ht="18.75" customHeight="1">
      <c r="BM54313" s="1025"/>
      <c r="BO54313" s="43"/>
    </row>
    <row r="54314" spans="65:67" ht="18.75" customHeight="1">
      <c r="BM54314" s="1025"/>
      <c r="BO54314" s="43"/>
    </row>
    <row r="54315" spans="65:67" ht="18.75" customHeight="1">
      <c r="BM54315" s="1025"/>
      <c r="BO54315" s="43"/>
    </row>
    <row r="54316" spans="65:67" ht="18.75" customHeight="1">
      <c r="BM54316" s="1025"/>
      <c r="BO54316" s="43"/>
    </row>
    <row r="54317" spans="65:67" ht="18.75" customHeight="1">
      <c r="BM54317" s="1025"/>
      <c r="BO54317" s="43"/>
    </row>
    <row r="54318" spans="65:67" ht="18.75" customHeight="1">
      <c r="BM54318" s="1025"/>
      <c r="BO54318" s="43"/>
    </row>
    <row r="54319" spans="65:67" ht="18.75" customHeight="1">
      <c r="BM54319" s="1025"/>
      <c r="BO54319" s="43"/>
    </row>
    <row r="54320" spans="65:67" ht="18.75" customHeight="1">
      <c r="BM54320" s="1025"/>
      <c r="BO54320" s="43"/>
    </row>
    <row r="54321" spans="65:67" ht="18.75" customHeight="1">
      <c r="BM54321" s="1025"/>
      <c r="BO54321" s="43"/>
    </row>
    <row r="54322" spans="65:67" ht="18.75" customHeight="1">
      <c r="BM54322" s="1025"/>
      <c r="BO54322" s="43"/>
    </row>
    <row r="54323" spans="65:67" ht="18.75" customHeight="1">
      <c r="BM54323" s="1025"/>
      <c r="BO54323" s="43"/>
    </row>
    <row r="54324" spans="65:67" ht="18.75" customHeight="1">
      <c r="BM54324" s="1025"/>
      <c r="BO54324" s="43"/>
    </row>
    <row r="54325" spans="65:67" ht="18.75" customHeight="1">
      <c r="BM54325" s="1025"/>
      <c r="BO54325" s="43"/>
    </row>
    <row r="54326" spans="65:67" ht="18.75" customHeight="1">
      <c r="BM54326" s="1025"/>
      <c r="BO54326" s="43"/>
    </row>
    <row r="54327" spans="65:67" ht="18.75" customHeight="1">
      <c r="BM54327" s="1025"/>
      <c r="BO54327" s="43"/>
    </row>
    <row r="54328" spans="65:67" ht="18.75" customHeight="1">
      <c r="BM54328" s="1025"/>
      <c r="BO54328" s="43"/>
    </row>
    <row r="54329" spans="65:67" ht="18.75" customHeight="1">
      <c r="BM54329" s="1025"/>
      <c r="BO54329" s="43"/>
    </row>
    <row r="54330" spans="65:67" ht="18.75" customHeight="1">
      <c r="BM54330" s="1025"/>
      <c r="BO54330" s="43"/>
    </row>
    <row r="54331" spans="65:67" ht="18.75" customHeight="1">
      <c r="BM54331" s="1025"/>
      <c r="BO54331" s="43"/>
    </row>
    <row r="54332" spans="65:67" ht="18.75" customHeight="1">
      <c r="BM54332" s="1025"/>
      <c r="BO54332" s="43"/>
    </row>
    <row r="54333" spans="65:67" ht="18.75" customHeight="1">
      <c r="BM54333" s="1025"/>
      <c r="BO54333" s="43"/>
    </row>
    <row r="54334" spans="65:67" ht="18.75" customHeight="1">
      <c r="BM54334" s="1025"/>
      <c r="BO54334" s="43"/>
    </row>
    <row r="54335" spans="65:67" ht="18.75" customHeight="1">
      <c r="BM54335" s="1025"/>
      <c r="BO54335" s="43"/>
    </row>
    <row r="54336" spans="65:67" ht="18.75" customHeight="1">
      <c r="BM54336" s="1025"/>
      <c r="BO54336" s="43"/>
    </row>
    <row r="54337" spans="65:67" ht="18.75" customHeight="1">
      <c r="BM54337" s="1025"/>
      <c r="BO54337" s="43"/>
    </row>
    <row r="54338" spans="65:67" ht="18.75" customHeight="1">
      <c r="BM54338" s="1025"/>
      <c r="BO54338" s="43"/>
    </row>
    <row r="54339" spans="65:67" ht="18.75" customHeight="1">
      <c r="BM54339" s="1025"/>
      <c r="BO54339" s="43"/>
    </row>
    <row r="54340" spans="65:67" ht="18.75" customHeight="1">
      <c r="BM54340" s="1025"/>
      <c r="BO54340" s="43"/>
    </row>
    <row r="54341" spans="65:67" ht="18.75" customHeight="1">
      <c r="BM54341" s="1025"/>
      <c r="BO54341" s="43"/>
    </row>
    <row r="54342" spans="65:67" ht="18.75" customHeight="1">
      <c r="BM54342" s="1025"/>
      <c r="BO54342" s="43"/>
    </row>
    <row r="54343" spans="65:67" ht="18.75" customHeight="1">
      <c r="BM54343" s="1025"/>
      <c r="BO54343" s="43"/>
    </row>
    <row r="54344" spans="65:67" ht="18.75" customHeight="1">
      <c r="BM54344" s="1025"/>
      <c r="BO54344" s="43"/>
    </row>
    <row r="54345" spans="65:67" ht="18.75" customHeight="1">
      <c r="BM54345" s="1025"/>
      <c r="BO54345" s="43"/>
    </row>
    <row r="54346" spans="65:67" ht="18.75" customHeight="1">
      <c r="BM54346" s="1025"/>
      <c r="BO54346" s="43"/>
    </row>
    <row r="54347" spans="65:67" ht="18.75" customHeight="1">
      <c r="BM54347" s="1025"/>
      <c r="BO54347" s="43"/>
    </row>
    <row r="54348" spans="65:67" ht="18.75" customHeight="1">
      <c r="BM54348" s="1025"/>
      <c r="BO54348" s="43"/>
    </row>
    <row r="54349" spans="65:67" ht="18.75" customHeight="1">
      <c r="BM54349" s="1025"/>
      <c r="BO54349" s="43"/>
    </row>
    <row r="54350" spans="65:67" ht="18.75" customHeight="1">
      <c r="BM54350" s="1025"/>
      <c r="BO54350" s="43"/>
    </row>
    <row r="54351" spans="65:67" ht="18.75" customHeight="1">
      <c r="BM54351" s="1025"/>
      <c r="BO54351" s="43"/>
    </row>
    <row r="54352" spans="65:67" ht="18.75" customHeight="1">
      <c r="BM54352" s="1025"/>
      <c r="BO54352" s="43"/>
    </row>
    <row r="54353" spans="65:67" ht="18.75" customHeight="1">
      <c r="BM54353" s="1025"/>
      <c r="BO54353" s="43"/>
    </row>
    <row r="54354" spans="65:67" ht="18.75" customHeight="1">
      <c r="BM54354" s="1025"/>
      <c r="BO54354" s="43"/>
    </row>
    <row r="54355" spans="65:67" ht="18.75" customHeight="1">
      <c r="BM54355" s="1025"/>
      <c r="BO54355" s="43"/>
    </row>
    <row r="54356" spans="65:67" ht="18.75" customHeight="1">
      <c r="BM54356" s="1025"/>
      <c r="BO54356" s="43"/>
    </row>
    <row r="54357" spans="65:67" ht="18.75" customHeight="1">
      <c r="BM54357" s="1025"/>
      <c r="BO54357" s="43"/>
    </row>
    <row r="54358" spans="65:67" ht="18.75" customHeight="1">
      <c r="BM54358" s="1025"/>
      <c r="BO54358" s="43"/>
    </row>
    <row r="54359" spans="65:67" ht="18.75" customHeight="1">
      <c r="BM54359" s="1025"/>
      <c r="BO54359" s="43"/>
    </row>
    <row r="54360" spans="65:67" ht="18.75" customHeight="1">
      <c r="BM54360" s="1025"/>
      <c r="BO54360" s="43"/>
    </row>
    <row r="54361" spans="65:67" ht="18.75" customHeight="1">
      <c r="BM54361" s="1025"/>
      <c r="BO54361" s="43"/>
    </row>
    <row r="54362" spans="65:67" ht="18.75" customHeight="1">
      <c r="BM54362" s="1025"/>
      <c r="BO54362" s="43"/>
    </row>
    <row r="54363" spans="65:67" ht="18.75" customHeight="1">
      <c r="BM54363" s="1025"/>
      <c r="BO54363" s="43"/>
    </row>
    <row r="54364" spans="65:67" ht="18.75" customHeight="1">
      <c r="BM54364" s="1025"/>
      <c r="BO54364" s="43"/>
    </row>
    <row r="54365" spans="65:67" ht="18.75" customHeight="1">
      <c r="BM54365" s="1025"/>
      <c r="BO54365" s="43"/>
    </row>
    <row r="54366" spans="65:67" ht="18.75" customHeight="1">
      <c r="BM54366" s="1025"/>
      <c r="BO54366" s="43"/>
    </row>
    <row r="54367" spans="65:67" ht="18.75" customHeight="1">
      <c r="BM54367" s="1025"/>
      <c r="BO54367" s="43"/>
    </row>
    <row r="54368" spans="65:67" ht="18.75" customHeight="1">
      <c r="BM54368" s="1025"/>
      <c r="BO54368" s="43"/>
    </row>
    <row r="54369" spans="65:67" ht="18.75" customHeight="1">
      <c r="BM54369" s="1025"/>
      <c r="BO54369" s="43"/>
    </row>
    <row r="54370" spans="65:67" ht="18.75" customHeight="1">
      <c r="BM54370" s="1025"/>
      <c r="BO54370" s="43"/>
    </row>
    <row r="54371" spans="65:67" ht="18.75" customHeight="1">
      <c r="BM54371" s="1025"/>
      <c r="BO54371" s="43"/>
    </row>
    <row r="54372" spans="65:67" ht="18.75" customHeight="1">
      <c r="BM54372" s="1025"/>
      <c r="BO54372" s="43"/>
    </row>
    <row r="54373" spans="65:67" ht="18.75" customHeight="1">
      <c r="BM54373" s="1025"/>
      <c r="BO54373" s="43"/>
    </row>
    <row r="54374" spans="65:67" ht="18.75" customHeight="1">
      <c r="BM54374" s="1025"/>
      <c r="BO54374" s="43"/>
    </row>
    <row r="54375" spans="65:67" ht="18.75" customHeight="1">
      <c r="BM54375" s="1025"/>
      <c r="BO54375" s="43"/>
    </row>
    <row r="54376" spans="65:67" ht="18.75" customHeight="1">
      <c r="BM54376" s="1025"/>
      <c r="BO54376" s="43"/>
    </row>
    <row r="54377" spans="65:67" ht="18.75" customHeight="1">
      <c r="BM54377" s="1025"/>
      <c r="BO54377" s="43"/>
    </row>
    <row r="54378" spans="65:67" ht="18.75" customHeight="1">
      <c r="BM54378" s="1025"/>
      <c r="BO54378" s="43"/>
    </row>
    <row r="54379" spans="65:67" ht="18.75" customHeight="1">
      <c r="BM54379" s="1025"/>
      <c r="BO54379" s="43"/>
    </row>
    <row r="54380" spans="65:67" ht="18.75" customHeight="1">
      <c r="BM54380" s="1025"/>
      <c r="BO54380" s="43"/>
    </row>
    <row r="54381" spans="65:67" ht="18.75" customHeight="1">
      <c r="BM54381" s="1025"/>
      <c r="BO54381" s="43"/>
    </row>
    <row r="54382" spans="65:67" ht="18.75" customHeight="1">
      <c r="BM54382" s="1025"/>
      <c r="BO54382" s="43"/>
    </row>
    <row r="54383" spans="65:67" ht="18.75" customHeight="1">
      <c r="BM54383" s="1025"/>
      <c r="BO54383" s="43"/>
    </row>
    <row r="54384" spans="65:67" ht="18.75" customHeight="1">
      <c r="BM54384" s="1025"/>
      <c r="BO54384" s="43"/>
    </row>
    <row r="54385" spans="65:67" ht="18.75" customHeight="1">
      <c r="BM54385" s="1025"/>
      <c r="BO54385" s="43"/>
    </row>
    <row r="54386" spans="65:67" ht="18.75" customHeight="1">
      <c r="BM54386" s="1025"/>
      <c r="BO54386" s="43"/>
    </row>
    <row r="54387" spans="65:67" ht="18.75" customHeight="1">
      <c r="BM54387" s="1025"/>
      <c r="BO54387" s="43"/>
    </row>
    <row r="54388" spans="65:67" ht="18.75" customHeight="1">
      <c r="BM54388" s="1025"/>
      <c r="BO54388" s="43"/>
    </row>
    <row r="54389" spans="65:67" ht="18.75" customHeight="1">
      <c r="BM54389" s="1025"/>
      <c r="BO54389" s="43"/>
    </row>
    <row r="54390" spans="65:67" ht="18.75" customHeight="1">
      <c r="BM54390" s="1025"/>
      <c r="BO54390" s="43"/>
    </row>
    <row r="54391" spans="65:67" ht="18.75" customHeight="1">
      <c r="BM54391" s="1025"/>
      <c r="BO54391" s="43"/>
    </row>
    <row r="54392" spans="65:67" ht="18.75" customHeight="1">
      <c r="BM54392" s="1025"/>
      <c r="BO54392" s="43"/>
    </row>
    <row r="54393" spans="65:67" ht="18.75" customHeight="1">
      <c r="BM54393" s="1025"/>
      <c r="BO54393" s="43"/>
    </row>
    <row r="54394" spans="65:67" ht="18.75" customHeight="1">
      <c r="BM54394" s="1025"/>
      <c r="BO54394" s="43"/>
    </row>
    <row r="54395" spans="65:67" ht="18.75" customHeight="1">
      <c r="BM54395" s="1025"/>
      <c r="BO54395" s="43"/>
    </row>
    <row r="54396" spans="65:67" ht="18.75" customHeight="1">
      <c r="BM54396" s="1025"/>
      <c r="BO54396" s="43"/>
    </row>
    <row r="54397" spans="65:67" ht="18.75" customHeight="1">
      <c r="BM54397" s="1025"/>
      <c r="BO54397" s="43"/>
    </row>
    <row r="54398" spans="65:67" ht="18.75" customHeight="1">
      <c r="BM54398" s="1025"/>
      <c r="BO54398" s="43"/>
    </row>
    <row r="54399" spans="65:67" ht="18.75" customHeight="1">
      <c r="BM54399" s="1025"/>
      <c r="BO54399" s="43"/>
    </row>
    <row r="54400" spans="65:67" ht="18.75" customHeight="1">
      <c r="BM54400" s="1025"/>
      <c r="BO54400" s="43"/>
    </row>
    <row r="54401" spans="65:67" ht="18.75" customHeight="1">
      <c r="BM54401" s="1025"/>
      <c r="BO54401" s="43"/>
    </row>
    <row r="54402" spans="65:67" ht="18.75" customHeight="1">
      <c r="BM54402" s="1025"/>
      <c r="BO54402" s="43"/>
    </row>
    <row r="54403" spans="65:67" ht="18.75" customHeight="1">
      <c r="BM54403" s="1025"/>
      <c r="BO54403" s="43"/>
    </row>
    <row r="54404" spans="65:67" ht="18.75" customHeight="1">
      <c r="BM54404" s="1025"/>
      <c r="BO54404" s="43"/>
    </row>
    <row r="54405" spans="65:67" ht="18.75" customHeight="1">
      <c r="BM54405" s="1025"/>
      <c r="BO54405" s="43"/>
    </row>
    <row r="54406" spans="65:67" ht="18.75" customHeight="1">
      <c r="BM54406" s="1025"/>
      <c r="BO54406" s="43"/>
    </row>
    <row r="54407" spans="65:67" ht="18.75" customHeight="1">
      <c r="BM54407" s="1025"/>
      <c r="BO54407" s="43"/>
    </row>
    <row r="54408" spans="65:67" ht="18.75" customHeight="1">
      <c r="BM54408" s="1025"/>
      <c r="BO54408" s="43"/>
    </row>
    <row r="54409" spans="65:67" ht="18.75" customHeight="1">
      <c r="BM54409" s="1025"/>
      <c r="BO54409" s="43"/>
    </row>
    <row r="54410" spans="65:67" ht="18.75" customHeight="1">
      <c r="BM54410" s="1025"/>
      <c r="BO54410" s="43"/>
    </row>
    <row r="54411" spans="65:67" ht="18.75" customHeight="1">
      <c r="BM54411" s="1025"/>
      <c r="BO54411" s="43"/>
    </row>
    <row r="54412" spans="65:67" ht="18.75" customHeight="1">
      <c r="BM54412" s="1025"/>
      <c r="BO54412" s="43"/>
    </row>
    <row r="54413" spans="65:67" ht="18.75" customHeight="1">
      <c r="BM54413" s="1025"/>
      <c r="BO54413" s="43"/>
    </row>
    <row r="54414" spans="65:67" ht="18.75" customHeight="1">
      <c r="BM54414" s="1025"/>
      <c r="BO54414" s="43"/>
    </row>
    <row r="54415" spans="65:67" ht="18.75" customHeight="1">
      <c r="BM54415" s="1025"/>
      <c r="BO54415" s="43"/>
    </row>
    <row r="54416" spans="65:67" ht="18.75" customHeight="1">
      <c r="BM54416" s="1025"/>
      <c r="BO54416" s="43"/>
    </row>
    <row r="54417" spans="65:67" ht="18.75" customHeight="1">
      <c r="BM54417" s="1025"/>
      <c r="BO54417" s="43"/>
    </row>
    <row r="54418" spans="65:67" ht="18.75" customHeight="1">
      <c r="BM54418" s="1025"/>
      <c r="BO54418" s="43"/>
    </row>
    <row r="54419" spans="65:67" ht="18.75" customHeight="1">
      <c r="BM54419" s="1025"/>
      <c r="BO54419" s="43"/>
    </row>
    <row r="54420" spans="65:67" ht="18.75" customHeight="1">
      <c r="BM54420" s="1025"/>
      <c r="BO54420" s="43"/>
    </row>
    <row r="54421" spans="65:67" ht="18.75" customHeight="1">
      <c r="BM54421" s="1025"/>
      <c r="BO54421" s="43"/>
    </row>
    <row r="54422" spans="65:67" ht="18.75" customHeight="1">
      <c r="BM54422" s="1025"/>
      <c r="BO54422" s="43"/>
    </row>
    <row r="54423" spans="65:67" ht="18.75" customHeight="1">
      <c r="BM54423" s="1025"/>
      <c r="BO54423" s="43"/>
    </row>
    <row r="54424" spans="65:67" ht="18.75" customHeight="1">
      <c r="BM54424" s="1025"/>
      <c r="BO54424" s="43"/>
    </row>
    <row r="54425" spans="65:67" ht="18.75" customHeight="1">
      <c r="BM54425" s="1025"/>
      <c r="BO54425" s="43"/>
    </row>
    <row r="54426" spans="65:67" ht="18.75" customHeight="1">
      <c r="BM54426" s="1025"/>
      <c r="BO54426" s="43"/>
    </row>
    <row r="54427" spans="65:67" ht="18.75" customHeight="1">
      <c r="BM54427" s="1025"/>
      <c r="BO54427" s="43"/>
    </row>
    <row r="54428" spans="65:67" ht="18.75" customHeight="1">
      <c r="BM54428" s="1025"/>
      <c r="BO54428" s="43"/>
    </row>
    <row r="54429" spans="65:67" ht="18.75" customHeight="1">
      <c r="BM54429" s="1025"/>
      <c r="BO54429" s="43"/>
    </row>
    <row r="54430" spans="65:67" ht="18.75" customHeight="1">
      <c r="BM54430" s="1025"/>
      <c r="BO54430" s="43"/>
    </row>
    <row r="54431" spans="65:67" ht="18.75" customHeight="1">
      <c r="BM54431" s="1025"/>
      <c r="BO54431" s="43"/>
    </row>
    <row r="54432" spans="65:67" ht="18.75" customHeight="1">
      <c r="BM54432" s="1025"/>
      <c r="BO54432" s="43"/>
    </row>
    <row r="54433" spans="65:67" ht="18.75" customHeight="1">
      <c r="BM54433" s="1025"/>
      <c r="BO54433" s="43"/>
    </row>
    <row r="54434" spans="65:67" ht="18.75" customHeight="1">
      <c r="BM54434" s="1025"/>
      <c r="BO54434" s="43"/>
    </row>
    <row r="54435" spans="65:67" ht="18.75" customHeight="1">
      <c r="BM54435" s="1025"/>
      <c r="BO54435" s="43"/>
    </row>
    <row r="54436" spans="65:67" ht="18.75" customHeight="1">
      <c r="BM54436" s="1025"/>
      <c r="BO54436" s="43"/>
    </row>
    <row r="54437" spans="65:67" ht="18.75" customHeight="1">
      <c r="BM54437" s="1025"/>
      <c r="BO54437" s="43"/>
    </row>
    <row r="54438" spans="65:67" ht="18.75" customHeight="1">
      <c r="BM54438" s="1025"/>
      <c r="BO54438" s="43"/>
    </row>
    <row r="54439" spans="65:67" ht="18.75" customHeight="1">
      <c r="BM54439" s="1025"/>
      <c r="BO54439" s="43"/>
    </row>
    <row r="54440" spans="65:67" ht="18.75" customHeight="1">
      <c r="BM54440" s="1025"/>
      <c r="BO54440" s="43"/>
    </row>
    <row r="54441" spans="65:67" ht="18.75" customHeight="1">
      <c r="BM54441" s="1025"/>
      <c r="BO54441" s="43"/>
    </row>
    <row r="54442" spans="65:67" ht="18.75" customHeight="1">
      <c r="BM54442" s="1025"/>
      <c r="BO54442" s="43"/>
    </row>
    <row r="54443" spans="65:67" ht="18.75" customHeight="1">
      <c r="BM54443" s="1025"/>
      <c r="BO54443" s="43"/>
    </row>
    <row r="54444" spans="65:67" ht="18.75" customHeight="1">
      <c r="BM54444" s="1025"/>
      <c r="BO54444" s="43"/>
    </row>
    <row r="54445" spans="65:67" ht="18.75" customHeight="1">
      <c r="BM54445" s="1025"/>
      <c r="BO54445" s="43"/>
    </row>
    <row r="54446" spans="65:67" ht="18.75" customHeight="1">
      <c r="BM54446" s="1025"/>
      <c r="BO54446" s="43"/>
    </row>
    <row r="54447" spans="65:67" ht="18.75" customHeight="1">
      <c r="BM54447" s="1025"/>
      <c r="BO54447" s="43"/>
    </row>
    <row r="54448" spans="65:67" ht="18.75" customHeight="1">
      <c r="BM54448" s="1025"/>
      <c r="BO54448" s="43"/>
    </row>
    <row r="54449" spans="65:67" ht="18.75" customHeight="1">
      <c r="BM54449" s="1025"/>
      <c r="BO54449" s="43"/>
    </row>
    <row r="54450" spans="65:67" ht="18.75" customHeight="1">
      <c r="BM54450" s="1025"/>
      <c r="BO54450" s="43"/>
    </row>
    <row r="54451" spans="65:67" ht="18.75" customHeight="1">
      <c r="BM54451" s="1025"/>
      <c r="BO54451" s="43"/>
    </row>
    <row r="54452" spans="65:67" ht="18.75" customHeight="1">
      <c r="BM54452" s="1025"/>
      <c r="BO54452" s="43"/>
    </row>
    <row r="54453" spans="65:67" ht="18.75" customHeight="1">
      <c r="BM54453" s="1025"/>
      <c r="BO54453" s="43"/>
    </row>
    <row r="54454" spans="65:67" ht="18.75" customHeight="1">
      <c r="BM54454" s="1025"/>
      <c r="BO54454" s="43"/>
    </row>
    <row r="54455" spans="65:67" ht="18.75" customHeight="1">
      <c r="BM54455" s="1025"/>
      <c r="BO54455" s="43"/>
    </row>
    <row r="54456" spans="65:67" ht="18.75" customHeight="1">
      <c r="BM54456" s="1025"/>
      <c r="BO54456" s="43"/>
    </row>
    <row r="54457" spans="65:67" ht="18.75" customHeight="1">
      <c r="BM54457" s="1025"/>
      <c r="BO54457" s="43"/>
    </row>
    <row r="54458" spans="65:67" ht="18.75" customHeight="1">
      <c r="BM54458" s="1025"/>
      <c r="BO54458" s="43"/>
    </row>
    <row r="54459" spans="65:67" ht="18.75" customHeight="1">
      <c r="BM54459" s="1025"/>
      <c r="BO54459" s="43"/>
    </row>
    <row r="54460" spans="65:67" ht="18.75" customHeight="1">
      <c r="BM54460" s="1025"/>
      <c r="BO54460" s="43"/>
    </row>
    <row r="54461" spans="65:67" ht="18.75" customHeight="1">
      <c r="BM54461" s="1025"/>
      <c r="BO54461" s="43"/>
    </row>
    <row r="54462" spans="65:67" ht="18.75" customHeight="1">
      <c r="BM54462" s="1025"/>
      <c r="BO54462" s="43"/>
    </row>
    <row r="54463" spans="65:67" ht="18.75" customHeight="1">
      <c r="BM54463" s="1025"/>
      <c r="BO54463" s="43"/>
    </row>
    <row r="54464" spans="65:67" ht="18.75" customHeight="1">
      <c r="BM54464" s="1025"/>
      <c r="BO54464" s="43"/>
    </row>
    <row r="54465" spans="65:67" ht="18.75" customHeight="1">
      <c r="BM54465" s="1025"/>
      <c r="BO54465" s="43"/>
    </row>
    <row r="54466" spans="65:67" ht="18.75" customHeight="1">
      <c r="BM54466" s="1025"/>
      <c r="BO54466" s="43"/>
    </row>
    <row r="54467" spans="65:67" ht="18.75" customHeight="1">
      <c r="BM54467" s="1025"/>
      <c r="BO54467" s="43"/>
    </row>
    <row r="54468" spans="65:67" ht="18.75" customHeight="1">
      <c r="BM54468" s="1025"/>
      <c r="BO54468" s="43"/>
    </row>
    <row r="54469" spans="65:67" ht="18.75" customHeight="1">
      <c r="BM54469" s="1025"/>
      <c r="BO54469" s="43"/>
    </row>
    <row r="54470" spans="65:67" ht="18.75" customHeight="1">
      <c r="BM54470" s="1025"/>
      <c r="BO54470" s="43"/>
    </row>
    <row r="54471" spans="65:67" ht="18.75" customHeight="1">
      <c r="BM54471" s="1025"/>
      <c r="BO54471" s="43"/>
    </row>
    <row r="54472" spans="65:67" ht="18.75" customHeight="1">
      <c r="BM54472" s="1025"/>
      <c r="BO54472" s="43"/>
    </row>
    <row r="54473" spans="65:67" ht="18.75" customHeight="1">
      <c r="BM54473" s="1025"/>
      <c r="BO54473" s="43"/>
    </row>
    <row r="54474" spans="65:67" ht="18.75" customHeight="1">
      <c r="BM54474" s="1025"/>
      <c r="BO54474" s="43"/>
    </row>
    <row r="54475" spans="65:67" ht="18.75" customHeight="1">
      <c r="BM54475" s="1025"/>
      <c r="BO54475" s="43"/>
    </row>
    <row r="54476" spans="65:67" ht="18.75" customHeight="1">
      <c r="BM54476" s="1025"/>
      <c r="BO54476" s="43"/>
    </row>
    <row r="54477" spans="65:67" ht="18.75" customHeight="1">
      <c r="BM54477" s="1025"/>
      <c r="BO54477" s="43"/>
    </row>
    <row r="54478" spans="65:67" ht="18.75" customHeight="1">
      <c r="BM54478" s="1025"/>
      <c r="BO54478" s="43"/>
    </row>
    <row r="54479" spans="65:67" ht="18.75" customHeight="1">
      <c r="BM54479" s="1025"/>
      <c r="BO54479" s="43"/>
    </row>
    <row r="54480" spans="65:67" ht="18.75" customHeight="1">
      <c r="BM54480" s="1025"/>
      <c r="BO54480" s="43"/>
    </row>
    <row r="54481" spans="65:67" ht="18.75" customHeight="1">
      <c r="BM54481" s="1025"/>
      <c r="BO54481" s="43"/>
    </row>
    <row r="54482" spans="65:67" ht="18.75" customHeight="1">
      <c r="BM54482" s="1025"/>
      <c r="BO54482" s="43"/>
    </row>
    <row r="54483" spans="65:67" ht="18.75" customHeight="1">
      <c r="BM54483" s="1025"/>
      <c r="BO54483" s="43"/>
    </row>
    <row r="54484" spans="65:67" ht="18.75" customHeight="1">
      <c r="BM54484" s="1025"/>
      <c r="BO54484" s="43"/>
    </row>
    <row r="54485" spans="65:67" ht="18.75" customHeight="1">
      <c r="BM54485" s="1025"/>
      <c r="BO54485" s="43"/>
    </row>
    <row r="54486" spans="65:67" ht="18.75" customHeight="1">
      <c r="BM54486" s="1025"/>
      <c r="BO54486" s="43"/>
    </row>
    <row r="54487" spans="65:67" ht="18.75" customHeight="1">
      <c r="BM54487" s="1025"/>
      <c r="BO54487" s="43"/>
    </row>
    <row r="54488" spans="65:67" ht="18.75" customHeight="1">
      <c r="BM54488" s="1025"/>
      <c r="BO54488" s="43"/>
    </row>
    <row r="54489" spans="65:67" ht="18.75" customHeight="1">
      <c r="BM54489" s="1025"/>
      <c r="BO54489" s="43"/>
    </row>
    <row r="54490" spans="65:67" ht="18.75" customHeight="1">
      <c r="BM54490" s="1025"/>
      <c r="BO54490" s="43"/>
    </row>
    <row r="54491" spans="65:67" ht="18.75" customHeight="1">
      <c r="BM54491" s="1025"/>
      <c r="BO54491" s="43"/>
    </row>
    <row r="54492" spans="65:67" ht="18.75" customHeight="1">
      <c r="BM54492" s="1025"/>
      <c r="BO54492" s="43"/>
    </row>
    <row r="54493" spans="65:67" ht="18.75" customHeight="1">
      <c r="BM54493" s="1025"/>
      <c r="BO54493" s="43"/>
    </row>
    <row r="54494" spans="65:67" ht="18.75" customHeight="1">
      <c r="BM54494" s="1025"/>
      <c r="BO54494" s="43"/>
    </row>
    <row r="54495" spans="65:67" ht="18.75" customHeight="1">
      <c r="BM54495" s="1025"/>
      <c r="BO54495" s="43"/>
    </row>
    <row r="54496" spans="65:67" ht="18.75" customHeight="1">
      <c r="BM54496" s="1025"/>
      <c r="BO54496" s="43"/>
    </row>
    <row r="54497" spans="65:67" ht="18.75" customHeight="1">
      <c r="BM54497" s="1025"/>
      <c r="BO54497" s="43"/>
    </row>
    <row r="54498" spans="65:67" ht="18.75" customHeight="1">
      <c r="BM54498" s="1025"/>
      <c r="BO54498" s="43"/>
    </row>
    <row r="54499" spans="65:67" ht="18.75" customHeight="1">
      <c r="BM54499" s="1025"/>
      <c r="BO54499" s="43"/>
    </row>
    <row r="54500" spans="65:67" ht="18.75" customHeight="1">
      <c r="BM54500" s="1025"/>
      <c r="BO54500" s="43"/>
    </row>
    <row r="54501" spans="65:67" ht="18.75" customHeight="1">
      <c r="BM54501" s="1025"/>
      <c r="BO54501" s="43"/>
    </row>
    <row r="54502" spans="65:67" ht="18.75" customHeight="1">
      <c r="BM54502" s="1025"/>
      <c r="BO54502" s="43"/>
    </row>
    <row r="54503" spans="65:67" ht="18.75" customHeight="1">
      <c r="BM54503" s="1025"/>
      <c r="BO54503" s="43"/>
    </row>
    <row r="54504" spans="65:67" ht="18.75" customHeight="1">
      <c r="BM54504" s="1025"/>
      <c r="BO54504" s="43"/>
    </row>
    <row r="54505" spans="65:67" ht="18.75" customHeight="1">
      <c r="BM54505" s="1025"/>
      <c r="BO54505" s="43"/>
    </row>
    <row r="54506" spans="65:67" ht="18.75" customHeight="1">
      <c r="BM54506" s="1025"/>
      <c r="BO54506" s="43"/>
    </row>
    <row r="54507" spans="65:67" ht="18.75" customHeight="1">
      <c r="BM54507" s="1025"/>
      <c r="BO54507" s="43"/>
    </row>
    <row r="54508" spans="65:67" ht="18.75" customHeight="1">
      <c r="BM54508" s="1025"/>
      <c r="BO54508" s="43"/>
    </row>
    <row r="54509" spans="65:67" ht="18.75" customHeight="1">
      <c r="BM54509" s="1025"/>
      <c r="BO54509" s="43"/>
    </row>
    <row r="54510" spans="65:67" ht="18.75" customHeight="1">
      <c r="BM54510" s="1025"/>
      <c r="BO54510" s="43"/>
    </row>
    <row r="54511" spans="65:67" ht="18.75" customHeight="1">
      <c r="BM54511" s="1025"/>
      <c r="BO54511" s="43"/>
    </row>
    <row r="54512" spans="65:67" ht="18.75" customHeight="1">
      <c r="BM54512" s="1025"/>
      <c r="BO54512" s="43"/>
    </row>
    <row r="54513" spans="65:67" ht="18.75" customHeight="1">
      <c r="BM54513" s="1025"/>
      <c r="BO54513" s="43"/>
    </row>
    <row r="54514" spans="65:67" ht="18.75" customHeight="1">
      <c r="BM54514" s="1025"/>
      <c r="BO54514" s="43"/>
    </row>
    <row r="54515" spans="65:67" ht="18.75" customHeight="1">
      <c r="BM54515" s="1025"/>
      <c r="BO54515" s="43"/>
    </row>
    <row r="54516" spans="65:67" ht="18.75" customHeight="1">
      <c r="BM54516" s="1025"/>
      <c r="BO54516" s="43"/>
    </row>
    <row r="54517" spans="65:67" ht="18.75" customHeight="1">
      <c r="BM54517" s="1025"/>
      <c r="BO54517" s="43"/>
    </row>
    <row r="54518" spans="65:67" ht="18.75" customHeight="1">
      <c r="BM54518" s="1025"/>
      <c r="BO54518" s="43"/>
    </row>
    <row r="54519" spans="65:67" ht="18.75" customHeight="1">
      <c r="BM54519" s="1025"/>
      <c r="BO54519" s="43"/>
    </row>
    <row r="54520" spans="65:67" ht="18.75" customHeight="1">
      <c r="BM54520" s="1025"/>
      <c r="BO54520" s="43"/>
    </row>
    <row r="54521" spans="65:67" ht="18.75" customHeight="1">
      <c r="BM54521" s="1025"/>
      <c r="BO54521" s="43"/>
    </row>
    <row r="54522" spans="65:67" ht="18.75" customHeight="1">
      <c r="BM54522" s="1025"/>
      <c r="BO54522" s="43"/>
    </row>
    <row r="54523" spans="65:67" ht="18.75" customHeight="1">
      <c r="BM54523" s="1025"/>
      <c r="BO54523" s="43"/>
    </row>
    <row r="54524" spans="65:67" ht="18.75" customHeight="1">
      <c r="BM54524" s="1025"/>
      <c r="BO54524" s="43"/>
    </row>
    <row r="54525" spans="65:67" ht="18.75" customHeight="1">
      <c r="BM54525" s="1025"/>
      <c r="BO54525" s="43"/>
    </row>
    <row r="54526" spans="65:67" ht="18.75" customHeight="1">
      <c r="BM54526" s="1025"/>
      <c r="BO54526" s="43"/>
    </row>
    <row r="54527" spans="65:67" ht="18.75" customHeight="1">
      <c r="BM54527" s="1025"/>
      <c r="BO54527" s="43"/>
    </row>
    <row r="54528" spans="65:67" ht="18.75" customHeight="1">
      <c r="BM54528" s="1025"/>
      <c r="BO54528" s="43"/>
    </row>
    <row r="54529" spans="65:67" ht="18.75" customHeight="1">
      <c r="BM54529" s="1025"/>
      <c r="BO54529" s="43"/>
    </row>
    <row r="54530" spans="65:67" ht="18.75" customHeight="1">
      <c r="BM54530" s="1025"/>
      <c r="BO54530" s="43"/>
    </row>
    <row r="54531" spans="65:67" ht="18.75" customHeight="1">
      <c r="BM54531" s="1025"/>
      <c r="BO54531" s="43"/>
    </row>
    <row r="54532" spans="65:67" ht="18.75" customHeight="1">
      <c r="BM54532" s="1025"/>
      <c r="BO54532" s="43"/>
    </row>
    <row r="54533" spans="65:67" ht="18.75" customHeight="1">
      <c r="BM54533" s="1025"/>
      <c r="BO54533" s="43"/>
    </row>
    <row r="54534" spans="65:67" ht="18.75" customHeight="1">
      <c r="BM54534" s="1025"/>
      <c r="BO54534" s="43"/>
    </row>
    <row r="54535" spans="65:67" ht="18.75" customHeight="1">
      <c r="BM54535" s="1025"/>
      <c r="BO54535" s="43"/>
    </row>
    <row r="54536" spans="65:67" ht="18.75" customHeight="1">
      <c r="BM54536" s="1025"/>
      <c r="BO54536" s="43"/>
    </row>
    <row r="54537" spans="65:67" ht="18.75" customHeight="1">
      <c r="BM54537" s="1025"/>
      <c r="BO54537" s="43"/>
    </row>
    <row r="54538" spans="65:67" ht="18.75" customHeight="1">
      <c r="BM54538" s="1025"/>
      <c r="BO54538" s="43"/>
    </row>
    <row r="54539" spans="65:67" ht="18.75" customHeight="1">
      <c r="BM54539" s="1025"/>
      <c r="BO54539" s="43"/>
    </row>
    <row r="54540" spans="65:67" ht="18.75" customHeight="1">
      <c r="BM54540" s="1025"/>
      <c r="BO54540" s="43"/>
    </row>
    <row r="54541" spans="65:67" ht="18.75" customHeight="1">
      <c r="BM54541" s="1025"/>
      <c r="BO54541" s="43"/>
    </row>
    <row r="54542" spans="65:67" ht="18.75" customHeight="1">
      <c r="BM54542" s="1025"/>
      <c r="BO54542" s="43"/>
    </row>
    <row r="54543" spans="65:67" ht="18.75" customHeight="1">
      <c r="BM54543" s="1025"/>
      <c r="BO54543" s="43"/>
    </row>
    <row r="54544" spans="65:67" ht="18.75" customHeight="1">
      <c r="BM54544" s="1025"/>
      <c r="BO54544" s="43"/>
    </row>
    <row r="54545" spans="65:67" ht="18.75" customHeight="1">
      <c r="BM54545" s="1025"/>
      <c r="BO54545" s="43"/>
    </row>
    <row r="54546" spans="65:67" ht="18.75" customHeight="1">
      <c r="BM54546" s="1025"/>
      <c r="BO54546" s="43"/>
    </row>
    <row r="54547" spans="65:67" ht="18.75" customHeight="1">
      <c r="BM54547" s="1025"/>
      <c r="BO54547" s="43"/>
    </row>
    <row r="54548" spans="65:67" ht="18.75" customHeight="1">
      <c r="BM54548" s="1025"/>
      <c r="BO54548" s="43"/>
    </row>
    <row r="54549" spans="65:67" ht="18.75" customHeight="1">
      <c r="BM54549" s="1025"/>
      <c r="BO54549" s="43"/>
    </row>
    <row r="54550" spans="65:67" ht="18.75" customHeight="1">
      <c r="BM54550" s="1025"/>
      <c r="BO54550" s="43"/>
    </row>
    <row r="54551" spans="65:67" ht="18.75" customHeight="1">
      <c r="BM54551" s="1025"/>
      <c r="BO54551" s="43"/>
    </row>
    <row r="54552" spans="65:67" ht="18.75" customHeight="1">
      <c r="BM54552" s="1025"/>
      <c r="BO54552" s="43"/>
    </row>
    <row r="54553" spans="65:67" ht="18.75" customHeight="1">
      <c r="BM54553" s="1025"/>
      <c r="BO54553" s="43"/>
    </row>
    <row r="54554" spans="65:67" ht="18.75" customHeight="1">
      <c r="BM54554" s="1025"/>
      <c r="BO54554" s="43"/>
    </row>
    <row r="54555" spans="65:67" ht="18.75" customHeight="1">
      <c r="BM54555" s="1025"/>
      <c r="BO54555" s="43"/>
    </row>
    <row r="54556" spans="65:67" ht="18.75" customHeight="1">
      <c r="BM54556" s="1025"/>
      <c r="BO54556" s="43"/>
    </row>
    <row r="54557" spans="65:67" ht="18.75" customHeight="1">
      <c r="BM54557" s="1025"/>
      <c r="BO54557" s="43"/>
    </row>
    <row r="54558" spans="65:67" ht="18.75" customHeight="1">
      <c r="BM54558" s="1025"/>
      <c r="BO54558" s="43"/>
    </row>
    <row r="54559" spans="65:67" ht="18.75" customHeight="1">
      <c r="BM54559" s="1025"/>
      <c r="BO54559" s="43"/>
    </row>
    <row r="54560" spans="65:67" ht="18.75" customHeight="1">
      <c r="BM54560" s="1025"/>
      <c r="BO54560" s="43"/>
    </row>
    <row r="54561" spans="65:67" ht="18.75" customHeight="1">
      <c r="BM54561" s="1025"/>
      <c r="BO54561" s="43"/>
    </row>
    <row r="54562" spans="65:67" ht="18.75" customHeight="1">
      <c r="BM54562" s="1025"/>
      <c r="BO54562" s="43"/>
    </row>
    <row r="54563" spans="65:67" ht="18.75" customHeight="1">
      <c r="BM54563" s="1025"/>
      <c r="BO54563" s="43"/>
    </row>
    <row r="54564" spans="65:67" ht="18.75" customHeight="1">
      <c r="BM54564" s="1025"/>
      <c r="BO54564" s="43"/>
    </row>
    <row r="54565" spans="65:67" ht="18.75" customHeight="1">
      <c r="BM54565" s="1025"/>
      <c r="BO54565" s="43"/>
    </row>
    <row r="54566" spans="65:67" ht="18.75" customHeight="1">
      <c r="BM54566" s="1025"/>
      <c r="BO54566" s="43"/>
    </row>
    <row r="54567" spans="65:67" ht="18.75" customHeight="1">
      <c r="BM54567" s="1025"/>
      <c r="BO54567" s="43"/>
    </row>
    <row r="54568" spans="65:67" ht="18.75" customHeight="1">
      <c r="BM54568" s="1025"/>
      <c r="BO54568" s="43"/>
    </row>
    <row r="54569" spans="65:67" ht="18.75" customHeight="1">
      <c r="BM54569" s="1025"/>
      <c r="BO54569" s="43"/>
    </row>
    <row r="54570" spans="65:67" ht="18.75" customHeight="1">
      <c r="BM54570" s="1025"/>
      <c r="BO54570" s="43"/>
    </row>
    <row r="54571" spans="65:67" ht="18.75" customHeight="1">
      <c r="BM54571" s="1025"/>
      <c r="BO54571" s="43"/>
    </row>
    <row r="54572" spans="65:67" ht="18.75" customHeight="1">
      <c r="BM54572" s="1025"/>
      <c r="BO54572" s="43"/>
    </row>
    <row r="54573" spans="65:67" ht="18.75" customHeight="1">
      <c r="BM54573" s="1025"/>
      <c r="BO54573" s="43"/>
    </row>
    <row r="54574" spans="65:67" ht="18.75" customHeight="1">
      <c r="BM54574" s="1025"/>
      <c r="BO54574" s="43"/>
    </row>
    <row r="54575" spans="65:67" ht="18.75" customHeight="1">
      <c r="BM54575" s="1025"/>
      <c r="BO54575" s="43"/>
    </row>
    <row r="54576" spans="65:67" ht="18.75" customHeight="1">
      <c r="BM54576" s="1025"/>
      <c r="BO54576" s="43"/>
    </row>
    <row r="54577" spans="65:67" ht="18.75" customHeight="1">
      <c r="BM54577" s="1025"/>
      <c r="BO54577" s="43"/>
    </row>
    <row r="54578" spans="65:67" ht="18.75" customHeight="1">
      <c r="BM54578" s="1025"/>
      <c r="BO54578" s="43"/>
    </row>
    <row r="54579" spans="65:67" ht="18.75" customHeight="1">
      <c r="BM54579" s="1025"/>
      <c r="BO54579" s="43"/>
    </row>
    <row r="54580" spans="65:67" ht="18.75" customHeight="1">
      <c r="BM54580" s="1025"/>
      <c r="BO54580" s="43"/>
    </row>
    <row r="54581" spans="65:67" ht="18.75" customHeight="1">
      <c r="BM54581" s="1025"/>
      <c r="BO54581" s="43"/>
    </row>
    <row r="54582" spans="65:67" ht="18.75" customHeight="1">
      <c r="BM54582" s="1025"/>
      <c r="BO54582" s="43"/>
    </row>
    <row r="54583" spans="65:67" ht="18.75" customHeight="1">
      <c r="BM54583" s="1025"/>
      <c r="BO54583" s="43"/>
    </row>
    <row r="54584" spans="65:67" ht="18.75" customHeight="1">
      <c r="BM54584" s="1025"/>
      <c r="BO54584" s="43"/>
    </row>
    <row r="54585" spans="65:67" ht="18.75" customHeight="1">
      <c r="BM54585" s="1025"/>
      <c r="BO54585" s="43"/>
    </row>
    <row r="54586" spans="65:67" ht="18.75" customHeight="1">
      <c r="BM54586" s="1025"/>
      <c r="BO54586" s="43"/>
    </row>
    <row r="54587" spans="65:67" ht="18.75" customHeight="1">
      <c r="BM54587" s="1025"/>
      <c r="BO54587" s="43"/>
    </row>
    <row r="54588" spans="65:67" ht="18.75" customHeight="1">
      <c r="BM54588" s="1025"/>
      <c r="BO54588" s="43"/>
    </row>
    <row r="54589" spans="65:67" ht="18.75" customHeight="1">
      <c r="BM54589" s="1025"/>
      <c r="BO54589" s="43"/>
    </row>
    <row r="54590" spans="65:67" ht="18.75" customHeight="1">
      <c r="BM54590" s="1025"/>
      <c r="BO54590" s="43"/>
    </row>
    <row r="54591" spans="65:67" ht="18.75" customHeight="1">
      <c r="BM54591" s="1025"/>
      <c r="BO54591" s="43"/>
    </row>
    <row r="54592" spans="65:67" ht="18.75" customHeight="1">
      <c r="BM54592" s="1025"/>
      <c r="BO54592" s="43"/>
    </row>
    <row r="54593" spans="65:67" ht="18.75" customHeight="1">
      <c r="BM54593" s="1025"/>
      <c r="BO54593" s="43"/>
    </row>
    <row r="54594" spans="65:67" ht="18.75" customHeight="1">
      <c r="BM54594" s="1025"/>
      <c r="BO54594" s="43"/>
    </row>
    <row r="54595" spans="65:67" ht="18.75" customHeight="1">
      <c r="BM54595" s="1025"/>
      <c r="BO54595" s="43"/>
    </row>
    <row r="54596" spans="65:67" ht="18.75" customHeight="1">
      <c r="BM54596" s="1025"/>
      <c r="BO54596" s="43"/>
    </row>
    <row r="54597" spans="65:67" ht="18.75" customHeight="1">
      <c r="BM54597" s="1025"/>
      <c r="BO54597" s="43"/>
    </row>
    <row r="54598" spans="65:67" ht="18.75" customHeight="1">
      <c r="BM54598" s="1025"/>
      <c r="BO54598" s="43"/>
    </row>
    <row r="54599" spans="65:67" ht="18.75" customHeight="1">
      <c r="BM54599" s="1025"/>
      <c r="BO54599" s="43"/>
    </row>
    <row r="54600" spans="65:67" ht="18.75" customHeight="1">
      <c r="BM54600" s="1025"/>
      <c r="BO54600" s="43"/>
    </row>
    <row r="54601" spans="65:67" ht="18.75" customHeight="1">
      <c r="BM54601" s="1025"/>
      <c r="BO54601" s="43"/>
    </row>
    <row r="54602" spans="65:67" ht="18.75" customHeight="1">
      <c r="BM54602" s="1025"/>
      <c r="BO54602" s="43"/>
    </row>
    <row r="54603" spans="65:67" ht="18.75" customHeight="1">
      <c r="BM54603" s="1025"/>
      <c r="BO54603" s="43"/>
    </row>
    <row r="54604" spans="65:67" ht="18.75" customHeight="1">
      <c r="BM54604" s="1025"/>
      <c r="BO54604" s="43"/>
    </row>
    <row r="54605" spans="65:67" ht="18.75" customHeight="1">
      <c r="BM54605" s="1025"/>
      <c r="BO54605" s="43"/>
    </row>
    <row r="54606" spans="65:67" ht="18.75" customHeight="1">
      <c r="BM54606" s="1025"/>
      <c r="BO54606" s="43"/>
    </row>
    <row r="54607" spans="65:67" ht="18.75" customHeight="1">
      <c r="BM54607" s="1025"/>
      <c r="BO54607" s="43"/>
    </row>
    <row r="54608" spans="65:67" ht="18.75" customHeight="1">
      <c r="BM54608" s="1025"/>
      <c r="BO54608" s="43"/>
    </row>
    <row r="54609" spans="65:67" ht="18.75" customHeight="1">
      <c r="BM54609" s="1025"/>
      <c r="BO54609" s="43"/>
    </row>
    <row r="54610" spans="65:67" ht="18.75" customHeight="1">
      <c r="BM54610" s="1025"/>
      <c r="BO54610" s="43"/>
    </row>
    <row r="54611" spans="65:67" ht="18.75" customHeight="1">
      <c r="BM54611" s="1025"/>
      <c r="BO54611" s="43"/>
    </row>
    <row r="54612" spans="65:67" ht="18.75" customHeight="1">
      <c r="BM54612" s="1025"/>
      <c r="BO54612" s="43"/>
    </row>
    <row r="54613" spans="65:67" ht="18.75" customHeight="1">
      <c r="BM54613" s="1025"/>
      <c r="BO54613" s="43"/>
    </row>
    <row r="54614" spans="65:67" ht="18.75" customHeight="1">
      <c r="BM54614" s="1025"/>
      <c r="BO54614" s="43"/>
    </row>
    <row r="54615" spans="65:67" ht="18.75" customHeight="1">
      <c r="BM54615" s="1025"/>
      <c r="BO54615" s="43"/>
    </row>
    <row r="54616" spans="65:67" ht="18.75" customHeight="1">
      <c r="BM54616" s="1025"/>
      <c r="BO54616" s="43"/>
    </row>
    <row r="54617" spans="65:67" ht="18.75" customHeight="1">
      <c r="BM54617" s="1025"/>
      <c r="BO54617" s="43"/>
    </row>
    <row r="54618" spans="65:67" ht="18.75" customHeight="1">
      <c r="BM54618" s="1025"/>
      <c r="BO54618" s="43"/>
    </row>
    <row r="54619" spans="65:67" ht="18.75" customHeight="1">
      <c r="BM54619" s="1025"/>
      <c r="BO54619" s="43"/>
    </row>
    <row r="54620" spans="65:67" ht="18.75" customHeight="1">
      <c r="BM54620" s="1025"/>
      <c r="BO54620" s="43"/>
    </row>
    <row r="54621" spans="65:67" ht="18.75" customHeight="1">
      <c r="BM54621" s="1025"/>
      <c r="BO54621" s="43"/>
    </row>
    <row r="54622" spans="65:67" ht="18.75" customHeight="1">
      <c r="BM54622" s="1025"/>
      <c r="BO54622" s="43"/>
    </row>
    <row r="54623" spans="65:67" ht="18.75" customHeight="1">
      <c r="BM54623" s="1025"/>
      <c r="BO54623" s="43"/>
    </row>
    <row r="54624" spans="65:67" ht="18.75" customHeight="1">
      <c r="BM54624" s="1025"/>
      <c r="BO54624" s="43"/>
    </row>
    <row r="54625" spans="65:67" ht="18.75" customHeight="1">
      <c r="BM54625" s="1025"/>
      <c r="BO54625" s="43"/>
    </row>
    <row r="54626" spans="65:67" ht="18.75" customHeight="1">
      <c r="BM54626" s="1025"/>
      <c r="BO54626" s="43"/>
    </row>
    <row r="54627" spans="65:67" ht="18.75" customHeight="1">
      <c r="BM54627" s="1025"/>
      <c r="BO54627" s="43"/>
    </row>
    <row r="54628" spans="65:67" ht="18.75" customHeight="1">
      <c r="BM54628" s="1025"/>
      <c r="BO54628" s="43"/>
    </row>
    <row r="54629" spans="65:67" ht="18.75" customHeight="1">
      <c r="BM54629" s="1025"/>
      <c r="BO54629" s="43"/>
    </row>
    <row r="54630" spans="65:67" ht="18.75" customHeight="1">
      <c r="BM54630" s="1025"/>
      <c r="BO54630" s="43"/>
    </row>
    <row r="54631" spans="65:67" ht="18.75" customHeight="1">
      <c r="BM54631" s="1025"/>
      <c r="BO54631" s="43"/>
    </row>
    <row r="54632" spans="65:67" ht="18.75" customHeight="1">
      <c r="BM54632" s="1025"/>
      <c r="BO54632" s="43"/>
    </row>
    <row r="54633" spans="65:67" ht="18.75" customHeight="1">
      <c r="BM54633" s="1025"/>
      <c r="BO54633" s="43"/>
    </row>
    <row r="54634" spans="65:67" ht="18.75" customHeight="1">
      <c r="BM54634" s="1025"/>
      <c r="BO54634" s="43"/>
    </row>
    <row r="54635" spans="65:67" ht="18.75" customHeight="1">
      <c r="BM54635" s="1025"/>
      <c r="BO54635" s="43"/>
    </row>
    <row r="54636" spans="65:67" ht="18.75" customHeight="1">
      <c r="BM54636" s="1025"/>
      <c r="BO54636" s="43"/>
    </row>
    <row r="54637" spans="65:67" ht="18.75" customHeight="1">
      <c r="BM54637" s="1025"/>
      <c r="BO54637" s="43"/>
    </row>
    <row r="54638" spans="65:67" ht="18.75" customHeight="1">
      <c r="BM54638" s="1025"/>
      <c r="BO54638" s="43"/>
    </row>
    <row r="54639" spans="65:67" ht="18.75" customHeight="1">
      <c r="BM54639" s="1025"/>
      <c r="BO54639" s="43"/>
    </row>
    <row r="54640" spans="65:67" ht="18.75" customHeight="1">
      <c r="BM54640" s="1025"/>
      <c r="BO54640" s="43"/>
    </row>
    <row r="54641" spans="65:67" ht="18.75" customHeight="1">
      <c r="BM54641" s="1025"/>
      <c r="BO54641" s="43"/>
    </row>
    <row r="54642" spans="65:67" ht="18.75" customHeight="1">
      <c r="BM54642" s="1025"/>
      <c r="BO54642" s="43"/>
    </row>
    <row r="54643" spans="65:67" ht="18.75" customHeight="1">
      <c r="BM54643" s="1025"/>
      <c r="BO54643" s="43"/>
    </row>
    <row r="54644" spans="65:67" ht="18.75" customHeight="1">
      <c r="BM54644" s="1025"/>
      <c r="BO54644" s="43"/>
    </row>
    <row r="54645" spans="65:67" ht="18.75" customHeight="1">
      <c r="BM54645" s="1025"/>
      <c r="BO54645" s="43"/>
    </row>
    <row r="54646" spans="65:67" ht="18.75" customHeight="1">
      <c r="BM54646" s="1025"/>
      <c r="BO54646" s="43"/>
    </row>
    <row r="54647" spans="65:67" ht="18.75" customHeight="1">
      <c r="BM54647" s="1025"/>
      <c r="BO54647" s="43"/>
    </row>
    <row r="54648" spans="65:67" ht="18.75" customHeight="1">
      <c r="BM54648" s="1025"/>
      <c r="BO54648" s="43"/>
    </row>
    <row r="54649" spans="65:67" ht="18.75" customHeight="1">
      <c r="BM54649" s="1025"/>
      <c r="BO54649" s="43"/>
    </row>
    <row r="54650" spans="65:67" ht="18.75" customHeight="1">
      <c r="BM54650" s="1025"/>
      <c r="BO54650" s="43"/>
    </row>
    <row r="54651" spans="65:67" ht="18.75" customHeight="1">
      <c r="BM54651" s="1025"/>
      <c r="BO54651" s="43"/>
    </row>
    <row r="54652" spans="65:67" ht="18.75" customHeight="1">
      <c r="BM54652" s="1025"/>
      <c r="BO54652" s="43"/>
    </row>
    <row r="54653" spans="65:67" ht="18.75" customHeight="1">
      <c r="BM54653" s="1025"/>
      <c r="BO54653" s="43"/>
    </row>
    <row r="54654" spans="65:67" ht="18.75" customHeight="1">
      <c r="BM54654" s="1025"/>
      <c r="BO54654" s="43"/>
    </row>
    <row r="54655" spans="65:67" ht="18.75" customHeight="1">
      <c r="BM54655" s="1025"/>
      <c r="BO54655" s="43"/>
    </row>
    <row r="54656" spans="65:67" ht="18.75" customHeight="1">
      <c r="BM54656" s="1025"/>
      <c r="BO54656" s="43"/>
    </row>
    <row r="54657" spans="65:67" ht="18.75" customHeight="1">
      <c r="BM54657" s="1025"/>
      <c r="BO54657" s="43"/>
    </row>
    <row r="54658" spans="65:67" ht="18.75" customHeight="1">
      <c r="BM54658" s="1025"/>
      <c r="BO54658" s="43"/>
    </row>
    <row r="54659" spans="65:67" ht="18.75" customHeight="1">
      <c r="BM54659" s="1025"/>
      <c r="BO54659" s="43"/>
    </row>
    <row r="54660" spans="65:67" ht="18.75" customHeight="1">
      <c r="BM54660" s="1025"/>
      <c r="BO54660" s="43"/>
    </row>
    <row r="54661" spans="65:67" ht="18.75" customHeight="1">
      <c r="BM54661" s="1025"/>
      <c r="BO54661" s="43"/>
    </row>
    <row r="54662" spans="65:67" ht="18.75" customHeight="1">
      <c r="BM54662" s="1025"/>
      <c r="BO54662" s="43"/>
    </row>
    <row r="54663" spans="65:67" ht="18.75" customHeight="1">
      <c r="BM54663" s="1025"/>
      <c r="BO54663" s="43"/>
    </row>
    <row r="54664" spans="65:67" ht="18.75" customHeight="1">
      <c r="BM54664" s="1025"/>
      <c r="BO54664" s="43"/>
    </row>
    <row r="54665" spans="65:67" ht="18.75" customHeight="1">
      <c r="BM54665" s="1025"/>
      <c r="BO54665" s="43"/>
    </row>
    <row r="54666" spans="65:67" ht="18.75" customHeight="1">
      <c r="BM54666" s="1025"/>
      <c r="BO54666" s="43"/>
    </row>
    <row r="54667" spans="65:67" ht="18.75" customHeight="1">
      <c r="BM54667" s="1025"/>
      <c r="BO54667" s="43"/>
    </row>
    <row r="54668" spans="65:67" ht="18.75" customHeight="1">
      <c r="BM54668" s="1025"/>
      <c r="BO54668" s="43"/>
    </row>
    <row r="54669" spans="65:67" ht="18.75" customHeight="1">
      <c r="BM54669" s="1025"/>
      <c r="BO54669" s="43"/>
    </row>
    <row r="54670" spans="65:67" ht="18.75" customHeight="1">
      <c r="BM54670" s="1025"/>
      <c r="BO54670" s="43"/>
    </row>
    <row r="54671" spans="65:67" ht="18.75" customHeight="1">
      <c r="BM54671" s="1025"/>
      <c r="BO54671" s="43"/>
    </row>
    <row r="54672" spans="65:67" ht="18.75" customHeight="1">
      <c r="BM54672" s="1025"/>
      <c r="BO54672" s="43"/>
    </row>
    <row r="54673" spans="65:67" ht="18.75" customHeight="1">
      <c r="BM54673" s="1025"/>
      <c r="BO54673" s="43"/>
    </row>
    <row r="54674" spans="65:67" ht="18.75" customHeight="1">
      <c r="BM54674" s="1025"/>
      <c r="BO54674" s="43"/>
    </row>
    <row r="54675" spans="65:67" ht="18.75" customHeight="1">
      <c r="BM54675" s="1025"/>
      <c r="BO54675" s="43"/>
    </row>
    <row r="54676" spans="65:67" ht="18.75" customHeight="1">
      <c r="BM54676" s="1025"/>
      <c r="BO54676" s="43"/>
    </row>
    <row r="54677" spans="65:67" ht="18.75" customHeight="1">
      <c r="BM54677" s="1025"/>
      <c r="BO54677" s="43"/>
    </row>
    <row r="54678" spans="65:67" ht="18.75" customHeight="1">
      <c r="BM54678" s="1025"/>
      <c r="BO54678" s="43"/>
    </row>
    <row r="54679" spans="65:67" ht="18.75" customHeight="1">
      <c r="BM54679" s="1025"/>
      <c r="BO54679" s="43"/>
    </row>
    <row r="54680" spans="65:67" ht="18.75" customHeight="1">
      <c r="BM54680" s="1025"/>
      <c r="BO54680" s="43"/>
    </row>
    <row r="54681" spans="65:67" ht="18.75" customHeight="1">
      <c r="BM54681" s="1025"/>
      <c r="BO54681" s="43"/>
    </row>
    <row r="54682" spans="65:67" ht="18.75" customHeight="1">
      <c r="BM54682" s="1025"/>
      <c r="BO54682" s="43"/>
    </row>
    <row r="54683" spans="65:67" ht="18.75" customHeight="1">
      <c r="BM54683" s="1025"/>
      <c r="BO54683" s="43"/>
    </row>
    <row r="54684" spans="65:67" ht="18.75" customHeight="1">
      <c r="BM54684" s="1025"/>
      <c r="BO54684" s="43"/>
    </row>
    <row r="54685" spans="65:67" ht="18.75" customHeight="1">
      <c r="BM54685" s="1025"/>
      <c r="BO54685" s="43"/>
    </row>
    <row r="54686" spans="65:67" ht="18.75" customHeight="1">
      <c r="BM54686" s="1025"/>
      <c r="BO54686" s="43"/>
    </row>
    <row r="54687" spans="65:67" ht="18.75" customHeight="1">
      <c r="BM54687" s="1025"/>
      <c r="BO54687" s="43"/>
    </row>
    <row r="54688" spans="65:67" ht="18.75" customHeight="1">
      <c r="BM54688" s="1025"/>
      <c r="BO54688" s="43"/>
    </row>
    <row r="54689" spans="65:67" ht="18.75" customHeight="1">
      <c r="BM54689" s="1025"/>
      <c r="BO54689" s="43"/>
    </row>
    <row r="54690" spans="65:67" ht="18.75" customHeight="1">
      <c r="BM54690" s="1025"/>
      <c r="BO54690" s="43"/>
    </row>
    <row r="54691" spans="65:67" ht="18.75" customHeight="1">
      <c r="BM54691" s="1025"/>
      <c r="BO54691" s="43"/>
    </row>
    <row r="54692" spans="65:67" ht="18.75" customHeight="1">
      <c r="BM54692" s="1025"/>
      <c r="BO54692" s="43"/>
    </row>
    <row r="54693" spans="65:67" ht="18.75" customHeight="1">
      <c r="BM54693" s="1025"/>
      <c r="BO54693" s="43"/>
    </row>
    <row r="54694" spans="65:67" ht="18.75" customHeight="1">
      <c r="BM54694" s="1025"/>
      <c r="BO54694" s="43"/>
    </row>
    <row r="54695" spans="65:67" ht="18.75" customHeight="1">
      <c r="BM54695" s="1025"/>
      <c r="BO54695" s="43"/>
    </row>
    <row r="54696" spans="65:67" ht="18.75" customHeight="1">
      <c r="BM54696" s="1025"/>
      <c r="BO54696" s="43"/>
    </row>
    <row r="54697" spans="65:67" ht="18.75" customHeight="1">
      <c r="BM54697" s="1025"/>
      <c r="BO54697" s="43"/>
    </row>
    <row r="54698" spans="65:67" ht="18.75" customHeight="1">
      <c r="BM54698" s="1025"/>
      <c r="BO54698" s="43"/>
    </row>
    <row r="54699" spans="65:67" ht="18.75" customHeight="1">
      <c r="BM54699" s="1025"/>
      <c r="BO54699" s="43"/>
    </row>
    <row r="54700" spans="65:67" ht="18.75" customHeight="1">
      <c r="BM54700" s="1025"/>
      <c r="BO54700" s="43"/>
    </row>
    <row r="54701" spans="65:67" ht="18.75" customHeight="1">
      <c r="BM54701" s="1025"/>
      <c r="BO54701" s="43"/>
    </row>
    <row r="54702" spans="65:67" ht="18.75" customHeight="1">
      <c r="BM54702" s="1025"/>
      <c r="BO54702" s="43"/>
    </row>
    <row r="54703" spans="65:67" ht="18.75" customHeight="1">
      <c r="BM54703" s="1025"/>
      <c r="BO54703" s="43"/>
    </row>
    <row r="54704" spans="65:67" ht="18.75" customHeight="1">
      <c r="BM54704" s="1025"/>
      <c r="BO54704" s="43"/>
    </row>
    <row r="54705" spans="65:67" ht="18.75" customHeight="1">
      <c r="BM54705" s="1025"/>
      <c r="BO54705" s="43"/>
    </row>
    <row r="54706" spans="65:67" ht="18.75" customHeight="1">
      <c r="BM54706" s="1025"/>
      <c r="BO54706" s="43"/>
    </row>
    <row r="54707" spans="65:67" ht="18.75" customHeight="1">
      <c r="BM54707" s="1025"/>
      <c r="BO54707" s="43"/>
    </row>
    <row r="54708" spans="65:67" ht="18.75" customHeight="1">
      <c r="BM54708" s="1025"/>
      <c r="BO54708" s="43"/>
    </row>
    <row r="54709" spans="65:67" ht="18.75" customHeight="1">
      <c r="BM54709" s="1025"/>
      <c r="BO54709" s="43"/>
    </row>
    <row r="54710" spans="65:67" ht="18.75" customHeight="1">
      <c r="BM54710" s="1025"/>
      <c r="BO54710" s="43"/>
    </row>
    <row r="54711" spans="65:67" ht="18.75" customHeight="1">
      <c r="BM54711" s="1025"/>
      <c r="BO54711" s="43"/>
    </row>
    <row r="54712" spans="65:67" ht="18.75" customHeight="1">
      <c r="BM54712" s="1025"/>
      <c r="BO54712" s="43"/>
    </row>
    <row r="54713" spans="65:67" ht="18.75" customHeight="1">
      <c r="BM54713" s="1025"/>
      <c r="BO54713" s="43"/>
    </row>
    <row r="54714" spans="65:67" ht="18.75" customHeight="1">
      <c r="BM54714" s="1025"/>
      <c r="BO54714" s="43"/>
    </row>
    <row r="54715" spans="65:67" ht="18.75" customHeight="1">
      <c r="BM54715" s="1025"/>
      <c r="BO54715" s="43"/>
    </row>
    <row r="54716" spans="65:67" ht="18.75" customHeight="1">
      <c r="BM54716" s="1025"/>
      <c r="BO54716" s="43"/>
    </row>
    <row r="54717" spans="65:67" ht="18.75" customHeight="1">
      <c r="BM54717" s="1025"/>
      <c r="BO54717" s="43"/>
    </row>
    <row r="54718" spans="65:67" ht="18.75" customHeight="1">
      <c r="BM54718" s="1025"/>
      <c r="BO54718" s="43"/>
    </row>
    <row r="54719" spans="65:67" ht="18.75" customHeight="1">
      <c r="BM54719" s="1025"/>
      <c r="BO54719" s="43"/>
    </row>
    <row r="54720" spans="65:67" ht="18.75" customHeight="1">
      <c r="BM54720" s="1025"/>
      <c r="BO54720" s="43"/>
    </row>
    <row r="54721" spans="65:67" ht="18.75" customHeight="1">
      <c r="BM54721" s="1025"/>
      <c r="BO54721" s="43"/>
    </row>
    <row r="54722" spans="65:67" ht="18.75" customHeight="1">
      <c r="BM54722" s="1025"/>
      <c r="BO54722" s="43"/>
    </row>
    <row r="54723" spans="65:67" ht="18.75" customHeight="1">
      <c r="BM54723" s="1025"/>
      <c r="BO54723" s="43"/>
    </row>
    <row r="54724" spans="65:67" ht="18.75" customHeight="1">
      <c r="BM54724" s="1025"/>
      <c r="BO54724" s="43"/>
    </row>
    <row r="54725" spans="65:67" ht="18.75" customHeight="1">
      <c r="BM54725" s="1025"/>
      <c r="BO54725" s="43"/>
    </row>
    <row r="54726" spans="65:67" ht="18.75" customHeight="1">
      <c r="BM54726" s="1025"/>
      <c r="BO54726" s="43"/>
    </row>
    <row r="54727" spans="65:67" ht="18.75" customHeight="1">
      <c r="BM54727" s="1025"/>
      <c r="BO54727" s="43"/>
    </row>
    <row r="54728" spans="65:67" ht="18.75" customHeight="1">
      <c r="BM54728" s="1025"/>
      <c r="BO54728" s="43"/>
    </row>
    <row r="54729" spans="65:67" ht="18.75" customHeight="1">
      <c r="BM54729" s="1025"/>
      <c r="BO54729" s="43"/>
    </row>
    <row r="54730" spans="65:67" ht="18.75" customHeight="1">
      <c r="BM54730" s="1025"/>
      <c r="BO54730" s="43"/>
    </row>
    <row r="54731" spans="65:67" ht="18.75" customHeight="1">
      <c r="BM54731" s="1025"/>
      <c r="BO54731" s="43"/>
    </row>
    <row r="54732" spans="65:67" ht="18.75" customHeight="1">
      <c r="BM54732" s="1025"/>
      <c r="BO54732" s="43"/>
    </row>
    <row r="54733" spans="65:67" ht="18.75" customHeight="1">
      <c r="BM54733" s="1025"/>
      <c r="BO54733" s="43"/>
    </row>
    <row r="54734" spans="65:67" ht="18.75" customHeight="1">
      <c r="BM54734" s="1025"/>
      <c r="BO54734" s="43"/>
    </row>
    <row r="54735" spans="65:67" ht="18.75" customHeight="1">
      <c r="BM54735" s="1025"/>
      <c r="BO54735" s="43"/>
    </row>
    <row r="54736" spans="65:67" ht="18.75" customHeight="1">
      <c r="BM54736" s="1025"/>
      <c r="BO54736" s="43"/>
    </row>
    <row r="54737" spans="65:67" ht="18.75" customHeight="1">
      <c r="BM54737" s="1025"/>
      <c r="BO54737" s="43"/>
    </row>
    <row r="54738" spans="65:67" ht="18.75" customHeight="1">
      <c r="BM54738" s="1025"/>
      <c r="BO54738" s="43"/>
    </row>
    <row r="54739" spans="65:67" ht="18.75" customHeight="1">
      <c r="BM54739" s="1025"/>
      <c r="BO54739" s="43"/>
    </row>
    <row r="54740" spans="65:67" ht="18.75" customHeight="1">
      <c r="BM54740" s="1025"/>
      <c r="BO54740" s="43"/>
    </row>
    <row r="54741" spans="65:67" ht="18.75" customHeight="1">
      <c r="BM54741" s="1025"/>
      <c r="BO54741" s="43"/>
    </row>
    <row r="54742" spans="65:67" ht="18.75" customHeight="1">
      <c r="BM54742" s="1025"/>
      <c r="BO54742" s="43"/>
    </row>
    <row r="54743" spans="65:67" ht="18.75" customHeight="1">
      <c r="BM54743" s="1025"/>
      <c r="BO54743" s="43"/>
    </row>
    <row r="54744" spans="65:67" ht="18.75" customHeight="1">
      <c r="BM54744" s="1025"/>
      <c r="BO54744" s="43"/>
    </row>
    <row r="54745" spans="65:67" ht="18.75" customHeight="1">
      <c r="BM54745" s="1025"/>
      <c r="BO54745" s="43"/>
    </row>
    <row r="54746" spans="65:67" ht="18.75" customHeight="1">
      <c r="BM54746" s="1025"/>
      <c r="BO54746" s="43"/>
    </row>
    <row r="54747" spans="65:67" ht="18.75" customHeight="1">
      <c r="BM54747" s="1025"/>
      <c r="BO54747" s="43"/>
    </row>
    <row r="54748" spans="65:67" ht="18.75" customHeight="1">
      <c r="BM54748" s="1025"/>
      <c r="BO54748" s="43"/>
    </row>
    <row r="54749" spans="65:67" ht="18.75" customHeight="1">
      <c r="BM54749" s="1025"/>
      <c r="BO54749" s="43"/>
    </row>
    <row r="54750" spans="65:67" ht="18.75" customHeight="1">
      <c r="BM54750" s="1025"/>
      <c r="BO54750" s="43"/>
    </row>
    <row r="54751" spans="65:67" ht="18.75" customHeight="1">
      <c r="BM54751" s="1025"/>
      <c r="BO54751" s="43"/>
    </row>
    <row r="54752" spans="65:67" ht="18.75" customHeight="1">
      <c r="BM54752" s="1025"/>
      <c r="BO54752" s="43"/>
    </row>
    <row r="54753" spans="65:67" ht="18.75" customHeight="1">
      <c r="BM54753" s="1025"/>
      <c r="BO54753" s="43"/>
    </row>
    <row r="54754" spans="65:67" ht="18.75" customHeight="1">
      <c r="BM54754" s="1025"/>
      <c r="BO54754" s="43"/>
    </row>
    <row r="54755" spans="65:67" ht="18.75" customHeight="1">
      <c r="BM54755" s="1025"/>
      <c r="BO54755" s="43"/>
    </row>
    <row r="54756" spans="65:67" ht="18.75" customHeight="1">
      <c r="BM54756" s="1025"/>
      <c r="BO54756" s="43"/>
    </row>
    <row r="54757" spans="65:67" ht="18.75" customHeight="1">
      <c r="BM54757" s="1025"/>
      <c r="BO54757" s="43"/>
    </row>
    <row r="54758" spans="65:67" ht="18.75" customHeight="1">
      <c r="BM54758" s="1025"/>
      <c r="BO54758" s="43"/>
    </row>
    <row r="54759" spans="65:67" ht="18.75" customHeight="1">
      <c r="BM54759" s="1025"/>
      <c r="BO54759" s="43"/>
    </row>
    <row r="54760" spans="65:67" ht="18.75" customHeight="1">
      <c r="BM54760" s="1025"/>
      <c r="BO54760" s="43"/>
    </row>
    <row r="54761" spans="65:67" ht="18.75" customHeight="1">
      <c r="BM54761" s="1025"/>
      <c r="BO54761" s="43"/>
    </row>
    <row r="54762" spans="65:67" ht="18.75" customHeight="1">
      <c r="BM54762" s="1025"/>
      <c r="BO54762" s="43"/>
    </row>
    <row r="54763" spans="65:67" ht="18.75" customHeight="1">
      <c r="BM54763" s="1025"/>
      <c r="BO54763" s="43"/>
    </row>
    <row r="54764" spans="65:67" ht="18.75" customHeight="1">
      <c r="BM54764" s="1025"/>
      <c r="BO54764" s="43"/>
    </row>
    <row r="54765" spans="65:67" ht="18.75" customHeight="1">
      <c r="BM54765" s="1025"/>
      <c r="BO54765" s="43"/>
    </row>
    <row r="54766" spans="65:67" ht="18.75" customHeight="1">
      <c r="BM54766" s="1025"/>
      <c r="BO54766" s="43"/>
    </row>
    <row r="54767" spans="65:67" ht="18.75" customHeight="1">
      <c r="BM54767" s="1025"/>
      <c r="BO54767" s="43"/>
    </row>
    <row r="54768" spans="65:67" ht="18.75" customHeight="1">
      <c r="BM54768" s="1025"/>
      <c r="BO54768" s="43"/>
    </row>
    <row r="54769" spans="65:67" ht="18.75" customHeight="1">
      <c r="BM54769" s="1025"/>
      <c r="BO54769" s="43"/>
    </row>
    <row r="54770" spans="65:67" ht="18.75" customHeight="1">
      <c r="BM54770" s="1025"/>
      <c r="BO54770" s="43"/>
    </row>
    <row r="54771" spans="65:67" ht="18.75" customHeight="1">
      <c r="BM54771" s="1025"/>
      <c r="BO54771" s="43"/>
    </row>
    <row r="54772" spans="65:67" ht="18.75" customHeight="1">
      <c r="BM54772" s="1025"/>
      <c r="BO54772" s="43"/>
    </row>
    <row r="54773" spans="65:67" ht="18.75" customHeight="1">
      <c r="BM54773" s="1025"/>
      <c r="BO54773" s="43"/>
    </row>
    <row r="54774" spans="65:67" ht="18.75" customHeight="1">
      <c r="BM54774" s="1025"/>
      <c r="BO54774" s="43"/>
    </row>
    <row r="54775" spans="65:67" ht="18.75" customHeight="1">
      <c r="BM54775" s="1025"/>
      <c r="BO54775" s="43"/>
    </row>
    <row r="54776" spans="65:67" ht="18.75" customHeight="1">
      <c r="BM54776" s="1025"/>
      <c r="BO54776" s="43"/>
    </row>
    <row r="54777" spans="65:67" ht="18.75" customHeight="1">
      <c r="BM54777" s="1025"/>
      <c r="BO54777" s="43"/>
    </row>
    <row r="54778" spans="65:67" ht="18.75" customHeight="1">
      <c r="BM54778" s="1025"/>
      <c r="BO54778" s="43"/>
    </row>
    <row r="54779" spans="65:67" ht="18.75" customHeight="1">
      <c r="BM54779" s="1025"/>
      <c r="BO54779" s="43"/>
    </row>
    <row r="54780" spans="65:67" ht="18.75" customHeight="1">
      <c r="BM54780" s="1025"/>
      <c r="BO54780" s="43"/>
    </row>
    <row r="54781" spans="65:67" ht="18.75" customHeight="1">
      <c r="BM54781" s="1025"/>
      <c r="BO54781" s="43"/>
    </row>
    <row r="54782" spans="65:67" ht="18.75" customHeight="1">
      <c r="BM54782" s="1025"/>
      <c r="BO54782" s="43"/>
    </row>
    <row r="54783" spans="65:67" ht="18.75" customHeight="1">
      <c r="BM54783" s="1025"/>
      <c r="BO54783" s="43"/>
    </row>
    <row r="54784" spans="65:67" ht="18.75" customHeight="1">
      <c r="BM54784" s="1025"/>
      <c r="BO54784" s="43"/>
    </row>
    <row r="54785" spans="65:67" ht="18.75" customHeight="1">
      <c r="BM54785" s="1025"/>
      <c r="BO54785" s="43"/>
    </row>
    <row r="54786" spans="65:67" ht="18.75" customHeight="1">
      <c r="BM54786" s="1025"/>
      <c r="BO54786" s="43"/>
    </row>
    <row r="54787" spans="65:67" ht="18.75" customHeight="1">
      <c r="BM54787" s="1025"/>
      <c r="BO54787" s="43"/>
    </row>
    <row r="54788" spans="65:67" ht="18.75" customHeight="1">
      <c r="BM54788" s="1025"/>
      <c r="BO54788" s="43"/>
    </row>
    <row r="54789" spans="65:67" ht="18.75" customHeight="1">
      <c r="BM54789" s="1025"/>
      <c r="BO54789" s="43"/>
    </row>
    <row r="54790" spans="65:67" ht="18.75" customHeight="1">
      <c r="BM54790" s="1025"/>
      <c r="BO54790" s="43"/>
    </row>
    <row r="54791" spans="65:67" ht="18.75" customHeight="1">
      <c r="BM54791" s="1025"/>
      <c r="BO54791" s="43"/>
    </row>
    <row r="54792" spans="65:67" ht="18.75" customHeight="1">
      <c r="BM54792" s="1025"/>
      <c r="BO54792" s="43"/>
    </row>
    <row r="54793" spans="65:67" ht="18.75" customHeight="1">
      <c r="BM54793" s="1025"/>
      <c r="BO54793" s="43"/>
    </row>
    <row r="54794" spans="65:67" ht="18.75" customHeight="1">
      <c r="BM54794" s="1025"/>
      <c r="BO54794" s="43"/>
    </row>
    <row r="54795" spans="65:67" ht="18.75" customHeight="1">
      <c r="BM54795" s="1025"/>
      <c r="BO54795" s="43"/>
    </row>
    <row r="54796" spans="65:67" ht="18.75" customHeight="1">
      <c r="BM54796" s="1025"/>
      <c r="BO54796" s="43"/>
    </row>
    <row r="54797" spans="65:67" ht="18.75" customHeight="1">
      <c r="BM54797" s="1025"/>
      <c r="BO54797" s="43"/>
    </row>
    <row r="54798" spans="65:67" ht="18.75" customHeight="1">
      <c r="BM54798" s="1025"/>
      <c r="BO54798" s="43"/>
    </row>
    <row r="54799" spans="65:67" ht="18.75" customHeight="1">
      <c r="BM54799" s="1025"/>
      <c r="BO54799" s="43"/>
    </row>
    <row r="54800" spans="65:67" ht="18.75" customHeight="1">
      <c r="BM54800" s="1025"/>
      <c r="BO54800" s="43"/>
    </row>
    <row r="54801" spans="65:67" ht="18.75" customHeight="1">
      <c r="BM54801" s="1025"/>
      <c r="BO54801" s="43"/>
    </row>
    <row r="54802" spans="65:67" ht="18.75" customHeight="1">
      <c r="BM54802" s="1025"/>
      <c r="BO54802" s="43"/>
    </row>
    <row r="54803" spans="65:67" ht="18.75" customHeight="1">
      <c r="BM54803" s="1025"/>
      <c r="BO54803" s="43"/>
    </row>
    <row r="54804" spans="65:67" ht="18.75" customHeight="1">
      <c r="BM54804" s="1025"/>
      <c r="BO54804" s="43"/>
    </row>
    <row r="54805" spans="65:67" ht="18.75" customHeight="1">
      <c r="BM54805" s="1025"/>
      <c r="BO54805" s="43"/>
    </row>
    <row r="54806" spans="65:67" ht="18.75" customHeight="1">
      <c r="BM54806" s="1025"/>
      <c r="BO54806" s="43"/>
    </row>
    <row r="54807" spans="65:67" ht="18.75" customHeight="1">
      <c r="BM54807" s="1025"/>
      <c r="BO54807" s="43"/>
    </row>
    <row r="54808" spans="65:67" ht="18.75" customHeight="1">
      <c r="BM54808" s="1025"/>
      <c r="BO54808" s="43"/>
    </row>
    <row r="54809" spans="65:67" ht="18.75" customHeight="1">
      <c r="BM54809" s="1025"/>
      <c r="BO54809" s="43"/>
    </row>
    <row r="54810" spans="65:67" ht="18.75" customHeight="1">
      <c r="BM54810" s="1025"/>
      <c r="BO54810" s="43"/>
    </row>
    <row r="54811" spans="65:67" ht="18.75" customHeight="1">
      <c r="BM54811" s="1025"/>
      <c r="BO54811" s="43"/>
    </row>
    <row r="54812" spans="65:67" ht="18.75" customHeight="1">
      <c r="BM54812" s="1025"/>
      <c r="BO54812" s="43"/>
    </row>
    <row r="54813" spans="65:67" ht="18.75" customHeight="1">
      <c r="BM54813" s="1025"/>
      <c r="BO54813" s="43"/>
    </row>
    <row r="54814" spans="65:67" ht="18.75" customHeight="1">
      <c r="BM54814" s="1025"/>
      <c r="BO54814" s="43"/>
    </row>
    <row r="54815" spans="65:67" ht="18.75" customHeight="1">
      <c r="BM54815" s="1025"/>
      <c r="BO54815" s="43"/>
    </row>
    <row r="54816" spans="65:67" ht="18.75" customHeight="1">
      <c r="BM54816" s="1025"/>
      <c r="BO54816" s="43"/>
    </row>
    <row r="54817" spans="65:67" ht="18.75" customHeight="1">
      <c r="BM54817" s="1025"/>
      <c r="BO54817" s="43"/>
    </row>
    <row r="54818" spans="65:67" ht="18.75" customHeight="1">
      <c r="BM54818" s="1025"/>
      <c r="BO54818" s="43"/>
    </row>
    <row r="54819" spans="65:67" ht="18.75" customHeight="1">
      <c r="BM54819" s="1025"/>
      <c r="BO54819" s="43"/>
    </row>
    <row r="54820" spans="65:67" ht="18.75" customHeight="1">
      <c r="BM54820" s="1025"/>
      <c r="BO54820" s="43"/>
    </row>
    <row r="54821" spans="65:67" ht="18.75" customHeight="1">
      <c r="BM54821" s="1025"/>
      <c r="BO54821" s="43"/>
    </row>
    <row r="54822" spans="65:67" ht="18.75" customHeight="1">
      <c r="BM54822" s="1025"/>
      <c r="BO54822" s="43"/>
    </row>
    <row r="54823" spans="65:67" ht="18.75" customHeight="1">
      <c r="BM54823" s="1025"/>
      <c r="BO54823" s="43"/>
    </row>
    <row r="54824" spans="65:67" ht="18.75" customHeight="1">
      <c r="BM54824" s="1025"/>
      <c r="BO54824" s="43"/>
    </row>
    <row r="54825" spans="65:67" ht="18.75" customHeight="1">
      <c r="BM54825" s="1025"/>
      <c r="BO54825" s="43"/>
    </row>
    <row r="54826" spans="65:67" ht="18.75" customHeight="1">
      <c r="BM54826" s="1025"/>
      <c r="BO54826" s="43"/>
    </row>
    <row r="54827" spans="65:67" ht="18.75" customHeight="1">
      <c r="BM54827" s="1025"/>
      <c r="BO54827" s="43"/>
    </row>
    <row r="54828" spans="65:67" ht="18.75" customHeight="1">
      <c r="BM54828" s="1025"/>
      <c r="BO54828" s="43"/>
    </row>
    <row r="54829" spans="65:67" ht="18.75" customHeight="1">
      <c r="BM54829" s="1025"/>
      <c r="BO54829" s="43"/>
    </row>
    <row r="54830" spans="65:67" ht="18.75" customHeight="1">
      <c r="BM54830" s="1025"/>
      <c r="BO54830" s="43"/>
    </row>
    <row r="54831" spans="65:67" ht="18.75" customHeight="1">
      <c r="BM54831" s="1025"/>
      <c r="BO54831" s="43"/>
    </row>
    <row r="54832" spans="65:67" ht="18.75" customHeight="1">
      <c r="BM54832" s="1025"/>
      <c r="BO54832" s="43"/>
    </row>
    <row r="54833" spans="65:67" ht="18.75" customHeight="1">
      <c r="BM54833" s="1025"/>
      <c r="BO54833" s="43"/>
    </row>
    <row r="54834" spans="65:67" ht="18.75" customHeight="1">
      <c r="BM54834" s="1025"/>
      <c r="BO54834" s="43"/>
    </row>
    <row r="54835" spans="65:67" ht="18.75" customHeight="1">
      <c r="BM54835" s="1025"/>
      <c r="BO54835" s="43"/>
    </row>
    <row r="54836" spans="65:67" ht="18.75" customHeight="1">
      <c r="BM54836" s="1025"/>
      <c r="BO54836" s="43"/>
    </row>
    <row r="54837" spans="65:67" ht="18.75" customHeight="1">
      <c r="BM54837" s="1025"/>
      <c r="BO54837" s="43"/>
    </row>
    <row r="54838" spans="65:67" ht="18.75" customHeight="1">
      <c r="BM54838" s="1025"/>
      <c r="BO54838" s="43"/>
    </row>
    <row r="54839" spans="65:67" ht="18.75" customHeight="1">
      <c r="BM54839" s="1025"/>
      <c r="BO54839" s="43"/>
    </row>
    <row r="54840" spans="65:67" ht="18.75" customHeight="1">
      <c r="BM54840" s="1025"/>
      <c r="BO54840" s="43"/>
    </row>
    <row r="54841" spans="65:67" ht="18.75" customHeight="1">
      <c r="BM54841" s="1025"/>
      <c r="BO54841" s="43"/>
    </row>
    <row r="54842" spans="65:67" ht="18.75" customHeight="1">
      <c r="BM54842" s="1025"/>
      <c r="BO54842" s="43"/>
    </row>
    <row r="54843" spans="65:67" ht="18.75" customHeight="1">
      <c r="BM54843" s="1025"/>
      <c r="BO54843" s="43"/>
    </row>
    <row r="54844" spans="65:67" ht="18.75" customHeight="1">
      <c r="BM54844" s="1025"/>
      <c r="BO54844" s="43"/>
    </row>
    <row r="54845" spans="65:67" ht="18.75" customHeight="1">
      <c r="BM54845" s="1025"/>
      <c r="BO54845" s="43"/>
    </row>
    <row r="54846" spans="65:67" ht="18.75" customHeight="1">
      <c r="BM54846" s="1025"/>
      <c r="BO54846" s="43"/>
    </row>
    <row r="54847" spans="65:67" ht="18.75" customHeight="1">
      <c r="BM54847" s="1025"/>
      <c r="BO54847" s="43"/>
    </row>
    <row r="54848" spans="65:67" ht="18.75" customHeight="1">
      <c r="BM54848" s="1025"/>
      <c r="BO54848" s="43"/>
    </row>
    <row r="54849" spans="65:67" ht="18.75" customHeight="1">
      <c r="BM54849" s="1025"/>
      <c r="BO54849" s="43"/>
    </row>
    <row r="54850" spans="65:67" ht="18.75" customHeight="1">
      <c r="BM54850" s="1025"/>
      <c r="BO54850" s="43"/>
    </row>
    <row r="54851" spans="65:67" ht="18.75" customHeight="1">
      <c r="BM54851" s="1025"/>
      <c r="BO54851" s="43"/>
    </row>
    <row r="54852" spans="65:67" ht="18.75" customHeight="1">
      <c r="BM54852" s="1025"/>
      <c r="BO54852" s="43"/>
    </row>
    <row r="54853" spans="65:67" ht="18.75" customHeight="1">
      <c r="BM54853" s="1025"/>
      <c r="BO54853" s="43"/>
    </row>
    <row r="54854" spans="65:67" ht="18.75" customHeight="1">
      <c r="BM54854" s="1025"/>
      <c r="BO54854" s="43"/>
    </row>
    <row r="54855" spans="65:67" ht="18.75" customHeight="1">
      <c r="BM54855" s="1025"/>
      <c r="BO54855" s="43"/>
    </row>
    <row r="54856" spans="65:67" ht="18.75" customHeight="1">
      <c r="BM54856" s="1025"/>
      <c r="BO54856" s="43"/>
    </row>
    <row r="54857" spans="65:67" ht="18.75" customHeight="1">
      <c r="BM54857" s="1025"/>
      <c r="BO54857" s="43"/>
    </row>
    <row r="54858" spans="65:67" ht="18.75" customHeight="1">
      <c r="BM54858" s="1025"/>
      <c r="BO54858" s="43"/>
    </row>
    <row r="54859" spans="65:67" ht="18.75" customHeight="1">
      <c r="BM54859" s="1025"/>
      <c r="BO54859" s="43"/>
    </row>
    <row r="54860" spans="65:67" ht="18.75" customHeight="1">
      <c r="BM54860" s="1025"/>
      <c r="BO54860" s="43"/>
    </row>
    <row r="54861" spans="65:67" ht="18.75" customHeight="1">
      <c r="BM54861" s="1025"/>
      <c r="BO54861" s="43"/>
    </row>
    <row r="54862" spans="65:67" ht="18.75" customHeight="1">
      <c r="BM54862" s="1025"/>
      <c r="BO54862" s="43"/>
    </row>
    <row r="54863" spans="65:67" ht="18.75" customHeight="1">
      <c r="BM54863" s="1025"/>
      <c r="BO54863" s="43"/>
    </row>
    <row r="54864" spans="65:67" ht="18.75" customHeight="1">
      <c r="BM54864" s="1025"/>
      <c r="BO54864" s="43"/>
    </row>
    <row r="54865" spans="65:67" ht="18.75" customHeight="1">
      <c r="BM54865" s="1025"/>
      <c r="BO54865" s="43"/>
    </row>
    <row r="54866" spans="65:67" ht="18.75" customHeight="1">
      <c r="BM54866" s="1025"/>
      <c r="BO54866" s="43"/>
    </row>
    <row r="54867" spans="65:67" ht="18.75" customHeight="1">
      <c r="BM54867" s="1025"/>
      <c r="BO54867" s="43"/>
    </row>
    <row r="54868" spans="65:67" ht="18.75" customHeight="1">
      <c r="BM54868" s="1025"/>
      <c r="BO54868" s="43"/>
    </row>
    <row r="54869" spans="65:67" ht="18.75" customHeight="1">
      <c r="BM54869" s="1025"/>
      <c r="BO54869" s="43"/>
    </row>
    <row r="54870" spans="65:67" ht="18.75" customHeight="1">
      <c r="BM54870" s="1025"/>
      <c r="BO54870" s="43"/>
    </row>
    <row r="54871" spans="65:67" ht="18.75" customHeight="1">
      <c r="BM54871" s="1025"/>
      <c r="BO54871" s="43"/>
    </row>
    <row r="54872" spans="65:67" ht="18.75" customHeight="1">
      <c r="BM54872" s="1025"/>
      <c r="BO54872" s="43"/>
    </row>
    <row r="54873" spans="65:67" ht="18.75" customHeight="1">
      <c r="BM54873" s="1025"/>
      <c r="BO54873" s="43"/>
    </row>
    <row r="54874" spans="65:67" ht="18.75" customHeight="1">
      <c r="BM54874" s="1025"/>
      <c r="BO54874" s="43"/>
    </row>
    <row r="54875" spans="65:67" ht="18.75" customHeight="1">
      <c r="BM54875" s="1025"/>
      <c r="BO54875" s="43"/>
    </row>
    <row r="54876" spans="65:67" ht="18.75" customHeight="1">
      <c r="BM54876" s="1025"/>
      <c r="BO54876" s="43"/>
    </row>
    <row r="54877" spans="65:67" ht="18.75" customHeight="1">
      <c r="BM54877" s="1025"/>
      <c r="BO54877" s="43"/>
    </row>
    <row r="54878" spans="65:67" ht="18.75" customHeight="1">
      <c r="BM54878" s="1025"/>
      <c r="BO54878" s="43"/>
    </row>
    <row r="54879" spans="65:67" ht="18.75" customHeight="1">
      <c r="BM54879" s="1025"/>
      <c r="BO54879" s="43"/>
    </row>
    <row r="54880" spans="65:67" ht="18.75" customHeight="1">
      <c r="BM54880" s="1025"/>
      <c r="BO54880" s="43"/>
    </row>
    <row r="54881" spans="65:67" ht="18.75" customHeight="1">
      <c r="BM54881" s="1025"/>
      <c r="BO54881" s="43"/>
    </row>
    <row r="54882" spans="65:67" ht="18.75" customHeight="1">
      <c r="BM54882" s="1025"/>
      <c r="BO54882" s="43"/>
    </row>
    <row r="54883" spans="65:67" ht="18.75" customHeight="1">
      <c r="BM54883" s="1025"/>
      <c r="BO54883" s="43"/>
    </row>
    <row r="54884" spans="65:67" ht="18.75" customHeight="1">
      <c r="BM54884" s="1025"/>
      <c r="BO54884" s="43"/>
    </row>
    <row r="54885" spans="65:67" ht="18.75" customHeight="1">
      <c r="BM54885" s="1025"/>
      <c r="BO54885" s="43"/>
    </row>
    <row r="54886" spans="65:67" ht="18.75" customHeight="1">
      <c r="BM54886" s="1025"/>
      <c r="BO54886" s="43"/>
    </row>
    <row r="54887" spans="65:67" ht="18.75" customHeight="1">
      <c r="BM54887" s="1025"/>
      <c r="BO54887" s="43"/>
    </row>
    <row r="54888" spans="65:67" ht="18.75" customHeight="1">
      <c r="BM54888" s="1025"/>
      <c r="BO54888" s="43"/>
    </row>
    <row r="54889" spans="65:67" ht="18.75" customHeight="1">
      <c r="BM54889" s="1025"/>
      <c r="BO54889" s="43"/>
    </row>
    <row r="54890" spans="65:67" ht="18.75" customHeight="1">
      <c r="BM54890" s="1025"/>
      <c r="BO54890" s="43"/>
    </row>
    <row r="54891" spans="65:67" ht="18.75" customHeight="1">
      <c r="BM54891" s="1025"/>
      <c r="BO54891" s="43"/>
    </row>
    <row r="54892" spans="65:67" ht="18.75" customHeight="1">
      <c r="BM54892" s="1025"/>
      <c r="BO54892" s="43"/>
    </row>
    <row r="54893" spans="65:67" ht="18.75" customHeight="1">
      <c r="BM54893" s="1025"/>
      <c r="BO54893" s="43"/>
    </row>
    <row r="54894" spans="65:67" ht="18.75" customHeight="1">
      <c r="BM54894" s="1025"/>
      <c r="BO54894" s="43"/>
    </row>
    <row r="54895" spans="65:67" ht="18.75" customHeight="1">
      <c r="BM54895" s="1025"/>
      <c r="BO54895" s="43"/>
    </row>
    <row r="54896" spans="65:67" ht="18.75" customHeight="1">
      <c r="BM54896" s="1025"/>
      <c r="BO54896" s="43"/>
    </row>
    <row r="54897" spans="65:67" ht="18.75" customHeight="1">
      <c r="BM54897" s="1025"/>
      <c r="BO54897" s="43"/>
    </row>
    <row r="54898" spans="65:67" ht="18.75" customHeight="1">
      <c r="BM54898" s="1025"/>
      <c r="BO54898" s="43"/>
    </row>
    <row r="54899" spans="65:67" ht="18.75" customHeight="1">
      <c r="BM54899" s="1025"/>
      <c r="BO54899" s="43"/>
    </row>
    <row r="54900" spans="65:67" ht="18.75" customHeight="1">
      <c r="BM54900" s="1025"/>
      <c r="BO54900" s="43"/>
    </row>
    <row r="54901" spans="65:67" ht="18.75" customHeight="1">
      <c r="BM54901" s="1025"/>
      <c r="BO54901" s="43"/>
    </row>
    <row r="54902" spans="65:67" ht="18.75" customHeight="1">
      <c r="BM54902" s="1025"/>
      <c r="BO54902" s="43"/>
    </row>
    <row r="54903" spans="65:67" ht="18.75" customHeight="1">
      <c r="BM54903" s="1025"/>
      <c r="BO54903" s="43"/>
    </row>
    <row r="54904" spans="65:67" ht="18.75" customHeight="1">
      <c r="BM54904" s="1025"/>
      <c r="BO54904" s="43"/>
    </row>
    <row r="54905" spans="65:67" ht="18.75" customHeight="1">
      <c r="BM54905" s="1025"/>
      <c r="BO54905" s="43"/>
    </row>
    <row r="54906" spans="65:67" ht="18.75" customHeight="1">
      <c r="BM54906" s="1025"/>
      <c r="BO54906" s="43"/>
    </row>
    <row r="54907" spans="65:67" ht="18.75" customHeight="1">
      <c r="BM54907" s="1025"/>
      <c r="BO54907" s="43"/>
    </row>
    <row r="54908" spans="65:67" ht="18.75" customHeight="1">
      <c r="BM54908" s="1025"/>
      <c r="BO54908" s="43"/>
    </row>
    <row r="54909" spans="65:67" ht="18.75" customHeight="1">
      <c r="BM54909" s="1025"/>
      <c r="BO54909" s="43"/>
    </row>
    <row r="54910" spans="65:67" ht="18.75" customHeight="1">
      <c r="BM54910" s="1025"/>
      <c r="BO54910" s="43"/>
    </row>
    <row r="54911" spans="65:67" ht="18.75" customHeight="1">
      <c r="BM54911" s="1025"/>
      <c r="BO54911" s="43"/>
    </row>
    <row r="54912" spans="65:67" ht="18.75" customHeight="1">
      <c r="BM54912" s="1025"/>
      <c r="BO54912" s="43"/>
    </row>
    <row r="54913" spans="65:67" ht="18.75" customHeight="1">
      <c r="BM54913" s="1025"/>
      <c r="BO54913" s="43"/>
    </row>
    <row r="54914" spans="65:67" ht="18.75" customHeight="1">
      <c r="BM54914" s="1025"/>
      <c r="BO54914" s="43"/>
    </row>
    <row r="54915" spans="65:67" ht="18.75" customHeight="1">
      <c r="BM54915" s="1025"/>
      <c r="BO54915" s="43"/>
    </row>
    <row r="54916" spans="65:67" ht="18.75" customHeight="1">
      <c r="BM54916" s="1025"/>
      <c r="BO54916" s="43"/>
    </row>
    <row r="54917" spans="65:67" ht="18.75" customHeight="1">
      <c r="BM54917" s="1025"/>
      <c r="BO54917" s="43"/>
    </row>
    <row r="54918" spans="65:67" ht="18.75" customHeight="1">
      <c r="BM54918" s="1025"/>
      <c r="BO54918" s="43"/>
    </row>
    <row r="54919" spans="65:67" ht="18.75" customHeight="1">
      <c r="BM54919" s="1025"/>
      <c r="BO54919" s="43"/>
    </row>
    <row r="54920" spans="65:67" ht="18.75" customHeight="1">
      <c r="BM54920" s="1025"/>
      <c r="BO54920" s="43"/>
    </row>
    <row r="54921" spans="65:67" ht="18.75" customHeight="1">
      <c r="BM54921" s="1025"/>
      <c r="BO54921" s="43"/>
    </row>
    <row r="54922" spans="65:67" ht="18.75" customHeight="1">
      <c r="BM54922" s="1025"/>
      <c r="BO54922" s="43"/>
    </row>
    <row r="54923" spans="65:67" ht="18.75" customHeight="1">
      <c r="BM54923" s="1025"/>
      <c r="BO54923" s="43"/>
    </row>
    <row r="54924" spans="65:67" ht="18.75" customHeight="1">
      <c r="BM54924" s="1025"/>
      <c r="BO54924" s="43"/>
    </row>
    <row r="54925" spans="65:67" ht="18.75" customHeight="1">
      <c r="BM54925" s="1025"/>
      <c r="BO54925" s="43"/>
    </row>
    <row r="54926" spans="65:67" ht="18.75" customHeight="1">
      <c r="BM54926" s="1025"/>
      <c r="BO54926" s="43"/>
    </row>
    <row r="54927" spans="65:67" ht="18.75" customHeight="1">
      <c r="BM54927" s="1025"/>
      <c r="BO54927" s="43"/>
    </row>
    <row r="54928" spans="65:67" ht="18.75" customHeight="1">
      <c r="BM54928" s="1025"/>
      <c r="BO54928" s="43"/>
    </row>
    <row r="54929" spans="65:67" ht="18.75" customHeight="1">
      <c r="BM54929" s="1025"/>
      <c r="BO54929" s="43"/>
    </row>
    <row r="54930" spans="65:67" ht="18.75" customHeight="1">
      <c r="BM54930" s="1025"/>
      <c r="BO54930" s="43"/>
    </row>
    <row r="54931" spans="65:67" ht="18.75" customHeight="1">
      <c r="BM54931" s="1025"/>
      <c r="BO54931" s="43"/>
    </row>
    <row r="54932" spans="65:67" ht="18.75" customHeight="1">
      <c r="BM54932" s="1025"/>
      <c r="BO54932" s="43"/>
    </row>
    <row r="54933" spans="65:67" ht="18.75" customHeight="1">
      <c r="BM54933" s="1025"/>
      <c r="BO54933" s="43"/>
    </row>
    <row r="54934" spans="65:67" ht="18.75" customHeight="1">
      <c r="BM54934" s="1025"/>
      <c r="BO54934" s="43"/>
    </row>
    <row r="54935" spans="65:67" ht="18.75" customHeight="1">
      <c r="BM54935" s="1025"/>
      <c r="BO54935" s="43"/>
    </row>
    <row r="54936" spans="65:67" ht="18.75" customHeight="1">
      <c r="BM54936" s="1025"/>
      <c r="BO54936" s="43"/>
    </row>
    <row r="54937" spans="65:67" ht="18.75" customHeight="1">
      <c r="BM54937" s="1025"/>
      <c r="BO54937" s="43"/>
    </row>
    <row r="54938" spans="65:67" ht="18.75" customHeight="1">
      <c r="BM54938" s="1025"/>
      <c r="BO54938" s="43"/>
    </row>
    <row r="54939" spans="65:67" ht="18.75" customHeight="1">
      <c r="BM54939" s="1025"/>
      <c r="BO54939" s="43"/>
    </row>
    <row r="54940" spans="65:67" ht="18.75" customHeight="1">
      <c r="BM54940" s="1025"/>
      <c r="BO54940" s="43"/>
    </row>
    <row r="54941" spans="65:67" ht="18.75" customHeight="1">
      <c r="BM54941" s="1025"/>
      <c r="BO54941" s="43"/>
    </row>
    <row r="54942" spans="65:67" ht="18.75" customHeight="1">
      <c r="BM54942" s="1025"/>
      <c r="BO54942" s="43"/>
    </row>
    <row r="54943" spans="65:67" ht="18.75" customHeight="1">
      <c r="BM54943" s="1025"/>
      <c r="BO54943" s="43"/>
    </row>
    <row r="54944" spans="65:67" ht="18.75" customHeight="1">
      <c r="BM54944" s="1025"/>
      <c r="BO54944" s="43"/>
    </row>
    <row r="54945" spans="65:67" ht="18.75" customHeight="1">
      <c r="BM54945" s="1025"/>
      <c r="BO54945" s="43"/>
    </row>
    <row r="54946" spans="65:67" ht="18.75" customHeight="1">
      <c r="BM54946" s="1025"/>
      <c r="BO54946" s="43"/>
    </row>
    <row r="54947" spans="65:67" ht="18.75" customHeight="1">
      <c r="BM54947" s="1025"/>
      <c r="BO54947" s="43"/>
    </row>
    <row r="54948" spans="65:67" ht="18.75" customHeight="1">
      <c r="BM54948" s="1025"/>
      <c r="BO54948" s="43"/>
    </row>
    <row r="54949" spans="65:67" ht="18.75" customHeight="1">
      <c r="BM54949" s="1025"/>
      <c r="BO54949" s="43"/>
    </row>
    <row r="54950" spans="65:67" ht="18.75" customHeight="1">
      <c r="BM54950" s="1025"/>
      <c r="BO54950" s="43"/>
    </row>
    <row r="54951" spans="65:67" ht="18.75" customHeight="1">
      <c r="BM54951" s="1025"/>
      <c r="BO54951" s="43"/>
    </row>
    <row r="54952" spans="65:67" ht="18.75" customHeight="1">
      <c r="BM54952" s="1025"/>
      <c r="BO54952" s="43"/>
    </row>
    <row r="54953" spans="65:67" ht="18.75" customHeight="1">
      <c r="BM54953" s="1025"/>
      <c r="BO54953" s="43"/>
    </row>
    <row r="54954" spans="65:67" ht="18.75" customHeight="1">
      <c r="BM54954" s="1025"/>
      <c r="BO54954" s="43"/>
    </row>
    <row r="54955" spans="65:67" ht="18.75" customHeight="1">
      <c r="BM54955" s="1025"/>
      <c r="BO54955" s="43"/>
    </row>
    <row r="54956" spans="65:67" ht="18.75" customHeight="1">
      <c r="BM54956" s="1025"/>
      <c r="BO54956" s="43"/>
    </row>
    <row r="54957" spans="65:67" ht="18.75" customHeight="1">
      <c r="BM54957" s="1025"/>
      <c r="BO54957" s="43"/>
    </row>
    <row r="54958" spans="65:67" ht="18.75" customHeight="1">
      <c r="BM54958" s="1025"/>
      <c r="BO54958" s="43"/>
    </row>
    <row r="54959" spans="65:67" ht="18.75" customHeight="1">
      <c r="BM54959" s="1025"/>
      <c r="BO54959" s="43"/>
    </row>
    <row r="54960" spans="65:67" ht="18.75" customHeight="1">
      <c r="BM54960" s="1025"/>
      <c r="BO54960" s="43"/>
    </row>
    <row r="54961" spans="65:67" ht="18.75" customHeight="1">
      <c r="BM54961" s="1025"/>
      <c r="BO54961" s="43"/>
    </row>
    <row r="54962" spans="65:67" ht="18.75" customHeight="1">
      <c r="BM54962" s="1025"/>
      <c r="BO54962" s="43"/>
    </row>
    <row r="54963" spans="65:67" ht="18.75" customHeight="1">
      <c r="BM54963" s="1025"/>
      <c r="BO54963" s="43"/>
    </row>
    <row r="54964" spans="65:67" ht="18.75" customHeight="1">
      <c r="BM54964" s="1025"/>
      <c r="BO54964" s="43"/>
    </row>
    <row r="54965" spans="65:67" ht="18.75" customHeight="1">
      <c r="BM54965" s="1025"/>
      <c r="BO54965" s="43"/>
    </row>
    <row r="54966" spans="65:67" ht="18.75" customHeight="1">
      <c r="BM54966" s="1025"/>
      <c r="BO54966" s="43"/>
    </row>
    <row r="54967" spans="65:67" ht="18.75" customHeight="1">
      <c r="BM54967" s="1025"/>
      <c r="BO54967" s="43"/>
    </row>
    <row r="54968" spans="65:67" ht="18.75" customHeight="1">
      <c r="BM54968" s="1025"/>
      <c r="BO54968" s="43"/>
    </row>
    <row r="54969" spans="65:67" ht="18.75" customHeight="1">
      <c r="BM54969" s="1025"/>
      <c r="BO54969" s="43"/>
    </row>
    <row r="54970" spans="65:67" ht="18.75" customHeight="1">
      <c r="BM54970" s="1025"/>
      <c r="BO54970" s="43"/>
    </row>
    <row r="54971" spans="65:67" ht="18.75" customHeight="1">
      <c r="BM54971" s="1025"/>
      <c r="BO54971" s="43"/>
    </row>
    <row r="54972" spans="65:67" ht="18.75" customHeight="1">
      <c r="BM54972" s="1025"/>
      <c r="BO54972" s="43"/>
    </row>
    <row r="54973" spans="65:67" ht="18.75" customHeight="1">
      <c r="BM54973" s="1025"/>
      <c r="BO54973" s="43"/>
    </row>
    <row r="54974" spans="65:67" ht="18.75" customHeight="1">
      <c r="BM54974" s="1025"/>
      <c r="BO54974" s="43"/>
    </row>
    <row r="54975" spans="65:67" ht="18.75" customHeight="1">
      <c r="BM54975" s="1025"/>
      <c r="BO54975" s="43"/>
    </row>
    <row r="54976" spans="65:67" ht="18.75" customHeight="1">
      <c r="BM54976" s="1025"/>
      <c r="BO54976" s="43"/>
    </row>
    <row r="54977" spans="65:67" ht="18.75" customHeight="1">
      <c r="BM54977" s="1025"/>
      <c r="BO54977" s="43"/>
    </row>
    <row r="54978" spans="65:67" ht="18.75" customHeight="1">
      <c r="BM54978" s="1025"/>
      <c r="BO54978" s="43"/>
    </row>
    <row r="54979" spans="65:67" ht="18.75" customHeight="1">
      <c r="BM54979" s="1025"/>
      <c r="BO54979" s="43"/>
    </row>
    <row r="54980" spans="65:67" ht="18.75" customHeight="1">
      <c r="BM54980" s="1025"/>
      <c r="BO54980" s="43"/>
    </row>
    <row r="54981" spans="65:67" ht="18.75" customHeight="1">
      <c r="BM54981" s="1025"/>
      <c r="BO54981" s="43"/>
    </row>
    <row r="54982" spans="65:67" ht="18.75" customHeight="1">
      <c r="BM54982" s="1025"/>
      <c r="BO54982" s="43"/>
    </row>
    <row r="54983" spans="65:67" ht="18.75" customHeight="1">
      <c r="BM54983" s="1025"/>
      <c r="BO54983" s="43"/>
    </row>
    <row r="54984" spans="65:67" ht="18.75" customHeight="1">
      <c r="BM54984" s="1025"/>
      <c r="BO54984" s="43"/>
    </row>
    <row r="54985" spans="65:67" ht="18.75" customHeight="1">
      <c r="BM54985" s="1025"/>
      <c r="BO54985" s="43"/>
    </row>
    <row r="54986" spans="65:67" ht="18.75" customHeight="1">
      <c r="BM54986" s="1025"/>
      <c r="BO54986" s="43"/>
    </row>
    <row r="54987" spans="65:67" ht="18.75" customHeight="1">
      <c r="BM54987" s="1025"/>
      <c r="BO54987" s="43"/>
    </row>
    <row r="54988" spans="65:67" ht="18.75" customHeight="1">
      <c r="BM54988" s="1025"/>
      <c r="BO54988" s="43"/>
    </row>
    <row r="54989" spans="65:67" ht="18.75" customHeight="1">
      <c r="BM54989" s="1025"/>
      <c r="BO54989" s="43"/>
    </row>
    <row r="54990" spans="65:67" ht="18.75" customHeight="1">
      <c r="BM54990" s="1025"/>
      <c r="BO54990" s="43"/>
    </row>
    <row r="54991" spans="65:67" ht="18.75" customHeight="1">
      <c r="BM54991" s="1025"/>
      <c r="BO54991" s="43"/>
    </row>
    <row r="54992" spans="65:67" ht="18.75" customHeight="1">
      <c r="BM54992" s="1025"/>
      <c r="BO54992" s="43"/>
    </row>
    <row r="54993" spans="65:67" ht="18.75" customHeight="1">
      <c r="BM54993" s="1025"/>
      <c r="BO54993" s="43"/>
    </row>
    <row r="54994" spans="65:67" ht="18.75" customHeight="1">
      <c r="BM54994" s="1025"/>
      <c r="BO54994" s="43"/>
    </row>
    <row r="54995" spans="65:67" ht="18.75" customHeight="1">
      <c r="BM54995" s="1025"/>
      <c r="BO54995" s="43"/>
    </row>
    <row r="54996" spans="65:67" ht="18.75" customHeight="1">
      <c r="BM54996" s="1025"/>
      <c r="BO54996" s="43"/>
    </row>
    <row r="54997" spans="65:67" ht="18.75" customHeight="1">
      <c r="BM54997" s="1025"/>
      <c r="BO54997" s="43"/>
    </row>
    <row r="54998" spans="65:67" ht="18.75" customHeight="1">
      <c r="BM54998" s="1025"/>
      <c r="BO54998" s="43"/>
    </row>
    <row r="54999" spans="65:67" ht="18.75" customHeight="1">
      <c r="BM54999" s="1025"/>
      <c r="BO54999" s="43"/>
    </row>
    <row r="55000" spans="65:67" ht="18.75" customHeight="1">
      <c r="BM55000" s="1025"/>
      <c r="BO55000" s="43"/>
    </row>
    <row r="55001" spans="65:67" ht="18.75" customHeight="1">
      <c r="BM55001" s="1025"/>
      <c r="BO55001" s="43"/>
    </row>
    <row r="55002" spans="65:67" ht="18.75" customHeight="1">
      <c r="BM55002" s="1025"/>
      <c r="BO55002" s="43"/>
    </row>
    <row r="55003" spans="65:67" ht="18.75" customHeight="1">
      <c r="BM55003" s="1025"/>
      <c r="BO55003" s="43"/>
    </row>
    <row r="55004" spans="65:67" ht="18.75" customHeight="1">
      <c r="BM55004" s="1025"/>
      <c r="BO55004" s="43"/>
    </row>
    <row r="55005" spans="65:67" ht="18.75" customHeight="1">
      <c r="BM55005" s="1025"/>
      <c r="BO55005" s="43"/>
    </row>
    <row r="55006" spans="65:67" ht="18.75" customHeight="1">
      <c r="BM55006" s="1025"/>
      <c r="BO55006" s="43"/>
    </row>
    <row r="55007" spans="65:67" ht="18.75" customHeight="1">
      <c r="BM55007" s="1025"/>
      <c r="BO55007" s="43"/>
    </row>
    <row r="55008" spans="65:67" ht="18.75" customHeight="1">
      <c r="BM55008" s="1025"/>
      <c r="BO55008" s="43"/>
    </row>
    <row r="55009" spans="65:67" ht="18.75" customHeight="1">
      <c r="BM55009" s="1025"/>
      <c r="BO55009" s="43"/>
    </row>
    <row r="55010" spans="65:67" ht="18.75" customHeight="1">
      <c r="BM55010" s="1025"/>
      <c r="BO55010" s="43"/>
    </row>
    <row r="55011" spans="65:67" ht="18.75" customHeight="1">
      <c r="BM55011" s="1025"/>
      <c r="BO55011" s="43"/>
    </row>
    <row r="55012" spans="65:67" ht="18.75" customHeight="1">
      <c r="BM55012" s="1025"/>
      <c r="BO55012" s="43"/>
    </row>
    <row r="55013" spans="65:67" ht="18.75" customHeight="1">
      <c r="BM55013" s="1025"/>
      <c r="BO55013" s="43"/>
    </row>
    <row r="55014" spans="65:67" ht="18.75" customHeight="1">
      <c r="BM55014" s="1025"/>
      <c r="BO55014" s="43"/>
    </row>
    <row r="55015" spans="65:67" ht="18.75" customHeight="1">
      <c r="BM55015" s="1025"/>
      <c r="BO55015" s="43"/>
    </row>
    <row r="55016" spans="65:67" ht="18.75" customHeight="1">
      <c r="BM55016" s="1025"/>
      <c r="BO55016" s="43"/>
    </row>
    <row r="55017" spans="65:67" ht="18.75" customHeight="1">
      <c r="BM55017" s="1025"/>
      <c r="BO55017" s="43"/>
    </row>
    <row r="55018" spans="65:67" ht="18.75" customHeight="1">
      <c r="BM55018" s="1025"/>
      <c r="BO55018" s="43"/>
    </row>
    <row r="55019" spans="65:67" ht="18.75" customHeight="1">
      <c r="BM55019" s="1025"/>
      <c r="BO55019" s="43"/>
    </row>
    <row r="55020" spans="65:67" ht="18.75" customHeight="1">
      <c r="BM55020" s="1025"/>
      <c r="BO55020" s="43"/>
    </row>
    <row r="55021" spans="65:67" ht="18.75" customHeight="1">
      <c r="BM55021" s="1025"/>
      <c r="BO55021" s="43"/>
    </row>
    <row r="55022" spans="65:67" ht="18.75" customHeight="1">
      <c r="BM55022" s="1025"/>
      <c r="BO55022" s="43"/>
    </row>
    <row r="55023" spans="65:67" ht="18.75" customHeight="1">
      <c r="BM55023" s="1025"/>
      <c r="BO55023" s="43"/>
    </row>
    <row r="55024" spans="65:67" ht="18.75" customHeight="1">
      <c r="BM55024" s="1025"/>
      <c r="BO55024" s="43"/>
    </row>
    <row r="55025" spans="65:67" ht="18.75" customHeight="1">
      <c r="BM55025" s="1025"/>
      <c r="BO55025" s="43"/>
    </row>
    <row r="55026" spans="65:67" ht="18.75" customHeight="1">
      <c r="BM55026" s="1025"/>
      <c r="BO55026" s="43"/>
    </row>
    <row r="55027" spans="65:67" ht="18.75" customHeight="1">
      <c r="BM55027" s="1025"/>
      <c r="BO55027" s="43"/>
    </row>
    <row r="55028" spans="65:67" ht="18.75" customHeight="1">
      <c r="BM55028" s="1025"/>
      <c r="BO55028" s="43"/>
    </row>
    <row r="55029" spans="65:67" ht="18.75" customHeight="1">
      <c r="BM55029" s="1025"/>
      <c r="BO55029" s="43"/>
    </row>
    <row r="55030" spans="65:67" ht="18.75" customHeight="1">
      <c r="BM55030" s="1025"/>
      <c r="BO55030" s="43"/>
    </row>
    <row r="55031" spans="65:67" ht="18.75" customHeight="1">
      <c r="BM55031" s="1025"/>
      <c r="BO55031" s="43"/>
    </row>
    <row r="55032" spans="65:67" ht="18.75" customHeight="1">
      <c r="BM55032" s="1025"/>
      <c r="BO55032" s="43"/>
    </row>
    <row r="55033" spans="65:67" ht="18.75" customHeight="1">
      <c r="BM55033" s="1025"/>
      <c r="BO55033" s="43"/>
    </row>
    <row r="55034" spans="65:67" ht="18.75" customHeight="1">
      <c r="BM55034" s="1025"/>
      <c r="BO55034" s="43"/>
    </row>
    <row r="55035" spans="65:67" ht="18.75" customHeight="1">
      <c r="BM55035" s="1025"/>
      <c r="BO55035" s="43"/>
    </row>
    <row r="55036" spans="65:67" ht="18.75" customHeight="1">
      <c r="BM55036" s="1025"/>
      <c r="BO55036" s="43"/>
    </row>
    <row r="55037" spans="65:67" ht="18.75" customHeight="1">
      <c r="BM55037" s="1025"/>
      <c r="BO55037" s="43"/>
    </row>
    <row r="55038" spans="65:67" ht="18.75" customHeight="1">
      <c r="BM55038" s="1025"/>
      <c r="BO55038" s="43"/>
    </row>
    <row r="55039" spans="65:67" ht="18.75" customHeight="1">
      <c r="BM55039" s="1025"/>
      <c r="BO55039" s="43"/>
    </row>
    <row r="55040" spans="65:67" ht="18.75" customHeight="1">
      <c r="BM55040" s="1025"/>
      <c r="BO55040" s="43"/>
    </row>
    <row r="55041" spans="65:67" ht="18.75" customHeight="1">
      <c r="BM55041" s="1025"/>
      <c r="BO55041" s="43"/>
    </row>
    <row r="55042" spans="65:67" ht="18.75" customHeight="1">
      <c r="BM55042" s="1025"/>
      <c r="BO55042" s="43"/>
    </row>
    <row r="55043" spans="65:67" ht="18.75" customHeight="1">
      <c r="BM55043" s="1025"/>
      <c r="BO55043" s="43"/>
    </row>
    <row r="55044" spans="65:67" ht="18.75" customHeight="1">
      <c r="BM55044" s="1025"/>
      <c r="BO55044" s="43"/>
    </row>
    <row r="55045" spans="65:67" ht="18.75" customHeight="1">
      <c r="BM55045" s="1025"/>
      <c r="BO55045" s="43"/>
    </row>
    <row r="55046" spans="65:67" ht="18.75" customHeight="1">
      <c r="BM55046" s="1025"/>
      <c r="BO55046" s="43"/>
    </row>
    <row r="55047" spans="65:67" ht="18.75" customHeight="1">
      <c r="BM55047" s="1025"/>
      <c r="BO55047" s="43"/>
    </row>
    <row r="55048" spans="65:67" ht="18.75" customHeight="1">
      <c r="BM55048" s="1025"/>
      <c r="BO55048" s="43"/>
    </row>
    <row r="55049" spans="65:67" ht="18.75" customHeight="1">
      <c r="BM55049" s="1025"/>
      <c r="BO55049" s="43"/>
    </row>
    <row r="55050" spans="65:67" ht="18.75" customHeight="1">
      <c r="BM55050" s="1025"/>
      <c r="BO55050" s="43"/>
    </row>
    <row r="55051" spans="65:67" ht="18.75" customHeight="1">
      <c r="BM55051" s="1025"/>
      <c r="BO55051" s="43"/>
    </row>
    <row r="55052" spans="65:67" ht="18.75" customHeight="1">
      <c r="BM55052" s="1025"/>
      <c r="BO55052" s="43"/>
    </row>
    <row r="55053" spans="65:67" ht="18.75" customHeight="1">
      <c r="BM55053" s="1025"/>
      <c r="BO55053" s="43"/>
    </row>
    <row r="55054" spans="65:67" ht="18.75" customHeight="1">
      <c r="BM55054" s="1025"/>
      <c r="BO55054" s="43"/>
    </row>
    <row r="55055" spans="65:67" ht="18.75" customHeight="1">
      <c r="BM55055" s="1025"/>
      <c r="BO55055" s="43"/>
    </row>
    <row r="55056" spans="65:67" ht="18.75" customHeight="1">
      <c r="BM55056" s="1025"/>
      <c r="BO55056" s="43"/>
    </row>
    <row r="55057" spans="65:67" ht="18.75" customHeight="1">
      <c r="BM55057" s="1025"/>
      <c r="BO55057" s="43"/>
    </row>
    <row r="55058" spans="65:67" ht="18.75" customHeight="1">
      <c r="BM55058" s="1025"/>
      <c r="BO55058" s="43"/>
    </row>
    <row r="55059" spans="65:67" ht="18.75" customHeight="1">
      <c r="BM55059" s="1025"/>
      <c r="BO55059" s="43"/>
    </row>
    <row r="55060" spans="65:67" ht="18.75" customHeight="1">
      <c r="BM55060" s="1025"/>
      <c r="BO55060" s="43"/>
    </row>
    <row r="55061" spans="65:67" ht="18.75" customHeight="1">
      <c r="BM55061" s="1025"/>
      <c r="BO55061" s="43"/>
    </row>
    <row r="55062" spans="65:67" ht="18.75" customHeight="1">
      <c r="BM55062" s="1025"/>
      <c r="BO55062" s="43"/>
    </row>
    <row r="55063" spans="65:67" ht="18.75" customHeight="1">
      <c r="BM55063" s="1025"/>
      <c r="BO55063" s="43"/>
    </row>
    <row r="55064" spans="65:67" ht="18.75" customHeight="1">
      <c r="BM55064" s="1025"/>
      <c r="BO55064" s="43"/>
    </row>
    <row r="55065" spans="65:67" ht="18.75" customHeight="1">
      <c r="BM55065" s="1025"/>
      <c r="BO55065" s="43"/>
    </row>
    <row r="55066" spans="65:67" ht="18.75" customHeight="1">
      <c r="BM55066" s="1025"/>
      <c r="BO55066" s="43"/>
    </row>
    <row r="55067" spans="65:67" ht="18.75" customHeight="1">
      <c r="BM55067" s="1025"/>
      <c r="BO55067" s="43"/>
    </row>
    <row r="55068" spans="65:67" ht="18.75" customHeight="1">
      <c r="BM55068" s="1025"/>
      <c r="BO55068" s="43"/>
    </row>
    <row r="55069" spans="65:67" ht="18.75" customHeight="1">
      <c r="BM55069" s="1025"/>
      <c r="BO55069" s="43"/>
    </row>
    <row r="55070" spans="65:67" ht="18.75" customHeight="1">
      <c r="BM55070" s="1025"/>
      <c r="BO55070" s="43"/>
    </row>
    <row r="55071" spans="65:67" ht="18.75" customHeight="1">
      <c r="BM55071" s="1025"/>
      <c r="BO55071" s="43"/>
    </row>
    <row r="55072" spans="65:67" ht="18.75" customHeight="1">
      <c r="BM55072" s="1025"/>
      <c r="BO55072" s="43"/>
    </row>
    <row r="55073" spans="65:67" ht="18.75" customHeight="1">
      <c r="BM55073" s="1025"/>
      <c r="BO55073" s="43"/>
    </row>
    <row r="55074" spans="65:67" ht="18.75" customHeight="1">
      <c r="BM55074" s="1025"/>
      <c r="BO55074" s="43"/>
    </row>
    <row r="55075" spans="65:67" ht="18.75" customHeight="1">
      <c r="BM55075" s="1025"/>
      <c r="BO55075" s="43"/>
    </row>
    <row r="55076" spans="65:67" ht="18.75" customHeight="1">
      <c r="BM55076" s="1025"/>
      <c r="BO55076" s="43"/>
    </row>
    <row r="55077" spans="65:67" ht="18.75" customHeight="1">
      <c r="BM55077" s="1025"/>
      <c r="BO55077" s="43"/>
    </row>
    <row r="55078" spans="65:67" ht="18.75" customHeight="1">
      <c r="BM55078" s="1025"/>
      <c r="BO55078" s="43"/>
    </row>
    <row r="55079" spans="65:67" ht="18.75" customHeight="1">
      <c r="BM55079" s="1025"/>
      <c r="BO55079" s="43"/>
    </row>
    <row r="55080" spans="65:67" ht="18.75" customHeight="1">
      <c r="BM55080" s="1025"/>
      <c r="BO55080" s="43"/>
    </row>
    <row r="55081" spans="65:67" ht="18.75" customHeight="1">
      <c r="BM55081" s="1025"/>
      <c r="BO55081" s="43"/>
    </row>
    <row r="55082" spans="65:67" ht="18.75" customHeight="1">
      <c r="BM55082" s="1025"/>
      <c r="BO55082" s="43"/>
    </row>
    <row r="55083" spans="65:67" ht="18.75" customHeight="1">
      <c r="BM55083" s="1025"/>
      <c r="BO55083" s="43"/>
    </row>
    <row r="55084" spans="65:67" ht="18.75" customHeight="1">
      <c r="BM55084" s="1025"/>
      <c r="BO55084" s="43"/>
    </row>
    <row r="55085" spans="65:67" ht="18.75" customHeight="1">
      <c r="BM55085" s="1025"/>
      <c r="BO55085" s="43"/>
    </row>
    <row r="55086" spans="65:67" ht="18.75" customHeight="1">
      <c r="BM55086" s="1025"/>
      <c r="BO55086" s="43"/>
    </row>
    <row r="55087" spans="65:67" ht="18.75" customHeight="1">
      <c r="BM55087" s="1025"/>
      <c r="BO55087" s="43"/>
    </row>
    <row r="55088" spans="65:67" ht="18.75" customHeight="1">
      <c r="BM55088" s="1025"/>
      <c r="BO55088" s="43"/>
    </row>
    <row r="55089" spans="65:67" ht="18.75" customHeight="1">
      <c r="BM55089" s="1025"/>
      <c r="BO55089" s="43"/>
    </row>
    <row r="55090" spans="65:67" ht="18.75" customHeight="1">
      <c r="BM55090" s="1025"/>
      <c r="BO55090" s="43"/>
    </row>
    <row r="55091" spans="65:67" ht="18.75" customHeight="1">
      <c r="BM55091" s="1025"/>
      <c r="BO55091" s="43"/>
    </row>
    <row r="55092" spans="65:67" ht="18.75" customHeight="1">
      <c r="BM55092" s="1025"/>
      <c r="BO55092" s="43"/>
    </row>
    <row r="55093" spans="65:67" ht="18.75" customHeight="1">
      <c r="BM55093" s="1025"/>
      <c r="BO55093" s="43"/>
    </row>
    <row r="55094" spans="65:67" ht="18.75" customHeight="1">
      <c r="BM55094" s="1025"/>
      <c r="BO55094" s="43"/>
    </row>
    <row r="55095" spans="65:67" ht="18.75" customHeight="1">
      <c r="BM55095" s="1025"/>
      <c r="BO55095" s="43"/>
    </row>
    <row r="55096" spans="65:67" ht="18.75" customHeight="1">
      <c r="BM55096" s="1025"/>
      <c r="BO55096" s="43"/>
    </row>
    <row r="55097" spans="65:67" ht="18.75" customHeight="1">
      <c r="BM55097" s="1025"/>
      <c r="BO55097" s="43"/>
    </row>
    <row r="55098" spans="65:67" ht="18.75" customHeight="1">
      <c r="BM55098" s="1025"/>
      <c r="BO55098" s="43"/>
    </row>
    <row r="55099" spans="65:67" ht="18.75" customHeight="1">
      <c r="BM55099" s="1025"/>
      <c r="BO55099" s="43"/>
    </row>
    <row r="55100" spans="65:67" ht="18.75" customHeight="1">
      <c r="BM55100" s="1025"/>
      <c r="BO55100" s="43"/>
    </row>
    <row r="55101" spans="65:67" ht="18.75" customHeight="1">
      <c r="BM55101" s="1025"/>
      <c r="BO55101" s="43"/>
    </row>
    <row r="55102" spans="65:67" ht="18.75" customHeight="1">
      <c r="BM55102" s="1025"/>
      <c r="BO55102" s="43"/>
    </row>
    <row r="55103" spans="65:67" ht="18.75" customHeight="1">
      <c r="BM55103" s="1025"/>
      <c r="BO55103" s="43"/>
    </row>
    <row r="55104" spans="65:67" ht="18.75" customHeight="1">
      <c r="BM55104" s="1025"/>
      <c r="BO55104" s="43"/>
    </row>
    <row r="55105" spans="65:67" ht="18.75" customHeight="1">
      <c r="BM55105" s="1025"/>
      <c r="BO55105" s="43"/>
    </row>
    <row r="55106" spans="65:67" ht="18.75" customHeight="1">
      <c r="BM55106" s="1025"/>
      <c r="BO55106" s="43"/>
    </row>
    <row r="55107" spans="65:67" ht="18.75" customHeight="1">
      <c r="BM55107" s="1025"/>
      <c r="BO55107" s="43"/>
    </row>
    <row r="55108" spans="65:67" ht="18.75" customHeight="1">
      <c r="BM55108" s="1025"/>
      <c r="BO55108" s="43"/>
    </row>
    <row r="55109" spans="65:67" ht="18.75" customHeight="1">
      <c r="BM55109" s="1025"/>
      <c r="BO55109" s="43"/>
    </row>
    <row r="55110" spans="65:67" ht="18.75" customHeight="1">
      <c r="BM55110" s="1025"/>
      <c r="BO55110" s="43"/>
    </row>
    <row r="55111" spans="65:67" ht="18.75" customHeight="1">
      <c r="BM55111" s="1025"/>
      <c r="BO55111" s="43"/>
    </row>
    <row r="55112" spans="65:67" ht="18.75" customHeight="1">
      <c r="BM55112" s="1025"/>
      <c r="BO55112" s="43"/>
    </row>
    <row r="55113" spans="65:67" ht="18.75" customHeight="1">
      <c r="BM55113" s="1025"/>
      <c r="BO55113" s="43"/>
    </row>
    <row r="55114" spans="65:67" ht="18.75" customHeight="1">
      <c r="BM55114" s="1025"/>
      <c r="BO55114" s="43"/>
    </row>
    <row r="55115" spans="65:67" ht="18.75" customHeight="1">
      <c r="BM55115" s="1025"/>
      <c r="BO55115" s="43"/>
    </row>
    <row r="55116" spans="65:67" ht="18.75" customHeight="1">
      <c r="BM55116" s="1025"/>
      <c r="BO55116" s="43"/>
    </row>
    <row r="55117" spans="65:67" ht="18.75" customHeight="1">
      <c r="BM55117" s="1025"/>
      <c r="BO55117" s="43"/>
    </row>
    <row r="55118" spans="65:67" ht="18.75" customHeight="1">
      <c r="BM55118" s="1025"/>
      <c r="BO55118" s="43"/>
    </row>
    <row r="55119" spans="65:67" ht="18.75" customHeight="1">
      <c r="BM55119" s="1025"/>
      <c r="BO55119" s="43"/>
    </row>
    <row r="55120" spans="65:67" ht="18.75" customHeight="1">
      <c r="BM55120" s="1025"/>
      <c r="BO55120" s="43"/>
    </row>
    <row r="55121" spans="65:67" ht="18.75" customHeight="1">
      <c r="BM55121" s="1025"/>
      <c r="BO55121" s="43"/>
    </row>
    <row r="55122" spans="65:67" ht="18.75" customHeight="1">
      <c r="BM55122" s="1025"/>
      <c r="BO55122" s="43"/>
    </row>
    <row r="55123" spans="65:67" ht="18.75" customHeight="1">
      <c r="BM55123" s="1025"/>
      <c r="BO55123" s="43"/>
    </row>
    <row r="55124" spans="65:67" ht="18.75" customHeight="1">
      <c r="BM55124" s="1025"/>
      <c r="BO55124" s="43"/>
    </row>
    <row r="55125" spans="65:67" ht="18.75" customHeight="1">
      <c r="BM55125" s="1025"/>
      <c r="BO55125" s="43"/>
    </row>
    <row r="55126" spans="65:67" ht="18.75" customHeight="1">
      <c r="BM55126" s="1025"/>
      <c r="BO55126" s="43"/>
    </row>
    <row r="55127" spans="65:67" ht="18.75" customHeight="1">
      <c r="BM55127" s="1025"/>
      <c r="BO55127" s="43"/>
    </row>
    <row r="55128" spans="65:67" ht="18.75" customHeight="1">
      <c r="BM55128" s="1025"/>
      <c r="BO55128" s="43"/>
    </row>
    <row r="55129" spans="65:67" ht="18.75" customHeight="1">
      <c r="BM55129" s="1025"/>
      <c r="BO55129" s="43"/>
    </row>
    <row r="55130" spans="65:67" ht="18.75" customHeight="1">
      <c r="BM55130" s="1025"/>
      <c r="BO55130" s="43"/>
    </row>
    <row r="55131" spans="65:67" ht="18.75" customHeight="1">
      <c r="BM55131" s="1025"/>
      <c r="BO55131" s="43"/>
    </row>
    <row r="55132" spans="65:67" ht="18.75" customHeight="1">
      <c r="BM55132" s="1025"/>
      <c r="BO55132" s="43"/>
    </row>
    <row r="55133" spans="65:67" ht="18.75" customHeight="1">
      <c r="BM55133" s="1025"/>
      <c r="BO55133" s="43"/>
    </row>
    <row r="55134" spans="65:67" ht="18.75" customHeight="1">
      <c r="BM55134" s="1025"/>
      <c r="BO55134" s="43"/>
    </row>
    <row r="55135" spans="65:67" ht="18.75" customHeight="1">
      <c r="BM55135" s="1025"/>
      <c r="BO55135" s="43"/>
    </row>
    <row r="55136" spans="65:67" ht="18.75" customHeight="1">
      <c r="BM55136" s="1025"/>
      <c r="BO55136" s="43"/>
    </row>
    <row r="55137" spans="65:67" ht="18.75" customHeight="1">
      <c r="BM55137" s="1025"/>
      <c r="BO55137" s="43"/>
    </row>
    <row r="55138" spans="65:67" ht="18.75" customHeight="1">
      <c r="BM55138" s="1025"/>
      <c r="BO55138" s="43"/>
    </row>
    <row r="55139" spans="65:67" ht="18.75" customHeight="1">
      <c r="BM55139" s="1025"/>
      <c r="BO55139" s="43"/>
    </row>
    <row r="55140" spans="65:67" ht="18.75" customHeight="1">
      <c r="BM55140" s="1025"/>
      <c r="BO55140" s="43"/>
    </row>
    <row r="55141" spans="65:67" ht="18.75" customHeight="1">
      <c r="BM55141" s="1025"/>
      <c r="BO55141" s="43"/>
    </row>
    <row r="55142" spans="65:67" ht="18.75" customHeight="1">
      <c r="BM55142" s="1025"/>
      <c r="BO55142" s="43"/>
    </row>
    <row r="55143" spans="65:67" ht="18.75" customHeight="1">
      <c r="BM55143" s="1025"/>
      <c r="BO55143" s="43"/>
    </row>
    <row r="55144" spans="65:67" ht="18.75" customHeight="1">
      <c r="BM55144" s="1025"/>
      <c r="BO55144" s="43"/>
    </row>
    <row r="55145" spans="65:67" ht="18.75" customHeight="1">
      <c r="BM55145" s="1025"/>
      <c r="BO55145" s="43"/>
    </row>
    <row r="55146" spans="65:67" ht="18.75" customHeight="1">
      <c r="BM55146" s="1025"/>
      <c r="BO55146" s="43"/>
    </row>
    <row r="55147" spans="65:67" ht="18.75" customHeight="1">
      <c r="BM55147" s="1025"/>
      <c r="BO55147" s="43"/>
    </row>
    <row r="55148" spans="65:67" ht="18.75" customHeight="1">
      <c r="BM55148" s="1025"/>
      <c r="BO55148" s="43"/>
    </row>
    <row r="55149" spans="65:67" ht="18.75" customHeight="1">
      <c r="BM55149" s="1025"/>
      <c r="BO55149" s="43"/>
    </row>
    <row r="55150" spans="65:67" ht="18.75" customHeight="1">
      <c r="BM55150" s="1025"/>
      <c r="BO55150" s="43"/>
    </row>
    <row r="55151" spans="65:67" ht="18.75" customHeight="1">
      <c r="BM55151" s="1025"/>
      <c r="BO55151" s="43"/>
    </row>
    <row r="55152" spans="65:67" ht="18.75" customHeight="1">
      <c r="BM55152" s="1025"/>
      <c r="BO55152" s="43"/>
    </row>
    <row r="55153" spans="65:67" ht="18.75" customHeight="1">
      <c r="BM55153" s="1025"/>
      <c r="BO55153" s="43"/>
    </row>
    <row r="55154" spans="65:67" ht="18.75" customHeight="1">
      <c r="BM55154" s="1025"/>
      <c r="BO55154" s="43"/>
    </row>
    <row r="55155" spans="65:67" ht="18.75" customHeight="1">
      <c r="BM55155" s="1025"/>
      <c r="BO55155" s="43"/>
    </row>
    <row r="55156" spans="65:67" ht="18.75" customHeight="1">
      <c r="BM55156" s="1025"/>
      <c r="BO55156" s="43"/>
    </row>
    <row r="55157" spans="65:67" ht="18.75" customHeight="1">
      <c r="BM55157" s="1025"/>
      <c r="BO55157" s="43"/>
    </row>
    <row r="55158" spans="65:67" ht="18.75" customHeight="1">
      <c r="BM55158" s="1025"/>
      <c r="BO55158" s="43"/>
    </row>
    <row r="55159" spans="65:67" ht="18.75" customHeight="1">
      <c r="BM55159" s="1025"/>
      <c r="BO55159" s="43"/>
    </row>
    <row r="55160" spans="65:67" ht="18.75" customHeight="1">
      <c r="BM55160" s="1025"/>
      <c r="BO55160" s="43"/>
    </row>
    <row r="55161" spans="65:67" ht="18.75" customHeight="1">
      <c r="BM55161" s="1025"/>
      <c r="BO55161" s="43"/>
    </row>
    <row r="55162" spans="65:67" ht="18.75" customHeight="1">
      <c r="BM55162" s="1025"/>
      <c r="BO55162" s="43"/>
    </row>
    <row r="55163" spans="65:67" ht="18.75" customHeight="1">
      <c r="BM55163" s="1025"/>
      <c r="BO55163" s="43"/>
    </row>
    <row r="55164" spans="65:67" ht="18.75" customHeight="1">
      <c r="BM55164" s="1025"/>
      <c r="BO55164" s="43"/>
    </row>
    <row r="55165" spans="65:67" ht="18.75" customHeight="1">
      <c r="BM55165" s="1025"/>
      <c r="BO55165" s="43"/>
    </row>
    <row r="55166" spans="65:67" ht="18.75" customHeight="1">
      <c r="BM55166" s="1025"/>
      <c r="BO55166" s="43"/>
    </row>
    <row r="55167" spans="65:67" ht="18.75" customHeight="1">
      <c r="BM55167" s="1025"/>
      <c r="BO55167" s="43"/>
    </row>
    <row r="55168" spans="65:67" ht="18.75" customHeight="1">
      <c r="BM55168" s="1025"/>
      <c r="BO55168" s="43"/>
    </row>
    <row r="55169" spans="65:67" ht="18.75" customHeight="1">
      <c r="BM55169" s="1025"/>
      <c r="BO55169" s="43"/>
    </row>
    <row r="55170" spans="65:67" ht="18.75" customHeight="1">
      <c r="BM55170" s="1025"/>
      <c r="BO55170" s="43"/>
    </row>
    <row r="55171" spans="65:67" ht="18.75" customHeight="1">
      <c r="BM55171" s="1025"/>
      <c r="BO55171" s="43"/>
    </row>
    <row r="55172" spans="65:67" ht="18.75" customHeight="1">
      <c r="BM55172" s="1025"/>
      <c r="BO55172" s="43"/>
    </row>
    <row r="55173" spans="65:67" ht="18.75" customHeight="1">
      <c r="BM55173" s="1025"/>
      <c r="BO55173" s="43"/>
    </row>
    <row r="55174" spans="65:67" ht="18.75" customHeight="1">
      <c r="BM55174" s="1025"/>
      <c r="BO55174" s="43"/>
    </row>
    <row r="55175" spans="65:67" ht="18.75" customHeight="1">
      <c r="BM55175" s="1025"/>
      <c r="BO55175" s="43"/>
    </row>
    <row r="55176" spans="65:67" ht="18.75" customHeight="1">
      <c r="BM55176" s="1025"/>
      <c r="BO55176" s="43"/>
    </row>
    <row r="55177" spans="65:67" ht="18.75" customHeight="1">
      <c r="BM55177" s="1025"/>
      <c r="BO55177" s="43"/>
    </row>
    <row r="55178" spans="65:67" ht="18.75" customHeight="1">
      <c r="BM55178" s="1025"/>
      <c r="BO55178" s="43"/>
    </row>
    <row r="55179" spans="65:67" ht="18.75" customHeight="1">
      <c r="BM55179" s="1025"/>
      <c r="BO55179" s="43"/>
    </row>
    <row r="55180" spans="65:67" ht="18.75" customHeight="1">
      <c r="BM55180" s="1025"/>
      <c r="BO55180" s="43"/>
    </row>
    <row r="55181" spans="65:67" ht="18.75" customHeight="1">
      <c r="BM55181" s="1025"/>
      <c r="BO55181" s="43"/>
    </row>
    <row r="55182" spans="65:67" ht="18.75" customHeight="1">
      <c r="BM55182" s="1025"/>
      <c r="BO55182" s="43"/>
    </row>
    <row r="55183" spans="65:67" ht="18.75" customHeight="1">
      <c r="BM55183" s="1025"/>
      <c r="BO55183" s="43"/>
    </row>
    <row r="55184" spans="65:67" ht="18.75" customHeight="1">
      <c r="BM55184" s="1025"/>
      <c r="BO55184" s="43"/>
    </row>
    <row r="55185" spans="65:67" ht="18.75" customHeight="1">
      <c r="BM55185" s="1025"/>
      <c r="BO55185" s="43"/>
    </row>
    <row r="55186" spans="65:67" ht="18.75" customHeight="1">
      <c r="BM55186" s="1025"/>
      <c r="BO55186" s="43"/>
    </row>
    <row r="55187" spans="65:67" ht="18.75" customHeight="1">
      <c r="BM55187" s="1025"/>
      <c r="BO55187" s="43"/>
    </row>
    <row r="55188" spans="65:67" ht="18.75" customHeight="1">
      <c r="BM55188" s="1025"/>
      <c r="BO55188" s="43"/>
    </row>
    <row r="55189" spans="65:67" ht="18.75" customHeight="1">
      <c r="BM55189" s="1025"/>
      <c r="BO55189" s="43"/>
    </row>
    <row r="55190" spans="65:67" ht="18.75" customHeight="1">
      <c r="BM55190" s="1025"/>
      <c r="BO55190" s="43"/>
    </row>
    <row r="55191" spans="65:67" ht="18.75" customHeight="1">
      <c r="BM55191" s="1025"/>
      <c r="BO55191" s="43"/>
    </row>
    <row r="55192" spans="65:67" ht="18.75" customHeight="1">
      <c r="BM55192" s="1025"/>
      <c r="BO55192" s="43"/>
    </row>
    <row r="55193" spans="65:67" ht="18.75" customHeight="1">
      <c r="BM55193" s="1025"/>
      <c r="BO55193" s="43"/>
    </row>
    <row r="55194" spans="65:67" ht="18.75" customHeight="1">
      <c r="BM55194" s="1025"/>
      <c r="BO55194" s="43"/>
    </row>
    <row r="55195" spans="65:67" ht="18.75" customHeight="1">
      <c r="BM55195" s="1025"/>
      <c r="BO55195" s="43"/>
    </row>
    <row r="55196" spans="65:67" ht="18.75" customHeight="1">
      <c r="BM55196" s="1025"/>
      <c r="BO55196" s="43"/>
    </row>
    <row r="55197" spans="65:67" ht="18.75" customHeight="1">
      <c r="BM55197" s="1025"/>
      <c r="BO55197" s="43"/>
    </row>
    <row r="55198" spans="65:67" ht="18.75" customHeight="1">
      <c r="BM55198" s="1025"/>
      <c r="BO55198" s="43"/>
    </row>
    <row r="55199" spans="65:67" ht="18.75" customHeight="1">
      <c r="BM55199" s="1025"/>
      <c r="BO55199" s="43"/>
    </row>
    <row r="55200" spans="65:67" ht="18.75" customHeight="1">
      <c r="BM55200" s="1025"/>
      <c r="BO55200" s="43"/>
    </row>
    <row r="55201" spans="65:67" ht="18.75" customHeight="1">
      <c r="BM55201" s="1025"/>
      <c r="BO55201" s="43"/>
    </row>
    <row r="55202" spans="65:67" ht="18.75" customHeight="1">
      <c r="BM55202" s="1025"/>
      <c r="BO55202" s="43"/>
    </row>
    <row r="55203" spans="65:67" ht="18.75" customHeight="1">
      <c r="BM55203" s="1025"/>
      <c r="BO55203" s="43"/>
    </row>
    <row r="55204" spans="65:67" ht="18.75" customHeight="1">
      <c r="BM55204" s="1025"/>
      <c r="BO55204" s="43"/>
    </row>
    <row r="55205" spans="65:67" ht="18.75" customHeight="1">
      <c r="BM55205" s="1025"/>
      <c r="BO55205" s="43"/>
    </row>
    <row r="55206" spans="65:67" ht="18.75" customHeight="1">
      <c r="BM55206" s="1025"/>
      <c r="BO55206" s="43"/>
    </row>
    <row r="55207" spans="65:67" ht="18.75" customHeight="1">
      <c r="BM55207" s="1025"/>
      <c r="BO55207" s="43"/>
    </row>
    <row r="55208" spans="65:67" ht="18.75" customHeight="1">
      <c r="BM55208" s="1025"/>
      <c r="BO55208" s="43"/>
    </row>
    <row r="55209" spans="65:67" ht="18.75" customHeight="1">
      <c r="BM55209" s="1025"/>
      <c r="BO55209" s="43"/>
    </row>
    <row r="55210" spans="65:67" ht="18.75" customHeight="1">
      <c r="BM55210" s="1025"/>
      <c r="BO55210" s="43"/>
    </row>
    <row r="55211" spans="65:67" ht="18.75" customHeight="1">
      <c r="BM55211" s="1025"/>
      <c r="BO55211" s="43"/>
    </row>
    <row r="55212" spans="65:67" ht="18.75" customHeight="1">
      <c r="BM55212" s="1025"/>
      <c r="BO55212" s="43"/>
    </row>
    <row r="55213" spans="65:67" ht="18.75" customHeight="1">
      <c r="BM55213" s="1025"/>
      <c r="BO55213" s="43"/>
    </row>
    <row r="55214" spans="65:67" ht="18.75" customHeight="1">
      <c r="BM55214" s="1025"/>
      <c r="BO55214" s="43"/>
    </row>
    <row r="55215" spans="65:67" ht="18.75" customHeight="1">
      <c r="BM55215" s="1025"/>
      <c r="BO55215" s="43"/>
    </row>
    <row r="55216" spans="65:67" ht="18.75" customHeight="1">
      <c r="BM55216" s="1025"/>
      <c r="BO55216" s="43"/>
    </row>
    <row r="55217" spans="65:67" ht="18.75" customHeight="1">
      <c r="BM55217" s="1025"/>
      <c r="BO55217" s="43"/>
    </row>
    <row r="55218" spans="65:67" ht="18.75" customHeight="1">
      <c r="BM55218" s="1025"/>
      <c r="BO55218" s="43"/>
    </row>
    <row r="55219" spans="65:67" ht="18.75" customHeight="1">
      <c r="BM55219" s="1025"/>
      <c r="BO55219" s="43"/>
    </row>
    <row r="55220" spans="65:67" ht="18.75" customHeight="1">
      <c r="BM55220" s="1025"/>
      <c r="BO55220" s="43"/>
    </row>
    <row r="55221" spans="65:67" ht="18.75" customHeight="1">
      <c r="BM55221" s="1025"/>
      <c r="BO55221" s="43"/>
    </row>
    <row r="55222" spans="65:67" ht="18.75" customHeight="1">
      <c r="BM55222" s="1025"/>
      <c r="BO55222" s="43"/>
    </row>
    <row r="55223" spans="65:67" ht="18.75" customHeight="1">
      <c r="BM55223" s="1025"/>
      <c r="BO55223" s="43"/>
    </row>
    <row r="55224" spans="65:67" ht="18.75" customHeight="1">
      <c r="BM55224" s="1025"/>
      <c r="BO55224" s="43"/>
    </row>
    <row r="55225" spans="65:67" ht="18.75" customHeight="1">
      <c r="BM55225" s="1025"/>
      <c r="BO55225" s="43"/>
    </row>
    <row r="55226" spans="65:67" ht="18.75" customHeight="1">
      <c r="BM55226" s="1025"/>
      <c r="BO55226" s="43"/>
    </row>
    <row r="55227" spans="65:67" ht="18.75" customHeight="1">
      <c r="BM55227" s="1025"/>
      <c r="BO55227" s="43"/>
    </row>
    <row r="55228" spans="65:67" ht="18.75" customHeight="1">
      <c r="BM55228" s="1025"/>
      <c r="BO55228" s="43"/>
    </row>
    <row r="55229" spans="65:67" ht="18.75" customHeight="1">
      <c r="BM55229" s="1025"/>
      <c r="BO55229" s="43"/>
    </row>
    <row r="55230" spans="65:67" ht="18.75" customHeight="1">
      <c r="BM55230" s="1025"/>
      <c r="BO55230" s="43"/>
    </row>
    <row r="55231" spans="65:67" ht="18.75" customHeight="1">
      <c r="BM55231" s="1025"/>
      <c r="BO55231" s="43"/>
    </row>
    <row r="55232" spans="65:67" ht="18.75" customHeight="1">
      <c r="BM55232" s="1025"/>
      <c r="BO55232" s="43"/>
    </row>
    <row r="55233" spans="65:67" ht="18.75" customHeight="1">
      <c r="BM55233" s="1025"/>
      <c r="BO55233" s="43"/>
    </row>
    <row r="55234" spans="65:67" ht="18.75" customHeight="1">
      <c r="BM55234" s="1025"/>
      <c r="BO55234" s="43"/>
    </row>
    <row r="55235" spans="65:67" ht="18.75" customHeight="1">
      <c r="BM55235" s="1025"/>
      <c r="BO55235" s="43"/>
    </row>
    <row r="55236" spans="65:67" ht="18.75" customHeight="1">
      <c r="BM55236" s="1025"/>
      <c r="BO55236" s="43"/>
    </row>
    <row r="55237" spans="65:67" ht="18.75" customHeight="1">
      <c r="BM55237" s="1025"/>
      <c r="BO55237" s="43"/>
    </row>
    <row r="55238" spans="65:67" ht="18.75" customHeight="1">
      <c r="BM55238" s="1025"/>
      <c r="BO55238" s="43"/>
    </row>
    <row r="55239" spans="65:67" ht="18.75" customHeight="1">
      <c r="BM55239" s="1025"/>
      <c r="BO55239" s="43"/>
    </row>
    <row r="55240" spans="65:67" ht="18.75" customHeight="1">
      <c r="BM55240" s="1025"/>
      <c r="BO55240" s="43"/>
    </row>
    <row r="55241" spans="65:67" ht="18.75" customHeight="1">
      <c r="BM55241" s="1025"/>
      <c r="BO55241" s="43"/>
    </row>
    <row r="55242" spans="65:67" ht="18.75" customHeight="1">
      <c r="BM55242" s="1025"/>
      <c r="BO55242" s="43"/>
    </row>
    <row r="55243" spans="65:67" ht="18.75" customHeight="1">
      <c r="BM55243" s="1025"/>
      <c r="BO55243" s="43"/>
    </row>
    <row r="55244" spans="65:67" ht="18.75" customHeight="1">
      <c r="BM55244" s="1025"/>
      <c r="BO55244" s="43"/>
    </row>
    <row r="55245" spans="65:67" ht="18.75" customHeight="1">
      <c r="BM55245" s="1025"/>
      <c r="BO55245" s="43"/>
    </row>
    <row r="55246" spans="65:67" ht="18.75" customHeight="1">
      <c r="BM55246" s="1025"/>
      <c r="BO55246" s="43"/>
    </row>
    <row r="55247" spans="65:67" ht="18.75" customHeight="1">
      <c r="BM55247" s="1025"/>
      <c r="BO55247" s="43"/>
    </row>
    <row r="55248" spans="65:67" ht="18.75" customHeight="1">
      <c r="BM55248" s="1025"/>
      <c r="BO55248" s="43"/>
    </row>
    <row r="55249" spans="65:67" ht="18.75" customHeight="1">
      <c r="BM55249" s="1025"/>
      <c r="BO55249" s="43"/>
    </row>
    <row r="55250" spans="65:67" ht="18.75" customHeight="1">
      <c r="BM55250" s="1025"/>
      <c r="BO55250" s="43"/>
    </row>
    <row r="55251" spans="65:67" ht="18.75" customHeight="1">
      <c r="BM55251" s="1025"/>
      <c r="BO55251" s="43"/>
    </row>
    <row r="55252" spans="65:67" ht="18.75" customHeight="1">
      <c r="BM55252" s="1025"/>
      <c r="BO55252" s="43"/>
    </row>
    <row r="55253" spans="65:67" ht="18.75" customHeight="1">
      <c r="BM55253" s="1025"/>
      <c r="BO55253" s="43"/>
    </row>
    <row r="55254" spans="65:67" ht="18.75" customHeight="1">
      <c r="BM55254" s="1025"/>
      <c r="BO55254" s="43"/>
    </row>
    <row r="55255" spans="65:67" ht="18.75" customHeight="1">
      <c r="BM55255" s="1025"/>
      <c r="BO55255" s="43"/>
    </row>
    <row r="55256" spans="65:67" ht="18.75" customHeight="1">
      <c r="BM55256" s="1025"/>
      <c r="BO55256" s="43"/>
    </row>
    <row r="55257" spans="65:67" ht="18.75" customHeight="1">
      <c r="BM55257" s="1025"/>
      <c r="BO55257" s="43"/>
    </row>
    <row r="55258" spans="65:67" ht="18.75" customHeight="1">
      <c r="BM55258" s="1025"/>
      <c r="BO55258" s="43"/>
    </row>
    <row r="55259" spans="65:67" ht="18.75" customHeight="1">
      <c r="BM55259" s="1025"/>
      <c r="BO55259" s="43"/>
    </row>
    <row r="55260" spans="65:67" ht="18.75" customHeight="1">
      <c r="BM55260" s="1025"/>
      <c r="BO55260" s="43"/>
    </row>
    <row r="55261" spans="65:67" ht="18.75" customHeight="1">
      <c r="BM55261" s="1025"/>
      <c r="BO55261" s="43"/>
    </row>
    <row r="55262" spans="65:67" ht="18.75" customHeight="1">
      <c r="BM55262" s="1025"/>
      <c r="BO55262" s="43"/>
    </row>
    <row r="55263" spans="65:67" ht="18.75" customHeight="1">
      <c r="BM55263" s="1025"/>
      <c r="BO55263" s="43"/>
    </row>
    <row r="55264" spans="65:67" ht="18.75" customHeight="1">
      <c r="BM55264" s="1025"/>
      <c r="BO55264" s="43"/>
    </row>
    <row r="55265" spans="65:67" ht="18.75" customHeight="1">
      <c r="BM55265" s="1025"/>
      <c r="BO55265" s="43"/>
    </row>
    <row r="55266" spans="65:67" ht="18.75" customHeight="1">
      <c r="BM55266" s="1025"/>
      <c r="BO55266" s="43"/>
    </row>
    <row r="55267" spans="65:67" ht="18.75" customHeight="1">
      <c r="BM55267" s="1025"/>
      <c r="BO55267" s="43"/>
    </row>
    <row r="55268" spans="65:67" ht="18.75" customHeight="1">
      <c r="BM55268" s="1025"/>
      <c r="BO55268" s="43"/>
    </row>
    <row r="55269" spans="65:67" ht="18.75" customHeight="1">
      <c r="BM55269" s="1025"/>
      <c r="BO55269" s="43"/>
    </row>
    <row r="55270" spans="65:67" ht="18.75" customHeight="1">
      <c r="BM55270" s="1025"/>
      <c r="BO55270" s="43"/>
    </row>
    <row r="55271" spans="65:67" ht="18.75" customHeight="1">
      <c r="BM55271" s="1025"/>
      <c r="BO55271" s="43"/>
    </row>
    <row r="55272" spans="65:67" ht="18.75" customHeight="1">
      <c r="BM55272" s="1025"/>
      <c r="BO55272" s="43"/>
    </row>
    <row r="55273" spans="65:67" ht="18.75" customHeight="1">
      <c r="BM55273" s="1025"/>
      <c r="BO55273" s="43"/>
    </row>
    <row r="55274" spans="65:67" ht="18.75" customHeight="1">
      <c r="BM55274" s="1025"/>
      <c r="BO55274" s="43"/>
    </row>
    <row r="55275" spans="65:67" ht="18.75" customHeight="1">
      <c r="BM55275" s="1025"/>
      <c r="BO55275" s="43"/>
    </row>
    <row r="55276" spans="65:67" ht="18.75" customHeight="1">
      <c r="BM55276" s="1025"/>
      <c r="BO55276" s="43"/>
    </row>
    <row r="55277" spans="65:67" ht="18.75" customHeight="1">
      <c r="BM55277" s="1025"/>
      <c r="BO55277" s="43"/>
    </row>
    <row r="55278" spans="65:67" ht="18.75" customHeight="1">
      <c r="BM55278" s="1025"/>
      <c r="BO55278" s="43"/>
    </row>
    <row r="55279" spans="65:67" ht="18.75" customHeight="1">
      <c r="BM55279" s="1025"/>
      <c r="BO55279" s="43"/>
    </row>
    <row r="55280" spans="65:67" ht="18.75" customHeight="1">
      <c r="BM55280" s="1025"/>
      <c r="BO55280" s="43"/>
    </row>
    <row r="55281" spans="65:67" ht="18.75" customHeight="1">
      <c r="BM55281" s="1025"/>
      <c r="BO55281" s="43"/>
    </row>
    <row r="55282" spans="65:67" ht="18.75" customHeight="1">
      <c r="BM55282" s="1025"/>
      <c r="BO55282" s="43"/>
    </row>
    <row r="55283" spans="65:67" ht="18.75" customHeight="1">
      <c r="BM55283" s="1025"/>
      <c r="BO55283" s="43"/>
    </row>
    <row r="55284" spans="65:67" ht="18.75" customHeight="1">
      <c r="BM55284" s="1025"/>
      <c r="BO55284" s="43"/>
    </row>
    <row r="55285" spans="65:67" ht="18.75" customHeight="1">
      <c r="BM55285" s="1025"/>
      <c r="BO55285" s="43"/>
    </row>
    <row r="55286" spans="65:67" ht="18.75" customHeight="1">
      <c r="BM55286" s="1025"/>
      <c r="BO55286" s="43"/>
    </row>
    <row r="55287" spans="65:67" ht="18.75" customHeight="1">
      <c r="BM55287" s="1025"/>
      <c r="BO55287" s="43"/>
    </row>
    <row r="55288" spans="65:67" ht="18.75" customHeight="1">
      <c r="BM55288" s="1025"/>
      <c r="BO55288" s="43"/>
    </row>
    <row r="55289" spans="65:67" ht="18.75" customHeight="1">
      <c r="BM55289" s="1025"/>
      <c r="BO55289" s="43"/>
    </row>
    <row r="55290" spans="65:67" ht="18.75" customHeight="1">
      <c r="BM55290" s="1025"/>
      <c r="BO55290" s="43"/>
    </row>
    <row r="55291" spans="65:67" ht="18.75" customHeight="1">
      <c r="BM55291" s="1025"/>
      <c r="BO55291" s="43"/>
    </row>
    <row r="55292" spans="65:67" ht="18.75" customHeight="1">
      <c r="BM55292" s="1025"/>
      <c r="BO55292" s="43"/>
    </row>
    <row r="55293" spans="65:67" ht="18.75" customHeight="1">
      <c r="BM55293" s="1025"/>
      <c r="BO55293" s="43"/>
    </row>
    <row r="55294" spans="65:67" ht="18.75" customHeight="1">
      <c r="BM55294" s="1025"/>
      <c r="BO55294" s="43"/>
    </row>
    <row r="55295" spans="65:67" ht="18.75" customHeight="1">
      <c r="BM55295" s="1025"/>
      <c r="BO55295" s="43"/>
    </row>
    <row r="55296" spans="65:67" ht="18.75" customHeight="1">
      <c r="BM55296" s="1025"/>
      <c r="BO55296" s="43"/>
    </row>
    <row r="55297" spans="65:67" ht="18.75" customHeight="1">
      <c r="BM55297" s="1025"/>
      <c r="BO55297" s="43"/>
    </row>
    <row r="55298" spans="65:67" ht="18.75" customHeight="1">
      <c r="BM55298" s="1025"/>
      <c r="BO55298" s="43"/>
    </row>
    <row r="55299" spans="65:67" ht="18.75" customHeight="1">
      <c r="BM55299" s="1025"/>
      <c r="BO55299" s="43"/>
    </row>
    <row r="55300" spans="65:67" ht="18.75" customHeight="1">
      <c r="BM55300" s="1025"/>
      <c r="BO55300" s="43"/>
    </row>
    <row r="55301" spans="65:67" ht="18.75" customHeight="1">
      <c r="BM55301" s="1025"/>
      <c r="BO55301" s="43"/>
    </row>
    <row r="55302" spans="65:67" ht="18.75" customHeight="1">
      <c r="BM55302" s="1025"/>
      <c r="BO55302" s="43"/>
    </row>
    <row r="55303" spans="65:67" ht="18.75" customHeight="1">
      <c r="BM55303" s="1025"/>
      <c r="BO55303" s="43"/>
    </row>
    <row r="55304" spans="65:67" ht="18.75" customHeight="1">
      <c r="BM55304" s="1025"/>
      <c r="BO55304" s="43"/>
    </row>
    <row r="55305" spans="65:67" ht="18.75" customHeight="1">
      <c r="BM55305" s="1025"/>
      <c r="BO55305" s="43"/>
    </row>
    <row r="55306" spans="65:67" ht="18.75" customHeight="1">
      <c r="BM55306" s="1025"/>
      <c r="BO55306" s="43"/>
    </row>
    <row r="55307" spans="65:67" ht="18.75" customHeight="1">
      <c r="BM55307" s="1025"/>
      <c r="BO55307" s="43"/>
    </row>
    <row r="55308" spans="65:67" ht="18.75" customHeight="1">
      <c r="BM55308" s="1025"/>
      <c r="BO55308" s="43"/>
    </row>
    <row r="55309" spans="65:67" ht="18.75" customHeight="1">
      <c r="BM55309" s="1025"/>
      <c r="BO55309" s="43"/>
    </row>
    <row r="55310" spans="65:67" ht="18.75" customHeight="1">
      <c r="BM55310" s="1025"/>
      <c r="BO55310" s="43"/>
    </row>
    <row r="55311" spans="65:67" ht="18.75" customHeight="1">
      <c r="BM55311" s="1025"/>
      <c r="BO55311" s="43"/>
    </row>
    <row r="55312" spans="65:67" ht="18.75" customHeight="1">
      <c r="BM55312" s="1025"/>
      <c r="BO55312" s="43"/>
    </row>
    <row r="55313" spans="65:67" ht="18.75" customHeight="1">
      <c r="BM55313" s="1025"/>
      <c r="BO55313" s="43"/>
    </row>
    <row r="55314" spans="65:67" ht="18.75" customHeight="1">
      <c r="BM55314" s="1025"/>
      <c r="BO55314" s="43"/>
    </row>
    <row r="55315" spans="65:67" ht="18.75" customHeight="1">
      <c r="BM55315" s="1025"/>
      <c r="BO55315" s="43"/>
    </row>
    <row r="55316" spans="65:67" ht="18.75" customHeight="1">
      <c r="BM55316" s="1025"/>
      <c r="BO55316" s="43"/>
    </row>
    <row r="55317" spans="65:67" ht="18.75" customHeight="1">
      <c r="BM55317" s="1025"/>
      <c r="BO55317" s="43"/>
    </row>
    <row r="55318" spans="65:67" ht="18.75" customHeight="1">
      <c r="BM55318" s="1025"/>
      <c r="BO55318" s="43"/>
    </row>
    <row r="55319" spans="65:67" ht="18.75" customHeight="1">
      <c r="BM55319" s="1025"/>
      <c r="BO55319" s="43"/>
    </row>
    <row r="55320" spans="65:67" ht="18.75" customHeight="1">
      <c r="BM55320" s="1025"/>
      <c r="BO55320" s="43"/>
    </row>
    <row r="55321" spans="65:67" ht="18.75" customHeight="1">
      <c r="BM55321" s="1025"/>
      <c r="BO55321" s="43"/>
    </row>
    <row r="55322" spans="65:67" ht="18.75" customHeight="1">
      <c r="BM55322" s="1025"/>
      <c r="BO55322" s="43"/>
    </row>
    <row r="55323" spans="65:67" ht="18.75" customHeight="1">
      <c r="BM55323" s="1025"/>
      <c r="BO55323" s="43"/>
    </row>
    <row r="55324" spans="65:67" ht="18.75" customHeight="1">
      <c r="BM55324" s="1025"/>
      <c r="BO55324" s="43"/>
    </row>
    <row r="55325" spans="65:67" ht="18.75" customHeight="1">
      <c r="BM55325" s="1025"/>
      <c r="BO55325" s="43"/>
    </row>
    <row r="55326" spans="65:67" ht="18.75" customHeight="1">
      <c r="BM55326" s="1025"/>
      <c r="BO55326" s="43"/>
    </row>
    <row r="55327" spans="65:67" ht="18.75" customHeight="1">
      <c r="BM55327" s="1025"/>
      <c r="BO55327" s="43"/>
    </row>
    <row r="55328" spans="65:67" ht="18.75" customHeight="1">
      <c r="BM55328" s="1025"/>
      <c r="BO55328" s="43"/>
    </row>
    <row r="55329" spans="65:67" ht="18.75" customHeight="1">
      <c r="BM55329" s="1025"/>
      <c r="BO55329" s="43"/>
    </row>
    <row r="55330" spans="65:67" ht="18.75" customHeight="1">
      <c r="BM55330" s="1025"/>
      <c r="BO55330" s="43"/>
    </row>
    <row r="55331" spans="65:67" ht="18.75" customHeight="1">
      <c r="BM55331" s="1025"/>
      <c r="BO55331" s="43"/>
    </row>
    <row r="55332" spans="65:67" ht="18.75" customHeight="1">
      <c r="BM55332" s="1025"/>
      <c r="BO55332" s="43"/>
    </row>
    <row r="55333" spans="65:67" ht="18.75" customHeight="1">
      <c r="BM55333" s="1025"/>
      <c r="BO55333" s="43"/>
    </row>
    <row r="55334" spans="65:67" ht="18.75" customHeight="1">
      <c r="BM55334" s="1025"/>
      <c r="BO55334" s="43"/>
    </row>
    <row r="55335" spans="65:67" ht="18.75" customHeight="1">
      <c r="BM55335" s="1025"/>
      <c r="BO55335" s="43"/>
    </row>
    <row r="55336" spans="65:67" ht="18.75" customHeight="1">
      <c r="BM55336" s="1025"/>
      <c r="BO55336" s="43"/>
    </row>
    <row r="55337" spans="65:67" ht="18.75" customHeight="1">
      <c r="BM55337" s="1025"/>
      <c r="BO55337" s="43"/>
    </row>
    <row r="55338" spans="65:67" ht="18.75" customHeight="1">
      <c r="BM55338" s="1025"/>
      <c r="BO55338" s="43"/>
    </row>
    <row r="55339" spans="65:67" ht="18.75" customHeight="1">
      <c r="BM55339" s="1025"/>
      <c r="BO55339" s="43"/>
    </row>
    <row r="55340" spans="65:67" ht="18.75" customHeight="1">
      <c r="BM55340" s="1025"/>
      <c r="BO55340" s="43"/>
    </row>
    <row r="55341" spans="65:67" ht="18.75" customHeight="1">
      <c r="BM55341" s="1025"/>
      <c r="BO55341" s="43"/>
    </row>
    <row r="55342" spans="65:67" ht="18.75" customHeight="1">
      <c r="BM55342" s="1025"/>
      <c r="BO55342" s="43"/>
    </row>
    <row r="55343" spans="65:67" ht="18.75" customHeight="1">
      <c r="BM55343" s="1025"/>
      <c r="BO55343" s="43"/>
    </row>
    <row r="55344" spans="65:67" ht="18.75" customHeight="1">
      <c r="BM55344" s="1025"/>
      <c r="BO55344" s="43"/>
    </row>
    <row r="55345" spans="65:67" ht="18.75" customHeight="1">
      <c r="BM55345" s="1025"/>
      <c r="BO55345" s="43"/>
    </row>
    <row r="55346" spans="65:67" ht="18.75" customHeight="1">
      <c r="BM55346" s="1025"/>
      <c r="BO55346" s="43"/>
    </row>
    <row r="55347" spans="65:67" ht="18.75" customHeight="1">
      <c r="BM55347" s="1025"/>
      <c r="BO55347" s="43"/>
    </row>
    <row r="55348" spans="65:67" ht="18.75" customHeight="1">
      <c r="BM55348" s="1025"/>
      <c r="BO55348" s="43"/>
    </row>
    <row r="55349" spans="65:67" ht="18.75" customHeight="1">
      <c r="BM55349" s="1025"/>
      <c r="BO55349" s="43"/>
    </row>
    <row r="55350" spans="65:67" ht="18.75" customHeight="1">
      <c r="BM55350" s="1025"/>
      <c r="BO55350" s="43"/>
    </row>
    <row r="55351" spans="65:67" ht="18.75" customHeight="1">
      <c r="BM55351" s="1025"/>
      <c r="BO55351" s="43"/>
    </row>
    <row r="55352" spans="65:67" ht="18.75" customHeight="1">
      <c r="BM55352" s="1025"/>
      <c r="BO55352" s="43"/>
    </row>
    <row r="55353" spans="65:67" ht="18.75" customHeight="1">
      <c r="BM55353" s="1025"/>
      <c r="BO55353" s="43"/>
    </row>
    <row r="55354" spans="65:67" ht="18.75" customHeight="1">
      <c r="BM55354" s="1025"/>
      <c r="BO55354" s="43"/>
    </row>
    <row r="55355" spans="65:67" ht="18.75" customHeight="1">
      <c r="BM55355" s="1025"/>
      <c r="BO55355" s="43"/>
    </row>
    <row r="55356" spans="65:67" ht="18.75" customHeight="1">
      <c r="BM55356" s="1025"/>
      <c r="BO55356" s="43"/>
    </row>
    <row r="55357" spans="65:67" ht="18.75" customHeight="1">
      <c r="BM55357" s="1025"/>
      <c r="BO55357" s="43"/>
    </row>
    <row r="55358" spans="65:67" ht="18.75" customHeight="1">
      <c r="BM55358" s="1025"/>
      <c r="BO55358" s="43"/>
    </row>
    <row r="55359" spans="65:67" ht="18.75" customHeight="1">
      <c r="BM55359" s="1025"/>
      <c r="BO55359" s="43"/>
    </row>
    <row r="55360" spans="65:67" ht="18.75" customHeight="1">
      <c r="BM55360" s="1025"/>
      <c r="BO55360" s="43"/>
    </row>
    <row r="55361" spans="65:67" ht="18.75" customHeight="1">
      <c r="BM55361" s="1025"/>
      <c r="BO55361" s="43"/>
    </row>
    <row r="55362" spans="65:67" ht="18.75" customHeight="1">
      <c r="BM55362" s="1025"/>
      <c r="BO55362" s="43"/>
    </row>
    <row r="55363" spans="65:67" ht="18.75" customHeight="1">
      <c r="BM55363" s="1025"/>
      <c r="BO55363" s="43"/>
    </row>
    <row r="55364" spans="65:67" ht="18.75" customHeight="1">
      <c r="BM55364" s="1025"/>
      <c r="BO55364" s="43"/>
    </row>
    <row r="55365" spans="65:67" ht="18.75" customHeight="1">
      <c r="BM55365" s="1025"/>
      <c r="BO55365" s="43"/>
    </row>
    <row r="55366" spans="65:67" ht="18.75" customHeight="1">
      <c r="BM55366" s="1025"/>
      <c r="BO55366" s="43"/>
    </row>
    <row r="55367" spans="65:67" ht="18.75" customHeight="1">
      <c r="BM55367" s="1025"/>
      <c r="BO55367" s="43"/>
    </row>
    <row r="55368" spans="65:67" ht="18.75" customHeight="1">
      <c r="BM55368" s="1025"/>
      <c r="BO55368" s="43"/>
    </row>
    <row r="55369" spans="65:67" ht="18.75" customHeight="1">
      <c r="BM55369" s="1025"/>
      <c r="BO55369" s="43"/>
    </row>
    <row r="55370" spans="65:67" ht="18.75" customHeight="1">
      <c r="BM55370" s="1025"/>
      <c r="BO55370" s="43"/>
    </row>
    <row r="55371" spans="65:67" ht="18.75" customHeight="1">
      <c r="BM55371" s="1025"/>
      <c r="BO55371" s="43"/>
    </row>
    <row r="55372" spans="65:67" ht="18.75" customHeight="1">
      <c r="BM55372" s="1025"/>
      <c r="BO55372" s="43"/>
    </row>
    <row r="55373" spans="65:67" ht="18.75" customHeight="1">
      <c r="BM55373" s="1025"/>
      <c r="BO55373" s="43"/>
    </row>
    <row r="55374" spans="65:67" ht="18.75" customHeight="1">
      <c r="BM55374" s="1025"/>
      <c r="BO55374" s="43"/>
    </row>
    <row r="55375" spans="65:67" ht="18.75" customHeight="1">
      <c r="BM55375" s="1025"/>
      <c r="BO55375" s="43"/>
    </row>
    <row r="55376" spans="65:67" ht="18.75" customHeight="1">
      <c r="BM55376" s="1025"/>
      <c r="BO55376" s="43"/>
    </row>
    <row r="55377" spans="65:67" ht="18.75" customHeight="1">
      <c r="BM55377" s="1025"/>
      <c r="BO55377" s="43"/>
    </row>
    <row r="55378" spans="65:67" ht="18.75" customHeight="1">
      <c r="BM55378" s="1025"/>
      <c r="BO55378" s="43"/>
    </row>
    <row r="55379" spans="65:67" ht="18.75" customHeight="1">
      <c r="BM55379" s="1025"/>
      <c r="BO55379" s="43"/>
    </row>
    <row r="55380" spans="65:67" ht="18.75" customHeight="1">
      <c r="BM55380" s="1025"/>
      <c r="BO55380" s="43"/>
    </row>
    <row r="55381" spans="65:67" ht="18.75" customHeight="1">
      <c r="BM55381" s="1025"/>
      <c r="BO55381" s="43"/>
    </row>
    <row r="55382" spans="65:67" ht="18.75" customHeight="1">
      <c r="BM55382" s="1025"/>
      <c r="BO55382" s="43"/>
    </row>
    <row r="55383" spans="65:67" ht="18.75" customHeight="1">
      <c r="BM55383" s="1025"/>
      <c r="BO55383" s="43"/>
    </row>
    <row r="55384" spans="65:67" ht="18.75" customHeight="1">
      <c r="BM55384" s="1025"/>
      <c r="BO55384" s="43"/>
    </row>
    <row r="55385" spans="65:67" ht="18.75" customHeight="1">
      <c r="BM55385" s="1025"/>
      <c r="BO55385" s="43"/>
    </row>
    <row r="55386" spans="65:67" ht="18.75" customHeight="1">
      <c r="BM55386" s="1025"/>
      <c r="BO55386" s="43"/>
    </row>
    <row r="55387" spans="65:67" ht="18.75" customHeight="1">
      <c r="BM55387" s="1025"/>
      <c r="BO55387" s="43"/>
    </row>
    <row r="55388" spans="65:67" ht="18.75" customHeight="1">
      <c r="BM55388" s="1025"/>
      <c r="BO55388" s="43"/>
    </row>
    <row r="55389" spans="65:67" ht="18.75" customHeight="1">
      <c r="BM55389" s="1025"/>
      <c r="BO55389" s="43"/>
    </row>
    <row r="55390" spans="65:67" ht="18.75" customHeight="1">
      <c r="BM55390" s="1025"/>
      <c r="BO55390" s="43"/>
    </row>
    <row r="55391" spans="65:67" ht="18.75" customHeight="1">
      <c r="BM55391" s="1025"/>
      <c r="BO55391" s="43"/>
    </row>
    <row r="55392" spans="65:67" ht="18.75" customHeight="1">
      <c r="BM55392" s="1025"/>
      <c r="BO55392" s="43"/>
    </row>
    <row r="55393" spans="65:67" ht="18.75" customHeight="1">
      <c r="BM55393" s="1025"/>
      <c r="BO55393" s="43"/>
    </row>
    <row r="55394" spans="65:67" ht="18.75" customHeight="1">
      <c r="BM55394" s="1025"/>
      <c r="BO55394" s="43"/>
    </row>
    <row r="55395" spans="65:67" ht="18.75" customHeight="1">
      <c r="BM55395" s="1025"/>
      <c r="BO55395" s="43"/>
    </row>
    <row r="55396" spans="65:67" ht="18.75" customHeight="1">
      <c r="BM55396" s="1025"/>
      <c r="BO55396" s="43"/>
    </row>
    <row r="55397" spans="65:67" ht="18.75" customHeight="1">
      <c r="BM55397" s="1025"/>
      <c r="BO55397" s="43"/>
    </row>
    <row r="55398" spans="65:67" ht="18.75" customHeight="1">
      <c r="BM55398" s="1025"/>
      <c r="BO55398" s="43"/>
    </row>
    <row r="55399" spans="65:67" ht="18.75" customHeight="1">
      <c r="BM55399" s="1025"/>
      <c r="BO55399" s="43"/>
    </row>
    <row r="55400" spans="65:67" ht="18.75" customHeight="1">
      <c r="BM55400" s="1025"/>
      <c r="BO55400" s="43"/>
    </row>
    <row r="55401" spans="65:67" ht="18.75" customHeight="1">
      <c r="BM55401" s="1025"/>
      <c r="BO55401" s="43"/>
    </row>
    <row r="55402" spans="65:67" ht="18.75" customHeight="1">
      <c r="BM55402" s="1025"/>
      <c r="BO55402" s="43"/>
    </row>
    <row r="55403" spans="65:67" ht="18.75" customHeight="1">
      <c r="BM55403" s="1025"/>
      <c r="BO55403" s="43"/>
    </row>
    <row r="55404" spans="65:67" ht="18.75" customHeight="1">
      <c r="BM55404" s="1025"/>
      <c r="BO55404" s="43"/>
    </row>
    <row r="55405" spans="65:67" ht="18.75" customHeight="1">
      <c r="BM55405" s="1025"/>
      <c r="BO55405" s="43"/>
    </row>
    <row r="55406" spans="65:67" ht="18.75" customHeight="1">
      <c r="BM55406" s="1025"/>
      <c r="BO55406" s="43"/>
    </row>
    <row r="55407" spans="65:67" ht="18.75" customHeight="1">
      <c r="BM55407" s="1025"/>
      <c r="BO55407" s="43"/>
    </row>
    <row r="55408" spans="65:67" ht="18.75" customHeight="1">
      <c r="BM55408" s="1025"/>
      <c r="BO55408" s="43"/>
    </row>
    <row r="55409" spans="65:67" ht="18.75" customHeight="1">
      <c r="BM55409" s="1025"/>
      <c r="BO55409" s="43"/>
    </row>
    <row r="55410" spans="65:67" ht="18.75" customHeight="1">
      <c r="BM55410" s="1025"/>
      <c r="BO55410" s="43"/>
    </row>
    <row r="55411" spans="65:67" ht="18.75" customHeight="1">
      <c r="BM55411" s="1025"/>
      <c r="BO55411" s="43"/>
    </row>
    <row r="55412" spans="65:67" ht="18.75" customHeight="1">
      <c r="BM55412" s="1025"/>
      <c r="BO55412" s="43"/>
    </row>
    <row r="55413" spans="65:67" ht="18.75" customHeight="1">
      <c r="BM55413" s="1025"/>
      <c r="BO55413" s="43"/>
    </row>
    <row r="55414" spans="65:67" ht="18.75" customHeight="1">
      <c r="BM55414" s="1025"/>
      <c r="BO55414" s="43"/>
    </row>
    <row r="55415" spans="65:67" ht="18.75" customHeight="1">
      <c r="BM55415" s="1025"/>
      <c r="BO55415" s="43"/>
    </row>
    <row r="55416" spans="65:67" ht="18.75" customHeight="1">
      <c r="BM55416" s="1025"/>
      <c r="BO55416" s="43"/>
    </row>
    <row r="55417" spans="65:67" ht="18.75" customHeight="1">
      <c r="BM55417" s="1025"/>
      <c r="BO55417" s="43"/>
    </row>
    <row r="55418" spans="65:67" ht="18.75" customHeight="1">
      <c r="BM55418" s="1025"/>
      <c r="BO55418" s="43"/>
    </row>
    <row r="55419" spans="65:67" ht="18.75" customHeight="1">
      <c r="BM55419" s="1025"/>
      <c r="BO55419" s="43"/>
    </row>
    <row r="55420" spans="65:67" ht="18.75" customHeight="1">
      <c r="BM55420" s="1025"/>
      <c r="BO55420" s="43"/>
    </row>
    <row r="55421" spans="65:67" ht="18.75" customHeight="1">
      <c r="BM55421" s="1025"/>
      <c r="BO55421" s="43"/>
    </row>
    <row r="55422" spans="65:67" ht="18.75" customHeight="1">
      <c r="BM55422" s="1025"/>
      <c r="BO55422" s="43"/>
    </row>
    <row r="55423" spans="65:67" ht="18.75" customHeight="1">
      <c r="BM55423" s="1025"/>
      <c r="BO55423" s="43"/>
    </row>
    <row r="55424" spans="65:67" ht="18.75" customHeight="1">
      <c r="BM55424" s="1025"/>
      <c r="BO55424" s="43"/>
    </row>
    <row r="55425" spans="65:67" ht="18.75" customHeight="1">
      <c r="BM55425" s="1025"/>
      <c r="BO55425" s="43"/>
    </row>
    <row r="55426" spans="65:67" ht="18.75" customHeight="1">
      <c r="BM55426" s="1025"/>
      <c r="BO55426" s="43"/>
    </row>
    <row r="55427" spans="65:67" ht="18.75" customHeight="1">
      <c r="BM55427" s="1025"/>
      <c r="BO55427" s="43"/>
    </row>
    <row r="55428" spans="65:67" ht="18.75" customHeight="1">
      <c r="BM55428" s="1025"/>
      <c r="BO55428" s="43"/>
    </row>
    <row r="55429" spans="65:67" ht="18.75" customHeight="1">
      <c r="BM55429" s="1025"/>
      <c r="BO55429" s="43"/>
    </row>
    <row r="55430" spans="65:67" ht="18.75" customHeight="1">
      <c r="BM55430" s="1025"/>
      <c r="BO55430" s="43"/>
    </row>
    <row r="55431" spans="65:67" ht="18.75" customHeight="1">
      <c r="BM55431" s="1025"/>
      <c r="BO55431" s="43"/>
    </row>
    <row r="55432" spans="65:67" ht="18.75" customHeight="1">
      <c r="BM55432" s="1025"/>
      <c r="BO55432" s="43"/>
    </row>
    <row r="55433" spans="65:67" ht="18.75" customHeight="1">
      <c r="BM55433" s="1025"/>
      <c r="BO55433" s="43"/>
    </row>
    <row r="55434" spans="65:67" ht="18.75" customHeight="1">
      <c r="BM55434" s="1025"/>
      <c r="BO55434" s="43"/>
    </row>
    <row r="55435" spans="65:67" ht="18.75" customHeight="1">
      <c r="BM55435" s="1025"/>
      <c r="BO55435" s="43"/>
    </row>
    <row r="55436" spans="65:67" ht="18.75" customHeight="1">
      <c r="BM55436" s="1025"/>
      <c r="BO55436" s="43"/>
    </row>
    <row r="55437" spans="65:67" ht="18.75" customHeight="1">
      <c r="BM55437" s="1025"/>
      <c r="BO55437" s="43"/>
    </row>
    <row r="55438" spans="65:67" ht="18.75" customHeight="1">
      <c r="BM55438" s="1025"/>
      <c r="BO55438" s="43"/>
    </row>
    <row r="55439" spans="65:67" ht="18.75" customHeight="1">
      <c r="BM55439" s="1025"/>
      <c r="BO55439" s="43"/>
    </row>
    <row r="55440" spans="65:67" ht="18.75" customHeight="1">
      <c r="BM55440" s="1025"/>
      <c r="BO55440" s="43"/>
    </row>
    <row r="55441" spans="65:67" ht="18.75" customHeight="1">
      <c r="BM55441" s="1025"/>
      <c r="BO55441" s="43"/>
    </row>
    <row r="55442" spans="65:67" ht="18.75" customHeight="1">
      <c r="BM55442" s="1025"/>
      <c r="BO55442" s="43"/>
    </row>
    <row r="55443" spans="65:67" ht="18.75" customHeight="1">
      <c r="BM55443" s="1025"/>
      <c r="BO55443" s="43"/>
    </row>
    <row r="55444" spans="65:67" ht="18.75" customHeight="1">
      <c r="BM55444" s="1025"/>
      <c r="BO55444" s="43"/>
    </row>
    <row r="55445" spans="65:67" ht="18.75" customHeight="1">
      <c r="BM55445" s="1025"/>
      <c r="BO55445" s="43"/>
    </row>
    <row r="55446" spans="65:67" ht="18.75" customHeight="1">
      <c r="BM55446" s="1025"/>
      <c r="BO55446" s="43"/>
    </row>
    <row r="55447" spans="65:67" ht="18.75" customHeight="1">
      <c r="BM55447" s="1025"/>
      <c r="BO55447" s="43"/>
    </row>
    <row r="55448" spans="65:67" ht="18.75" customHeight="1">
      <c r="BM55448" s="1025"/>
      <c r="BO55448" s="43"/>
    </row>
    <row r="55449" spans="65:67" ht="18.75" customHeight="1">
      <c r="BM55449" s="1025"/>
      <c r="BO55449" s="43"/>
    </row>
    <row r="55450" spans="65:67" ht="18.75" customHeight="1">
      <c r="BM55450" s="1025"/>
      <c r="BO55450" s="43"/>
    </row>
    <row r="55451" spans="65:67" ht="18.75" customHeight="1">
      <c r="BM55451" s="1025"/>
      <c r="BO55451" s="43"/>
    </row>
    <row r="55452" spans="65:67" ht="18.75" customHeight="1">
      <c r="BM55452" s="1025"/>
      <c r="BO55452" s="43"/>
    </row>
    <row r="55453" spans="65:67" ht="18.75" customHeight="1">
      <c r="BM55453" s="1025"/>
      <c r="BO55453" s="43"/>
    </row>
    <row r="55454" spans="65:67" ht="18.75" customHeight="1">
      <c r="BM55454" s="1025"/>
      <c r="BO55454" s="43"/>
    </row>
    <row r="55455" spans="65:67" ht="18.75" customHeight="1">
      <c r="BM55455" s="1025"/>
      <c r="BO55455" s="43"/>
    </row>
    <row r="55456" spans="65:67" ht="18.75" customHeight="1">
      <c r="BM55456" s="1025"/>
      <c r="BO55456" s="43"/>
    </row>
    <row r="55457" spans="65:67" ht="18.75" customHeight="1">
      <c r="BM55457" s="1025"/>
      <c r="BO55457" s="43"/>
    </row>
    <row r="55458" spans="65:67" ht="18.75" customHeight="1">
      <c r="BM55458" s="1025"/>
      <c r="BO55458" s="43"/>
    </row>
    <row r="55459" spans="65:67" ht="18.75" customHeight="1">
      <c r="BM55459" s="1025"/>
      <c r="BO55459" s="43"/>
    </row>
    <row r="55460" spans="65:67" ht="18.75" customHeight="1">
      <c r="BM55460" s="1025"/>
      <c r="BO55460" s="43"/>
    </row>
    <row r="55461" spans="65:67" ht="18.75" customHeight="1">
      <c r="BM55461" s="1025"/>
      <c r="BO55461" s="43"/>
    </row>
    <row r="55462" spans="65:67" ht="18.75" customHeight="1">
      <c r="BM55462" s="1025"/>
      <c r="BO55462" s="43"/>
    </row>
    <row r="55463" spans="65:67" ht="18.75" customHeight="1">
      <c r="BM55463" s="1025"/>
      <c r="BO55463" s="43"/>
    </row>
    <row r="55464" spans="65:67" ht="18.75" customHeight="1">
      <c r="BM55464" s="1025"/>
      <c r="BO55464" s="43"/>
    </row>
    <row r="55465" spans="65:67" ht="18.75" customHeight="1">
      <c r="BM55465" s="1025"/>
      <c r="BO55465" s="43"/>
    </row>
    <row r="55466" spans="65:67" ht="18.75" customHeight="1">
      <c r="BM55466" s="1025"/>
      <c r="BO55466" s="43"/>
    </row>
    <row r="55467" spans="65:67" ht="18.75" customHeight="1">
      <c r="BM55467" s="1025"/>
      <c r="BO55467" s="43"/>
    </row>
    <row r="55468" spans="65:67" ht="18.75" customHeight="1">
      <c r="BM55468" s="1025"/>
      <c r="BO55468" s="43"/>
    </row>
    <row r="55469" spans="65:67" ht="18.75" customHeight="1">
      <c r="BM55469" s="1025"/>
      <c r="BO55469" s="43"/>
    </row>
    <row r="55470" spans="65:67" ht="18.75" customHeight="1">
      <c r="BM55470" s="1025"/>
      <c r="BO55470" s="43"/>
    </row>
    <row r="55471" spans="65:67" ht="18.75" customHeight="1">
      <c r="BM55471" s="1025"/>
      <c r="BO55471" s="43"/>
    </row>
    <row r="55472" spans="65:67" ht="18.75" customHeight="1">
      <c r="BM55472" s="1025"/>
      <c r="BO55472" s="43"/>
    </row>
    <row r="55473" spans="65:67" ht="18.75" customHeight="1">
      <c r="BM55473" s="1025"/>
      <c r="BO55473" s="43"/>
    </row>
    <row r="55474" spans="65:67" ht="18.75" customHeight="1">
      <c r="BM55474" s="1025"/>
      <c r="BO55474" s="43"/>
    </row>
    <row r="55475" spans="65:67" ht="18.75" customHeight="1">
      <c r="BM55475" s="1025"/>
      <c r="BO55475" s="43"/>
    </row>
    <row r="55476" spans="65:67" ht="18.75" customHeight="1">
      <c r="BM55476" s="1025"/>
      <c r="BO55476" s="43"/>
    </row>
    <row r="55477" spans="65:67" ht="18.75" customHeight="1">
      <c r="BM55477" s="1025"/>
      <c r="BO55477" s="43"/>
    </row>
    <row r="55478" spans="65:67" ht="18.75" customHeight="1">
      <c r="BM55478" s="1025"/>
      <c r="BO55478" s="43"/>
    </row>
    <row r="55479" spans="65:67" ht="18.75" customHeight="1">
      <c r="BM55479" s="1025"/>
      <c r="BO55479" s="43"/>
    </row>
    <row r="55480" spans="65:67" ht="18.75" customHeight="1">
      <c r="BM55480" s="1025"/>
      <c r="BO55480" s="43"/>
    </row>
    <row r="55481" spans="65:67" ht="18.75" customHeight="1">
      <c r="BM55481" s="1025"/>
      <c r="BO55481" s="43"/>
    </row>
    <row r="55482" spans="65:67" ht="18.75" customHeight="1">
      <c r="BM55482" s="1025"/>
      <c r="BO55482" s="43"/>
    </row>
    <row r="55483" spans="65:67" ht="18.75" customHeight="1">
      <c r="BM55483" s="1025"/>
      <c r="BO55483" s="43"/>
    </row>
    <row r="55484" spans="65:67" ht="18.75" customHeight="1">
      <c r="BM55484" s="1025"/>
      <c r="BO55484" s="43"/>
    </row>
    <row r="55485" spans="65:67" ht="18.75" customHeight="1">
      <c r="BM55485" s="1025"/>
      <c r="BO55485" s="43"/>
    </row>
    <row r="55486" spans="65:67" ht="18.75" customHeight="1">
      <c r="BM55486" s="1025"/>
      <c r="BO55486" s="43"/>
    </row>
    <row r="55487" spans="65:67" ht="18.75" customHeight="1">
      <c r="BM55487" s="1025"/>
      <c r="BO55487" s="43"/>
    </row>
    <row r="55488" spans="65:67" ht="18.75" customHeight="1">
      <c r="BM55488" s="1025"/>
      <c r="BO55488" s="43"/>
    </row>
    <row r="55489" spans="65:67" ht="18.75" customHeight="1">
      <c r="BM55489" s="1025"/>
      <c r="BO55489" s="43"/>
    </row>
    <row r="55490" spans="65:67" ht="18.75" customHeight="1">
      <c r="BM55490" s="1025"/>
      <c r="BO55490" s="43"/>
    </row>
    <row r="55491" spans="65:67" ht="18.75" customHeight="1">
      <c r="BM55491" s="1025"/>
      <c r="BO55491" s="43"/>
    </row>
    <row r="55492" spans="65:67" ht="18.75" customHeight="1">
      <c r="BM55492" s="1025"/>
      <c r="BO55492" s="43"/>
    </row>
    <row r="55493" spans="65:67" ht="18.75" customHeight="1">
      <c r="BM55493" s="1025"/>
      <c r="BO55493" s="43"/>
    </row>
    <row r="55494" spans="65:67" ht="18.75" customHeight="1">
      <c r="BM55494" s="1025"/>
      <c r="BO55494" s="43"/>
    </row>
    <row r="55495" spans="65:67" ht="18.75" customHeight="1">
      <c r="BM55495" s="1025"/>
      <c r="BO55495" s="43"/>
    </row>
    <row r="55496" spans="65:67" ht="18.75" customHeight="1">
      <c r="BM55496" s="1025"/>
      <c r="BO55496" s="43"/>
    </row>
    <row r="55497" spans="65:67" ht="18.75" customHeight="1">
      <c r="BM55497" s="1025"/>
      <c r="BO55497" s="43"/>
    </row>
    <row r="55498" spans="65:67" ht="18.75" customHeight="1">
      <c r="BM55498" s="1025"/>
      <c r="BO55498" s="43"/>
    </row>
    <row r="55499" spans="65:67" ht="18.75" customHeight="1">
      <c r="BM55499" s="1025"/>
      <c r="BO55499" s="43"/>
    </row>
    <row r="55500" spans="65:67" ht="18.75" customHeight="1">
      <c r="BM55500" s="1025"/>
      <c r="BO55500" s="43"/>
    </row>
    <row r="55501" spans="65:67" ht="18.75" customHeight="1">
      <c r="BM55501" s="1025"/>
      <c r="BO55501" s="43"/>
    </row>
    <row r="55502" spans="65:67" ht="18.75" customHeight="1">
      <c r="BM55502" s="1025"/>
      <c r="BO55502" s="43"/>
    </row>
    <row r="55503" spans="65:67" ht="18.75" customHeight="1">
      <c r="BM55503" s="1025"/>
      <c r="BO55503" s="43"/>
    </row>
    <row r="55504" spans="65:67" ht="18.75" customHeight="1">
      <c r="BM55504" s="1025"/>
      <c r="BO55504" s="43"/>
    </row>
    <row r="55505" spans="65:67" ht="18.75" customHeight="1">
      <c r="BM55505" s="1025"/>
      <c r="BO55505" s="43"/>
    </row>
    <row r="55506" spans="65:67" ht="18.75" customHeight="1">
      <c r="BM55506" s="1025"/>
      <c r="BO55506" s="43"/>
    </row>
    <row r="55507" spans="65:67" ht="18.75" customHeight="1">
      <c r="BM55507" s="1025"/>
      <c r="BO55507" s="43"/>
    </row>
    <row r="55508" spans="65:67" ht="18.75" customHeight="1">
      <c r="BM55508" s="1025"/>
      <c r="BO55508" s="43"/>
    </row>
    <row r="55509" spans="65:67" ht="18.75" customHeight="1">
      <c r="BM55509" s="1025"/>
      <c r="BO55509" s="43"/>
    </row>
    <row r="55510" spans="65:67" ht="18.75" customHeight="1">
      <c r="BM55510" s="1025"/>
      <c r="BO55510" s="43"/>
    </row>
    <row r="55511" spans="65:67" ht="18.75" customHeight="1">
      <c r="BM55511" s="1025"/>
      <c r="BO55511" s="43"/>
    </row>
    <row r="55512" spans="65:67" ht="18.75" customHeight="1">
      <c r="BM55512" s="1025"/>
      <c r="BO55512" s="43"/>
    </row>
    <row r="55513" spans="65:67" ht="18.75" customHeight="1">
      <c r="BM55513" s="1025"/>
      <c r="BO55513" s="43"/>
    </row>
    <row r="55514" spans="65:67" ht="18.75" customHeight="1">
      <c r="BM55514" s="1025"/>
      <c r="BO55514" s="43"/>
    </row>
    <row r="55515" spans="65:67" ht="18.75" customHeight="1">
      <c r="BM55515" s="1025"/>
      <c r="BO55515" s="43"/>
    </row>
    <row r="55516" spans="65:67" ht="18.75" customHeight="1">
      <c r="BM55516" s="1025"/>
      <c r="BO55516" s="43"/>
    </row>
    <row r="55517" spans="65:67" ht="18.75" customHeight="1">
      <c r="BM55517" s="1025"/>
      <c r="BO55517" s="43"/>
    </row>
    <row r="55518" spans="65:67" ht="18.75" customHeight="1">
      <c r="BM55518" s="1025"/>
      <c r="BO55518" s="43"/>
    </row>
    <row r="55519" spans="65:67" ht="18.75" customHeight="1">
      <c r="BM55519" s="1025"/>
      <c r="BO55519" s="43"/>
    </row>
    <row r="55520" spans="65:67" ht="18.75" customHeight="1">
      <c r="BM55520" s="1025"/>
      <c r="BO55520" s="43"/>
    </row>
    <row r="55521" spans="65:67" ht="18.75" customHeight="1">
      <c r="BM55521" s="1025"/>
      <c r="BO55521" s="43"/>
    </row>
    <row r="55522" spans="65:67" ht="18.75" customHeight="1">
      <c r="BM55522" s="1025"/>
      <c r="BO55522" s="43"/>
    </row>
    <row r="55523" spans="65:67" ht="18.75" customHeight="1">
      <c r="BM55523" s="1025"/>
      <c r="BO55523" s="43"/>
    </row>
    <row r="55524" spans="65:67" ht="18.75" customHeight="1">
      <c r="BM55524" s="1025"/>
      <c r="BO55524" s="43"/>
    </row>
    <row r="55525" spans="65:67" ht="18.75" customHeight="1">
      <c r="BM55525" s="1025"/>
      <c r="BO55525" s="43"/>
    </row>
    <row r="55526" spans="65:67" ht="18.75" customHeight="1">
      <c r="BM55526" s="1025"/>
      <c r="BO55526" s="43"/>
    </row>
    <row r="55527" spans="65:67" ht="18.75" customHeight="1">
      <c r="BM55527" s="1025"/>
      <c r="BO55527" s="43"/>
    </row>
    <row r="55528" spans="65:67" ht="18.75" customHeight="1">
      <c r="BM55528" s="1025"/>
      <c r="BO55528" s="43"/>
    </row>
    <row r="55529" spans="65:67" ht="18.75" customHeight="1">
      <c r="BM55529" s="1025"/>
      <c r="BO55529" s="43"/>
    </row>
    <row r="55530" spans="65:67" ht="18.75" customHeight="1">
      <c r="BM55530" s="1025"/>
      <c r="BO55530" s="43"/>
    </row>
    <row r="55531" spans="65:67" ht="18.75" customHeight="1">
      <c r="BM55531" s="1025"/>
      <c r="BO55531" s="43"/>
    </row>
    <row r="55532" spans="65:67" ht="18.75" customHeight="1">
      <c r="BM55532" s="1025"/>
      <c r="BO55532" s="43"/>
    </row>
    <row r="55533" spans="65:67" ht="18.75" customHeight="1">
      <c r="BM55533" s="1025"/>
      <c r="BO55533" s="43"/>
    </row>
    <row r="55534" spans="65:67" ht="18.75" customHeight="1">
      <c r="BM55534" s="1025"/>
      <c r="BO55534" s="43"/>
    </row>
    <row r="55535" spans="65:67" ht="18.75" customHeight="1">
      <c r="BM55535" s="1025"/>
      <c r="BO55535" s="43"/>
    </row>
    <row r="55536" spans="65:67" ht="18.75" customHeight="1">
      <c r="BM55536" s="1025"/>
      <c r="BO55536" s="43"/>
    </row>
    <row r="55537" spans="65:67" ht="18.75" customHeight="1">
      <c r="BM55537" s="1025"/>
      <c r="BO55537" s="43"/>
    </row>
    <row r="55538" spans="65:67" ht="18.75" customHeight="1">
      <c r="BM55538" s="1025"/>
      <c r="BO55538" s="43"/>
    </row>
    <row r="55539" spans="65:67" ht="18.75" customHeight="1">
      <c r="BM55539" s="1025"/>
      <c r="BO55539" s="43"/>
    </row>
    <row r="55540" spans="65:67" ht="18.75" customHeight="1">
      <c r="BM55540" s="1025"/>
      <c r="BO55540" s="43"/>
    </row>
    <row r="55541" spans="65:67" ht="18.75" customHeight="1">
      <c r="BM55541" s="1025"/>
      <c r="BO55541" s="43"/>
    </row>
    <row r="55542" spans="65:67" ht="18.75" customHeight="1">
      <c r="BM55542" s="1025"/>
      <c r="BO55542" s="43"/>
    </row>
    <row r="55543" spans="65:67" ht="18.75" customHeight="1">
      <c r="BM55543" s="1025"/>
      <c r="BO55543" s="43"/>
    </row>
    <row r="55544" spans="65:67" ht="18.75" customHeight="1">
      <c r="BM55544" s="1025"/>
      <c r="BO55544" s="43"/>
    </row>
    <row r="55545" spans="65:67" ht="18.75" customHeight="1">
      <c r="BM55545" s="1025"/>
      <c r="BO55545" s="43"/>
    </row>
    <row r="55546" spans="65:67" ht="18.75" customHeight="1">
      <c r="BM55546" s="1025"/>
      <c r="BO55546" s="43"/>
    </row>
    <row r="55547" spans="65:67" ht="18.75" customHeight="1">
      <c r="BM55547" s="1025"/>
      <c r="BO55547" s="43"/>
    </row>
    <row r="55548" spans="65:67" ht="18.75" customHeight="1">
      <c r="BM55548" s="1025"/>
      <c r="BO55548" s="43"/>
    </row>
    <row r="55549" spans="65:67" ht="18.75" customHeight="1">
      <c r="BM55549" s="1025"/>
      <c r="BO55549" s="43"/>
    </row>
    <row r="55550" spans="65:67" ht="18.75" customHeight="1">
      <c r="BM55550" s="1025"/>
      <c r="BO55550" s="43"/>
    </row>
    <row r="55551" spans="65:67" ht="18.75" customHeight="1">
      <c r="BM55551" s="1025"/>
      <c r="BO55551" s="43"/>
    </row>
    <row r="55552" spans="65:67" ht="18.75" customHeight="1">
      <c r="BM55552" s="1025"/>
      <c r="BO55552" s="43"/>
    </row>
    <row r="55553" spans="65:67" ht="18.75" customHeight="1">
      <c r="BM55553" s="1025"/>
      <c r="BO55553" s="43"/>
    </row>
    <row r="55554" spans="65:67" ht="18.75" customHeight="1">
      <c r="BM55554" s="1025"/>
      <c r="BO55554" s="43"/>
    </row>
    <row r="55555" spans="65:67" ht="18.75" customHeight="1">
      <c r="BM55555" s="1025"/>
      <c r="BO55555" s="43"/>
    </row>
    <row r="55556" spans="65:67" ht="18.75" customHeight="1">
      <c r="BM55556" s="1025"/>
      <c r="BO55556" s="43"/>
    </row>
    <row r="55557" spans="65:67" ht="18.75" customHeight="1">
      <c r="BM55557" s="1025"/>
      <c r="BO55557" s="43"/>
    </row>
    <row r="55558" spans="65:67" ht="18.75" customHeight="1">
      <c r="BM55558" s="1025"/>
      <c r="BO55558" s="43"/>
    </row>
    <row r="55559" spans="65:67" ht="18.75" customHeight="1">
      <c r="BM55559" s="1025"/>
      <c r="BO55559" s="43"/>
    </row>
    <row r="55560" spans="65:67" ht="18.75" customHeight="1">
      <c r="BM55560" s="1025"/>
      <c r="BO55560" s="43"/>
    </row>
    <row r="55561" spans="65:67" ht="18.75" customHeight="1">
      <c r="BM55561" s="1025"/>
      <c r="BO55561" s="43"/>
    </row>
    <row r="55562" spans="65:67" ht="18.75" customHeight="1">
      <c r="BM55562" s="1025"/>
      <c r="BO55562" s="43"/>
    </row>
    <row r="55563" spans="65:67" ht="18.75" customHeight="1">
      <c r="BM55563" s="1025"/>
      <c r="BO55563" s="43"/>
    </row>
    <row r="55564" spans="65:67" ht="18.75" customHeight="1">
      <c r="BM55564" s="1025"/>
      <c r="BO55564" s="43"/>
    </row>
    <row r="55565" spans="65:67" ht="18.75" customHeight="1">
      <c r="BM55565" s="1025"/>
      <c r="BO55565" s="43"/>
    </row>
    <row r="55566" spans="65:67" ht="18.75" customHeight="1">
      <c r="BM55566" s="1025"/>
      <c r="BO55566" s="43"/>
    </row>
    <row r="55567" spans="65:67" ht="18.75" customHeight="1">
      <c r="BM55567" s="1025"/>
      <c r="BO55567" s="43"/>
    </row>
    <row r="55568" spans="65:67" ht="18.75" customHeight="1">
      <c r="BM55568" s="1025"/>
      <c r="BO55568" s="43"/>
    </row>
    <row r="55569" spans="65:67" ht="18.75" customHeight="1">
      <c r="BM55569" s="1025"/>
      <c r="BO55569" s="43"/>
    </row>
    <row r="55570" spans="65:67" ht="18.75" customHeight="1">
      <c r="BM55570" s="1025"/>
      <c r="BO55570" s="43"/>
    </row>
    <row r="55571" spans="65:67" ht="18.75" customHeight="1">
      <c r="BM55571" s="1025"/>
      <c r="BO55571" s="43"/>
    </row>
    <row r="55572" spans="65:67" ht="18.75" customHeight="1">
      <c r="BM55572" s="1025"/>
      <c r="BO55572" s="43"/>
    </row>
    <row r="55573" spans="65:67" ht="18.75" customHeight="1">
      <c r="BM55573" s="1025"/>
      <c r="BO55573" s="43"/>
    </row>
    <row r="55574" spans="65:67" ht="18.75" customHeight="1">
      <c r="BM55574" s="1025"/>
      <c r="BO55574" s="43"/>
    </row>
    <row r="55575" spans="65:67" ht="18.75" customHeight="1">
      <c r="BM55575" s="1025"/>
      <c r="BO55575" s="43"/>
    </row>
    <row r="55576" spans="65:67" ht="18.75" customHeight="1">
      <c r="BM55576" s="1025"/>
      <c r="BO55576" s="43"/>
    </row>
    <row r="55577" spans="65:67" ht="18.75" customHeight="1">
      <c r="BM55577" s="1025"/>
      <c r="BO55577" s="43"/>
    </row>
    <row r="55578" spans="65:67" ht="18.75" customHeight="1">
      <c r="BM55578" s="1025"/>
      <c r="BO55578" s="43"/>
    </row>
    <row r="55579" spans="65:67" ht="18.75" customHeight="1">
      <c r="BM55579" s="1025"/>
      <c r="BO55579" s="43"/>
    </row>
    <row r="55580" spans="65:67" ht="18.75" customHeight="1">
      <c r="BM55580" s="1025"/>
      <c r="BO55580" s="43"/>
    </row>
    <row r="55581" spans="65:67" ht="18.75" customHeight="1">
      <c r="BM55581" s="1025"/>
      <c r="BO55581" s="43"/>
    </row>
    <row r="55582" spans="65:67" ht="18.75" customHeight="1">
      <c r="BM55582" s="1025"/>
      <c r="BO55582" s="43"/>
    </row>
    <row r="55583" spans="65:67" ht="18.75" customHeight="1">
      <c r="BM55583" s="1025"/>
      <c r="BO55583" s="43"/>
    </row>
    <row r="55584" spans="65:67" ht="18.75" customHeight="1">
      <c r="BM55584" s="1025"/>
      <c r="BO55584" s="43"/>
    </row>
    <row r="55585" spans="65:67" ht="18.75" customHeight="1">
      <c r="BM55585" s="1025"/>
      <c r="BO55585" s="43"/>
    </row>
    <row r="55586" spans="65:67" ht="18.75" customHeight="1">
      <c r="BM55586" s="1025"/>
      <c r="BO55586" s="43"/>
    </row>
    <row r="55587" spans="65:67" ht="18.75" customHeight="1">
      <c r="BM55587" s="1025"/>
      <c r="BO55587" s="43"/>
    </row>
    <row r="55588" spans="65:67" ht="18.75" customHeight="1">
      <c r="BM55588" s="1025"/>
      <c r="BO55588" s="43"/>
    </row>
    <row r="55589" spans="65:67" ht="18.75" customHeight="1">
      <c r="BM55589" s="1025"/>
      <c r="BO55589" s="43"/>
    </row>
    <row r="55590" spans="65:67" ht="18.75" customHeight="1">
      <c r="BM55590" s="1025"/>
      <c r="BO55590" s="43"/>
    </row>
    <row r="55591" spans="65:67" ht="18.75" customHeight="1">
      <c r="BM55591" s="1025"/>
      <c r="BO55591" s="43"/>
    </row>
    <row r="55592" spans="65:67" ht="18.75" customHeight="1">
      <c r="BM55592" s="1025"/>
      <c r="BO55592" s="43"/>
    </row>
    <row r="55593" spans="65:67" ht="18.75" customHeight="1">
      <c r="BM55593" s="1025"/>
      <c r="BO55593" s="43"/>
    </row>
    <row r="55594" spans="65:67" ht="18.75" customHeight="1">
      <c r="BM55594" s="1025"/>
      <c r="BO55594" s="43"/>
    </row>
    <row r="55595" spans="65:67" ht="18.75" customHeight="1">
      <c r="BM55595" s="1025"/>
      <c r="BO55595" s="43"/>
    </row>
    <row r="55596" spans="65:67" ht="18.75" customHeight="1">
      <c r="BM55596" s="1025"/>
      <c r="BO55596" s="43"/>
    </row>
    <row r="55597" spans="65:67" ht="18.75" customHeight="1">
      <c r="BM55597" s="1025"/>
      <c r="BO55597" s="43"/>
    </row>
    <row r="55598" spans="65:67" ht="18.75" customHeight="1">
      <c r="BM55598" s="1025"/>
      <c r="BO55598" s="43"/>
    </row>
    <row r="55599" spans="65:67" ht="18.75" customHeight="1">
      <c r="BM55599" s="1025"/>
      <c r="BO55599" s="43"/>
    </row>
    <row r="55600" spans="65:67" ht="18.75" customHeight="1">
      <c r="BM55600" s="1025"/>
      <c r="BO55600" s="43"/>
    </row>
    <row r="55601" spans="65:67" ht="18.75" customHeight="1">
      <c r="BM55601" s="1025"/>
      <c r="BO55601" s="43"/>
    </row>
    <row r="55602" spans="65:67" ht="18.75" customHeight="1">
      <c r="BM55602" s="1025"/>
      <c r="BO55602" s="43"/>
    </row>
    <row r="55603" spans="65:67" ht="18.75" customHeight="1">
      <c r="BM55603" s="1025"/>
      <c r="BO55603" s="43"/>
    </row>
    <row r="55604" spans="65:67" ht="18.75" customHeight="1">
      <c r="BM55604" s="1025"/>
      <c r="BO55604" s="43"/>
    </row>
    <row r="55605" spans="65:67" ht="18.75" customHeight="1">
      <c r="BM55605" s="1025"/>
      <c r="BO55605" s="43"/>
    </row>
    <row r="55606" spans="65:67" ht="18.75" customHeight="1">
      <c r="BM55606" s="1025"/>
      <c r="BO55606" s="43"/>
    </row>
    <row r="55607" spans="65:67" ht="18.75" customHeight="1">
      <c r="BM55607" s="1025"/>
      <c r="BO55607" s="43"/>
    </row>
    <row r="55608" spans="65:67" ht="18.75" customHeight="1">
      <c r="BM55608" s="1025"/>
      <c r="BO55608" s="43"/>
    </row>
    <row r="55609" spans="65:67" ht="18.75" customHeight="1">
      <c r="BM55609" s="1025"/>
      <c r="BO55609" s="43"/>
    </row>
    <row r="55610" spans="65:67" ht="18.75" customHeight="1">
      <c r="BM55610" s="1025"/>
      <c r="BO55610" s="43"/>
    </row>
    <row r="55611" spans="65:67" ht="18.75" customHeight="1">
      <c r="BM55611" s="1025"/>
      <c r="BO55611" s="43"/>
    </row>
    <row r="55612" spans="65:67" ht="18.75" customHeight="1">
      <c r="BM55612" s="1025"/>
      <c r="BO55612" s="43"/>
    </row>
    <row r="55613" spans="65:67" ht="18.75" customHeight="1">
      <c r="BM55613" s="1025"/>
      <c r="BO55613" s="43"/>
    </row>
    <row r="55614" spans="65:67" ht="18.75" customHeight="1">
      <c r="BM55614" s="1025"/>
      <c r="BO55614" s="43"/>
    </row>
    <row r="55615" spans="65:67" ht="18.75" customHeight="1">
      <c r="BM55615" s="1025"/>
      <c r="BO55615" s="43"/>
    </row>
    <row r="55616" spans="65:67" ht="18.75" customHeight="1">
      <c r="BM55616" s="1025"/>
      <c r="BO55616" s="43"/>
    </row>
    <row r="55617" spans="65:67" ht="18.75" customHeight="1">
      <c r="BM55617" s="1025"/>
      <c r="BO55617" s="43"/>
    </row>
    <row r="55618" spans="65:67" ht="18.75" customHeight="1">
      <c r="BM55618" s="1025"/>
      <c r="BO55618" s="43"/>
    </row>
    <row r="55619" spans="65:67" ht="18.75" customHeight="1">
      <c r="BM55619" s="1025"/>
      <c r="BO55619" s="43"/>
    </row>
    <row r="55620" spans="65:67" ht="18.75" customHeight="1">
      <c r="BM55620" s="1025"/>
      <c r="BO55620" s="43"/>
    </row>
    <row r="55621" spans="65:67" ht="18.75" customHeight="1">
      <c r="BM55621" s="1025"/>
      <c r="BO55621" s="43"/>
    </row>
    <row r="55622" spans="65:67" ht="18.75" customHeight="1">
      <c r="BM55622" s="1025"/>
      <c r="BO55622" s="43"/>
    </row>
    <row r="55623" spans="65:67" ht="18.75" customHeight="1">
      <c r="BM55623" s="1025"/>
      <c r="BO55623" s="43"/>
    </row>
    <row r="55624" spans="65:67" ht="18.75" customHeight="1">
      <c r="BM55624" s="1025"/>
      <c r="BO55624" s="43"/>
    </row>
    <row r="55625" spans="65:67" ht="18.75" customHeight="1">
      <c r="BM55625" s="1025"/>
      <c r="BO55625" s="43"/>
    </row>
    <row r="55626" spans="65:67" ht="18.75" customHeight="1">
      <c r="BM55626" s="1025"/>
      <c r="BO55626" s="43"/>
    </row>
    <row r="55627" spans="65:67" ht="18.75" customHeight="1">
      <c r="BM55627" s="1025"/>
      <c r="BO55627" s="43"/>
    </row>
    <row r="55628" spans="65:67" ht="18.75" customHeight="1">
      <c r="BM55628" s="1025"/>
      <c r="BO55628" s="43"/>
    </row>
    <row r="55629" spans="65:67" ht="18.75" customHeight="1">
      <c r="BM55629" s="1025"/>
      <c r="BO55629" s="43"/>
    </row>
    <row r="55630" spans="65:67" ht="18.75" customHeight="1">
      <c r="BM55630" s="1025"/>
      <c r="BO55630" s="43"/>
    </row>
    <row r="55631" spans="65:67" ht="18.75" customHeight="1">
      <c r="BM55631" s="1025"/>
      <c r="BO55631" s="43"/>
    </row>
    <row r="55632" spans="65:67" ht="18.75" customHeight="1">
      <c r="BM55632" s="1025"/>
      <c r="BO55632" s="43"/>
    </row>
    <row r="55633" spans="65:67" ht="18.75" customHeight="1">
      <c r="BM55633" s="1025"/>
      <c r="BO55633" s="43"/>
    </row>
    <row r="55634" spans="65:67" ht="18.75" customHeight="1">
      <c r="BM55634" s="1025"/>
      <c r="BO55634" s="43"/>
    </row>
    <row r="55635" spans="65:67" ht="18.75" customHeight="1">
      <c r="BM55635" s="1025"/>
      <c r="BO55635" s="43"/>
    </row>
    <row r="55636" spans="65:67" ht="18.75" customHeight="1">
      <c r="BM55636" s="1025"/>
      <c r="BO55636" s="43"/>
    </row>
    <row r="55637" spans="65:67" ht="18.75" customHeight="1">
      <c r="BM55637" s="1025"/>
      <c r="BO55637" s="43"/>
    </row>
    <row r="55638" spans="65:67" ht="18.75" customHeight="1">
      <c r="BM55638" s="1025"/>
      <c r="BO55638" s="43"/>
    </row>
    <row r="55639" spans="65:67" ht="18.75" customHeight="1">
      <c r="BM55639" s="1025"/>
      <c r="BO55639" s="43"/>
    </row>
    <row r="55640" spans="65:67" ht="18.75" customHeight="1">
      <c r="BM55640" s="1025"/>
      <c r="BO55640" s="43"/>
    </row>
    <row r="55641" spans="65:67" ht="18.75" customHeight="1">
      <c r="BM55641" s="1025"/>
      <c r="BO55641" s="43"/>
    </row>
    <row r="55642" spans="65:67" ht="18.75" customHeight="1">
      <c r="BM55642" s="1025"/>
      <c r="BO55642" s="43"/>
    </row>
    <row r="55643" spans="65:67" ht="18.75" customHeight="1">
      <c r="BM55643" s="1025"/>
      <c r="BO55643" s="43"/>
    </row>
    <row r="55644" spans="65:67" ht="18.75" customHeight="1">
      <c r="BM55644" s="1025"/>
      <c r="BO55644" s="43"/>
    </row>
    <row r="55645" spans="65:67" ht="18.75" customHeight="1">
      <c r="BM55645" s="1025"/>
      <c r="BO55645" s="43"/>
    </row>
    <row r="55646" spans="65:67" ht="18.75" customHeight="1">
      <c r="BM55646" s="1025"/>
      <c r="BO55646" s="43"/>
    </row>
    <row r="55647" spans="65:67" ht="18.75" customHeight="1">
      <c r="BM55647" s="1025"/>
      <c r="BO55647" s="43"/>
    </row>
    <row r="55648" spans="65:67" ht="18.75" customHeight="1">
      <c r="BM55648" s="1025"/>
      <c r="BO55648" s="43"/>
    </row>
    <row r="55649" spans="65:67" ht="18.75" customHeight="1">
      <c r="BM55649" s="1025"/>
      <c r="BO55649" s="43"/>
    </row>
    <row r="55650" spans="65:67" ht="18.75" customHeight="1">
      <c r="BM55650" s="1025"/>
      <c r="BO55650" s="43"/>
    </row>
    <row r="55651" spans="65:67" ht="18.75" customHeight="1">
      <c r="BM55651" s="1025"/>
      <c r="BO55651" s="43"/>
    </row>
    <row r="55652" spans="65:67" ht="18.75" customHeight="1">
      <c r="BM55652" s="1025"/>
      <c r="BO55652" s="43"/>
    </row>
    <row r="55653" spans="65:67" ht="18.75" customHeight="1">
      <c r="BM55653" s="1025"/>
      <c r="BO55653" s="43"/>
    </row>
    <row r="55654" spans="65:67" ht="18.75" customHeight="1">
      <c r="BM55654" s="1025"/>
      <c r="BO55654" s="43"/>
    </row>
    <row r="55655" spans="65:67" ht="18.75" customHeight="1">
      <c r="BM55655" s="1025"/>
      <c r="BO55655" s="43"/>
    </row>
    <row r="55656" spans="65:67" ht="18.75" customHeight="1">
      <c r="BM55656" s="1025"/>
      <c r="BO55656" s="43"/>
    </row>
    <row r="55657" spans="65:67" ht="18.75" customHeight="1">
      <c r="BM55657" s="1025"/>
      <c r="BO55657" s="43"/>
    </row>
    <row r="55658" spans="65:67" ht="18.75" customHeight="1">
      <c r="BM55658" s="1025"/>
      <c r="BO55658" s="43"/>
    </row>
    <row r="55659" spans="65:67" ht="18.75" customHeight="1">
      <c r="BM55659" s="1025"/>
      <c r="BO55659" s="43"/>
    </row>
    <row r="55660" spans="65:67" ht="18.75" customHeight="1">
      <c r="BM55660" s="1025"/>
      <c r="BO55660" s="43"/>
    </row>
    <row r="55661" spans="65:67" ht="18.75" customHeight="1">
      <c r="BM55661" s="1025"/>
      <c r="BO55661" s="43"/>
    </row>
    <row r="55662" spans="65:67" ht="18.75" customHeight="1">
      <c r="BM55662" s="1025"/>
      <c r="BO55662" s="43"/>
    </row>
    <row r="55663" spans="65:67" ht="18.75" customHeight="1">
      <c r="BM55663" s="1025"/>
      <c r="BO55663" s="43"/>
    </row>
    <row r="55664" spans="65:67" ht="18.75" customHeight="1">
      <c r="BM55664" s="1025"/>
      <c r="BO55664" s="43"/>
    </row>
    <row r="55665" spans="65:67" ht="18.75" customHeight="1">
      <c r="BM55665" s="1025"/>
      <c r="BO55665" s="43"/>
    </row>
    <row r="55666" spans="65:67" ht="18.75" customHeight="1">
      <c r="BM55666" s="1025"/>
      <c r="BO55666" s="43"/>
    </row>
    <row r="55667" spans="65:67" ht="18.75" customHeight="1">
      <c r="BM55667" s="1025"/>
      <c r="BO55667" s="43"/>
    </row>
    <row r="55668" spans="65:67" ht="18.75" customHeight="1">
      <c r="BM55668" s="1025"/>
      <c r="BO55668" s="43"/>
    </row>
    <row r="55669" spans="65:67" ht="18.75" customHeight="1">
      <c r="BM55669" s="1025"/>
      <c r="BO55669" s="43"/>
    </row>
    <row r="55670" spans="65:67" ht="18.75" customHeight="1">
      <c r="BM55670" s="1025"/>
      <c r="BO55670" s="43"/>
    </row>
    <row r="55671" spans="65:67" ht="18.75" customHeight="1">
      <c r="BM55671" s="1025"/>
      <c r="BO55671" s="43"/>
    </row>
    <row r="55672" spans="65:67" ht="18.75" customHeight="1">
      <c r="BM55672" s="1025"/>
      <c r="BO55672" s="43"/>
    </row>
    <row r="55673" spans="65:67" ht="18.75" customHeight="1">
      <c r="BM55673" s="1025"/>
      <c r="BO55673" s="43"/>
    </row>
    <row r="55674" spans="65:67" ht="18.75" customHeight="1">
      <c r="BM55674" s="1025"/>
      <c r="BO55674" s="43"/>
    </row>
    <row r="55675" spans="65:67" ht="18.75" customHeight="1">
      <c r="BM55675" s="1025"/>
      <c r="BO55675" s="43"/>
    </row>
    <row r="55676" spans="65:67" ht="18.75" customHeight="1">
      <c r="BM55676" s="1025"/>
      <c r="BO55676" s="43"/>
    </row>
    <row r="55677" spans="65:67" ht="18.75" customHeight="1">
      <c r="BM55677" s="1025"/>
      <c r="BO55677" s="43"/>
    </row>
    <row r="55678" spans="65:67" ht="18.75" customHeight="1">
      <c r="BM55678" s="1025"/>
      <c r="BO55678" s="43"/>
    </row>
    <row r="55679" spans="65:67" ht="18.75" customHeight="1">
      <c r="BM55679" s="1025"/>
      <c r="BO55679" s="43"/>
    </row>
    <row r="55680" spans="65:67" ht="18.75" customHeight="1">
      <c r="BM55680" s="1025"/>
      <c r="BO55680" s="43"/>
    </row>
    <row r="55681" spans="65:67" ht="18.75" customHeight="1">
      <c r="BM55681" s="1025"/>
      <c r="BO55681" s="43"/>
    </row>
    <row r="55682" spans="65:67" ht="18.75" customHeight="1">
      <c r="BM55682" s="1025"/>
      <c r="BO55682" s="43"/>
    </row>
    <row r="55683" spans="65:67" ht="18.75" customHeight="1">
      <c r="BM55683" s="1025"/>
      <c r="BO55683" s="43"/>
    </row>
    <row r="55684" spans="65:67" ht="18.75" customHeight="1">
      <c r="BM55684" s="1025"/>
      <c r="BO55684" s="43"/>
    </row>
    <row r="55685" spans="65:67" ht="18.75" customHeight="1">
      <c r="BM55685" s="1025"/>
      <c r="BO55685" s="43"/>
    </row>
    <row r="55686" spans="65:67" ht="18.75" customHeight="1">
      <c r="BM55686" s="1025"/>
      <c r="BO55686" s="43"/>
    </row>
    <row r="55687" spans="65:67" ht="18.75" customHeight="1">
      <c r="BM55687" s="1025"/>
      <c r="BO55687" s="43"/>
    </row>
    <row r="55688" spans="65:67" ht="18.75" customHeight="1">
      <c r="BM55688" s="1025"/>
      <c r="BO55688" s="43"/>
    </row>
    <row r="55689" spans="65:67" ht="18.75" customHeight="1">
      <c r="BM55689" s="1025"/>
      <c r="BO55689" s="43"/>
    </row>
    <row r="55690" spans="65:67" ht="18.75" customHeight="1">
      <c r="BM55690" s="1025"/>
      <c r="BO55690" s="43"/>
    </row>
    <row r="55691" spans="65:67" ht="18.75" customHeight="1">
      <c r="BM55691" s="1025"/>
      <c r="BO55691" s="43"/>
    </row>
    <row r="55692" spans="65:67" ht="18.75" customHeight="1">
      <c r="BM55692" s="1025"/>
      <c r="BO55692" s="43"/>
    </row>
    <row r="55693" spans="65:67" ht="18.75" customHeight="1">
      <c r="BM55693" s="1025"/>
      <c r="BO55693" s="43"/>
    </row>
    <row r="55694" spans="65:67" ht="18.75" customHeight="1">
      <c r="BM55694" s="1025"/>
      <c r="BO55694" s="43"/>
    </row>
    <row r="55695" spans="65:67" ht="18.75" customHeight="1">
      <c r="BM55695" s="1025"/>
      <c r="BO55695" s="43"/>
    </row>
    <row r="55696" spans="65:67" ht="18.75" customHeight="1">
      <c r="BM55696" s="1025"/>
      <c r="BO55696" s="43"/>
    </row>
    <row r="55697" spans="65:67" ht="18.75" customHeight="1">
      <c r="BM55697" s="1025"/>
      <c r="BO55697" s="43"/>
    </row>
    <row r="55698" spans="65:67" ht="18.75" customHeight="1">
      <c r="BM55698" s="1025"/>
      <c r="BO55698" s="43"/>
    </row>
    <row r="55699" spans="65:67" ht="18.75" customHeight="1">
      <c r="BM55699" s="1025"/>
      <c r="BO55699" s="43"/>
    </row>
    <row r="55700" spans="65:67" ht="18.75" customHeight="1">
      <c r="BM55700" s="1025"/>
      <c r="BO55700" s="43"/>
    </row>
    <row r="55701" spans="65:67" ht="18.75" customHeight="1">
      <c r="BM55701" s="1025"/>
      <c r="BO55701" s="43"/>
    </row>
    <row r="55702" spans="65:67" ht="18.75" customHeight="1">
      <c r="BM55702" s="1025"/>
      <c r="BO55702" s="43"/>
    </row>
    <row r="55703" spans="65:67" ht="18.75" customHeight="1">
      <c r="BM55703" s="1025"/>
      <c r="BO55703" s="43"/>
    </row>
    <row r="55704" spans="65:67" ht="18.75" customHeight="1">
      <c r="BM55704" s="1025"/>
      <c r="BO55704" s="43"/>
    </row>
    <row r="55705" spans="65:67" ht="18.75" customHeight="1">
      <c r="BM55705" s="1025"/>
      <c r="BO55705" s="43"/>
    </row>
    <row r="55706" spans="65:67" ht="18.75" customHeight="1">
      <c r="BM55706" s="1025"/>
      <c r="BO55706" s="43"/>
    </row>
    <row r="55707" spans="65:67" ht="18.75" customHeight="1">
      <c r="BM55707" s="1025"/>
      <c r="BO55707" s="43"/>
    </row>
    <row r="55708" spans="65:67" ht="18.75" customHeight="1">
      <c r="BM55708" s="1025"/>
      <c r="BO55708" s="43"/>
    </row>
    <row r="55709" spans="65:67" ht="18.75" customHeight="1">
      <c r="BM55709" s="1025"/>
      <c r="BO55709" s="43"/>
    </row>
    <row r="55710" spans="65:67" ht="18.75" customHeight="1">
      <c r="BM55710" s="1025"/>
      <c r="BO55710" s="43"/>
    </row>
    <row r="55711" spans="65:67" ht="18.75" customHeight="1">
      <c r="BM55711" s="1025"/>
      <c r="BO55711" s="43"/>
    </row>
    <row r="55712" spans="65:67" ht="18.75" customHeight="1">
      <c r="BM55712" s="1025"/>
      <c r="BO55712" s="43"/>
    </row>
    <row r="55713" spans="65:67" ht="18.75" customHeight="1">
      <c r="BM55713" s="1025"/>
      <c r="BO55713" s="43"/>
    </row>
    <row r="55714" spans="65:67" ht="18.75" customHeight="1">
      <c r="BM55714" s="1025"/>
      <c r="BO55714" s="43"/>
    </row>
    <row r="55715" spans="65:67" ht="18.75" customHeight="1">
      <c r="BM55715" s="1025"/>
      <c r="BO55715" s="43"/>
    </row>
    <row r="55716" spans="65:67" ht="18.75" customHeight="1">
      <c r="BM55716" s="1025"/>
      <c r="BO55716" s="43"/>
    </row>
    <row r="55717" spans="65:67" ht="18.75" customHeight="1">
      <c r="BM55717" s="1025"/>
      <c r="BO55717" s="43"/>
    </row>
    <row r="55718" spans="65:67" ht="18.75" customHeight="1">
      <c r="BM55718" s="1025"/>
      <c r="BO55718" s="43"/>
    </row>
    <row r="55719" spans="65:67" ht="18.75" customHeight="1">
      <c r="BM55719" s="1025"/>
      <c r="BO55719" s="43"/>
    </row>
    <row r="55720" spans="65:67" ht="18.75" customHeight="1">
      <c r="BM55720" s="1025"/>
      <c r="BO55720" s="43"/>
    </row>
    <row r="55721" spans="65:67" ht="18.75" customHeight="1">
      <c r="BM55721" s="1025"/>
      <c r="BO55721" s="43"/>
    </row>
    <row r="55722" spans="65:67" ht="18.75" customHeight="1">
      <c r="BM55722" s="1025"/>
      <c r="BO55722" s="43"/>
    </row>
    <row r="55723" spans="65:67" ht="18.75" customHeight="1">
      <c r="BM55723" s="1025"/>
      <c r="BO55723" s="43"/>
    </row>
    <row r="55724" spans="65:67" ht="18.75" customHeight="1">
      <c r="BM55724" s="1025"/>
      <c r="BO55724" s="43"/>
    </row>
    <row r="55725" spans="65:67" ht="18.75" customHeight="1">
      <c r="BM55725" s="1025"/>
      <c r="BO55725" s="43"/>
    </row>
    <row r="55726" spans="65:67" ht="18.75" customHeight="1">
      <c r="BM55726" s="1025"/>
      <c r="BO55726" s="43"/>
    </row>
    <row r="55727" spans="65:67" ht="18.75" customHeight="1">
      <c r="BM55727" s="1025"/>
      <c r="BO55727" s="43"/>
    </row>
    <row r="55728" spans="65:67" ht="18.75" customHeight="1">
      <c r="BM55728" s="1025"/>
      <c r="BO55728" s="43"/>
    </row>
    <row r="55729" spans="65:67" ht="18.75" customHeight="1">
      <c r="BM55729" s="1025"/>
      <c r="BO55729" s="43"/>
    </row>
    <row r="55730" spans="65:67" ht="18.75" customHeight="1">
      <c r="BM55730" s="1025"/>
      <c r="BO55730" s="43"/>
    </row>
    <row r="55731" spans="65:67" ht="18.75" customHeight="1">
      <c r="BM55731" s="1025"/>
      <c r="BO55731" s="43"/>
    </row>
    <row r="55732" spans="65:67" ht="18.75" customHeight="1">
      <c r="BM55732" s="1025"/>
      <c r="BO55732" s="43"/>
    </row>
    <row r="55733" spans="65:67" ht="18.75" customHeight="1">
      <c r="BM55733" s="1025"/>
      <c r="BO55733" s="43"/>
    </row>
    <row r="55734" spans="65:67" ht="18.75" customHeight="1">
      <c r="BM55734" s="1025"/>
      <c r="BO55734" s="43"/>
    </row>
    <row r="55735" spans="65:67" ht="18.75" customHeight="1">
      <c r="BM55735" s="1025"/>
      <c r="BO55735" s="43"/>
    </row>
    <row r="55736" spans="65:67" ht="18.75" customHeight="1">
      <c r="BM55736" s="1025"/>
      <c r="BO55736" s="43"/>
    </row>
    <row r="55737" spans="65:67" ht="18.75" customHeight="1">
      <c r="BM55737" s="1025"/>
      <c r="BO55737" s="43"/>
    </row>
    <row r="55738" spans="65:67" ht="18.75" customHeight="1">
      <c r="BM55738" s="1025"/>
      <c r="BO55738" s="43"/>
    </row>
    <row r="55739" spans="65:67" ht="18.75" customHeight="1">
      <c r="BM55739" s="1025"/>
      <c r="BO55739" s="43"/>
    </row>
    <row r="55740" spans="65:67" ht="18.75" customHeight="1">
      <c r="BM55740" s="1025"/>
      <c r="BO55740" s="43"/>
    </row>
    <row r="55741" spans="65:67" ht="18.75" customHeight="1">
      <c r="BM55741" s="1025"/>
      <c r="BO55741" s="43"/>
    </row>
    <row r="55742" spans="65:67" ht="18.75" customHeight="1">
      <c r="BM55742" s="1025"/>
      <c r="BO55742" s="43"/>
    </row>
    <row r="55743" spans="65:67" ht="18.75" customHeight="1">
      <c r="BM55743" s="1025"/>
      <c r="BO55743" s="43"/>
    </row>
    <row r="55744" spans="65:67" ht="18.75" customHeight="1">
      <c r="BM55744" s="1025"/>
      <c r="BO55744" s="43"/>
    </row>
    <row r="55745" spans="65:67" ht="18.75" customHeight="1">
      <c r="BM55745" s="1025"/>
      <c r="BO55745" s="43"/>
    </row>
    <row r="55746" spans="65:67" ht="18.75" customHeight="1">
      <c r="BM55746" s="1025"/>
      <c r="BO55746" s="43"/>
    </row>
    <row r="55747" spans="65:67" ht="18.75" customHeight="1">
      <c r="BM55747" s="1025"/>
      <c r="BO55747" s="43"/>
    </row>
    <row r="55748" spans="65:67" ht="18.75" customHeight="1">
      <c r="BM55748" s="1025"/>
      <c r="BO55748" s="43"/>
    </row>
    <row r="55749" spans="65:67" ht="18.75" customHeight="1">
      <c r="BM55749" s="1025"/>
      <c r="BO55749" s="43"/>
    </row>
    <row r="55750" spans="65:67" ht="18.75" customHeight="1">
      <c r="BM55750" s="1025"/>
      <c r="BO55750" s="43"/>
    </row>
    <row r="55751" spans="65:67" ht="18.75" customHeight="1">
      <c r="BM55751" s="1025"/>
      <c r="BO55751" s="43"/>
    </row>
    <row r="55752" spans="65:67" ht="18.75" customHeight="1">
      <c r="BM55752" s="1025"/>
      <c r="BO55752" s="43"/>
    </row>
    <row r="55753" spans="65:67" ht="18.75" customHeight="1">
      <c r="BM55753" s="1025"/>
      <c r="BO55753" s="43"/>
    </row>
    <row r="55754" spans="65:67" ht="18.75" customHeight="1">
      <c r="BM55754" s="1025"/>
      <c r="BO55754" s="43"/>
    </row>
    <row r="55755" spans="65:67" ht="18.75" customHeight="1">
      <c r="BM55755" s="1025"/>
      <c r="BO55755" s="43"/>
    </row>
    <row r="55756" spans="65:67" ht="18.75" customHeight="1">
      <c r="BM55756" s="1025"/>
      <c r="BO55756" s="43"/>
    </row>
    <row r="55757" spans="65:67" ht="18.75" customHeight="1">
      <c r="BM55757" s="1025"/>
      <c r="BO55757" s="43"/>
    </row>
    <row r="55758" spans="65:67" ht="18.75" customHeight="1">
      <c r="BM55758" s="1025"/>
      <c r="BO55758" s="43"/>
    </row>
    <row r="55759" spans="65:67" ht="18.75" customHeight="1">
      <c r="BM55759" s="1025"/>
      <c r="BO55759" s="43"/>
    </row>
    <row r="55760" spans="65:67" ht="18.75" customHeight="1">
      <c r="BM55760" s="1025"/>
      <c r="BO55760" s="43"/>
    </row>
    <row r="55761" spans="65:67" ht="18.75" customHeight="1">
      <c r="BM55761" s="1025"/>
      <c r="BO55761" s="43"/>
    </row>
    <row r="55762" spans="65:67" ht="18.75" customHeight="1">
      <c r="BM55762" s="1025"/>
      <c r="BO55762" s="43"/>
    </row>
    <row r="55763" spans="65:67" ht="18.75" customHeight="1">
      <c r="BM55763" s="1025"/>
      <c r="BO55763" s="43"/>
    </row>
    <row r="55764" spans="65:67" ht="18.75" customHeight="1">
      <c r="BM55764" s="1025"/>
      <c r="BO55764" s="43"/>
    </row>
    <row r="55765" spans="65:67" ht="18.75" customHeight="1">
      <c r="BM55765" s="1025"/>
      <c r="BO55765" s="43"/>
    </row>
    <row r="55766" spans="65:67" ht="18.75" customHeight="1">
      <c r="BM55766" s="1025"/>
      <c r="BO55766" s="43"/>
    </row>
    <row r="55767" spans="65:67" ht="18.75" customHeight="1">
      <c r="BM55767" s="1025"/>
      <c r="BO55767" s="43"/>
    </row>
    <row r="55768" spans="65:67" ht="18.75" customHeight="1">
      <c r="BM55768" s="1025"/>
      <c r="BO55768" s="43"/>
    </row>
    <row r="55769" spans="65:67" ht="18.75" customHeight="1">
      <c r="BM55769" s="1025"/>
      <c r="BO55769" s="43"/>
    </row>
    <row r="55770" spans="65:67" ht="18.75" customHeight="1">
      <c r="BM55770" s="1025"/>
      <c r="BO55770" s="43"/>
    </row>
    <row r="55771" spans="65:67" ht="18.75" customHeight="1">
      <c r="BM55771" s="1025"/>
      <c r="BO55771" s="43"/>
    </row>
    <row r="55772" spans="65:67" ht="18.75" customHeight="1">
      <c r="BM55772" s="1025"/>
      <c r="BO55772" s="43"/>
    </row>
    <row r="55773" spans="65:67" ht="18.75" customHeight="1">
      <c r="BM55773" s="1025"/>
      <c r="BO55773" s="43"/>
    </row>
    <row r="55774" spans="65:67" ht="18.75" customHeight="1">
      <c r="BM55774" s="1025"/>
      <c r="BO55774" s="43"/>
    </row>
    <row r="55775" spans="65:67" ht="18.75" customHeight="1">
      <c r="BM55775" s="1025"/>
      <c r="BO55775" s="43"/>
    </row>
    <row r="55776" spans="65:67" ht="18.75" customHeight="1">
      <c r="BM55776" s="1025"/>
      <c r="BO55776" s="43"/>
    </row>
    <row r="55777" spans="65:67" ht="18.75" customHeight="1">
      <c r="BM55777" s="1025"/>
      <c r="BO55777" s="43"/>
    </row>
    <row r="55778" spans="65:67" ht="18.75" customHeight="1">
      <c r="BM55778" s="1025"/>
      <c r="BO55778" s="43"/>
    </row>
    <row r="55779" spans="65:67" ht="18.75" customHeight="1">
      <c r="BM55779" s="1025"/>
      <c r="BO55779" s="43"/>
    </row>
    <row r="55780" spans="65:67" ht="18.75" customHeight="1">
      <c r="BM55780" s="1025"/>
      <c r="BO55780" s="43"/>
    </row>
    <row r="55781" spans="65:67" ht="18.75" customHeight="1">
      <c r="BM55781" s="1025"/>
      <c r="BO55781" s="43"/>
    </row>
    <row r="55782" spans="65:67" ht="18.75" customHeight="1">
      <c r="BM55782" s="1025"/>
      <c r="BO55782" s="43"/>
    </row>
    <row r="55783" spans="65:67" ht="18.75" customHeight="1">
      <c r="BM55783" s="1025"/>
      <c r="BO55783" s="43"/>
    </row>
    <row r="55784" spans="65:67" ht="18.75" customHeight="1">
      <c r="BM55784" s="1025"/>
      <c r="BO55784" s="43"/>
    </row>
    <row r="55785" spans="65:67" ht="18.75" customHeight="1">
      <c r="BM55785" s="1025"/>
      <c r="BO55785" s="43"/>
    </row>
    <row r="55786" spans="65:67" ht="18.75" customHeight="1">
      <c r="BM55786" s="1025"/>
      <c r="BO55786" s="43"/>
    </row>
    <row r="55787" spans="65:67" ht="18.75" customHeight="1">
      <c r="BM55787" s="1025"/>
      <c r="BO55787" s="43"/>
    </row>
    <row r="55788" spans="65:67" ht="18.75" customHeight="1">
      <c r="BM55788" s="1025"/>
      <c r="BO55788" s="43"/>
    </row>
    <row r="55789" spans="65:67" ht="18.75" customHeight="1">
      <c r="BM55789" s="1025"/>
      <c r="BO55789" s="43"/>
    </row>
    <row r="55790" spans="65:67" ht="18.75" customHeight="1">
      <c r="BM55790" s="1025"/>
      <c r="BO55790" s="43"/>
    </row>
    <row r="55791" spans="65:67" ht="18.75" customHeight="1">
      <c r="BM55791" s="1025"/>
      <c r="BO55791" s="43"/>
    </row>
    <row r="55792" spans="65:67" ht="18.75" customHeight="1">
      <c r="BM55792" s="1025"/>
      <c r="BO55792" s="43"/>
    </row>
    <row r="55793" spans="65:67" ht="18.75" customHeight="1">
      <c r="BM55793" s="1025"/>
      <c r="BO55793" s="43"/>
    </row>
    <row r="55794" spans="65:67" ht="18.75" customHeight="1">
      <c r="BM55794" s="1025"/>
      <c r="BO55794" s="43"/>
    </row>
    <row r="55795" spans="65:67" ht="18.75" customHeight="1">
      <c r="BM55795" s="1025"/>
      <c r="BO55795" s="43"/>
    </row>
    <row r="55796" spans="65:67" ht="18.75" customHeight="1">
      <c r="BM55796" s="1025"/>
      <c r="BO55796" s="43"/>
    </row>
    <row r="55797" spans="65:67" ht="18.75" customHeight="1">
      <c r="BM55797" s="1025"/>
      <c r="BO55797" s="43"/>
    </row>
    <row r="55798" spans="65:67" ht="18.75" customHeight="1">
      <c r="BM55798" s="1025"/>
      <c r="BO55798" s="43"/>
    </row>
    <row r="55799" spans="65:67" ht="18.75" customHeight="1">
      <c r="BM55799" s="1025"/>
      <c r="BO55799" s="43"/>
    </row>
    <row r="55800" spans="65:67" ht="18.75" customHeight="1">
      <c r="BM55800" s="1025"/>
      <c r="BO55800" s="43"/>
    </row>
    <row r="55801" spans="65:67" ht="18.75" customHeight="1">
      <c r="BM55801" s="1025"/>
      <c r="BO55801" s="43"/>
    </row>
    <row r="55802" spans="65:67" ht="18.75" customHeight="1">
      <c r="BM55802" s="1025"/>
      <c r="BO55802" s="43"/>
    </row>
    <row r="55803" spans="65:67" ht="18.75" customHeight="1">
      <c r="BM55803" s="1025"/>
      <c r="BO55803" s="43"/>
    </row>
    <row r="55804" spans="65:67" ht="18.75" customHeight="1">
      <c r="BM55804" s="1025"/>
      <c r="BO55804" s="43"/>
    </row>
    <row r="55805" spans="65:67" ht="18.75" customHeight="1">
      <c r="BM55805" s="1025"/>
      <c r="BO55805" s="43"/>
    </row>
    <row r="55806" spans="65:67" ht="18.75" customHeight="1">
      <c r="BM55806" s="1025"/>
      <c r="BO55806" s="43"/>
    </row>
    <row r="55807" spans="65:67" ht="18.75" customHeight="1">
      <c r="BM55807" s="1025"/>
      <c r="BO55807" s="43"/>
    </row>
    <row r="55808" spans="65:67" ht="18.75" customHeight="1">
      <c r="BM55808" s="1025"/>
      <c r="BO55808" s="43"/>
    </row>
    <row r="55809" spans="65:67" ht="18.75" customHeight="1">
      <c r="BM55809" s="1025"/>
      <c r="BO55809" s="43"/>
    </row>
    <row r="55810" spans="65:67" ht="18.75" customHeight="1">
      <c r="BM55810" s="1025"/>
      <c r="BO55810" s="43"/>
    </row>
    <row r="55811" spans="65:67" ht="18.75" customHeight="1">
      <c r="BM55811" s="1025"/>
      <c r="BO55811" s="43"/>
    </row>
    <row r="55812" spans="65:67" ht="18.75" customHeight="1">
      <c r="BM55812" s="1025"/>
      <c r="BO55812" s="43"/>
    </row>
    <row r="55813" spans="65:67" ht="18.75" customHeight="1">
      <c r="BM55813" s="1025"/>
      <c r="BO55813" s="43"/>
    </row>
    <row r="55814" spans="65:67" ht="18.75" customHeight="1">
      <c r="BM55814" s="1025"/>
      <c r="BO55814" s="43"/>
    </row>
    <row r="55815" spans="65:67" ht="18.75" customHeight="1">
      <c r="BM55815" s="1025"/>
      <c r="BO55815" s="43"/>
    </row>
    <row r="55816" spans="65:67" ht="18.75" customHeight="1">
      <c r="BM55816" s="1025"/>
      <c r="BO55816" s="43"/>
    </row>
    <row r="55817" spans="65:67" ht="18.75" customHeight="1">
      <c r="BM55817" s="1025"/>
      <c r="BO55817" s="43"/>
    </row>
    <row r="55818" spans="65:67" ht="18.75" customHeight="1">
      <c r="BM55818" s="1025"/>
      <c r="BO55818" s="43"/>
    </row>
    <row r="55819" spans="65:67" ht="18.75" customHeight="1">
      <c r="BM55819" s="1025"/>
      <c r="BO55819" s="43"/>
    </row>
    <row r="55820" spans="65:67" ht="18.75" customHeight="1">
      <c r="BM55820" s="1025"/>
      <c r="BO55820" s="43"/>
    </row>
    <row r="55821" spans="65:67" ht="18.75" customHeight="1">
      <c r="BM55821" s="1025"/>
      <c r="BO55821" s="43"/>
    </row>
    <row r="55822" spans="65:67" ht="18.75" customHeight="1">
      <c r="BM55822" s="1025"/>
      <c r="BO55822" s="43"/>
    </row>
    <row r="55823" spans="65:67" ht="18.75" customHeight="1">
      <c r="BM55823" s="1025"/>
      <c r="BO55823" s="43"/>
    </row>
    <row r="55824" spans="65:67" ht="18.75" customHeight="1">
      <c r="BM55824" s="1025"/>
      <c r="BO55824" s="43"/>
    </row>
    <row r="55825" spans="65:67" ht="18.75" customHeight="1">
      <c r="BM55825" s="1025"/>
      <c r="BO55825" s="43"/>
    </row>
    <row r="55826" spans="65:67" ht="18.75" customHeight="1">
      <c r="BM55826" s="1025"/>
      <c r="BO55826" s="43"/>
    </row>
    <row r="55827" spans="65:67" ht="18.75" customHeight="1">
      <c r="BM55827" s="1025"/>
      <c r="BO55827" s="43"/>
    </row>
    <row r="55828" spans="65:67" ht="18.75" customHeight="1">
      <c r="BM55828" s="1025"/>
      <c r="BO55828" s="43"/>
    </row>
    <row r="55829" spans="65:67" ht="18.75" customHeight="1">
      <c r="BM55829" s="1025"/>
      <c r="BO55829" s="43"/>
    </row>
    <row r="55830" spans="65:67" ht="18.75" customHeight="1">
      <c r="BM55830" s="1025"/>
      <c r="BO55830" s="43"/>
    </row>
    <row r="55831" spans="65:67" ht="18.75" customHeight="1">
      <c r="BM55831" s="1025"/>
      <c r="BO55831" s="43"/>
    </row>
    <row r="55832" spans="65:67" ht="18.75" customHeight="1">
      <c r="BM55832" s="1025"/>
      <c r="BO55832" s="43"/>
    </row>
    <row r="55833" spans="65:67" ht="18.75" customHeight="1">
      <c r="BM55833" s="1025"/>
      <c r="BO55833" s="43"/>
    </row>
    <row r="55834" spans="65:67" ht="18.75" customHeight="1">
      <c r="BM55834" s="1025"/>
      <c r="BO55834" s="43"/>
    </row>
    <row r="55835" spans="65:67" ht="18.75" customHeight="1">
      <c r="BM55835" s="1025"/>
      <c r="BO55835" s="43"/>
    </row>
    <row r="55836" spans="65:67" ht="18.75" customHeight="1">
      <c r="BM55836" s="1025"/>
      <c r="BO55836" s="43"/>
    </row>
    <row r="55837" spans="65:67" ht="18.75" customHeight="1">
      <c r="BM55837" s="1025"/>
      <c r="BO55837" s="43"/>
    </row>
    <row r="55838" spans="65:67" ht="18.75" customHeight="1">
      <c r="BM55838" s="1025"/>
      <c r="BO55838" s="43"/>
    </row>
    <row r="55839" spans="65:67" ht="18.75" customHeight="1">
      <c r="BM55839" s="1025"/>
      <c r="BO55839" s="43"/>
    </row>
    <row r="55840" spans="65:67" ht="18.75" customHeight="1">
      <c r="BM55840" s="1025"/>
      <c r="BO55840" s="43"/>
    </row>
    <row r="55841" spans="65:67" ht="18.75" customHeight="1">
      <c r="BM55841" s="1025"/>
      <c r="BO55841" s="43"/>
    </row>
    <row r="55842" spans="65:67" ht="18.75" customHeight="1">
      <c r="BM55842" s="1025"/>
      <c r="BO55842" s="43"/>
    </row>
    <row r="55843" spans="65:67" ht="18.75" customHeight="1">
      <c r="BM55843" s="1025"/>
      <c r="BO55843" s="43"/>
    </row>
    <row r="55844" spans="65:67" ht="18.75" customHeight="1">
      <c r="BM55844" s="1025"/>
      <c r="BO55844" s="43"/>
    </row>
    <row r="55845" spans="65:67" ht="18.75" customHeight="1">
      <c r="BM55845" s="1025"/>
      <c r="BO55845" s="43"/>
    </row>
    <row r="55846" spans="65:67" ht="18.75" customHeight="1">
      <c r="BM55846" s="1025"/>
      <c r="BO55846" s="43"/>
    </row>
    <row r="55847" spans="65:67" ht="18.75" customHeight="1">
      <c r="BM55847" s="1025"/>
      <c r="BO55847" s="43"/>
    </row>
    <row r="55848" spans="65:67" ht="18.75" customHeight="1">
      <c r="BM55848" s="1025"/>
      <c r="BO55848" s="43"/>
    </row>
    <row r="55849" spans="65:67" ht="18.75" customHeight="1">
      <c r="BM55849" s="1025"/>
      <c r="BO55849" s="43"/>
    </row>
    <row r="55850" spans="65:67" ht="18.75" customHeight="1">
      <c r="BM55850" s="1025"/>
      <c r="BO55850" s="43"/>
    </row>
    <row r="55851" spans="65:67" ht="18.75" customHeight="1">
      <c r="BM55851" s="1025"/>
      <c r="BO55851" s="43"/>
    </row>
    <row r="55852" spans="65:67" ht="18.75" customHeight="1">
      <c r="BM55852" s="1025"/>
      <c r="BO55852" s="43"/>
    </row>
    <row r="55853" spans="65:67" ht="18.75" customHeight="1">
      <c r="BM55853" s="1025"/>
      <c r="BO55853" s="43"/>
    </row>
    <row r="55854" spans="65:67" ht="18.75" customHeight="1">
      <c r="BM55854" s="1025"/>
      <c r="BO55854" s="43"/>
    </row>
    <row r="55855" spans="65:67" ht="18.75" customHeight="1">
      <c r="BM55855" s="1025"/>
      <c r="BO55855" s="43"/>
    </row>
    <row r="55856" spans="65:67" ht="18.75" customHeight="1">
      <c r="BM55856" s="1025"/>
      <c r="BO55856" s="43"/>
    </row>
    <row r="55857" spans="65:67" ht="18.75" customHeight="1">
      <c r="BM55857" s="1025"/>
      <c r="BO55857" s="43"/>
    </row>
    <row r="55858" spans="65:67" ht="18.75" customHeight="1">
      <c r="BM55858" s="1025"/>
      <c r="BO55858" s="43"/>
    </row>
    <row r="55859" spans="65:67" ht="18.75" customHeight="1">
      <c r="BM55859" s="1025"/>
      <c r="BO55859" s="43"/>
    </row>
    <row r="55860" spans="65:67" ht="18.75" customHeight="1">
      <c r="BM55860" s="1025"/>
      <c r="BO55860" s="43"/>
    </row>
    <row r="55861" spans="65:67" ht="18.75" customHeight="1">
      <c r="BM55861" s="1025"/>
      <c r="BO55861" s="43"/>
    </row>
    <row r="55862" spans="65:67" ht="18.75" customHeight="1">
      <c r="BM55862" s="1025"/>
      <c r="BO55862" s="43"/>
    </row>
    <row r="55863" spans="65:67" ht="18.75" customHeight="1">
      <c r="BM55863" s="1025"/>
      <c r="BO55863" s="43"/>
    </row>
    <row r="55864" spans="65:67" ht="18.75" customHeight="1">
      <c r="BM55864" s="1025"/>
      <c r="BO55864" s="43"/>
    </row>
    <row r="55865" spans="65:67" ht="18.75" customHeight="1">
      <c r="BM55865" s="1025"/>
      <c r="BO55865" s="43"/>
    </row>
    <row r="55866" spans="65:67" ht="18.75" customHeight="1">
      <c r="BM55866" s="1025"/>
      <c r="BO55866" s="43"/>
    </row>
    <row r="55867" spans="65:67" ht="18.75" customHeight="1">
      <c r="BM55867" s="1025"/>
      <c r="BO55867" s="43"/>
    </row>
    <row r="55868" spans="65:67" ht="18.75" customHeight="1">
      <c r="BM55868" s="1025"/>
      <c r="BO55868" s="43"/>
    </row>
    <row r="55869" spans="65:67" ht="18.75" customHeight="1">
      <c r="BM55869" s="1025"/>
      <c r="BO55869" s="43"/>
    </row>
    <row r="55870" spans="65:67" ht="18.75" customHeight="1">
      <c r="BM55870" s="1025"/>
      <c r="BO55870" s="43"/>
    </row>
    <row r="55871" spans="65:67" ht="18.75" customHeight="1">
      <c r="BM55871" s="1025"/>
      <c r="BO55871" s="43"/>
    </row>
    <row r="55872" spans="65:67" ht="18.75" customHeight="1">
      <c r="BM55872" s="1025"/>
      <c r="BO55872" s="43"/>
    </row>
    <row r="55873" spans="65:67" ht="18.75" customHeight="1">
      <c r="BM55873" s="1025"/>
      <c r="BO55873" s="43"/>
    </row>
    <row r="55874" spans="65:67" ht="18.75" customHeight="1">
      <c r="BM55874" s="1025"/>
      <c r="BO55874" s="43"/>
    </row>
    <row r="55875" spans="65:67" ht="18.75" customHeight="1">
      <c r="BM55875" s="1025"/>
      <c r="BO55875" s="43"/>
    </row>
    <row r="55876" spans="65:67" ht="18.75" customHeight="1">
      <c r="BM55876" s="1025"/>
      <c r="BO55876" s="43"/>
    </row>
    <row r="55877" spans="65:67" ht="18.75" customHeight="1">
      <c r="BM55877" s="1025"/>
      <c r="BO55877" s="43"/>
    </row>
    <row r="55878" spans="65:67" ht="18.75" customHeight="1">
      <c r="BM55878" s="1025"/>
      <c r="BO55878" s="43"/>
    </row>
    <row r="55879" spans="65:67" ht="18.75" customHeight="1">
      <c r="BM55879" s="1025"/>
      <c r="BO55879" s="43"/>
    </row>
    <row r="55880" spans="65:67" ht="18.75" customHeight="1">
      <c r="BM55880" s="1025"/>
      <c r="BO55880" s="43"/>
    </row>
    <row r="55881" spans="65:67" ht="18.75" customHeight="1">
      <c r="BM55881" s="1025"/>
      <c r="BO55881" s="43"/>
    </row>
    <row r="55882" spans="65:67" ht="18.75" customHeight="1">
      <c r="BM55882" s="1025"/>
      <c r="BO55882" s="43"/>
    </row>
    <row r="55883" spans="65:67" ht="18.75" customHeight="1">
      <c r="BM55883" s="1025"/>
      <c r="BO55883" s="43"/>
    </row>
    <row r="55884" spans="65:67" ht="18.75" customHeight="1">
      <c r="BM55884" s="1025"/>
      <c r="BO55884" s="43"/>
    </row>
    <row r="55885" spans="65:67" ht="18.75" customHeight="1">
      <c r="BM55885" s="1025"/>
      <c r="BO55885" s="43"/>
    </row>
    <row r="55886" spans="65:67" ht="18.75" customHeight="1">
      <c r="BM55886" s="1025"/>
      <c r="BO55886" s="43"/>
    </row>
    <row r="55887" spans="65:67" ht="18.75" customHeight="1">
      <c r="BM55887" s="1025"/>
      <c r="BO55887" s="43"/>
    </row>
    <row r="55888" spans="65:67" ht="18.75" customHeight="1">
      <c r="BM55888" s="1025"/>
      <c r="BO55888" s="43"/>
    </row>
    <row r="55889" spans="65:67" ht="18.75" customHeight="1">
      <c r="BM55889" s="1025"/>
      <c r="BO55889" s="43"/>
    </row>
    <row r="55890" spans="65:67" ht="18.75" customHeight="1">
      <c r="BM55890" s="1025"/>
      <c r="BO55890" s="43"/>
    </row>
    <row r="55891" spans="65:67" ht="18.75" customHeight="1">
      <c r="BM55891" s="1025"/>
      <c r="BO55891" s="43"/>
    </row>
    <row r="55892" spans="65:67" ht="18.75" customHeight="1">
      <c r="BM55892" s="1025"/>
      <c r="BO55892" s="43"/>
    </row>
    <row r="55893" spans="65:67" ht="18.75" customHeight="1">
      <c r="BM55893" s="1025"/>
      <c r="BO55893" s="43"/>
    </row>
    <row r="55894" spans="65:67" ht="18.75" customHeight="1">
      <c r="BM55894" s="1025"/>
      <c r="BO55894" s="43"/>
    </row>
    <row r="55895" spans="65:67" ht="18.75" customHeight="1">
      <c r="BM55895" s="1025"/>
      <c r="BO55895" s="43"/>
    </row>
    <row r="55896" spans="65:67" ht="18.75" customHeight="1">
      <c r="BM55896" s="1025"/>
      <c r="BO55896" s="43"/>
    </row>
    <row r="55897" spans="65:67" ht="18.75" customHeight="1">
      <c r="BM55897" s="1025"/>
      <c r="BO55897" s="43"/>
    </row>
    <row r="55898" spans="65:67" ht="18.75" customHeight="1">
      <c r="BM55898" s="1025"/>
      <c r="BO55898" s="43"/>
    </row>
    <row r="55899" spans="65:67" ht="18.75" customHeight="1">
      <c r="BM55899" s="1025"/>
      <c r="BO55899" s="43"/>
    </row>
    <row r="55900" spans="65:67" ht="18.75" customHeight="1">
      <c r="BM55900" s="1025"/>
      <c r="BO55900" s="43"/>
    </row>
    <row r="55901" spans="65:67" ht="18.75" customHeight="1">
      <c r="BM55901" s="1025"/>
      <c r="BO55901" s="43"/>
    </row>
    <row r="55902" spans="65:67" ht="18.75" customHeight="1">
      <c r="BM55902" s="1025"/>
      <c r="BO55902" s="43"/>
    </row>
    <row r="55903" spans="65:67" ht="18.75" customHeight="1">
      <c r="BM55903" s="1025"/>
      <c r="BO55903" s="43"/>
    </row>
    <row r="55904" spans="65:67" ht="18.75" customHeight="1">
      <c r="BM55904" s="1025"/>
      <c r="BO55904" s="43"/>
    </row>
    <row r="55905" spans="65:67" ht="18.75" customHeight="1">
      <c r="BM55905" s="1025"/>
      <c r="BO55905" s="43"/>
    </row>
    <row r="55906" spans="65:67" ht="18.75" customHeight="1">
      <c r="BM55906" s="1025"/>
      <c r="BO55906" s="43"/>
    </row>
    <row r="55907" spans="65:67" ht="18.75" customHeight="1">
      <c r="BM55907" s="1025"/>
      <c r="BO55907" s="43"/>
    </row>
    <row r="55908" spans="65:67" ht="18.75" customHeight="1">
      <c r="BM55908" s="1025"/>
      <c r="BO55908" s="43"/>
    </row>
    <row r="55909" spans="65:67" ht="18.75" customHeight="1">
      <c r="BM55909" s="1025"/>
      <c r="BO55909" s="43"/>
    </row>
    <row r="55910" spans="65:67" ht="18.75" customHeight="1">
      <c r="BM55910" s="1025"/>
      <c r="BO55910" s="43"/>
    </row>
    <row r="55911" spans="65:67" ht="18.75" customHeight="1">
      <c r="BM55911" s="1025"/>
      <c r="BO55911" s="43"/>
    </row>
    <row r="55912" spans="65:67" ht="18.75" customHeight="1">
      <c r="BM55912" s="1025"/>
      <c r="BO55912" s="43"/>
    </row>
    <row r="55913" spans="65:67" ht="18.75" customHeight="1">
      <c r="BM55913" s="1025"/>
      <c r="BO55913" s="43"/>
    </row>
    <row r="55914" spans="65:67" ht="18.75" customHeight="1">
      <c r="BM55914" s="1025"/>
      <c r="BO55914" s="43"/>
    </row>
    <row r="55915" spans="65:67" ht="18.75" customHeight="1">
      <c r="BM55915" s="1025"/>
      <c r="BO55915" s="43"/>
    </row>
    <row r="55916" spans="65:67" ht="18.75" customHeight="1">
      <c r="BM55916" s="1025"/>
      <c r="BO55916" s="43"/>
    </row>
    <row r="55917" spans="65:67" ht="18.75" customHeight="1">
      <c r="BM55917" s="1025"/>
      <c r="BO55917" s="43"/>
    </row>
    <row r="55918" spans="65:67" ht="18.75" customHeight="1">
      <c r="BM55918" s="1025"/>
      <c r="BO55918" s="43"/>
    </row>
    <row r="55919" spans="65:67" ht="18.75" customHeight="1">
      <c r="BM55919" s="1025"/>
      <c r="BO55919" s="43"/>
    </row>
    <row r="55920" spans="65:67" ht="18.75" customHeight="1">
      <c r="BM55920" s="1025"/>
      <c r="BO55920" s="43"/>
    </row>
    <row r="55921" spans="65:67" ht="18.75" customHeight="1">
      <c r="BM55921" s="1025"/>
      <c r="BO55921" s="43"/>
    </row>
    <row r="55922" spans="65:67" ht="18.75" customHeight="1">
      <c r="BM55922" s="1025"/>
      <c r="BO55922" s="43"/>
    </row>
    <row r="55923" spans="65:67" ht="18.75" customHeight="1">
      <c r="BM55923" s="1025"/>
      <c r="BO55923" s="43"/>
    </row>
    <row r="55924" spans="65:67" ht="18.75" customHeight="1">
      <c r="BM55924" s="1025"/>
      <c r="BO55924" s="43"/>
    </row>
    <row r="55925" spans="65:67" ht="18.75" customHeight="1">
      <c r="BM55925" s="1025"/>
      <c r="BO55925" s="43"/>
    </row>
    <row r="55926" spans="65:67" ht="18.75" customHeight="1">
      <c r="BM55926" s="1025"/>
      <c r="BO55926" s="43"/>
    </row>
    <row r="55927" spans="65:67" ht="18.75" customHeight="1">
      <c r="BM55927" s="1025"/>
      <c r="BO55927" s="43"/>
    </row>
    <row r="55928" spans="65:67" ht="18.75" customHeight="1">
      <c r="BM55928" s="1025"/>
      <c r="BO55928" s="43"/>
    </row>
    <row r="55929" spans="65:67" ht="18.75" customHeight="1">
      <c r="BM55929" s="1025"/>
      <c r="BO55929" s="43"/>
    </row>
    <row r="55930" spans="65:67" ht="18.75" customHeight="1">
      <c r="BM55930" s="1025"/>
      <c r="BO55930" s="43"/>
    </row>
    <row r="55931" spans="65:67" ht="18.75" customHeight="1">
      <c r="BM55931" s="1025"/>
      <c r="BO55931" s="43"/>
    </row>
    <row r="55932" spans="65:67" ht="18.75" customHeight="1">
      <c r="BM55932" s="1025"/>
      <c r="BO55932" s="43"/>
    </row>
    <row r="55933" spans="65:67" ht="18.75" customHeight="1">
      <c r="BM55933" s="1025"/>
      <c r="BO55933" s="43"/>
    </row>
    <row r="55934" spans="65:67" ht="18.75" customHeight="1">
      <c r="BM55934" s="1025"/>
      <c r="BO55934" s="43"/>
    </row>
    <row r="55935" spans="65:67" ht="18.75" customHeight="1">
      <c r="BM55935" s="1025"/>
      <c r="BO55935" s="43"/>
    </row>
    <row r="55936" spans="65:67" ht="18.75" customHeight="1">
      <c r="BM55936" s="1025"/>
      <c r="BO55936" s="43"/>
    </row>
    <row r="55937" spans="65:67" ht="18.75" customHeight="1">
      <c r="BM55937" s="1025"/>
      <c r="BO55937" s="43"/>
    </row>
    <row r="55938" spans="65:67" ht="18.75" customHeight="1">
      <c r="BM55938" s="1025"/>
      <c r="BO55938" s="43"/>
    </row>
    <row r="55939" spans="65:67" ht="18.75" customHeight="1">
      <c r="BM55939" s="1025"/>
      <c r="BO55939" s="43"/>
    </row>
    <row r="55940" spans="65:67" ht="18.75" customHeight="1">
      <c r="BM55940" s="1025"/>
      <c r="BO55940" s="43"/>
    </row>
    <row r="55941" spans="65:67" ht="18.75" customHeight="1">
      <c r="BM55941" s="1025"/>
      <c r="BO55941" s="43"/>
    </row>
    <row r="55942" spans="65:67" ht="18.75" customHeight="1">
      <c r="BM55942" s="1025"/>
      <c r="BO55942" s="43"/>
    </row>
    <row r="55943" spans="65:67" ht="18.75" customHeight="1">
      <c r="BM55943" s="1025"/>
      <c r="BO55943" s="43"/>
    </row>
    <row r="55944" spans="65:67" ht="18.75" customHeight="1">
      <c r="BM55944" s="1025"/>
      <c r="BO55944" s="43"/>
    </row>
    <row r="55945" spans="65:67" ht="18.75" customHeight="1">
      <c r="BM55945" s="1025"/>
      <c r="BO55945" s="43"/>
    </row>
    <row r="55946" spans="65:67" ht="18.75" customHeight="1">
      <c r="BM55946" s="1025"/>
      <c r="BO55946" s="43"/>
    </row>
    <row r="55947" spans="65:67" ht="18.75" customHeight="1">
      <c r="BM55947" s="1025"/>
      <c r="BO55947" s="43"/>
    </row>
    <row r="55948" spans="65:67" ht="18.75" customHeight="1">
      <c r="BM55948" s="1025"/>
      <c r="BO55948" s="43"/>
    </row>
    <row r="55949" spans="65:67" ht="18.75" customHeight="1">
      <c r="BM55949" s="1025"/>
      <c r="BO55949" s="43"/>
    </row>
    <row r="55950" spans="65:67" ht="18.75" customHeight="1">
      <c r="BM55950" s="1025"/>
      <c r="BO55950" s="43"/>
    </row>
    <row r="55951" spans="65:67" ht="18.75" customHeight="1">
      <c r="BM55951" s="1025"/>
      <c r="BO55951" s="43"/>
    </row>
    <row r="55952" spans="65:67" ht="18.75" customHeight="1">
      <c r="BM55952" s="1025"/>
      <c r="BO55952" s="43"/>
    </row>
    <row r="55953" spans="65:67" ht="18.75" customHeight="1">
      <c r="BM55953" s="1025"/>
      <c r="BO55953" s="43"/>
    </row>
    <row r="55954" spans="65:67" ht="18.75" customHeight="1">
      <c r="BM55954" s="1025"/>
      <c r="BO55954" s="43"/>
    </row>
    <row r="55955" spans="65:67" ht="18.75" customHeight="1">
      <c r="BM55955" s="1025"/>
      <c r="BO55955" s="43"/>
    </row>
    <row r="55956" spans="65:67" ht="18.75" customHeight="1">
      <c r="BM55956" s="1025"/>
      <c r="BO55956" s="43"/>
    </row>
    <row r="55957" spans="65:67" ht="18.75" customHeight="1">
      <c r="BM55957" s="1025"/>
      <c r="BO55957" s="43"/>
    </row>
    <row r="55958" spans="65:67" ht="18.75" customHeight="1">
      <c r="BM55958" s="1025"/>
      <c r="BO55958" s="43"/>
    </row>
    <row r="55959" spans="65:67" ht="18.75" customHeight="1">
      <c r="BM55959" s="1025"/>
      <c r="BO55959" s="43"/>
    </row>
    <row r="55960" spans="65:67" ht="18.75" customHeight="1">
      <c r="BM55960" s="1025"/>
      <c r="BO55960" s="43"/>
    </row>
    <row r="55961" spans="65:67" ht="18.75" customHeight="1">
      <c r="BM55961" s="1025"/>
      <c r="BO55961" s="43"/>
    </row>
    <row r="55962" spans="65:67" ht="18.75" customHeight="1">
      <c r="BM55962" s="1025"/>
      <c r="BO55962" s="43"/>
    </row>
    <row r="55963" spans="65:67" ht="18.75" customHeight="1">
      <c r="BM55963" s="1025"/>
      <c r="BO55963" s="43"/>
    </row>
    <row r="55964" spans="65:67" ht="18.75" customHeight="1">
      <c r="BM55964" s="1025"/>
      <c r="BO55964" s="43"/>
    </row>
    <row r="55965" spans="65:67" ht="18.75" customHeight="1">
      <c r="BM55965" s="1025"/>
      <c r="BO55965" s="43"/>
    </row>
    <row r="55966" spans="65:67" ht="18.75" customHeight="1">
      <c r="BM55966" s="1025"/>
      <c r="BO55966" s="43"/>
    </row>
    <row r="55967" spans="65:67" ht="18.75" customHeight="1">
      <c r="BM55967" s="1025"/>
      <c r="BO55967" s="43"/>
    </row>
    <row r="55968" spans="65:67" ht="18.75" customHeight="1">
      <c r="BM55968" s="1025"/>
      <c r="BO55968" s="43"/>
    </row>
    <row r="55969" spans="65:67" ht="18.75" customHeight="1">
      <c r="BM55969" s="1025"/>
      <c r="BO55969" s="43"/>
    </row>
    <row r="55970" spans="65:67" ht="18.75" customHeight="1">
      <c r="BM55970" s="1025"/>
      <c r="BO55970" s="43"/>
    </row>
    <row r="55971" spans="65:67" ht="18.75" customHeight="1">
      <c r="BM55971" s="1025"/>
      <c r="BO55971" s="43"/>
    </row>
    <row r="55972" spans="65:67" ht="18.75" customHeight="1">
      <c r="BM55972" s="1025"/>
      <c r="BO55972" s="43"/>
    </row>
    <row r="55973" spans="65:67" ht="18.75" customHeight="1">
      <c r="BM55973" s="1025"/>
      <c r="BO55973" s="43"/>
    </row>
    <row r="55974" spans="65:67" ht="18.75" customHeight="1">
      <c r="BM55974" s="1025"/>
      <c r="BO55974" s="43"/>
    </row>
    <row r="55975" spans="65:67" ht="18.75" customHeight="1">
      <c r="BM55975" s="1025"/>
      <c r="BO55975" s="43"/>
    </row>
    <row r="55976" spans="65:67" ht="18.75" customHeight="1">
      <c r="BM55976" s="1025"/>
      <c r="BO55976" s="43"/>
    </row>
    <row r="55977" spans="65:67" ht="18.75" customHeight="1">
      <c r="BM55977" s="1025"/>
      <c r="BO55977" s="43"/>
    </row>
    <row r="55978" spans="65:67" ht="18.75" customHeight="1">
      <c r="BM55978" s="1025"/>
      <c r="BO55978" s="43"/>
    </row>
    <row r="55979" spans="65:67" ht="18.75" customHeight="1">
      <c r="BM55979" s="1025"/>
      <c r="BO55979" s="43"/>
    </row>
    <row r="55980" spans="65:67" ht="18.75" customHeight="1">
      <c r="BM55980" s="1025"/>
      <c r="BO55980" s="43"/>
    </row>
    <row r="55981" spans="65:67" ht="18.75" customHeight="1">
      <c r="BM55981" s="1025"/>
      <c r="BO55981" s="43"/>
    </row>
    <row r="55982" spans="65:67" ht="18.75" customHeight="1">
      <c r="BM55982" s="1025"/>
      <c r="BO55982" s="43"/>
    </row>
    <row r="55983" spans="65:67" ht="18.75" customHeight="1">
      <c r="BM55983" s="1025"/>
      <c r="BO55983" s="43"/>
    </row>
    <row r="55984" spans="65:67" ht="18.75" customHeight="1">
      <c r="BM55984" s="1025"/>
      <c r="BO55984" s="43"/>
    </row>
    <row r="55985" spans="65:67" ht="18.75" customHeight="1">
      <c r="BM55985" s="1025"/>
      <c r="BO55985" s="43"/>
    </row>
    <row r="55986" spans="65:67" ht="18.75" customHeight="1">
      <c r="BM55986" s="1025"/>
      <c r="BO55986" s="43"/>
    </row>
    <row r="55987" spans="65:67" ht="18.75" customHeight="1">
      <c r="BM55987" s="1025"/>
      <c r="BO55987" s="43"/>
    </row>
    <row r="55988" spans="65:67" ht="18.75" customHeight="1">
      <c r="BM55988" s="1025"/>
      <c r="BO55988" s="43"/>
    </row>
    <row r="55989" spans="65:67" ht="18.75" customHeight="1">
      <c r="BM55989" s="1025"/>
      <c r="BO55989" s="43"/>
    </row>
    <row r="55990" spans="65:67" ht="18.75" customHeight="1">
      <c r="BM55990" s="1025"/>
      <c r="BO55990" s="43"/>
    </row>
    <row r="55991" spans="65:67" ht="18.75" customHeight="1">
      <c r="BM55991" s="1025"/>
      <c r="BO55991" s="43"/>
    </row>
    <row r="55992" spans="65:67" ht="18.75" customHeight="1">
      <c r="BM55992" s="1025"/>
      <c r="BO55992" s="43"/>
    </row>
    <row r="55993" spans="65:67" ht="18.75" customHeight="1">
      <c r="BM55993" s="1025"/>
      <c r="BO55993" s="43"/>
    </row>
    <row r="55994" spans="65:67" ht="18.75" customHeight="1">
      <c r="BM55994" s="1025"/>
      <c r="BO55994" s="43"/>
    </row>
    <row r="55995" spans="65:67" ht="18.75" customHeight="1">
      <c r="BM55995" s="1025"/>
      <c r="BO55995" s="43"/>
    </row>
    <row r="55996" spans="65:67" ht="18.75" customHeight="1">
      <c r="BM55996" s="1025"/>
      <c r="BO55996" s="43"/>
    </row>
    <row r="55997" spans="65:67" ht="18.75" customHeight="1">
      <c r="BM55997" s="1025"/>
      <c r="BO55997" s="43"/>
    </row>
    <row r="55998" spans="65:67" ht="18.75" customHeight="1">
      <c r="BM55998" s="1025"/>
      <c r="BO55998" s="43"/>
    </row>
    <row r="55999" spans="65:67" ht="18.75" customHeight="1">
      <c r="BM55999" s="1025"/>
      <c r="BO55999" s="43"/>
    </row>
    <row r="56000" spans="65:67" ht="18.75" customHeight="1">
      <c r="BM56000" s="1025"/>
      <c r="BO56000" s="43"/>
    </row>
    <row r="56001" spans="65:67" ht="18.75" customHeight="1">
      <c r="BM56001" s="1025"/>
      <c r="BO56001" s="43"/>
    </row>
    <row r="56002" spans="65:67" ht="18.75" customHeight="1">
      <c r="BM56002" s="1025"/>
      <c r="BO56002" s="43"/>
    </row>
    <row r="56003" spans="65:67" ht="18.75" customHeight="1">
      <c r="BM56003" s="1025"/>
      <c r="BO56003" s="43"/>
    </row>
    <row r="56004" spans="65:67" ht="18.75" customHeight="1">
      <c r="BM56004" s="1025"/>
      <c r="BO56004" s="43"/>
    </row>
    <row r="56005" spans="65:67" ht="18.75" customHeight="1">
      <c r="BM56005" s="1025"/>
      <c r="BO56005" s="43"/>
    </row>
    <row r="56006" spans="65:67" ht="18.75" customHeight="1">
      <c r="BM56006" s="1025"/>
      <c r="BO56006" s="43"/>
    </row>
    <row r="56007" spans="65:67" ht="18.75" customHeight="1">
      <c r="BM56007" s="1025"/>
      <c r="BO56007" s="43"/>
    </row>
    <row r="56008" spans="65:67" ht="18.75" customHeight="1">
      <c r="BM56008" s="1025"/>
      <c r="BO56008" s="43"/>
    </row>
    <row r="56009" spans="65:67" ht="18.75" customHeight="1">
      <c r="BM56009" s="1025"/>
      <c r="BO56009" s="43"/>
    </row>
    <row r="56010" spans="65:67" ht="18.75" customHeight="1">
      <c r="BM56010" s="1025"/>
      <c r="BO56010" s="43"/>
    </row>
    <row r="56011" spans="65:67" ht="18.75" customHeight="1">
      <c r="BM56011" s="1025"/>
      <c r="BO56011" s="43"/>
    </row>
    <row r="56012" spans="65:67" ht="18.75" customHeight="1">
      <c r="BM56012" s="1025"/>
      <c r="BO56012" s="43"/>
    </row>
    <row r="56013" spans="65:67" ht="18.75" customHeight="1">
      <c r="BM56013" s="1025"/>
      <c r="BO56013" s="43"/>
    </row>
    <row r="56014" spans="65:67" ht="18.75" customHeight="1">
      <c r="BM56014" s="1025"/>
      <c r="BO56014" s="43"/>
    </row>
    <row r="56015" spans="65:67" ht="18.75" customHeight="1">
      <c r="BM56015" s="1025"/>
      <c r="BO56015" s="43"/>
    </row>
    <row r="56016" spans="65:67" ht="18.75" customHeight="1">
      <c r="BM56016" s="1025"/>
      <c r="BO56016" s="43"/>
    </row>
    <row r="56017" spans="65:67" ht="18.75" customHeight="1">
      <c r="BM56017" s="1025"/>
      <c r="BO56017" s="43"/>
    </row>
    <row r="56018" spans="65:67" ht="18.75" customHeight="1">
      <c r="BM56018" s="1025"/>
      <c r="BO56018" s="43"/>
    </row>
    <row r="56019" spans="65:67" ht="18.75" customHeight="1">
      <c r="BM56019" s="1025"/>
      <c r="BO56019" s="43"/>
    </row>
    <row r="56020" spans="65:67" ht="18.75" customHeight="1">
      <c r="BM56020" s="1025"/>
      <c r="BO56020" s="43"/>
    </row>
    <row r="56021" spans="65:67" ht="18.75" customHeight="1">
      <c r="BM56021" s="1025"/>
      <c r="BO56021" s="43"/>
    </row>
    <row r="56022" spans="65:67" ht="18.75" customHeight="1">
      <c r="BM56022" s="1025"/>
      <c r="BO56022" s="43"/>
    </row>
    <row r="56023" spans="65:67" ht="18.75" customHeight="1">
      <c r="BM56023" s="1025"/>
      <c r="BO56023" s="43"/>
    </row>
    <row r="56024" spans="65:67" ht="18.75" customHeight="1">
      <c r="BM56024" s="1025"/>
      <c r="BO56024" s="43"/>
    </row>
    <row r="56025" spans="65:67" ht="18.75" customHeight="1">
      <c r="BM56025" s="1025"/>
      <c r="BO56025" s="43"/>
    </row>
    <row r="56026" spans="65:67" ht="18.75" customHeight="1">
      <c r="BM56026" s="1025"/>
      <c r="BO56026" s="43"/>
    </row>
    <row r="56027" spans="65:67" ht="18.75" customHeight="1">
      <c r="BM56027" s="1025"/>
      <c r="BO56027" s="43"/>
    </row>
    <row r="56028" spans="65:67" ht="18.75" customHeight="1">
      <c r="BM56028" s="1025"/>
      <c r="BO56028" s="43"/>
    </row>
    <row r="56029" spans="65:67" ht="18.75" customHeight="1">
      <c r="BM56029" s="1025"/>
      <c r="BO56029" s="43"/>
    </row>
    <row r="56030" spans="65:67" ht="18.75" customHeight="1">
      <c r="BM56030" s="1025"/>
      <c r="BO56030" s="43"/>
    </row>
    <row r="56031" spans="65:67" ht="18.75" customHeight="1">
      <c r="BM56031" s="1025"/>
      <c r="BO56031" s="43"/>
    </row>
    <row r="56032" spans="65:67" ht="18.75" customHeight="1">
      <c r="BM56032" s="1025"/>
      <c r="BO56032" s="43"/>
    </row>
    <row r="56033" spans="65:67" ht="18.75" customHeight="1">
      <c r="BM56033" s="1025"/>
      <c r="BO56033" s="43"/>
    </row>
    <row r="56034" spans="65:67" ht="18.75" customHeight="1">
      <c r="BM56034" s="1025"/>
      <c r="BO56034" s="43"/>
    </row>
    <row r="56035" spans="65:67" ht="18.75" customHeight="1">
      <c r="BM56035" s="1025"/>
      <c r="BO56035" s="43"/>
    </row>
    <row r="56036" spans="65:67" ht="18.75" customHeight="1">
      <c r="BM56036" s="1025"/>
      <c r="BO56036" s="43"/>
    </row>
    <row r="56037" spans="65:67" ht="18.75" customHeight="1">
      <c r="BM56037" s="1025"/>
      <c r="BO56037" s="43"/>
    </row>
    <row r="56038" spans="65:67" ht="18.75" customHeight="1">
      <c r="BM56038" s="1025"/>
      <c r="BO56038" s="43"/>
    </row>
    <row r="56039" spans="65:67" ht="18.75" customHeight="1">
      <c r="BM56039" s="1025"/>
      <c r="BO56039" s="43"/>
    </row>
    <row r="56040" spans="65:67" ht="18.75" customHeight="1">
      <c r="BM56040" s="1025"/>
      <c r="BO56040" s="43"/>
    </row>
    <row r="56041" spans="65:67" ht="18.75" customHeight="1">
      <c r="BM56041" s="1025"/>
      <c r="BO56041" s="43"/>
    </row>
    <row r="56042" spans="65:67" ht="18.75" customHeight="1">
      <c r="BM56042" s="1025"/>
      <c r="BO56042" s="43"/>
    </row>
    <row r="56043" spans="65:67" ht="18.75" customHeight="1">
      <c r="BM56043" s="1025"/>
      <c r="BO56043" s="43"/>
    </row>
    <row r="56044" spans="65:67" ht="18.75" customHeight="1">
      <c r="BM56044" s="1025"/>
      <c r="BO56044" s="43"/>
    </row>
    <row r="56045" spans="65:67" ht="18.75" customHeight="1">
      <c r="BM56045" s="1025"/>
      <c r="BO56045" s="43"/>
    </row>
    <row r="56046" spans="65:67" ht="18.75" customHeight="1">
      <c r="BM56046" s="1025"/>
      <c r="BO56046" s="43"/>
    </row>
    <row r="56047" spans="65:67" ht="18.75" customHeight="1">
      <c r="BM56047" s="1025"/>
      <c r="BO56047" s="43"/>
    </row>
    <row r="56048" spans="65:67" ht="18.75" customHeight="1">
      <c r="BM56048" s="1025"/>
      <c r="BO56048" s="43"/>
    </row>
    <row r="56049" spans="65:67" ht="18.75" customHeight="1">
      <c r="BM56049" s="1025"/>
      <c r="BO56049" s="43"/>
    </row>
    <row r="56050" spans="65:67" ht="18.75" customHeight="1">
      <c r="BM56050" s="1025"/>
      <c r="BO56050" s="43"/>
    </row>
    <row r="56051" spans="65:67" ht="18.75" customHeight="1">
      <c r="BM56051" s="1025"/>
      <c r="BO56051" s="43"/>
    </row>
    <row r="56052" spans="65:67" ht="18.75" customHeight="1">
      <c r="BM56052" s="1025"/>
      <c r="BO56052" s="43"/>
    </row>
    <row r="56053" spans="65:67" ht="18.75" customHeight="1">
      <c r="BM56053" s="1025"/>
      <c r="BO56053" s="43"/>
    </row>
    <row r="56054" spans="65:67" ht="18.75" customHeight="1">
      <c r="BM56054" s="1025"/>
      <c r="BO56054" s="43"/>
    </row>
    <row r="56055" spans="65:67" ht="18.75" customHeight="1">
      <c r="BM56055" s="1025"/>
      <c r="BO56055" s="43"/>
    </row>
    <row r="56056" spans="65:67" ht="18.75" customHeight="1">
      <c r="BM56056" s="1025"/>
      <c r="BO56056" s="43"/>
    </row>
    <row r="56057" spans="65:67" ht="18.75" customHeight="1">
      <c r="BM56057" s="1025"/>
      <c r="BO56057" s="43"/>
    </row>
    <row r="56058" spans="65:67" ht="18.75" customHeight="1">
      <c r="BM56058" s="1025"/>
      <c r="BO56058" s="43"/>
    </row>
    <row r="56059" spans="65:67" ht="18.75" customHeight="1">
      <c r="BM56059" s="1025"/>
      <c r="BO56059" s="43"/>
    </row>
    <row r="56060" spans="65:67" ht="18.75" customHeight="1">
      <c r="BM56060" s="1025"/>
      <c r="BO56060" s="43"/>
    </row>
    <row r="56061" spans="65:67" ht="18.75" customHeight="1">
      <c r="BM56061" s="1025"/>
      <c r="BO56061" s="43"/>
    </row>
    <row r="56062" spans="65:67" ht="18.75" customHeight="1">
      <c r="BM56062" s="1025"/>
      <c r="BO56062" s="43"/>
    </row>
    <row r="56063" spans="65:67" ht="18.75" customHeight="1">
      <c r="BM56063" s="1025"/>
      <c r="BO56063" s="43"/>
    </row>
    <row r="56064" spans="65:67" ht="18.75" customHeight="1">
      <c r="BM56064" s="1025"/>
      <c r="BO56064" s="43"/>
    </row>
    <row r="56065" spans="65:67" ht="18.75" customHeight="1">
      <c r="BM56065" s="1025"/>
      <c r="BO56065" s="43"/>
    </row>
    <row r="56066" spans="65:67" ht="18.75" customHeight="1">
      <c r="BM56066" s="1025"/>
      <c r="BO56066" s="43"/>
    </row>
    <row r="56067" spans="65:67" ht="18.75" customHeight="1">
      <c r="BM56067" s="1025"/>
      <c r="BO56067" s="43"/>
    </row>
    <row r="56068" spans="65:67" ht="18.75" customHeight="1">
      <c r="BM56068" s="1025"/>
      <c r="BO56068" s="43"/>
    </row>
    <row r="56069" spans="65:67" ht="18.75" customHeight="1">
      <c r="BM56069" s="1025"/>
      <c r="BO56069" s="43"/>
    </row>
    <row r="56070" spans="65:67" ht="18.75" customHeight="1">
      <c r="BM56070" s="1025"/>
      <c r="BO56070" s="43"/>
    </row>
    <row r="56071" spans="65:67" ht="18.75" customHeight="1">
      <c r="BM56071" s="1025"/>
      <c r="BO56071" s="43"/>
    </row>
    <row r="56072" spans="65:67" ht="18.75" customHeight="1">
      <c r="BM56072" s="1025"/>
      <c r="BO56072" s="43"/>
    </row>
    <row r="56073" spans="65:67" ht="18.75" customHeight="1">
      <c r="BM56073" s="1025"/>
      <c r="BO56073" s="43"/>
    </row>
    <row r="56074" spans="65:67" ht="18.75" customHeight="1">
      <c r="BM56074" s="1025"/>
      <c r="BO56074" s="43"/>
    </row>
    <row r="56075" spans="65:67" ht="18.75" customHeight="1">
      <c r="BM56075" s="1025"/>
      <c r="BO56075" s="43"/>
    </row>
    <row r="56076" spans="65:67" ht="18.75" customHeight="1">
      <c r="BM56076" s="1025"/>
      <c r="BO56076" s="43"/>
    </row>
    <row r="56077" spans="65:67" ht="18.75" customHeight="1">
      <c r="BM56077" s="1025"/>
      <c r="BO56077" s="43"/>
    </row>
    <row r="56078" spans="65:67" ht="18.75" customHeight="1">
      <c r="BM56078" s="1025"/>
      <c r="BO56078" s="43"/>
    </row>
    <row r="56079" spans="65:67" ht="18.75" customHeight="1">
      <c r="BM56079" s="1025"/>
      <c r="BO56079" s="43"/>
    </row>
    <row r="56080" spans="65:67" ht="18.75" customHeight="1">
      <c r="BM56080" s="1025"/>
      <c r="BO56080" s="43"/>
    </row>
    <row r="56081" spans="65:67" ht="18.75" customHeight="1">
      <c r="BM56081" s="1025"/>
      <c r="BO56081" s="43"/>
    </row>
    <row r="56082" spans="65:67" ht="18.75" customHeight="1">
      <c r="BM56082" s="1025"/>
      <c r="BO56082" s="43"/>
    </row>
    <row r="56083" spans="65:67" ht="18.75" customHeight="1">
      <c r="BM56083" s="1025"/>
      <c r="BO56083" s="43"/>
    </row>
    <row r="56084" spans="65:67" ht="18.75" customHeight="1">
      <c r="BM56084" s="1025"/>
      <c r="BO56084" s="43"/>
    </row>
    <row r="56085" spans="65:67" ht="18.75" customHeight="1">
      <c r="BM56085" s="1025"/>
      <c r="BO56085" s="43"/>
    </row>
    <row r="56086" spans="65:67" ht="18.75" customHeight="1">
      <c r="BM56086" s="1025"/>
      <c r="BO56086" s="43"/>
    </row>
    <row r="56087" spans="65:67" ht="18.75" customHeight="1">
      <c r="BM56087" s="1025"/>
      <c r="BO56087" s="43"/>
    </row>
    <row r="56088" spans="65:67" ht="18.75" customHeight="1">
      <c r="BM56088" s="1025"/>
      <c r="BO56088" s="43"/>
    </row>
    <row r="56089" spans="65:67" ht="18.75" customHeight="1">
      <c r="BM56089" s="1025"/>
      <c r="BO56089" s="43"/>
    </row>
    <row r="56090" spans="65:67" ht="18.75" customHeight="1">
      <c r="BM56090" s="1025"/>
      <c r="BO56090" s="43"/>
    </row>
    <row r="56091" spans="65:67" ht="18.75" customHeight="1">
      <c r="BM56091" s="1025"/>
      <c r="BO56091" s="43"/>
    </row>
    <row r="56092" spans="65:67" ht="18.75" customHeight="1">
      <c r="BM56092" s="1025"/>
      <c r="BO56092" s="43"/>
    </row>
    <row r="56093" spans="65:67" ht="18.75" customHeight="1">
      <c r="BM56093" s="1025"/>
      <c r="BO56093" s="43"/>
    </row>
    <row r="56094" spans="65:67" ht="18.75" customHeight="1">
      <c r="BM56094" s="1025"/>
      <c r="BO56094" s="43"/>
    </row>
    <row r="56095" spans="65:67" ht="18.75" customHeight="1">
      <c r="BM56095" s="1025"/>
      <c r="BO56095" s="43"/>
    </row>
    <row r="56096" spans="65:67" ht="18.75" customHeight="1">
      <c r="BM56096" s="1025"/>
      <c r="BO56096" s="43"/>
    </row>
    <row r="56097" spans="65:67" ht="18.75" customHeight="1">
      <c r="BM56097" s="1025"/>
      <c r="BO56097" s="43"/>
    </row>
    <row r="56098" spans="65:67" ht="18.75" customHeight="1">
      <c r="BM56098" s="1025"/>
      <c r="BO56098" s="43"/>
    </row>
    <row r="56099" spans="65:67" ht="18.75" customHeight="1">
      <c r="BM56099" s="1025"/>
      <c r="BO56099" s="43"/>
    </row>
    <row r="56100" spans="65:67" ht="18.75" customHeight="1">
      <c r="BM56100" s="1025"/>
      <c r="BO56100" s="43"/>
    </row>
    <row r="56101" spans="65:67" ht="18.75" customHeight="1">
      <c r="BM56101" s="1025"/>
      <c r="BO56101" s="43"/>
    </row>
    <row r="56102" spans="65:67" ht="18.75" customHeight="1">
      <c r="BM56102" s="1025"/>
      <c r="BO56102" s="43"/>
    </row>
    <row r="56103" spans="65:67" ht="18.75" customHeight="1">
      <c r="BM56103" s="1025"/>
      <c r="BO56103" s="43"/>
    </row>
    <row r="56104" spans="65:67" ht="18.75" customHeight="1">
      <c r="BM56104" s="1025"/>
      <c r="BO56104" s="43"/>
    </row>
    <row r="56105" spans="65:67" ht="18.75" customHeight="1">
      <c r="BM56105" s="1025"/>
      <c r="BO56105" s="43"/>
    </row>
    <row r="56106" spans="65:67" ht="18.75" customHeight="1">
      <c r="BM56106" s="1025"/>
      <c r="BO56106" s="43"/>
    </row>
    <row r="56107" spans="65:67" ht="18.75" customHeight="1">
      <c r="BM56107" s="1025"/>
      <c r="BO56107" s="43"/>
    </row>
    <row r="56108" spans="65:67" ht="18.75" customHeight="1">
      <c r="BM56108" s="1025"/>
      <c r="BO56108" s="43"/>
    </row>
    <row r="56109" spans="65:67" ht="18.75" customHeight="1">
      <c r="BM56109" s="1025"/>
      <c r="BO56109" s="43"/>
    </row>
    <row r="56110" spans="65:67" ht="18.75" customHeight="1">
      <c r="BM56110" s="1025"/>
      <c r="BO56110" s="43"/>
    </row>
    <row r="56111" spans="65:67" ht="18.75" customHeight="1">
      <c r="BM56111" s="1025"/>
      <c r="BO56111" s="43"/>
    </row>
    <row r="56112" spans="65:67" ht="18.75" customHeight="1">
      <c r="BM56112" s="1025"/>
      <c r="BO56112" s="43"/>
    </row>
    <row r="56113" spans="65:67" ht="18.75" customHeight="1">
      <c r="BM56113" s="1025"/>
      <c r="BO56113" s="43"/>
    </row>
    <row r="56114" spans="65:67" ht="18.75" customHeight="1">
      <c r="BM56114" s="1025"/>
      <c r="BO56114" s="43"/>
    </row>
    <row r="56115" spans="65:67" ht="18.75" customHeight="1">
      <c r="BM56115" s="1025"/>
      <c r="BO56115" s="43"/>
    </row>
    <row r="56116" spans="65:67" ht="18.75" customHeight="1">
      <c r="BM56116" s="1025"/>
      <c r="BO56116" s="43"/>
    </row>
    <row r="56117" spans="65:67" ht="18.75" customHeight="1">
      <c r="BM56117" s="1025"/>
      <c r="BO56117" s="43"/>
    </row>
    <row r="56118" spans="65:67" ht="18.75" customHeight="1">
      <c r="BM56118" s="1025"/>
      <c r="BO56118" s="43"/>
    </row>
    <row r="56119" spans="65:67" ht="18.75" customHeight="1">
      <c r="BM56119" s="1025"/>
      <c r="BO56119" s="43"/>
    </row>
    <row r="56120" spans="65:67" ht="18.75" customHeight="1">
      <c r="BM56120" s="1025"/>
      <c r="BO56120" s="43"/>
    </row>
    <row r="56121" spans="65:67" ht="18.75" customHeight="1">
      <c r="BM56121" s="1025"/>
      <c r="BO56121" s="43"/>
    </row>
    <row r="56122" spans="65:67" ht="18.75" customHeight="1">
      <c r="BM56122" s="1025"/>
      <c r="BO56122" s="43"/>
    </row>
    <row r="56123" spans="65:67" ht="18.75" customHeight="1">
      <c r="BM56123" s="1025"/>
      <c r="BO56123" s="43"/>
    </row>
    <row r="56124" spans="65:67" ht="18.75" customHeight="1">
      <c r="BM56124" s="1025"/>
      <c r="BO56124" s="43"/>
    </row>
    <row r="56125" spans="65:67" ht="18.75" customHeight="1">
      <c r="BM56125" s="1025"/>
      <c r="BO56125" s="43"/>
    </row>
    <row r="56126" spans="65:67" ht="18.75" customHeight="1">
      <c r="BM56126" s="1025"/>
      <c r="BO56126" s="43"/>
    </row>
    <row r="56127" spans="65:67" ht="18.75" customHeight="1">
      <c r="BM56127" s="1025"/>
      <c r="BO56127" s="43"/>
    </row>
    <row r="56128" spans="65:67" ht="18.75" customHeight="1">
      <c r="BM56128" s="1025"/>
      <c r="BO56128" s="43"/>
    </row>
    <row r="56129" spans="65:67" ht="18.75" customHeight="1">
      <c r="BM56129" s="1025"/>
      <c r="BO56129" s="43"/>
    </row>
    <row r="56130" spans="65:67" ht="18.75" customHeight="1">
      <c r="BM56130" s="1025"/>
      <c r="BO56130" s="43"/>
    </row>
    <row r="56131" spans="65:67" ht="18.75" customHeight="1">
      <c r="BM56131" s="1025"/>
      <c r="BO56131" s="43"/>
    </row>
    <row r="56132" spans="65:67" ht="18.75" customHeight="1">
      <c r="BM56132" s="1025"/>
      <c r="BO56132" s="43"/>
    </row>
    <row r="56133" spans="65:67" ht="18.75" customHeight="1">
      <c r="BM56133" s="1025"/>
      <c r="BO56133" s="43"/>
    </row>
    <row r="56134" spans="65:67" ht="18.75" customHeight="1">
      <c r="BM56134" s="1025"/>
      <c r="BO56134" s="43"/>
    </row>
    <row r="56135" spans="65:67" ht="18.75" customHeight="1">
      <c r="BM56135" s="1025"/>
      <c r="BO56135" s="43"/>
    </row>
    <row r="56136" spans="65:67" ht="18.75" customHeight="1">
      <c r="BM56136" s="1025"/>
      <c r="BO56136" s="43"/>
    </row>
    <row r="56137" spans="65:67" ht="18.75" customHeight="1">
      <c r="BM56137" s="1025"/>
      <c r="BO56137" s="43"/>
    </row>
    <row r="56138" spans="65:67" ht="18.75" customHeight="1">
      <c r="BM56138" s="1025"/>
      <c r="BO56138" s="43"/>
    </row>
    <row r="56139" spans="65:67" ht="18.75" customHeight="1">
      <c r="BM56139" s="1025"/>
      <c r="BO56139" s="43"/>
    </row>
    <row r="56140" spans="65:67" ht="18.75" customHeight="1">
      <c r="BM56140" s="1025"/>
      <c r="BO56140" s="43"/>
    </row>
    <row r="56141" spans="65:67" ht="18.75" customHeight="1">
      <c r="BM56141" s="1025"/>
      <c r="BO56141" s="43"/>
    </row>
    <row r="56142" spans="65:67" ht="18.75" customHeight="1">
      <c r="BM56142" s="1025"/>
      <c r="BO56142" s="43"/>
    </row>
    <row r="56143" spans="65:67" ht="18.75" customHeight="1">
      <c r="BM56143" s="1025"/>
      <c r="BO56143" s="43"/>
    </row>
    <row r="56144" spans="65:67" ht="18.75" customHeight="1">
      <c r="BM56144" s="1025"/>
      <c r="BO56144" s="43"/>
    </row>
    <row r="56145" spans="65:67" ht="18.75" customHeight="1">
      <c r="BM56145" s="1025"/>
      <c r="BO56145" s="43"/>
    </row>
    <row r="56146" spans="65:67" ht="18.75" customHeight="1">
      <c r="BM56146" s="1025"/>
      <c r="BO56146" s="43"/>
    </row>
    <row r="56147" spans="65:67" ht="18.75" customHeight="1">
      <c r="BM56147" s="1025"/>
      <c r="BO56147" s="43"/>
    </row>
    <row r="56148" spans="65:67" ht="18.75" customHeight="1">
      <c r="BM56148" s="1025"/>
      <c r="BO56148" s="43"/>
    </row>
    <row r="56149" spans="65:67" ht="18.75" customHeight="1">
      <c r="BM56149" s="1025"/>
      <c r="BO56149" s="43"/>
    </row>
    <row r="56150" spans="65:67" ht="18.75" customHeight="1">
      <c r="BM56150" s="1025"/>
      <c r="BO56150" s="43"/>
    </row>
    <row r="56151" spans="65:67" ht="18.75" customHeight="1">
      <c r="BM56151" s="1025"/>
      <c r="BO56151" s="43"/>
    </row>
    <row r="56152" spans="65:67" ht="18.75" customHeight="1">
      <c r="BM56152" s="1025"/>
      <c r="BO56152" s="43"/>
    </row>
    <row r="56153" spans="65:67" ht="18.75" customHeight="1">
      <c r="BM56153" s="1025"/>
      <c r="BO56153" s="43"/>
    </row>
    <row r="56154" spans="65:67" ht="18.75" customHeight="1">
      <c r="BM56154" s="1025"/>
      <c r="BO56154" s="43"/>
    </row>
    <row r="56155" spans="65:67" ht="18.75" customHeight="1">
      <c r="BM56155" s="1025"/>
      <c r="BO56155" s="43"/>
    </row>
    <row r="56156" spans="65:67" ht="18.75" customHeight="1">
      <c r="BM56156" s="1025"/>
      <c r="BO56156" s="43"/>
    </row>
    <row r="56157" spans="65:67" ht="18.75" customHeight="1">
      <c r="BM56157" s="1025"/>
      <c r="BO56157" s="43"/>
    </row>
    <row r="56158" spans="65:67" ht="18.75" customHeight="1">
      <c r="BM56158" s="1025"/>
      <c r="BO56158" s="43"/>
    </row>
    <row r="56159" spans="65:67" ht="18.75" customHeight="1">
      <c r="BM56159" s="1025"/>
      <c r="BO56159" s="43"/>
    </row>
    <row r="56160" spans="65:67" ht="18.75" customHeight="1">
      <c r="BM56160" s="1025"/>
      <c r="BO56160" s="43"/>
    </row>
    <row r="56161" spans="65:67" ht="18.75" customHeight="1">
      <c r="BM56161" s="1025"/>
      <c r="BO56161" s="43"/>
    </row>
    <row r="56162" spans="65:67" ht="18.75" customHeight="1">
      <c r="BM56162" s="1025"/>
      <c r="BO56162" s="43"/>
    </row>
    <row r="56163" spans="65:67" ht="18.75" customHeight="1">
      <c r="BM56163" s="1025"/>
      <c r="BO56163" s="43"/>
    </row>
    <row r="56164" spans="65:67" ht="18.75" customHeight="1">
      <c r="BM56164" s="1025"/>
      <c r="BO56164" s="43"/>
    </row>
    <row r="56165" spans="65:67" ht="18.75" customHeight="1">
      <c r="BM56165" s="1025"/>
      <c r="BO56165" s="43"/>
    </row>
    <row r="56166" spans="65:67" ht="18.75" customHeight="1">
      <c r="BM56166" s="1025"/>
      <c r="BO56166" s="43"/>
    </row>
    <row r="56167" spans="65:67" ht="18.75" customHeight="1">
      <c r="BM56167" s="1025"/>
      <c r="BO56167" s="43"/>
    </row>
    <row r="56168" spans="65:67" ht="18.75" customHeight="1">
      <c r="BM56168" s="1025"/>
      <c r="BO56168" s="43"/>
    </row>
    <row r="56169" spans="65:67" ht="18.75" customHeight="1">
      <c r="BM56169" s="1025"/>
      <c r="BO56169" s="43"/>
    </row>
    <row r="56170" spans="65:67" ht="18.75" customHeight="1">
      <c r="BM56170" s="1025"/>
      <c r="BO56170" s="43"/>
    </row>
    <row r="56171" spans="65:67" ht="18.75" customHeight="1">
      <c r="BM56171" s="1025"/>
      <c r="BO56171" s="43"/>
    </row>
    <row r="56172" spans="65:67" ht="18.75" customHeight="1">
      <c r="BM56172" s="1025"/>
      <c r="BO56172" s="43"/>
    </row>
    <row r="56173" spans="65:67" ht="18.75" customHeight="1">
      <c r="BM56173" s="1025"/>
      <c r="BO56173" s="43"/>
    </row>
    <row r="56174" spans="65:67" ht="18.75" customHeight="1">
      <c r="BM56174" s="1025"/>
      <c r="BO56174" s="43"/>
    </row>
    <row r="56175" spans="65:67" ht="18.75" customHeight="1">
      <c r="BM56175" s="1025"/>
      <c r="BO56175" s="43"/>
    </row>
    <row r="56176" spans="65:67" ht="18.75" customHeight="1">
      <c r="BM56176" s="1025"/>
      <c r="BO56176" s="43"/>
    </row>
    <row r="56177" spans="65:67" ht="18.75" customHeight="1">
      <c r="BM56177" s="1025"/>
      <c r="BO56177" s="43"/>
    </row>
    <row r="56178" spans="65:67" ht="18.75" customHeight="1">
      <c r="BM56178" s="1025"/>
      <c r="BO56178" s="43"/>
    </row>
    <row r="56179" spans="65:67" ht="18.75" customHeight="1">
      <c r="BM56179" s="1025"/>
      <c r="BO56179" s="43"/>
    </row>
    <row r="56180" spans="65:67" ht="18.75" customHeight="1">
      <c r="BM56180" s="1025"/>
      <c r="BO56180" s="43"/>
    </row>
    <row r="56181" spans="65:67" ht="18.75" customHeight="1">
      <c r="BM56181" s="1025"/>
      <c r="BO56181" s="43"/>
    </row>
    <row r="56182" spans="65:67" ht="18.75" customHeight="1">
      <c r="BM56182" s="1025"/>
      <c r="BO56182" s="43"/>
    </row>
    <row r="56183" spans="65:67" ht="18.75" customHeight="1">
      <c r="BM56183" s="1025"/>
      <c r="BO56183" s="43"/>
    </row>
    <row r="56184" spans="65:67" ht="18.75" customHeight="1">
      <c r="BM56184" s="1025"/>
      <c r="BO56184" s="43"/>
    </row>
    <row r="56185" spans="65:67" ht="18.75" customHeight="1">
      <c r="BM56185" s="1025"/>
      <c r="BO56185" s="43"/>
    </row>
    <row r="56186" spans="65:67" ht="18.75" customHeight="1">
      <c r="BM56186" s="1025"/>
      <c r="BO56186" s="43"/>
    </row>
    <row r="56187" spans="65:67" ht="18.75" customHeight="1">
      <c r="BM56187" s="1025"/>
      <c r="BO56187" s="43"/>
    </row>
    <row r="56188" spans="65:67" ht="18.75" customHeight="1">
      <c r="BM56188" s="1025"/>
      <c r="BO56188" s="43"/>
    </row>
    <row r="56189" spans="65:67" ht="18.75" customHeight="1">
      <c r="BM56189" s="1025"/>
      <c r="BO56189" s="43"/>
    </row>
    <row r="56190" spans="65:67" ht="18.75" customHeight="1">
      <c r="BM56190" s="1025"/>
      <c r="BO56190" s="43"/>
    </row>
    <row r="56191" spans="65:67" ht="18.75" customHeight="1">
      <c r="BM56191" s="1025"/>
      <c r="BO56191" s="43"/>
    </row>
    <row r="56192" spans="65:67" ht="18.75" customHeight="1">
      <c r="BM56192" s="1025"/>
      <c r="BO56192" s="43"/>
    </row>
    <row r="56193" spans="65:67" ht="18.75" customHeight="1">
      <c r="BM56193" s="1025"/>
      <c r="BO56193" s="43"/>
    </row>
    <row r="56194" spans="65:67" ht="18.75" customHeight="1">
      <c r="BM56194" s="1025"/>
      <c r="BO56194" s="43"/>
    </row>
    <row r="56195" spans="65:67" ht="18.75" customHeight="1">
      <c r="BM56195" s="1025"/>
      <c r="BO56195" s="43"/>
    </row>
    <row r="56196" spans="65:67" ht="18.75" customHeight="1">
      <c r="BM56196" s="1025"/>
      <c r="BO56196" s="43"/>
    </row>
    <row r="56197" spans="65:67" ht="18.75" customHeight="1">
      <c r="BM56197" s="1025"/>
      <c r="BO56197" s="43"/>
    </row>
    <row r="56198" spans="65:67" ht="18.75" customHeight="1">
      <c r="BM56198" s="1025"/>
      <c r="BO56198" s="43"/>
    </row>
    <row r="56199" spans="65:67" ht="18.75" customHeight="1">
      <c r="BM56199" s="1025"/>
      <c r="BO56199" s="43"/>
    </row>
    <row r="56200" spans="65:67" ht="18.75" customHeight="1">
      <c r="BM56200" s="1025"/>
      <c r="BO56200" s="43"/>
    </row>
    <row r="56201" spans="65:67" ht="18.75" customHeight="1">
      <c r="BM56201" s="1025"/>
      <c r="BO56201" s="43"/>
    </row>
    <row r="56202" spans="65:67" ht="18.75" customHeight="1">
      <c r="BM56202" s="1025"/>
      <c r="BO56202" s="43"/>
    </row>
    <row r="56203" spans="65:67" ht="18.75" customHeight="1">
      <c r="BM56203" s="1025"/>
      <c r="BO56203" s="43"/>
    </row>
    <row r="56204" spans="65:67" ht="18.75" customHeight="1">
      <c r="BM56204" s="1025"/>
      <c r="BO56204" s="43"/>
    </row>
    <row r="56205" spans="65:67" ht="18.75" customHeight="1">
      <c r="BM56205" s="1025"/>
      <c r="BO56205" s="43"/>
    </row>
    <row r="56206" spans="65:67" ht="18.75" customHeight="1">
      <c r="BM56206" s="1025"/>
      <c r="BO56206" s="43"/>
    </row>
    <row r="56207" spans="65:67" ht="18.75" customHeight="1">
      <c r="BM56207" s="1025"/>
      <c r="BO56207" s="43"/>
    </row>
    <row r="56208" spans="65:67" ht="18.75" customHeight="1">
      <c r="BM56208" s="1025"/>
      <c r="BO56208" s="43"/>
    </row>
    <row r="56209" spans="65:67" ht="18.75" customHeight="1">
      <c r="BM56209" s="1025"/>
      <c r="BO56209" s="43"/>
    </row>
    <row r="56210" spans="65:67" ht="18.75" customHeight="1">
      <c r="BM56210" s="1025"/>
      <c r="BO56210" s="43"/>
    </row>
    <row r="56211" spans="65:67" ht="18.75" customHeight="1">
      <c r="BM56211" s="1025"/>
      <c r="BO56211" s="43"/>
    </row>
    <row r="56212" spans="65:67" ht="18.75" customHeight="1">
      <c r="BM56212" s="1025"/>
      <c r="BO56212" s="43"/>
    </row>
    <row r="56213" spans="65:67" ht="18.75" customHeight="1">
      <c r="BM56213" s="1025"/>
      <c r="BO56213" s="43"/>
    </row>
    <row r="56214" spans="65:67" ht="18.75" customHeight="1">
      <c r="BM56214" s="1025"/>
      <c r="BO56214" s="43"/>
    </row>
    <row r="56215" spans="65:67" ht="18.75" customHeight="1">
      <c r="BM56215" s="1025"/>
      <c r="BO56215" s="43"/>
    </row>
    <row r="56216" spans="65:67" ht="18.75" customHeight="1">
      <c r="BM56216" s="1025"/>
      <c r="BO56216" s="43"/>
    </row>
    <row r="56217" spans="65:67" ht="18.75" customHeight="1">
      <c r="BM56217" s="1025"/>
      <c r="BO56217" s="43"/>
    </row>
    <row r="56218" spans="65:67" ht="18.75" customHeight="1">
      <c r="BM56218" s="1025"/>
      <c r="BO56218" s="43"/>
    </row>
    <row r="56219" spans="65:67" ht="18.75" customHeight="1">
      <c r="BM56219" s="1025"/>
      <c r="BO56219" s="43"/>
    </row>
    <row r="56220" spans="65:67" ht="18.75" customHeight="1">
      <c r="BM56220" s="1025"/>
      <c r="BO56220" s="43"/>
    </row>
    <row r="56221" spans="65:67" ht="18.75" customHeight="1">
      <c r="BM56221" s="1025"/>
      <c r="BO56221" s="43"/>
    </row>
    <row r="56222" spans="65:67" ht="18.75" customHeight="1">
      <c r="BM56222" s="1025"/>
      <c r="BO56222" s="43"/>
    </row>
    <row r="56223" spans="65:67" ht="18.75" customHeight="1">
      <c r="BM56223" s="1025"/>
      <c r="BO56223" s="43"/>
    </row>
    <row r="56224" spans="65:67" ht="18.75" customHeight="1">
      <c r="BM56224" s="1025"/>
      <c r="BO56224" s="43"/>
    </row>
    <row r="56225" spans="65:67" ht="18.75" customHeight="1">
      <c r="BM56225" s="1025"/>
      <c r="BO56225" s="43"/>
    </row>
    <row r="56226" spans="65:67" ht="18.75" customHeight="1">
      <c r="BM56226" s="1025"/>
      <c r="BO56226" s="43"/>
    </row>
    <row r="56227" spans="65:67" ht="18.75" customHeight="1">
      <c r="BM56227" s="1025"/>
      <c r="BO56227" s="43"/>
    </row>
    <row r="56228" spans="65:67" ht="18.75" customHeight="1">
      <c r="BM56228" s="1025"/>
      <c r="BO56228" s="43"/>
    </row>
    <row r="56229" spans="65:67" ht="18.75" customHeight="1">
      <c r="BM56229" s="1025"/>
      <c r="BO56229" s="43"/>
    </row>
    <row r="56230" spans="65:67" ht="18.75" customHeight="1">
      <c r="BM56230" s="1025"/>
      <c r="BO56230" s="43"/>
    </row>
    <row r="56231" spans="65:67" ht="18.75" customHeight="1">
      <c r="BM56231" s="1025"/>
      <c r="BO56231" s="43"/>
    </row>
    <row r="56232" spans="65:67" ht="18.75" customHeight="1">
      <c r="BM56232" s="1025"/>
      <c r="BO56232" s="43"/>
    </row>
    <row r="56233" spans="65:67" ht="18.75" customHeight="1">
      <c r="BM56233" s="1025"/>
      <c r="BO56233" s="43"/>
    </row>
    <row r="56234" spans="65:67" ht="18.75" customHeight="1">
      <c r="BM56234" s="1025"/>
      <c r="BO56234" s="43"/>
    </row>
    <row r="56235" spans="65:67" ht="18.75" customHeight="1">
      <c r="BM56235" s="1025"/>
      <c r="BO56235" s="43"/>
    </row>
    <row r="56236" spans="65:67" ht="18.75" customHeight="1">
      <c r="BM56236" s="1025"/>
      <c r="BO56236" s="43"/>
    </row>
    <row r="56237" spans="65:67" ht="18.75" customHeight="1">
      <c r="BM56237" s="1025"/>
      <c r="BO56237" s="43"/>
    </row>
    <row r="56238" spans="65:67" ht="18.75" customHeight="1">
      <c r="BM56238" s="1025"/>
      <c r="BO56238" s="43"/>
    </row>
    <row r="56239" spans="65:67" ht="18.75" customHeight="1">
      <c r="BM56239" s="1025"/>
      <c r="BO56239" s="43"/>
    </row>
    <row r="56240" spans="65:67" ht="18.75" customHeight="1">
      <c r="BM56240" s="1025"/>
      <c r="BO56240" s="43"/>
    </row>
    <row r="56241" spans="65:67" ht="18.75" customHeight="1">
      <c r="BM56241" s="1025"/>
      <c r="BO56241" s="43"/>
    </row>
    <row r="56242" spans="65:67" ht="18.75" customHeight="1">
      <c r="BM56242" s="1025"/>
      <c r="BO56242" s="43"/>
    </row>
    <row r="56243" spans="65:67" ht="18.75" customHeight="1">
      <c r="BM56243" s="1025"/>
      <c r="BO56243" s="43"/>
    </row>
    <row r="56244" spans="65:67" ht="18.75" customHeight="1">
      <c r="BM56244" s="1025"/>
      <c r="BO56244" s="43"/>
    </row>
    <row r="56245" spans="65:67" ht="18.75" customHeight="1">
      <c r="BM56245" s="1025"/>
      <c r="BO56245" s="43"/>
    </row>
    <row r="56246" spans="65:67" ht="18.75" customHeight="1">
      <c r="BM56246" s="1025"/>
      <c r="BO56246" s="43"/>
    </row>
    <row r="56247" spans="65:67" ht="18.75" customHeight="1">
      <c r="BM56247" s="1025"/>
      <c r="BO56247" s="43"/>
    </row>
    <row r="56248" spans="65:67" ht="18.75" customHeight="1">
      <c r="BM56248" s="1025"/>
      <c r="BO56248" s="43"/>
    </row>
    <row r="56249" spans="65:67" ht="18.75" customHeight="1">
      <c r="BM56249" s="1025"/>
      <c r="BO56249" s="43"/>
    </row>
    <row r="56250" spans="65:67" ht="18.75" customHeight="1">
      <c r="BM56250" s="1025"/>
      <c r="BO56250" s="43"/>
    </row>
    <row r="56251" spans="65:67" ht="18.75" customHeight="1">
      <c r="BM56251" s="1025"/>
      <c r="BO56251" s="43"/>
    </row>
    <row r="56252" spans="65:67" ht="18.75" customHeight="1">
      <c r="BM56252" s="1025"/>
      <c r="BO56252" s="43"/>
    </row>
    <row r="56253" spans="65:67" ht="18.75" customHeight="1">
      <c r="BM56253" s="1025"/>
      <c r="BO56253" s="43"/>
    </row>
    <row r="56254" spans="65:67" ht="18.75" customHeight="1">
      <c r="BM56254" s="1025"/>
      <c r="BO56254" s="43"/>
    </row>
    <row r="56255" spans="65:67" ht="18.75" customHeight="1">
      <c r="BM56255" s="1025"/>
      <c r="BO56255" s="43"/>
    </row>
    <row r="56256" spans="65:67" ht="18.75" customHeight="1">
      <c r="BM56256" s="1025"/>
      <c r="BO56256" s="43"/>
    </row>
    <row r="56257" spans="65:67" ht="18.75" customHeight="1">
      <c r="BM56257" s="1025"/>
      <c r="BO56257" s="43"/>
    </row>
    <row r="56258" spans="65:67" ht="18.75" customHeight="1">
      <c r="BM56258" s="1025"/>
      <c r="BO56258" s="43"/>
    </row>
    <row r="56259" spans="65:67" ht="18.75" customHeight="1">
      <c r="BM56259" s="1025"/>
      <c r="BO56259" s="43"/>
    </row>
    <row r="56260" spans="65:67" ht="18.75" customHeight="1">
      <c r="BM56260" s="1025"/>
      <c r="BO56260" s="43"/>
    </row>
    <row r="56261" spans="65:67" ht="18.75" customHeight="1">
      <c r="BM56261" s="1025"/>
      <c r="BO56261" s="43"/>
    </row>
    <row r="56262" spans="65:67" ht="18.75" customHeight="1">
      <c r="BM56262" s="1025"/>
      <c r="BO56262" s="43"/>
    </row>
    <row r="56263" spans="65:67" ht="18.75" customHeight="1">
      <c r="BM56263" s="1025"/>
      <c r="BO56263" s="43"/>
    </row>
    <row r="56264" spans="65:67" ht="18.75" customHeight="1">
      <c r="BM56264" s="1025"/>
      <c r="BO56264" s="43"/>
    </row>
    <row r="56265" spans="65:67" ht="18.75" customHeight="1">
      <c r="BM56265" s="1025"/>
      <c r="BO56265" s="43"/>
    </row>
    <row r="56266" spans="65:67" ht="18.75" customHeight="1">
      <c r="BM56266" s="1025"/>
      <c r="BO56266" s="43"/>
    </row>
    <row r="56267" spans="65:67" ht="18.75" customHeight="1">
      <c r="BM56267" s="1025"/>
      <c r="BO56267" s="43"/>
    </row>
    <row r="56268" spans="65:67" ht="18.75" customHeight="1">
      <c r="BM56268" s="1025"/>
      <c r="BO56268" s="43"/>
    </row>
    <row r="56269" spans="65:67" ht="18.75" customHeight="1">
      <c r="BM56269" s="1025"/>
      <c r="BO56269" s="43"/>
    </row>
    <row r="56270" spans="65:67" ht="18.75" customHeight="1">
      <c r="BM56270" s="1025"/>
      <c r="BO56270" s="43"/>
    </row>
    <row r="56271" spans="65:67" ht="18.75" customHeight="1">
      <c r="BM56271" s="1025"/>
      <c r="BO56271" s="43"/>
    </row>
    <row r="56272" spans="65:67" ht="18.75" customHeight="1">
      <c r="BM56272" s="1025"/>
      <c r="BO56272" s="43"/>
    </row>
    <row r="56273" spans="65:67" ht="18.75" customHeight="1">
      <c r="BM56273" s="1025"/>
      <c r="BO56273" s="43"/>
    </row>
    <row r="56274" spans="65:67" ht="18.75" customHeight="1">
      <c r="BM56274" s="1025"/>
      <c r="BO56274" s="43"/>
    </row>
    <row r="56275" spans="65:67" ht="18.75" customHeight="1">
      <c r="BM56275" s="1025"/>
      <c r="BO56275" s="43"/>
    </row>
    <row r="56276" spans="65:67" ht="18.75" customHeight="1">
      <c r="BM56276" s="1025"/>
      <c r="BO56276" s="43"/>
    </row>
    <row r="56277" spans="65:67" ht="18.75" customHeight="1">
      <c r="BM56277" s="1025"/>
      <c r="BO56277" s="43"/>
    </row>
    <row r="56278" spans="65:67" ht="18.75" customHeight="1">
      <c r="BM56278" s="1025"/>
      <c r="BO56278" s="43"/>
    </row>
    <row r="56279" spans="65:67" ht="18.75" customHeight="1">
      <c r="BM56279" s="1025"/>
      <c r="BO56279" s="43"/>
    </row>
    <row r="56280" spans="65:67" ht="18.75" customHeight="1">
      <c r="BM56280" s="1025"/>
      <c r="BO56280" s="43"/>
    </row>
    <row r="56281" spans="65:67" ht="18.75" customHeight="1">
      <c r="BM56281" s="1025"/>
      <c r="BO56281" s="43"/>
    </row>
    <row r="56282" spans="65:67" ht="18.75" customHeight="1">
      <c r="BM56282" s="1025"/>
      <c r="BO56282" s="43"/>
    </row>
    <row r="56283" spans="65:67" ht="18.75" customHeight="1">
      <c r="BM56283" s="1025"/>
      <c r="BO56283" s="43"/>
    </row>
    <row r="56284" spans="65:67" ht="18.75" customHeight="1">
      <c r="BM56284" s="1025"/>
      <c r="BO56284" s="43"/>
    </row>
    <row r="56285" spans="65:67" ht="18.75" customHeight="1">
      <c r="BM56285" s="1025"/>
      <c r="BO56285" s="43"/>
    </row>
    <row r="56286" spans="65:67" ht="18.75" customHeight="1">
      <c r="BM56286" s="1025"/>
      <c r="BO56286" s="43"/>
    </row>
    <row r="56287" spans="65:67" ht="18.75" customHeight="1">
      <c r="BM56287" s="1025"/>
      <c r="BO56287" s="43"/>
    </row>
    <row r="56288" spans="65:67" ht="18.75" customHeight="1">
      <c r="BM56288" s="1025"/>
      <c r="BO56288" s="43"/>
    </row>
    <row r="56289" spans="65:67" ht="18.75" customHeight="1">
      <c r="BM56289" s="1025"/>
      <c r="BO56289" s="43"/>
    </row>
    <row r="56290" spans="65:67" ht="18.75" customHeight="1">
      <c r="BM56290" s="1025"/>
      <c r="BO56290" s="43"/>
    </row>
    <row r="56291" spans="65:67" ht="18.75" customHeight="1">
      <c r="BM56291" s="1025"/>
      <c r="BO56291" s="43"/>
    </row>
    <row r="56292" spans="65:67" ht="18.75" customHeight="1">
      <c r="BM56292" s="1025"/>
      <c r="BO56292" s="43"/>
    </row>
    <row r="56293" spans="65:67" ht="18.75" customHeight="1">
      <c r="BM56293" s="1025"/>
      <c r="BO56293" s="43"/>
    </row>
    <row r="56294" spans="65:67" ht="18.75" customHeight="1">
      <c r="BM56294" s="1025"/>
      <c r="BO56294" s="43"/>
    </row>
    <row r="56295" spans="65:67" ht="18.75" customHeight="1">
      <c r="BM56295" s="1025"/>
      <c r="BO56295" s="43"/>
    </row>
    <row r="56296" spans="65:67" ht="18.75" customHeight="1">
      <c r="BM56296" s="1025"/>
      <c r="BO56296" s="43"/>
    </row>
    <row r="56297" spans="65:67" ht="18.75" customHeight="1">
      <c r="BM56297" s="1025"/>
      <c r="BO56297" s="43"/>
    </row>
    <row r="56298" spans="65:67" ht="18.75" customHeight="1">
      <c r="BM56298" s="1025"/>
      <c r="BO56298" s="43"/>
    </row>
    <row r="56299" spans="65:67" ht="18.75" customHeight="1">
      <c r="BM56299" s="1025"/>
      <c r="BO56299" s="43"/>
    </row>
    <row r="56300" spans="65:67" ht="18.75" customHeight="1">
      <c r="BM56300" s="1025"/>
      <c r="BO56300" s="43"/>
    </row>
    <row r="56301" spans="65:67" ht="18.75" customHeight="1">
      <c r="BM56301" s="1025"/>
      <c r="BO56301" s="43"/>
    </row>
    <row r="56302" spans="65:67" ht="18.75" customHeight="1">
      <c r="BM56302" s="1025"/>
      <c r="BO56302" s="43"/>
    </row>
    <row r="56303" spans="65:67" ht="18.75" customHeight="1">
      <c r="BM56303" s="1025"/>
      <c r="BO56303" s="43"/>
    </row>
    <row r="56304" spans="65:67" ht="18.75" customHeight="1">
      <c r="BM56304" s="1025"/>
      <c r="BO56304" s="43"/>
    </row>
    <row r="56305" spans="65:67" ht="18.75" customHeight="1">
      <c r="BM56305" s="1025"/>
      <c r="BO56305" s="43"/>
    </row>
    <row r="56306" spans="65:67" ht="18.75" customHeight="1">
      <c r="BM56306" s="1025"/>
      <c r="BO56306" s="43"/>
    </row>
    <row r="56307" spans="65:67" ht="18.75" customHeight="1">
      <c r="BM56307" s="1025"/>
      <c r="BO56307" s="43"/>
    </row>
    <row r="56308" spans="65:67" ht="18.75" customHeight="1">
      <c r="BM56308" s="1025"/>
      <c r="BO56308" s="43"/>
    </row>
    <row r="56309" spans="65:67" ht="18.75" customHeight="1">
      <c r="BM56309" s="1025"/>
      <c r="BO56309" s="43"/>
    </row>
    <row r="56310" spans="65:67" ht="18.75" customHeight="1">
      <c r="BM56310" s="1025"/>
      <c r="BO56310" s="43"/>
    </row>
    <row r="56311" spans="65:67" ht="18.75" customHeight="1">
      <c r="BM56311" s="1025"/>
      <c r="BO56311" s="43"/>
    </row>
    <row r="56312" spans="65:67" ht="18.75" customHeight="1">
      <c r="BM56312" s="1025"/>
      <c r="BO56312" s="43"/>
    </row>
    <row r="56313" spans="65:67" ht="18.75" customHeight="1">
      <c r="BM56313" s="1025"/>
      <c r="BO56313" s="43"/>
    </row>
    <row r="56314" spans="65:67" ht="18.75" customHeight="1">
      <c r="BM56314" s="1025"/>
      <c r="BO56314" s="43"/>
    </row>
    <row r="56315" spans="65:67" ht="18.75" customHeight="1">
      <c r="BM56315" s="1025"/>
      <c r="BO56315" s="43"/>
    </row>
    <row r="56316" spans="65:67" ht="18.75" customHeight="1">
      <c r="BM56316" s="1025"/>
      <c r="BO56316" s="43"/>
    </row>
    <row r="56317" spans="65:67" ht="18.75" customHeight="1">
      <c r="BM56317" s="1025"/>
      <c r="BO56317" s="43"/>
    </row>
    <row r="56318" spans="65:67" ht="18.75" customHeight="1">
      <c r="BM56318" s="1025"/>
      <c r="BO56318" s="43"/>
    </row>
    <row r="56319" spans="65:67" ht="18.75" customHeight="1">
      <c r="BM56319" s="1025"/>
      <c r="BO56319" s="43"/>
    </row>
    <row r="56320" spans="65:67" ht="18.75" customHeight="1">
      <c r="BM56320" s="1025"/>
      <c r="BO56320" s="43"/>
    </row>
    <row r="56321" spans="65:67" ht="18.75" customHeight="1">
      <c r="BM56321" s="1025"/>
      <c r="BO56321" s="43"/>
    </row>
    <row r="56322" spans="65:67" ht="18.75" customHeight="1">
      <c r="BM56322" s="1025"/>
      <c r="BO56322" s="43"/>
    </row>
    <row r="56323" spans="65:67" ht="18.75" customHeight="1">
      <c r="BM56323" s="1025"/>
      <c r="BO56323" s="43"/>
    </row>
    <row r="56324" spans="65:67" ht="18.75" customHeight="1">
      <c r="BM56324" s="1025"/>
      <c r="BO56324" s="43"/>
    </row>
    <row r="56325" spans="65:67" ht="18.75" customHeight="1">
      <c r="BM56325" s="1025"/>
      <c r="BO56325" s="43"/>
    </row>
    <row r="56326" spans="65:67" ht="18.75" customHeight="1">
      <c r="BM56326" s="1025"/>
      <c r="BO56326" s="43"/>
    </row>
    <row r="56327" spans="65:67" ht="18.75" customHeight="1">
      <c r="BM56327" s="1025"/>
      <c r="BO56327" s="43"/>
    </row>
    <row r="56328" spans="65:67" ht="18.75" customHeight="1">
      <c r="BM56328" s="1025"/>
      <c r="BO56328" s="43"/>
    </row>
    <row r="56329" spans="65:67" ht="18.75" customHeight="1">
      <c r="BM56329" s="1025"/>
      <c r="BO56329" s="43"/>
    </row>
    <row r="56330" spans="65:67" ht="18.75" customHeight="1">
      <c r="BM56330" s="1025"/>
      <c r="BO56330" s="43"/>
    </row>
    <row r="56331" spans="65:67" ht="18.75" customHeight="1">
      <c r="BM56331" s="1025"/>
      <c r="BO56331" s="43"/>
    </row>
    <row r="56332" spans="65:67" ht="18.75" customHeight="1">
      <c r="BM56332" s="1025"/>
      <c r="BO56332" s="43"/>
    </row>
    <row r="56333" spans="65:67" ht="18.75" customHeight="1">
      <c r="BM56333" s="1025"/>
      <c r="BO56333" s="43"/>
    </row>
    <row r="56334" spans="65:67" ht="18.75" customHeight="1">
      <c r="BM56334" s="1025"/>
      <c r="BO56334" s="43"/>
    </row>
    <row r="56335" spans="65:67" ht="18.75" customHeight="1">
      <c r="BM56335" s="1025"/>
      <c r="BO56335" s="43"/>
    </row>
    <row r="56336" spans="65:67" ht="18.75" customHeight="1">
      <c r="BM56336" s="1025"/>
      <c r="BO56336" s="43"/>
    </row>
    <row r="56337" spans="65:67" ht="18.75" customHeight="1">
      <c r="BM56337" s="1025"/>
      <c r="BO56337" s="43"/>
    </row>
    <row r="56338" spans="65:67" ht="18.75" customHeight="1">
      <c r="BM56338" s="1025"/>
      <c r="BO56338" s="43"/>
    </row>
    <row r="56339" spans="65:67" ht="18.75" customHeight="1">
      <c r="BM56339" s="1025"/>
      <c r="BO56339" s="43"/>
    </row>
    <row r="56340" spans="65:67" ht="18.75" customHeight="1">
      <c r="BM56340" s="1025"/>
      <c r="BO56340" s="43"/>
    </row>
    <row r="56341" spans="65:67" ht="18.75" customHeight="1">
      <c r="BM56341" s="1025"/>
      <c r="BO56341" s="43"/>
    </row>
    <row r="56342" spans="65:67" ht="18.75" customHeight="1">
      <c r="BM56342" s="1025"/>
      <c r="BO56342" s="43"/>
    </row>
    <row r="56343" spans="65:67" ht="18.75" customHeight="1">
      <c r="BM56343" s="1025"/>
      <c r="BO56343" s="43"/>
    </row>
    <row r="56344" spans="65:67" ht="18.75" customHeight="1">
      <c r="BM56344" s="1025"/>
      <c r="BO56344" s="43"/>
    </row>
    <row r="56345" spans="65:67" ht="18.75" customHeight="1">
      <c r="BM56345" s="1025"/>
      <c r="BO56345" s="43"/>
    </row>
    <row r="56346" spans="65:67" ht="18.75" customHeight="1">
      <c r="BM56346" s="1025"/>
      <c r="BO56346" s="43"/>
    </row>
    <row r="56347" spans="65:67" ht="18.75" customHeight="1">
      <c r="BM56347" s="1025"/>
      <c r="BO56347" s="43"/>
    </row>
    <row r="56348" spans="65:67" ht="18.75" customHeight="1">
      <c r="BM56348" s="1025"/>
      <c r="BO56348" s="43"/>
    </row>
    <row r="56349" spans="65:67" ht="18.75" customHeight="1">
      <c r="BM56349" s="1025"/>
      <c r="BO56349" s="43"/>
    </row>
    <row r="56350" spans="65:67" ht="18.75" customHeight="1">
      <c r="BM56350" s="1025"/>
      <c r="BO56350" s="43"/>
    </row>
    <row r="56351" spans="65:67" ht="18.75" customHeight="1">
      <c r="BM56351" s="1025"/>
      <c r="BO56351" s="43"/>
    </row>
    <row r="56352" spans="65:67" ht="18.75" customHeight="1">
      <c r="BM56352" s="1025"/>
      <c r="BO56352" s="43"/>
    </row>
    <row r="56353" spans="65:67" ht="18.75" customHeight="1">
      <c r="BM56353" s="1025"/>
      <c r="BO56353" s="43"/>
    </row>
    <row r="56354" spans="65:67" ht="18.75" customHeight="1">
      <c r="BM56354" s="1025"/>
      <c r="BO56354" s="43"/>
    </row>
    <row r="56355" spans="65:67" ht="18.75" customHeight="1">
      <c r="BM56355" s="1025"/>
      <c r="BO56355" s="43"/>
    </row>
    <row r="56356" spans="65:67" ht="18.75" customHeight="1">
      <c r="BM56356" s="1025"/>
      <c r="BO56356" s="43"/>
    </row>
    <row r="56357" spans="65:67" ht="18.75" customHeight="1">
      <c r="BM56357" s="1025"/>
      <c r="BO56357" s="43"/>
    </row>
    <row r="56358" spans="65:67" ht="18.75" customHeight="1">
      <c r="BM56358" s="1025"/>
      <c r="BO56358" s="43"/>
    </row>
    <row r="56359" spans="65:67" ht="18.75" customHeight="1">
      <c r="BM56359" s="1025"/>
      <c r="BO56359" s="43"/>
    </row>
    <row r="56360" spans="65:67" ht="18.75" customHeight="1">
      <c r="BM56360" s="1025"/>
      <c r="BO56360" s="43"/>
    </row>
    <row r="56361" spans="65:67" ht="18.75" customHeight="1">
      <c r="BM56361" s="1025"/>
      <c r="BO56361" s="43"/>
    </row>
    <row r="56362" spans="65:67" ht="18.75" customHeight="1">
      <c r="BM56362" s="1025"/>
      <c r="BO56362" s="43"/>
    </row>
    <row r="56363" spans="65:67" ht="18.75" customHeight="1">
      <c r="BM56363" s="1025"/>
      <c r="BO56363" s="43"/>
    </row>
    <row r="56364" spans="65:67" ht="18.75" customHeight="1">
      <c r="BM56364" s="1025"/>
      <c r="BO56364" s="43"/>
    </row>
    <row r="56365" spans="65:67" ht="18.75" customHeight="1">
      <c r="BM56365" s="1025"/>
      <c r="BO56365" s="43"/>
    </row>
    <row r="56366" spans="65:67" ht="18.75" customHeight="1">
      <c r="BM56366" s="1025"/>
      <c r="BO56366" s="43"/>
    </row>
    <row r="56367" spans="65:67" ht="18.75" customHeight="1">
      <c r="BM56367" s="1025"/>
      <c r="BO56367" s="43"/>
    </row>
    <row r="56368" spans="65:67" ht="18.75" customHeight="1">
      <c r="BM56368" s="1025"/>
      <c r="BO56368" s="43"/>
    </row>
    <row r="56369" spans="65:67" ht="18.75" customHeight="1">
      <c r="BM56369" s="1025"/>
      <c r="BO56369" s="43"/>
    </row>
    <row r="56370" spans="65:67" ht="18.75" customHeight="1">
      <c r="BM56370" s="1025"/>
      <c r="BO56370" s="43"/>
    </row>
    <row r="56371" spans="65:67" ht="18.75" customHeight="1">
      <c r="BM56371" s="1025"/>
      <c r="BO56371" s="43"/>
    </row>
    <row r="56372" spans="65:67" ht="18.75" customHeight="1">
      <c r="BM56372" s="1025"/>
      <c r="BO56372" s="43"/>
    </row>
    <row r="56373" spans="65:67" ht="18.75" customHeight="1">
      <c r="BM56373" s="1025"/>
      <c r="BO56373" s="43"/>
    </row>
    <row r="56374" spans="65:67" ht="18.75" customHeight="1">
      <c r="BM56374" s="1025"/>
      <c r="BO56374" s="43"/>
    </row>
    <row r="56375" spans="65:67" ht="18.75" customHeight="1">
      <c r="BM56375" s="1025"/>
      <c r="BO56375" s="43"/>
    </row>
    <row r="56376" spans="65:67" ht="18.75" customHeight="1">
      <c r="BM56376" s="1025"/>
      <c r="BO56376" s="43"/>
    </row>
    <row r="56377" spans="65:67" ht="18.75" customHeight="1">
      <c r="BM56377" s="1025"/>
      <c r="BO56377" s="43"/>
    </row>
    <row r="56378" spans="65:67" ht="18.75" customHeight="1">
      <c r="BM56378" s="1025"/>
      <c r="BO56378" s="43"/>
    </row>
    <row r="56379" spans="65:67" ht="18.75" customHeight="1">
      <c r="BM56379" s="1025"/>
      <c r="BO56379" s="43"/>
    </row>
    <row r="56380" spans="65:67" ht="18.75" customHeight="1">
      <c r="BM56380" s="1025"/>
      <c r="BO56380" s="43"/>
    </row>
    <row r="56381" spans="65:67" ht="18.75" customHeight="1">
      <c r="BM56381" s="1025"/>
      <c r="BO56381" s="43"/>
    </row>
    <row r="56382" spans="65:67" ht="18.75" customHeight="1">
      <c r="BM56382" s="1025"/>
      <c r="BO56382" s="43"/>
    </row>
    <row r="56383" spans="65:67" ht="18.75" customHeight="1">
      <c r="BM56383" s="1025"/>
      <c r="BO56383" s="43"/>
    </row>
    <row r="56384" spans="65:67" ht="18.75" customHeight="1">
      <c r="BM56384" s="1025"/>
      <c r="BO56384" s="43"/>
    </row>
    <row r="56385" spans="65:67" ht="18.75" customHeight="1">
      <c r="BM56385" s="1025"/>
      <c r="BO56385" s="43"/>
    </row>
    <row r="56386" spans="65:67" ht="18.75" customHeight="1">
      <c r="BM56386" s="1025"/>
      <c r="BO56386" s="43"/>
    </row>
    <row r="56387" spans="65:67" ht="18.75" customHeight="1">
      <c r="BM56387" s="1025"/>
      <c r="BO56387" s="43"/>
    </row>
    <row r="56388" spans="65:67" ht="18.75" customHeight="1">
      <c r="BM56388" s="1025"/>
      <c r="BO56388" s="43"/>
    </row>
    <row r="56389" spans="65:67" ht="18.75" customHeight="1">
      <c r="BM56389" s="1025"/>
      <c r="BO56389" s="43"/>
    </row>
    <row r="56390" spans="65:67" ht="18.75" customHeight="1">
      <c r="BM56390" s="1025"/>
      <c r="BO56390" s="43"/>
    </row>
    <row r="56391" spans="65:67" ht="18.75" customHeight="1">
      <c r="BM56391" s="1025"/>
      <c r="BO56391" s="43"/>
    </row>
    <row r="56392" spans="65:67" ht="18.75" customHeight="1">
      <c r="BM56392" s="1025"/>
      <c r="BO56392" s="43"/>
    </row>
    <row r="56393" spans="65:67" ht="18.75" customHeight="1">
      <c r="BM56393" s="1025"/>
      <c r="BO56393" s="43"/>
    </row>
    <row r="56394" spans="65:67" ht="18.75" customHeight="1">
      <c r="BM56394" s="1025"/>
      <c r="BO56394" s="43"/>
    </row>
    <row r="56395" spans="65:67" ht="18.75" customHeight="1">
      <c r="BM56395" s="1025"/>
      <c r="BO56395" s="43"/>
    </row>
    <row r="56396" spans="65:67" ht="18.75" customHeight="1">
      <c r="BM56396" s="1025"/>
      <c r="BO56396" s="43"/>
    </row>
    <row r="56397" spans="65:67" ht="18.75" customHeight="1">
      <c r="BM56397" s="1025"/>
      <c r="BO56397" s="43"/>
    </row>
    <row r="56398" spans="65:67" ht="18.75" customHeight="1">
      <c r="BM56398" s="1025"/>
      <c r="BO56398" s="43"/>
    </row>
    <row r="56399" spans="65:67" ht="18.75" customHeight="1">
      <c r="BM56399" s="1025"/>
      <c r="BO56399" s="43"/>
    </row>
    <row r="56400" spans="65:67" ht="18.75" customHeight="1">
      <c r="BM56400" s="1025"/>
      <c r="BO56400" s="43"/>
    </row>
    <row r="56401" spans="65:67" ht="18.75" customHeight="1">
      <c r="BM56401" s="1025"/>
      <c r="BO56401" s="43"/>
    </row>
    <row r="56402" spans="65:67" ht="18.75" customHeight="1">
      <c r="BM56402" s="1025"/>
      <c r="BO56402" s="43"/>
    </row>
    <row r="56403" spans="65:67" ht="18.75" customHeight="1">
      <c r="BM56403" s="1025"/>
      <c r="BO56403" s="43"/>
    </row>
    <row r="56404" spans="65:67" ht="18.75" customHeight="1">
      <c r="BM56404" s="1025"/>
      <c r="BO56404" s="43"/>
    </row>
    <row r="56405" spans="65:67" ht="18.75" customHeight="1">
      <c r="BM56405" s="1025"/>
      <c r="BO56405" s="43"/>
    </row>
    <row r="56406" spans="65:67" ht="18.75" customHeight="1">
      <c r="BM56406" s="1025"/>
      <c r="BO56406" s="43"/>
    </row>
    <row r="56407" spans="65:67" ht="18.75" customHeight="1">
      <c r="BM56407" s="1025"/>
      <c r="BO56407" s="43"/>
    </row>
    <row r="56408" spans="65:67" ht="18.75" customHeight="1">
      <c r="BM56408" s="1025"/>
      <c r="BO56408" s="43"/>
    </row>
    <row r="56409" spans="65:67" ht="18.75" customHeight="1">
      <c r="BM56409" s="1025"/>
      <c r="BO56409" s="43"/>
    </row>
    <row r="56410" spans="65:67" ht="18.75" customHeight="1">
      <c r="BM56410" s="1025"/>
      <c r="BO56410" s="43"/>
    </row>
    <row r="56411" spans="65:67" ht="18.75" customHeight="1">
      <c r="BM56411" s="1025"/>
      <c r="BO56411" s="43"/>
    </row>
    <row r="56412" spans="65:67" ht="18.75" customHeight="1">
      <c r="BM56412" s="1025"/>
      <c r="BO56412" s="43"/>
    </row>
    <row r="56413" spans="65:67" ht="18.75" customHeight="1">
      <c r="BM56413" s="1025"/>
      <c r="BO56413" s="43"/>
    </row>
    <row r="56414" spans="65:67" ht="18.75" customHeight="1">
      <c r="BM56414" s="1025"/>
      <c r="BO56414" s="43"/>
    </row>
    <row r="56415" spans="65:67" ht="18.75" customHeight="1">
      <c r="BM56415" s="1025"/>
      <c r="BO56415" s="43"/>
    </row>
    <row r="56416" spans="65:67" ht="18.75" customHeight="1">
      <c r="BM56416" s="1025"/>
      <c r="BO56416" s="43"/>
    </row>
    <row r="56417" spans="65:67" ht="18.75" customHeight="1">
      <c r="BM56417" s="1025"/>
      <c r="BO56417" s="43"/>
    </row>
    <row r="56418" spans="65:67" ht="18.75" customHeight="1">
      <c r="BM56418" s="1025"/>
      <c r="BO56418" s="43"/>
    </row>
    <row r="56419" spans="65:67" ht="18.75" customHeight="1">
      <c r="BM56419" s="1025"/>
      <c r="BO56419" s="43"/>
    </row>
    <row r="56420" spans="65:67" ht="18.75" customHeight="1">
      <c r="BM56420" s="1025"/>
      <c r="BO56420" s="43"/>
    </row>
    <row r="56421" spans="65:67" ht="18.75" customHeight="1">
      <c r="BM56421" s="1025"/>
      <c r="BO56421" s="43"/>
    </row>
    <row r="56422" spans="65:67" ht="18.75" customHeight="1">
      <c r="BM56422" s="1025"/>
      <c r="BO56422" s="43"/>
    </row>
    <row r="56423" spans="65:67" ht="18.75" customHeight="1">
      <c r="BM56423" s="1025"/>
      <c r="BO56423" s="43"/>
    </row>
    <row r="56424" spans="65:67" ht="18.75" customHeight="1">
      <c r="BM56424" s="1025"/>
      <c r="BO56424" s="43"/>
    </row>
    <row r="56425" spans="65:67" ht="18.75" customHeight="1">
      <c r="BM56425" s="1025"/>
      <c r="BO56425" s="43"/>
    </row>
    <row r="56426" spans="65:67" ht="18.75" customHeight="1">
      <c r="BM56426" s="1025"/>
      <c r="BO56426" s="43"/>
    </row>
    <row r="56427" spans="65:67" ht="18.75" customHeight="1">
      <c r="BM56427" s="1025"/>
      <c r="BO56427" s="43"/>
    </row>
    <row r="56428" spans="65:67" ht="18.75" customHeight="1">
      <c r="BM56428" s="1025"/>
      <c r="BO56428" s="43"/>
    </row>
    <row r="56429" spans="65:67" ht="18.75" customHeight="1">
      <c r="BM56429" s="1025"/>
      <c r="BO56429" s="43"/>
    </row>
    <row r="56430" spans="65:67" ht="18.75" customHeight="1">
      <c r="BM56430" s="1025"/>
      <c r="BO56430" s="43"/>
    </row>
    <row r="56431" spans="65:67" ht="18.75" customHeight="1">
      <c r="BM56431" s="1025"/>
      <c r="BO56431" s="43"/>
    </row>
    <row r="56432" spans="65:67" ht="18.75" customHeight="1">
      <c r="BM56432" s="1025"/>
      <c r="BO56432" s="43"/>
    </row>
    <row r="56433" spans="65:67" ht="18.75" customHeight="1">
      <c r="BM56433" s="1025"/>
      <c r="BO56433" s="43"/>
    </row>
    <row r="56434" spans="65:67" ht="18.75" customHeight="1">
      <c r="BM56434" s="1025"/>
      <c r="BO56434" s="43"/>
    </row>
    <row r="56435" spans="65:67" ht="18.75" customHeight="1">
      <c r="BM56435" s="1025"/>
      <c r="BO56435" s="43"/>
    </row>
    <row r="56436" spans="65:67" ht="18.75" customHeight="1">
      <c r="BM56436" s="1025"/>
      <c r="BO56436" s="43"/>
    </row>
    <row r="56437" spans="65:67" ht="18.75" customHeight="1">
      <c r="BM56437" s="1025"/>
      <c r="BO56437" s="43"/>
    </row>
    <row r="56438" spans="65:67" ht="18.75" customHeight="1">
      <c r="BM56438" s="1025"/>
      <c r="BO56438" s="43"/>
    </row>
    <row r="56439" spans="65:67" ht="18.75" customHeight="1">
      <c r="BM56439" s="1025"/>
      <c r="BO56439" s="43"/>
    </row>
    <row r="56440" spans="65:67" ht="18.75" customHeight="1">
      <c r="BM56440" s="1025"/>
      <c r="BO56440" s="43"/>
    </row>
    <row r="56441" spans="65:67" ht="18.75" customHeight="1">
      <c r="BM56441" s="1025"/>
      <c r="BO56441" s="43"/>
    </row>
    <row r="56442" spans="65:67" ht="18.75" customHeight="1">
      <c r="BM56442" s="1025"/>
      <c r="BO56442" s="43"/>
    </row>
    <row r="56443" spans="65:67" ht="18.75" customHeight="1">
      <c r="BM56443" s="1025"/>
      <c r="BO56443" s="43"/>
    </row>
    <row r="56444" spans="65:67" ht="18.75" customHeight="1">
      <c r="BM56444" s="1025"/>
      <c r="BO56444" s="43"/>
    </row>
    <row r="56445" spans="65:67" ht="18.75" customHeight="1">
      <c r="BM56445" s="1025"/>
      <c r="BO56445" s="43"/>
    </row>
    <row r="56446" spans="65:67" ht="18.75" customHeight="1">
      <c r="BM56446" s="1025"/>
      <c r="BO56446" s="43"/>
    </row>
    <row r="56447" spans="65:67" ht="18.75" customHeight="1">
      <c r="BM56447" s="1025"/>
      <c r="BO56447" s="43"/>
    </row>
    <row r="56448" spans="65:67" ht="18.75" customHeight="1">
      <c r="BM56448" s="1025"/>
      <c r="BO56448" s="43"/>
    </row>
    <row r="56449" spans="65:67" ht="18.75" customHeight="1">
      <c r="BM56449" s="1025"/>
      <c r="BO56449" s="43"/>
    </row>
    <row r="56450" spans="65:67" ht="18.75" customHeight="1">
      <c r="BM56450" s="1025"/>
      <c r="BO56450" s="43"/>
    </row>
    <row r="56451" spans="65:67" ht="18.75" customHeight="1">
      <c r="BM56451" s="1025"/>
      <c r="BO56451" s="43"/>
    </row>
    <row r="56452" spans="65:67" ht="18.75" customHeight="1">
      <c r="BM56452" s="1025"/>
      <c r="BO56452" s="43"/>
    </row>
    <row r="56453" spans="65:67" ht="18.75" customHeight="1">
      <c r="BM56453" s="1025"/>
      <c r="BO56453" s="43"/>
    </row>
    <row r="56454" spans="65:67" ht="18.75" customHeight="1">
      <c r="BM56454" s="1025"/>
      <c r="BO56454" s="43"/>
    </row>
    <row r="56455" spans="65:67" ht="18.75" customHeight="1">
      <c r="BM56455" s="1025"/>
      <c r="BO56455" s="43"/>
    </row>
    <row r="56456" spans="65:67" ht="18.75" customHeight="1">
      <c r="BM56456" s="1025"/>
      <c r="BO56456" s="43"/>
    </row>
    <row r="56457" spans="65:67" ht="18.75" customHeight="1">
      <c r="BM56457" s="1025"/>
      <c r="BO56457" s="43"/>
    </row>
    <row r="56458" spans="65:67" ht="18.75" customHeight="1">
      <c r="BM56458" s="1025"/>
      <c r="BO56458" s="43"/>
    </row>
    <row r="56459" spans="65:67" ht="18.75" customHeight="1">
      <c r="BM56459" s="1025"/>
      <c r="BO56459" s="43"/>
    </row>
    <row r="56460" spans="65:67" ht="18.75" customHeight="1">
      <c r="BM56460" s="1025"/>
      <c r="BO56460" s="43"/>
    </row>
    <row r="56461" spans="65:67" ht="18.75" customHeight="1">
      <c r="BM56461" s="1025"/>
      <c r="BO56461" s="43"/>
    </row>
    <row r="56462" spans="65:67" ht="18.75" customHeight="1">
      <c r="BM56462" s="1025"/>
      <c r="BO56462" s="43"/>
    </row>
    <row r="56463" spans="65:67" ht="18.75" customHeight="1">
      <c r="BM56463" s="1025"/>
      <c r="BO56463" s="43"/>
    </row>
    <row r="56464" spans="65:67" ht="18.75" customHeight="1">
      <c r="BM56464" s="1025"/>
      <c r="BO56464" s="43"/>
    </row>
    <row r="56465" spans="65:67" ht="18.75" customHeight="1">
      <c r="BM56465" s="1025"/>
      <c r="BO56465" s="43"/>
    </row>
    <row r="56466" spans="65:67" ht="18.75" customHeight="1">
      <c r="BM56466" s="1025"/>
      <c r="BO56466" s="43"/>
    </row>
    <row r="56467" spans="65:67" ht="18.75" customHeight="1">
      <c r="BM56467" s="1025"/>
      <c r="BO56467" s="43"/>
    </row>
    <row r="56468" spans="65:67" ht="18.75" customHeight="1">
      <c r="BM56468" s="1025"/>
      <c r="BO56468" s="43"/>
    </row>
    <row r="56469" spans="65:67" ht="18.75" customHeight="1">
      <c r="BM56469" s="1025"/>
      <c r="BO56469" s="43"/>
    </row>
    <row r="56470" spans="65:67" ht="18.75" customHeight="1">
      <c r="BM56470" s="1025"/>
      <c r="BO56470" s="43"/>
    </row>
    <row r="56471" spans="65:67" ht="18.75" customHeight="1">
      <c r="BM56471" s="1025"/>
      <c r="BO56471" s="43"/>
    </row>
    <row r="56472" spans="65:67" ht="18.75" customHeight="1">
      <c r="BM56472" s="1025"/>
      <c r="BO56472" s="43"/>
    </row>
    <row r="56473" spans="65:67" ht="18.75" customHeight="1">
      <c r="BM56473" s="1025"/>
      <c r="BO56473" s="43"/>
    </row>
    <row r="56474" spans="65:67" ht="18.75" customHeight="1">
      <c r="BM56474" s="1025"/>
      <c r="BO56474" s="43"/>
    </row>
    <row r="56475" spans="65:67" ht="18.75" customHeight="1">
      <c r="BM56475" s="1025"/>
      <c r="BO56475" s="43"/>
    </row>
    <row r="56476" spans="65:67" ht="18.75" customHeight="1">
      <c r="BM56476" s="1025"/>
      <c r="BO56476" s="43"/>
    </row>
    <row r="56477" spans="65:67" ht="18.75" customHeight="1">
      <c r="BM56477" s="1025"/>
      <c r="BO56477" s="43"/>
    </row>
    <row r="56478" spans="65:67" ht="18.75" customHeight="1">
      <c r="BM56478" s="1025"/>
      <c r="BO56478" s="43"/>
    </row>
    <row r="56479" spans="65:67" ht="18.75" customHeight="1">
      <c r="BM56479" s="1025"/>
      <c r="BO56479" s="43"/>
    </row>
    <row r="56480" spans="65:67" ht="18.75" customHeight="1">
      <c r="BM56480" s="1025"/>
      <c r="BO56480" s="43"/>
    </row>
    <row r="56481" spans="65:67" ht="18.75" customHeight="1">
      <c r="BM56481" s="1025"/>
      <c r="BO56481" s="43"/>
    </row>
    <row r="56482" spans="65:67" ht="18.75" customHeight="1">
      <c r="BM56482" s="1025"/>
      <c r="BO56482" s="43"/>
    </row>
    <row r="56483" spans="65:67" ht="18.75" customHeight="1">
      <c r="BM56483" s="1025"/>
      <c r="BO56483" s="43"/>
    </row>
    <row r="56484" spans="65:67" ht="18.75" customHeight="1">
      <c r="BM56484" s="1025"/>
      <c r="BO56484" s="43"/>
    </row>
    <row r="56485" spans="65:67" ht="18.75" customHeight="1">
      <c r="BM56485" s="1025"/>
      <c r="BO56485" s="43"/>
    </row>
    <row r="56486" spans="65:67" ht="18.75" customHeight="1">
      <c r="BM56486" s="1025"/>
      <c r="BO56486" s="43"/>
    </row>
    <row r="56487" spans="65:67" ht="18.75" customHeight="1">
      <c r="BM56487" s="1025"/>
      <c r="BO56487" s="43"/>
    </row>
    <row r="56488" spans="65:67" ht="18.75" customHeight="1">
      <c r="BM56488" s="1025"/>
      <c r="BO56488" s="43"/>
    </row>
    <row r="56489" spans="65:67" ht="18.75" customHeight="1">
      <c r="BM56489" s="1025"/>
      <c r="BO56489" s="43"/>
    </row>
    <row r="56490" spans="65:67" ht="18.75" customHeight="1">
      <c r="BM56490" s="1025"/>
      <c r="BO56490" s="43"/>
    </row>
    <row r="56491" spans="65:67" ht="18.75" customHeight="1">
      <c r="BM56491" s="1025"/>
      <c r="BO56491" s="43"/>
    </row>
    <row r="56492" spans="65:67" ht="18.75" customHeight="1">
      <c r="BM56492" s="1025"/>
      <c r="BO56492" s="43"/>
    </row>
    <row r="56493" spans="65:67" ht="18.75" customHeight="1">
      <c r="BM56493" s="1025"/>
      <c r="BO56493" s="43"/>
    </row>
    <row r="56494" spans="65:67" ht="18.75" customHeight="1">
      <c r="BM56494" s="1025"/>
      <c r="BO56494" s="43"/>
    </row>
    <row r="56495" spans="65:67" ht="18.75" customHeight="1">
      <c r="BM56495" s="1025"/>
      <c r="BO56495" s="43"/>
    </row>
    <row r="56496" spans="65:67" ht="18.75" customHeight="1">
      <c r="BM56496" s="1025"/>
      <c r="BO56496" s="43"/>
    </row>
    <row r="56497" spans="65:67" ht="18.75" customHeight="1">
      <c r="BM56497" s="1025"/>
      <c r="BO56497" s="43"/>
    </row>
    <row r="56498" spans="65:67" ht="18.75" customHeight="1">
      <c r="BM56498" s="1025"/>
      <c r="BO56498" s="43"/>
    </row>
    <row r="56499" spans="65:67" ht="18.75" customHeight="1">
      <c r="BM56499" s="1025"/>
      <c r="BO56499" s="43"/>
    </row>
    <row r="56500" spans="65:67" ht="18.75" customHeight="1">
      <c r="BM56500" s="1025"/>
      <c r="BO56500" s="43"/>
    </row>
    <row r="56501" spans="65:67" ht="18.75" customHeight="1">
      <c r="BM56501" s="1025"/>
      <c r="BO56501" s="43"/>
    </row>
    <row r="56502" spans="65:67" ht="18.75" customHeight="1">
      <c r="BM56502" s="1025"/>
      <c r="BO56502" s="43"/>
    </row>
    <row r="56503" spans="65:67" ht="18.75" customHeight="1">
      <c r="BM56503" s="1025"/>
      <c r="BO56503" s="43"/>
    </row>
    <row r="56504" spans="65:67" ht="18.75" customHeight="1">
      <c r="BM56504" s="1025"/>
      <c r="BO56504" s="43"/>
    </row>
    <row r="56505" spans="65:67" ht="18.75" customHeight="1">
      <c r="BM56505" s="1025"/>
      <c r="BO56505" s="43"/>
    </row>
    <row r="56506" spans="65:67" ht="18.75" customHeight="1">
      <c r="BM56506" s="1025"/>
      <c r="BO56506" s="43"/>
    </row>
    <row r="56507" spans="65:67" ht="18.75" customHeight="1">
      <c r="BM56507" s="1025"/>
      <c r="BO56507" s="43"/>
    </row>
    <row r="56508" spans="65:67" ht="18.75" customHeight="1">
      <c r="BM56508" s="1025"/>
      <c r="BO56508" s="43"/>
    </row>
    <row r="56509" spans="65:67" ht="18.75" customHeight="1">
      <c r="BM56509" s="1025"/>
      <c r="BO56509" s="43"/>
    </row>
    <row r="56510" spans="65:67" ht="18.75" customHeight="1">
      <c r="BM56510" s="1025"/>
      <c r="BO56510" s="43"/>
    </row>
    <row r="56511" spans="65:67" ht="18.75" customHeight="1">
      <c r="BM56511" s="1025"/>
      <c r="BO56511" s="43"/>
    </row>
    <row r="56512" spans="65:67" ht="18.75" customHeight="1">
      <c r="BM56512" s="1025"/>
      <c r="BO56512" s="43"/>
    </row>
    <row r="56513" spans="65:67" ht="18.75" customHeight="1">
      <c r="BM56513" s="1025"/>
      <c r="BO56513" s="43"/>
    </row>
    <row r="56514" spans="65:67" ht="18.75" customHeight="1">
      <c r="BM56514" s="1025"/>
      <c r="BO56514" s="43"/>
    </row>
    <row r="56515" spans="65:67" ht="18.75" customHeight="1">
      <c r="BM56515" s="1025"/>
      <c r="BO56515" s="43"/>
    </row>
    <row r="56516" spans="65:67" ht="18.75" customHeight="1">
      <c r="BM56516" s="1025"/>
      <c r="BO56516" s="43"/>
    </row>
    <row r="56517" spans="65:67" ht="18.75" customHeight="1">
      <c r="BM56517" s="1025"/>
      <c r="BO56517" s="43"/>
    </row>
    <row r="56518" spans="65:67" ht="18.75" customHeight="1">
      <c r="BM56518" s="1025"/>
      <c r="BO56518" s="43"/>
    </row>
    <row r="56519" spans="65:67" ht="18.75" customHeight="1">
      <c r="BM56519" s="1025"/>
      <c r="BO56519" s="43"/>
    </row>
    <row r="56520" spans="65:67" ht="18.75" customHeight="1">
      <c r="BM56520" s="1025"/>
      <c r="BO56520" s="43"/>
    </row>
    <row r="56521" spans="65:67" ht="18.75" customHeight="1">
      <c r="BM56521" s="1025"/>
      <c r="BO56521" s="43"/>
    </row>
    <row r="56522" spans="65:67" ht="18.75" customHeight="1">
      <c r="BM56522" s="1025"/>
      <c r="BO56522" s="43"/>
    </row>
    <row r="56523" spans="65:67" ht="18.75" customHeight="1">
      <c r="BM56523" s="1025"/>
      <c r="BO56523" s="43"/>
    </row>
    <row r="56524" spans="65:67" ht="18.75" customHeight="1">
      <c r="BM56524" s="1025"/>
      <c r="BO56524" s="43"/>
    </row>
    <row r="56525" spans="65:67" ht="18.75" customHeight="1">
      <c r="BM56525" s="1025"/>
      <c r="BO56525" s="43"/>
    </row>
    <row r="56526" spans="65:67" ht="18.75" customHeight="1">
      <c r="BM56526" s="1025"/>
      <c r="BO56526" s="43"/>
    </row>
    <row r="56527" spans="65:67" ht="18.75" customHeight="1">
      <c r="BM56527" s="1025"/>
      <c r="BO56527" s="43"/>
    </row>
    <row r="56528" spans="65:67" ht="18.75" customHeight="1">
      <c r="BM56528" s="1025"/>
      <c r="BO56528" s="43"/>
    </row>
    <row r="56529" spans="65:67" ht="18.75" customHeight="1">
      <c r="BM56529" s="1025"/>
      <c r="BO56529" s="43"/>
    </row>
    <row r="56530" spans="65:67" ht="18.75" customHeight="1">
      <c r="BM56530" s="1025"/>
      <c r="BO56530" s="43"/>
    </row>
    <row r="56531" spans="65:67" ht="18.75" customHeight="1">
      <c r="BM56531" s="1025"/>
      <c r="BO56531" s="43"/>
    </row>
    <row r="56532" spans="65:67" ht="18.75" customHeight="1">
      <c r="BM56532" s="1025"/>
      <c r="BO56532" s="43"/>
    </row>
    <row r="56533" spans="65:67" ht="18.75" customHeight="1">
      <c r="BM56533" s="1025"/>
      <c r="BO56533" s="43"/>
    </row>
    <row r="56534" spans="65:67" ht="18.75" customHeight="1">
      <c r="BM56534" s="1025"/>
      <c r="BO56534" s="43"/>
    </row>
    <row r="56535" spans="65:67" ht="18.75" customHeight="1">
      <c r="BM56535" s="1025"/>
      <c r="BO56535" s="43"/>
    </row>
    <row r="56536" spans="65:67" ht="18.75" customHeight="1">
      <c r="BM56536" s="1025"/>
      <c r="BO56536" s="43"/>
    </row>
    <row r="56537" spans="65:67" ht="18.75" customHeight="1">
      <c r="BM56537" s="1025"/>
      <c r="BO56537" s="43"/>
    </row>
    <row r="56538" spans="65:67" ht="18.75" customHeight="1">
      <c r="BM56538" s="1025"/>
      <c r="BO56538" s="43"/>
    </row>
    <row r="56539" spans="65:67" ht="18.75" customHeight="1">
      <c r="BM56539" s="1025"/>
      <c r="BO56539" s="43"/>
    </row>
    <row r="56540" spans="65:67" ht="18.75" customHeight="1">
      <c r="BM56540" s="1025"/>
      <c r="BO56540" s="43"/>
    </row>
    <row r="56541" spans="65:67" ht="18.75" customHeight="1">
      <c r="BM56541" s="1025"/>
      <c r="BO56541" s="43"/>
    </row>
    <row r="56542" spans="65:67" ht="18.75" customHeight="1">
      <c r="BM56542" s="1025"/>
      <c r="BO56542" s="43"/>
    </row>
    <row r="56543" spans="65:67" ht="18.75" customHeight="1">
      <c r="BM56543" s="1025"/>
      <c r="BO56543" s="43"/>
    </row>
    <row r="56544" spans="65:67" ht="18.75" customHeight="1">
      <c r="BM56544" s="1025"/>
      <c r="BO56544" s="43"/>
    </row>
    <row r="56545" spans="65:67" ht="18.75" customHeight="1">
      <c r="BM56545" s="1025"/>
      <c r="BO56545" s="43"/>
    </row>
    <row r="56546" spans="65:67" ht="18.75" customHeight="1">
      <c r="BM56546" s="1025"/>
      <c r="BO56546" s="43"/>
    </row>
    <row r="56547" spans="65:67" ht="18.75" customHeight="1">
      <c r="BM56547" s="1025"/>
      <c r="BO56547" s="43"/>
    </row>
    <row r="56548" spans="65:67" ht="18.75" customHeight="1">
      <c r="BM56548" s="1025"/>
      <c r="BO56548" s="43"/>
    </row>
    <row r="56549" spans="65:67" ht="18.75" customHeight="1">
      <c r="BM56549" s="1025"/>
      <c r="BO56549" s="43"/>
    </row>
    <row r="56550" spans="65:67" ht="18.75" customHeight="1">
      <c r="BM56550" s="1025"/>
      <c r="BO56550" s="43"/>
    </row>
    <row r="56551" spans="65:67" ht="18.75" customHeight="1">
      <c r="BM56551" s="1025"/>
      <c r="BO56551" s="43"/>
    </row>
    <row r="56552" spans="65:67" ht="18.75" customHeight="1">
      <c r="BM56552" s="1025"/>
      <c r="BO56552" s="43"/>
    </row>
    <row r="56553" spans="65:67" ht="18.75" customHeight="1">
      <c r="BM56553" s="1025"/>
      <c r="BO56553" s="43"/>
    </row>
    <row r="56554" spans="65:67" ht="18.75" customHeight="1">
      <c r="BM56554" s="1025"/>
      <c r="BO56554" s="43"/>
    </row>
    <row r="56555" spans="65:67" ht="18.75" customHeight="1">
      <c r="BM56555" s="1025"/>
      <c r="BO56555" s="43"/>
    </row>
    <row r="56556" spans="65:67" ht="18.75" customHeight="1">
      <c r="BM56556" s="1025"/>
      <c r="BO56556" s="43"/>
    </row>
    <row r="56557" spans="65:67" ht="18.75" customHeight="1">
      <c r="BM56557" s="1025"/>
      <c r="BO56557" s="43"/>
    </row>
    <row r="56558" spans="65:67" ht="18.75" customHeight="1">
      <c r="BM56558" s="1025"/>
      <c r="BO56558" s="43"/>
    </row>
    <row r="56559" spans="65:67" ht="18.75" customHeight="1">
      <c r="BM56559" s="1025"/>
      <c r="BO56559" s="43"/>
    </row>
    <row r="56560" spans="65:67" ht="18.75" customHeight="1">
      <c r="BM56560" s="1025"/>
      <c r="BO56560" s="43"/>
    </row>
    <row r="56561" spans="65:67" ht="18.75" customHeight="1">
      <c r="BM56561" s="1025"/>
      <c r="BO56561" s="43"/>
    </row>
    <row r="56562" spans="65:67" ht="18.75" customHeight="1">
      <c r="BM56562" s="1025"/>
      <c r="BO56562" s="43"/>
    </row>
    <row r="56563" spans="65:67" ht="18.75" customHeight="1">
      <c r="BM56563" s="1025"/>
      <c r="BO56563" s="43"/>
    </row>
    <row r="56564" spans="65:67" ht="18.75" customHeight="1">
      <c r="BM56564" s="1025"/>
      <c r="BO56564" s="43"/>
    </row>
    <row r="56565" spans="65:67" ht="18.75" customHeight="1">
      <c r="BM56565" s="1025"/>
      <c r="BO56565" s="43"/>
    </row>
    <row r="56566" spans="65:67" ht="18.75" customHeight="1">
      <c r="BM56566" s="1025"/>
      <c r="BO56566" s="43"/>
    </row>
    <row r="56567" spans="65:67" ht="18.75" customHeight="1">
      <c r="BM56567" s="1025"/>
      <c r="BO56567" s="43"/>
    </row>
    <row r="56568" spans="65:67" ht="18.75" customHeight="1">
      <c r="BM56568" s="1025"/>
      <c r="BO56568" s="43"/>
    </row>
    <row r="56569" spans="65:67" ht="18.75" customHeight="1">
      <c r="BM56569" s="1025"/>
      <c r="BO56569" s="43"/>
    </row>
    <row r="56570" spans="65:67" ht="18.75" customHeight="1">
      <c r="BM56570" s="1025"/>
      <c r="BO56570" s="43"/>
    </row>
    <row r="56571" spans="65:67" ht="18.75" customHeight="1">
      <c r="BM56571" s="1025"/>
      <c r="BO56571" s="43"/>
    </row>
    <row r="56572" spans="65:67" ht="18.75" customHeight="1">
      <c r="BM56572" s="1025"/>
      <c r="BO56572" s="43"/>
    </row>
    <row r="56573" spans="65:67" ht="18.75" customHeight="1">
      <c r="BM56573" s="1025"/>
      <c r="BO56573" s="43"/>
    </row>
    <row r="56574" spans="65:67" ht="18.75" customHeight="1">
      <c r="BM56574" s="1025"/>
      <c r="BO56574" s="43"/>
    </row>
    <row r="56575" spans="65:67" ht="18.75" customHeight="1">
      <c r="BM56575" s="1025"/>
      <c r="BO56575" s="43"/>
    </row>
    <row r="56576" spans="65:67" ht="18.75" customHeight="1">
      <c r="BM56576" s="1025"/>
      <c r="BO56576" s="43"/>
    </row>
    <row r="56577" spans="65:67" ht="18.75" customHeight="1">
      <c r="BM56577" s="1025"/>
      <c r="BO56577" s="43"/>
    </row>
    <row r="56578" spans="65:67" ht="18.75" customHeight="1">
      <c r="BM56578" s="1025"/>
      <c r="BO56578" s="43"/>
    </row>
    <row r="56579" spans="65:67" ht="18.75" customHeight="1">
      <c r="BM56579" s="1025"/>
      <c r="BO56579" s="43"/>
    </row>
    <row r="56580" spans="65:67" ht="18.75" customHeight="1">
      <c r="BM56580" s="1025"/>
      <c r="BO56580" s="43"/>
    </row>
    <row r="56581" spans="65:67" ht="18.75" customHeight="1">
      <c r="BM56581" s="1025"/>
      <c r="BO56581" s="43"/>
    </row>
    <row r="56582" spans="65:67" ht="18.75" customHeight="1">
      <c r="BM56582" s="1025"/>
      <c r="BO56582" s="43"/>
    </row>
    <row r="56583" spans="65:67" ht="18.75" customHeight="1">
      <c r="BM56583" s="1025"/>
      <c r="BO56583" s="43"/>
    </row>
    <row r="56584" spans="65:67" ht="18.75" customHeight="1">
      <c r="BM56584" s="1025"/>
      <c r="BO56584" s="43"/>
    </row>
    <row r="56585" spans="65:67" ht="18.75" customHeight="1">
      <c r="BM56585" s="1025"/>
      <c r="BO56585" s="43"/>
    </row>
    <row r="56586" spans="65:67" ht="18.75" customHeight="1">
      <c r="BM56586" s="1025"/>
      <c r="BO56586" s="43"/>
    </row>
    <row r="56587" spans="65:67" ht="18.75" customHeight="1">
      <c r="BM56587" s="1025"/>
      <c r="BO56587" s="43"/>
    </row>
    <row r="56588" spans="65:67" ht="18.75" customHeight="1">
      <c r="BM56588" s="1025"/>
      <c r="BO56588" s="43"/>
    </row>
    <row r="56589" spans="65:67" ht="18.75" customHeight="1">
      <c r="BM56589" s="1025"/>
      <c r="BO56589" s="43"/>
    </row>
    <row r="56590" spans="65:67" ht="18.75" customHeight="1">
      <c r="BM56590" s="1025"/>
      <c r="BO56590" s="43"/>
    </row>
    <row r="56591" spans="65:67" ht="18.75" customHeight="1">
      <c r="BM56591" s="1025"/>
      <c r="BO56591" s="43"/>
    </row>
    <row r="56592" spans="65:67" ht="18.75" customHeight="1">
      <c r="BM56592" s="1025"/>
      <c r="BO56592" s="43"/>
    </row>
    <row r="56593" spans="65:67" ht="18.75" customHeight="1">
      <c r="BM56593" s="1025"/>
      <c r="BO56593" s="43"/>
    </row>
    <row r="56594" spans="65:67" ht="18.75" customHeight="1">
      <c r="BM56594" s="1025"/>
      <c r="BO56594" s="43"/>
    </row>
    <row r="56595" spans="65:67" ht="18.75" customHeight="1">
      <c r="BM56595" s="1025"/>
      <c r="BO56595" s="43"/>
    </row>
    <row r="56596" spans="65:67" ht="18.75" customHeight="1">
      <c r="BM56596" s="1025"/>
      <c r="BO56596" s="43"/>
    </row>
    <row r="56597" spans="65:67" ht="18.75" customHeight="1">
      <c r="BM56597" s="1025"/>
      <c r="BO56597" s="43"/>
    </row>
    <row r="56598" spans="65:67" ht="18.75" customHeight="1">
      <c r="BM56598" s="1025"/>
      <c r="BO56598" s="43"/>
    </row>
    <row r="56599" spans="65:67" ht="18.75" customHeight="1">
      <c r="BM56599" s="1025"/>
      <c r="BO56599" s="43"/>
    </row>
    <row r="56600" spans="65:67" ht="18.75" customHeight="1">
      <c r="BM56600" s="1025"/>
      <c r="BO56600" s="43"/>
    </row>
    <row r="56601" spans="65:67" ht="18.75" customHeight="1">
      <c r="BM56601" s="1025"/>
      <c r="BO56601" s="43"/>
    </row>
    <row r="56602" spans="65:67" ht="18.75" customHeight="1">
      <c r="BM56602" s="1025"/>
      <c r="BO56602" s="43"/>
    </row>
    <row r="56603" spans="65:67" ht="18.75" customHeight="1">
      <c r="BM56603" s="1025"/>
      <c r="BO56603" s="43"/>
    </row>
    <row r="56604" spans="65:67" ht="18.75" customHeight="1">
      <c r="BM56604" s="1025"/>
      <c r="BO56604" s="43"/>
    </row>
    <row r="56605" spans="65:67" ht="18.75" customHeight="1">
      <c r="BM56605" s="1025"/>
      <c r="BO56605" s="43"/>
    </row>
    <row r="56606" spans="65:67" ht="18.75" customHeight="1">
      <c r="BM56606" s="1025"/>
      <c r="BO56606" s="43"/>
    </row>
    <row r="56607" spans="65:67" ht="18.75" customHeight="1">
      <c r="BM56607" s="1025"/>
      <c r="BO56607" s="43"/>
    </row>
    <row r="56608" spans="65:67" ht="18.75" customHeight="1">
      <c r="BM56608" s="1025"/>
      <c r="BO56608" s="43"/>
    </row>
    <row r="56609" spans="65:67" ht="18.75" customHeight="1">
      <c r="BM56609" s="1025"/>
      <c r="BO56609" s="43"/>
    </row>
    <row r="56610" spans="65:67" ht="18.75" customHeight="1">
      <c r="BM56610" s="1025"/>
      <c r="BO56610" s="43"/>
    </row>
    <row r="56611" spans="65:67" ht="18.75" customHeight="1">
      <c r="BM56611" s="1025"/>
      <c r="BO56611" s="43"/>
    </row>
    <row r="56612" spans="65:67" ht="18.75" customHeight="1">
      <c r="BM56612" s="1025"/>
      <c r="BO56612" s="43"/>
    </row>
    <row r="56613" spans="65:67" ht="18.75" customHeight="1">
      <c r="BM56613" s="1025"/>
      <c r="BO56613" s="43"/>
    </row>
    <row r="56614" spans="65:67" ht="18.75" customHeight="1">
      <c r="BM56614" s="1025"/>
      <c r="BO56614" s="43"/>
    </row>
    <row r="56615" spans="65:67" ht="18.75" customHeight="1">
      <c r="BM56615" s="1025"/>
      <c r="BO56615" s="43"/>
    </row>
    <row r="56616" spans="65:67" ht="18.75" customHeight="1">
      <c r="BM56616" s="1025"/>
      <c r="BO56616" s="43"/>
    </row>
    <row r="56617" spans="65:67" ht="18.75" customHeight="1">
      <c r="BM56617" s="1025"/>
      <c r="BO56617" s="43"/>
    </row>
    <row r="56618" spans="65:67" ht="18.75" customHeight="1">
      <c r="BM56618" s="1025"/>
      <c r="BO56618" s="43"/>
    </row>
    <row r="56619" spans="65:67" ht="18.75" customHeight="1">
      <c r="BM56619" s="1025"/>
      <c r="BO56619" s="43"/>
    </row>
    <row r="56620" spans="65:67" ht="18.75" customHeight="1">
      <c r="BM56620" s="1025"/>
      <c r="BO56620" s="43"/>
    </row>
    <row r="56621" spans="65:67" ht="18.75" customHeight="1">
      <c r="BM56621" s="1025"/>
      <c r="BO56621" s="43"/>
    </row>
    <row r="56622" spans="65:67" ht="18.75" customHeight="1">
      <c r="BM56622" s="1025"/>
      <c r="BO56622" s="43"/>
    </row>
    <row r="56623" spans="65:67" ht="18.75" customHeight="1">
      <c r="BM56623" s="1025"/>
      <c r="BO56623" s="43"/>
    </row>
    <row r="56624" spans="65:67" ht="18.75" customHeight="1">
      <c r="BM56624" s="1025"/>
      <c r="BO56624" s="43"/>
    </row>
    <row r="56625" spans="65:67" ht="18.75" customHeight="1">
      <c r="BM56625" s="1025"/>
      <c r="BO56625" s="43"/>
    </row>
    <row r="56626" spans="65:67" ht="18.75" customHeight="1">
      <c r="BM56626" s="1025"/>
      <c r="BO56626" s="43"/>
    </row>
    <row r="56627" spans="65:67" ht="18.75" customHeight="1">
      <c r="BM56627" s="1025"/>
      <c r="BO56627" s="43"/>
    </row>
    <row r="56628" spans="65:67" ht="18.75" customHeight="1">
      <c r="BM56628" s="1025"/>
      <c r="BO56628" s="43"/>
    </row>
    <row r="56629" spans="65:67" ht="18.75" customHeight="1">
      <c r="BM56629" s="1025"/>
      <c r="BO56629" s="43"/>
    </row>
    <row r="56630" spans="65:67" ht="18.75" customHeight="1">
      <c r="BM56630" s="1025"/>
      <c r="BO56630" s="43"/>
    </row>
    <row r="56631" spans="65:67" ht="18.75" customHeight="1">
      <c r="BM56631" s="1025"/>
      <c r="BO56631" s="43"/>
    </row>
    <row r="56632" spans="65:67" ht="18.75" customHeight="1">
      <c r="BM56632" s="1025"/>
      <c r="BO56632" s="43"/>
    </row>
    <row r="56633" spans="65:67" ht="18.75" customHeight="1">
      <c r="BM56633" s="1025"/>
      <c r="BO56633" s="43"/>
    </row>
    <row r="56634" spans="65:67" ht="18.75" customHeight="1">
      <c r="BM56634" s="1025"/>
      <c r="BO56634" s="43"/>
    </row>
    <row r="56635" spans="65:67" ht="18.75" customHeight="1">
      <c r="BM56635" s="1025"/>
      <c r="BO56635" s="43"/>
    </row>
    <row r="56636" spans="65:67" ht="18.75" customHeight="1">
      <c r="BM56636" s="1025"/>
      <c r="BO56636" s="43"/>
    </row>
    <row r="56637" spans="65:67" ht="18.75" customHeight="1">
      <c r="BM56637" s="1025"/>
      <c r="BO56637" s="43"/>
    </row>
    <row r="56638" spans="65:67" ht="18.75" customHeight="1">
      <c r="BM56638" s="1025"/>
      <c r="BO56638" s="43"/>
    </row>
    <row r="56639" spans="65:67" ht="18.75" customHeight="1">
      <c r="BM56639" s="1025"/>
      <c r="BO56639" s="43"/>
    </row>
    <row r="56640" spans="65:67" ht="18.75" customHeight="1">
      <c r="BM56640" s="1025"/>
      <c r="BO56640" s="43"/>
    </row>
    <row r="56641" spans="65:67" ht="18.75" customHeight="1">
      <c r="BM56641" s="1025"/>
      <c r="BO56641" s="43"/>
    </row>
    <row r="56642" spans="65:67" ht="18.75" customHeight="1">
      <c r="BM56642" s="1025"/>
      <c r="BO56642" s="43"/>
    </row>
    <row r="56643" spans="65:67" ht="18.75" customHeight="1">
      <c r="BM56643" s="1025"/>
      <c r="BO56643" s="43"/>
    </row>
    <row r="56644" spans="65:67" ht="18.75" customHeight="1">
      <c r="BM56644" s="1025"/>
      <c r="BO56644" s="43"/>
    </row>
    <row r="56645" spans="65:67" ht="18.75" customHeight="1">
      <c r="BM56645" s="1025"/>
      <c r="BO56645" s="43"/>
    </row>
    <row r="56646" spans="65:67" ht="18.75" customHeight="1">
      <c r="BM56646" s="1025"/>
      <c r="BO56646" s="43"/>
    </row>
    <row r="56647" spans="65:67" ht="18.75" customHeight="1">
      <c r="BM56647" s="1025"/>
      <c r="BO56647" s="43"/>
    </row>
    <row r="56648" spans="65:67" ht="18.75" customHeight="1">
      <c r="BM56648" s="1025"/>
      <c r="BO56648" s="43"/>
    </row>
    <row r="56649" spans="65:67" ht="18.75" customHeight="1">
      <c r="BM56649" s="1025"/>
      <c r="BO56649" s="43"/>
    </row>
    <row r="56650" spans="65:67" ht="18.75" customHeight="1">
      <c r="BM56650" s="1025"/>
      <c r="BO56650" s="43"/>
    </row>
    <row r="56651" spans="65:67" ht="18.75" customHeight="1">
      <c r="BM56651" s="1025"/>
      <c r="BO56651" s="43"/>
    </row>
    <row r="56652" spans="65:67" ht="18.75" customHeight="1">
      <c r="BM56652" s="1025"/>
      <c r="BO56652" s="43"/>
    </row>
    <row r="56653" spans="65:67" ht="18.75" customHeight="1">
      <c r="BM56653" s="1025"/>
      <c r="BO56653" s="43"/>
    </row>
    <row r="56654" spans="65:67" ht="18.75" customHeight="1">
      <c r="BM56654" s="1025"/>
      <c r="BO56654" s="43"/>
    </row>
    <row r="56655" spans="65:67" ht="18.75" customHeight="1">
      <c r="BM56655" s="1025"/>
      <c r="BO56655" s="43"/>
    </row>
    <row r="56656" spans="65:67" ht="18.75" customHeight="1">
      <c r="BM56656" s="1025"/>
      <c r="BO56656" s="43"/>
    </row>
    <row r="56657" spans="65:67" ht="18.75" customHeight="1">
      <c r="BM56657" s="1025"/>
      <c r="BO56657" s="43"/>
    </row>
    <row r="56658" spans="65:67" ht="18.75" customHeight="1">
      <c r="BM56658" s="1025"/>
      <c r="BO56658" s="43"/>
    </row>
    <row r="56659" spans="65:67" ht="18.75" customHeight="1">
      <c r="BM56659" s="1025"/>
      <c r="BO56659" s="43"/>
    </row>
    <row r="56660" spans="65:67" ht="18.75" customHeight="1">
      <c r="BM56660" s="1025"/>
      <c r="BO56660" s="43"/>
    </row>
    <row r="56661" spans="65:67" ht="18.75" customHeight="1">
      <c r="BM56661" s="1025"/>
      <c r="BO56661" s="43"/>
    </row>
    <row r="56662" spans="65:67" ht="18.75" customHeight="1">
      <c r="BM56662" s="1025"/>
      <c r="BO56662" s="43"/>
    </row>
    <row r="56663" spans="65:67" ht="18.75" customHeight="1">
      <c r="BM56663" s="1025"/>
      <c r="BO56663" s="43"/>
    </row>
    <row r="56664" spans="65:67" ht="18.75" customHeight="1">
      <c r="BM56664" s="1025"/>
      <c r="BO56664" s="43"/>
    </row>
    <row r="56665" spans="65:67" ht="18.75" customHeight="1">
      <c r="BM56665" s="1025"/>
      <c r="BO56665" s="43"/>
    </row>
    <row r="56666" spans="65:67" ht="18.75" customHeight="1">
      <c r="BM56666" s="1025"/>
      <c r="BO56666" s="43"/>
    </row>
    <row r="56667" spans="65:67" ht="18.75" customHeight="1">
      <c r="BM56667" s="1025"/>
      <c r="BO56667" s="43"/>
    </row>
    <row r="56668" spans="65:67" ht="18.75" customHeight="1">
      <c r="BM56668" s="1025"/>
      <c r="BO56668" s="43"/>
    </row>
    <row r="56669" spans="65:67" ht="18.75" customHeight="1">
      <c r="BM56669" s="1025"/>
      <c r="BO56669" s="43"/>
    </row>
    <row r="56670" spans="65:67" ht="18.75" customHeight="1">
      <c r="BM56670" s="1025"/>
      <c r="BO56670" s="43"/>
    </row>
    <row r="56671" spans="65:67" ht="18.75" customHeight="1">
      <c r="BM56671" s="1025"/>
      <c r="BO56671" s="43"/>
    </row>
    <row r="56672" spans="65:67" ht="18.75" customHeight="1">
      <c r="BM56672" s="1025"/>
      <c r="BO56672" s="43"/>
    </row>
    <row r="56673" spans="65:67" ht="18.75" customHeight="1">
      <c r="BM56673" s="1025"/>
      <c r="BO56673" s="43"/>
    </row>
    <row r="56674" spans="65:67" ht="18.75" customHeight="1">
      <c r="BM56674" s="1025"/>
      <c r="BO56674" s="43"/>
    </row>
    <row r="56675" spans="65:67" ht="18.75" customHeight="1">
      <c r="BM56675" s="1025"/>
      <c r="BO56675" s="43"/>
    </row>
    <row r="56676" spans="65:67" ht="18.75" customHeight="1">
      <c r="BM56676" s="1025"/>
      <c r="BO56676" s="43"/>
    </row>
    <row r="56677" spans="65:67" ht="18.75" customHeight="1">
      <c r="BM56677" s="1025"/>
      <c r="BO56677" s="43"/>
    </row>
    <row r="56678" spans="65:67" ht="18.75" customHeight="1">
      <c r="BM56678" s="1025"/>
      <c r="BO56678" s="43"/>
    </row>
    <row r="56679" spans="65:67" ht="18.75" customHeight="1">
      <c r="BM56679" s="1025"/>
      <c r="BO56679" s="43"/>
    </row>
    <row r="56680" spans="65:67" ht="18.75" customHeight="1">
      <c r="BM56680" s="1025"/>
      <c r="BO56680" s="43"/>
    </row>
    <row r="56681" spans="65:67" ht="18.75" customHeight="1">
      <c r="BM56681" s="1025"/>
      <c r="BO56681" s="43"/>
    </row>
    <row r="56682" spans="65:67" ht="18.75" customHeight="1">
      <c r="BM56682" s="1025"/>
      <c r="BO56682" s="43"/>
    </row>
    <row r="56683" spans="65:67" ht="18.75" customHeight="1">
      <c r="BM56683" s="1025"/>
      <c r="BO56683" s="43"/>
    </row>
    <row r="56684" spans="65:67" ht="18.75" customHeight="1">
      <c r="BM56684" s="1025"/>
      <c r="BO56684" s="43"/>
    </row>
    <row r="56685" spans="65:67" ht="18.75" customHeight="1">
      <c r="BM56685" s="1025"/>
      <c r="BO56685" s="43"/>
    </row>
    <row r="56686" spans="65:67" ht="18.75" customHeight="1">
      <c r="BM56686" s="1025"/>
      <c r="BO56686" s="43"/>
    </row>
    <row r="56687" spans="65:67" ht="18.75" customHeight="1">
      <c r="BM56687" s="1025"/>
      <c r="BO56687" s="43"/>
    </row>
    <row r="56688" spans="65:67" ht="18.75" customHeight="1">
      <c r="BM56688" s="1025"/>
      <c r="BO56688" s="43"/>
    </row>
    <row r="56689" spans="65:67" ht="18.75" customHeight="1">
      <c r="BM56689" s="1025"/>
      <c r="BO56689" s="43"/>
    </row>
    <row r="56690" spans="65:67" ht="18.75" customHeight="1">
      <c r="BM56690" s="1025"/>
      <c r="BO56690" s="43"/>
    </row>
    <row r="56691" spans="65:67" ht="18.75" customHeight="1">
      <c r="BM56691" s="1025"/>
      <c r="BO56691" s="43"/>
    </row>
    <row r="56692" spans="65:67" ht="18.75" customHeight="1">
      <c r="BM56692" s="1025"/>
      <c r="BO56692" s="43"/>
    </row>
    <row r="56693" spans="65:67" ht="18.75" customHeight="1">
      <c r="BM56693" s="1025"/>
      <c r="BO56693" s="43"/>
    </row>
    <row r="56694" spans="65:67" ht="18.75" customHeight="1">
      <c r="BM56694" s="1025"/>
      <c r="BO56694" s="43"/>
    </row>
    <row r="56695" spans="65:67" ht="18.75" customHeight="1">
      <c r="BM56695" s="1025"/>
      <c r="BO56695" s="43"/>
    </row>
    <row r="56696" spans="65:67" ht="18.75" customHeight="1">
      <c r="BM56696" s="1025"/>
      <c r="BO56696" s="43"/>
    </row>
    <row r="56697" spans="65:67" ht="18.75" customHeight="1">
      <c r="BM56697" s="1025"/>
      <c r="BO56697" s="43"/>
    </row>
    <row r="56698" spans="65:67" ht="18.75" customHeight="1">
      <c r="BM56698" s="1025"/>
      <c r="BO56698" s="43"/>
    </row>
    <row r="56699" spans="65:67" ht="18.75" customHeight="1">
      <c r="BM56699" s="1025"/>
      <c r="BO56699" s="43"/>
    </row>
    <row r="56700" spans="65:67" ht="18.75" customHeight="1">
      <c r="BM56700" s="1025"/>
      <c r="BO56700" s="43"/>
    </row>
    <row r="56701" spans="65:67" ht="18.75" customHeight="1">
      <c r="BM56701" s="1025"/>
      <c r="BO56701" s="43"/>
    </row>
    <row r="56702" spans="65:67" ht="18.75" customHeight="1">
      <c r="BM56702" s="1025"/>
      <c r="BO56702" s="43"/>
    </row>
    <row r="56703" spans="65:67" ht="18.75" customHeight="1">
      <c r="BM56703" s="1025"/>
      <c r="BO56703" s="43"/>
    </row>
    <row r="56704" spans="65:67" ht="18.75" customHeight="1">
      <c r="BM56704" s="1025"/>
      <c r="BO56704" s="43"/>
    </row>
    <row r="56705" spans="65:67" ht="18.75" customHeight="1">
      <c r="BM56705" s="1025"/>
      <c r="BO56705" s="43"/>
    </row>
    <row r="56706" spans="65:67" ht="18.75" customHeight="1">
      <c r="BM56706" s="1025"/>
      <c r="BO56706" s="43"/>
    </row>
    <row r="56707" spans="65:67" ht="18.75" customHeight="1">
      <c r="BM56707" s="1025"/>
      <c r="BO56707" s="43"/>
    </row>
    <row r="56708" spans="65:67" ht="18.75" customHeight="1">
      <c r="BM56708" s="1025"/>
      <c r="BO56708" s="43"/>
    </row>
    <row r="56709" spans="65:67" ht="18.75" customHeight="1">
      <c r="BM56709" s="1025"/>
      <c r="BO56709" s="43"/>
    </row>
    <row r="56710" spans="65:67" ht="18.75" customHeight="1">
      <c r="BM56710" s="1025"/>
      <c r="BO56710" s="43"/>
    </row>
    <row r="56711" spans="65:67" ht="18.75" customHeight="1">
      <c r="BM56711" s="1025"/>
      <c r="BO56711" s="43"/>
    </row>
    <row r="56712" spans="65:67" ht="18.75" customHeight="1">
      <c r="BM56712" s="1025"/>
      <c r="BO56712" s="43"/>
    </row>
    <row r="56713" spans="65:67" ht="18.75" customHeight="1">
      <c r="BM56713" s="1025"/>
      <c r="BO56713" s="43"/>
    </row>
    <row r="56714" spans="65:67" ht="18.75" customHeight="1">
      <c r="BM56714" s="1025"/>
      <c r="BO56714" s="43"/>
    </row>
    <row r="56715" spans="65:67" ht="18.75" customHeight="1">
      <c r="BM56715" s="1025"/>
      <c r="BO56715" s="43"/>
    </row>
    <row r="56716" spans="65:67" ht="18.75" customHeight="1">
      <c r="BM56716" s="1025"/>
      <c r="BO56716" s="43"/>
    </row>
    <row r="56717" spans="65:67" ht="18.75" customHeight="1">
      <c r="BM56717" s="1025"/>
      <c r="BO56717" s="43"/>
    </row>
    <row r="56718" spans="65:67" ht="18.75" customHeight="1">
      <c r="BM56718" s="1025"/>
      <c r="BO56718" s="43"/>
    </row>
    <row r="56719" spans="65:67" ht="18.75" customHeight="1">
      <c r="BM56719" s="1025"/>
      <c r="BO56719" s="43"/>
    </row>
    <row r="56720" spans="65:67" ht="18.75" customHeight="1">
      <c r="BM56720" s="1025"/>
      <c r="BO56720" s="43"/>
    </row>
    <row r="56721" spans="65:67" ht="18.75" customHeight="1">
      <c r="BM56721" s="1025"/>
      <c r="BO56721" s="43"/>
    </row>
    <row r="56722" spans="65:67" ht="18.75" customHeight="1">
      <c r="BM56722" s="1025"/>
      <c r="BO56722" s="43"/>
    </row>
    <row r="56723" spans="65:67" ht="18.75" customHeight="1">
      <c r="BM56723" s="1025"/>
      <c r="BO56723" s="43"/>
    </row>
    <row r="56724" spans="65:67" ht="18.75" customHeight="1">
      <c r="BM56724" s="1025"/>
      <c r="BO56724" s="43"/>
    </row>
    <row r="56725" spans="65:67" ht="18.75" customHeight="1">
      <c r="BM56725" s="1025"/>
      <c r="BO56725" s="43"/>
    </row>
    <row r="56726" spans="65:67" ht="18.75" customHeight="1">
      <c r="BM56726" s="1025"/>
      <c r="BO56726" s="43"/>
    </row>
    <row r="56727" spans="65:67" ht="18.75" customHeight="1">
      <c r="BM56727" s="1025"/>
      <c r="BO56727" s="43"/>
    </row>
    <row r="56728" spans="65:67" ht="18.75" customHeight="1">
      <c r="BM56728" s="1025"/>
      <c r="BO56728" s="43"/>
    </row>
    <row r="56729" spans="65:67" ht="18.75" customHeight="1">
      <c r="BM56729" s="1025"/>
      <c r="BO56729" s="43"/>
    </row>
    <row r="56730" spans="65:67" ht="18.75" customHeight="1">
      <c r="BM56730" s="1025"/>
      <c r="BO56730" s="43"/>
    </row>
    <row r="56731" spans="65:67" ht="18.75" customHeight="1">
      <c r="BM56731" s="1025"/>
      <c r="BO56731" s="43"/>
    </row>
    <row r="56732" spans="65:67" ht="18.75" customHeight="1">
      <c r="BM56732" s="1025"/>
      <c r="BO56732" s="43"/>
    </row>
    <row r="56733" spans="65:67" ht="18.75" customHeight="1">
      <c r="BM56733" s="1025"/>
      <c r="BO56733" s="43"/>
    </row>
    <row r="56734" spans="65:67" ht="18.75" customHeight="1">
      <c r="BM56734" s="1025"/>
      <c r="BO56734" s="43"/>
    </row>
    <row r="56735" spans="65:67" ht="18.75" customHeight="1">
      <c r="BM56735" s="1025"/>
      <c r="BO56735" s="43"/>
    </row>
    <row r="56736" spans="65:67" ht="18.75" customHeight="1">
      <c r="BM56736" s="1025"/>
      <c r="BO56736" s="43"/>
    </row>
    <row r="56737" spans="65:67" ht="18.75" customHeight="1">
      <c r="BM56737" s="1025"/>
      <c r="BO56737" s="43"/>
    </row>
    <row r="56738" spans="65:67" ht="18.75" customHeight="1">
      <c r="BM56738" s="1025"/>
      <c r="BO56738" s="43"/>
    </row>
    <row r="56739" spans="65:67" ht="18.75" customHeight="1">
      <c r="BM56739" s="1025"/>
      <c r="BO56739" s="43"/>
    </row>
    <row r="56740" spans="65:67" ht="18.75" customHeight="1">
      <c r="BM56740" s="1025"/>
      <c r="BO56740" s="43"/>
    </row>
    <row r="56741" spans="65:67" ht="18.75" customHeight="1">
      <c r="BM56741" s="1025"/>
      <c r="BO56741" s="43"/>
    </row>
    <row r="56742" spans="65:67" ht="18.75" customHeight="1">
      <c r="BM56742" s="1025"/>
      <c r="BO56742" s="43"/>
    </row>
    <row r="56743" spans="65:67" ht="18.75" customHeight="1">
      <c r="BM56743" s="1025"/>
      <c r="BO56743" s="43"/>
    </row>
    <row r="56744" spans="65:67" ht="18.75" customHeight="1">
      <c r="BM56744" s="1025"/>
      <c r="BO56744" s="43"/>
    </row>
    <row r="56745" spans="65:67" ht="18.75" customHeight="1">
      <c r="BM56745" s="1025"/>
      <c r="BO56745" s="43"/>
    </row>
    <row r="56746" spans="65:67" ht="18.75" customHeight="1">
      <c r="BM56746" s="1025"/>
      <c r="BO56746" s="43"/>
    </row>
    <row r="56747" spans="65:67" ht="18.75" customHeight="1">
      <c r="BM56747" s="1025"/>
      <c r="BO56747" s="43"/>
    </row>
    <row r="56748" spans="65:67" ht="18.75" customHeight="1">
      <c r="BM56748" s="1025"/>
      <c r="BO56748" s="43"/>
    </row>
    <row r="56749" spans="65:67" ht="18.75" customHeight="1">
      <c r="BM56749" s="1025"/>
      <c r="BO56749" s="43"/>
    </row>
    <row r="56750" spans="65:67" ht="18.75" customHeight="1">
      <c r="BM56750" s="1025"/>
      <c r="BO56750" s="43"/>
    </row>
    <row r="56751" spans="65:67" ht="18.75" customHeight="1">
      <c r="BM56751" s="1025"/>
      <c r="BO56751" s="43"/>
    </row>
    <row r="56752" spans="65:67" ht="18.75" customHeight="1">
      <c r="BM56752" s="1025"/>
      <c r="BO56752" s="43"/>
    </row>
    <row r="56753" spans="65:67" ht="18.75" customHeight="1">
      <c r="BM56753" s="1025"/>
      <c r="BO56753" s="43"/>
    </row>
    <row r="56754" spans="65:67" ht="18.75" customHeight="1">
      <c r="BM56754" s="1025"/>
      <c r="BO56754" s="43"/>
    </row>
    <row r="56755" spans="65:67" ht="18.75" customHeight="1">
      <c r="BM56755" s="1025"/>
      <c r="BO56755" s="43"/>
    </row>
    <row r="56756" spans="65:67" ht="18.75" customHeight="1">
      <c r="BM56756" s="1025"/>
      <c r="BO56756" s="43"/>
    </row>
    <row r="56757" spans="65:67" ht="18.75" customHeight="1">
      <c r="BM56757" s="1025"/>
      <c r="BO56757" s="43"/>
    </row>
    <row r="56758" spans="65:67" ht="18.75" customHeight="1">
      <c r="BM56758" s="1025"/>
      <c r="BO56758" s="43"/>
    </row>
    <row r="56759" spans="65:67" ht="18.75" customHeight="1">
      <c r="BM56759" s="1025"/>
      <c r="BO56759" s="43"/>
    </row>
    <row r="56760" spans="65:67" ht="18.75" customHeight="1">
      <c r="BM56760" s="1025"/>
      <c r="BO56760" s="43"/>
    </row>
    <row r="56761" spans="65:67" ht="18.75" customHeight="1">
      <c r="BM56761" s="1025"/>
      <c r="BO56761" s="43"/>
    </row>
    <row r="56762" spans="65:67" ht="18.75" customHeight="1">
      <c r="BM56762" s="1025"/>
      <c r="BO56762" s="43"/>
    </row>
    <row r="56763" spans="65:67" ht="18.75" customHeight="1">
      <c r="BM56763" s="1025"/>
      <c r="BO56763" s="43"/>
    </row>
    <row r="56764" spans="65:67" ht="18.75" customHeight="1">
      <c r="BM56764" s="1025"/>
      <c r="BO56764" s="43"/>
    </row>
    <row r="56765" spans="65:67" ht="18.75" customHeight="1">
      <c r="BM56765" s="1025"/>
      <c r="BO56765" s="43"/>
    </row>
    <row r="56766" spans="65:67" ht="18.75" customHeight="1">
      <c r="BM56766" s="1025"/>
      <c r="BO56766" s="43"/>
    </row>
    <row r="56767" spans="65:67" ht="18.75" customHeight="1">
      <c r="BM56767" s="1025"/>
      <c r="BO56767" s="43"/>
    </row>
    <row r="56768" spans="65:67" ht="18.75" customHeight="1">
      <c r="BM56768" s="1025"/>
      <c r="BO56768" s="43"/>
    </row>
    <row r="56769" spans="65:67" ht="18.75" customHeight="1">
      <c r="BM56769" s="1025"/>
      <c r="BO56769" s="43"/>
    </row>
    <row r="56770" spans="65:67" ht="18.75" customHeight="1">
      <c r="BM56770" s="1025"/>
      <c r="BO56770" s="43"/>
    </row>
    <row r="56771" spans="65:67" ht="18.75" customHeight="1">
      <c r="BM56771" s="1025"/>
      <c r="BO56771" s="43"/>
    </row>
    <row r="56772" spans="65:67" ht="18.75" customHeight="1">
      <c r="BM56772" s="1025"/>
      <c r="BO56772" s="43"/>
    </row>
    <row r="56773" spans="65:67" ht="18.75" customHeight="1">
      <c r="BM56773" s="1025"/>
      <c r="BO56773" s="43"/>
    </row>
    <row r="56774" spans="65:67" ht="18.75" customHeight="1">
      <c r="BM56774" s="1025"/>
      <c r="BO56774" s="43"/>
    </row>
    <row r="56775" spans="65:67" ht="18.75" customHeight="1">
      <c r="BM56775" s="1025"/>
      <c r="BO56775" s="43"/>
    </row>
    <row r="56776" spans="65:67" ht="18.75" customHeight="1">
      <c r="BM56776" s="1025"/>
      <c r="BO56776" s="43"/>
    </row>
    <row r="56777" spans="65:67" ht="18.75" customHeight="1">
      <c r="BM56777" s="1025"/>
      <c r="BO56777" s="43"/>
    </row>
    <row r="56778" spans="65:67" ht="18.75" customHeight="1">
      <c r="BM56778" s="1025"/>
      <c r="BO56778" s="43"/>
    </row>
    <row r="56779" spans="65:67" ht="18.75" customHeight="1">
      <c r="BM56779" s="1025"/>
      <c r="BO56779" s="43"/>
    </row>
    <row r="56780" spans="65:67" ht="18.75" customHeight="1">
      <c r="BM56780" s="1025"/>
      <c r="BO56780" s="43"/>
    </row>
    <row r="56781" spans="65:67" ht="18.75" customHeight="1">
      <c r="BM56781" s="1025"/>
      <c r="BO56781" s="43"/>
    </row>
    <row r="56782" spans="65:67" ht="18.75" customHeight="1">
      <c r="BM56782" s="1025"/>
      <c r="BO56782" s="43"/>
    </row>
    <row r="56783" spans="65:67" ht="18.75" customHeight="1">
      <c r="BM56783" s="1025"/>
      <c r="BO56783" s="43"/>
    </row>
    <row r="56784" spans="65:67" ht="18.75" customHeight="1">
      <c r="BM56784" s="1025"/>
      <c r="BO56784" s="43"/>
    </row>
    <row r="56785" spans="65:67" ht="18.75" customHeight="1">
      <c r="BM56785" s="1025"/>
      <c r="BO56785" s="43"/>
    </row>
    <row r="56786" spans="65:67" ht="18.75" customHeight="1">
      <c r="BM56786" s="1025"/>
      <c r="BO56786" s="43"/>
    </row>
    <row r="56787" spans="65:67" ht="18.75" customHeight="1">
      <c r="BM56787" s="1025"/>
      <c r="BO56787" s="43"/>
    </row>
    <row r="56788" spans="65:67" ht="18.75" customHeight="1">
      <c r="BM56788" s="1025"/>
      <c r="BO56788" s="43"/>
    </row>
    <row r="56789" spans="65:67" ht="18.75" customHeight="1">
      <c r="BM56789" s="1025"/>
      <c r="BO56789" s="43"/>
    </row>
    <row r="56790" spans="65:67" ht="18.75" customHeight="1">
      <c r="BM56790" s="1025"/>
      <c r="BO56790" s="43"/>
    </row>
    <row r="56791" spans="65:67" ht="18.75" customHeight="1">
      <c r="BM56791" s="1025"/>
      <c r="BO56791" s="43"/>
    </row>
    <row r="56792" spans="65:67" ht="18.75" customHeight="1">
      <c r="BM56792" s="1025"/>
      <c r="BO56792" s="43"/>
    </row>
    <row r="56793" spans="65:67" ht="18.75" customHeight="1">
      <c r="BM56793" s="1025"/>
      <c r="BO56793" s="43"/>
    </row>
    <row r="56794" spans="65:67" ht="18.75" customHeight="1">
      <c r="BM56794" s="1025"/>
      <c r="BO56794" s="43"/>
    </row>
    <row r="56795" spans="65:67" ht="18.75" customHeight="1">
      <c r="BM56795" s="1025"/>
      <c r="BO56795" s="43"/>
    </row>
    <row r="56796" spans="65:67" ht="18.75" customHeight="1">
      <c r="BM56796" s="1025"/>
      <c r="BO56796" s="43"/>
    </row>
    <row r="56797" spans="65:67" ht="18.75" customHeight="1">
      <c r="BM56797" s="1025"/>
      <c r="BO56797" s="43"/>
    </row>
    <row r="56798" spans="65:67" ht="18.75" customHeight="1">
      <c r="BM56798" s="1025"/>
      <c r="BO56798" s="43"/>
    </row>
    <row r="56799" spans="65:67" ht="18.75" customHeight="1">
      <c r="BM56799" s="1025"/>
      <c r="BO56799" s="43"/>
    </row>
    <row r="56800" spans="65:67" ht="18.75" customHeight="1">
      <c r="BM56800" s="1025"/>
      <c r="BO56800" s="43"/>
    </row>
    <row r="56801" spans="65:67" ht="18.75" customHeight="1">
      <c r="BM56801" s="1025"/>
      <c r="BO56801" s="43"/>
    </row>
    <row r="56802" spans="65:67" ht="18.75" customHeight="1">
      <c r="BM56802" s="1025"/>
      <c r="BO56802" s="43"/>
    </row>
    <row r="56803" spans="65:67" ht="18.75" customHeight="1">
      <c r="BM56803" s="1025"/>
      <c r="BO56803" s="43"/>
    </row>
    <row r="56804" spans="65:67" ht="18.75" customHeight="1">
      <c r="BM56804" s="1025"/>
      <c r="BO56804" s="43"/>
    </row>
    <row r="56805" spans="65:67" ht="18.75" customHeight="1">
      <c r="BM56805" s="1025"/>
      <c r="BO56805" s="43"/>
    </row>
    <row r="56806" spans="65:67" ht="18.75" customHeight="1">
      <c r="BM56806" s="1025"/>
      <c r="BO56806" s="43"/>
    </row>
    <row r="56807" spans="65:67" ht="18.75" customHeight="1">
      <c r="BM56807" s="1025"/>
      <c r="BO56807" s="43"/>
    </row>
    <row r="56808" spans="65:67" ht="18.75" customHeight="1">
      <c r="BM56808" s="1025"/>
      <c r="BO56808" s="43"/>
    </row>
    <row r="56809" spans="65:67" ht="18.75" customHeight="1">
      <c r="BM56809" s="1025"/>
      <c r="BO56809" s="43"/>
    </row>
    <row r="56810" spans="65:67" ht="18.75" customHeight="1">
      <c r="BM56810" s="1025"/>
      <c r="BO56810" s="43"/>
    </row>
    <row r="56811" spans="65:67" ht="18.75" customHeight="1">
      <c r="BM56811" s="1025"/>
      <c r="BO56811" s="43"/>
    </row>
    <row r="56812" spans="65:67" ht="18.75" customHeight="1">
      <c r="BM56812" s="1025"/>
      <c r="BO56812" s="43"/>
    </row>
    <row r="56813" spans="65:67" ht="18.75" customHeight="1">
      <c r="BM56813" s="1025"/>
      <c r="BO56813" s="43"/>
    </row>
    <row r="56814" spans="65:67" ht="18.75" customHeight="1">
      <c r="BM56814" s="1025"/>
      <c r="BO56814" s="43"/>
    </row>
    <row r="56815" spans="65:67" ht="18.75" customHeight="1">
      <c r="BM56815" s="1025"/>
      <c r="BO56815" s="43"/>
    </row>
    <row r="56816" spans="65:67" ht="18.75" customHeight="1">
      <c r="BM56816" s="1025"/>
      <c r="BO56816" s="43"/>
    </row>
    <row r="56817" spans="65:67" ht="18.75" customHeight="1">
      <c r="BM56817" s="1025"/>
      <c r="BO56817" s="43"/>
    </row>
    <row r="56818" spans="65:67" ht="18.75" customHeight="1">
      <c r="BM56818" s="1025"/>
      <c r="BO56818" s="43"/>
    </row>
    <row r="56819" spans="65:67" ht="18.75" customHeight="1">
      <c r="BM56819" s="1025"/>
      <c r="BO56819" s="43"/>
    </row>
    <row r="56820" spans="65:67" ht="18.75" customHeight="1">
      <c r="BM56820" s="1025"/>
      <c r="BO56820" s="43"/>
    </row>
    <row r="56821" spans="65:67" ht="18.75" customHeight="1">
      <c r="BM56821" s="1025"/>
      <c r="BO56821" s="43"/>
    </row>
    <row r="56822" spans="65:67" ht="18.75" customHeight="1">
      <c r="BM56822" s="1025"/>
      <c r="BO56822" s="43"/>
    </row>
    <row r="56823" spans="65:67" ht="18.75" customHeight="1">
      <c r="BM56823" s="1025"/>
      <c r="BO56823" s="43"/>
    </row>
    <row r="56824" spans="65:67" ht="18.75" customHeight="1">
      <c r="BM56824" s="1025"/>
      <c r="BO56824" s="43"/>
    </row>
    <row r="56825" spans="65:67" ht="18.75" customHeight="1">
      <c r="BM56825" s="1025"/>
      <c r="BO56825" s="43"/>
    </row>
    <row r="56826" spans="65:67" ht="18.75" customHeight="1">
      <c r="BM56826" s="1025"/>
      <c r="BO56826" s="43"/>
    </row>
    <row r="56827" spans="65:67" ht="18.75" customHeight="1">
      <c r="BM56827" s="1025"/>
      <c r="BO56827" s="43"/>
    </row>
    <row r="56828" spans="65:67" ht="18.75" customHeight="1">
      <c r="BM56828" s="1025"/>
      <c r="BO56828" s="43"/>
    </row>
    <row r="56829" spans="65:67" ht="18.75" customHeight="1">
      <c r="BM56829" s="1025"/>
      <c r="BO56829" s="43"/>
    </row>
    <row r="56830" spans="65:67" ht="18.75" customHeight="1">
      <c r="BM56830" s="1025"/>
      <c r="BO56830" s="43"/>
    </row>
    <row r="56831" spans="65:67" ht="18.75" customHeight="1">
      <c r="BM56831" s="1025"/>
      <c r="BO56831" s="43"/>
    </row>
    <row r="56832" spans="65:67" ht="18.75" customHeight="1">
      <c r="BM56832" s="1025"/>
      <c r="BO56832" s="43"/>
    </row>
    <row r="56833" spans="65:67" ht="18.75" customHeight="1">
      <c r="BM56833" s="1025"/>
      <c r="BO56833" s="43"/>
    </row>
    <row r="56834" spans="65:67" ht="18.75" customHeight="1">
      <c r="BM56834" s="1025"/>
      <c r="BO56834" s="43"/>
    </row>
    <row r="56835" spans="65:67" ht="18.75" customHeight="1">
      <c r="BM56835" s="1025"/>
      <c r="BO56835" s="43"/>
    </row>
    <row r="56836" spans="65:67" ht="18.75" customHeight="1">
      <c r="BM56836" s="1025"/>
      <c r="BO56836" s="43"/>
    </row>
    <row r="56837" spans="65:67" ht="18.75" customHeight="1">
      <c r="BM56837" s="1025"/>
      <c r="BO56837" s="43"/>
    </row>
    <row r="56838" spans="65:67" ht="18.75" customHeight="1">
      <c r="BM56838" s="1025"/>
      <c r="BO56838" s="43"/>
    </row>
    <row r="56839" spans="65:67" ht="18.75" customHeight="1">
      <c r="BM56839" s="1025"/>
      <c r="BO56839" s="43"/>
    </row>
    <row r="56840" spans="65:67" ht="18.75" customHeight="1">
      <c r="BM56840" s="1025"/>
      <c r="BO56840" s="43"/>
    </row>
    <row r="56841" spans="65:67" ht="18.75" customHeight="1">
      <c r="BM56841" s="1025"/>
      <c r="BO56841" s="43"/>
    </row>
    <row r="56842" spans="65:67" ht="18.75" customHeight="1">
      <c r="BM56842" s="1025"/>
      <c r="BO56842" s="43"/>
    </row>
    <row r="56843" spans="65:67" ht="18.75" customHeight="1">
      <c r="BM56843" s="1025"/>
      <c r="BO56843" s="43"/>
    </row>
    <row r="56844" spans="65:67" ht="18.75" customHeight="1">
      <c r="BM56844" s="1025"/>
      <c r="BO56844" s="43"/>
    </row>
    <row r="56845" spans="65:67" ht="18.75" customHeight="1">
      <c r="BM56845" s="1025"/>
      <c r="BO56845" s="43"/>
    </row>
    <row r="56846" spans="65:67" ht="18.75" customHeight="1">
      <c r="BM56846" s="1025"/>
      <c r="BO56846" s="43"/>
    </row>
    <row r="56847" spans="65:67" ht="18.75" customHeight="1">
      <c r="BM56847" s="1025"/>
      <c r="BO56847" s="43"/>
    </row>
    <row r="56848" spans="65:67" ht="18.75" customHeight="1">
      <c r="BM56848" s="1025"/>
      <c r="BO56848" s="43"/>
    </row>
    <row r="56849" spans="65:67" ht="18.75" customHeight="1">
      <c r="BM56849" s="1025"/>
      <c r="BO56849" s="43"/>
    </row>
    <row r="56850" spans="65:67" ht="18.75" customHeight="1">
      <c r="BM56850" s="1025"/>
      <c r="BO56850" s="43"/>
    </row>
    <row r="56851" spans="65:67" ht="18.75" customHeight="1">
      <c r="BM56851" s="1025"/>
      <c r="BO56851" s="43"/>
    </row>
    <row r="56852" spans="65:67" ht="18.75" customHeight="1">
      <c r="BM56852" s="1025"/>
      <c r="BO56852" s="43"/>
    </row>
    <row r="56853" spans="65:67" ht="18.75" customHeight="1">
      <c r="BM56853" s="1025"/>
      <c r="BO56853" s="43"/>
    </row>
    <row r="56854" spans="65:67" ht="18.75" customHeight="1">
      <c r="BM56854" s="1025"/>
      <c r="BO56854" s="43"/>
    </row>
    <row r="56855" spans="65:67" ht="18.75" customHeight="1">
      <c r="BM56855" s="1025"/>
      <c r="BO56855" s="43"/>
    </row>
    <row r="56856" spans="65:67" ht="18.75" customHeight="1">
      <c r="BM56856" s="1025"/>
      <c r="BO56856" s="43"/>
    </row>
    <row r="56857" spans="65:67" ht="18.75" customHeight="1">
      <c r="BM56857" s="1025"/>
      <c r="BO56857" s="43"/>
    </row>
    <row r="56858" spans="65:67" ht="18.75" customHeight="1">
      <c r="BM56858" s="1025"/>
      <c r="BO56858" s="43"/>
    </row>
    <row r="56859" spans="65:67" ht="18.75" customHeight="1">
      <c r="BM56859" s="1025"/>
      <c r="BO56859" s="43"/>
    </row>
    <row r="56860" spans="65:67" ht="18.75" customHeight="1">
      <c r="BM56860" s="1025"/>
      <c r="BO56860" s="43"/>
    </row>
    <row r="56861" spans="65:67" ht="18.75" customHeight="1">
      <c r="BM56861" s="1025"/>
      <c r="BO56861" s="43"/>
    </row>
    <row r="56862" spans="65:67" ht="18.75" customHeight="1">
      <c r="BM56862" s="1025"/>
      <c r="BO56862" s="43"/>
    </row>
    <row r="56863" spans="65:67" ht="18.75" customHeight="1">
      <c r="BM56863" s="1025"/>
      <c r="BO56863" s="43"/>
    </row>
    <row r="56864" spans="65:67" ht="18.75" customHeight="1">
      <c r="BM56864" s="1025"/>
      <c r="BO56864" s="43"/>
    </row>
    <row r="56865" spans="65:67" ht="18.75" customHeight="1">
      <c r="BM56865" s="1025"/>
      <c r="BO56865" s="43"/>
    </row>
    <row r="56866" spans="65:67" ht="18.75" customHeight="1">
      <c r="BM56866" s="1025"/>
      <c r="BO56866" s="43"/>
    </row>
    <row r="56867" spans="65:67" ht="18.75" customHeight="1">
      <c r="BM56867" s="1025"/>
      <c r="BO56867" s="43"/>
    </row>
    <row r="56868" spans="65:67" ht="18.75" customHeight="1">
      <c r="BM56868" s="1025"/>
      <c r="BO56868" s="43"/>
    </row>
    <row r="56869" spans="65:67" ht="18.75" customHeight="1">
      <c r="BM56869" s="1025"/>
      <c r="BO56869" s="43"/>
    </row>
    <row r="56870" spans="65:67" ht="18.75" customHeight="1">
      <c r="BM56870" s="1025"/>
      <c r="BO56870" s="43"/>
    </row>
    <row r="56871" spans="65:67" ht="18.75" customHeight="1">
      <c r="BM56871" s="1025"/>
      <c r="BO56871" s="43"/>
    </row>
    <row r="56872" spans="65:67" ht="18.75" customHeight="1">
      <c r="BM56872" s="1025"/>
      <c r="BO56872" s="43"/>
    </row>
    <row r="56873" spans="65:67" ht="18.75" customHeight="1">
      <c r="BM56873" s="1025"/>
      <c r="BO56873" s="43"/>
    </row>
    <row r="56874" spans="65:67" ht="18.75" customHeight="1">
      <c r="BM56874" s="1025"/>
      <c r="BO56874" s="43"/>
    </row>
    <row r="56875" spans="65:67" ht="18.75" customHeight="1">
      <c r="BM56875" s="1025"/>
      <c r="BO56875" s="43"/>
    </row>
    <row r="56876" spans="65:67" ht="18.75" customHeight="1">
      <c r="BM56876" s="1025"/>
      <c r="BO56876" s="43"/>
    </row>
    <row r="56877" spans="65:67" ht="18.75" customHeight="1">
      <c r="BM56877" s="1025"/>
      <c r="BO56877" s="43"/>
    </row>
    <row r="56878" spans="65:67" ht="18.75" customHeight="1">
      <c r="BM56878" s="1025"/>
      <c r="BO56878" s="43"/>
    </row>
    <row r="56879" spans="65:67" ht="18.75" customHeight="1">
      <c r="BM56879" s="1025"/>
      <c r="BO56879" s="43"/>
    </row>
    <row r="56880" spans="65:67" ht="18.75" customHeight="1">
      <c r="BM56880" s="1025"/>
      <c r="BO56880" s="43"/>
    </row>
    <row r="56881" spans="65:67" ht="18.75" customHeight="1">
      <c r="BM56881" s="1025"/>
      <c r="BO56881" s="43"/>
    </row>
    <row r="56882" spans="65:67" ht="18.75" customHeight="1">
      <c r="BM56882" s="1025"/>
      <c r="BO56882" s="43"/>
    </row>
    <row r="56883" spans="65:67" ht="18.75" customHeight="1">
      <c r="BM56883" s="1025"/>
      <c r="BO56883" s="43"/>
    </row>
    <row r="56884" spans="65:67" ht="18.75" customHeight="1">
      <c r="BM56884" s="1025"/>
      <c r="BO56884" s="43"/>
    </row>
    <row r="56885" spans="65:67" ht="18.75" customHeight="1">
      <c r="BM56885" s="1025"/>
      <c r="BO56885" s="43"/>
    </row>
    <row r="56886" spans="65:67" ht="18.75" customHeight="1">
      <c r="BM56886" s="1025"/>
      <c r="BO56886" s="43"/>
    </row>
    <row r="56887" spans="65:67" ht="18.75" customHeight="1">
      <c r="BM56887" s="1025"/>
      <c r="BO56887" s="43"/>
    </row>
    <row r="56888" spans="65:67" ht="18.75" customHeight="1">
      <c r="BM56888" s="1025"/>
      <c r="BO56888" s="43"/>
    </row>
    <row r="56889" spans="65:67" ht="18.75" customHeight="1">
      <c r="BM56889" s="1025"/>
      <c r="BO56889" s="43"/>
    </row>
    <row r="56890" spans="65:67" ht="18.75" customHeight="1">
      <c r="BM56890" s="1025"/>
      <c r="BO56890" s="43"/>
    </row>
    <row r="56891" spans="65:67" ht="18.75" customHeight="1">
      <c r="BM56891" s="1025"/>
      <c r="BO56891" s="43"/>
    </row>
    <row r="56892" spans="65:67" ht="18.75" customHeight="1">
      <c r="BM56892" s="1025"/>
      <c r="BO56892" s="43"/>
    </row>
    <row r="56893" spans="65:67" ht="18.75" customHeight="1">
      <c r="BM56893" s="1025"/>
      <c r="BO56893" s="43"/>
    </row>
    <row r="56894" spans="65:67" ht="18.75" customHeight="1">
      <c r="BM56894" s="1025"/>
      <c r="BO56894" s="43"/>
    </row>
    <row r="56895" spans="65:67" ht="18.75" customHeight="1">
      <c r="BM56895" s="1025"/>
      <c r="BO56895" s="43"/>
    </row>
    <row r="56896" spans="65:67" ht="18.75" customHeight="1">
      <c r="BM56896" s="1025"/>
      <c r="BO56896" s="43"/>
    </row>
    <row r="56897" spans="65:67" ht="18.75" customHeight="1">
      <c r="BM56897" s="1025"/>
      <c r="BO56897" s="43"/>
    </row>
    <row r="56898" spans="65:67" ht="18.75" customHeight="1">
      <c r="BM56898" s="1025"/>
      <c r="BO56898" s="43"/>
    </row>
    <row r="56899" spans="65:67" ht="18.75" customHeight="1">
      <c r="BM56899" s="1025"/>
      <c r="BO56899" s="43"/>
    </row>
    <row r="56900" spans="65:67" ht="18.75" customHeight="1">
      <c r="BM56900" s="1025"/>
      <c r="BO56900" s="43"/>
    </row>
    <row r="56901" spans="65:67" ht="18.75" customHeight="1">
      <c r="BM56901" s="1025"/>
      <c r="BO56901" s="43"/>
    </row>
    <row r="56902" spans="65:67" ht="18.75" customHeight="1">
      <c r="BM56902" s="1025"/>
      <c r="BO56902" s="43"/>
    </row>
    <row r="56903" spans="65:67" ht="18.75" customHeight="1">
      <c r="BM56903" s="1025"/>
      <c r="BO56903" s="43"/>
    </row>
    <row r="56904" spans="65:67" ht="18.75" customHeight="1">
      <c r="BM56904" s="1025"/>
      <c r="BO56904" s="43"/>
    </row>
    <row r="56905" spans="65:67" ht="18.75" customHeight="1">
      <c r="BM56905" s="1025"/>
      <c r="BO56905" s="43"/>
    </row>
    <row r="56906" spans="65:67" ht="18.75" customHeight="1">
      <c r="BM56906" s="1025"/>
      <c r="BO56906" s="43"/>
    </row>
    <row r="56907" spans="65:67" ht="18.75" customHeight="1">
      <c r="BM56907" s="1025"/>
      <c r="BO56907" s="43"/>
    </row>
    <row r="56908" spans="65:67" ht="18.75" customHeight="1">
      <c r="BM56908" s="1025"/>
      <c r="BO56908" s="43"/>
    </row>
    <row r="56909" spans="65:67" ht="18.75" customHeight="1">
      <c r="BM56909" s="1025"/>
      <c r="BO56909" s="43"/>
    </row>
    <row r="56910" spans="65:67" ht="18.75" customHeight="1">
      <c r="BM56910" s="1025"/>
      <c r="BO56910" s="43"/>
    </row>
    <row r="56911" spans="65:67" ht="18.75" customHeight="1">
      <c r="BM56911" s="1025"/>
      <c r="BO56911" s="43"/>
    </row>
    <row r="56912" spans="65:67" ht="18.75" customHeight="1">
      <c r="BM56912" s="1025"/>
      <c r="BO56912" s="43"/>
    </row>
    <row r="56913" spans="65:67" ht="18.75" customHeight="1">
      <c r="BM56913" s="1025"/>
      <c r="BO56913" s="43"/>
    </row>
    <row r="56914" spans="65:67" ht="18.75" customHeight="1">
      <c r="BM56914" s="1025"/>
      <c r="BO56914" s="43"/>
    </row>
    <row r="56915" spans="65:67" ht="18.75" customHeight="1">
      <c r="BM56915" s="1025"/>
      <c r="BO56915" s="43"/>
    </row>
    <row r="56916" spans="65:67" ht="18.75" customHeight="1">
      <c r="BM56916" s="1025"/>
      <c r="BO56916" s="43"/>
    </row>
    <row r="56917" spans="65:67" ht="18.75" customHeight="1">
      <c r="BM56917" s="1025"/>
      <c r="BO56917" s="43"/>
    </row>
    <row r="56918" spans="65:67" ht="18.75" customHeight="1">
      <c r="BM56918" s="1025"/>
      <c r="BO56918" s="43"/>
    </row>
    <row r="56919" spans="65:67" ht="18.75" customHeight="1">
      <c r="BM56919" s="1025"/>
      <c r="BO56919" s="43"/>
    </row>
    <row r="56920" spans="65:67" ht="18.75" customHeight="1">
      <c r="BM56920" s="1025"/>
      <c r="BO56920" s="43"/>
    </row>
    <row r="56921" spans="65:67" ht="18.75" customHeight="1">
      <c r="BM56921" s="1025"/>
      <c r="BO56921" s="43"/>
    </row>
    <row r="56922" spans="65:67" ht="18.75" customHeight="1">
      <c r="BM56922" s="1025"/>
      <c r="BO56922" s="43"/>
    </row>
    <row r="56923" spans="65:67" ht="18.75" customHeight="1">
      <c r="BM56923" s="1025"/>
      <c r="BO56923" s="43"/>
    </row>
    <row r="56924" spans="65:67" ht="18.75" customHeight="1">
      <c r="BM56924" s="1025"/>
      <c r="BO56924" s="43"/>
    </row>
    <row r="56925" spans="65:67" ht="18.75" customHeight="1">
      <c r="BM56925" s="1025"/>
      <c r="BO56925" s="43"/>
    </row>
    <row r="56926" spans="65:67" ht="18.75" customHeight="1">
      <c r="BM56926" s="1025"/>
      <c r="BO56926" s="43"/>
    </row>
    <row r="56927" spans="65:67" ht="18.75" customHeight="1">
      <c r="BM56927" s="1025"/>
      <c r="BO56927" s="43"/>
    </row>
    <row r="56928" spans="65:67" ht="18.75" customHeight="1">
      <c r="BM56928" s="1025"/>
      <c r="BO56928" s="43"/>
    </row>
    <row r="56929" spans="65:67" ht="18.75" customHeight="1">
      <c r="BM56929" s="1025"/>
      <c r="BO56929" s="43"/>
    </row>
    <row r="56930" spans="65:67" ht="18.75" customHeight="1">
      <c r="BM56930" s="1025"/>
      <c r="BO56930" s="43"/>
    </row>
    <row r="56931" spans="65:67" ht="18.75" customHeight="1">
      <c r="BM56931" s="1025"/>
      <c r="BO56931" s="43"/>
    </row>
    <row r="56932" spans="65:67" ht="18.75" customHeight="1">
      <c r="BM56932" s="1025"/>
      <c r="BO56932" s="43"/>
    </row>
    <row r="56933" spans="65:67" ht="18.75" customHeight="1">
      <c r="BM56933" s="1025"/>
      <c r="BO56933" s="43"/>
    </row>
    <row r="56934" spans="65:67" ht="18.75" customHeight="1">
      <c r="BM56934" s="1025"/>
      <c r="BO56934" s="43"/>
    </row>
    <row r="56935" spans="65:67" ht="18.75" customHeight="1">
      <c r="BM56935" s="1025"/>
      <c r="BO56935" s="43"/>
    </row>
    <row r="56936" spans="65:67" ht="18.75" customHeight="1">
      <c r="BM56936" s="1025"/>
      <c r="BO56936" s="43"/>
    </row>
    <row r="56937" spans="65:67" ht="18.75" customHeight="1">
      <c r="BM56937" s="1025"/>
      <c r="BO56937" s="43"/>
    </row>
    <row r="56938" spans="65:67" ht="18.75" customHeight="1">
      <c r="BM56938" s="1025"/>
      <c r="BO56938" s="43"/>
    </row>
    <row r="56939" spans="65:67" ht="18.75" customHeight="1">
      <c r="BM56939" s="1025"/>
      <c r="BO56939" s="43"/>
    </row>
    <row r="56940" spans="65:67" ht="18.75" customHeight="1">
      <c r="BM56940" s="1025"/>
      <c r="BO56940" s="43"/>
    </row>
    <row r="56941" spans="65:67" ht="18.75" customHeight="1">
      <c r="BM56941" s="1025"/>
      <c r="BO56941" s="43"/>
    </row>
    <row r="56942" spans="65:67" ht="18.75" customHeight="1">
      <c r="BM56942" s="1025"/>
      <c r="BO56942" s="43"/>
    </row>
    <row r="56943" spans="65:67" ht="18.75" customHeight="1">
      <c r="BM56943" s="1025"/>
      <c r="BO56943" s="43"/>
    </row>
    <row r="56944" spans="65:67" ht="18.75" customHeight="1">
      <c r="BM56944" s="1025"/>
      <c r="BO56944" s="43"/>
    </row>
    <row r="56945" spans="65:67" ht="18.75" customHeight="1">
      <c r="BM56945" s="1025"/>
      <c r="BO56945" s="43"/>
    </row>
    <row r="56946" spans="65:67" ht="18.75" customHeight="1">
      <c r="BM56946" s="1025"/>
      <c r="BO56946" s="43"/>
    </row>
    <row r="56947" spans="65:67" ht="18.75" customHeight="1">
      <c r="BM56947" s="1025"/>
      <c r="BO56947" s="43"/>
    </row>
    <row r="56948" spans="65:67" ht="18.75" customHeight="1">
      <c r="BM56948" s="1025"/>
      <c r="BO56948" s="43"/>
    </row>
    <row r="56949" spans="65:67" ht="18.75" customHeight="1">
      <c r="BM56949" s="1025"/>
      <c r="BO56949" s="43"/>
    </row>
    <row r="56950" spans="65:67" ht="18.75" customHeight="1">
      <c r="BM56950" s="1025"/>
      <c r="BO56950" s="43"/>
    </row>
    <row r="56951" spans="65:67" ht="18.75" customHeight="1">
      <c r="BM56951" s="1025"/>
      <c r="BO56951" s="43"/>
    </row>
    <row r="56952" spans="65:67" ht="18.75" customHeight="1">
      <c r="BM56952" s="1025"/>
      <c r="BO56952" s="43"/>
    </row>
    <row r="56953" spans="65:67" ht="18.75" customHeight="1">
      <c r="BM56953" s="1025"/>
      <c r="BO56953" s="43"/>
    </row>
    <row r="56954" spans="65:67" ht="18.75" customHeight="1">
      <c r="BM56954" s="1025"/>
      <c r="BO56954" s="43"/>
    </row>
    <row r="56955" spans="65:67" ht="18.75" customHeight="1">
      <c r="BM56955" s="1025"/>
      <c r="BO56955" s="43"/>
    </row>
    <row r="56956" spans="65:67" ht="18.75" customHeight="1">
      <c r="BM56956" s="1025"/>
      <c r="BO56956" s="43"/>
    </row>
    <row r="56957" spans="65:67" ht="18.75" customHeight="1">
      <c r="BM56957" s="1025"/>
      <c r="BO56957" s="43"/>
    </row>
    <row r="56958" spans="65:67" ht="18.75" customHeight="1">
      <c r="BM56958" s="1025"/>
      <c r="BO56958" s="43"/>
    </row>
    <row r="56959" spans="65:67" ht="18.75" customHeight="1">
      <c r="BM56959" s="1025"/>
      <c r="BO56959" s="43"/>
    </row>
    <row r="56960" spans="65:67" ht="18.75" customHeight="1">
      <c r="BM56960" s="1025"/>
      <c r="BO56960" s="43"/>
    </row>
    <row r="56961" spans="65:67" ht="18.75" customHeight="1">
      <c r="BM56961" s="1025"/>
      <c r="BO56961" s="43"/>
    </row>
    <row r="56962" spans="65:67" ht="18.75" customHeight="1">
      <c r="BM56962" s="1025"/>
      <c r="BO56962" s="43"/>
    </row>
    <row r="56963" spans="65:67" ht="18.75" customHeight="1">
      <c r="BM56963" s="1025"/>
      <c r="BO56963" s="43"/>
    </row>
    <row r="56964" spans="65:67" ht="18.75" customHeight="1">
      <c r="BM56964" s="1025"/>
      <c r="BO56964" s="43"/>
    </row>
    <row r="56965" spans="65:67" ht="18.75" customHeight="1">
      <c r="BM56965" s="1025"/>
      <c r="BO56965" s="43"/>
    </row>
    <row r="56966" spans="65:67" ht="18.75" customHeight="1">
      <c r="BM56966" s="1025"/>
      <c r="BO56966" s="43"/>
    </row>
    <row r="56967" spans="65:67" ht="18.75" customHeight="1">
      <c r="BM56967" s="1025"/>
      <c r="BO56967" s="43"/>
    </row>
    <row r="56968" spans="65:67" ht="18.75" customHeight="1">
      <c r="BM56968" s="1025"/>
      <c r="BO56968" s="43"/>
    </row>
    <row r="56969" spans="65:67" ht="18.75" customHeight="1">
      <c r="BM56969" s="1025"/>
      <c r="BO56969" s="43"/>
    </row>
    <row r="56970" spans="65:67" ht="18.75" customHeight="1">
      <c r="BM56970" s="1025"/>
      <c r="BO56970" s="43"/>
    </row>
    <row r="56971" spans="65:67" ht="18.75" customHeight="1">
      <c r="BM56971" s="1025"/>
      <c r="BO56971" s="43"/>
    </row>
    <row r="56972" spans="65:67" ht="18.75" customHeight="1">
      <c r="BM56972" s="1025"/>
      <c r="BO56972" s="43"/>
    </row>
    <row r="56973" spans="65:67" ht="18.75" customHeight="1">
      <c r="BM56973" s="1025"/>
      <c r="BO56973" s="43"/>
    </row>
    <row r="56974" spans="65:67" ht="18.75" customHeight="1">
      <c r="BM56974" s="1025"/>
      <c r="BO56974" s="43"/>
    </row>
    <row r="56975" spans="65:67" ht="18.75" customHeight="1">
      <c r="BM56975" s="1025"/>
      <c r="BO56975" s="43"/>
    </row>
    <row r="56976" spans="65:67" ht="18.75" customHeight="1">
      <c r="BM56976" s="1025"/>
      <c r="BO56976" s="43"/>
    </row>
    <row r="56977" spans="65:67" ht="18.75" customHeight="1">
      <c r="BM56977" s="1025"/>
      <c r="BO56977" s="43"/>
    </row>
    <row r="56978" spans="65:67" ht="18.75" customHeight="1">
      <c r="BM56978" s="1025"/>
      <c r="BO56978" s="43"/>
    </row>
    <row r="56979" spans="65:67" ht="18.75" customHeight="1">
      <c r="BM56979" s="1025"/>
      <c r="BO56979" s="43"/>
    </row>
    <row r="56980" spans="65:67" ht="18.75" customHeight="1">
      <c r="BM56980" s="1025"/>
      <c r="BO56980" s="43"/>
    </row>
    <row r="56981" spans="65:67" ht="18.75" customHeight="1">
      <c r="BM56981" s="1025"/>
      <c r="BO56981" s="43"/>
    </row>
    <row r="56982" spans="65:67" ht="18.75" customHeight="1">
      <c r="BM56982" s="1025"/>
      <c r="BO56982" s="43"/>
    </row>
    <row r="56983" spans="65:67" ht="18.75" customHeight="1">
      <c r="BM56983" s="1025"/>
      <c r="BO56983" s="43"/>
    </row>
    <row r="56984" spans="65:67" ht="18.75" customHeight="1">
      <c r="BM56984" s="1025"/>
      <c r="BO56984" s="43"/>
    </row>
    <row r="56985" spans="65:67" ht="18.75" customHeight="1">
      <c r="BM56985" s="1025"/>
      <c r="BO56985" s="43"/>
    </row>
    <row r="56986" spans="65:67" ht="18.75" customHeight="1">
      <c r="BM56986" s="1025"/>
      <c r="BO56986" s="43"/>
    </row>
    <row r="56987" spans="65:67" ht="18.75" customHeight="1">
      <c r="BM56987" s="1025"/>
      <c r="BO56987" s="43"/>
    </row>
    <row r="56988" spans="65:67" ht="18.75" customHeight="1">
      <c r="BM56988" s="1025"/>
      <c r="BO56988" s="43"/>
    </row>
    <row r="56989" spans="65:67" ht="18.75" customHeight="1">
      <c r="BM56989" s="1025"/>
      <c r="BO56989" s="43"/>
    </row>
    <row r="56990" spans="65:67" ht="18.75" customHeight="1">
      <c r="BM56990" s="1025"/>
      <c r="BO56990" s="43"/>
    </row>
    <row r="56991" spans="65:67" ht="18.75" customHeight="1">
      <c r="BM56991" s="1025"/>
      <c r="BO56991" s="43"/>
    </row>
    <row r="56992" spans="65:67" ht="18.75" customHeight="1">
      <c r="BM56992" s="1025"/>
      <c r="BO56992" s="43"/>
    </row>
    <row r="56993" spans="65:67" ht="18.75" customHeight="1">
      <c r="BM56993" s="1025"/>
      <c r="BO56993" s="43"/>
    </row>
    <row r="56994" spans="65:67" ht="18.75" customHeight="1">
      <c r="BM56994" s="1025"/>
      <c r="BO56994" s="43"/>
    </row>
    <row r="56995" spans="65:67" ht="18.75" customHeight="1">
      <c r="BM56995" s="1025"/>
      <c r="BO56995" s="43"/>
    </row>
    <row r="56996" spans="65:67" ht="18.75" customHeight="1">
      <c r="BM56996" s="1025"/>
      <c r="BO56996" s="43"/>
    </row>
    <row r="56997" spans="65:67" ht="18.75" customHeight="1">
      <c r="BM56997" s="1025"/>
      <c r="BO56997" s="43"/>
    </row>
    <row r="56998" spans="65:67" ht="18.75" customHeight="1">
      <c r="BM56998" s="1025"/>
      <c r="BO56998" s="43"/>
    </row>
    <row r="56999" spans="65:67" ht="18.75" customHeight="1">
      <c r="BM56999" s="1025"/>
      <c r="BO56999" s="43"/>
    </row>
    <row r="57000" spans="65:67" ht="18.75" customHeight="1">
      <c r="BM57000" s="1025"/>
      <c r="BO57000" s="43"/>
    </row>
    <row r="57001" spans="65:67" ht="18.75" customHeight="1">
      <c r="BM57001" s="1025"/>
      <c r="BO57001" s="43"/>
    </row>
    <row r="57002" spans="65:67" ht="18.75" customHeight="1">
      <c r="BM57002" s="1025"/>
      <c r="BO57002" s="43"/>
    </row>
    <row r="57003" spans="65:67" ht="18.75" customHeight="1">
      <c r="BM57003" s="1025"/>
      <c r="BO57003" s="43"/>
    </row>
    <row r="57004" spans="65:67" ht="18.75" customHeight="1">
      <c r="BM57004" s="1025"/>
      <c r="BO57004" s="43"/>
    </row>
    <row r="57005" spans="65:67" ht="18.75" customHeight="1">
      <c r="BM57005" s="1025"/>
      <c r="BO57005" s="43"/>
    </row>
    <row r="57006" spans="65:67" ht="18.75" customHeight="1">
      <c r="BM57006" s="1025"/>
      <c r="BO57006" s="43"/>
    </row>
    <row r="57007" spans="65:67" ht="18.75" customHeight="1">
      <c r="BM57007" s="1025"/>
      <c r="BO57007" s="43"/>
    </row>
    <row r="57008" spans="65:67" ht="18.75" customHeight="1">
      <c r="BM57008" s="1025"/>
      <c r="BO57008" s="43"/>
    </row>
    <row r="57009" spans="65:67" ht="18.75" customHeight="1">
      <c r="BM57009" s="1025"/>
      <c r="BO57009" s="43"/>
    </row>
    <row r="57010" spans="65:67" ht="18.75" customHeight="1">
      <c r="BM57010" s="1025"/>
      <c r="BO57010" s="43"/>
    </row>
    <row r="57011" spans="65:67" ht="18.75" customHeight="1">
      <c r="BM57011" s="1025"/>
      <c r="BO57011" s="43"/>
    </row>
    <row r="57012" spans="65:67" ht="18.75" customHeight="1">
      <c r="BM57012" s="1025"/>
      <c r="BO57012" s="43"/>
    </row>
    <row r="57013" spans="65:67" ht="18.75" customHeight="1">
      <c r="BM57013" s="1025"/>
      <c r="BO57013" s="43"/>
    </row>
    <row r="57014" spans="65:67" ht="18.75" customHeight="1">
      <c r="BM57014" s="1025"/>
      <c r="BO57014" s="43"/>
    </row>
    <row r="57015" spans="65:67" ht="18.75" customHeight="1">
      <c r="BM57015" s="1025"/>
      <c r="BO57015" s="43"/>
    </row>
    <row r="57016" spans="65:67" ht="18.75" customHeight="1">
      <c r="BM57016" s="1025"/>
      <c r="BO57016" s="43"/>
    </row>
    <row r="57017" spans="65:67" ht="18.75" customHeight="1">
      <c r="BM57017" s="1025"/>
      <c r="BO57017" s="43"/>
    </row>
    <row r="57018" spans="65:67" ht="18.75" customHeight="1">
      <c r="BM57018" s="1025"/>
      <c r="BO57018" s="43"/>
    </row>
    <row r="57019" spans="65:67" ht="18.75" customHeight="1">
      <c r="BM57019" s="1025"/>
      <c r="BO57019" s="43"/>
    </row>
    <row r="57020" spans="65:67" ht="18.75" customHeight="1">
      <c r="BM57020" s="1025"/>
      <c r="BO57020" s="43"/>
    </row>
    <row r="57021" spans="65:67" ht="18.75" customHeight="1">
      <c r="BM57021" s="1025"/>
      <c r="BO57021" s="43"/>
    </row>
    <row r="57022" spans="65:67" ht="18.75" customHeight="1">
      <c r="BM57022" s="1025"/>
      <c r="BO57022" s="43"/>
    </row>
    <row r="57023" spans="65:67" ht="18.75" customHeight="1">
      <c r="BM57023" s="1025"/>
      <c r="BO57023" s="43"/>
    </row>
    <row r="57024" spans="65:67" ht="18.75" customHeight="1">
      <c r="BM57024" s="1025"/>
      <c r="BO57024" s="43"/>
    </row>
    <row r="57025" spans="65:67" ht="18.75" customHeight="1">
      <c r="BM57025" s="1025"/>
      <c r="BO57025" s="43"/>
    </row>
    <row r="57026" spans="65:67" ht="18.75" customHeight="1">
      <c r="BM57026" s="1025"/>
      <c r="BO57026" s="43"/>
    </row>
    <row r="57027" spans="65:67" ht="18.75" customHeight="1">
      <c r="BM57027" s="1025"/>
      <c r="BO57027" s="43"/>
    </row>
    <row r="57028" spans="65:67" ht="18.75" customHeight="1">
      <c r="BM57028" s="1025"/>
      <c r="BO57028" s="43"/>
    </row>
    <row r="57029" spans="65:67" ht="18.75" customHeight="1">
      <c r="BM57029" s="1025"/>
      <c r="BO57029" s="43"/>
    </row>
    <row r="57030" spans="65:67" ht="18.75" customHeight="1">
      <c r="BM57030" s="1025"/>
      <c r="BO57030" s="43"/>
    </row>
    <row r="57031" spans="65:67" ht="18.75" customHeight="1">
      <c r="BM57031" s="1025"/>
      <c r="BO57031" s="43"/>
    </row>
    <row r="57032" spans="65:67" ht="18.75" customHeight="1">
      <c r="BM57032" s="1025"/>
      <c r="BO57032" s="43"/>
    </row>
    <row r="57033" spans="65:67" ht="18.75" customHeight="1">
      <c r="BM57033" s="1025"/>
      <c r="BO57033" s="43"/>
    </row>
    <row r="57034" spans="65:67" ht="18.75" customHeight="1">
      <c r="BM57034" s="1025"/>
      <c r="BO57034" s="43"/>
    </row>
    <row r="57035" spans="65:67" ht="18.75" customHeight="1">
      <c r="BM57035" s="1025"/>
      <c r="BO57035" s="43"/>
    </row>
    <row r="57036" spans="65:67" ht="18.75" customHeight="1">
      <c r="BM57036" s="1025"/>
      <c r="BO57036" s="43"/>
    </row>
    <row r="57037" spans="65:67" ht="18.75" customHeight="1">
      <c r="BM57037" s="1025"/>
      <c r="BO57037" s="43"/>
    </row>
    <row r="57038" spans="65:67" ht="18.75" customHeight="1">
      <c r="BM57038" s="1025"/>
      <c r="BO57038" s="43"/>
    </row>
    <row r="57039" spans="65:67" ht="18.75" customHeight="1">
      <c r="BM57039" s="1025"/>
      <c r="BO57039" s="43"/>
    </row>
    <row r="57040" spans="65:67" ht="18.75" customHeight="1">
      <c r="BM57040" s="1025"/>
      <c r="BO57040" s="43"/>
    </row>
    <row r="57041" spans="65:67" ht="18.75" customHeight="1">
      <c r="BM57041" s="1025"/>
      <c r="BO57041" s="43"/>
    </row>
    <row r="57042" spans="65:67" ht="18.75" customHeight="1">
      <c r="BM57042" s="1025"/>
      <c r="BO57042" s="43"/>
    </row>
    <row r="57043" spans="65:67" ht="18.75" customHeight="1">
      <c r="BM57043" s="1025"/>
      <c r="BO57043" s="43"/>
    </row>
    <row r="57044" spans="65:67" ht="18.75" customHeight="1">
      <c r="BM57044" s="1025"/>
      <c r="BO57044" s="43"/>
    </row>
    <row r="57045" spans="65:67" ht="18.75" customHeight="1">
      <c r="BM57045" s="1025"/>
      <c r="BO57045" s="43"/>
    </row>
    <row r="57046" spans="65:67" ht="18.75" customHeight="1">
      <c r="BM57046" s="1025"/>
      <c r="BO57046" s="43"/>
    </row>
    <row r="57047" spans="65:67" ht="18.75" customHeight="1">
      <c r="BM57047" s="1025"/>
      <c r="BO57047" s="43"/>
    </row>
    <row r="57048" spans="65:67" ht="18.75" customHeight="1">
      <c r="BM57048" s="1025"/>
      <c r="BO57048" s="43"/>
    </row>
    <row r="57049" spans="65:67" ht="18.75" customHeight="1">
      <c r="BM57049" s="1025"/>
      <c r="BO57049" s="43"/>
    </row>
    <row r="57050" spans="65:67" ht="18.75" customHeight="1">
      <c r="BM57050" s="1025"/>
      <c r="BO57050" s="43"/>
    </row>
    <row r="57051" spans="65:67" ht="18.75" customHeight="1">
      <c r="BM57051" s="1025"/>
      <c r="BO57051" s="43"/>
    </row>
    <row r="57052" spans="65:67" ht="18.75" customHeight="1">
      <c r="BM57052" s="1025"/>
      <c r="BO57052" s="43"/>
    </row>
    <row r="57053" spans="65:67" ht="18.75" customHeight="1">
      <c r="BM57053" s="1025"/>
      <c r="BO57053" s="43"/>
    </row>
    <row r="57054" spans="65:67" ht="18.75" customHeight="1">
      <c r="BM57054" s="1025"/>
      <c r="BO57054" s="43"/>
    </row>
    <row r="57055" spans="65:67" ht="18.75" customHeight="1">
      <c r="BM57055" s="1025"/>
      <c r="BO57055" s="43"/>
    </row>
    <row r="57056" spans="65:67" ht="18.75" customHeight="1">
      <c r="BM57056" s="1025"/>
      <c r="BO57056" s="43"/>
    </row>
    <row r="57057" spans="65:67" ht="18.75" customHeight="1">
      <c r="BM57057" s="1025"/>
      <c r="BO57057" s="43"/>
    </row>
    <row r="57058" spans="65:67" ht="18.75" customHeight="1">
      <c r="BM57058" s="1025"/>
      <c r="BO57058" s="43"/>
    </row>
    <row r="57059" spans="65:67" ht="18.75" customHeight="1">
      <c r="BM57059" s="1025"/>
      <c r="BO57059" s="43"/>
    </row>
    <row r="57060" spans="65:67" ht="18.75" customHeight="1">
      <c r="BM57060" s="1025"/>
      <c r="BO57060" s="43"/>
    </row>
    <row r="57061" spans="65:67" ht="18.75" customHeight="1">
      <c r="BM57061" s="1025"/>
      <c r="BO57061" s="43"/>
    </row>
    <row r="57062" spans="65:67" ht="18.75" customHeight="1">
      <c r="BM57062" s="1025"/>
      <c r="BO57062" s="43"/>
    </row>
    <row r="57063" spans="65:67" ht="18.75" customHeight="1">
      <c r="BM57063" s="1025"/>
      <c r="BO57063" s="43"/>
    </row>
    <row r="57064" spans="65:67" ht="18.75" customHeight="1">
      <c r="BM57064" s="1025"/>
      <c r="BO57064" s="43"/>
    </row>
    <row r="57065" spans="65:67" ht="18.75" customHeight="1">
      <c r="BM57065" s="1025"/>
      <c r="BO57065" s="43"/>
    </row>
    <row r="57066" spans="65:67" ht="18.75" customHeight="1">
      <c r="BM57066" s="1025"/>
      <c r="BO57066" s="43"/>
    </row>
    <row r="57067" spans="65:67" ht="18.75" customHeight="1">
      <c r="BM57067" s="1025"/>
      <c r="BO57067" s="43"/>
    </row>
    <row r="57068" spans="65:67" ht="18.75" customHeight="1">
      <c r="BM57068" s="1025"/>
      <c r="BO57068" s="43"/>
    </row>
    <row r="57069" spans="65:67" ht="18.75" customHeight="1">
      <c r="BM57069" s="1025"/>
      <c r="BO57069" s="43"/>
    </row>
    <row r="57070" spans="65:67" ht="18.75" customHeight="1">
      <c r="BM57070" s="1025"/>
      <c r="BO57070" s="43"/>
    </row>
    <row r="57071" spans="65:67" ht="18.75" customHeight="1">
      <c r="BM57071" s="1025"/>
      <c r="BO57071" s="43"/>
    </row>
    <row r="57072" spans="65:67" ht="18.75" customHeight="1">
      <c r="BM57072" s="1025"/>
      <c r="BO57072" s="43"/>
    </row>
    <row r="57073" spans="65:67" ht="18.75" customHeight="1">
      <c r="BM57073" s="1025"/>
      <c r="BO57073" s="43"/>
    </row>
    <row r="57074" spans="65:67" ht="18.75" customHeight="1">
      <c r="BM57074" s="1025"/>
      <c r="BO57074" s="43"/>
    </row>
    <row r="57075" spans="65:67" ht="18.75" customHeight="1">
      <c r="BM57075" s="1025"/>
      <c r="BO57075" s="43"/>
    </row>
    <row r="57076" spans="65:67" ht="18.75" customHeight="1">
      <c r="BM57076" s="1025"/>
      <c r="BO57076" s="43"/>
    </row>
    <row r="57077" spans="65:67" ht="18.75" customHeight="1">
      <c r="BM57077" s="1025"/>
      <c r="BO57077" s="43"/>
    </row>
    <row r="57078" spans="65:67" ht="18.75" customHeight="1">
      <c r="BM57078" s="1025"/>
      <c r="BO57078" s="43"/>
    </row>
    <row r="57079" spans="65:67" ht="18.75" customHeight="1">
      <c r="BM57079" s="1025"/>
      <c r="BO57079" s="43"/>
    </row>
    <row r="57080" spans="65:67" ht="18.75" customHeight="1">
      <c r="BM57080" s="1025"/>
      <c r="BO57080" s="43"/>
    </row>
    <row r="57081" spans="65:67" ht="18.75" customHeight="1">
      <c r="BM57081" s="1025"/>
      <c r="BO57081" s="43"/>
    </row>
    <row r="57082" spans="65:67" ht="18.75" customHeight="1">
      <c r="BM57082" s="1025"/>
      <c r="BO57082" s="43"/>
    </row>
    <row r="57083" spans="65:67" ht="18.75" customHeight="1">
      <c r="BM57083" s="1025"/>
      <c r="BO57083" s="43"/>
    </row>
    <row r="57084" spans="65:67" ht="18.75" customHeight="1">
      <c r="BM57084" s="1025"/>
      <c r="BO57084" s="43"/>
    </row>
    <row r="57085" spans="65:67" ht="18.75" customHeight="1">
      <c r="BM57085" s="1025"/>
      <c r="BO57085" s="43"/>
    </row>
    <row r="57086" spans="65:67" ht="18.75" customHeight="1">
      <c r="BM57086" s="1025"/>
      <c r="BO57086" s="43"/>
    </row>
    <row r="57087" spans="65:67" ht="18.75" customHeight="1">
      <c r="BM57087" s="1025"/>
      <c r="BO57087" s="43"/>
    </row>
    <row r="57088" spans="65:67" ht="18.75" customHeight="1">
      <c r="BM57088" s="1025"/>
      <c r="BO57088" s="43"/>
    </row>
    <row r="57089" spans="65:67" ht="18.75" customHeight="1">
      <c r="BM57089" s="1025"/>
      <c r="BO57089" s="43"/>
    </row>
    <row r="57090" spans="65:67" ht="18.75" customHeight="1">
      <c r="BM57090" s="1025"/>
      <c r="BO57090" s="43"/>
    </row>
    <row r="57091" spans="65:67" ht="18.75" customHeight="1">
      <c r="BM57091" s="1025"/>
      <c r="BO57091" s="43"/>
    </row>
    <row r="57092" spans="65:67" ht="18.75" customHeight="1">
      <c r="BM57092" s="1025"/>
      <c r="BO57092" s="43"/>
    </row>
    <row r="57093" spans="65:67" ht="18.75" customHeight="1">
      <c r="BM57093" s="1025"/>
      <c r="BO57093" s="43"/>
    </row>
    <row r="57094" spans="65:67" ht="18.75" customHeight="1">
      <c r="BM57094" s="1025"/>
      <c r="BO57094" s="43"/>
    </row>
    <row r="57095" spans="65:67" ht="18.75" customHeight="1">
      <c r="BM57095" s="1025"/>
      <c r="BO57095" s="43"/>
    </row>
    <row r="57096" spans="65:67" ht="18.75" customHeight="1">
      <c r="BM57096" s="1025"/>
      <c r="BO57096" s="43"/>
    </row>
    <row r="57097" spans="65:67" ht="18.75" customHeight="1">
      <c r="BM57097" s="1025"/>
      <c r="BO57097" s="43"/>
    </row>
    <row r="57098" spans="65:67" ht="18.75" customHeight="1">
      <c r="BM57098" s="1025"/>
      <c r="BO57098" s="43"/>
    </row>
    <row r="57099" spans="65:67" ht="18.75" customHeight="1">
      <c r="BM57099" s="1025"/>
      <c r="BO57099" s="43"/>
    </row>
    <row r="57100" spans="65:67" ht="18.75" customHeight="1">
      <c r="BM57100" s="1025"/>
      <c r="BO57100" s="43"/>
    </row>
    <row r="57101" spans="65:67" ht="18.75" customHeight="1">
      <c r="BM57101" s="1025"/>
      <c r="BO57101" s="43"/>
    </row>
    <row r="57102" spans="65:67" ht="18.75" customHeight="1">
      <c r="BM57102" s="1025"/>
      <c r="BO57102" s="43"/>
    </row>
    <row r="57103" spans="65:67" ht="18.75" customHeight="1">
      <c r="BM57103" s="1025"/>
      <c r="BO57103" s="43"/>
    </row>
    <row r="57104" spans="65:67" ht="18.75" customHeight="1">
      <c r="BM57104" s="1025"/>
      <c r="BO57104" s="43"/>
    </row>
    <row r="57105" spans="65:67" ht="18.75" customHeight="1">
      <c r="BM57105" s="1025"/>
      <c r="BO57105" s="43"/>
    </row>
    <row r="57106" spans="65:67" ht="18.75" customHeight="1">
      <c r="BM57106" s="1025"/>
      <c r="BO57106" s="43"/>
    </row>
    <row r="57107" spans="65:67" ht="18.75" customHeight="1">
      <c r="BM57107" s="1025"/>
      <c r="BO57107" s="43"/>
    </row>
    <row r="57108" spans="65:67" ht="18.75" customHeight="1">
      <c r="BM57108" s="1025"/>
      <c r="BO57108" s="43"/>
    </row>
    <row r="57109" spans="65:67" ht="18.75" customHeight="1">
      <c r="BM57109" s="1025"/>
      <c r="BO57109" s="43"/>
    </row>
    <row r="57110" spans="65:67" ht="18.75" customHeight="1">
      <c r="BM57110" s="1025"/>
      <c r="BO57110" s="43"/>
    </row>
    <row r="57111" spans="65:67" ht="18.75" customHeight="1">
      <c r="BM57111" s="1025"/>
      <c r="BO57111" s="43"/>
    </row>
    <row r="57112" spans="65:67" ht="18.75" customHeight="1">
      <c r="BM57112" s="1025"/>
      <c r="BO57112" s="43"/>
    </row>
    <row r="57113" spans="65:67" ht="18.75" customHeight="1">
      <c r="BM57113" s="1025"/>
      <c r="BO57113" s="43"/>
    </row>
    <row r="57114" spans="65:67" ht="18.75" customHeight="1">
      <c r="BM57114" s="1025"/>
      <c r="BO57114" s="43"/>
    </row>
    <row r="57115" spans="65:67" ht="18.75" customHeight="1">
      <c r="BM57115" s="1025"/>
      <c r="BO57115" s="43"/>
    </row>
    <row r="57116" spans="65:67" ht="18.75" customHeight="1">
      <c r="BM57116" s="1025"/>
      <c r="BO57116" s="43"/>
    </row>
    <row r="57117" spans="65:67" ht="18.75" customHeight="1">
      <c r="BM57117" s="1025"/>
      <c r="BO57117" s="43"/>
    </row>
    <row r="57118" spans="65:67" ht="18.75" customHeight="1">
      <c r="BM57118" s="1025"/>
      <c r="BO57118" s="43"/>
    </row>
    <row r="57119" spans="65:67" ht="18.75" customHeight="1">
      <c r="BM57119" s="1025"/>
      <c r="BO57119" s="43"/>
    </row>
    <row r="57120" spans="65:67" ht="18.75" customHeight="1">
      <c r="BM57120" s="1025"/>
      <c r="BO57120" s="43"/>
    </row>
    <row r="57121" spans="65:67" ht="18.75" customHeight="1">
      <c r="BM57121" s="1025"/>
      <c r="BO57121" s="43"/>
    </row>
    <row r="57122" spans="65:67" ht="18.75" customHeight="1">
      <c r="BM57122" s="1025"/>
      <c r="BO57122" s="43"/>
    </row>
    <row r="57123" spans="65:67" ht="18.75" customHeight="1">
      <c r="BM57123" s="1025"/>
      <c r="BO57123" s="43"/>
    </row>
    <row r="57124" spans="65:67" ht="18.75" customHeight="1">
      <c r="BM57124" s="1025"/>
      <c r="BO57124" s="43"/>
    </row>
    <row r="57125" spans="65:67" ht="18.75" customHeight="1">
      <c r="BM57125" s="1025"/>
      <c r="BO57125" s="43"/>
    </row>
    <row r="57126" spans="65:67" ht="18.75" customHeight="1">
      <c r="BM57126" s="1025"/>
      <c r="BO57126" s="43"/>
    </row>
    <row r="57127" spans="65:67" ht="18.75" customHeight="1">
      <c r="BM57127" s="1025"/>
      <c r="BO57127" s="43"/>
    </row>
    <row r="57128" spans="65:67" ht="18.75" customHeight="1">
      <c r="BM57128" s="1025"/>
      <c r="BO57128" s="43"/>
    </row>
    <row r="57129" spans="65:67" ht="18.75" customHeight="1">
      <c r="BM57129" s="1025"/>
      <c r="BO57129" s="43"/>
    </row>
    <row r="57130" spans="65:67" ht="18.75" customHeight="1">
      <c r="BM57130" s="1025"/>
      <c r="BO57130" s="43"/>
    </row>
    <row r="57131" spans="65:67" ht="18.75" customHeight="1">
      <c r="BM57131" s="1025"/>
      <c r="BO57131" s="43"/>
    </row>
    <row r="57132" spans="65:67" ht="18.75" customHeight="1">
      <c r="BM57132" s="1025"/>
      <c r="BO57132" s="43"/>
    </row>
    <row r="57133" spans="65:67" ht="18.75" customHeight="1">
      <c r="BM57133" s="1025"/>
      <c r="BO57133" s="43"/>
    </row>
    <row r="57134" spans="65:67" ht="18.75" customHeight="1">
      <c r="BM57134" s="1025"/>
      <c r="BO57134" s="43"/>
    </row>
    <row r="57135" spans="65:67" ht="18.75" customHeight="1">
      <c r="BM57135" s="1025"/>
      <c r="BO57135" s="43"/>
    </row>
    <row r="57136" spans="65:67" ht="18.75" customHeight="1">
      <c r="BM57136" s="1025"/>
      <c r="BO57136" s="43"/>
    </row>
    <row r="57137" spans="65:67" ht="18.75" customHeight="1">
      <c r="BM57137" s="1025"/>
      <c r="BO57137" s="43"/>
    </row>
    <row r="57138" spans="65:67" ht="18.75" customHeight="1">
      <c r="BM57138" s="1025"/>
      <c r="BO57138" s="43"/>
    </row>
    <row r="57139" spans="65:67" ht="18.75" customHeight="1">
      <c r="BM57139" s="1025"/>
      <c r="BO57139" s="43"/>
    </row>
    <row r="57140" spans="65:67" ht="18.75" customHeight="1">
      <c r="BM57140" s="1025"/>
      <c r="BO57140" s="43"/>
    </row>
    <row r="57141" spans="65:67" ht="18.75" customHeight="1">
      <c r="BM57141" s="1025"/>
      <c r="BO57141" s="43"/>
    </row>
    <row r="57142" spans="65:67" ht="18.75" customHeight="1">
      <c r="BM57142" s="1025"/>
      <c r="BO57142" s="43"/>
    </row>
    <row r="57143" spans="65:67" ht="18.75" customHeight="1">
      <c r="BM57143" s="1025"/>
      <c r="BO57143" s="43"/>
    </row>
    <row r="57144" spans="65:67" ht="18.75" customHeight="1">
      <c r="BM57144" s="1025"/>
      <c r="BO57144" s="43"/>
    </row>
    <row r="57145" spans="65:67" ht="18.75" customHeight="1">
      <c r="BM57145" s="1025"/>
      <c r="BO57145" s="43"/>
    </row>
    <row r="57146" spans="65:67" ht="18.75" customHeight="1">
      <c r="BM57146" s="1025"/>
      <c r="BO57146" s="43"/>
    </row>
    <row r="57147" spans="65:67" ht="18.75" customHeight="1">
      <c r="BM57147" s="1025"/>
      <c r="BO57147" s="43"/>
    </row>
    <row r="57148" spans="65:67" ht="18.75" customHeight="1">
      <c r="BM57148" s="1025"/>
      <c r="BO57148" s="43"/>
    </row>
    <row r="57149" spans="65:67" ht="18.75" customHeight="1">
      <c r="BM57149" s="1025"/>
      <c r="BO57149" s="43"/>
    </row>
    <row r="57150" spans="65:67" ht="18.75" customHeight="1">
      <c r="BM57150" s="1025"/>
      <c r="BO57150" s="43"/>
    </row>
    <row r="57151" spans="65:67" ht="18.75" customHeight="1">
      <c r="BM57151" s="1025"/>
      <c r="BO57151" s="43"/>
    </row>
    <row r="57152" spans="65:67" ht="18.75" customHeight="1">
      <c r="BM57152" s="1025"/>
      <c r="BO57152" s="43"/>
    </row>
    <row r="57153" spans="65:67" ht="18.75" customHeight="1">
      <c r="BM57153" s="1025"/>
      <c r="BO57153" s="43"/>
    </row>
    <row r="57154" spans="65:67" ht="18.75" customHeight="1">
      <c r="BM57154" s="1025"/>
      <c r="BO57154" s="43"/>
    </row>
    <row r="57155" spans="65:67" ht="18.75" customHeight="1">
      <c r="BM57155" s="1025"/>
      <c r="BO57155" s="43"/>
    </row>
    <row r="57156" spans="65:67" ht="18.75" customHeight="1">
      <c r="BM57156" s="1025"/>
      <c r="BO57156" s="43"/>
    </row>
    <row r="57157" spans="65:67" ht="18.75" customHeight="1">
      <c r="BM57157" s="1025"/>
      <c r="BO57157" s="43"/>
    </row>
    <row r="57158" spans="65:67" ht="18.75" customHeight="1">
      <c r="BM57158" s="1025"/>
      <c r="BO57158" s="43"/>
    </row>
    <row r="57159" spans="65:67" ht="18.75" customHeight="1">
      <c r="BM57159" s="1025"/>
      <c r="BO57159" s="43"/>
    </row>
    <row r="57160" spans="65:67" ht="18.75" customHeight="1">
      <c r="BM57160" s="1025"/>
      <c r="BO57160" s="43"/>
    </row>
    <row r="57161" spans="65:67" ht="18.75" customHeight="1">
      <c r="BM57161" s="1025"/>
      <c r="BO57161" s="43"/>
    </row>
    <row r="57162" spans="65:67" ht="18.75" customHeight="1">
      <c r="BM57162" s="1025"/>
      <c r="BO57162" s="43"/>
    </row>
    <row r="57163" spans="65:67" ht="18.75" customHeight="1">
      <c r="BM57163" s="1025"/>
      <c r="BO57163" s="43"/>
    </row>
    <row r="57164" spans="65:67" ht="18.75" customHeight="1">
      <c r="BM57164" s="1025"/>
      <c r="BO57164" s="43"/>
    </row>
    <row r="57165" spans="65:67" ht="18.75" customHeight="1">
      <c r="BM57165" s="1025"/>
      <c r="BO57165" s="43"/>
    </row>
    <row r="57166" spans="65:67" ht="18.75" customHeight="1">
      <c r="BM57166" s="1025"/>
      <c r="BO57166" s="43"/>
    </row>
    <row r="57167" spans="65:67" ht="18.75" customHeight="1">
      <c r="BM57167" s="1025"/>
      <c r="BO57167" s="43"/>
    </row>
    <row r="57168" spans="65:67" ht="18.75" customHeight="1">
      <c r="BM57168" s="1025"/>
      <c r="BO57168" s="43"/>
    </row>
    <row r="57169" spans="65:67" ht="18.75" customHeight="1">
      <c r="BM57169" s="1025"/>
      <c r="BO57169" s="43"/>
    </row>
    <row r="57170" spans="65:67" ht="18.75" customHeight="1">
      <c r="BM57170" s="1025"/>
      <c r="BO57170" s="43"/>
    </row>
    <row r="57171" spans="65:67" ht="18.75" customHeight="1">
      <c r="BM57171" s="1025"/>
      <c r="BO57171" s="43"/>
    </row>
    <row r="57172" spans="65:67" ht="18.75" customHeight="1">
      <c r="BM57172" s="1025"/>
      <c r="BO57172" s="43"/>
    </row>
    <row r="57173" spans="65:67" ht="18.75" customHeight="1">
      <c r="BM57173" s="1025"/>
      <c r="BO57173" s="43"/>
    </row>
    <row r="57174" spans="65:67" ht="18.75" customHeight="1">
      <c r="BM57174" s="1025"/>
      <c r="BO57174" s="43"/>
    </row>
    <row r="57175" spans="65:67" ht="18.75" customHeight="1">
      <c r="BM57175" s="1025"/>
      <c r="BO57175" s="43"/>
    </row>
    <row r="57176" spans="65:67" ht="18.75" customHeight="1">
      <c r="BM57176" s="1025"/>
      <c r="BO57176" s="43"/>
    </row>
    <row r="57177" spans="65:67" ht="18.75" customHeight="1">
      <c r="BM57177" s="1025"/>
      <c r="BO57177" s="43"/>
    </row>
    <row r="57178" spans="65:67" ht="18.75" customHeight="1">
      <c r="BM57178" s="1025"/>
      <c r="BO57178" s="43"/>
    </row>
    <row r="57179" spans="65:67" ht="18.75" customHeight="1">
      <c r="BM57179" s="1025"/>
      <c r="BO57179" s="43"/>
    </row>
    <row r="57180" spans="65:67" ht="18.75" customHeight="1">
      <c r="BM57180" s="1025"/>
      <c r="BO57180" s="43"/>
    </row>
    <row r="57181" spans="65:67" ht="18.75" customHeight="1">
      <c r="BM57181" s="1025"/>
      <c r="BO57181" s="43"/>
    </row>
    <row r="57182" spans="65:67" ht="18.75" customHeight="1">
      <c r="BM57182" s="1025"/>
      <c r="BO57182" s="43"/>
    </row>
    <row r="57183" spans="65:67" ht="18.75" customHeight="1">
      <c r="BM57183" s="1025"/>
      <c r="BO57183" s="43"/>
    </row>
    <row r="57184" spans="65:67" ht="18.75" customHeight="1">
      <c r="BM57184" s="1025"/>
      <c r="BO57184" s="43"/>
    </row>
    <row r="57185" spans="65:67" ht="18.75" customHeight="1">
      <c r="BM57185" s="1025"/>
      <c r="BO57185" s="43"/>
    </row>
    <row r="57186" spans="65:67" ht="18.75" customHeight="1">
      <c r="BM57186" s="1025"/>
      <c r="BO57186" s="43"/>
    </row>
    <row r="57187" spans="65:67" ht="18.75" customHeight="1">
      <c r="BM57187" s="1025"/>
      <c r="BO57187" s="43"/>
    </row>
    <row r="57188" spans="65:67" ht="18.75" customHeight="1">
      <c r="BM57188" s="1025"/>
      <c r="BO57188" s="43"/>
    </row>
    <row r="57189" spans="65:67" ht="18.75" customHeight="1">
      <c r="BM57189" s="1025"/>
      <c r="BO57189" s="43"/>
    </row>
    <row r="57190" spans="65:67" ht="18.75" customHeight="1">
      <c r="BM57190" s="1025"/>
      <c r="BO57190" s="43"/>
    </row>
    <row r="57191" spans="65:67" ht="18.75" customHeight="1">
      <c r="BM57191" s="1025"/>
      <c r="BO57191" s="43"/>
    </row>
    <row r="57192" spans="65:67" ht="18.75" customHeight="1">
      <c r="BM57192" s="1025"/>
      <c r="BO57192" s="43"/>
    </row>
    <row r="57193" spans="65:67" ht="18.75" customHeight="1">
      <c r="BM57193" s="1025"/>
      <c r="BO57193" s="43"/>
    </row>
    <row r="57194" spans="65:67" ht="18.75" customHeight="1">
      <c r="BM57194" s="1025"/>
      <c r="BO57194" s="43"/>
    </row>
    <row r="57195" spans="65:67" ht="18.75" customHeight="1">
      <c r="BM57195" s="1025"/>
      <c r="BO57195" s="43"/>
    </row>
    <row r="57196" spans="65:67" ht="18.75" customHeight="1">
      <c r="BM57196" s="1025"/>
      <c r="BO57196" s="43"/>
    </row>
    <row r="57197" spans="65:67" ht="18.75" customHeight="1">
      <c r="BM57197" s="1025"/>
      <c r="BO57197" s="43"/>
    </row>
    <row r="57198" spans="65:67" ht="18.75" customHeight="1">
      <c r="BM57198" s="1025"/>
      <c r="BO57198" s="43"/>
    </row>
    <row r="57199" spans="65:67" ht="18.75" customHeight="1">
      <c r="BM57199" s="1025"/>
      <c r="BO57199" s="43"/>
    </row>
    <row r="57200" spans="65:67" ht="18.75" customHeight="1">
      <c r="BM57200" s="1025"/>
      <c r="BO57200" s="43"/>
    </row>
    <row r="57201" spans="65:67" ht="18.75" customHeight="1">
      <c r="BM57201" s="1025"/>
      <c r="BO57201" s="43"/>
    </row>
    <row r="57202" spans="65:67" ht="18.75" customHeight="1">
      <c r="BM57202" s="1025"/>
      <c r="BO57202" s="43"/>
    </row>
    <row r="57203" spans="65:67" ht="18.75" customHeight="1">
      <c r="BM57203" s="1025"/>
      <c r="BO57203" s="43"/>
    </row>
    <row r="57204" spans="65:67" ht="18.75" customHeight="1">
      <c r="BM57204" s="1025"/>
      <c r="BO57204" s="43"/>
    </row>
    <row r="57205" spans="65:67" ht="18.75" customHeight="1">
      <c r="BM57205" s="1025"/>
      <c r="BO57205" s="43"/>
    </row>
    <row r="57206" spans="65:67" ht="18.75" customHeight="1">
      <c r="BM57206" s="1025"/>
      <c r="BO57206" s="43"/>
    </row>
    <row r="57207" spans="65:67" ht="18.75" customHeight="1">
      <c r="BM57207" s="1025"/>
      <c r="BO57207" s="43"/>
    </row>
    <row r="57208" spans="65:67" ht="18.75" customHeight="1">
      <c r="BM57208" s="1025"/>
      <c r="BO57208" s="43"/>
    </row>
    <row r="57209" spans="65:67" ht="18.75" customHeight="1">
      <c r="BM57209" s="1025"/>
      <c r="BO57209" s="43"/>
    </row>
    <row r="57210" spans="65:67" ht="18.75" customHeight="1">
      <c r="BM57210" s="1025"/>
      <c r="BO57210" s="43"/>
    </row>
    <row r="57211" spans="65:67" ht="18.75" customHeight="1">
      <c r="BM57211" s="1025"/>
      <c r="BO57211" s="43"/>
    </row>
    <row r="57212" spans="65:67" ht="18.75" customHeight="1">
      <c r="BM57212" s="1025"/>
      <c r="BO57212" s="43"/>
    </row>
    <row r="57213" spans="65:67" ht="18.75" customHeight="1">
      <c r="BM57213" s="1025"/>
      <c r="BO57213" s="43"/>
    </row>
    <row r="57214" spans="65:67" ht="18.75" customHeight="1">
      <c r="BM57214" s="1025"/>
      <c r="BO57214" s="43"/>
    </row>
    <row r="57215" spans="65:67" ht="18.75" customHeight="1">
      <c r="BM57215" s="1025"/>
      <c r="BO57215" s="43"/>
    </row>
    <row r="57216" spans="65:67" ht="18.75" customHeight="1">
      <c r="BM57216" s="1025"/>
      <c r="BO57216" s="43"/>
    </row>
    <row r="57217" spans="65:67" ht="18.75" customHeight="1">
      <c r="BM57217" s="1025"/>
      <c r="BO57217" s="43"/>
    </row>
    <row r="57218" spans="65:67" ht="18.75" customHeight="1">
      <c r="BM57218" s="1025"/>
      <c r="BO57218" s="43"/>
    </row>
    <row r="57219" spans="65:67" ht="18.75" customHeight="1">
      <c r="BM57219" s="1025"/>
      <c r="BO57219" s="43"/>
    </row>
    <row r="57220" spans="65:67" ht="18.75" customHeight="1">
      <c r="BM57220" s="1025"/>
      <c r="BO57220" s="43"/>
    </row>
    <row r="57221" spans="65:67" ht="18.75" customHeight="1">
      <c r="BM57221" s="1025"/>
      <c r="BO57221" s="43"/>
    </row>
    <row r="57222" spans="65:67" ht="18.75" customHeight="1">
      <c r="BM57222" s="1025"/>
      <c r="BO57222" s="43"/>
    </row>
    <row r="57223" spans="65:67" ht="18.75" customHeight="1">
      <c r="BM57223" s="1025"/>
      <c r="BO57223" s="43"/>
    </row>
    <row r="57224" spans="65:67" ht="18.75" customHeight="1">
      <c r="BM57224" s="1025"/>
      <c r="BO57224" s="43"/>
    </row>
    <row r="57225" spans="65:67" ht="18.75" customHeight="1">
      <c r="BM57225" s="1025"/>
      <c r="BO57225" s="43"/>
    </row>
    <row r="57226" spans="65:67" ht="18.75" customHeight="1">
      <c r="BM57226" s="1025"/>
      <c r="BO57226" s="43"/>
    </row>
    <row r="57227" spans="65:67" ht="18.75" customHeight="1">
      <c r="BM57227" s="1025"/>
      <c r="BO57227" s="43"/>
    </row>
    <row r="57228" spans="65:67" ht="18.75" customHeight="1">
      <c r="BM57228" s="1025"/>
      <c r="BO57228" s="43"/>
    </row>
    <row r="57229" spans="65:67" ht="18.75" customHeight="1">
      <c r="BM57229" s="1025"/>
      <c r="BO57229" s="43"/>
    </row>
    <row r="57230" spans="65:67" ht="18.75" customHeight="1">
      <c r="BM57230" s="1025"/>
      <c r="BO57230" s="43"/>
    </row>
    <row r="57231" spans="65:67" ht="18.75" customHeight="1">
      <c r="BM57231" s="1025"/>
      <c r="BO57231" s="43"/>
    </row>
    <row r="57232" spans="65:67" ht="18.75" customHeight="1">
      <c r="BM57232" s="1025"/>
      <c r="BO57232" s="43"/>
    </row>
    <row r="57233" spans="65:67" ht="18.75" customHeight="1">
      <c r="BM57233" s="1025"/>
      <c r="BO57233" s="43"/>
    </row>
    <row r="57234" spans="65:67" ht="18.75" customHeight="1">
      <c r="BM57234" s="1025"/>
      <c r="BO57234" s="43"/>
    </row>
    <row r="57235" spans="65:67" ht="18.75" customHeight="1">
      <c r="BM57235" s="1025"/>
      <c r="BO57235" s="43"/>
    </row>
    <row r="57236" spans="65:67" ht="18.75" customHeight="1">
      <c r="BM57236" s="1025"/>
      <c r="BO57236" s="43"/>
    </row>
    <row r="57237" spans="65:67" ht="18.75" customHeight="1">
      <c r="BM57237" s="1025"/>
      <c r="BO57237" s="43"/>
    </row>
    <row r="57238" spans="65:67" ht="18.75" customHeight="1">
      <c r="BM57238" s="1025"/>
      <c r="BO57238" s="43"/>
    </row>
    <row r="57239" spans="65:67" ht="18.75" customHeight="1">
      <c r="BM57239" s="1025"/>
      <c r="BO57239" s="43"/>
    </row>
    <row r="57240" spans="65:67" ht="18.75" customHeight="1">
      <c r="BM57240" s="1025"/>
      <c r="BO57240" s="43"/>
    </row>
    <row r="57241" spans="65:67" ht="18.75" customHeight="1">
      <c r="BM57241" s="1025"/>
      <c r="BO57241" s="43"/>
    </row>
    <row r="57242" spans="65:67" ht="18.75" customHeight="1">
      <c r="BM57242" s="1025"/>
      <c r="BO57242" s="43"/>
    </row>
    <row r="57243" spans="65:67" ht="18.75" customHeight="1">
      <c r="BM57243" s="1025"/>
      <c r="BO57243" s="43"/>
    </row>
    <row r="57244" spans="65:67" ht="18.75" customHeight="1">
      <c r="BM57244" s="1025"/>
      <c r="BO57244" s="43"/>
    </row>
    <row r="57245" spans="65:67" ht="18.75" customHeight="1">
      <c r="BM57245" s="1025"/>
      <c r="BO57245" s="43"/>
    </row>
    <row r="57246" spans="65:67" ht="18.75" customHeight="1">
      <c r="BM57246" s="1025"/>
      <c r="BO57246" s="43"/>
    </row>
    <row r="57247" spans="65:67" ht="18.75" customHeight="1">
      <c r="BM57247" s="1025"/>
      <c r="BO57247" s="43"/>
    </row>
    <row r="57248" spans="65:67" ht="18.75" customHeight="1">
      <c r="BM57248" s="1025"/>
      <c r="BO57248" s="43"/>
    </row>
    <row r="57249" spans="65:67" ht="18.75" customHeight="1">
      <c r="BM57249" s="1025"/>
      <c r="BO57249" s="43"/>
    </row>
    <row r="57250" spans="65:67" ht="18.75" customHeight="1">
      <c r="BM57250" s="1025"/>
      <c r="BO57250" s="43"/>
    </row>
    <row r="57251" spans="65:67" ht="18.75" customHeight="1">
      <c r="BM57251" s="1025"/>
      <c r="BO57251" s="43"/>
    </row>
    <row r="57252" spans="65:67" ht="18.75" customHeight="1">
      <c r="BM57252" s="1025"/>
      <c r="BO57252" s="43"/>
    </row>
    <row r="57253" spans="65:67" ht="18.75" customHeight="1">
      <c r="BM57253" s="1025"/>
      <c r="BO57253" s="43"/>
    </row>
    <row r="57254" spans="65:67" ht="18.75" customHeight="1">
      <c r="BM57254" s="1025"/>
      <c r="BO57254" s="43"/>
    </row>
    <row r="57255" spans="65:67" ht="18.75" customHeight="1">
      <c r="BM57255" s="1025"/>
      <c r="BO57255" s="43"/>
    </row>
    <row r="57256" spans="65:67" ht="18.75" customHeight="1">
      <c r="BM57256" s="1025"/>
      <c r="BO57256" s="43"/>
    </row>
    <row r="57257" spans="65:67" ht="18.75" customHeight="1">
      <c r="BM57257" s="1025"/>
      <c r="BO57257" s="43"/>
    </row>
    <row r="57258" spans="65:67" ht="18.75" customHeight="1">
      <c r="BM57258" s="1025"/>
      <c r="BO57258" s="43"/>
    </row>
    <row r="57259" spans="65:67" ht="18.75" customHeight="1">
      <c r="BM57259" s="1025"/>
      <c r="BO57259" s="43"/>
    </row>
    <row r="57260" spans="65:67" ht="18.75" customHeight="1">
      <c r="BM57260" s="1025"/>
      <c r="BO57260" s="43"/>
    </row>
    <row r="57261" spans="65:67" ht="18.75" customHeight="1">
      <c r="BM57261" s="1025"/>
      <c r="BO57261" s="43"/>
    </row>
    <row r="57262" spans="65:67" ht="18.75" customHeight="1">
      <c r="BM57262" s="1025"/>
      <c r="BO57262" s="43"/>
    </row>
    <row r="57263" spans="65:67" ht="18.75" customHeight="1">
      <c r="BM57263" s="1025"/>
      <c r="BO57263" s="43"/>
    </row>
    <row r="57264" spans="65:67" ht="18.75" customHeight="1">
      <c r="BM57264" s="1025"/>
      <c r="BO57264" s="43"/>
    </row>
    <row r="57265" spans="65:67" ht="18.75" customHeight="1">
      <c r="BM57265" s="1025"/>
      <c r="BO57265" s="43"/>
    </row>
    <row r="57266" spans="65:67" ht="18.75" customHeight="1">
      <c r="BM57266" s="1025"/>
      <c r="BO57266" s="43"/>
    </row>
    <row r="57267" spans="65:67" ht="18.75" customHeight="1">
      <c r="BM57267" s="1025"/>
      <c r="BO57267" s="43"/>
    </row>
    <row r="57268" spans="65:67" ht="18.75" customHeight="1">
      <c r="BM57268" s="1025"/>
      <c r="BO57268" s="43"/>
    </row>
    <row r="57269" spans="65:67" ht="18.75" customHeight="1">
      <c r="BM57269" s="1025"/>
      <c r="BO57269" s="43"/>
    </row>
    <row r="57270" spans="65:67" ht="18.75" customHeight="1">
      <c r="BM57270" s="1025"/>
      <c r="BO57270" s="43"/>
    </row>
    <row r="57271" spans="65:67" ht="18.75" customHeight="1">
      <c r="BM57271" s="1025"/>
      <c r="BO57271" s="43"/>
    </row>
    <row r="57272" spans="65:67" ht="18.75" customHeight="1">
      <c r="BM57272" s="1025"/>
      <c r="BO57272" s="43"/>
    </row>
    <row r="57273" spans="65:67" ht="18.75" customHeight="1">
      <c r="BM57273" s="1025"/>
      <c r="BO57273" s="43"/>
    </row>
    <row r="57274" spans="65:67" ht="18.75" customHeight="1">
      <c r="BM57274" s="1025"/>
      <c r="BO57274" s="43"/>
    </row>
    <row r="57275" spans="65:67" ht="18.75" customHeight="1">
      <c r="BM57275" s="1025"/>
      <c r="BO57275" s="43"/>
    </row>
    <row r="57276" spans="65:67" ht="18.75" customHeight="1">
      <c r="BM57276" s="1025"/>
      <c r="BO57276" s="43"/>
    </row>
    <row r="57277" spans="65:67" ht="18.75" customHeight="1">
      <c r="BM57277" s="1025"/>
      <c r="BO57277" s="43"/>
    </row>
    <row r="57278" spans="65:67" ht="18.75" customHeight="1">
      <c r="BM57278" s="1025"/>
      <c r="BO57278" s="43"/>
    </row>
    <row r="57279" spans="65:67" ht="18.75" customHeight="1">
      <c r="BM57279" s="1025"/>
      <c r="BO57279" s="43"/>
    </row>
    <row r="57280" spans="65:67" ht="18.75" customHeight="1">
      <c r="BM57280" s="1025"/>
      <c r="BO57280" s="43"/>
    </row>
    <row r="57281" spans="65:67" ht="18.75" customHeight="1">
      <c r="BM57281" s="1025"/>
      <c r="BO57281" s="43"/>
    </row>
    <row r="57282" spans="65:67" ht="18.75" customHeight="1">
      <c r="BM57282" s="1025"/>
      <c r="BO57282" s="43"/>
    </row>
    <row r="57283" spans="65:67" ht="18.75" customHeight="1">
      <c r="BM57283" s="1025"/>
      <c r="BO57283" s="43"/>
    </row>
    <row r="57284" spans="65:67" ht="18.75" customHeight="1">
      <c r="BM57284" s="1025"/>
      <c r="BO57284" s="43"/>
    </row>
    <row r="57285" spans="65:67" ht="18.75" customHeight="1">
      <c r="BM57285" s="1025"/>
      <c r="BO57285" s="43"/>
    </row>
    <row r="57286" spans="65:67" ht="18.75" customHeight="1">
      <c r="BM57286" s="1025"/>
      <c r="BO57286" s="43"/>
    </row>
    <row r="57287" spans="65:67" ht="18.75" customHeight="1">
      <c r="BM57287" s="1025"/>
      <c r="BO57287" s="43"/>
    </row>
    <row r="57288" spans="65:67" ht="18.75" customHeight="1">
      <c r="BM57288" s="1025"/>
      <c r="BO57288" s="43"/>
    </row>
    <row r="57289" spans="65:67" ht="18.75" customHeight="1">
      <c r="BM57289" s="1025"/>
      <c r="BO57289" s="43"/>
    </row>
    <row r="57290" spans="65:67" ht="18.75" customHeight="1">
      <c r="BM57290" s="1025"/>
      <c r="BO57290" s="43"/>
    </row>
    <row r="57291" spans="65:67" ht="18.75" customHeight="1">
      <c r="BM57291" s="1025"/>
      <c r="BO57291" s="43"/>
    </row>
    <row r="57292" spans="65:67" ht="18.75" customHeight="1">
      <c r="BM57292" s="1025"/>
      <c r="BO57292" s="43"/>
    </row>
    <row r="57293" spans="65:67" ht="18.75" customHeight="1">
      <c r="BM57293" s="1025"/>
      <c r="BO57293" s="43"/>
    </row>
    <row r="57294" spans="65:67" ht="18.75" customHeight="1">
      <c r="BM57294" s="1025"/>
      <c r="BO57294" s="43"/>
    </row>
    <row r="57295" spans="65:67" ht="18.75" customHeight="1">
      <c r="BM57295" s="1025"/>
      <c r="BO57295" s="43"/>
    </row>
    <row r="57296" spans="65:67" ht="18.75" customHeight="1">
      <c r="BM57296" s="1025"/>
      <c r="BO57296" s="43"/>
    </row>
    <row r="57297" spans="65:67" ht="18.75" customHeight="1">
      <c r="BM57297" s="1025"/>
      <c r="BO57297" s="43"/>
    </row>
    <row r="57298" spans="65:67" ht="18.75" customHeight="1">
      <c r="BM57298" s="1025"/>
      <c r="BO57298" s="43"/>
    </row>
    <row r="57299" spans="65:67" ht="18.75" customHeight="1">
      <c r="BM57299" s="1025"/>
      <c r="BO57299" s="43"/>
    </row>
    <row r="57300" spans="65:67" ht="18.75" customHeight="1">
      <c r="BM57300" s="1025"/>
      <c r="BO57300" s="43"/>
    </row>
    <row r="57301" spans="65:67" ht="18.75" customHeight="1">
      <c r="BM57301" s="1025"/>
      <c r="BO57301" s="43"/>
    </row>
    <row r="57302" spans="65:67" ht="18.75" customHeight="1">
      <c r="BM57302" s="1025"/>
      <c r="BO57302" s="43"/>
    </row>
    <row r="57303" spans="65:67" ht="18.75" customHeight="1">
      <c r="BM57303" s="1025"/>
      <c r="BO57303" s="43"/>
    </row>
    <row r="57304" spans="65:67" ht="18.75" customHeight="1">
      <c r="BM57304" s="1025"/>
      <c r="BO57304" s="43"/>
    </row>
    <row r="57305" spans="65:67" ht="18.75" customHeight="1">
      <c r="BM57305" s="1025"/>
      <c r="BO57305" s="43"/>
    </row>
    <row r="57306" spans="65:67" ht="18.75" customHeight="1">
      <c r="BM57306" s="1025"/>
      <c r="BO57306" s="43"/>
    </row>
    <row r="57307" spans="65:67" ht="18.75" customHeight="1">
      <c r="BM57307" s="1025"/>
      <c r="BO57307" s="43"/>
    </row>
    <row r="57308" spans="65:67" ht="18.75" customHeight="1">
      <c r="BM57308" s="1025"/>
      <c r="BO57308" s="43"/>
    </row>
    <row r="57309" spans="65:67" ht="18.75" customHeight="1">
      <c r="BM57309" s="1025"/>
      <c r="BO57309" s="43"/>
    </row>
    <row r="57310" spans="65:67" ht="18.75" customHeight="1">
      <c r="BM57310" s="1025"/>
      <c r="BO57310" s="43"/>
    </row>
    <row r="57311" spans="65:67" ht="18.75" customHeight="1">
      <c r="BM57311" s="1025"/>
      <c r="BO57311" s="43"/>
    </row>
    <row r="57312" spans="65:67" ht="18.75" customHeight="1">
      <c r="BM57312" s="1025"/>
      <c r="BO57312" s="43"/>
    </row>
    <row r="57313" spans="65:67" ht="18.75" customHeight="1">
      <c r="BM57313" s="1025"/>
      <c r="BO57313" s="43"/>
    </row>
    <row r="57314" spans="65:67" ht="18.75" customHeight="1">
      <c r="BM57314" s="1025"/>
      <c r="BO57314" s="43"/>
    </row>
    <row r="57315" spans="65:67" ht="18.75" customHeight="1">
      <c r="BM57315" s="1025"/>
      <c r="BO57315" s="43"/>
    </row>
    <row r="57316" spans="65:67" ht="18.75" customHeight="1">
      <c r="BM57316" s="1025"/>
      <c r="BO57316" s="43"/>
    </row>
    <row r="57317" spans="65:67" ht="18.75" customHeight="1">
      <c r="BM57317" s="1025"/>
      <c r="BO57317" s="43"/>
    </row>
    <row r="57318" spans="65:67" ht="18.75" customHeight="1">
      <c r="BM57318" s="1025"/>
      <c r="BO57318" s="43"/>
    </row>
    <row r="57319" spans="65:67" ht="18.75" customHeight="1">
      <c r="BM57319" s="1025"/>
      <c r="BO57319" s="43"/>
    </row>
    <row r="57320" spans="65:67" ht="18.75" customHeight="1">
      <c r="BM57320" s="1025"/>
      <c r="BO57320" s="43"/>
    </row>
    <row r="57321" spans="65:67" ht="18.75" customHeight="1">
      <c r="BM57321" s="1025"/>
      <c r="BO57321" s="43"/>
    </row>
    <row r="57322" spans="65:67" ht="18.75" customHeight="1">
      <c r="BM57322" s="1025"/>
      <c r="BO57322" s="43"/>
    </row>
    <row r="57323" spans="65:67" ht="18.75" customHeight="1">
      <c r="BM57323" s="1025"/>
      <c r="BO57323" s="43"/>
    </row>
    <row r="57324" spans="65:67" ht="18.75" customHeight="1">
      <c r="BM57324" s="1025"/>
      <c r="BO57324" s="43"/>
    </row>
    <row r="57325" spans="65:67" ht="18.75" customHeight="1">
      <c r="BM57325" s="1025"/>
      <c r="BO57325" s="43"/>
    </row>
    <row r="57326" spans="65:67" ht="18.75" customHeight="1">
      <c r="BM57326" s="1025"/>
      <c r="BO57326" s="43"/>
    </row>
    <row r="57327" spans="65:67" ht="18.75" customHeight="1">
      <c r="BM57327" s="1025"/>
      <c r="BO57327" s="43"/>
    </row>
    <row r="57328" spans="65:67" ht="18.75" customHeight="1">
      <c r="BM57328" s="1025"/>
      <c r="BO57328" s="43"/>
    </row>
    <row r="57329" spans="65:67" ht="18.75" customHeight="1">
      <c r="BM57329" s="1025"/>
      <c r="BO57329" s="43"/>
    </row>
    <row r="57330" spans="65:67" ht="18.75" customHeight="1">
      <c r="BM57330" s="1025"/>
      <c r="BO57330" s="43"/>
    </row>
    <row r="57331" spans="65:67" ht="18.75" customHeight="1">
      <c r="BM57331" s="1025"/>
      <c r="BO57331" s="43"/>
    </row>
    <row r="57332" spans="65:67" ht="18.75" customHeight="1">
      <c r="BM57332" s="1025"/>
      <c r="BO57332" s="43"/>
    </row>
    <row r="57333" spans="65:67" ht="18.75" customHeight="1">
      <c r="BM57333" s="1025"/>
      <c r="BO57333" s="43"/>
    </row>
    <row r="57334" spans="65:67" ht="18.75" customHeight="1">
      <c r="BM57334" s="1025"/>
      <c r="BO57334" s="43"/>
    </row>
    <row r="57335" spans="65:67" ht="18.75" customHeight="1">
      <c r="BM57335" s="1025"/>
      <c r="BO57335" s="43"/>
    </row>
    <row r="57336" spans="65:67" ht="18.75" customHeight="1">
      <c r="BM57336" s="1025"/>
      <c r="BO57336" s="43"/>
    </row>
    <row r="57337" spans="65:67" ht="18.75" customHeight="1">
      <c r="BM57337" s="1025"/>
      <c r="BO57337" s="43"/>
    </row>
    <row r="57338" spans="65:67" ht="18.75" customHeight="1">
      <c r="BM57338" s="1025"/>
      <c r="BO57338" s="43"/>
    </row>
    <row r="57339" spans="65:67" ht="18.75" customHeight="1">
      <c r="BM57339" s="1025"/>
      <c r="BO57339" s="43"/>
    </row>
    <row r="57340" spans="65:67" ht="18.75" customHeight="1">
      <c r="BM57340" s="1025"/>
      <c r="BO57340" s="43"/>
    </row>
    <row r="57341" spans="65:67" ht="18.75" customHeight="1">
      <c r="BM57341" s="1025"/>
      <c r="BO57341" s="43"/>
    </row>
    <row r="57342" spans="65:67" ht="18.75" customHeight="1">
      <c r="BM57342" s="1025"/>
      <c r="BO57342" s="43"/>
    </row>
    <row r="57343" spans="65:67" ht="18.75" customHeight="1">
      <c r="BM57343" s="1025"/>
      <c r="BO57343" s="43"/>
    </row>
    <row r="57344" spans="65:67" ht="18.75" customHeight="1">
      <c r="BM57344" s="1025"/>
      <c r="BO57344" s="43"/>
    </row>
    <row r="57345" spans="65:67" ht="18.75" customHeight="1">
      <c r="BM57345" s="1025"/>
      <c r="BO57345" s="43"/>
    </row>
    <row r="57346" spans="65:67" ht="18.75" customHeight="1">
      <c r="BM57346" s="1025"/>
      <c r="BO57346" s="43"/>
    </row>
    <row r="57347" spans="65:67" ht="18.75" customHeight="1">
      <c r="BM57347" s="1025"/>
      <c r="BO57347" s="43"/>
    </row>
    <row r="57348" spans="65:67" ht="18.75" customHeight="1">
      <c r="BM57348" s="1025"/>
      <c r="BO57348" s="43"/>
    </row>
    <row r="57349" spans="65:67" ht="18.75" customHeight="1">
      <c r="BM57349" s="1025"/>
      <c r="BO57349" s="43"/>
    </row>
    <row r="57350" spans="65:67" ht="18.75" customHeight="1">
      <c r="BM57350" s="1025"/>
      <c r="BO57350" s="43"/>
    </row>
    <row r="57351" spans="65:67" ht="18.75" customHeight="1">
      <c r="BM57351" s="1025"/>
      <c r="BO57351" s="43"/>
    </row>
    <row r="57352" spans="65:67" ht="18.75" customHeight="1">
      <c r="BM57352" s="1025"/>
      <c r="BO57352" s="43"/>
    </row>
    <row r="57353" spans="65:67" ht="18.75" customHeight="1">
      <c r="BM57353" s="1025"/>
      <c r="BO57353" s="43"/>
    </row>
    <row r="57354" spans="65:67" ht="18.75" customHeight="1">
      <c r="BM57354" s="1025"/>
      <c r="BO57354" s="43"/>
    </row>
    <row r="57355" spans="65:67" ht="18.75" customHeight="1">
      <c r="BM57355" s="1025"/>
      <c r="BO57355" s="43"/>
    </row>
    <row r="57356" spans="65:67" ht="18.75" customHeight="1">
      <c r="BM57356" s="1025"/>
      <c r="BO57356" s="43"/>
    </row>
    <row r="57357" spans="65:67" ht="18.75" customHeight="1">
      <c r="BM57357" s="1025"/>
      <c r="BO57357" s="43"/>
    </row>
    <row r="57358" spans="65:67" ht="18.75" customHeight="1">
      <c r="BM57358" s="1025"/>
      <c r="BO57358" s="43"/>
    </row>
    <row r="57359" spans="65:67" ht="18.75" customHeight="1">
      <c r="BM57359" s="1025"/>
      <c r="BO57359" s="43"/>
    </row>
    <row r="57360" spans="65:67" ht="18.75" customHeight="1">
      <c r="BM57360" s="1025"/>
      <c r="BO57360" s="43"/>
    </row>
    <row r="57361" spans="65:67" ht="18.75" customHeight="1">
      <c r="BM57361" s="1025"/>
      <c r="BO57361" s="43"/>
    </row>
    <row r="57362" spans="65:67" ht="18.75" customHeight="1">
      <c r="BM57362" s="1025"/>
      <c r="BO57362" s="43"/>
    </row>
    <row r="57363" spans="65:67" ht="18.75" customHeight="1">
      <c r="BM57363" s="1025"/>
      <c r="BO57363" s="43"/>
    </row>
    <row r="57364" spans="65:67" ht="18.75" customHeight="1">
      <c r="BM57364" s="1025"/>
      <c r="BO57364" s="43"/>
    </row>
    <row r="57365" spans="65:67" ht="18.75" customHeight="1">
      <c r="BM57365" s="1025"/>
      <c r="BO57365" s="43"/>
    </row>
    <row r="57366" spans="65:67" ht="18.75" customHeight="1">
      <c r="BM57366" s="1025"/>
      <c r="BO57366" s="43"/>
    </row>
    <row r="57367" spans="65:67" ht="18.75" customHeight="1">
      <c r="BM57367" s="1025"/>
      <c r="BO57367" s="43"/>
    </row>
    <row r="57368" spans="65:67" ht="18.75" customHeight="1">
      <c r="BM57368" s="1025"/>
      <c r="BO57368" s="43"/>
    </row>
    <row r="57369" spans="65:67" ht="18.75" customHeight="1">
      <c r="BM57369" s="1025"/>
      <c r="BO57369" s="43"/>
    </row>
    <row r="57370" spans="65:67" ht="18.75" customHeight="1">
      <c r="BM57370" s="1025"/>
      <c r="BO57370" s="43"/>
    </row>
    <row r="57371" spans="65:67" ht="18.75" customHeight="1">
      <c r="BM57371" s="1025"/>
      <c r="BO57371" s="43"/>
    </row>
    <row r="57372" spans="65:67" ht="18.75" customHeight="1">
      <c r="BM57372" s="1025"/>
      <c r="BO57372" s="43"/>
    </row>
    <row r="57373" spans="65:67" ht="18.75" customHeight="1">
      <c r="BM57373" s="1025"/>
      <c r="BO57373" s="43"/>
    </row>
    <row r="57374" spans="65:67" ht="18.75" customHeight="1">
      <c r="BM57374" s="1025"/>
      <c r="BO57374" s="43"/>
    </row>
    <row r="57375" spans="65:67" ht="18.75" customHeight="1">
      <c r="BM57375" s="1025"/>
      <c r="BO57375" s="43"/>
    </row>
    <row r="57376" spans="65:67" ht="18.75" customHeight="1">
      <c r="BM57376" s="1025"/>
      <c r="BO57376" s="43"/>
    </row>
    <row r="57377" spans="65:67" ht="18.75" customHeight="1">
      <c r="BM57377" s="1025"/>
      <c r="BO57377" s="43"/>
    </row>
    <row r="57378" spans="65:67" ht="18.75" customHeight="1">
      <c r="BM57378" s="1025"/>
      <c r="BO57378" s="43"/>
    </row>
    <row r="57379" spans="65:67" ht="18.75" customHeight="1">
      <c r="BM57379" s="1025"/>
      <c r="BO57379" s="43"/>
    </row>
    <row r="57380" spans="65:67" ht="18.75" customHeight="1">
      <c r="BM57380" s="1025"/>
      <c r="BO57380" s="43"/>
    </row>
    <row r="57381" spans="65:67" ht="18.75" customHeight="1">
      <c r="BM57381" s="1025"/>
      <c r="BO57381" s="43"/>
    </row>
    <row r="57382" spans="65:67" ht="18.75" customHeight="1">
      <c r="BM57382" s="1025"/>
      <c r="BO57382" s="43"/>
    </row>
    <row r="57383" spans="65:67" ht="18.75" customHeight="1">
      <c r="BM57383" s="1025"/>
      <c r="BO57383" s="43"/>
    </row>
    <row r="57384" spans="65:67" ht="18.75" customHeight="1">
      <c r="BM57384" s="1025"/>
      <c r="BO57384" s="43"/>
    </row>
    <row r="57385" spans="65:67" ht="18.75" customHeight="1">
      <c r="BM57385" s="1025"/>
      <c r="BO57385" s="43"/>
    </row>
    <row r="57386" spans="65:67" ht="18.75" customHeight="1">
      <c r="BM57386" s="1025"/>
      <c r="BO57386" s="43"/>
    </row>
    <row r="57387" spans="65:67" ht="18.75" customHeight="1">
      <c r="BM57387" s="1025"/>
      <c r="BO57387" s="43"/>
    </row>
    <row r="57388" spans="65:67" ht="18.75" customHeight="1">
      <c r="BM57388" s="1025"/>
      <c r="BO57388" s="43"/>
    </row>
    <row r="57389" spans="65:67" ht="18.75" customHeight="1">
      <c r="BM57389" s="1025"/>
      <c r="BO57389" s="43"/>
    </row>
    <row r="57390" spans="65:67" ht="18.75" customHeight="1">
      <c r="BM57390" s="1025"/>
      <c r="BO57390" s="43"/>
    </row>
    <row r="57391" spans="65:67" ht="18.75" customHeight="1">
      <c r="BM57391" s="1025"/>
      <c r="BO57391" s="43"/>
    </row>
    <row r="57392" spans="65:67" ht="18.75" customHeight="1">
      <c r="BM57392" s="1025"/>
      <c r="BO57392" s="43"/>
    </row>
    <row r="57393" spans="65:67" ht="18.75" customHeight="1">
      <c r="BM57393" s="1025"/>
      <c r="BO57393" s="43"/>
    </row>
    <row r="57394" spans="65:67" ht="18.75" customHeight="1">
      <c r="BM57394" s="1025"/>
      <c r="BO57394" s="43"/>
    </row>
    <row r="57395" spans="65:67" ht="18.75" customHeight="1">
      <c r="BM57395" s="1025"/>
      <c r="BO57395" s="43"/>
    </row>
    <row r="57396" spans="65:67" ht="18.75" customHeight="1">
      <c r="BM57396" s="1025"/>
      <c r="BO57396" s="43"/>
    </row>
    <row r="57397" spans="65:67" ht="18.75" customHeight="1">
      <c r="BM57397" s="1025"/>
      <c r="BO57397" s="43"/>
    </row>
    <row r="57398" spans="65:67" ht="18.75" customHeight="1">
      <c r="BM57398" s="1025"/>
      <c r="BO57398" s="43"/>
    </row>
    <row r="57399" spans="65:67" ht="18.75" customHeight="1">
      <c r="BM57399" s="1025"/>
      <c r="BO57399" s="43"/>
    </row>
    <row r="57400" spans="65:67" ht="18.75" customHeight="1">
      <c r="BM57400" s="1025"/>
      <c r="BO57400" s="43"/>
    </row>
    <row r="57401" spans="65:67" ht="18.75" customHeight="1">
      <c r="BM57401" s="1025"/>
      <c r="BO57401" s="43"/>
    </row>
    <row r="57402" spans="65:67" ht="18.75" customHeight="1">
      <c r="BM57402" s="1025"/>
      <c r="BO57402" s="43"/>
    </row>
    <row r="57403" spans="65:67" ht="18.75" customHeight="1">
      <c r="BM57403" s="1025"/>
      <c r="BO57403" s="43"/>
    </row>
    <row r="57404" spans="65:67" ht="18.75" customHeight="1">
      <c r="BM57404" s="1025"/>
      <c r="BO57404" s="43"/>
    </row>
    <row r="57405" spans="65:67" ht="18.75" customHeight="1">
      <c r="BM57405" s="1025"/>
      <c r="BO57405" s="43"/>
    </row>
    <row r="57406" spans="65:67" ht="18.75" customHeight="1">
      <c r="BM57406" s="1025"/>
      <c r="BO57406" s="43"/>
    </row>
    <row r="57407" spans="65:67" ht="18.75" customHeight="1">
      <c r="BM57407" s="1025"/>
      <c r="BO57407" s="43"/>
    </row>
    <row r="57408" spans="65:67" ht="18.75" customHeight="1">
      <c r="BM57408" s="1025"/>
      <c r="BO57408" s="43"/>
    </row>
    <row r="57409" spans="65:67" ht="18.75" customHeight="1">
      <c r="BM57409" s="1025"/>
      <c r="BO57409" s="43"/>
    </row>
    <row r="57410" spans="65:67" ht="18.75" customHeight="1">
      <c r="BM57410" s="1025"/>
      <c r="BO57410" s="43"/>
    </row>
    <row r="57411" spans="65:67" ht="18.75" customHeight="1">
      <c r="BM57411" s="1025"/>
      <c r="BO57411" s="43"/>
    </row>
    <row r="57412" spans="65:67" ht="18.75" customHeight="1">
      <c r="BM57412" s="1025"/>
      <c r="BO57412" s="43"/>
    </row>
    <row r="57413" spans="65:67" ht="18.75" customHeight="1">
      <c r="BM57413" s="1025"/>
      <c r="BO57413" s="43"/>
    </row>
    <row r="57414" spans="65:67" ht="18.75" customHeight="1">
      <c r="BM57414" s="1025"/>
      <c r="BO57414" s="43"/>
    </row>
    <row r="57415" spans="65:67" ht="18.75" customHeight="1">
      <c r="BM57415" s="1025"/>
      <c r="BO57415" s="43"/>
    </row>
    <row r="57416" spans="65:67" ht="18.75" customHeight="1">
      <c r="BM57416" s="1025"/>
      <c r="BO57416" s="43"/>
    </row>
    <row r="57417" spans="65:67" ht="18.75" customHeight="1">
      <c r="BM57417" s="1025"/>
      <c r="BO57417" s="43"/>
    </row>
    <row r="57418" spans="65:67" ht="18.75" customHeight="1">
      <c r="BM57418" s="1025"/>
      <c r="BO57418" s="43"/>
    </row>
    <row r="57419" spans="65:67" ht="18.75" customHeight="1">
      <c r="BM57419" s="1025"/>
      <c r="BO57419" s="43"/>
    </row>
    <row r="57420" spans="65:67" ht="18.75" customHeight="1">
      <c r="BM57420" s="1025"/>
      <c r="BO57420" s="43"/>
    </row>
    <row r="57421" spans="65:67" ht="18.75" customHeight="1">
      <c r="BM57421" s="1025"/>
      <c r="BO57421" s="43"/>
    </row>
    <row r="57422" spans="65:67" ht="18.75" customHeight="1">
      <c r="BM57422" s="1025"/>
      <c r="BO57422" s="43"/>
    </row>
    <row r="57423" spans="65:67" ht="18.75" customHeight="1">
      <c r="BM57423" s="1025"/>
      <c r="BO57423" s="43"/>
    </row>
    <row r="57424" spans="65:67" ht="18.75" customHeight="1">
      <c r="BM57424" s="1025"/>
      <c r="BO57424" s="43"/>
    </row>
    <row r="57425" spans="65:67" ht="18.75" customHeight="1">
      <c r="BM57425" s="1025"/>
      <c r="BO57425" s="43"/>
    </row>
    <row r="57426" spans="65:67" ht="18.75" customHeight="1">
      <c r="BM57426" s="1025"/>
      <c r="BO57426" s="43"/>
    </row>
    <row r="57427" spans="65:67" ht="18.75" customHeight="1">
      <c r="BM57427" s="1025"/>
      <c r="BO57427" s="43"/>
    </row>
    <row r="57428" spans="65:67" ht="18.75" customHeight="1">
      <c r="BM57428" s="1025"/>
      <c r="BO57428" s="43"/>
    </row>
    <row r="57429" spans="65:67" ht="18.75" customHeight="1">
      <c r="BM57429" s="1025"/>
      <c r="BO57429" s="43"/>
    </row>
    <row r="57430" spans="65:67" ht="18.75" customHeight="1">
      <c r="BM57430" s="1025"/>
      <c r="BO57430" s="43"/>
    </row>
    <row r="57431" spans="65:67" ht="18.75" customHeight="1">
      <c r="BM57431" s="1025"/>
      <c r="BO57431" s="43"/>
    </row>
    <row r="57432" spans="65:67" ht="18.75" customHeight="1">
      <c r="BM57432" s="1025"/>
      <c r="BO57432" s="43"/>
    </row>
    <row r="57433" spans="65:67" ht="18.75" customHeight="1">
      <c r="BM57433" s="1025"/>
      <c r="BO57433" s="43"/>
    </row>
    <row r="57434" spans="65:67" ht="18.75" customHeight="1">
      <c r="BM57434" s="1025"/>
      <c r="BO57434" s="43"/>
    </row>
    <row r="57435" spans="65:67" ht="18.75" customHeight="1">
      <c r="BM57435" s="1025"/>
      <c r="BO57435" s="43"/>
    </row>
    <row r="57436" spans="65:67" ht="18.75" customHeight="1">
      <c r="BM57436" s="1025"/>
      <c r="BO57436" s="43"/>
    </row>
    <row r="57437" spans="65:67" ht="18.75" customHeight="1">
      <c r="BM57437" s="1025"/>
      <c r="BO57437" s="43"/>
    </row>
    <row r="57438" spans="65:67" ht="18.75" customHeight="1">
      <c r="BM57438" s="1025"/>
      <c r="BO57438" s="43"/>
    </row>
    <row r="57439" spans="65:67" ht="18.75" customHeight="1">
      <c r="BM57439" s="1025"/>
      <c r="BO57439" s="43"/>
    </row>
    <row r="57440" spans="65:67" ht="18.75" customHeight="1">
      <c r="BM57440" s="1025"/>
      <c r="BO57440" s="43"/>
    </row>
    <row r="57441" spans="65:67" ht="18.75" customHeight="1">
      <c r="BM57441" s="1025"/>
      <c r="BO57441" s="43"/>
    </row>
    <row r="57442" spans="65:67" ht="18.75" customHeight="1">
      <c r="BM57442" s="1025"/>
      <c r="BO57442" s="43"/>
    </row>
    <row r="57443" spans="65:67" ht="18.75" customHeight="1">
      <c r="BM57443" s="1025"/>
      <c r="BO57443" s="43"/>
    </row>
    <row r="57444" spans="65:67" ht="18.75" customHeight="1">
      <c r="BM57444" s="1025"/>
      <c r="BO57444" s="43"/>
    </row>
    <row r="57445" spans="65:67" ht="18.75" customHeight="1">
      <c r="BM57445" s="1025"/>
      <c r="BO57445" s="43"/>
    </row>
    <row r="57446" spans="65:67" ht="18.75" customHeight="1">
      <c r="BM57446" s="1025"/>
      <c r="BO57446" s="43"/>
    </row>
    <row r="57447" spans="65:67" ht="18.75" customHeight="1">
      <c r="BM57447" s="1025"/>
      <c r="BO57447" s="43"/>
    </row>
    <row r="57448" spans="65:67" ht="18.75" customHeight="1">
      <c r="BM57448" s="1025"/>
      <c r="BO57448" s="43"/>
    </row>
    <row r="57449" spans="65:67" ht="18.75" customHeight="1">
      <c r="BM57449" s="1025"/>
      <c r="BO57449" s="43"/>
    </row>
    <row r="57450" spans="65:67" ht="18.75" customHeight="1">
      <c r="BM57450" s="1025"/>
      <c r="BO57450" s="43"/>
    </row>
    <row r="57451" spans="65:67" ht="18.75" customHeight="1">
      <c r="BM57451" s="1025"/>
      <c r="BO57451" s="43"/>
    </row>
    <row r="57452" spans="65:67" ht="18.75" customHeight="1">
      <c r="BM57452" s="1025"/>
      <c r="BO57452" s="43"/>
    </row>
    <row r="57453" spans="65:67" ht="18.75" customHeight="1">
      <c r="BM57453" s="1025"/>
      <c r="BO57453" s="43"/>
    </row>
    <row r="57454" spans="65:67" ht="18.75" customHeight="1">
      <c r="BM57454" s="1025"/>
      <c r="BO57454" s="43"/>
    </row>
    <row r="57455" spans="65:67" ht="18.75" customHeight="1">
      <c r="BM57455" s="1025"/>
      <c r="BO57455" s="43"/>
    </row>
    <row r="57456" spans="65:67" ht="18.75" customHeight="1">
      <c r="BM57456" s="1025"/>
      <c r="BO57456" s="43"/>
    </row>
    <row r="57457" spans="65:67" ht="18.75" customHeight="1">
      <c r="BM57457" s="1025"/>
      <c r="BO57457" s="43"/>
    </row>
    <row r="57458" spans="65:67" ht="18.75" customHeight="1">
      <c r="BM57458" s="1025"/>
      <c r="BO57458" s="43"/>
    </row>
    <row r="57459" spans="65:67" ht="18.75" customHeight="1">
      <c r="BM57459" s="1025"/>
      <c r="BO57459" s="43"/>
    </row>
    <row r="57460" spans="65:67" ht="18.75" customHeight="1">
      <c r="BM57460" s="1025"/>
      <c r="BO57460" s="43"/>
    </row>
    <row r="57461" spans="65:67" ht="18.75" customHeight="1">
      <c r="BM57461" s="1025"/>
      <c r="BO57461" s="43"/>
    </row>
    <row r="57462" spans="65:67" ht="18.75" customHeight="1">
      <c r="BM57462" s="1025"/>
      <c r="BO57462" s="43"/>
    </row>
    <row r="57463" spans="65:67" ht="18.75" customHeight="1">
      <c r="BM57463" s="1025"/>
      <c r="BO57463" s="43"/>
    </row>
    <row r="57464" spans="65:67" ht="18.75" customHeight="1">
      <c r="BM57464" s="1025"/>
      <c r="BO57464" s="43"/>
    </row>
    <row r="57465" spans="65:67" ht="18.75" customHeight="1">
      <c r="BM57465" s="1025"/>
      <c r="BO57465" s="43"/>
    </row>
    <row r="57466" spans="65:67" ht="18.75" customHeight="1">
      <c r="BM57466" s="1025"/>
      <c r="BO57466" s="43"/>
    </row>
    <row r="57467" spans="65:67" ht="18.75" customHeight="1">
      <c r="BM57467" s="1025"/>
      <c r="BO57467" s="43"/>
    </row>
    <row r="57468" spans="65:67" ht="18.75" customHeight="1">
      <c r="BM57468" s="1025"/>
      <c r="BO57468" s="43"/>
    </row>
    <row r="57469" spans="65:67" ht="18.75" customHeight="1">
      <c r="BM57469" s="1025"/>
      <c r="BO57469" s="43"/>
    </row>
    <row r="57470" spans="65:67" ht="18.75" customHeight="1">
      <c r="BM57470" s="1025"/>
      <c r="BO57470" s="43"/>
    </row>
    <row r="57471" spans="65:67" ht="18.75" customHeight="1">
      <c r="BM57471" s="1025"/>
      <c r="BO57471" s="43"/>
    </row>
    <row r="57472" spans="65:67" ht="18.75" customHeight="1">
      <c r="BM57472" s="1025"/>
      <c r="BO57472" s="43"/>
    </row>
    <row r="57473" spans="65:67" ht="18.75" customHeight="1">
      <c r="BM57473" s="1025"/>
      <c r="BO57473" s="43"/>
    </row>
    <row r="57474" spans="65:67" ht="18.75" customHeight="1">
      <c r="BM57474" s="1025"/>
      <c r="BO57474" s="43"/>
    </row>
    <row r="57475" spans="65:67" ht="18.75" customHeight="1">
      <c r="BM57475" s="1025"/>
      <c r="BO57475" s="43"/>
    </row>
    <row r="57476" spans="65:67" ht="18.75" customHeight="1">
      <c r="BM57476" s="1025"/>
      <c r="BO57476" s="43"/>
    </row>
    <row r="57477" spans="65:67" ht="18.75" customHeight="1">
      <c r="BM57477" s="1025"/>
      <c r="BO57477" s="43"/>
    </row>
    <row r="57478" spans="65:67" ht="18.75" customHeight="1">
      <c r="BM57478" s="1025"/>
      <c r="BO57478" s="43"/>
    </row>
    <row r="57479" spans="65:67" ht="18.75" customHeight="1">
      <c r="BM57479" s="1025"/>
      <c r="BO57479" s="43"/>
    </row>
    <row r="57480" spans="65:67" ht="18.75" customHeight="1">
      <c r="BM57480" s="1025"/>
      <c r="BO57480" s="43"/>
    </row>
    <row r="57481" spans="65:67" ht="18.75" customHeight="1">
      <c r="BM57481" s="1025"/>
      <c r="BO57481" s="43"/>
    </row>
    <row r="57482" spans="65:67" ht="18.75" customHeight="1">
      <c r="BM57482" s="1025"/>
      <c r="BO57482" s="43"/>
    </row>
    <row r="57483" spans="65:67" ht="18.75" customHeight="1">
      <c r="BM57483" s="1025"/>
      <c r="BO57483" s="43"/>
    </row>
    <row r="57484" spans="65:67" ht="18.75" customHeight="1">
      <c r="BM57484" s="1025"/>
      <c r="BO57484" s="43"/>
    </row>
    <row r="57485" spans="65:67" ht="18.75" customHeight="1">
      <c r="BM57485" s="1025"/>
      <c r="BO57485" s="43"/>
    </row>
    <row r="57486" spans="65:67" ht="18.75" customHeight="1">
      <c r="BM57486" s="1025"/>
      <c r="BO57486" s="43"/>
    </row>
    <row r="57487" spans="65:67" ht="18.75" customHeight="1">
      <c r="BM57487" s="1025"/>
      <c r="BO57487" s="43"/>
    </row>
    <row r="57488" spans="65:67" ht="18.75" customHeight="1">
      <c r="BM57488" s="1025"/>
      <c r="BO57488" s="43"/>
    </row>
    <row r="57489" spans="65:67" ht="18.75" customHeight="1">
      <c r="BM57489" s="1025"/>
      <c r="BO57489" s="43"/>
    </row>
    <row r="57490" spans="65:67" ht="18.75" customHeight="1">
      <c r="BM57490" s="1025"/>
      <c r="BO57490" s="43"/>
    </row>
    <row r="57491" spans="65:67" ht="18.75" customHeight="1">
      <c r="BM57491" s="1025"/>
      <c r="BO57491" s="43"/>
    </row>
    <row r="57492" spans="65:67" ht="18.75" customHeight="1">
      <c r="BM57492" s="1025"/>
      <c r="BO57492" s="43"/>
    </row>
    <row r="57493" spans="65:67" ht="18.75" customHeight="1">
      <c r="BM57493" s="1025"/>
      <c r="BO57493" s="43"/>
    </row>
    <row r="57494" spans="65:67" ht="18.75" customHeight="1">
      <c r="BM57494" s="1025"/>
      <c r="BO57494" s="43"/>
    </row>
    <row r="57495" spans="65:67" ht="18.75" customHeight="1">
      <c r="BM57495" s="1025"/>
      <c r="BO57495" s="43"/>
    </row>
    <row r="57496" spans="65:67" ht="18.75" customHeight="1">
      <c r="BM57496" s="1025"/>
      <c r="BO57496" s="43"/>
    </row>
    <row r="57497" spans="65:67" ht="18.75" customHeight="1">
      <c r="BM57497" s="1025"/>
      <c r="BO57497" s="43"/>
    </row>
    <row r="57498" spans="65:67" ht="18.75" customHeight="1">
      <c r="BM57498" s="1025"/>
      <c r="BO57498" s="43"/>
    </row>
    <row r="57499" spans="65:67" ht="18.75" customHeight="1">
      <c r="BM57499" s="1025"/>
      <c r="BO57499" s="43"/>
    </row>
    <row r="57500" spans="65:67" ht="18.75" customHeight="1">
      <c r="BM57500" s="1025"/>
      <c r="BO57500" s="43"/>
    </row>
    <row r="57501" spans="65:67" ht="18.75" customHeight="1">
      <c r="BM57501" s="1025"/>
      <c r="BO57501" s="43"/>
    </row>
    <row r="57502" spans="65:67" ht="18.75" customHeight="1">
      <c r="BM57502" s="1025"/>
      <c r="BO57502" s="43"/>
    </row>
    <row r="57503" spans="65:67" ht="18.75" customHeight="1">
      <c r="BM57503" s="1025"/>
      <c r="BO57503" s="43"/>
    </row>
    <row r="57504" spans="65:67" ht="18.75" customHeight="1">
      <c r="BM57504" s="1025"/>
      <c r="BO57504" s="43"/>
    </row>
    <row r="57505" spans="65:67" ht="18.75" customHeight="1">
      <c r="BM57505" s="1025"/>
      <c r="BO57505" s="43"/>
    </row>
    <row r="57506" spans="65:67" ht="18.75" customHeight="1">
      <c r="BM57506" s="1025"/>
      <c r="BO57506" s="43"/>
    </row>
    <row r="57507" spans="65:67" ht="18.75" customHeight="1">
      <c r="BM57507" s="1025"/>
      <c r="BO57507" s="43"/>
    </row>
    <row r="57508" spans="65:67" ht="18.75" customHeight="1">
      <c r="BM57508" s="1025"/>
      <c r="BO57508" s="43"/>
    </row>
    <row r="57509" spans="65:67" ht="18.75" customHeight="1">
      <c r="BM57509" s="1025"/>
      <c r="BO57509" s="43"/>
    </row>
    <row r="57510" spans="65:67" ht="18.75" customHeight="1">
      <c r="BM57510" s="1025"/>
      <c r="BO57510" s="43"/>
    </row>
    <row r="57511" spans="65:67" ht="18.75" customHeight="1">
      <c r="BM57511" s="1025"/>
      <c r="BO57511" s="43"/>
    </row>
    <row r="57512" spans="65:67" ht="18.75" customHeight="1">
      <c r="BM57512" s="1025"/>
      <c r="BO57512" s="43"/>
    </row>
    <row r="57513" spans="65:67" ht="18.75" customHeight="1">
      <c r="BM57513" s="1025"/>
      <c r="BO57513" s="43"/>
    </row>
    <row r="57514" spans="65:67" ht="18.75" customHeight="1">
      <c r="BM57514" s="1025"/>
      <c r="BO57514" s="43"/>
    </row>
    <row r="57515" spans="65:67" ht="18.75" customHeight="1">
      <c r="BM57515" s="1025"/>
      <c r="BO57515" s="43"/>
    </row>
    <row r="57516" spans="65:67" ht="18.75" customHeight="1">
      <c r="BM57516" s="1025"/>
      <c r="BO57516" s="43"/>
    </row>
    <row r="57517" spans="65:67" ht="18.75" customHeight="1">
      <c r="BM57517" s="1025"/>
      <c r="BO57517" s="43"/>
    </row>
    <row r="57518" spans="65:67" ht="18.75" customHeight="1">
      <c r="BM57518" s="1025"/>
      <c r="BO57518" s="43"/>
    </row>
    <row r="57519" spans="65:67" ht="18.75" customHeight="1">
      <c r="BM57519" s="1025"/>
      <c r="BO57519" s="43"/>
    </row>
    <row r="57520" spans="65:67" ht="18.75" customHeight="1">
      <c r="BM57520" s="1025"/>
      <c r="BO57520" s="43"/>
    </row>
    <row r="57521" spans="65:67" ht="18.75" customHeight="1">
      <c r="BM57521" s="1025"/>
      <c r="BO57521" s="43"/>
    </row>
    <row r="57522" spans="65:67" ht="18.75" customHeight="1">
      <c r="BM57522" s="1025"/>
      <c r="BO57522" s="43"/>
    </row>
    <row r="57523" spans="65:67" ht="18.75" customHeight="1">
      <c r="BM57523" s="1025"/>
      <c r="BO57523" s="43"/>
    </row>
    <row r="57524" spans="65:67" ht="18.75" customHeight="1">
      <c r="BM57524" s="1025"/>
      <c r="BO57524" s="43"/>
    </row>
    <row r="57525" spans="65:67" ht="18.75" customHeight="1">
      <c r="BM57525" s="1025"/>
      <c r="BO57525" s="43"/>
    </row>
    <row r="57526" spans="65:67" ht="18.75" customHeight="1">
      <c r="BM57526" s="1025"/>
      <c r="BO57526" s="43"/>
    </row>
    <row r="57527" spans="65:67" ht="18.75" customHeight="1">
      <c r="BM57527" s="1025"/>
      <c r="BO57527" s="43"/>
    </row>
    <row r="57528" spans="65:67" ht="18.75" customHeight="1">
      <c r="BM57528" s="1025"/>
      <c r="BO57528" s="43"/>
    </row>
    <row r="57529" spans="65:67" ht="18.75" customHeight="1">
      <c r="BM57529" s="1025"/>
      <c r="BO57529" s="43"/>
    </row>
    <row r="57530" spans="65:67" ht="18.75" customHeight="1">
      <c r="BM57530" s="1025"/>
      <c r="BO57530" s="43"/>
    </row>
    <row r="57531" spans="65:67" ht="18.75" customHeight="1">
      <c r="BM57531" s="1025"/>
      <c r="BO57531" s="43"/>
    </row>
    <row r="57532" spans="65:67" ht="18.75" customHeight="1">
      <c r="BM57532" s="1025"/>
      <c r="BO57532" s="43"/>
    </row>
    <row r="57533" spans="65:67" ht="18.75" customHeight="1">
      <c r="BM57533" s="1025"/>
      <c r="BO57533" s="43"/>
    </row>
    <row r="57534" spans="65:67" ht="18.75" customHeight="1">
      <c r="BM57534" s="1025"/>
      <c r="BO57534" s="43"/>
    </row>
    <row r="57535" spans="65:67" ht="18.75" customHeight="1">
      <c r="BM57535" s="1025"/>
      <c r="BO57535" s="43"/>
    </row>
    <row r="57536" spans="65:67" ht="18.75" customHeight="1">
      <c r="BM57536" s="1025"/>
      <c r="BO57536" s="43"/>
    </row>
    <row r="57537" spans="65:67" ht="18.75" customHeight="1">
      <c r="BM57537" s="1025"/>
      <c r="BO57537" s="43"/>
    </row>
    <row r="57538" spans="65:67" ht="18.75" customHeight="1">
      <c r="BM57538" s="1025"/>
      <c r="BO57538" s="43"/>
    </row>
    <row r="57539" spans="65:67" ht="18.75" customHeight="1">
      <c r="BM57539" s="1025"/>
      <c r="BO57539" s="43"/>
    </row>
    <row r="57540" spans="65:67" ht="18.75" customHeight="1">
      <c r="BM57540" s="1025"/>
      <c r="BO57540" s="43"/>
    </row>
    <row r="57541" spans="65:67" ht="18.75" customHeight="1">
      <c r="BM57541" s="1025"/>
      <c r="BO57541" s="43"/>
    </row>
    <row r="57542" spans="65:67" ht="18.75" customHeight="1">
      <c r="BM57542" s="1025"/>
      <c r="BO57542" s="43"/>
    </row>
    <row r="57543" spans="65:67" ht="18.75" customHeight="1">
      <c r="BM57543" s="1025"/>
      <c r="BO57543" s="43"/>
    </row>
    <row r="57544" spans="65:67" ht="18.75" customHeight="1">
      <c r="BM57544" s="1025"/>
      <c r="BO57544" s="43"/>
    </row>
    <row r="57545" spans="65:67" ht="18.75" customHeight="1">
      <c r="BM57545" s="1025"/>
      <c r="BO57545" s="43"/>
    </row>
    <row r="57546" spans="65:67" ht="18.75" customHeight="1">
      <c r="BM57546" s="1025"/>
      <c r="BO57546" s="43"/>
    </row>
    <row r="57547" spans="65:67" ht="18.75" customHeight="1">
      <c r="BM57547" s="1025"/>
      <c r="BO57547" s="43"/>
    </row>
    <row r="57548" spans="65:67" ht="18.75" customHeight="1">
      <c r="BM57548" s="1025"/>
      <c r="BO57548" s="43"/>
    </row>
    <row r="57549" spans="65:67" ht="18.75" customHeight="1">
      <c r="BM57549" s="1025"/>
      <c r="BO57549" s="43"/>
    </row>
    <row r="57550" spans="65:67" ht="18.75" customHeight="1">
      <c r="BM57550" s="1025"/>
      <c r="BO57550" s="43"/>
    </row>
    <row r="57551" spans="65:67" ht="18.75" customHeight="1">
      <c r="BM57551" s="1025"/>
      <c r="BO57551" s="43"/>
    </row>
    <row r="57552" spans="65:67" ht="18.75" customHeight="1">
      <c r="BM57552" s="1025"/>
      <c r="BO57552" s="43"/>
    </row>
    <row r="57553" spans="65:67" ht="18.75" customHeight="1">
      <c r="BM57553" s="1025"/>
      <c r="BO57553" s="43"/>
    </row>
    <row r="57554" spans="65:67" ht="18.75" customHeight="1">
      <c r="BM57554" s="1025"/>
      <c r="BO57554" s="43"/>
    </row>
    <row r="57555" spans="65:67" ht="18.75" customHeight="1">
      <c r="BM57555" s="1025"/>
      <c r="BO57555" s="43"/>
    </row>
    <row r="57556" spans="65:67" ht="18.75" customHeight="1">
      <c r="BM57556" s="1025"/>
      <c r="BO57556" s="43"/>
    </row>
    <row r="57557" spans="65:67" ht="18.75" customHeight="1">
      <c r="BM57557" s="1025"/>
      <c r="BO57557" s="43"/>
    </row>
    <row r="57558" spans="65:67" ht="18.75" customHeight="1">
      <c r="BM57558" s="1025"/>
      <c r="BO57558" s="43"/>
    </row>
    <row r="57559" spans="65:67" ht="18.75" customHeight="1">
      <c r="BM57559" s="1025"/>
      <c r="BO57559" s="43"/>
    </row>
    <row r="57560" spans="65:67" ht="18.75" customHeight="1">
      <c r="BM57560" s="1025"/>
      <c r="BO57560" s="43"/>
    </row>
    <row r="57561" spans="65:67" ht="18.75" customHeight="1">
      <c r="BM57561" s="1025"/>
      <c r="BO57561" s="43"/>
    </row>
    <row r="57562" spans="65:67" ht="18.75" customHeight="1">
      <c r="BM57562" s="1025"/>
      <c r="BO57562" s="43"/>
    </row>
    <row r="57563" spans="65:67" ht="18.75" customHeight="1">
      <c r="BM57563" s="1025"/>
      <c r="BO57563" s="43"/>
    </row>
    <row r="57564" spans="65:67" ht="18.75" customHeight="1">
      <c r="BM57564" s="1025"/>
      <c r="BO57564" s="43"/>
    </row>
    <row r="57565" spans="65:67" ht="18.75" customHeight="1">
      <c r="BM57565" s="1025"/>
      <c r="BO57565" s="43"/>
    </row>
    <row r="57566" spans="65:67" ht="18.75" customHeight="1">
      <c r="BM57566" s="1025"/>
      <c r="BO57566" s="43"/>
    </row>
    <row r="57567" spans="65:67" ht="18.75" customHeight="1">
      <c r="BM57567" s="1025"/>
      <c r="BO57567" s="43"/>
    </row>
    <row r="57568" spans="65:67" ht="18.75" customHeight="1">
      <c r="BM57568" s="1025"/>
      <c r="BO57568" s="43"/>
    </row>
    <row r="57569" spans="65:67" ht="18.75" customHeight="1">
      <c r="BM57569" s="1025"/>
      <c r="BO57569" s="43"/>
    </row>
    <row r="57570" spans="65:67" ht="18.75" customHeight="1">
      <c r="BM57570" s="1025"/>
      <c r="BO57570" s="43"/>
    </row>
    <row r="57571" spans="65:67" ht="18.75" customHeight="1">
      <c r="BM57571" s="1025"/>
      <c r="BO57571" s="43"/>
    </row>
    <row r="57572" spans="65:67" ht="18.75" customHeight="1">
      <c r="BM57572" s="1025"/>
      <c r="BO57572" s="43"/>
    </row>
    <row r="57573" spans="65:67" ht="18.75" customHeight="1">
      <c r="BM57573" s="1025"/>
      <c r="BO57573" s="43"/>
    </row>
    <row r="57574" spans="65:67" ht="18.75" customHeight="1">
      <c r="BM57574" s="1025"/>
      <c r="BO57574" s="43"/>
    </row>
    <row r="57575" spans="65:67" ht="18.75" customHeight="1">
      <c r="BM57575" s="1025"/>
      <c r="BO57575" s="43"/>
    </row>
    <row r="57576" spans="65:67" ht="18.75" customHeight="1">
      <c r="BM57576" s="1025"/>
      <c r="BO57576" s="43"/>
    </row>
    <row r="57577" spans="65:67" ht="18.75" customHeight="1">
      <c r="BM57577" s="1025"/>
      <c r="BO57577" s="43"/>
    </row>
    <row r="57578" spans="65:67" ht="18.75" customHeight="1">
      <c r="BM57578" s="1025"/>
      <c r="BO57578" s="43"/>
    </row>
    <row r="57579" spans="65:67" ht="18.75" customHeight="1">
      <c r="BM57579" s="1025"/>
      <c r="BO57579" s="43"/>
    </row>
    <row r="57580" spans="65:67" ht="18.75" customHeight="1">
      <c r="BM57580" s="1025"/>
      <c r="BO57580" s="43"/>
    </row>
    <row r="57581" spans="65:67" ht="18.75" customHeight="1">
      <c r="BM57581" s="1025"/>
      <c r="BO57581" s="43"/>
    </row>
    <row r="57582" spans="65:67" ht="18.75" customHeight="1">
      <c r="BM57582" s="1025"/>
      <c r="BO57582" s="43"/>
    </row>
    <row r="57583" spans="65:67" ht="18.75" customHeight="1">
      <c r="BM57583" s="1025"/>
      <c r="BO57583" s="43"/>
    </row>
    <row r="57584" spans="65:67" ht="18.75" customHeight="1">
      <c r="BM57584" s="1025"/>
      <c r="BO57584" s="43"/>
    </row>
    <row r="57585" spans="65:67" ht="18.75" customHeight="1">
      <c r="BM57585" s="1025"/>
      <c r="BO57585" s="43"/>
    </row>
    <row r="57586" spans="65:67" ht="18.75" customHeight="1">
      <c r="BM57586" s="1025"/>
      <c r="BO57586" s="43"/>
    </row>
    <row r="57587" spans="65:67" ht="18.75" customHeight="1">
      <c r="BM57587" s="1025"/>
      <c r="BO57587" s="43"/>
    </row>
    <row r="57588" spans="65:67" ht="18.75" customHeight="1">
      <c r="BM57588" s="1025"/>
      <c r="BO57588" s="43"/>
    </row>
    <row r="57589" spans="65:67" ht="18.75" customHeight="1">
      <c r="BM57589" s="1025"/>
      <c r="BO57589" s="43"/>
    </row>
    <row r="57590" spans="65:67" ht="18.75" customHeight="1">
      <c r="BM57590" s="1025"/>
      <c r="BO57590" s="43"/>
    </row>
    <row r="57591" spans="65:67" ht="18.75" customHeight="1">
      <c r="BM57591" s="1025"/>
      <c r="BO57591" s="43"/>
    </row>
    <row r="57592" spans="65:67" ht="18.75" customHeight="1">
      <c r="BM57592" s="1025"/>
      <c r="BO57592" s="43"/>
    </row>
    <row r="57593" spans="65:67" ht="18.75" customHeight="1">
      <c r="BM57593" s="1025"/>
      <c r="BO57593" s="43"/>
    </row>
    <row r="57594" spans="65:67" ht="18.75" customHeight="1">
      <c r="BM57594" s="1025"/>
      <c r="BO57594" s="43"/>
    </row>
    <row r="57595" spans="65:67" ht="18.75" customHeight="1">
      <c r="BM57595" s="1025"/>
      <c r="BO57595" s="43"/>
    </row>
    <row r="57596" spans="65:67" ht="18.75" customHeight="1">
      <c r="BM57596" s="1025"/>
      <c r="BO57596" s="43"/>
    </row>
    <row r="57597" spans="65:67" ht="18.75" customHeight="1">
      <c r="BM57597" s="1025"/>
      <c r="BO57597" s="43"/>
    </row>
    <row r="57598" spans="65:67" ht="18.75" customHeight="1">
      <c r="BM57598" s="1025"/>
      <c r="BO57598" s="43"/>
    </row>
    <row r="57599" spans="65:67" ht="18.75" customHeight="1">
      <c r="BM57599" s="1025"/>
      <c r="BO57599" s="43"/>
    </row>
    <row r="57600" spans="65:67" ht="18.75" customHeight="1">
      <c r="BM57600" s="1025"/>
      <c r="BO57600" s="43"/>
    </row>
    <row r="57601" spans="65:67" ht="18.75" customHeight="1">
      <c r="BM57601" s="1025"/>
      <c r="BO57601" s="43"/>
    </row>
    <row r="57602" spans="65:67" ht="18.75" customHeight="1">
      <c r="BM57602" s="1025"/>
      <c r="BO57602" s="43"/>
    </row>
    <row r="57603" spans="65:67" ht="18.75" customHeight="1">
      <c r="BM57603" s="1025"/>
      <c r="BO57603" s="43"/>
    </row>
    <row r="57604" spans="65:67" ht="18.75" customHeight="1">
      <c r="BM57604" s="1025"/>
      <c r="BO57604" s="43"/>
    </row>
    <row r="57605" spans="65:67" ht="18.75" customHeight="1">
      <c r="BM57605" s="1025"/>
      <c r="BO57605" s="43"/>
    </row>
    <row r="57606" spans="65:67" ht="18.75" customHeight="1">
      <c r="BM57606" s="1025"/>
      <c r="BO57606" s="43"/>
    </row>
    <row r="57607" spans="65:67" ht="18.75" customHeight="1">
      <c r="BM57607" s="1025"/>
      <c r="BO57607" s="43"/>
    </row>
    <row r="57608" spans="65:67" ht="18.75" customHeight="1">
      <c r="BM57608" s="1025"/>
      <c r="BO57608" s="43"/>
    </row>
    <row r="57609" spans="65:67" ht="18.75" customHeight="1">
      <c r="BM57609" s="1025"/>
      <c r="BO57609" s="43"/>
    </row>
    <row r="57610" spans="65:67" ht="18.75" customHeight="1">
      <c r="BM57610" s="1025"/>
      <c r="BO57610" s="43"/>
    </row>
    <row r="57611" spans="65:67" ht="18.75" customHeight="1">
      <c r="BM57611" s="1025"/>
      <c r="BO57611" s="43"/>
    </row>
    <row r="57612" spans="65:67" ht="18.75" customHeight="1">
      <c r="BM57612" s="1025"/>
      <c r="BO57612" s="43"/>
    </row>
    <row r="57613" spans="65:67" ht="18.75" customHeight="1">
      <c r="BM57613" s="1025"/>
      <c r="BO57613" s="43"/>
    </row>
    <row r="57614" spans="65:67" ht="18.75" customHeight="1">
      <c r="BM57614" s="1025"/>
      <c r="BO57614" s="43"/>
    </row>
    <row r="57615" spans="65:67" ht="18.75" customHeight="1">
      <c r="BM57615" s="1025"/>
      <c r="BO57615" s="43"/>
    </row>
    <row r="57616" spans="65:67" ht="18.75" customHeight="1">
      <c r="BM57616" s="1025"/>
      <c r="BO57616" s="43"/>
    </row>
    <row r="57617" spans="65:67" ht="18.75" customHeight="1">
      <c r="BM57617" s="1025"/>
      <c r="BO57617" s="43"/>
    </row>
    <row r="57618" spans="65:67" ht="18.75" customHeight="1">
      <c r="BM57618" s="1025"/>
      <c r="BO57618" s="43"/>
    </row>
    <row r="57619" spans="65:67" ht="18.75" customHeight="1">
      <c r="BM57619" s="1025"/>
      <c r="BO57619" s="43"/>
    </row>
    <row r="57620" spans="65:67" ht="18.75" customHeight="1">
      <c r="BM57620" s="1025"/>
      <c r="BO57620" s="43"/>
    </row>
    <row r="57621" spans="65:67" ht="18.75" customHeight="1">
      <c r="BM57621" s="1025"/>
      <c r="BO57621" s="43"/>
    </row>
    <row r="57622" spans="65:67" ht="18.75" customHeight="1">
      <c r="BM57622" s="1025"/>
      <c r="BO57622" s="43"/>
    </row>
    <row r="57623" spans="65:67" ht="18.75" customHeight="1">
      <c r="BM57623" s="1025"/>
      <c r="BO57623" s="43"/>
    </row>
    <row r="57624" spans="65:67" ht="18.75" customHeight="1">
      <c r="BM57624" s="1025"/>
      <c r="BO57624" s="43"/>
    </row>
    <row r="57625" spans="65:67" ht="18.75" customHeight="1">
      <c r="BM57625" s="1025"/>
      <c r="BO57625" s="43"/>
    </row>
    <row r="57626" spans="65:67" ht="18.75" customHeight="1">
      <c r="BM57626" s="1025"/>
      <c r="BO57626" s="43"/>
    </row>
    <row r="57627" spans="65:67" ht="18.75" customHeight="1">
      <c r="BM57627" s="1025"/>
      <c r="BO57627" s="43"/>
    </row>
    <row r="57628" spans="65:67" ht="18.75" customHeight="1">
      <c r="BM57628" s="1025"/>
      <c r="BO57628" s="43"/>
    </row>
    <row r="57629" spans="65:67" ht="18.75" customHeight="1">
      <c r="BM57629" s="1025"/>
      <c r="BO57629" s="43"/>
    </row>
    <row r="57630" spans="65:67" ht="18.75" customHeight="1">
      <c r="BM57630" s="1025"/>
      <c r="BO57630" s="43"/>
    </row>
    <row r="57631" spans="65:67" ht="18.75" customHeight="1">
      <c r="BM57631" s="1025"/>
      <c r="BO57631" s="43"/>
    </row>
    <row r="57632" spans="65:67" ht="18.75" customHeight="1">
      <c r="BM57632" s="1025"/>
      <c r="BO57632" s="43"/>
    </row>
    <row r="57633" spans="65:67" ht="18.75" customHeight="1">
      <c r="BM57633" s="1025"/>
      <c r="BO57633" s="43"/>
    </row>
    <row r="57634" spans="65:67" ht="18.75" customHeight="1">
      <c r="BM57634" s="1025"/>
      <c r="BO57634" s="43"/>
    </row>
    <row r="57635" spans="65:67" ht="18.75" customHeight="1">
      <c r="BM57635" s="1025"/>
      <c r="BO57635" s="43"/>
    </row>
    <row r="57636" spans="65:67" ht="18.75" customHeight="1">
      <c r="BM57636" s="1025"/>
      <c r="BO57636" s="43"/>
    </row>
    <row r="57637" spans="65:67" ht="18.75" customHeight="1">
      <c r="BM57637" s="1025"/>
      <c r="BO57637" s="43"/>
    </row>
    <row r="57638" spans="65:67" ht="18.75" customHeight="1">
      <c r="BM57638" s="1025"/>
      <c r="BO57638" s="43"/>
    </row>
    <row r="57639" spans="65:67" ht="18.75" customHeight="1">
      <c r="BM57639" s="1025"/>
      <c r="BO57639" s="43"/>
    </row>
    <row r="57640" spans="65:67" ht="18.75" customHeight="1">
      <c r="BM57640" s="1025"/>
      <c r="BO57640" s="43"/>
    </row>
    <row r="57641" spans="65:67" ht="18.75" customHeight="1">
      <c r="BM57641" s="1025"/>
      <c r="BO57641" s="43"/>
    </row>
    <row r="57642" spans="65:67" ht="18.75" customHeight="1">
      <c r="BM57642" s="1025"/>
      <c r="BO57642" s="43"/>
    </row>
    <row r="57643" spans="65:67" ht="18.75" customHeight="1">
      <c r="BM57643" s="1025"/>
      <c r="BO57643" s="43"/>
    </row>
    <row r="57644" spans="65:67" ht="18.75" customHeight="1">
      <c r="BM57644" s="1025"/>
      <c r="BO57644" s="43"/>
    </row>
    <row r="57645" spans="65:67" ht="18.75" customHeight="1">
      <c r="BM57645" s="1025"/>
      <c r="BO57645" s="43"/>
    </row>
    <row r="57646" spans="65:67" ht="18.75" customHeight="1">
      <c r="BM57646" s="1025"/>
      <c r="BO57646" s="43"/>
    </row>
    <row r="57647" spans="65:67" ht="18.75" customHeight="1">
      <c r="BM57647" s="1025"/>
      <c r="BO57647" s="43"/>
    </row>
    <row r="57648" spans="65:67" ht="18.75" customHeight="1">
      <c r="BM57648" s="1025"/>
      <c r="BO57648" s="43"/>
    </row>
    <row r="57649" spans="65:67" ht="18.75" customHeight="1">
      <c r="BM57649" s="1025"/>
      <c r="BO57649" s="43"/>
    </row>
    <row r="57650" spans="65:67" ht="18.75" customHeight="1">
      <c r="BM57650" s="1025"/>
      <c r="BO57650" s="43"/>
    </row>
    <row r="57651" spans="65:67" ht="18.75" customHeight="1">
      <c r="BM57651" s="1025"/>
      <c r="BO57651" s="43"/>
    </row>
    <row r="57652" spans="65:67" ht="18.75" customHeight="1">
      <c r="BM57652" s="1025"/>
      <c r="BO57652" s="43"/>
    </row>
    <row r="57653" spans="65:67" ht="18.75" customHeight="1">
      <c r="BM57653" s="1025"/>
      <c r="BO57653" s="43"/>
    </row>
    <row r="57654" spans="65:67" ht="18.75" customHeight="1">
      <c r="BM57654" s="1025"/>
      <c r="BO57654" s="43"/>
    </row>
    <row r="57655" spans="65:67" ht="18.75" customHeight="1">
      <c r="BM57655" s="1025"/>
      <c r="BO57655" s="43"/>
    </row>
    <row r="57656" spans="65:67" ht="18.75" customHeight="1">
      <c r="BM57656" s="1025"/>
      <c r="BO57656" s="43"/>
    </row>
    <row r="57657" spans="65:67" ht="18.75" customHeight="1">
      <c r="BM57657" s="1025"/>
      <c r="BO57657" s="43"/>
    </row>
    <row r="57658" spans="65:67" ht="18.75" customHeight="1">
      <c r="BM57658" s="1025"/>
      <c r="BO57658" s="43"/>
    </row>
    <row r="57659" spans="65:67" ht="18.75" customHeight="1">
      <c r="BM57659" s="1025"/>
      <c r="BO57659" s="43"/>
    </row>
    <row r="57660" spans="65:67" ht="18.75" customHeight="1">
      <c r="BM57660" s="1025"/>
      <c r="BO57660" s="43"/>
    </row>
    <row r="57661" spans="65:67" ht="18.75" customHeight="1">
      <c r="BM57661" s="1025"/>
      <c r="BO57661" s="43"/>
    </row>
    <row r="57662" spans="65:67" ht="18.75" customHeight="1">
      <c r="BM57662" s="1025"/>
      <c r="BO57662" s="43"/>
    </row>
    <row r="57663" spans="65:67" ht="18.75" customHeight="1">
      <c r="BM57663" s="1025"/>
      <c r="BO57663" s="43"/>
    </row>
    <row r="57664" spans="65:67" ht="18.75" customHeight="1">
      <c r="BM57664" s="1025"/>
      <c r="BO57664" s="43"/>
    </row>
    <row r="57665" spans="65:67" ht="18.75" customHeight="1">
      <c r="BM57665" s="1025"/>
      <c r="BO57665" s="43"/>
    </row>
    <row r="57666" spans="65:67" ht="18.75" customHeight="1">
      <c r="BM57666" s="1025"/>
      <c r="BO57666" s="43"/>
    </row>
    <row r="57667" spans="65:67" ht="18.75" customHeight="1">
      <c r="BM57667" s="1025"/>
      <c r="BO57667" s="43"/>
    </row>
    <row r="57668" spans="65:67" ht="18.75" customHeight="1">
      <c r="BM57668" s="1025"/>
      <c r="BO57668" s="43"/>
    </row>
    <row r="57669" spans="65:67" ht="18.75" customHeight="1">
      <c r="BM57669" s="1025"/>
      <c r="BO57669" s="43"/>
    </row>
    <row r="57670" spans="65:67" ht="18.75" customHeight="1">
      <c r="BM57670" s="1025"/>
      <c r="BO57670" s="43"/>
    </row>
    <row r="57671" spans="65:67" ht="18.75" customHeight="1">
      <c r="BM57671" s="1025"/>
      <c r="BO57671" s="43"/>
    </row>
    <row r="57672" spans="65:67" ht="18.75" customHeight="1">
      <c r="BM57672" s="1025"/>
      <c r="BO57672" s="43"/>
    </row>
    <row r="57673" spans="65:67" ht="18.75" customHeight="1">
      <c r="BM57673" s="1025"/>
      <c r="BO57673" s="43"/>
    </row>
    <row r="57674" spans="65:67" ht="18.75" customHeight="1">
      <c r="BM57674" s="1025"/>
      <c r="BO57674" s="43"/>
    </row>
    <row r="57675" spans="65:67" ht="18.75" customHeight="1">
      <c r="BM57675" s="1025"/>
      <c r="BO57675" s="43"/>
    </row>
    <row r="57676" spans="65:67" ht="18.75" customHeight="1">
      <c r="BM57676" s="1025"/>
      <c r="BO57676" s="43"/>
    </row>
    <row r="57677" spans="65:67" ht="18.75" customHeight="1">
      <c r="BM57677" s="1025"/>
      <c r="BO57677" s="43"/>
    </row>
    <row r="57678" spans="65:67" ht="18.75" customHeight="1">
      <c r="BM57678" s="1025"/>
      <c r="BO57678" s="43"/>
    </row>
    <row r="57679" spans="65:67" ht="18.75" customHeight="1">
      <c r="BM57679" s="1025"/>
      <c r="BO57679" s="43"/>
    </row>
    <row r="57680" spans="65:67" ht="18.75" customHeight="1">
      <c r="BM57680" s="1025"/>
      <c r="BO57680" s="43"/>
    </row>
    <row r="57681" spans="65:67" ht="18.75" customHeight="1">
      <c r="BM57681" s="1025"/>
      <c r="BO57681" s="43"/>
    </row>
    <row r="57682" spans="65:67" ht="18.75" customHeight="1">
      <c r="BM57682" s="1025"/>
      <c r="BO57682" s="43"/>
    </row>
    <row r="57683" spans="65:67" ht="18.75" customHeight="1">
      <c r="BM57683" s="1025"/>
      <c r="BO57683" s="43"/>
    </row>
    <row r="57684" spans="65:67" ht="18.75" customHeight="1">
      <c r="BM57684" s="1025"/>
      <c r="BO57684" s="43"/>
    </row>
    <row r="57685" spans="65:67" ht="18.75" customHeight="1">
      <c r="BM57685" s="1025"/>
      <c r="BO57685" s="43"/>
    </row>
    <row r="57686" spans="65:67" ht="18.75" customHeight="1">
      <c r="BM57686" s="1025"/>
      <c r="BO57686" s="43"/>
    </row>
    <row r="57687" spans="65:67" ht="18.75" customHeight="1">
      <c r="BM57687" s="1025"/>
      <c r="BO57687" s="43"/>
    </row>
    <row r="57688" spans="65:67" ht="18.75" customHeight="1">
      <c r="BM57688" s="1025"/>
      <c r="BO57688" s="43"/>
    </row>
    <row r="57689" spans="65:67" ht="18.75" customHeight="1">
      <c r="BM57689" s="1025"/>
      <c r="BO57689" s="43"/>
    </row>
    <row r="57690" spans="65:67" ht="18.75" customHeight="1">
      <c r="BM57690" s="1025"/>
      <c r="BO57690" s="43"/>
    </row>
    <row r="57691" spans="65:67" ht="18.75" customHeight="1">
      <c r="BM57691" s="1025"/>
      <c r="BO57691" s="43"/>
    </row>
    <row r="57692" spans="65:67" ht="18.75" customHeight="1">
      <c r="BM57692" s="1025"/>
      <c r="BO57692" s="43"/>
    </row>
    <row r="57693" spans="65:67" ht="18.75" customHeight="1">
      <c r="BM57693" s="1025"/>
      <c r="BO57693" s="43"/>
    </row>
    <row r="57694" spans="65:67" ht="18.75" customHeight="1">
      <c r="BM57694" s="1025"/>
      <c r="BO57694" s="43"/>
    </row>
    <row r="57695" spans="65:67" ht="18.75" customHeight="1">
      <c r="BM57695" s="1025"/>
      <c r="BO57695" s="43"/>
    </row>
    <row r="57696" spans="65:67" ht="18.75" customHeight="1">
      <c r="BM57696" s="1025"/>
      <c r="BO57696" s="43"/>
    </row>
    <row r="57697" spans="65:67" ht="18.75" customHeight="1">
      <c r="BM57697" s="1025"/>
      <c r="BO57697" s="43"/>
    </row>
    <row r="57698" spans="65:67" ht="18.75" customHeight="1">
      <c r="BM57698" s="1025"/>
      <c r="BO57698" s="43"/>
    </row>
    <row r="57699" spans="65:67" ht="18.75" customHeight="1">
      <c r="BM57699" s="1025"/>
      <c r="BO57699" s="43"/>
    </row>
    <row r="57700" spans="65:67" ht="18.75" customHeight="1">
      <c r="BM57700" s="1025"/>
      <c r="BO57700" s="43"/>
    </row>
    <row r="57701" spans="65:67" ht="18.75" customHeight="1">
      <c r="BM57701" s="1025"/>
      <c r="BO57701" s="43"/>
    </row>
    <row r="57702" spans="65:67" ht="18.75" customHeight="1">
      <c r="BM57702" s="1025"/>
      <c r="BO57702" s="43"/>
    </row>
    <row r="57703" spans="65:67" ht="18.75" customHeight="1">
      <c r="BM57703" s="1025"/>
      <c r="BO57703" s="43"/>
    </row>
    <row r="57704" spans="65:67" ht="18.75" customHeight="1">
      <c r="BM57704" s="1025"/>
      <c r="BO57704" s="43"/>
    </row>
    <row r="57705" spans="65:67" ht="18.75" customHeight="1">
      <c r="BM57705" s="1025"/>
      <c r="BO57705" s="43"/>
    </row>
    <row r="57706" spans="65:67" ht="18.75" customHeight="1">
      <c r="BM57706" s="1025"/>
      <c r="BO57706" s="43"/>
    </row>
    <row r="57707" spans="65:67" ht="18.75" customHeight="1">
      <c r="BM57707" s="1025"/>
      <c r="BO57707" s="43"/>
    </row>
    <row r="57708" spans="65:67" ht="18.75" customHeight="1">
      <c r="BM57708" s="1025"/>
      <c r="BO57708" s="43"/>
    </row>
    <row r="57709" spans="65:67" ht="18.75" customHeight="1">
      <c r="BM57709" s="1025"/>
      <c r="BO57709" s="43"/>
    </row>
    <row r="57710" spans="65:67" ht="18.75" customHeight="1">
      <c r="BM57710" s="1025"/>
      <c r="BO57710" s="43"/>
    </row>
    <row r="57711" spans="65:67" ht="18.75" customHeight="1">
      <c r="BM57711" s="1025"/>
      <c r="BO57711" s="43"/>
    </row>
    <row r="57712" spans="65:67" ht="18.75" customHeight="1">
      <c r="BM57712" s="1025"/>
      <c r="BO57712" s="43"/>
    </row>
    <row r="57713" spans="65:67" ht="18.75" customHeight="1">
      <c r="BM57713" s="1025"/>
      <c r="BO57713" s="43"/>
    </row>
    <row r="57714" spans="65:67" ht="18.75" customHeight="1">
      <c r="BM57714" s="1025"/>
      <c r="BO57714" s="43"/>
    </row>
    <row r="57715" spans="65:67" ht="18.75" customHeight="1">
      <c r="BM57715" s="1025"/>
      <c r="BO57715" s="43"/>
    </row>
    <row r="57716" spans="65:67" ht="18.75" customHeight="1">
      <c r="BM57716" s="1025"/>
      <c r="BO57716" s="43"/>
    </row>
    <row r="57717" spans="65:67" ht="18.75" customHeight="1">
      <c r="BM57717" s="1025"/>
      <c r="BO57717" s="43"/>
    </row>
    <row r="57718" spans="65:67" ht="18.75" customHeight="1">
      <c r="BM57718" s="1025"/>
      <c r="BO57718" s="43"/>
    </row>
    <row r="57719" spans="65:67" ht="18.75" customHeight="1">
      <c r="BM57719" s="1025"/>
      <c r="BO57719" s="43"/>
    </row>
    <row r="57720" spans="65:67" ht="18.75" customHeight="1">
      <c r="BM57720" s="1025"/>
      <c r="BO57720" s="43"/>
    </row>
    <row r="57721" spans="65:67" ht="18.75" customHeight="1">
      <c r="BM57721" s="1025"/>
      <c r="BO57721" s="43"/>
    </row>
    <row r="57722" spans="65:67" ht="18.75" customHeight="1">
      <c r="BM57722" s="1025"/>
      <c r="BO57722" s="43"/>
    </row>
    <row r="57723" spans="65:67" ht="18.75" customHeight="1">
      <c r="BM57723" s="1025"/>
      <c r="BO57723" s="43"/>
    </row>
    <row r="57724" spans="65:67" ht="18.75" customHeight="1">
      <c r="BM57724" s="1025"/>
      <c r="BO57724" s="43"/>
    </row>
    <row r="57725" spans="65:67" ht="18.75" customHeight="1">
      <c r="BM57725" s="1025"/>
      <c r="BO57725" s="43"/>
    </row>
    <row r="57726" spans="65:67" ht="18.75" customHeight="1">
      <c r="BM57726" s="1025"/>
      <c r="BO57726" s="43"/>
    </row>
    <row r="57727" spans="65:67" ht="18.75" customHeight="1">
      <c r="BM57727" s="1025"/>
      <c r="BO57727" s="43"/>
    </row>
    <row r="57728" spans="65:67" ht="18.75" customHeight="1">
      <c r="BM57728" s="1025"/>
      <c r="BO57728" s="43"/>
    </row>
    <row r="57729" spans="65:67" ht="18.75" customHeight="1">
      <c r="BM57729" s="1025"/>
      <c r="BO57729" s="43"/>
    </row>
    <row r="57730" spans="65:67" ht="18.75" customHeight="1">
      <c r="BM57730" s="1025"/>
      <c r="BO57730" s="43"/>
    </row>
    <row r="57731" spans="65:67" ht="18.75" customHeight="1">
      <c r="BM57731" s="1025"/>
      <c r="BO57731" s="43"/>
    </row>
    <row r="57732" spans="65:67" ht="18.75" customHeight="1">
      <c r="BM57732" s="1025"/>
      <c r="BO57732" s="43"/>
    </row>
    <row r="57733" spans="65:67" ht="18.75" customHeight="1">
      <c r="BM57733" s="1025"/>
      <c r="BO57733" s="43"/>
    </row>
    <row r="57734" spans="65:67" ht="18.75" customHeight="1">
      <c r="BM57734" s="1025"/>
      <c r="BO57734" s="43"/>
    </row>
    <row r="57735" spans="65:67" ht="18.75" customHeight="1">
      <c r="BM57735" s="1025"/>
      <c r="BO57735" s="43"/>
    </row>
    <row r="57736" spans="65:67" ht="18.75" customHeight="1">
      <c r="BM57736" s="1025"/>
      <c r="BO57736" s="43"/>
    </row>
    <row r="57737" spans="65:67" ht="18.75" customHeight="1">
      <c r="BM57737" s="1025"/>
      <c r="BO57737" s="43"/>
    </row>
    <row r="57738" spans="65:67" ht="18.75" customHeight="1">
      <c r="BM57738" s="1025"/>
      <c r="BO57738" s="43"/>
    </row>
    <row r="57739" spans="65:67" ht="18.75" customHeight="1">
      <c r="BM57739" s="1025"/>
      <c r="BO57739" s="43"/>
    </row>
    <row r="57740" spans="65:67" ht="18.75" customHeight="1">
      <c r="BM57740" s="1025"/>
      <c r="BO57740" s="43"/>
    </row>
    <row r="57741" spans="65:67" ht="18.75" customHeight="1">
      <c r="BM57741" s="1025"/>
      <c r="BO57741" s="43"/>
    </row>
    <row r="57742" spans="65:67" ht="18.75" customHeight="1">
      <c r="BM57742" s="1025"/>
      <c r="BO57742" s="43"/>
    </row>
    <row r="57743" spans="65:67" ht="18.75" customHeight="1">
      <c r="BM57743" s="1025"/>
      <c r="BO57743" s="43"/>
    </row>
    <row r="57744" spans="65:67" ht="18.75" customHeight="1">
      <c r="BM57744" s="1025"/>
      <c r="BO57744" s="43"/>
    </row>
    <row r="57745" spans="65:67" ht="18.75" customHeight="1">
      <c r="BM57745" s="1025"/>
      <c r="BO57745" s="43"/>
    </row>
    <row r="57746" spans="65:67" ht="18.75" customHeight="1">
      <c r="BM57746" s="1025"/>
      <c r="BO57746" s="43"/>
    </row>
    <row r="57747" spans="65:67" ht="18.75" customHeight="1">
      <c r="BM57747" s="1025"/>
      <c r="BO57747" s="43"/>
    </row>
    <row r="57748" spans="65:67" ht="18.75" customHeight="1">
      <c r="BM57748" s="1025"/>
      <c r="BO57748" s="43"/>
    </row>
    <row r="57749" spans="65:67" ht="18.75" customHeight="1">
      <c r="BM57749" s="1025"/>
      <c r="BO57749" s="43"/>
    </row>
    <row r="57750" spans="65:67" ht="18.75" customHeight="1">
      <c r="BM57750" s="1025"/>
      <c r="BO57750" s="43"/>
    </row>
    <row r="57751" spans="65:67" ht="18.75" customHeight="1">
      <c r="BM57751" s="1025"/>
      <c r="BO57751" s="43"/>
    </row>
    <row r="57752" spans="65:67" ht="18.75" customHeight="1">
      <c r="BM57752" s="1025"/>
      <c r="BO57752" s="43"/>
    </row>
    <row r="57753" spans="65:67" ht="18.75" customHeight="1">
      <c r="BM57753" s="1025"/>
      <c r="BO57753" s="43"/>
    </row>
    <row r="57754" spans="65:67" ht="18.75" customHeight="1">
      <c r="BM57754" s="1025"/>
      <c r="BO57754" s="43"/>
    </row>
    <row r="57755" spans="65:67" ht="18.75" customHeight="1">
      <c r="BM57755" s="1025"/>
      <c r="BO57755" s="43"/>
    </row>
    <row r="57756" spans="65:67" ht="18.75" customHeight="1">
      <c r="BM57756" s="1025"/>
      <c r="BO57756" s="43"/>
    </row>
    <row r="57757" spans="65:67" ht="18.75" customHeight="1">
      <c r="BM57757" s="1025"/>
      <c r="BO57757" s="43"/>
    </row>
    <row r="57758" spans="65:67" ht="18.75" customHeight="1">
      <c r="BM57758" s="1025"/>
      <c r="BO57758" s="43"/>
    </row>
    <row r="57759" spans="65:67" ht="18.75" customHeight="1">
      <c r="BM57759" s="1025"/>
      <c r="BO57759" s="43"/>
    </row>
    <row r="57760" spans="65:67" ht="18.75" customHeight="1">
      <c r="BM57760" s="1025"/>
      <c r="BO57760" s="43"/>
    </row>
    <row r="57761" spans="65:67" ht="18.75" customHeight="1">
      <c r="BM57761" s="1025"/>
      <c r="BO57761" s="43"/>
    </row>
    <row r="57762" spans="65:67" ht="18.75" customHeight="1">
      <c r="BM57762" s="1025"/>
      <c r="BO57762" s="43"/>
    </row>
    <row r="57763" spans="65:67" ht="18.75" customHeight="1">
      <c r="BM57763" s="1025"/>
      <c r="BO57763" s="43"/>
    </row>
    <row r="57764" spans="65:67" ht="18.75" customHeight="1">
      <c r="BM57764" s="1025"/>
      <c r="BO57764" s="43"/>
    </row>
    <row r="57765" spans="65:67" ht="18.75" customHeight="1">
      <c r="BM57765" s="1025"/>
      <c r="BO57765" s="43"/>
    </row>
    <row r="57766" spans="65:67" ht="18.75" customHeight="1">
      <c r="BM57766" s="1025"/>
      <c r="BO57766" s="43"/>
    </row>
    <row r="57767" spans="65:67" ht="18.75" customHeight="1">
      <c r="BM57767" s="1025"/>
      <c r="BO57767" s="43"/>
    </row>
    <row r="57768" spans="65:67" ht="18.75" customHeight="1">
      <c r="BM57768" s="1025"/>
      <c r="BO57768" s="43"/>
    </row>
    <row r="57769" spans="65:67" ht="18.75" customHeight="1">
      <c r="BM57769" s="1025"/>
      <c r="BO57769" s="43"/>
    </row>
    <row r="57770" spans="65:67" ht="18.75" customHeight="1">
      <c r="BM57770" s="1025"/>
      <c r="BO57770" s="43"/>
    </row>
    <row r="57771" spans="65:67" ht="18.75" customHeight="1">
      <c r="BM57771" s="1025"/>
      <c r="BO57771" s="43"/>
    </row>
    <row r="57772" spans="65:67" ht="18.75" customHeight="1">
      <c r="BM57772" s="1025"/>
      <c r="BO57772" s="43"/>
    </row>
    <row r="57773" spans="65:67" ht="18.75" customHeight="1">
      <c r="BM57773" s="1025"/>
      <c r="BO57773" s="43"/>
    </row>
    <row r="57774" spans="65:67" ht="18.75" customHeight="1">
      <c r="BM57774" s="1025"/>
      <c r="BO57774" s="43"/>
    </row>
    <row r="57775" spans="65:67" ht="18.75" customHeight="1">
      <c r="BM57775" s="1025"/>
      <c r="BO57775" s="43"/>
    </row>
    <row r="57776" spans="65:67" ht="18.75" customHeight="1">
      <c r="BM57776" s="1025"/>
      <c r="BO57776" s="43"/>
    </row>
    <row r="57777" spans="65:67" ht="18.75" customHeight="1">
      <c r="BM57777" s="1025"/>
      <c r="BO57777" s="43"/>
    </row>
    <row r="57778" spans="65:67" ht="18.75" customHeight="1">
      <c r="BM57778" s="1025"/>
      <c r="BO57778" s="43"/>
    </row>
    <row r="57779" spans="65:67" ht="18.75" customHeight="1">
      <c r="BM57779" s="1025"/>
      <c r="BO57779" s="43"/>
    </row>
    <row r="57780" spans="65:67" ht="18.75" customHeight="1">
      <c r="BM57780" s="1025"/>
      <c r="BO57780" s="43"/>
    </row>
    <row r="57781" spans="65:67" ht="18.75" customHeight="1">
      <c r="BM57781" s="1025"/>
      <c r="BO57781" s="43"/>
    </row>
    <row r="57782" spans="65:67" ht="18.75" customHeight="1">
      <c r="BM57782" s="1025"/>
      <c r="BO57782" s="43"/>
    </row>
    <row r="57783" spans="65:67" ht="18.75" customHeight="1">
      <c r="BM57783" s="1025"/>
      <c r="BO57783" s="43"/>
    </row>
    <row r="57784" spans="65:67" ht="18.75" customHeight="1">
      <c r="BM57784" s="1025"/>
      <c r="BO57784" s="43"/>
    </row>
    <row r="57785" spans="65:67" ht="18.75" customHeight="1">
      <c r="BM57785" s="1025"/>
      <c r="BO57785" s="43"/>
    </row>
    <row r="57786" spans="65:67" ht="18.75" customHeight="1">
      <c r="BM57786" s="1025"/>
      <c r="BO57786" s="43"/>
    </row>
    <row r="57787" spans="65:67" ht="18.75" customHeight="1">
      <c r="BM57787" s="1025"/>
      <c r="BO57787" s="43"/>
    </row>
    <row r="57788" spans="65:67" ht="18.75" customHeight="1">
      <c r="BM57788" s="1025"/>
      <c r="BO57788" s="43"/>
    </row>
    <row r="57789" spans="65:67" ht="18.75" customHeight="1">
      <c r="BM57789" s="1025"/>
      <c r="BO57789" s="43"/>
    </row>
    <row r="57790" spans="65:67" ht="18.75" customHeight="1">
      <c r="BM57790" s="1025"/>
      <c r="BO57790" s="43"/>
    </row>
    <row r="57791" spans="65:67" ht="18.75" customHeight="1">
      <c r="BM57791" s="1025"/>
      <c r="BO57791" s="43"/>
    </row>
    <row r="57792" spans="65:67" ht="18.75" customHeight="1">
      <c r="BM57792" s="1025"/>
      <c r="BO57792" s="43"/>
    </row>
    <row r="57793" spans="65:67" ht="18.75" customHeight="1">
      <c r="BM57793" s="1025"/>
      <c r="BO57793" s="43"/>
    </row>
    <row r="57794" spans="65:67" ht="18.75" customHeight="1">
      <c r="BM57794" s="1025"/>
      <c r="BO57794" s="43"/>
    </row>
    <row r="57795" spans="65:67" ht="18.75" customHeight="1">
      <c r="BM57795" s="1025"/>
      <c r="BO57795" s="43"/>
    </row>
    <row r="57796" spans="65:67" ht="18.75" customHeight="1">
      <c r="BM57796" s="1025"/>
      <c r="BO57796" s="43"/>
    </row>
    <row r="57797" spans="65:67" ht="18.75" customHeight="1">
      <c r="BM57797" s="1025"/>
      <c r="BO57797" s="43"/>
    </row>
    <row r="57798" spans="65:67" ht="18.75" customHeight="1">
      <c r="BM57798" s="1025"/>
      <c r="BO57798" s="43"/>
    </row>
    <row r="57799" spans="65:67" ht="18.75" customHeight="1">
      <c r="BM57799" s="1025"/>
      <c r="BO57799" s="43"/>
    </row>
    <row r="57800" spans="65:67" ht="18.75" customHeight="1">
      <c r="BM57800" s="1025"/>
      <c r="BO57800" s="43"/>
    </row>
    <row r="57801" spans="65:67" ht="18.75" customHeight="1">
      <c r="BM57801" s="1025"/>
      <c r="BO57801" s="43"/>
    </row>
    <row r="57802" spans="65:67" ht="18.75" customHeight="1">
      <c r="BM57802" s="1025"/>
      <c r="BO57802" s="43"/>
    </row>
    <row r="57803" spans="65:67" ht="18.75" customHeight="1">
      <c r="BM57803" s="1025"/>
      <c r="BO57803" s="43"/>
    </row>
    <row r="57804" spans="65:67" ht="18.75" customHeight="1">
      <c r="BM57804" s="1025"/>
      <c r="BO57804" s="43"/>
    </row>
    <row r="57805" spans="65:67" ht="18.75" customHeight="1">
      <c r="BM57805" s="1025"/>
      <c r="BO57805" s="43"/>
    </row>
    <row r="57806" spans="65:67" ht="18.75" customHeight="1">
      <c r="BM57806" s="1025"/>
      <c r="BO57806" s="43"/>
    </row>
    <row r="57807" spans="65:67" ht="18.75" customHeight="1">
      <c r="BM57807" s="1025"/>
      <c r="BO57807" s="43"/>
    </row>
    <row r="57808" spans="65:67" ht="18.75" customHeight="1">
      <c r="BM57808" s="1025"/>
      <c r="BO57808" s="43"/>
    </row>
    <row r="57809" spans="65:67" ht="18.75" customHeight="1">
      <c r="BM57809" s="1025"/>
      <c r="BO57809" s="43"/>
    </row>
    <row r="57810" spans="65:67" ht="18.75" customHeight="1">
      <c r="BM57810" s="1025"/>
      <c r="BO57810" s="43"/>
    </row>
    <row r="57811" spans="65:67" ht="18.75" customHeight="1">
      <c r="BM57811" s="1025"/>
      <c r="BO57811" s="43"/>
    </row>
    <row r="57812" spans="65:67" ht="18.75" customHeight="1">
      <c r="BM57812" s="1025"/>
      <c r="BO57812" s="43"/>
    </row>
    <row r="57813" spans="65:67" ht="18.75" customHeight="1">
      <c r="BM57813" s="1025"/>
      <c r="BO57813" s="43"/>
    </row>
    <row r="57814" spans="65:67" ht="18.75" customHeight="1">
      <c r="BM57814" s="1025"/>
      <c r="BO57814" s="43"/>
    </row>
    <row r="57815" spans="65:67" ht="18.75" customHeight="1">
      <c r="BM57815" s="1025"/>
      <c r="BO57815" s="43"/>
    </row>
    <row r="57816" spans="65:67" ht="18.75" customHeight="1">
      <c r="BM57816" s="1025"/>
      <c r="BO57816" s="43"/>
    </row>
    <row r="57817" spans="65:67" ht="18.75" customHeight="1">
      <c r="BM57817" s="1025"/>
      <c r="BO57817" s="43"/>
    </row>
    <row r="57818" spans="65:67" ht="18.75" customHeight="1">
      <c r="BM57818" s="1025"/>
      <c r="BO57818" s="43"/>
    </row>
    <row r="57819" spans="65:67" ht="18.75" customHeight="1">
      <c r="BM57819" s="1025"/>
      <c r="BO57819" s="43"/>
    </row>
    <row r="57820" spans="65:67" ht="18.75" customHeight="1">
      <c r="BM57820" s="1025"/>
      <c r="BO57820" s="43"/>
    </row>
    <row r="57821" spans="65:67" ht="18.75" customHeight="1">
      <c r="BM57821" s="1025"/>
      <c r="BO57821" s="43"/>
    </row>
    <row r="57822" spans="65:67" ht="18.75" customHeight="1">
      <c r="BM57822" s="1025"/>
      <c r="BO57822" s="43"/>
    </row>
    <row r="57823" spans="65:67" ht="18.75" customHeight="1">
      <c r="BM57823" s="1025"/>
      <c r="BO57823" s="43"/>
    </row>
    <row r="57824" spans="65:67" ht="18.75" customHeight="1">
      <c r="BM57824" s="1025"/>
      <c r="BO57824" s="43"/>
    </row>
    <row r="57825" spans="65:67" ht="18.75" customHeight="1">
      <c r="BM57825" s="1025"/>
      <c r="BO57825" s="43"/>
    </row>
    <row r="57826" spans="65:67" ht="18.75" customHeight="1">
      <c r="BM57826" s="1025"/>
      <c r="BO57826" s="43"/>
    </row>
    <row r="57827" spans="65:67" ht="18.75" customHeight="1">
      <c r="BM57827" s="1025"/>
      <c r="BO57827" s="43"/>
    </row>
    <row r="57828" spans="65:67" ht="18.75" customHeight="1">
      <c r="BM57828" s="1025"/>
      <c r="BO57828" s="43"/>
    </row>
    <row r="57829" spans="65:67" ht="18.75" customHeight="1">
      <c r="BM57829" s="1025"/>
      <c r="BO57829" s="43"/>
    </row>
    <row r="57830" spans="65:67" ht="18.75" customHeight="1">
      <c r="BM57830" s="1025"/>
      <c r="BO57830" s="43"/>
    </row>
    <row r="57831" spans="65:67" ht="18.75" customHeight="1">
      <c r="BM57831" s="1025"/>
      <c r="BO57831" s="43"/>
    </row>
    <row r="57832" spans="65:67" ht="18.75" customHeight="1">
      <c r="BM57832" s="1025"/>
      <c r="BO57832" s="43"/>
    </row>
    <row r="57833" spans="65:67" ht="18.75" customHeight="1">
      <c r="BM57833" s="1025"/>
      <c r="BO57833" s="43"/>
    </row>
    <row r="57834" spans="65:67" ht="18.75" customHeight="1">
      <c r="BM57834" s="1025"/>
      <c r="BO57834" s="43"/>
    </row>
    <row r="57835" spans="65:67" ht="18.75" customHeight="1">
      <c r="BM57835" s="1025"/>
      <c r="BO57835" s="43"/>
    </row>
    <row r="57836" spans="65:67" ht="18.75" customHeight="1">
      <c r="BM57836" s="1025"/>
      <c r="BO57836" s="43"/>
    </row>
    <row r="57837" spans="65:67" ht="18.75" customHeight="1">
      <c r="BM57837" s="1025"/>
      <c r="BO57837" s="43"/>
    </row>
    <row r="57838" spans="65:67" ht="18.75" customHeight="1">
      <c r="BM57838" s="1025"/>
      <c r="BO57838" s="43"/>
    </row>
    <row r="57839" spans="65:67" ht="18.75" customHeight="1">
      <c r="BM57839" s="1025"/>
      <c r="BO57839" s="43"/>
    </row>
    <row r="57840" spans="65:67" ht="18.75" customHeight="1">
      <c r="BM57840" s="1025"/>
      <c r="BO57840" s="43"/>
    </row>
    <row r="57841" spans="65:67" ht="18.75" customHeight="1">
      <c r="BM57841" s="1025"/>
      <c r="BO57841" s="43"/>
    </row>
    <row r="57842" spans="65:67" ht="18.75" customHeight="1">
      <c r="BM57842" s="1025"/>
      <c r="BO57842" s="43"/>
    </row>
    <row r="57843" spans="65:67" ht="18.75" customHeight="1">
      <c r="BM57843" s="1025"/>
      <c r="BO57843" s="43"/>
    </row>
    <row r="57844" spans="65:67" ht="18.75" customHeight="1">
      <c r="BM57844" s="1025"/>
      <c r="BO57844" s="43"/>
    </row>
    <row r="57845" spans="65:67" ht="18.75" customHeight="1">
      <c r="BM57845" s="1025"/>
      <c r="BO57845" s="43"/>
    </row>
    <row r="57846" spans="65:67" ht="18.75" customHeight="1">
      <c r="BM57846" s="1025"/>
      <c r="BO57846" s="43"/>
    </row>
    <row r="57847" spans="65:67" ht="18.75" customHeight="1">
      <c r="BM57847" s="1025"/>
      <c r="BO57847" s="43"/>
    </row>
    <row r="57848" spans="65:67" ht="18.75" customHeight="1">
      <c r="BM57848" s="1025"/>
      <c r="BO57848" s="43"/>
    </row>
    <row r="57849" spans="65:67" ht="18.75" customHeight="1">
      <c r="BM57849" s="1025"/>
      <c r="BO57849" s="43"/>
    </row>
    <row r="57850" spans="65:67" ht="18.75" customHeight="1">
      <c r="BM57850" s="1025"/>
      <c r="BO57850" s="43"/>
    </row>
    <row r="57851" spans="65:67" ht="18.75" customHeight="1">
      <c r="BM57851" s="1025"/>
      <c r="BO57851" s="43"/>
    </row>
    <row r="57852" spans="65:67" ht="18.75" customHeight="1">
      <c r="BM57852" s="1025"/>
      <c r="BO57852" s="43"/>
    </row>
    <row r="57853" spans="65:67" ht="18.75" customHeight="1">
      <c r="BM57853" s="1025"/>
      <c r="BO57853" s="43"/>
    </row>
    <row r="57854" spans="65:67" ht="18.75" customHeight="1">
      <c r="BM57854" s="1025"/>
      <c r="BO57854" s="43"/>
    </row>
    <row r="57855" spans="65:67" ht="18.75" customHeight="1">
      <c r="BM57855" s="1025"/>
      <c r="BO57855" s="43"/>
    </row>
    <row r="57856" spans="65:67" ht="18.75" customHeight="1">
      <c r="BM57856" s="1025"/>
      <c r="BO57856" s="43"/>
    </row>
    <row r="57857" spans="65:67" ht="18.75" customHeight="1">
      <c r="BM57857" s="1025"/>
      <c r="BO57857" s="43"/>
    </row>
    <row r="57858" spans="65:67" ht="18.75" customHeight="1">
      <c r="BM57858" s="1025"/>
      <c r="BO57858" s="43"/>
    </row>
    <row r="57859" spans="65:67" ht="18.75" customHeight="1">
      <c r="BM57859" s="1025"/>
      <c r="BO57859" s="43"/>
    </row>
    <row r="57860" spans="65:67" ht="18.75" customHeight="1">
      <c r="BM57860" s="1025"/>
      <c r="BO57860" s="43"/>
    </row>
    <row r="57861" spans="65:67" ht="18.75" customHeight="1">
      <c r="BM57861" s="1025"/>
      <c r="BO57861" s="43"/>
    </row>
    <row r="57862" spans="65:67" ht="18.75" customHeight="1">
      <c r="BM57862" s="1025"/>
      <c r="BO57862" s="43"/>
    </row>
    <row r="57863" spans="65:67" ht="18.75" customHeight="1">
      <c r="BM57863" s="1025"/>
      <c r="BO57863" s="43"/>
    </row>
    <row r="57864" spans="65:67" ht="18.75" customHeight="1">
      <c r="BM57864" s="1025"/>
      <c r="BO57864" s="43"/>
    </row>
    <row r="57865" spans="65:67" ht="18.75" customHeight="1">
      <c r="BM57865" s="1025"/>
      <c r="BO57865" s="43"/>
    </row>
    <row r="57866" spans="65:67" ht="18.75" customHeight="1">
      <c r="BM57866" s="1025"/>
      <c r="BO57866" s="43"/>
    </row>
    <row r="57867" spans="65:67" ht="18.75" customHeight="1">
      <c r="BM57867" s="1025"/>
      <c r="BO57867" s="43"/>
    </row>
    <row r="57868" spans="65:67" ht="18.75" customHeight="1">
      <c r="BM57868" s="1025"/>
      <c r="BO57868" s="43"/>
    </row>
    <row r="57869" spans="65:67" ht="18.75" customHeight="1">
      <c r="BM57869" s="1025"/>
      <c r="BO57869" s="43"/>
    </row>
    <row r="57870" spans="65:67" ht="18.75" customHeight="1">
      <c r="BM57870" s="1025"/>
      <c r="BO57870" s="43"/>
    </row>
    <row r="57871" spans="65:67" ht="18.75" customHeight="1">
      <c r="BM57871" s="1025"/>
      <c r="BO57871" s="43"/>
    </row>
    <row r="57872" spans="65:67" ht="18.75" customHeight="1">
      <c r="BM57872" s="1025"/>
      <c r="BO57872" s="43"/>
    </row>
    <row r="57873" spans="65:67" ht="18.75" customHeight="1">
      <c r="BM57873" s="1025"/>
      <c r="BO57873" s="43"/>
    </row>
    <row r="57874" spans="65:67" ht="18.75" customHeight="1">
      <c r="BM57874" s="1025"/>
      <c r="BO57874" s="43"/>
    </row>
    <row r="57875" spans="65:67" ht="18.75" customHeight="1">
      <c r="BM57875" s="1025"/>
      <c r="BO57875" s="43"/>
    </row>
    <row r="57876" spans="65:67" ht="18.75" customHeight="1">
      <c r="BM57876" s="1025"/>
      <c r="BO57876" s="43"/>
    </row>
    <row r="57877" spans="65:67" ht="18.75" customHeight="1">
      <c r="BM57877" s="1025"/>
      <c r="BO57877" s="43"/>
    </row>
    <row r="57878" spans="65:67" ht="18.75" customHeight="1">
      <c r="BM57878" s="1025"/>
      <c r="BO57878" s="43"/>
    </row>
    <row r="57879" spans="65:67" ht="18.75" customHeight="1">
      <c r="BM57879" s="1025"/>
      <c r="BO57879" s="43"/>
    </row>
    <row r="57880" spans="65:67" ht="18.75" customHeight="1">
      <c r="BM57880" s="1025"/>
      <c r="BO57880" s="43"/>
    </row>
    <row r="57881" spans="65:67" ht="18.75" customHeight="1">
      <c r="BM57881" s="1025"/>
      <c r="BO57881" s="43"/>
    </row>
    <row r="57882" spans="65:67" ht="18.75" customHeight="1">
      <c r="BM57882" s="1025"/>
      <c r="BO57882" s="43"/>
    </row>
    <row r="57883" spans="65:67" ht="18.75" customHeight="1">
      <c r="BM57883" s="1025"/>
      <c r="BO57883" s="43"/>
    </row>
    <row r="57884" spans="65:67" ht="18.75" customHeight="1">
      <c r="BM57884" s="1025"/>
      <c r="BO57884" s="43"/>
    </row>
    <row r="57885" spans="65:67" ht="18.75" customHeight="1">
      <c r="BM57885" s="1025"/>
      <c r="BO57885" s="43"/>
    </row>
    <row r="57886" spans="65:67" ht="18.75" customHeight="1">
      <c r="BM57886" s="1025"/>
      <c r="BO57886" s="43"/>
    </row>
    <row r="57887" spans="65:67" ht="18.75" customHeight="1">
      <c r="BM57887" s="1025"/>
      <c r="BO57887" s="43"/>
    </row>
    <row r="57888" spans="65:67" ht="18.75" customHeight="1">
      <c r="BM57888" s="1025"/>
      <c r="BO57888" s="43"/>
    </row>
    <row r="57889" spans="65:67" ht="18.75" customHeight="1">
      <c r="BM57889" s="1025"/>
      <c r="BO57889" s="43"/>
    </row>
    <row r="57890" spans="65:67" ht="18.75" customHeight="1">
      <c r="BM57890" s="1025"/>
      <c r="BO57890" s="43"/>
    </row>
    <row r="57891" spans="65:67" ht="18.75" customHeight="1">
      <c r="BM57891" s="1025"/>
      <c r="BO57891" s="43"/>
    </row>
    <row r="57892" spans="65:67" ht="18.75" customHeight="1">
      <c r="BM57892" s="1025"/>
      <c r="BO57892" s="43"/>
    </row>
    <row r="57893" spans="65:67" ht="18.75" customHeight="1">
      <c r="BM57893" s="1025"/>
      <c r="BO57893" s="43"/>
    </row>
    <row r="57894" spans="65:67" ht="18.75" customHeight="1">
      <c r="BM57894" s="1025"/>
      <c r="BO57894" s="43"/>
    </row>
    <row r="57895" spans="65:67" ht="18.75" customHeight="1">
      <c r="BM57895" s="1025"/>
      <c r="BO57895" s="43"/>
    </row>
    <row r="57896" spans="65:67" ht="18.75" customHeight="1">
      <c r="BM57896" s="1025"/>
      <c r="BO57896" s="43"/>
    </row>
    <row r="57897" spans="65:67" ht="18.75" customHeight="1">
      <c r="BM57897" s="1025"/>
      <c r="BO57897" s="43"/>
    </row>
    <row r="57898" spans="65:67" ht="18.75" customHeight="1">
      <c r="BM57898" s="1025"/>
      <c r="BO57898" s="43"/>
    </row>
    <row r="57899" spans="65:67" ht="18.75" customHeight="1">
      <c r="BM57899" s="1025"/>
      <c r="BO57899" s="43"/>
    </row>
    <row r="57900" spans="65:67" ht="18.75" customHeight="1">
      <c r="BM57900" s="1025"/>
      <c r="BO57900" s="43"/>
    </row>
    <row r="57901" spans="65:67" ht="18.75" customHeight="1">
      <c r="BM57901" s="1025"/>
      <c r="BO57901" s="43"/>
    </row>
    <row r="57902" spans="65:67" ht="18.75" customHeight="1">
      <c r="BM57902" s="1025"/>
      <c r="BO57902" s="43"/>
    </row>
    <row r="57903" spans="65:67" ht="18.75" customHeight="1">
      <c r="BM57903" s="1025"/>
      <c r="BO57903" s="43"/>
    </row>
    <row r="57904" spans="65:67" ht="18.75" customHeight="1">
      <c r="BM57904" s="1025"/>
      <c r="BO57904" s="43"/>
    </row>
    <row r="57905" spans="65:67" ht="18.75" customHeight="1">
      <c r="BM57905" s="1025"/>
      <c r="BO57905" s="43"/>
    </row>
    <row r="57906" spans="65:67" ht="18.75" customHeight="1">
      <c r="BM57906" s="1025"/>
      <c r="BO57906" s="43"/>
    </row>
    <row r="57907" spans="65:67" ht="18.75" customHeight="1">
      <c r="BM57907" s="1025"/>
      <c r="BO57907" s="43"/>
    </row>
    <row r="57908" spans="65:67" ht="18.75" customHeight="1">
      <c r="BM57908" s="1025"/>
      <c r="BO57908" s="43"/>
    </row>
    <row r="57909" spans="65:67" ht="18.75" customHeight="1">
      <c r="BM57909" s="1025"/>
      <c r="BO57909" s="43"/>
    </row>
    <row r="57910" spans="65:67" ht="18.75" customHeight="1">
      <c r="BM57910" s="1025"/>
      <c r="BO57910" s="43"/>
    </row>
    <row r="57911" spans="65:67" ht="18.75" customHeight="1">
      <c r="BM57911" s="1025"/>
      <c r="BO57911" s="43"/>
    </row>
    <row r="57912" spans="65:67" ht="18.75" customHeight="1">
      <c r="BM57912" s="1025"/>
      <c r="BO57912" s="43"/>
    </row>
    <row r="57913" spans="65:67" ht="18.75" customHeight="1">
      <c r="BM57913" s="1025"/>
      <c r="BO57913" s="43"/>
    </row>
    <row r="57914" spans="65:67" ht="18.75" customHeight="1">
      <c r="BM57914" s="1025"/>
      <c r="BO57914" s="43"/>
    </row>
    <row r="57915" spans="65:67" ht="18.75" customHeight="1">
      <c r="BM57915" s="1025"/>
      <c r="BO57915" s="43"/>
    </row>
    <row r="57916" spans="65:67" ht="18.75" customHeight="1">
      <c r="BM57916" s="1025"/>
      <c r="BO57916" s="43"/>
    </row>
    <row r="57917" spans="65:67" ht="18.75" customHeight="1">
      <c r="BM57917" s="1025"/>
      <c r="BO57917" s="43"/>
    </row>
    <row r="57918" spans="65:67" ht="18.75" customHeight="1">
      <c r="BM57918" s="1025"/>
      <c r="BO57918" s="43"/>
    </row>
    <row r="57919" spans="65:67" ht="18.75" customHeight="1">
      <c r="BM57919" s="1025"/>
      <c r="BO57919" s="43"/>
    </row>
    <row r="57920" spans="65:67" ht="18.75" customHeight="1">
      <c r="BM57920" s="1025"/>
      <c r="BO57920" s="43"/>
    </row>
    <row r="57921" spans="65:67" ht="18.75" customHeight="1">
      <c r="BM57921" s="1025"/>
      <c r="BO57921" s="43"/>
    </row>
    <row r="57922" spans="65:67" ht="18.75" customHeight="1">
      <c r="BM57922" s="1025"/>
      <c r="BO57922" s="43"/>
    </row>
    <row r="57923" spans="65:67" ht="18.75" customHeight="1">
      <c r="BM57923" s="1025"/>
      <c r="BO57923" s="43"/>
    </row>
    <row r="57924" spans="65:67" ht="18.75" customHeight="1">
      <c r="BM57924" s="1025"/>
      <c r="BO57924" s="43"/>
    </row>
    <row r="57925" spans="65:67" ht="18.75" customHeight="1">
      <c r="BM57925" s="1025"/>
      <c r="BO57925" s="43"/>
    </row>
    <row r="57926" spans="65:67" ht="18.75" customHeight="1">
      <c r="BM57926" s="1025"/>
      <c r="BO57926" s="43"/>
    </row>
    <row r="57927" spans="65:67" ht="18.75" customHeight="1">
      <c r="BM57927" s="1025"/>
      <c r="BO57927" s="43"/>
    </row>
    <row r="57928" spans="65:67" ht="18.75" customHeight="1">
      <c r="BM57928" s="1025"/>
      <c r="BO57928" s="43"/>
    </row>
    <row r="57929" spans="65:67" ht="18.75" customHeight="1">
      <c r="BM57929" s="1025"/>
      <c r="BO57929" s="43"/>
    </row>
    <row r="57930" spans="65:67" ht="18.75" customHeight="1">
      <c r="BM57930" s="1025"/>
      <c r="BO57930" s="43"/>
    </row>
    <row r="57931" spans="65:67" ht="18.75" customHeight="1">
      <c r="BM57931" s="1025"/>
      <c r="BO57931" s="43"/>
    </row>
    <row r="57932" spans="65:67" ht="18.75" customHeight="1">
      <c r="BM57932" s="1025"/>
      <c r="BO57932" s="43"/>
    </row>
    <row r="57933" spans="65:67" ht="18.75" customHeight="1">
      <c r="BM57933" s="1025"/>
      <c r="BO57933" s="43"/>
    </row>
    <row r="57934" spans="65:67" ht="18.75" customHeight="1">
      <c r="BM57934" s="1025"/>
      <c r="BO57934" s="43"/>
    </row>
    <row r="57935" spans="65:67" ht="18.75" customHeight="1">
      <c r="BM57935" s="1025"/>
      <c r="BO57935" s="43"/>
    </row>
    <row r="57936" spans="65:67" ht="18.75" customHeight="1">
      <c r="BM57936" s="1025"/>
      <c r="BO57936" s="43"/>
    </row>
    <row r="57937" spans="65:67" ht="18.75" customHeight="1">
      <c r="BM57937" s="1025"/>
      <c r="BO57937" s="43"/>
    </row>
    <row r="57938" spans="65:67" ht="18.75" customHeight="1">
      <c r="BM57938" s="1025"/>
      <c r="BO57938" s="43"/>
    </row>
    <row r="57939" spans="65:67" ht="18.75" customHeight="1">
      <c r="BM57939" s="1025"/>
      <c r="BO57939" s="43"/>
    </row>
    <row r="57940" spans="65:67" ht="18.75" customHeight="1">
      <c r="BM57940" s="1025"/>
      <c r="BO57940" s="43"/>
    </row>
    <row r="57941" spans="65:67" ht="18.75" customHeight="1">
      <c r="BM57941" s="1025"/>
      <c r="BO57941" s="43"/>
    </row>
    <row r="57942" spans="65:67" ht="18.75" customHeight="1">
      <c r="BM57942" s="1025"/>
      <c r="BO57942" s="43"/>
    </row>
    <row r="57943" spans="65:67" ht="18.75" customHeight="1">
      <c r="BM57943" s="1025"/>
      <c r="BO57943" s="43"/>
    </row>
    <row r="57944" spans="65:67" ht="18.75" customHeight="1">
      <c r="BM57944" s="1025"/>
      <c r="BO57944" s="43"/>
    </row>
    <row r="57945" spans="65:67" ht="18.75" customHeight="1">
      <c r="BM57945" s="1025"/>
      <c r="BO57945" s="43"/>
    </row>
    <row r="57946" spans="65:67" ht="18.75" customHeight="1">
      <c r="BM57946" s="1025"/>
      <c r="BO57946" s="43"/>
    </row>
    <row r="57947" spans="65:67" ht="18.75" customHeight="1">
      <c r="BM57947" s="1025"/>
      <c r="BO57947" s="43"/>
    </row>
    <row r="57948" spans="65:67" ht="18.75" customHeight="1">
      <c r="BM57948" s="1025"/>
      <c r="BO57948" s="43"/>
    </row>
    <row r="57949" spans="65:67" ht="18.75" customHeight="1">
      <c r="BM57949" s="1025"/>
      <c r="BO57949" s="43"/>
    </row>
    <row r="57950" spans="65:67" ht="18.75" customHeight="1">
      <c r="BM57950" s="1025"/>
      <c r="BO57950" s="43"/>
    </row>
    <row r="57951" spans="65:67" ht="18.75" customHeight="1">
      <c r="BM57951" s="1025"/>
      <c r="BO57951" s="43"/>
    </row>
    <row r="57952" spans="65:67" ht="18.75" customHeight="1">
      <c r="BM57952" s="1025"/>
      <c r="BO57952" s="43"/>
    </row>
    <row r="57953" spans="65:67" ht="18.75" customHeight="1">
      <c r="BM57953" s="1025"/>
      <c r="BO57953" s="43"/>
    </row>
    <row r="57954" spans="65:67" ht="18.75" customHeight="1">
      <c r="BM57954" s="1025"/>
      <c r="BO57954" s="43"/>
    </row>
    <row r="57955" spans="65:67" ht="18.75" customHeight="1">
      <c r="BM57955" s="1025"/>
      <c r="BO57955" s="43"/>
    </row>
    <row r="57956" spans="65:67" ht="18.75" customHeight="1">
      <c r="BM57956" s="1025"/>
      <c r="BO57956" s="43"/>
    </row>
    <row r="57957" spans="65:67" ht="18.75" customHeight="1">
      <c r="BM57957" s="1025"/>
      <c r="BO57957" s="43"/>
    </row>
    <row r="57958" spans="65:67" ht="18.75" customHeight="1">
      <c r="BM57958" s="1025"/>
      <c r="BO57958" s="43"/>
    </row>
    <row r="57959" spans="65:67" ht="18.75" customHeight="1">
      <c r="BM57959" s="1025"/>
      <c r="BO57959" s="43"/>
    </row>
    <row r="57960" spans="65:67" ht="18.75" customHeight="1">
      <c r="BM57960" s="1025"/>
      <c r="BO57960" s="43"/>
    </row>
    <row r="57961" spans="65:67" ht="18.75" customHeight="1">
      <c r="BM57961" s="1025"/>
      <c r="BO57961" s="43"/>
    </row>
    <row r="57962" spans="65:67" ht="18.75" customHeight="1">
      <c r="BM57962" s="1025"/>
      <c r="BO57962" s="43"/>
    </row>
    <row r="57963" spans="65:67" ht="18.75" customHeight="1">
      <c r="BM57963" s="1025"/>
      <c r="BO57963" s="43"/>
    </row>
    <row r="57964" spans="65:67" ht="18.75" customHeight="1">
      <c r="BM57964" s="1025"/>
      <c r="BO57964" s="43"/>
    </row>
    <row r="57965" spans="65:67" ht="18.75" customHeight="1">
      <c r="BM57965" s="1025"/>
      <c r="BO57965" s="43"/>
    </row>
    <row r="57966" spans="65:67" ht="18.75" customHeight="1">
      <c r="BM57966" s="1025"/>
      <c r="BO57966" s="43"/>
    </row>
    <row r="57967" spans="65:67" ht="18.75" customHeight="1">
      <c r="BM57967" s="1025"/>
      <c r="BO57967" s="43"/>
    </row>
    <row r="57968" spans="65:67" ht="18.75" customHeight="1">
      <c r="BM57968" s="1025"/>
      <c r="BO57968" s="43"/>
    </row>
    <row r="57969" spans="65:67" ht="18.75" customHeight="1">
      <c r="BM57969" s="1025"/>
      <c r="BO57969" s="43"/>
    </row>
    <row r="57970" spans="65:67" ht="18.75" customHeight="1">
      <c r="BM57970" s="1025"/>
      <c r="BO57970" s="43"/>
    </row>
    <row r="57971" spans="65:67" ht="18.75" customHeight="1">
      <c r="BM57971" s="1025"/>
      <c r="BO57971" s="43"/>
    </row>
    <row r="57972" spans="65:67" ht="18.75" customHeight="1">
      <c r="BM57972" s="1025"/>
      <c r="BO57972" s="43"/>
    </row>
    <row r="57973" spans="65:67" ht="18.75" customHeight="1">
      <c r="BM57973" s="1025"/>
      <c r="BO57973" s="43"/>
    </row>
    <row r="57974" spans="65:67" ht="18.75" customHeight="1">
      <c r="BM57974" s="1025"/>
      <c r="BO57974" s="43"/>
    </row>
    <row r="57975" spans="65:67" ht="18.75" customHeight="1">
      <c r="BM57975" s="1025"/>
      <c r="BO57975" s="43"/>
    </row>
    <row r="57976" spans="65:67" ht="18.75" customHeight="1">
      <c r="BM57976" s="1025"/>
      <c r="BO57976" s="43"/>
    </row>
    <row r="57977" spans="65:67" ht="18.75" customHeight="1">
      <c r="BM57977" s="1025"/>
      <c r="BO57977" s="43"/>
    </row>
    <row r="57978" spans="65:67" ht="18.75" customHeight="1">
      <c r="BM57978" s="1025"/>
      <c r="BO57978" s="43"/>
    </row>
    <row r="57979" spans="65:67" ht="18.75" customHeight="1">
      <c r="BM57979" s="1025"/>
      <c r="BO57979" s="43"/>
    </row>
    <row r="57980" spans="65:67" ht="18.75" customHeight="1">
      <c r="BM57980" s="1025"/>
      <c r="BO57980" s="43"/>
    </row>
    <row r="57981" spans="65:67" ht="18.75" customHeight="1">
      <c r="BM57981" s="1025"/>
      <c r="BO57981" s="43"/>
    </row>
    <row r="57982" spans="65:67" ht="18.75" customHeight="1">
      <c r="BM57982" s="1025"/>
      <c r="BO57982" s="43"/>
    </row>
    <row r="57983" spans="65:67" ht="18.75" customHeight="1">
      <c r="BM57983" s="1025"/>
      <c r="BO57983" s="43"/>
    </row>
    <row r="57984" spans="65:67" ht="18.75" customHeight="1">
      <c r="BM57984" s="1025"/>
      <c r="BO57984" s="43"/>
    </row>
    <row r="57985" spans="65:67" ht="18.75" customHeight="1">
      <c r="BM57985" s="1025"/>
      <c r="BO57985" s="43"/>
    </row>
    <row r="57986" spans="65:67" ht="18.75" customHeight="1">
      <c r="BM57986" s="1025"/>
      <c r="BO57986" s="43"/>
    </row>
    <row r="57987" spans="65:67" ht="18.75" customHeight="1">
      <c r="BM57987" s="1025"/>
      <c r="BO57987" s="43"/>
    </row>
    <row r="57988" spans="65:67" ht="18.75" customHeight="1">
      <c r="BM57988" s="1025"/>
      <c r="BO57988" s="43"/>
    </row>
    <row r="57989" spans="65:67" ht="18.75" customHeight="1">
      <c r="BM57989" s="1025"/>
      <c r="BO57989" s="43"/>
    </row>
    <row r="57990" spans="65:67" ht="18.75" customHeight="1">
      <c r="BM57990" s="1025"/>
      <c r="BO57990" s="43"/>
    </row>
    <row r="57991" spans="65:67" ht="18.75" customHeight="1">
      <c r="BM57991" s="1025"/>
      <c r="BO57991" s="43"/>
    </row>
    <row r="57992" spans="65:67" ht="18.75" customHeight="1">
      <c r="BM57992" s="1025"/>
      <c r="BO57992" s="43"/>
    </row>
    <row r="57993" spans="65:67" ht="18.75" customHeight="1">
      <c r="BM57993" s="1025"/>
      <c r="BO57993" s="43"/>
    </row>
    <row r="57994" spans="65:67" ht="18.75" customHeight="1">
      <c r="BM57994" s="1025"/>
      <c r="BO57994" s="43"/>
    </row>
    <row r="57995" spans="65:67" ht="18.75" customHeight="1">
      <c r="BM57995" s="1025"/>
      <c r="BO57995" s="43"/>
    </row>
    <row r="57996" spans="65:67" ht="18.75" customHeight="1">
      <c r="BM57996" s="1025"/>
      <c r="BO57996" s="43"/>
    </row>
    <row r="57997" spans="65:67" ht="18.75" customHeight="1">
      <c r="BM57997" s="1025"/>
      <c r="BO57997" s="43"/>
    </row>
    <row r="57998" spans="65:67" ht="18.75" customHeight="1">
      <c r="BM57998" s="1025"/>
      <c r="BO57998" s="43"/>
    </row>
    <row r="57999" spans="65:67" ht="18.75" customHeight="1">
      <c r="BM57999" s="1025"/>
      <c r="BO57999" s="43"/>
    </row>
    <row r="58000" spans="65:67" ht="18.75" customHeight="1">
      <c r="BM58000" s="1025"/>
      <c r="BO58000" s="43"/>
    </row>
    <row r="58001" spans="65:67" ht="18.75" customHeight="1">
      <c r="BM58001" s="1025"/>
      <c r="BO58001" s="43"/>
    </row>
    <row r="58002" spans="65:67" ht="18.75" customHeight="1">
      <c r="BM58002" s="1025"/>
      <c r="BO58002" s="43"/>
    </row>
    <row r="58003" spans="65:67" ht="18.75" customHeight="1">
      <c r="BM58003" s="1025"/>
      <c r="BO58003" s="43"/>
    </row>
    <row r="58004" spans="65:67" ht="18.75" customHeight="1">
      <c r="BM58004" s="1025"/>
      <c r="BO58004" s="43"/>
    </row>
    <row r="58005" spans="65:67" ht="18.75" customHeight="1">
      <c r="BM58005" s="1025"/>
      <c r="BO58005" s="43"/>
    </row>
    <row r="58006" spans="65:67" ht="18.75" customHeight="1">
      <c r="BM58006" s="1025"/>
      <c r="BO58006" s="43"/>
    </row>
    <row r="58007" spans="65:67" ht="18.75" customHeight="1">
      <c r="BM58007" s="1025"/>
      <c r="BO58007" s="43"/>
    </row>
    <row r="58008" spans="65:67" ht="18.75" customHeight="1">
      <c r="BM58008" s="1025"/>
      <c r="BO58008" s="43"/>
    </row>
    <row r="58009" spans="65:67" ht="18.75" customHeight="1">
      <c r="BM58009" s="1025"/>
      <c r="BO58009" s="43"/>
    </row>
    <row r="58010" spans="65:67" ht="18.75" customHeight="1">
      <c r="BM58010" s="1025"/>
      <c r="BO58010" s="43"/>
    </row>
    <row r="58011" spans="65:67" ht="18.75" customHeight="1">
      <c r="BM58011" s="1025"/>
      <c r="BO58011" s="43"/>
    </row>
    <row r="58012" spans="65:67" ht="18.75" customHeight="1">
      <c r="BM58012" s="1025"/>
      <c r="BO58012" s="43"/>
    </row>
    <row r="58013" spans="65:67" ht="18.75" customHeight="1">
      <c r="BM58013" s="1025"/>
      <c r="BO58013" s="43"/>
    </row>
    <row r="58014" spans="65:67" ht="18.75" customHeight="1">
      <c r="BM58014" s="1025"/>
      <c r="BO58014" s="43"/>
    </row>
    <row r="58015" spans="65:67" ht="18.75" customHeight="1">
      <c r="BM58015" s="1025"/>
      <c r="BO58015" s="43"/>
    </row>
    <row r="58016" spans="65:67" ht="18.75" customHeight="1">
      <c r="BM58016" s="1025"/>
      <c r="BO58016" s="43"/>
    </row>
    <row r="58017" spans="65:67" ht="18.75" customHeight="1">
      <c r="BM58017" s="1025"/>
      <c r="BO58017" s="43"/>
    </row>
    <row r="58018" spans="65:67" ht="18.75" customHeight="1">
      <c r="BM58018" s="1025"/>
      <c r="BO58018" s="43"/>
    </row>
    <row r="58019" spans="65:67" ht="18.75" customHeight="1">
      <c r="BM58019" s="1025"/>
      <c r="BO58019" s="43"/>
    </row>
    <row r="58020" spans="65:67" ht="18.75" customHeight="1">
      <c r="BM58020" s="1025"/>
      <c r="BO58020" s="43"/>
    </row>
    <row r="58021" spans="65:67" ht="18.75" customHeight="1">
      <c r="BM58021" s="1025"/>
      <c r="BO58021" s="43"/>
    </row>
    <row r="58022" spans="65:67" ht="18.75" customHeight="1">
      <c r="BM58022" s="1025"/>
      <c r="BO58022" s="43"/>
    </row>
    <row r="58023" spans="65:67" ht="18.75" customHeight="1">
      <c r="BM58023" s="1025"/>
      <c r="BO58023" s="43"/>
    </row>
    <row r="58024" spans="65:67" ht="18.75" customHeight="1">
      <c r="BM58024" s="1025"/>
      <c r="BO58024" s="43"/>
    </row>
    <row r="58025" spans="65:67" ht="18.75" customHeight="1">
      <c r="BM58025" s="1025"/>
      <c r="BO58025" s="43"/>
    </row>
    <row r="58026" spans="65:67" ht="18.75" customHeight="1">
      <c r="BM58026" s="1025"/>
      <c r="BO58026" s="43"/>
    </row>
    <row r="58027" spans="65:67" ht="18.75" customHeight="1">
      <c r="BM58027" s="1025"/>
      <c r="BO58027" s="43"/>
    </row>
    <row r="58028" spans="65:67" ht="18.75" customHeight="1">
      <c r="BM58028" s="1025"/>
      <c r="BO58028" s="43"/>
    </row>
    <row r="58029" spans="65:67" ht="18.75" customHeight="1">
      <c r="BM58029" s="1025"/>
      <c r="BO58029" s="43"/>
    </row>
    <row r="58030" spans="65:67" ht="18.75" customHeight="1">
      <c r="BM58030" s="1025"/>
      <c r="BO58030" s="43"/>
    </row>
    <row r="58031" spans="65:67" ht="18.75" customHeight="1">
      <c r="BM58031" s="1025"/>
      <c r="BO58031" s="43"/>
    </row>
    <row r="58032" spans="65:67" ht="18.75" customHeight="1">
      <c r="BM58032" s="1025"/>
      <c r="BO58032" s="43"/>
    </row>
    <row r="58033" spans="65:67" ht="18.75" customHeight="1">
      <c r="BM58033" s="1025"/>
      <c r="BO58033" s="43"/>
    </row>
    <row r="58034" spans="65:67" ht="18.75" customHeight="1">
      <c r="BM58034" s="1025"/>
      <c r="BO58034" s="43"/>
    </row>
    <row r="58035" spans="65:67" ht="18.75" customHeight="1">
      <c r="BM58035" s="1025"/>
      <c r="BO58035" s="43"/>
    </row>
    <row r="58036" spans="65:67" ht="18.75" customHeight="1">
      <c r="BM58036" s="1025"/>
      <c r="BO58036" s="43"/>
    </row>
    <row r="58037" spans="65:67" ht="18.75" customHeight="1">
      <c r="BM58037" s="1025"/>
      <c r="BO58037" s="43"/>
    </row>
    <row r="58038" spans="65:67" ht="18.75" customHeight="1">
      <c r="BM58038" s="1025"/>
      <c r="BO58038" s="43"/>
    </row>
    <row r="58039" spans="65:67" ht="18.75" customHeight="1">
      <c r="BM58039" s="1025"/>
      <c r="BO58039" s="43"/>
    </row>
    <row r="58040" spans="65:67" ht="18.75" customHeight="1">
      <c r="BM58040" s="1025"/>
      <c r="BO58040" s="43"/>
    </row>
    <row r="58041" spans="65:67" ht="18.75" customHeight="1">
      <c r="BM58041" s="1025"/>
      <c r="BO58041" s="43"/>
    </row>
    <row r="58042" spans="65:67" ht="18.75" customHeight="1">
      <c r="BM58042" s="1025"/>
      <c r="BO58042" s="43"/>
    </row>
    <row r="58043" spans="65:67" ht="18.75" customHeight="1">
      <c r="BM58043" s="1025"/>
      <c r="BO58043" s="43"/>
    </row>
    <row r="58044" spans="65:67" ht="18.75" customHeight="1">
      <c r="BM58044" s="1025"/>
      <c r="BO58044" s="43"/>
    </row>
    <row r="58045" spans="65:67" ht="18.75" customHeight="1">
      <c r="BM58045" s="1025"/>
      <c r="BO58045" s="43"/>
    </row>
    <row r="58046" spans="65:67" ht="18.75" customHeight="1">
      <c r="BM58046" s="1025"/>
      <c r="BO58046" s="43"/>
    </row>
    <row r="58047" spans="65:67" ht="18.75" customHeight="1">
      <c r="BM58047" s="1025"/>
      <c r="BO58047" s="43"/>
    </row>
    <row r="58048" spans="65:67" ht="18.75" customHeight="1">
      <c r="BM58048" s="1025"/>
      <c r="BO58048" s="43"/>
    </row>
    <row r="58049" spans="65:67" ht="18.75" customHeight="1">
      <c r="BM58049" s="1025"/>
      <c r="BO58049" s="43"/>
    </row>
    <row r="58050" spans="65:67" ht="18.75" customHeight="1">
      <c r="BM58050" s="1025"/>
      <c r="BO58050" s="43"/>
    </row>
    <row r="58051" spans="65:67" ht="18.75" customHeight="1">
      <c r="BM58051" s="1025"/>
      <c r="BO58051" s="43"/>
    </row>
    <row r="58052" spans="65:67" ht="18.75" customHeight="1">
      <c r="BM58052" s="1025"/>
      <c r="BO58052" s="43"/>
    </row>
    <row r="58053" spans="65:67" ht="18.75" customHeight="1">
      <c r="BM58053" s="1025"/>
      <c r="BO58053" s="43"/>
    </row>
    <row r="58054" spans="65:67" ht="18.75" customHeight="1">
      <c r="BM58054" s="1025"/>
      <c r="BO58054" s="43"/>
    </row>
    <row r="58055" spans="65:67" ht="18.75" customHeight="1">
      <c r="BM58055" s="1025"/>
      <c r="BO58055" s="43"/>
    </row>
    <row r="58056" spans="65:67" ht="18.75" customHeight="1">
      <c r="BM58056" s="1025"/>
      <c r="BO58056" s="43"/>
    </row>
    <row r="58057" spans="65:67" ht="18.75" customHeight="1">
      <c r="BM58057" s="1025"/>
      <c r="BO58057" s="43"/>
    </row>
    <row r="58058" spans="65:67" ht="18.75" customHeight="1">
      <c r="BM58058" s="1025"/>
      <c r="BO58058" s="43"/>
    </row>
    <row r="58059" spans="65:67" ht="18.75" customHeight="1">
      <c r="BM58059" s="1025"/>
      <c r="BO58059" s="43"/>
    </row>
    <row r="58060" spans="65:67" ht="18.75" customHeight="1">
      <c r="BM58060" s="1025"/>
      <c r="BO58060" s="43"/>
    </row>
    <row r="58061" spans="65:67" ht="18.75" customHeight="1">
      <c r="BM58061" s="1025"/>
      <c r="BO58061" s="43"/>
    </row>
    <row r="58062" spans="65:67" ht="18.75" customHeight="1">
      <c r="BM58062" s="1025"/>
      <c r="BO58062" s="43"/>
    </row>
    <row r="58063" spans="65:67" ht="18.75" customHeight="1">
      <c r="BM58063" s="1025"/>
      <c r="BO58063" s="43"/>
    </row>
    <row r="58064" spans="65:67" ht="18.75" customHeight="1">
      <c r="BM58064" s="1025"/>
      <c r="BO58064" s="43"/>
    </row>
    <row r="58065" spans="65:67" ht="18.75" customHeight="1">
      <c r="BM58065" s="1025"/>
      <c r="BO58065" s="43"/>
    </row>
    <row r="58066" spans="65:67" ht="18.75" customHeight="1">
      <c r="BM58066" s="1025"/>
      <c r="BO58066" s="43"/>
    </row>
    <row r="58067" spans="65:67" ht="18.75" customHeight="1">
      <c r="BM58067" s="1025"/>
      <c r="BO58067" s="43"/>
    </row>
    <row r="58068" spans="65:67" ht="18.75" customHeight="1">
      <c r="BM58068" s="1025"/>
      <c r="BO58068" s="43"/>
    </row>
    <row r="58069" spans="65:67" ht="18.75" customHeight="1">
      <c r="BM58069" s="1025"/>
      <c r="BO58069" s="43"/>
    </row>
    <row r="58070" spans="65:67" ht="18.75" customHeight="1">
      <c r="BM58070" s="1025"/>
      <c r="BO58070" s="43"/>
    </row>
    <row r="58071" spans="65:67" ht="18.75" customHeight="1">
      <c r="BM58071" s="1025"/>
      <c r="BO58071" s="43"/>
    </row>
    <row r="58072" spans="65:67" ht="18.75" customHeight="1">
      <c r="BM58072" s="1025"/>
      <c r="BO58072" s="43"/>
    </row>
    <row r="58073" spans="65:67" ht="18.75" customHeight="1">
      <c r="BM58073" s="1025"/>
      <c r="BO58073" s="43"/>
    </row>
    <row r="58074" spans="65:67" ht="18.75" customHeight="1">
      <c r="BM58074" s="1025"/>
      <c r="BO58074" s="43"/>
    </row>
    <row r="58075" spans="65:67" ht="18.75" customHeight="1">
      <c r="BM58075" s="1025"/>
      <c r="BO58075" s="43"/>
    </row>
    <row r="58076" spans="65:67" ht="18.75" customHeight="1">
      <c r="BM58076" s="1025"/>
      <c r="BO58076" s="43"/>
    </row>
    <row r="58077" spans="65:67" ht="18.75" customHeight="1">
      <c r="BM58077" s="1025"/>
      <c r="BO58077" s="43"/>
    </row>
    <row r="58078" spans="65:67" ht="18.75" customHeight="1">
      <c r="BM58078" s="1025"/>
      <c r="BO58078" s="43"/>
    </row>
    <row r="58079" spans="65:67" ht="18.75" customHeight="1">
      <c r="BM58079" s="1025"/>
      <c r="BO58079" s="43"/>
    </row>
    <row r="58080" spans="65:67" ht="18.75" customHeight="1">
      <c r="BM58080" s="1025"/>
      <c r="BO58080" s="43"/>
    </row>
    <row r="58081" spans="65:67" ht="18.75" customHeight="1">
      <c r="BM58081" s="1025"/>
      <c r="BO58081" s="43"/>
    </row>
    <row r="58082" spans="65:67" ht="18.75" customHeight="1">
      <c r="BM58082" s="1025"/>
      <c r="BO58082" s="43"/>
    </row>
    <row r="58083" spans="65:67" ht="18.75" customHeight="1">
      <c r="BM58083" s="1025"/>
      <c r="BO58083" s="43"/>
    </row>
    <row r="58084" spans="65:67" ht="18.75" customHeight="1">
      <c r="BM58084" s="1025"/>
      <c r="BO58084" s="43"/>
    </row>
    <row r="58085" spans="65:67" ht="18.75" customHeight="1">
      <c r="BM58085" s="1025"/>
      <c r="BO58085" s="43"/>
    </row>
    <row r="58086" spans="65:67" ht="18.75" customHeight="1">
      <c r="BM58086" s="1025"/>
      <c r="BO58086" s="43"/>
    </row>
    <row r="58087" spans="65:67" ht="18.75" customHeight="1">
      <c r="BM58087" s="1025"/>
      <c r="BO58087" s="43"/>
    </row>
    <row r="58088" spans="65:67" ht="18.75" customHeight="1">
      <c r="BM58088" s="1025"/>
      <c r="BO58088" s="43"/>
    </row>
    <row r="58089" spans="65:67" ht="18.75" customHeight="1">
      <c r="BM58089" s="1025"/>
      <c r="BO58089" s="43"/>
    </row>
    <row r="58090" spans="65:67" ht="18.75" customHeight="1">
      <c r="BM58090" s="1025"/>
      <c r="BO58090" s="43"/>
    </row>
    <row r="58091" spans="65:67" ht="18.75" customHeight="1">
      <c r="BM58091" s="1025"/>
      <c r="BO58091" s="43"/>
    </row>
    <row r="58092" spans="65:67" ht="18.75" customHeight="1">
      <c r="BM58092" s="1025"/>
      <c r="BO58092" s="43"/>
    </row>
    <row r="58093" spans="65:67" ht="18.75" customHeight="1">
      <c r="BM58093" s="1025"/>
      <c r="BO58093" s="43"/>
    </row>
    <row r="58094" spans="65:67" ht="18.75" customHeight="1">
      <c r="BM58094" s="1025"/>
      <c r="BO58094" s="43"/>
    </row>
    <row r="58095" spans="65:67" ht="18.75" customHeight="1">
      <c r="BM58095" s="1025"/>
      <c r="BO58095" s="43"/>
    </row>
    <row r="58096" spans="65:67" ht="18.75" customHeight="1">
      <c r="BM58096" s="1025"/>
      <c r="BO58096" s="43"/>
    </row>
    <row r="58097" spans="65:67" ht="18.75" customHeight="1">
      <c r="BM58097" s="1025"/>
      <c r="BO58097" s="43"/>
    </row>
    <row r="58098" spans="65:67" ht="18.75" customHeight="1">
      <c r="BM58098" s="1025"/>
      <c r="BO58098" s="43"/>
    </row>
    <row r="58099" spans="65:67" ht="18.75" customHeight="1">
      <c r="BM58099" s="1025"/>
      <c r="BO58099" s="43"/>
    </row>
    <row r="58100" spans="65:67" ht="18.75" customHeight="1">
      <c r="BM58100" s="1025"/>
      <c r="BO58100" s="43"/>
    </row>
    <row r="58101" spans="65:67" ht="18.75" customHeight="1">
      <c r="BM58101" s="1025"/>
      <c r="BO58101" s="43"/>
    </row>
    <row r="58102" spans="65:67" ht="18.75" customHeight="1">
      <c r="BM58102" s="1025"/>
      <c r="BO58102" s="43"/>
    </row>
    <row r="58103" spans="65:67" ht="18.75" customHeight="1">
      <c r="BM58103" s="1025"/>
      <c r="BO58103" s="43"/>
    </row>
    <row r="58104" spans="65:67" ht="18.75" customHeight="1">
      <c r="BM58104" s="1025"/>
      <c r="BO58104" s="43"/>
    </row>
    <row r="58105" spans="65:67" ht="18.75" customHeight="1">
      <c r="BM58105" s="1025"/>
      <c r="BO58105" s="43"/>
    </row>
    <row r="58106" spans="65:67" ht="18.75" customHeight="1">
      <c r="BM58106" s="1025"/>
      <c r="BO58106" s="43"/>
    </row>
    <row r="58107" spans="65:67" ht="18.75" customHeight="1">
      <c r="BM58107" s="1025"/>
      <c r="BO58107" s="43"/>
    </row>
    <row r="58108" spans="65:67" ht="18.75" customHeight="1">
      <c r="BM58108" s="1025"/>
      <c r="BO58108" s="43"/>
    </row>
    <row r="58109" spans="65:67" ht="18.75" customHeight="1">
      <c r="BM58109" s="1025"/>
      <c r="BO58109" s="43"/>
    </row>
    <row r="58110" spans="65:67" ht="18.75" customHeight="1">
      <c r="BM58110" s="1025"/>
      <c r="BO58110" s="43"/>
    </row>
    <row r="58111" spans="65:67" ht="18.75" customHeight="1">
      <c r="BM58111" s="1025"/>
      <c r="BO58111" s="43"/>
    </row>
    <row r="58112" spans="65:67" ht="18.75" customHeight="1">
      <c r="BM58112" s="1025"/>
      <c r="BO58112" s="43"/>
    </row>
    <row r="58113" spans="65:67" ht="18.75" customHeight="1">
      <c r="BM58113" s="1025"/>
      <c r="BO58113" s="43"/>
    </row>
    <row r="58114" spans="65:67" ht="18.75" customHeight="1">
      <c r="BM58114" s="1025"/>
      <c r="BO58114" s="43"/>
    </row>
    <row r="58115" spans="65:67" ht="18.75" customHeight="1">
      <c r="BM58115" s="1025"/>
      <c r="BO58115" s="43"/>
    </row>
    <row r="58116" spans="65:67" ht="18.75" customHeight="1">
      <c r="BM58116" s="1025"/>
      <c r="BO58116" s="43"/>
    </row>
    <row r="58117" spans="65:67" ht="18.75" customHeight="1">
      <c r="BM58117" s="1025"/>
      <c r="BO58117" s="43"/>
    </row>
    <row r="58118" spans="65:67" ht="18.75" customHeight="1">
      <c r="BM58118" s="1025"/>
      <c r="BO58118" s="43"/>
    </row>
    <row r="58119" spans="65:67" ht="18.75" customHeight="1">
      <c r="BM58119" s="1025"/>
      <c r="BO58119" s="43"/>
    </row>
    <row r="58120" spans="65:67" ht="18.75" customHeight="1">
      <c r="BM58120" s="1025"/>
      <c r="BO58120" s="43"/>
    </row>
    <row r="58121" spans="65:67" ht="18.75" customHeight="1">
      <c r="BM58121" s="1025"/>
      <c r="BO58121" s="43"/>
    </row>
    <row r="58122" spans="65:67" ht="18.75" customHeight="1">
      <c r="BM58122" s="1025"/>
      <c r="BO58122" s="43"/>
    </row>
    <row r="58123" spans="65:67" ht="18.75" customHeight="1">
      <c r="BM58123" s="1025"/>
      <c r="BO58123" s="43"/>
    </row>
    <row r="58124" spans="65:67" ht="18.75" customHeight="1">
      <c r="BM58124" s="1025"/>
      <c r="BO58124" s="43"/>
    </row>
    <row r="58125" spans="65:67" ht="18.75" customHeight="1">
      <c r="BM58125" s="1025"/>
      <c r="BO58125" s="43"/>
    </row>
    <row r="58126" spans="65:67" ht="18.75" customHeight="1">
      <c r="BM58126" s="1025"/>
      <c r="BO58126" s="43"/>
    </row>
    <row r="58127" spans="65:67" ht="18.75" customHeight="1">
      <c r="BM58127" s="1025"/>
      <c r="BO58127" s="43"/>
    </row>
    <row r="58128" spans="65:67" ht="18.75" customHeight="1">
      <c r="BM58128" s="1025"/>
      <c r="BO58128" s="43"/>
    </row>
    <row r="58129" spans="65:67" ht="18.75" customHeight="1">
      <c r="BM58129" s="1025"/>
      <c r="BO58129" s="43"/>
    </row>
    <row r="58130" spans="65:67" ht="18.75" customHeight="1">
      <c r="BM58130" s="1025"/>
      <c r="BO58130" s="43"/>
    </row>
    <row r="58131" spans="65:67" ht="18.75" customHeight="1">
      <c r="BM58131" s="1025"/>
      <c r="BO58131" s="43"/>
    </row>
    <row r="58132" spans="65:67" ht="18.75" customHeight="1">
      <c r="BM58132" s="1025"/>
      <c r="BO58132" s="43"/>
    </row>
    <row r="58133" spans="65:67" ht="18.75" customHeight="1">
      <c r="BM58133" s="1025"/>
      <c r="BO58133" s="43"/>
    </row>
    <row r="58134" spans="65:67" ht="18.75" customHeight="1">
      <c r="BM58134" s="1025"/>
      <c r="BO58134" s="43"/>
    </row>
    <row r="58135" spans="65:67" ht="18.75" customHeight="1">
      <c r="BM58135" s="1025"/>
      <c r="BO58135" s="43"/>
    </row>
    <row r="58136" spans="65:67" ht="18.75" customHeight="1">
      <c r="BM58136" s="1025"/>
      <c r="BO58136" s="43"/>
    </row>
    <row r="58137" spans="65:67" ht="18.75" customHeight="1">
      <c r="BM58137" s="1025"/>
      <c r="BO58137" s="43"/>
    </row>
    <row r="58138" spans="65:67" ht="18.75" customHeight="1">
      <c r="BM58138" s="1025"/>
      <c r="BO58138" s="43"/>
    </row>
    <row r="58139" spans="65:67" ht="18.75" customHeight="1">
      <c r="BM58139" s="1025"/>
      <c r="BO58139" s="43"/>
    </row>
    <row r="58140" spans="65:67" ht="18.75" customHeight="1">
      <c r="BM58140" s="1025"/>
      <c r="BO58140" s="43"/>
    </row>
    <row r="58141" spans="65:67" ht="18.75" customHeight="1">
      <c r="BM58141" s="1025"/>
      <c r="BO58141" s="43"/>
    </row>
    <row r="58142" spans="65:67" ht="18.75" customHeight="1">
      <c r="BM58142" s="1025"/>
      <c r="BO58142" s="43"/>
    </row>
    <row r="58143" spans="65:67" ht="18.75" customHeight="1">
      <c r="BM58143" s="1025"/>
      <c r="BO58143" s="43"/>
    </row>
    <row r="58144" spans="65:67" ht="18.75" customHeight="1">
      <c r="BM58144" s="1025"/>
      <c r="BO58144" s="43"/>
    </row>
    <row r="58145" spans="65:67" ht="18.75" customHeight="1">
      <c r="BM58145" s="1025"/>
      <c r="BO58145" s="43"/>
    </row>
    <row r="58146" spans="65:67" ht="18.75" customHeight="1">
      <c r="BM58146" s="1025"/>
      <c r="BO58146" s="43"/>
    </row>
    <row r="58147" spans="65:67" ht="18.75" customHeight="1">
      <c r="BM58147" s="1025"/>
      <c r="BO58147" s="43"/>
    </row>
    <row r="58148" spans="65:67" ht="18.75" customHeight="1">
      <c r="BM58148" s="1025"/>
      <c r="BO58148" s="43"/>
    </row>
    <row r="58149" spans="65:67" ht="18.75" customHeight="1">
      <c r="BM58149" s="1025"/>
      <c r="BO58149" s="43"/>
    </row>
    <row r="58150" spans="65:67" ht="18.75" customHeight="1">
      <c r="BM58150" s="1025"/>
      <c r="BO58150" s="43"/>
    </row>
    <row r="58151" spans="65:67" ht="18.75" customHeight="1">
      <c r="BM58151" s="1025"/>
      <c r="BO58151" s="43"/>
    </row>
    <row r="58152" spans="65:67" ht="18.75" customHeight="1">
      <c r="BM58152" s="1025"/>
      <c r="BO58152" s="43"/>
    </row>
    <row r="58153" spans="65:67" ht="18.75" customHeight="1">
      <c r="BM58153" s="1025"/>
      <c r="BO58153" s="43"/>
    </row>
    <row r="58154" spans="65:67" ht="18.75" customHeight="1">
      <c r="BM58154" s="1025"/>
      <c r="BO58154" s="43"/>
    </row>
    <row r="58155" spans="65:67" ht="18.75" customHeight="1">
      <c r="BM58155" s="1025"/>
      <c r="BO58155" s="43"/>
    </row>
    <row r="58156" spans="65:67" ht="18.75" customHeight="1">
      <c r="BM58156" s="1025"/>
      <c r="BO58156" s="43"/>
    </row>
    <row r="58157" spans="65:67" ht="18.75" customHeight="1">
      <c r="BM58157" s="1025"/>
      <c r="BO58157" s="43"/>
    </row>
    <row r="58158" spans="65:67" ht="18.75" customHeight="1">
      <c r="BM58158" s="1025"/>
      <c r="BO58158" s="43"/>
    </row>
    <row r="58159" spans="65:67" ht="18.75" customHeight="1">
      <c r="BM58159" s="1025"/>
      <c r="BO58159" s="43"/>
    </row>
    <row r="58160" spans="65:67" ht="18.75" customHeight="1">
      <c r="BM58160" s="1025"/>
      <c r="BO58160" s="43"/>
    </row>
    <row r="58161" spans="65:67" ht="18.75" customHeight="1">
      <c r="BM58161" s="1025"/>
      <c r="BO58161" s="43"/>
    </row>
    <row r="58162" spans="65:67" ht="18.75" customHeight="1">
      <c r="BM58162" s="1025"/>
      <c r="BO58162" s="43"/>
    </row>
    <row r="58163" spans="65:67" ht="18.75" customHeight="1">
      <c r="BM58163" s="1025"/>
      <c r="BO58163" s="43"/>
    </row>
    <row r="58164" spans="65:67" ht="18.75" customHeight="1">
      <c r="BM58164" s="1025"/>
      <c r="BO58164" s="43"/>
    </row>
    <row r="58165" spans="65:67" ht="18.75" customHeight="1">
      <c r="BM58165" s="1025"/>
      <c r="BO58165" s="43"/>
    </row>
    <row r="58166" spans="65:67" ht="18.75" customHeight="1">
      <c r="BM58166" s="1025"/>
      <c r="BO58166" s="43"/>
    </row>
    <row r="58167" spans="65:67" ht="18.75" customHeight="1">
      <c r="BM58167" s="1025"/>
      <c r="BO58167" s="43"/>
    </row>
    <row r="58168" spans="65:67" ht="18.75" customHeight="1">
      <c r="BM58168" s="1025"/>
      <c r="BO58168" s="43"/>
    </row>
    <row r="58169" spans="65:67" ht="18.75" customHeight="1">
      <c r="BM58169" s="1025"/>
      <c r="BO58169" s="43"/>
    </row>
    <row r="58170" spans="65:67" ht="18.75" customHeight="1">
      <c r="BM58170" s="1025"/>
      <c r="BO58170" s="43"/>
    </row>
    <row r="58171" spans="65:67" ht="18.75" customHeight="1">
      <c r="BM58171" s="1025"/>
      <c r="BO58171" s="43"/>
    </row>
    <row r="58172" spans="65:67" ht="18.75" customHeight="1">
      <c r="BM58172" s="1025"/>
      <c r="BO58172" s="43"/>
    </row>
    <row r="58173" spans="65:67" ht="18.75" customHeight="1">
      <c r="BM58173" s="1025"/>
      <c r="BO58173" s="43"/>
    </row>
    <row r="58174" spans="65:67" ht="18.75" customHeight="1">
      <c r="BM58174" s="1025"/>
      <c r="BO58174" s="43"/>
    </row>
    <row r="58175" spans="65:67" ht="18.75" customHeight="1">
      <c r="BM58175" s="1025"/>
      <c r="BO58175" s="43"/>
    </row>
    <row r="58176" spans="65:67" ht="18.75" customHeight="1">
      <c r="BM58176" s="1025"/>
      <c r="BO58176" s="43"/>
    </row>
    <row r="58177" spans="65:67" ht="18.75" customHeight="1">
      <c r="BM58177" s="1025"/>
      <c r="BO58177" s="43"/>
    </row>
    <row r="58178" spans="65:67" ht="18.75" customHeight="1">
      <c r="BM58178" s="1025"/>
      <c r="BO58178" s="43"/>
    </row>
    <row r="58179" spans="65:67" ht="18.75" customHeight="1">
      <c r="BM58179" s="1025"/>
      <c r="BO58179" s="43"/>
    </row>
    <row r="58180" spans="65:67" ht="18.75" customHeight="1">
      <c r="BM58180" s="1025"/>
      <c r="BO58180" s="43"/>
    </row>
    <row r="58181" spans="65:67" ht="18.75" customHeight="1">
      <c r="BM58181" s="1025"/>
      <c r="BO58181" s="43"/>
    </row>
    <row r="58182" spans="65:67" ht="18.75" customHeight="1">
      <c r="BM58182" s="1025"/>
      <c r="BO58182" s="43"/>
    </row>
    <row r="58183" spans="65:67" ht="18.75" customHeight="1">
      <c r="BM58183" s="1025"/>
      <c r="BO58183" s="43"/>
    </row>
    <row r="58184" spans="65:67" ht="18.75" customHeight="1">
      <c r="BM58184" s="1025"/>
      <c r="BO58184" s="43"/>
    </row>
    <row r="58185" spans="65:67" ht="18.75" customHeight="1">
      <c r="BM58185" s="1025"/>
      <c r="BO58185" s="43"/>
    </row>
    <row r="58186" spans="65:67" ht="18.75" customHeight="1">
      <c r="BM58186" s="1025"/>
      <c r="BO58186" s="43"/>
    </row>
    <row r="58187" spans="65:67" ht="18.75" customHeight="1">
      <c r="BM58187" s="1025"/>
      <c r="BO58187" s="43"/>
    </row>
    <row r="58188" spans="65:67" ht="18.75" customHeight="1">
      <c r="BM58188" s="1025"/>
      <c r="BO58188" s="43"/>
    </row>
    <row r="58189" spans="65:67" ht="18.75" customHeight="1">
      <c r="BM58189" s="1025"/>
      <c r="BO58189" s="43"/>
    </row>
    <row r="58190" spans="65:67" ht="18.75" customHeight="1">
      <c r="BM58190" s="1025"/>
      <c r="BO58190" s="43"/>
    </row>
    <row r="58191" spans="65:67" ht="18.75" customHeight="1">
      <c r="BM58191" s="1025"/>
      <c r="BO58191" s="43"/>
    </row>
    <row r="58192" spans="65:67" ht="18.75" customHeight="1">
      <c r="BM58192" s="1025"/>
      <c r="BO58192" s="43"/>
    </row>
    <row r="58193" spans="65:67" ht="18.75" customHeight="1">
      <c r="BM58193" s="1025"/>
      <c r="BO58193" s="43"/>
    </row>
    <row r="58194" spans="65:67" ht="18.75" customHeight="1">
      <c r="BM58194" s="1025"/>
      <c r="BO58194" s="43"/>
    </row>
    <row r="58195" spans="65:67" ht="18.75" customHeight="1">
      <c r="BM58195" s="1025"/>
      <c r="BO58195" s="43"/>
    </row>
    <row r="58196" spans="65:67" ht="18.75" customHeight="1">
      <c r="BM58196" s="1025"/>
      <c r="BO58196" s="43"/>
    </row>
    <row r="58197" spans="65:67" ht="18.75" customHeight="1">
      <c r="BM58197" s="1025"/>
      <c r="BO58197" s="43"/>
    </row>
    <row r="58198" spans="65:67" ht="18.75" customHeight="1">
      <c r="BM58198" s="1025"/>
      <c r="BO58198" s="43"/>
    </row>
    <row r="58199" spans="65:67" ht="18.75" customHeight="1">
      <c r="BM58199" s="1025"/>
      <c r="BO58199" s="43"/>
    </row>
    <row r="58200" spans="65:67" ht="18.75" customHeight="1">
      <c r="BM58200" s="1025"/>
      <c r="BO58200" s="43"/>
    </row>
    <row r="58201" spans="65:67" ht="18.75" customHeight="1">
      <c r="BM58201" s="1025"/>
      <c r="BO58201" s="43"/>
    </row>
    <row r="58202" spans="65:67" ht="18.75" customHeight="1">
      <c r="BM58202" s="1025"/>
      <c r="BO58202" s="43"/>
    </row>
    <row r="58203" spans="65:67" ht="18.75" customHeight="1">
      <c r="BM58203" s="1025"/>
      <c r="BO58203" s="43"/>
    </row>
    <row r="58204" spans="65:67" ht="18.75" customHeight="1">
      <c r="BM58204" s="1025"/>
      <c r="BO58204" s="43"/>
    </row>
    <row r="58205" spans="65:67" ht="18.75" customHeight="1">
      <c r="BM58205" s="1025"/>
      <c r="BO58205" s="43"/>
    </row>
    <row r="58206" spans="65:67" ht="18.75" customHeight="1">
      <c r="BM58206" s="1025"/>
      <c r="BO58206" s="43"/>
    </row>
    <row r="58207" spans="65:67" ht="18.75" customHeight="1">
      <c r="BM58207" s="1025"/>
      <c r="BO58207" s="43"/>
    </row>
    <row r="58208" spans="65:67" ht="18.75" customHeight="1">
      <c r="BM58208" s="1025"/>
      <c r="BO58208" s="43"/>
    </row>
    <row r="58209" spans="65:67" ht="18.75" customHeight="1">
      <c r="BM58209" s="1025"/>
      <c r="BO58209" s="43"/>
    </row>
    <row r="58210" spans="65:67" ht="18.75" customHeight="1">
      <c r="BM58210" s="1025"/>
      <c r="BO58210" s="43"/>
    </row>
    <row r="58211" spans="65:67" ht="18.75" customHeight="1">
      <c r="BM58211" s="1025"/>
      <c r="BO58211" s="43"/>
    </row>
    <row r="58212" spans="65:67" ht="18.75" customHeight="1">
      <c r="BM58212" s="1025"/>
      <c r="BO58212" s="43"/>
    </row>
    <row r="58213" spans="65:67" ht="18.75" customHeight="1">
      <c r="BM58213" s="1025"/>
      <c r="BO58213" s="43"/>
    </row>
    <row r="58214" spans="65:67" ht="18.75" customHeight="1">
      <c r="BM58214" s="1025"/>
      <c r="BO58214" s="43"/>
    </row>
    <row r="58215" spans="65:67" ht="18.75" customHeight="1">
      <c r="BM58215" s="1025"/>
      <c r="BO58215" s="43"/>
    </row>
    <row r="58216" spans="65:67" ht="18.75" customHeight="1">
      <c r="BM58216" s="1025"/>
      <c r="BO58216" s="43"/>
    </row>
    <row r="58217" spans="65:67" ht="18.75" customHeight="1">
      <c r="BM58217" s="1025"/>
      <c r="BO58217" s="43"/>
    </row>
    <row r="58218" spans="65:67" ht="18.75" customHeight="1">
      <c r="BM58218" s="1025"/>
      <c r="BO58218" s="43"/>
    </row>
    <row r="58219" spans="65:67" ht="18.75" customHeight="1">
      <c r="BM58219" s="1025"/>
      <c r="BO58219" s="43"/>
    </row>
    <row r="58220" spans="65:67" ht="18.75" customHeight="1">
      <c r="BM58220" s="1025"/>
      <c r="BO58220" s="43"/>
    </row>
    <row r="58221" spans="65:67" ht="18.75" customHeight="1">
      <c r="BM58221" s="1025"/>
      <c r="BO58221" s="43"/>
    </row>
    <row r="58222" spans="65:67" ht="18.75" customHeight="1">
      <c r="BM58222" s="1025"/>
      <c r="BO58222" s="43"/>
    </row>
    <row r="58223" spans="65:67" ht="18.75" customHeight="1">
      <c r="BM58223" s="1025"/>
      <c r="BO58223" s="43"/>
    </row>
    <row r="58224" spans="65:67" ht="18.75" customHeight="1">
      <c r="BM58224" s="1025"/>
      <c r="BO58224" s="43"/>
    </row>
    <row r="58225" spans="65:67" ht="18.75" customHeight="1">
      <c r="BM58225" s="1025"/>
      <c r="BO58225" s="43"/>
    </row>
    <row r="58226" spans="65:67" ht="18.75" customHeight="1">
      <c r="BM58226" s="1025"/>
      <c r="BO58226" s="43"/>
    </row>
    <row r="58227" spans="65:67" ht="18.75" customHeight="1">
      <c r="BM58227" s="1025"/>
      <c r="BO58227" s="43"/>
    </row>
    <row r="58228" spans="65:67" ht="18.75" customHeight="1">
      <c r="BM58228" s="1025"/>
      <c r="BO58228" s="43"/>
    </row>
    <row r="58229" spans="65:67" ht="18.75" customHeight="1">
      <c r="BM58229" s="1025"/>
      <c r="BO58229" s="43"/>
    </row>
    <row r="58230" spans="65:67" ht="18.75" customHeight="1">
      <c r="BM58230" s="1025"/>
      <c r="BO58230" s="43"/>
    </row>
    <row r="58231" spans="65:67" ht="18.75" customHeight="1">
      <c r="BM58231" s="1025"/>
      <c r="BO58231" s="43"/>
    </row>
    <row r="58232" spans="65:67" ht="18.75" customHeight="1">
      <c r="BM58232" s="1025"/>
      <c r="BO58232" s="43"/>
    </row>
    <row r="58233" spans="65:67" ht="18.75" customHeight="1">
      <c r="BM58233" s="1025"/>
      <c r="BO58233" s="43"/>
    </row>
    <row r="58234" spans="65:67" ht="18.75" customHeight="1">
      <c r="BM58234" s="1025"/>
      <c r="BO58234" s="43"/>
    </row>
    <row r="58235" spans="65:67" ht="18.75" customHeight="1">
      <c r="BM58235" s="1025"/>
      <c r="BO58235" s="43"/>
    </row>
    <row r="58236" spans="65:67" ht="18.75" customHeight="1">
      <c r="BM58236" s="1025"/>
      <c r="BO58236" s="43"/>
    </row>
    <row r="58237" spans="65:67" ht="18.75" customHeight="1">
      <c r="BM58237" s="1025"/>
      <c r="BO58237" s="43"/>
    </row>
    <row r="58238" spans="65:67" ht="18.75" customHeight="1">
      <c r="BM58238" s="1025"/>
      <c r="BO58238" s="43"/>
    </row>
    <row r="58239" spans="65:67" ht="18.75" customHeight="1">
      <c r="BM58239" s="1025"/>
      <c r="BO58239" s="43"/>
    </row>
    <row r="58240" spans="65:67" ht="18.75" customHeight="1">
      <c r="BM58240" s="1025"/>
      <c r="BO58240" s="43"/>
    </row>
    <row r="58241" spans="65:67" ht="18.75" customHeight="1">
      <c r="BM58241" s="1025"/>
      <c r="BO58241" s="43"/>
    </row>
    <row r="58242" spans="65:67" ht="18.75" customHeight="1">
      <c r="BM58242" s="1025"/>
      <c r="BO58242" s="43"/>
    </row>
    <row r="58243" spans="65:67" ht="18.75" customHeight="1">
      <c r="BM58243" s="1025"/>
      <c r="BO58243" s="43"/>
    </row>
    <row r="58244" spans="65:67" ht="18.75" customHeight="1">
      <c r="BM58244" s="1025"/>
      <c r="BO58244" s="43"/>
    </row>
    <row r="58245" spans="65:67" ht="18.75" customHeight="1">
      <c r="BM58245" s="1025"/>
      <c r="BO58245" s="43"/>
    </row>
    <row r="58246" spans="65:67" ht="18.75" customHeight="1">
      <c r="BM58246" s="1025"/>
      <c r="BO58246" s="43"/>
    </row>
    <row r="58247" spans="65:67" ht="18.75" customHeight="1">
      <c r="BM58247" s="1025"/>
      <c r="BO58247" s="43"/>
    </row>
    <row r="58248" spans="65:67" ht="18.75" customHeight="1">
      <c r="BM58248" s="1025"/>
      <c r="BO58248" s="43"/>
    </row>
    <row r="58249" spans="65:67" ht="18.75" customHeight="1">
      <c r="BM58249" s="1025"/>
      <c r="BO58249" s="43"/>
    </row>
    <row r="58250" spans="65:67" ht="18.75" customHeight="1">
      <c r="BM58250" s="1025"/>
      <c r="BO58250" s="43"/>
    </row>
    <row r="58251" spans="65:67" ht="18.75" customHeight="1">
      <c r="BM58251" s="1025"/>
      <c r="BO58251" s="43"/>
    </row>
    <row r="58252" spans="65:67" ht="18.75" customHeight="1">
      <c r="BM58252" s="1025"/>
      <c r="BO58252" s="43"/>
    </row>
    <row r="58253" spans="65:67" ht="18.75" customHeight="1">
      <c r="BM58253" s="1025"/>
      <c r="BO58253" s="43"/>
    </row>
    <row r="58254" spans="65:67" ht="18.75" customHeight="1">
      <c r="BM58254" s="1025"/>
      <c r="BO58254" s="43"/>
    </row>
    <row r="58255" spans="65:67" ht="18.75" customHeight="1">
      <c r="BM58255" s="1025"/>
      <c r="BO58255" s="43"/>
    </row>
    <row r="58256" spans="65:67" ht="18.75" customHeight="1">
      <c r="BM58256" s="1025"/>
      <c r="BO58256" s="43"/>
    </row>
    <row r="58257" spans="65:67" ht="18.75" customHeight="1">
      <c r="BM58257" s="1025"/>
      <c r="BO58257" s="43"/>
    </row>
    <row r="58258" spans="65:67" ht="18.75" customHeight="1">
      <c r="BM58258" s="1025"/>
      <c r="BO58258" s="43"/>
    </row>
    <row r="58259" spans="65:67" ht="18.75" customHeight="1">
      <c r="BM58259" s="1025"/>
      <c r="BO58259" s="43"/>
    </row>
    <row r="58260" spans="65:67" ht="18.75" customHeight="1">
      <c r="BM58260" s="1025"/>
      <c r="BO58260" s="43"/>
    </row>
    <row r="58261" spans="65:67" ht="18.75" customHeight="1">
      <c r="BM58261" s="1025"/>
      <c r="BO58261" s="43"/>
    </row>
    <row r="58262" spans="65:67" ht="18.75" customHeight="1">
      <c r="BM58262" s="1025"/>
      <c r="BO58262" s="43"/>
    </row>
    <row r="58263" spans="65:67" ht="18.75" customHeight="1">
      <c r="BM58263" s="1025"/>
      <c r="BO58263" s="43"/>
    </row>
    <row r="58264" spans="65:67" ht="18.75" customHeight="1">
      <c r="BM58264" s="1025"/>
      <c r="BO58264" s="43"/>
    </row>
    <row r="58265" spans="65:67" ht="18.75" customHeight="1">
      <c r="BM58265" s="1025"/>
      <c r="BO58265" s="43"/>
    </row>
    <row r="58266" spans="65:67" ht="18.75" customHeight="1">
      <c r="BM58266" s="1025"/>
      <c r="BO58266" s="43"/>
    </row>
    <row r="58267" spans="65:67" ht="18.75" customHeight="1">
      <c r="BM58267" s="1025"/>
      <c r="BO58267" s="43"/>
    </row>
    <row r="58268" spans="65:67" ht="18.75" customHeight="1">
      <c r="BM58268" s="1025"/>
      <c r="BO58268" s="43"/>
    </row>
    <row r="58269" spans="65:67" ht="18.75" customHeight="1">
      <c r="BM58269" s="1025"/>
      <c r="BO58269" s="43"/>
    </row>
    <row r="58270" spans="65:67" ht="18.75" customHeight="1">
      <c r="BM58270" s="1025"/>
      <c r="BO58270" s="43"/>
    </row>
    <row r="58271" spans="65:67" ht="18.75" customHeight="1">
      <c r="BM58271" s="1025"/>
      <c r="BO58271" s="43"/>
    </row>
    <row r="58272" spans="65:67" ht="18.75" customHeight="1">
      <c r="BM58272" s="1025"/>
      <c r="BO58272" s="43"/>
    </row>
    <row r="58273" spans="65:67" ht="18.75" customHeight="1">
      <c r="BM58273" s="1025"/>
      <c r="BO58273" s="43"/>
    </row>
    <row r="58274" spans="65:67" ht="18.75" customHeight="1">
      <c r="BM58274" s="1025"/>
      <c r="BO58274" s="43"/>
    </row>
    <row r="58275" spans="65:67" ht="18.75" customHeight="1">
      <c r="BM58275" s="1025"/>
      <c r="BO58275" s="43"/>
    </row>
    <row r="58276" spans="65:67" ht="18.75" customHeight="1">
      <c r="BM58276" s="1025"/>
      <c r="BO58276" s="43"/>
    </row>
    <row r="58277" spans="65:67" ht="18.75" customHeight="1">
      <c r="BM58277" s="1025"/>
      <c r="BO58277" s="43"/>
    </row>
    <row r="58278" spans="65:67" ht="18.75" customHeight="1">
      <c r="BM58278" s="1025"/>
      <c r="BO58278" s="43"/>
    </row>
    <row r="58279" spans="65:67" ht="18.75" customHeight="1">
      <c r="BM58279" s="1025"/>
      <c r="BO58279" s="43"/>
    </row>
    <row r="58280" spans="65:67" ht="18.75" customHeight="1">
      <c r="BM58280" s="1025"/>
      <c r="BO58280" s="43"/>
    </row>
    <row r="58281" spans="65:67" ht="18.75" customHeight="1">
      <c r="BM58281" s="1025"/>
      <c r="BO58281" s="43"/>
    </row>
    <row r="58282" spans="65:67" ht="18.75" customHeight="1">
      <c r="BM58282" s="1025"/>
      <c r="BO58282" s="43"/>
    </row>
    <row r="58283" spans="65:67" ht="18.75" customHeight="1">
      <c r="BM58283" s="1025"/>
      <c r="BO58283" s="43"/>
    </row>
    <row r="58284" spans="65:67" ht="18.75" customHeight="1">
      <c r="BM58284" s="1025"/>
      <c r="BO58284" s="43"/>
    </row>
    <row r="58285" spans="65:67" ht="18.75" customHeight="1">
      <c r="BM58285" s="1025"/>
      <c r="BO58285" s="43"/>
    </row>
    <row r="58286" spans="65:67" ht="18.75" customHeight="1">
      <c r="BM58286" s="1025"/>
      <c r="BO58286" s="43"/>
    </row>
    <row r="58287" spans="65:67" ht="18.75" customHeight="1">
      <c r="BM58287" s="1025"/>
      <c r="BO58287" s="43"/>
    </row>
    <row r="58288" spans="65:67" ht="18.75" customHeight="1">
      <c r="BM58288" s="1025"/>
      <c r="BO58288" s="43"/>
    </row>
    <row r="58289" spans="65:67" ht="18.75" customHeight="1">
      <c r="BM58289" s="1025"/>
      <c r="BO58289" s="43"/>
    </row>
    <row r="58290" spans="65:67" ht="18.75" customHeight="1">
      <c r="BM58290" s="1025"/>
      <c r="BO58290" s="43"/>
    </row>
    <row r="58291" spans="65:67" ht="18.75" customHeight="1">
      <c r="BM58291" s="1025"/>
      <c r="BO58291" s="43"/>
    </row>
    <row r="58292" spans="65:67" ht="18.75" customHeight="1">
      <c r="BM58292" s="1025"/>
      <c r="BO58292" s="43"/>
    </row>
    <row r="58293" spans="65:67" ht="18.75" customHeight="1">
      <c r="BM58293" s="1025"/>
      <c r="BO58293" s="43"/>
    </row>
    <row r="58294" spans="65:67" ht="18.75" customHeight="1">
      <c r="BM58294" s="1025"/>
      <c r="BO58294" s="43"/>
    </row>
    <row r="58295" spans="65:67" ht="18.75" customHeight="1">
      <c r="BM58295" s="1025"/>
      <c r="BO58295" s="43"/>
    </row>
    <row r="58296" spans="65:67" ht="18.75" customHeight="1">
      <c r="BM58296" s="1025"/>
      <c r="BO58296" s="43"/>
    </row>
    <row r="58297" spans="65:67" ht="18.75" customHeight="1">
      <c r="BM58297" s="1025"/>
      <c r="BO58297" s="43"/>
    </row>
    <row r="58298" spans="65:67" ht="18.75" customHeight="1">
      <c r="BM58298" s="1025"/>
      <c r="BO58298" s="43"/>
    </row>
    <row r="58299" spans="65:67" ht="18.75" customHeight="1">
      <c r="BM58299" s="1025"/>
      <c r="BO58299" s="43"/>
    </row>
    <row r="58300" spans="65:67" ht="18.75" customHeight="1">
      <c r="BM58300" s="1025"/>
      <c r="BO58300" s="43"/>
    </row>
    <row r="58301" spans="65:67" ht="18.75" customHeight="1">
      <c r="BM58301" s="1025"/>
      <c r="BO58301" s="43"/>
    </row>
    <row r="58302" spans="65:67" ht="18.75" customHeight="1">
      <c r="BM58302" s="1025"/>
      <c r="BO58302" s="43"/>
    </row>
    <row r="58303" spans="65:67" ht="18.75" customHeight="1">
      <c r="BM58303" s="1025"/>
      <c r="BO58303" s="43"/>
    </row>
    <row r="58304" spans="65:67" ht="18.75" customHeight="1">
      <c r="BM58304" s="1025"/>
      <c r="BO58304" s="43"/>
    </row>
    <row r="58305" spans="65:67" ht="18.75" customHeight="1">
      <c r="BM58305" s="1025"/>
      <c r="BO58305" s="43"/>
    </row>
    <row r="58306" spans="65:67" ht="18.75" customHeight="1">
      <c r="BM58306" s="1025"/>
      <c r="BO58306" s="43"/>
    </row>
    <row r="58307" spans="65:67" ht="18.75" customHeight="1">
      <c r="BM58307" s="1025"/>
      <c r="BO58307" s="43"/>
    </row>
    <row r="58308" spans="65:67" ht="18.75" customHeight="1">
      <c r="BM58308" s="1025"/>
      <c r="BO58308" s="43"/>
    </row>
    <row r="58309" spans="65:67" ht="18.75" customHeight="1">
      <c r="BM58309" s="1025"/>
      <c r="BO58309" s="43"/>
    </row>
    <row r="58310" spans="65:67" ht="18.75" customHeight="1">
      <c r="BM58310" s="1025"/>
      <c r="BO58310" s="43"/>
    </row>
    <row r="58311" spans="65:67" ht="18.75" customHeight="1">
      <c r="BM58311" s="1025"/>
      <c r="BO58311" s="43"/>
    </row>
    <row r="58312" spans="65:67" ht="18.75" customHeight="1">
      <c r="BM58312" s="1025"/>
      <c r="BO58312" s="43"/>
    </row>
    <row r="58313" spans="65:67" ht="18.75" customHeight="1">
      <c r="BM58313" s="1025"/>
      <c r="BO58313" s="43"/>
    </row>
    <row r="58314" spans="65:67" ht="18.75" customHeight="1">
      <c r="BM58314" s="1025"/>
      <c r="BO58314" s="43"/>
    </row>
    <row r="58315" spans="65:67" ht="18.75" customHeight="1">
      <c r="BM58315" s="1025"/>
      <c r="BO58315" s="43"/>
    </row>
    <row r="58316" spans="65:67" ht="18.75" customHeight="1">
      <c r="BM58316" s="1025"/>
      <c r="BO58316" s="43"/>
    </row>
    <row r="58317" spans="65:67" ht="18.75" customHeight="1">
      <c r="BM58317" s="1025"/>
      <c r="BO58317" s="43"/>
    </row>
    <row r="58318" spans="65:67" ht="18.75" customHeight="1">
      <c r="BM58318" s="1025"/>
      <c r="BO58318" s="43"/>
    </row>
    <row r="58319" spans="65:67" ht="18.75" customHeight="1">
      <c r="BM58319" s="1025"/>
      <c r="BO58319" s="43"/>
    </row>
    <row r="58320" spans="65:67" ht="18.75" customHeight="1">
      <c r="BM58320" s="1025"/>
      <c r="BO58320" s="43"/>
    </row>
    <row r="58321" spans="65:67" ht="18.75" customHeight="1">
      <c r="BM58321" s="1025"/>
      <c r="BO58321" s="43"/>
    </row>
    <row r="58322" spans="65:67" ht="18.75" customHeight="1">
      <c r="BM58322" s="1025"/>
      <c r="BO58322" s="43"/>
    </row>
    <row r="58323" spans="65:67" ht="18.75" customHeight="1">
      <c r="BM58323" s="1025"/>
      <c r="BO58323" s="43"/>
    </row>
    <row r="58324" spans="65:67" ht="18.75" customHeight="1">
      <c r="BM58324" s="1025"/>
      <c r="BO58324" s="43"/>
    </row>
    <row r="58325" spans="65:67" ht="18.75" customHeight="1">
      <c r="BM58325" s="1025"/>
      <c r="BO58325" s="43"/>
    </row>
    <row r="58326" spans="65:67" ht="18.75" customHeight="1">
      <c r="BM58326" s="1025"/>
      <c r="BO58326" s="43"/>
    </row>
    <row r="58327" spans="65:67" ht="18.75" customHeight="1">
      <c r="BM58327" s="1025"/>
      <c r="BO58327" s="43"/>
    </row>
    <row r="58328" spans="65:67" ht="18.75" customHeight="1">
      <c r="BM58328" s="1025"/>
      <c r="BO58328" s="43"/>
    </row>
    <row r="58329" spans="65:67" ht="18.75" customHeight="1">
      <c r="BM58329" s="1025"/>
      <c r="BO58329" s="43"/>
    </row>
    <row r="58330" spans="65:67" ht="18.75" customHeight="1">
      <c r="BM58330" s="1025"/>
      <c r="BO58330" s="43"/>
    </row>
    <row r="58331" spans="65:67" ht="18.75" customHeight="1">
      <c r="BM58331" s="1025"/>
      <c r="BO58331" s="43"/>
    </row>
    <row r="58332" spans="65:67" ht="18.75" customHeight="1">
      <c r="BM58332" s="1025"/>
      <c r="BO58332" s="43"/>
    </row>
    <row r="58333" spans="65:67" ht="18.75" customHeight="1">
      <c r="BM58333" s="1025"/>
      <c r="BO58333" s="43"/>
    </row>
    <row r="58334" spans="65:67" ht="18.75" customHeight="1">
      <c r="BM58334" s="1025"/>
      <c r="BO58334" s="43"/>
    </row>
    <row r="58335" spans="65:67" ht="18.75" customHeight="1">
      <c r="BM58335" s="1025"/>
      <c r="BO58335" s="43"/>
    </row>
    <row r="58336" spans="65:67" ht="18.75" customHeight="1">
      <c r="BM58336" s="1025"/>
      <c r="BO58336" s="43"/>
    </row>
    <row r="58337" spans="65:67" ht="18.75" customHeight="1">
      <c r="BM58337" s="1025"/>
      <c r="BO58337" s="43"/>
    </row>
    <row r="58338" spans="65:67" ht="18.75" customHeight="1">
      <c r="BM58338" s="1025"/>
      <c r="BO58338" s="43"/>
    </row>
    <row r="58339" spans="65:67" ht="18.75" customHeight="1">
      <c r="BM58339" s="1025"/>
      <c r="BO58339" s="43"/>
    </row>
    <row r="58340" spans="65:67" ht="18.75" customHeight="1">
      <c r="BM58340" s="1025"/>
      <c r="BO58340" s="43"/>
    </row>
    <row r="58341" spans="65:67" ht="18.75" customHeight="1">
      <c r="BM58341" s="1025"/>
      <c r="BO58341" s="43"/>
    </row>
    <row r="58342" spans="65:67" ht="18.75" customHeight="1">
      <c r="BM58342" s="1025"/>
      <c r="BO58342" s="43"/>
    </row>
    <row r="58343" spans="65:67" ht="18.75" customHeight="1">
      <c r="BM58343" s="1025"/>
      <c r="BO58343" s="43"/>
    </row>
    <row r="58344" spans="65:67" ht="18.75" customHeight="1">
      <c r="BM58344" s="1025"/>
      <c r="BO58344" s="43"/>
    </row>
    <row r="58345" spans="65:67" ht="18.75" customHeight="1">
      <c r="BM58345" s="1025"/>
      <c r="BO58345" s="43"/>
    </row>
    <row r="58346" spans="65:67" ht="18.75" customHeight="1">
      <c r="BM58346" s="1025"/>
      <c r="BO58346" s="43"/>
    </row>
    <row r="58347" spans="65:67" ht="18.75" customHeight="1">
      <c r="BM58347" s="1025"/>
      <c r="BO58347" s="43"/>
    </row>
    <row r="58348" spans="65:67" ht="18.75" customHeight="1">
      <c r="BM58348" s="1025"/>
      <c r="BO58348" s="43"/>
    </row>
    <row r="58349" spans="65:67" ht="18.75" customHeight="1">
      <c r="BM58349" s="1025"/>
      <c r="BO58349" s="43"/>
    </row>
    <row r="58350" spans="65:67" ht="18.75" customHeight="1">
      <c r="BM58350" s="1025"/>
      <c r="BO58350" s="43"/>
    </row>
    <row r="58351" spans="65:67" ht="18.75" customHeight="1">
      <c r="BM58351" s="1025"/>
      <c r="BO58351" s="43"/>
    </row>
    <row r="58352" spans="65:67" ht="18.75" customHeight="1">
      <c r="BM58352" s="1025"/>
      <c r="BO58352" s="43"/>
    </row>
    <row r="58353" spans="65:67" ht="18.75" customHeight="1">
      <c r="BM58353" s="1025"/>
      <c r="BO58353" s="43"/>
    </row>
    <row r="58354" spans="65:67" ht="18.75" customHeight="1">
      <c r="BM58354" s="1025"/>
      <c r="BO58354" s="43"/>
    </row>
    <row r="58355" spans="65:67" ht="18.75" customHeight="1">
      <c r="BM58355" s="1025"/>
      <c r="BO58355" s="43"/>
    </row>
    <row r="58356" spans="65:67" ht="18.75" customHeight="1">
      <c r="BM58356" s="1025"/>
      <c r="BO58356" s="43"/>
    </row>
    <row r="58357" spans="65:67" ht="18.75" customHeight="1">
      <c r="BM58357" s="1025"/>
      <c r="BO58357" s="43"/>
    </row>
    <row r="58358" spans="65:67" ht="18.75" customHeight="1">
      <c r="BM58358" s="1025"/>
      <c r="BO58358" s="43"/>
    </row>
    <row r="58359" spans="65:67" ht="18.75" customHeight="1">
      <c r="BM58359" s="1025"/>
      <c r="BO58359" s="43"/>
    </row>
    <row r="58360" spans="65:67" ht="18.75" customHeight="1">
      <c r="BM58360" s="1025"/>
      <c r="BO58360" s="43"/>
    </row>
    <row r="58361" spans="65:67" ht="18.75" customHeight="1">
      <c r="BM58361" s="1025"/>
      <c r="BO58361" s="43"/>
    </row>
    <row r="58362" spans="65:67" ht="18.75" customHeight="1">
      <c r="BM58362" s="1025"/>
      <c r="BO58362" s="43"/>
    </row>
    <row r="58363" spans="65:67" ht="18.75" customHeight="1">
      <c r="BM58363" s="1025"/>
      <c r="BO58363" s="43"/>
    </row>
    <row r="58364" spans="65:67" ht="18.75" customHeight="1">
      <c r="BM58364" s="1025"/>
      <c r="BO58364" s="43"/>
    </row>
    <row r="58365" spans="65:67" ht="18.75" customHeight="1">
      <c r="BM58365" s="1025"/>
      <c r="BO58365" s="43"/>
    </row>
    <row r="58366" spans="65:67" ht="18.75" customHeight="1">
      <c r="BM58366" s="1025"/>
      <c r="BO58366" s="43"/>
    </row>
    <row r="58367" spans="65:67" ht="18.75" customHeight="1">
      <c r="BM58367" s="1025"/>
      <c r="BO58367" s="43"/>
    </row>
    <row r="58368" spans="65:67" ht="18.75" customHeight="1">
      <c r="BM58368" s="1025"/>
      <c r="BO58368" s="43"/>
    </row>
    <row r="58369" spans="65:67" ht="18.75" customHeight="1">
      <c r="BM58369" s="1025"/>
      <c r="BO58369" s="43"/>
    </row>
    <row r="58370" spans="65:67" ht="18.75" customHeight="1">
      <c r="BM58370" s="1025"/>
      <c r="BO58370" s="43"/>
    </row>
    <row r="58371" spans="65:67" ht="18.75" customHeight="1">
      <c r="BM58371" s="1025"/>
      <c r="BO58371" s="43"/>
    </row>
    <row r="58372" spans="65:67" ht="18.75" customHeight="1">
      <c r="BM58372" s="1025"/>
      <c r="BO58372" s="43"/>
    </row>
    <row r="58373" spans="65:67" ht="18.75" customHeight="1">
      <c r="BM58373" s="1025"/>
      <c r="BO58373" s="43"/>
    </row>
    <row r="58374" spans="65:67" ht="18.75" customHeight="1">
      <c r="BM58374" s="1025"/>
      <c r="BO58374" s="43"/>
    </row>
    <row r="58375" spans="65:67" ht="18.75" customHeight="1">
      <c r="BM58375" s="1025"/>
      <c r="BO58375" s="43"/>
    </row>
    <row r="58376" spans="65:67" ht="18.75" customHeight="1">
      <c r="BM58376" s="1025"/>
      <c r="BO58376" s="43"/>
    </row>
    <row r="58377" spans="65:67" ht="18.75" customHeight="1">
      <c r="BM58377" s="1025"/>
      <c r="BO58377" s="43"/>
    </row>
    <row r="58378" spans="65:67" ht="18.75" customHeight="1">
      <c r="BM58378" s="1025"/>
      <c r="BO58378" s="43"/>
    </row>
    <row r="58379" spans="65:67" ht="18.75" customHeight="1">
      <c r="BM58379" s="1025"/>
      <c r="BO58379" s="43"/>
    </row>
    <row r="58380" spans="65:67" ht="18.75" customHeight="1">
      <c r="BM58380" s="1025"/>
      <c r="BO58380" s="43"/>
    </row>
    <row r="58381" spans="65:67" ht="18.75" customHeight="1">
      <c r="BM58381" s="1025"/>
      <c r="BO58381" s="43"/>
    </row>
    <row r="58382" spans="65:67" ht="18.75" customHeight="1">
      <c r="BM58382" s="1025"/>
      <c r="BO58382" s="43"/>
    </row>
    <row r="58383" spans="65:67" ht="18.75" customHeight="1">
      <c r="BM58383" s="1025"/>
      <c r="BO58383" s="43"/>
    </row>
    <row r="58384" spans="65:67" ht="18.75" customHeight="1">
      <c r="BM58384" s="1025"/>
      <c r="BO58384" s="43"/>
    </row>
    <row r="58385" spans="65:67" ht="18.75" customHeight="1">
      <c r="BM58385" s="1025"/>
      <c r="BO58385" s="43"/>
    </row>
    <row r="58386" spans="65:67" ht="18.75" customHeight="1">
      <c r="BM58386" s="1025"/>
      <c r="BO58386" s="43"/>
    </row>
    <row r="58387" spans="65:67" ht="18.75" customHeight="1">
      <c r="BM58387" s="1025"/>
      <c r="BO58387" s="43"/>
    </row>
    <row r="58388" spans="65:67" ht="18.75" customHeight="1">
      <c r="BM58388" s="1025"/>
      <c r="BO58388" s="43"/>
    </row>
    <row r="58389" spans="65:67" ht="18.75" customHeight="1">
      <c r="BM58389" s="1025"/>
      <c r="BO58389" s="43"/>
    </row>
    <row r="58390" spans="65:67" ht="18.75" customHeight="1">
      <c r="BM58390" s="1025"/>
      <c r="BO58390" s="43"/>
    </row>
    <row r="58391" spans="65:67" ht="18.75" customHeight="1">
      <c r="BM58391" s="1025"/>
      <c r="BO58391" s="43"/>
    </row>
    <row r="58392" spans="65:67" ht="18.75" customHeight="1">
      <c r="BM58392" s="1025"/>
      <c r="BO58392" s="43"/>
    </row>
    <row r="58393" spans="65:67" ht="18.75" customHeight="1">
      <c r="BM58393" s="1025"/>
      <c r="BO58393" s="43"/>
    </row>
    <row r="58394" spans="65:67" ht="18.75" customHeight="1">
      <c r="BM58394" s="1025"/>
      <c r="BO58394" s="43"/>
    </row>
    <row r="58395" spans="65:67" ht="18.75" customHeight="1">
      <c r="BM58395" s="1025"/>
      <c r="BO58395" s="43"/>
    </row>
    <row r="58396" spans="65:67" ht="18.75" customHeight="1">
      <c r="BM58396" s="1025"/>
      <c r="BO58396" s="43"/>
    </row>
    <row r="58397" spans="65:67" ht="18.75" customHeight="1">
      <c r="BM58397" s="1025"/>
      <c r="BO58397" s="43"/>
    </row>
    <row r="58398" spans="65:67" ht="18.75" customHeight="1">
      <c r="BM58398" s="1025"/>
      <c r="BO58398" s="43"/>
    </row>
    <row r="58399" spans="65:67" ht="18.75" customHeight="1">
      <c r="BM58399" s="1025"/>
      <c r="BO58399" s="43"/>
    </row>
    <row r="58400" spans="65:67" ht="18.75" customHeight="1">
      <c r="BM58400" s="1025"/>
      <c r="BO58400" s="43"/>
    </row>
    <row r="58401" spans="65:67" ht="18.75" customHeight="1">
      <c r="BM58401" s="1025"/>
      <c r="BO58401" s="43"/>
    </row>
    <row r="58402" spans="65:67" ht="18.75" customHeight="1">
      <c r="BM58402" s="1025"/>
      <c r="BO58402" s="43"/>
    </row>
    <row r="58403" spans="65:67" ht="18.75" customHeight="1">
      <c r="BM58403" s="1025"/>
      <c r="BO58403" s="43"/>
    </row>
    <row r="58404" spans="65:67" ht="18.75" customHeight="1">
      <c r="BM58404" s="1025"/>
      <c r="BO58404" s="43"/>
    </row>
    <row r="58405" spans="65:67" ht="18.75" customHeight="1">
      <c r="BM58405" s="1025"/>
      <c r="BO58405" s="43"/>
    </row>
    <row r="58406" spans="65:67" ht="18.75" customHeight="1">
      <c r="BM58406" s="1025"/>
      <c r="BO58406" s="43"/>
    </row>
    <row r="58407" spans="65:67" ht="18.75" customHeight="1">
      <c r="BM58407" s="1025"/>
      <c r="BO58407" s="43"/>
    </row>
    <row r="58408" spans="65:67" ht="18.75" customHeight="1">
      <c r="BM58408" s="1025"/>
      <c r="BO58408" s="43"/>
    </row>
    <row r="58409" spans="65:67" ht="18.75" customHeight="1">
      <c r="BM58409" s="1025"/>
      <c r="BO58409" s="43"/>
    </row>
    <row r="58410" spans="65:67" ht="18.75" customHeight="1">
      <c r="BM58410" s="1025"/>
      <c r="BO58410" s="43"/>
    </row>
    <row r="58411" spans="65:67" ht="18.75" customHeight="1">
      <c r="BM58411" s="1025"/>
      <c r="BO58411" s="43"/>
    </row>
    <row r="58412" spans="65:67" ht="18.75" customHeight="1">
      <c r="BM58412" s="1025"/>
      <c r="BO58412" s="43"/>
    </row>
    <row r="58413" spans="65:67" ht="18.75" customHeight="1">
      <c r="BM58413" s="1025"/>
      <c r="BO58413" s="43"/>
    </row>
    <row r="58414" spans="65:67" ht="18.75" customHeight="1">
      <c r="BM58414" s="1025"/>
      <c r="BO58414" s="43"/>
    </row>
    <row r="58415" spans="65:67" ht="18.75" customHeight="1">
      <c r="BM58415" s="1025"/>
      <c r="BO58415" s="43"/>
    </row>
    <row r="58416" spans="65:67" ht="18.75" customHeight="1">
      <c r="BM58416" s="1025"/>
      <c r="BO58416" s="43"/>
    </row>
    <row r="58417" spans="65:67" ht="18.75" customHeight="1">
      <c r="BM58417" s="1025"/>
      <c r="BO58417" s="43"/>
    </row>
    <row r="58418" spans="65:67" ht="18.75" customHeight="1">
      <c r="BM58418" s="1025"/>
      <c r="BO58418" s="43"/>
    </row>
    <row r="58419" spans="65:67" ht="18.75" customHeight="1">
      <c r="BM58419" s="1025"/>
      <c r="BO58419" s="43"/>
    </row>
    <row r="58420" spans="65:67" ht="18.75" customHeight="1">
      <c r="BM58420" s="1025"/>
      <c r="BO58420" s="43"/>
    </row>
    <row r="58421" spans="65:67" ht="18.75" customHeight="1">
      <c r="BM58421" s="1025"/>
      <c r="BO58421" s="43"/>
    </row>
    <row r="58422" spans="65:67" ht="18.75" customHeight="1">
      <c r="BM58422" s="1025"/>
      <c r="BO58422" s="43"/>
    </row>
    <row r="58423" spans="65:67" ht="18.75" customHeight="1">
      <c r="BM58423" s="1025"/>
      <c r="BO58423" s="43"/>
    </row>
    <row r="58424" spans="65:67" ht="18.75" customHeight="1">
      <c r="BM58424" s="1025"/>
      <c r="BO58424" s="43"/>
    </row>
    <row r="58425" spans="65:67" ht="18.75" customHeight="1">
      <c r="BM58425" s="1025"/>
      <c r="BO58425" s="43"/>
    </row>
    <row r="58426" spans="65:67" ht="18.75" customHeight="1">
      <c r="BM58426" s="1025"/>
      <c r="BO58426" s="43"/>
    </row>
    <row r="58427" spans="65:67" ht="18.75" customHeight="1">
      <c r="BM58427" s="1025"/>
      <c r="BO58427" s="43"/>
    </row>
    <row r="58428" spans="65:67" ht="18.75" customHeight="1">
      <c r="BM58428" s="1025"/>
      <c r="BO58428" s="43"/>
    </row>
    <row r="58429" spans="65:67" ht="18.75" customHeight="1">
      <c r="BM58429" s="1025"/>
      <c r="BO58429" s="43"/>
    </row>
    <row r="58430" spans="65:67" ht="18.75" customHeight="1">
      <c r="BM58430" s="1025"/>
      <c r="BO58430" s="43"/>
    </row>
    <row r="58431" spans="65:67" ht="18.75" customHeight="1">
      <c r="BM58431" s="1025"/>
      <c r="BO58431" s="43"/>
    </row>
    <row r="58432" spans="65:67" ht="18.75" customHeight="1">
      <c r="BM58432" s="1025"/>
      <c r="BO58432" s="43"/>
    </row>
    <row r="58433" spans="65:67" ht="18.75" customHeight="1">
      <c r="BM58433" s="1025"/>
      <c r="BO58433" s="43"/>
    </row>
    <row r="58434" spans="65:67" ht="18.75" customHeight="1">
      <c r="BM58434" s="1025"/>
      <c r="BO58434" s="43"/>
    </row>
    <row r="58435" spans="65:67" ht="18.75" customHeight="1">
      <c r="BM58435" s="1025"/>
      <c r="BO58435" s="43"/>
    </row>
    <row r="58436" spans="65:67" ht="18.75" customHeight="1">
      <c r="BM58436" s="1025"/>
      <c r="BO58436" s="43"/>
    </row>
    <row r="58437" spans="65:67" ht="18.75" customHeight="1">
      <c r="BM58437" s="1025"/>
      <c r="BO58437" s="43"/>
    </row>
    <row r="58438" spans="65:67" ht="18.75" customHeight="1">
      <c r="BM58438" s="1025"/>
      <c r="BO58438" s="43"/>
    </row>
    <row r="58439" spans="65:67" ht="18.75" customHeight="1">
      <c r="BM58439" s="1025"/>
      <c r="BO58439" s="43"/>
    </row>
    <row r="58440" spans="65:67" ht="18.75" customHeight="1">
      <c r="BM58440" s="1025"/>
      <c r="BO58440" s="43"/>
    </row>
    <row r="58441" spans="65:67" ht="18.75" customHeight="1">
      <c r="BM58441" s="1025"/>
      <c r="BO58441" s="43"/>
    </row>
    <row r="58442" spans="65:67" ht="18.75" customHeight="1">
      <c r="BM58442" s="1025"/>
      <c r="BO58442" s="43"/>
    </row>
    <row r="58443" spans="65:67" ht="18.75" customHeight="1">
      <c r="BM58443" s="1025"/>
      <c r="BO58443" s="43"/>
    </row>
    <row r="58444" spans="65:67" ht="18.75" customHeight="1">
      <c r="BM58444" s="1025"/>
      <c r="BO58444" s="43"/>
    </row>
    <row r="58445" spans="65:67" ht="18.75" customHeight="1">
      <c r="BM58445" s="1025"/>
      <c r="BO58445" s="43"/>
    </row>
    <row r="58446" spans="65:67" ht="18.75" customHeight="1">
      <c r="BM58446" s="1025"/>
      <c r="BO58446" s="43"/>
    </row>
    <row r="58447" spans="65:67" ht="18.75" customHeight="1">
      <c r="BM58447" s="1025"/>
      <c r="BO58447" s="43"/>
    </row>
    <row r="58448" spans="65:67" ht="18.75" customHeight="1">
      <c r="BM58448" s="1025"/>
      <c r="BO58448" s="43"/>
    </row>
    <row r="58449" spans="65:67" ht="18.75" customHeight="1">
      <c r="BM58449" s="1025"/>
      <c r="BO58449" s="43"/>
    </row>
    <row r="58450" spans="65:67" ht="18.75" customHeight="1">
      <c r="BM58450" s="1025"/>
      <c r="BO58450" s="43"/>
    </row>
    <row r="58451" spans="65:67" ht="18.75" customHeight="1">
      <c r="BM58451" s="1025"/>
      <c r="BO58451" s="43"/>
    </row>
    <row r="58452" spans="65:67" ht="18.75" customHeight="1">
      <c r="BM58452" s="1025"/>
      <c r="BO58452" s="43"/>
    </row>
    <row r="58453" spans="65:67" ht="18.75" customHeight="1">
      <c r="BM58453" s="1025"/>
      <c r="BO58453" s="43"/>
    </row>
    <row r="58454" spans="65:67" ht="18.75" customHeight="1">
      <c r="BM58454" s="1025"/>
      <c r="BO58454" s="43"/>
    </row>
    <row r="58455" spans="65:67" ht="18.75" customHeight="1">
      <c r="BM58455" s="1025"/>
      <c r="BO58455" s="43"/>
    </row>
    <row r="58456" spans="65:67" ht="18.75" customHeight="1">
      <c r="BM58456" s="1025"/>
      <c r="BO58456" s="43"/>
    </row>
    <row r="58457" spans="65:67" ht="18.75" customHeight="1">
      <c r="BM58457" s="1025"/>
      <c r="BO58457" s="43"/>
    </row>
    <row r="58458" spans="65:67" ht="18.75" customHeight="1">
      <c r="BM58458" s="1025"/>
      <c r="BO58458" s="43"/>
    </row>
    <row r="58459" spans="65:67" ht="18.75" customHeight="1">
      <c r="BM58459" s="1025"/>
      <c r="BO58459" s="43"/>
    </row>
    <row r="58460" spans="65:67" ht="18.75" customHeight="1">
      <c r="BM58460" s="1025"/>
      <c r="BO58460" s="43"/>
    </row>
    <row r="58461" spans="65:67" ht="18.75" customHeight="1">
      <c r="BM58461" s="1025"/>
      <c r="BO58461" s="43"/>
    </row>
    <row r="58462" spans="65:67" ht="18.75" customHeight="1">
      <c r="BM58462" s="1025"/>
      <c r="BO58462" s="43"/>
    </row>
    <row r="58463" spans="65:67" ht="18.75" customHeight="1">
      <c r="BM58463" s="1025"/>
      <c r="BO58463" s="43"/>
    </row>
    <row r="58464" spans="65:67" ht="18.75" customHeight="1">
      <c r="BM58464" s="1025"/>
      <c r="BO58464" s="43"/>
    </row>
    <row r="58465" spans="65:67" ht="18.75" customHeight="1">
      <c r="BM58465" s="1025"/>
      <c r="BO58465" s="43"/>
    </row>
    <row r="58466" spans="65:67" ht="18.75" customHeight="1">
      <c r="BM58466" s="1025"/>
      <c r="BO58466" s="43"/>
    </row>
    <row r="58467" spans="65:67" ht="18.75" customHeight="1">
      <c r="BM58467" s="1025"/>
      <c r="BO58467" s="43"/>
    </row>
    <row r="58468" spans="65:67" ht="18.75" customHeight="1">
      <c r="BM58468" s="1025"/>
      <c r="BO58468" s="43"/>
    </row>
    <row r="58469" spans="65:67" ht="18.75" customHeight="1">
      <c r="BM58469" s="1025"/>
      <c r="BO58469" s="43"/>
    </row>
    <row r="58470" spans="65:67" ht="18.75" customHeight="1">
      <c r="BM58470" s="1025"/>
      <c r="BO58470" s="43"/>
    </row>
    <row r="58471" spans="65:67" ht="18.75" customHeight="1">
      <c r="BM58471" s="1025"/>
      <c r="BO58471" s="43"/>
    </row>
    <row r="58472" spans="65:67" ht="18.75" customHeight="1">
      <c r="BM58472" s="1025"/>
      <c r="BO58472" s="43"/>
    </row>
    <row r="58473" spans="65:67" ht="18.75" customHeight="1">
      <c r="BM58473" s="1025"/>
      <c r="BO58473" s="43"/>
    </row>
    <row r="58474" spans="65:67" ht="18.75" customHeight="1">
      <c r="BM58474" s="1025"/>
      <c r="BO58474" s="43"/>
    </row>
    <row r="58475" spans="65:67" ht="18.75" customHeight="1">
      <c r="BM58475" s="1025"/>
      <c r="BO58475" s="43"/>
    </row>
    <row r="58476" spans="65:67" ht="18.75" customHeight="1">
      <c r="BM58476" s="1025"/>
      <c r="BO58476" s="43"/>
    </row>
    <row r="58477" spans="65:67" ht="18.75" customHeight="1">
      <c r="BM58477" s="1025"/>
      <c r="BO58477" s="43"/>
    </row>
    <row r="58478" spans="65:67" ht="18.75" customHeight="1">
      <c r="BM58478" s="1025"/>
      <c r="BO58478" s="43"/>
    </row>
    <row r="58479" spans="65:67" ht="18.75" customHeight="1">
      <c r="BM58479" s="1025"/>
      <c r="BO58479" s="43"/>
    </row>
    <row r="58480" spans="65:67" ht="18.75" customHeight="1">
      <c r="BM58480" s="1025"/>
      <c r="BO58480" s="43"/>
    </row>
    <row r="58481" spans="65:67" ht="18.75" customHeight="1">
      <c r="BM58481" s="1025"/>
      <c r="BO58481" s="43"/>
    </row>
    <row r="58482" spans="65:67" ht="18.75" customHeight="1">
      <c r="BM58482" s="1025"/>
      <c r="BO58482" s="43"/>
    </row>
    <row r="58483" spans="65:67" ht="18.75" customHeight="1">
      <c r="BM58483" s="1025"/>
      <c r="BO58483" s="43"/>
    </row>
    <row r="58484" spans="65:67" ht="18.75" customHeight="1">
      <c r="BM58484" s="1025"/>
      <c r="BO58484" s="43"/>
    </row>
    <row r="58485" spans="65:67" ht="18.75" customHeight="1">
      <c r="BM58485" s="1025"/>
      <c r="BO58485" s="43"/>
    </row>
    <row r="58486" spans="65:67" ht="18.75" customHeight="1">
      <c r="BM58486" s="1025"/>
      <c r="BO58486" s="43"/>
    </row>
    <row r="58487" spans="65:67" ht="18.75" customHeight="1">
      <c r="BM58487" s="1025"/>
      <c r="BO58487" s="43"/>
    </row>
    <row r="58488" spans="65:67" ht="18.75" customHeight="1">
      <c r="BM58488" s="1025"/>
      <c r="BO58488" s="43"/>
    </row>
    <row r="58489" spans="65:67" ht="18.75" customHeight="1">
      <c r="BM58489" s="1025"/>
      <c r="BO58489" s="43"/>
    </row>
    <row r="58490" spans="65:67" ht="18.75" customHeight="1">
      <c r="BM58490" s="1025"/>
      <c r="BO58490" s="43"/>
    </row>
    <row r="58491" spans="65:67" ht="18.75" customHeight="1">
      <c r="BM58491" s="1025"/>
      <c r="BO58491" s="43"/>
    </row>
    <row r="58492" spans="65:67" ht="18.75" customHeight="1">
      <c r="BM58492" s="1025"/>
      <c r="BO58492" s="43"/>
    </row>
    <row r="58493" spans="65:67" ht="18.75" customHeight="1">
      <c r="BM58493" s="1025"/>
      <c r="BO58493" s="43"/>
    </row>
    <row r="58494" spans="65:67" ht="18.75" customHeight="1">
      <c r="BM58494" s="1025"/>
      <c r="BO58494" s="43"/>
    </row>
    <row r="58495" spans="65:67" ht="18.75" customHeight="1">
      <c r="BM58495" s="1025"/>
      <c r="BO58495" s="43"/>
    </row>
    <row r="58496" spans="65:67" ht="18.75" customHeight="1">
      <c r="BM58496" s="1025"/>
      <c r="BO58496" s="43"/>
    </row>
    <row r="58497" spans="65:67" ht="18.75" customHeight="1">
      <c r="BM58497" s="1025"/>
      <c r="BO58497" s="43"/>
    </row>
    <row r="58498" spans="65:67" ht="18.75" customHeight="1">
      <c r="BM58498" s="1025"/>
      <c r="BO58498" s="43"/>
    </row>
    <row r="58499" spans="65:67" ht="18.75" customHeight="1">
      <c r="BM58499" s="1025"/>
      <c r="BO58499" s="43"/>
    </row>
    <row r="58500" spans="65:67" ht="18.75" customHeight="1">
      <c r="BM58500" s="1025"/>
      <c r="BO58500" s="43"/>
    </row>
    <row r="58501" spans="65:67" ht="18.75" customHeight="1">
      <c r="BM58501" s="1025"/>
      <c r="BO58501" s="43"/>
    </row>
    <row r="58502" spans="65:67" ht="18.75" customHeight="1">
      <c r="BM58502" s="1025"/>
      <c r="BO58502" s="43"/>
    </row>
    <row r="58503" spans="65:67" ht="18.75" customHeight="1">
      <c r="BM58503" s="1025"/>
      <c r="BO58503" s="43"/>
    </row>
    <row r="58504" spans="65:67" ht="18.75" customHeight="1">
      <c r="BM58504" s="1025"/>
      <c r="BO58504" s="43"/>
    </row>
    <row r="58505" spans="65:67" ht="18.75" customHeight="1">
      <c r="BM58505" s="1025"/>
      <c r="BO58505" s="43"/>
    </row>
    <row r="58506" spans="65:67" ht="18.75" customHeight="1">
      <c r="BM58506" s="1025"/>
      <c r="BO58506" s="43"/>
    </row>
    <row r="58507" spans="65:67" ht="18.75" customHeight="1">
      <c r="BM58507" s="1025"/>
      <c r="BO58507" s="43"/>
    </row>
    <row r="58508" spans="65:67" ht="18.75" customHeight="1">
      <c r="BM58508" s="1025"/>
      <c r="BO58508" s="43"/>
    </row>
    <row r="58509" spans="65:67" ht="18.75" customHeight="1">
      <c r="BM58509" s="1025"/>
      <c r="BO58509" s="43"/>
    </row>
    <row r="58510" spans="65:67" ht="18.75" customHeight="1">
      <c r="BM58510" s="1025"/>
      <c r="BO58510" s="43"/>
    </row>
    <row r="58511" spans="65:67" ht="18.75" customHeight="1">
      <c r="BM58511" s="1025"/>
      <c r="BO58511" s="43"/>
    </row>
    <row r="58512" spans="65:67" ht="18.75" customHeight="1">
      <c r="BM58512" s="1025"/>
      <c r="BO58512" s="43"/>
    </row>
    <row r="58513" spans="65:67" ht="18.75" customHeight="1">
      <c r="BM58513" s="1025"/>
      <c r="BO58513" s="43"/>
    </row>
    <row r="58514" spans="65:67" ht="18.75" customHeight="1">
      <c r="BM58514" s="1025"/>
      <c r="BO58514" s="43"/>
    </row>
    <row r="58515" spans="65:67" ht="18.75" customHeight="1">
      <c r="BM58515" s="1025"/>
      <c r="BO58515" s="43"/>
    </row>
    <row r="58516" spans="65:67" ht="18.75" customHeight="1">
      <c r="BM58516" s="1025"/>
      <c r="BO58516" s="43"/>
    </row>
    <row r="58517" spans="65:67" ht="18.75" customHeight="1">
      <c r="BM58517" s="1025"/>
      <c r="BO58517" s="43"/>
    </row>
    <row r="58518" spans="65:67" ht="18.75" customHeight="1">
      <c r="BM58518" s="1025"/>
      <c r="BO58518" s="43"/>
    </row>
    <row r="58519" spans="65:67" ht="18.75" customHeight="1">
      <c r="BM58519" s="1025"/>
      <c r="BO58519" s="43"/>
    </row>
    <row r="58520" spans="65:67" ht="18.75" customHeight="1">
      <c r="BM58520" s="1025"/>
      <c r="BO58520" s="43"/>
    </row>
    <row r="58521" spans="65:67" ht="18.75" customHeight="1">
      <c r="BM58521" s="1025"/>
      <c r="BO58521" s="43"/>
    </row>
    <row r="58522" spans="65:67" ht="18.75" customHeight="1">
      <c r="BM58522" s="1025"/>
      <c r="BO58522" s="43"/>
    </row>
    <row r="58523" spans="65:67" ht="18.75" customHeight="1">
      <c r="BM58523" s="1025"/>
      <c r="BO58523" s="43"/>
    </row>
    <row r="58524" spans="65:67" ht="18.75" customHeight="1">
      <c r="BM58524" s="1025"/>
      <c r="BO58524" s="43"/>
    </row>
    <row r="58525" spans="65:67" ht="18.75" customHeight="1">
      <c r="BM58525" s="1025"/>
      <c r="BO58525" s="43"/>
    </row>
    <row r="58526" spans="65:67" ht="18.75" customHeight="1">
      <c r="BM58526" s="1025"/>
      <c r="BO58526" s="43"/>
    </row>
    <row r="58527" spans="65:67" ht="18.75" customHeight="1">
      <c r="BM58527" s="1025"/>
      <c r="BO58527" s="43"/>
    </row>
    <row r="58528" spans="65:67" ht="18.75" customHeight="1">
      <c r="BM58528" s="1025"/>
      <c r="BO58528" s="43"/>
    </row>
    <row r="58529" spans="65:67" ht="18.75" customHeight="1">
      <c r="BM58529" s="1025"/>
      <c r="BO58529" s="43"/>
    </row>
    <row r="58530" spans="65:67" ht="18.75" customHeight="1">
      <c r="BM58530" s="1025"/>
      <c r="BO58530" s="43"/>
    </row>
    <row r="58531" spans="65:67" ht="18.75" customHeight="1">
      <c r="BM58531" s="1025"/>
      <c r="BO58531" s="43"/>
    </row>
    <row r="58532" spans="65:67" ht="18.75" customHeight="1">
      <c r="BM58532" s="1025"/>
      <c r="BO58532" s="43"/>
    </row>
    <row r="58533" spans="65:67" ht="18.75" customHeight="1">
      <c r="BM58533" s="1025"/>
      <c r="BO58533" s="43"/>
    </row>
    <row r="58534" spans="65:67" ht="18.75" customHeight="1">
      <c r="BM58534" s="1025"/>
      <c r="BO58534" s="43"/>
    </row>
    <row r="58535" spans="65:67" ht="18.75" customHeight="1">
      <c r="BM58535" s="1025"/>
      <c r="BO58535" s="43"/>
    </row>
    <row r="58536" spans="65:67" ht="18.75" customHeight="1">
      <c r="BM58536" s="1025"/>
      <c r="BO58536" s="43"/>
    </row>
    <row r="58537" spans="65:67" ht="18.75" customHeight="1">
      <c r="BM58537" s="1025"/>
      <c r="BO58537" s="43"/>
    </row>
    <row r="58538" spans="65:67" ht="18.75" customHeight="1">
      <c r="BM58538" s="1025"/>
      <c r="BO58538" s="43"/>
    </row>
    <row r="58539" spans="65:67" ht="18.75" customHeight="1">
      <c r="BM58539" s="1025"/>
      <c r="BO58539" s="43"/>
    </row>
    <row r="58540" spans="65:67" ht="18.75" customHeight="1">
      <c r="BM58540" s="1025"/>
      <c r="BO58540" s="43"/>
    </row>
    <row r="58541" spans="65:67" ht="18.75" customHeight="1">
      <c r="BM58541" s="1025"/>
      <c r="BO58541" s="43"/>
    </row>
    <row r="58542" spans="65:67" ht="18.75" customHeight="1">
      <c r="BM58542" s="1025"/>
      <c r="BO58542" s="43"/>
    </row>
    <row r="58543" spans="65:67" ht="18.75" customHeight="1">
      <c r="BM58543" s="1025"/>
      <c r="BO58543" s="43"/>
    </row>
    <row r="58544" spans="65:67" ht="18.75" customHeight="1">
      <c r="BM58544" s="1025"/>
      <c r="BO58544" s="43"/>
    </row>
    <row r="58545" spans="65:67" ht="18.75" customHeight="1">
      <c r="BM58545" s="1025"/>
      <c r="BO58545" s="43"/>
    </row>
    <row r="58546" spans="65:67" ht="18.75" customHeight="1">
      <c r="BM58546" s="1025"/>
      <c r="BO58546" s="43"/>
    </row>
    <row r="58547" spans="65:67" ht="18.75" customHeight="1">
      <c r="BM58547" s="1025"/>
      <c r="BO58547" s="43"/>
    </row>
    <row r="58548" spans="65:67" ht="18.75" customHeight="1">
      <c r="BM58548" s="1025"/>
      <c r="BO58548" s="43"/>
    </row>
    <row r="58549" spans="65:67" ht="18.75" customHeight="1">
      <c r="BM58549" s="1025"/>
      <c r="BO58549" s="43"/>
    </row>
    <row r="58550" spans="65:67" ht="18.75" customHeight="1">
      <c r="BM58550" s="1025"/>
      <c r="BO58550" s="43"/>
    </row>
    <row r="58551" spans="65:67" ht="18.75" customHeight="1">
      <c r="BM58551" s="1025"/>
      <c r="BO58551" s="43"/>
    </row>
    <row r="58552" spans="65:67" ht="18.75" customHeight="1">
      <c r="BM58552" s="1025"/>
      <c r="BO58552" s="43"/>
    </row>
    <row r="58553" spans="65:67" ht="18.75" customHeight="1">
      <c r="BM58553" s="1025"/>
      <c r="BO58553" s="43"/>
    </row>
    <row r="58554" spans="65:67" ht="18.75" customHeight="1">
      <c r="BM58554" s="1025"/>
      <c r="BO58554" s="43"/>
    </row>
    <row r="58555" spans="65:67" ht="18.75" customHeight="1">
      <c r="BM58555" s="1025"/>
      <c r="BO58555" s="43"/>
    </row>
    <row r="58556" spans="65:67" ht="18.75" customHeight="1">
      <c r="BM58556" s="1025"/>
      <c r="BO58556" s="43"/>
    </row>
    <row r="58557" spans="65:67" ht="18.75" customHeight="1">
      <c r="BM58557" s="1025"/>
      <c r="BO58557" s="43"/>
    </row>
    <row r="58558" spans="65:67" ht="18.75" customHeight="1">
      <c r="BM58558" s="1025"/>
      <c r="BO58558" s="43"/>
    </row>
    <row r="58559" spans="65:67" ht="18.75" customHeight="1">
      <c r="BM58559" s="1025"/>
      <c r="BO58559" s="43"/>
    </row>
    <row r="58560" spans="65:67" ht="18.75" customHeight="1">
      <c r="BM58560" s="1025"/>
      <c r="BO58560" s="43"/>
    </row>
    <row r="58561" spans="65:67" ht="18.75" customHeight="1">
      <c r="BM58561" s="1025"/>
      <c r="BO58561" s="43"/>
    </row>
    <row r="58562" spans="65:67" ht="18.75" customHeight="1">
      <c r="BM58562" s="1025"/>
      <c r="BO58562" s="43"/>
    </row>
    <row r="58563" spans="65:67" ht="18.75" customHeight="1">
      <c r="BM58563" s="1025"/>
      <c r="BO58563" s="43"/>
    </row>
    <row r="58564" spans="65:67" ht="18.75" customHeight="1">
      <c r="BM58564" s="1025"/>
      <c r="BO58564" s="43"/>
    </row>
    <row r="58565" spans="65:67" ht="18.75" customHeight="1">
      <c r="BM58565" s="1025"/>
      <c r="BO58565" s="43"/>
    </row>
    <row r="58566" spans="65:67" ht="18.75" customHeight="1">
      <c r="BM58566" s="1025"/>
      <c r="BO58566" s="43"/>
    </row>
    <row r="58567" spans="65:67" ht="18.75" customHeight="1">
      <c r="BM58567" s="1025"/>
      <c r="BO58567" s="43"/>
    </row>
    <row r="58568" spans="65:67" ht="18.75" customHeight="1">
      <c r="BM58568" s="1025"/>
      <c r="BO58568" s="43"/>
    </row>
    <row r="58569" spans="65:67" ht="18.75" customHeight="1">
      <c r="BM58569" s="1025"/>
      <c r="BO58569" s="43"/>
    </row>
    <row r="58570" spans="65:67" ht="18.75" customHeight="1">
      <c r="BM58570" s="1025"/>
      <c r="BO58570" s="43"/>
    </row>
    <row r="58571" spans="65:67" ht="18.75" customHeight="1">
      <c r="BM58571" s="1025"/>
      <c r="BO58571" s="43"/>
    </row>
    <row r="58572" spans="65:67" ht="18.75" customHeight="1">
      <c r="BM58572" s="1025"/>
      <c r="BO58572" s="43"/>
    </row>
    <row r="58573" spans="65:67" ht="18.75" customHeight="1">
      <c r="BM58573" s="1025"/>
      <c r="BO58573" s="43"/>
    </row>
    <row r="58574" spans="65:67" ht="18.75" customHeight="1">
      <c r="BM58574" s="1025"/>
      <c r="BO58574" s="43"/>
    </row>
    <row r="58575" spans="65:67" ht="18.75" customHeight="1">
      <c r="BM58575" s="1025"/>
      <c r="BO58575" s="43"/>
    </row>
    <row r="58576" spans="65:67" ht="18.75" customHeight="1">
      <c r="BM58576" s="1025"/>
      <c r="BO58576" s="43"/>
    </row>
    <row r="58577" spans="65:67" ht="18.75" customHeight="1">
      <c r="BM58577" s="1025"/>
      <c r="BO58577" s="43"/>
    </row>
    <row r="58578" spans="65:67" ht="18.75" customHeight="1">
      <c r="BM58578" s="1025"/>
      <c r="BO58578" s="43"/>
    </row>
    <row r="58579" spans="65:67" ht="18.75" customHeight="1">
      <c r="BM58579" s="1025"/>
      <c r="BO58579" s="43"/>
    </row>
    <row r="58580" spans="65:67" ht="18.75" customHeight="1">
      <c r="BM58580" s="1025"/>
      <c r="BO58580" s="43"/>
    </row>
    <row r="58581" spans="65:67" ht="18.75" customHeight="1">
      <c r="BM58581" s="1025"/>
      <c r="BO58581" s="43"/>
    </row>
    <row r="58582" spans="65:67" ht="18.75" customHeight="1">
      <c r="BM58582" s="1025"/>
      <c r="BO58582" s="43"/>
    </row>
    <row r="58583" spans="65:67" ht="18.75" customHeight="1">
      <c r="BM58583" s="1025"/>
      <c r="BO58583" s="43"/>
    </row>
    <row r="58584" spans="65:67" ht="18.75" customHeight="1">
      <c r="BM58584" s="1025"/>
      <c r="BO58584" s="43"/>
    </row>
    <row r="58585" spans="65:67" ht="18.75" customHeight="1">
      <c r="BM58585" s="1025"/>
      <c r="BO58585" s="43"/>
    </row>
    <row r="58586" spans="65:67" ht="18.75" customHeight="1">
      <c r="BM58586" s="1025"/>
      <c r="BO58586" s="43"/>
    </row>
    <row r="58587" spans="65:67" ht="18.75" customHeight="1">
      <c r="BM58587" s="1025"/>
      <c r="BO58587" s="43"/>
    </row>
    <row r="58588" spans="65:67" ht="18.75" customHeight="1">
      <c r="BM58588" s="1025"/>
      <c r="BO58588" s="43"/>
    </row>
    <row r="58589" spans="65:67" ht="18.75" customHeight="1">
      <c r="BM58589" s="1025"/>
      <c r="BO58589" s="43"/>
    </row>
    <row r="58590" spans="65:67" ht="18.75" customHeight="1">
      <c r="BM58590" s="1025"/>
      <c r="BO58590" s="43"/>
    </row>
    <row r="58591" spans="65:67" ht="18.75" customHeight="1">
      <c r="BM58591" s="1025"/>
      <c r="BO58591" s="43"/>
    </row>
    <row r="58592" spans="65:67" ht="18.75" customHeight="1">
      <c r="BM58592" s="1025"/>
      <c r="BO58592" s="43"/>
    </row>
    <row r="58593" spans="65:67" ht="18.75" customHeight="1">
      <c r="BM58593" s="1025"/>
      <c r="BO58593" s="43"/>
    </row>
    <row r="58594" spans="65:67" ht="18.75" customHeight="1">
      <c r="BM58594" s="1025"/>
      <c r="BO58594" s="43"/>
    </row>
    <row r="58595" spans="65:67" ht="18.75" customHeight="1">
      <c r="BM58595" s="1025"/>
      <c r="BO58595" s="43"/>
    </row>
    <row r="58596" spans="65:67" ht="18.75" customHeight="1">
      <c r="BM58596" s="1025"/>
      <c r="BO58596" s="43"/>
    </row>
    <row r="58597" spans="65:67" ht="18.75" customHeight="1">
      <c r="BM58597" s="1025"/>
      <c r="BO58597" s="43"/>
    </row>
    <row r="58598" spans="65:67" ht="18.75" customHeight="1">
      <c r="BM58598" s="1025"/>
      <c r="BO58598" s="43"/>
    </row>
    <row r="58599" spans="65:67" ht="18.75" customHeight="1">
      <c r="BM58599" s="1025"/>
      <c r="BO58599" s="43"/>
    </row>
    <row r="58600" spans="65:67" ht="18.75" customHeight="1">
      <c r="BM58600" s="1025"/>
      <c r="BO58600" s="43"/>
    </row>
    <row r="58601" spans="65:67" ht="18.75" customHeight="1">
      <c r="BM58601" s="1025"/>
      <c r="BO58601" s="43"/>
    </row>
    <row r="58602" spans="65:67" ht="18.75" customHeight="1">
      <c r="BM58602" s="1025"/>
      <c r="BO58602" s="43"/>
    </row>
    <row r="58603" spans="65:67" ht="18.75" customHeight="1">
      <c r="BM58603" s="1025"/>
      <c r="BO58603" s="43"/>
    </row>
    <row r="58604" spans="65:67" ht="18.75" customHeight="1">
      <c r="BM58604" s="1025"/>
      <c r="BO58604" s="43"/>
    </row>
    <row r="58605" spans="65:67" ht="18.75" customHeight="1">
      <c r="BM58605" s="1025"/>
      <c r="BO58605" s="43"/>
    </row>
    <row r="58606" spans="65:67" ht="18.75" customHeight="1">
      <c r="BM58606" s="1025"/>
      <c r="BO58606" s="43"/>
    </row>
    <row r="58607" spans="65:67" ht="18.75" customHeight="1">
      <c r="BM58607" s="1025"/>
      <c r="BO58607" s="43"/>
    </row>
    <row r="58608" spans="65:67" ht="18.75" customHeight="1">
      <c r="BM58608" s="1025"/>
      <c r="BO58608" s="43"/>
    </row>
    <row r="58609" spans="65:67" ht="18.75" customHeight="1">
      <c r="BM58609" s="1025"/>
      <c r="BO58609" s="43"/>
    </row>
    <row r="58610" spans="65:67" ht="18.75" customHeight="1">
      <c r="BM58610" s="1025"/>
      <c r="BO58610" s="43"/>
    </row>
    <row r="58611" spans="65:67" ht="18.75" customHeight="1">
      <c r="BM58611" s="1025"/>
      <c r="BO58611" s="43"/>
    </row>
    <row r="58612" spans="65:67" ht="18.75" customHeight="1">
      <c r="BM58612" s="1025"/>
      <c r="BO58612" s="43"/>
    </row>
    <row r="58613" spans="65:67" ht="18.75" customHeight="1">
      <c r="BM58613" s="1025"/>
      <c r="BO58613" s="43"/>
    </row>
    <row r="58614" spans="65:67" ht="18.75" customHeight="1">
      <c r="BM58614" s="1025"/>
      <c r="BO58614" s="43"/>
    </row>
    <row r="58615" spans="65:67" ht="18.75" customHeight="1">
      <c r="BM58615" s="1025"/>
      <c r="BO58615" s="43"/>
    </row>
    <row r="58616" spans="65:67" ht="18.75" customHeight="1">
      <c r="BM58616" s="1025"/>
      <c r="BO58616" s="43"/>
    </row>
    <row r="58617" spans="65:67" ht="18.75" customHeight="1">
      <c r="BM58617" s="1025"/>
      <c r="BO58617" s="43"/>
    </row>
    <row r="58618" spans="65:67" ht="18.75" customHeight="1">
      <c r="BM58618" s="1025"/>
      <c r="BO58618" s="43"/>
    </row>
    <row r="58619" spans="65:67" ht="18.75" customHeight="1">
      <c r="BM58619" s="1025"/>
      <c r="BO58619" s="43"/>
    </row>
    <row r="58620" spans="65:67" ht="18.75" customHeight="1">
      <c r="BM58620" s="1025"/>
      <c r="BO58620" s="43"/>
    </row>
    <row r="58621" spans="65:67" ht="18.75" customHeight="1">
      <c r="BM58621" s="1025"/>
      <c r="BO58621" s="43"/>
    </row>
    <row r="58622" spans="65:67" ht="18.75" customHeight="1">
      <c r="BM58622" s="1025"/>
      <c r="BO58622" s="43"/>
    </row>
    <row r="58623" spans="65:67" ht="18.75" customHeight="1">
      <c r="BM58623" s="1025"/>
      <c r="BO58623" s="43"/>
    </row>
    <row r="58624" spans="65:67" ht="18.75" customHeight="1">
      <c r="BM58624" s="1025"/>
      <c r="BO58624" s="43"/>
    </row>
    <row r="58625" spans="65:67" ht="18.75" customHeight="1">
      <c r="BM58625" s="1025"/>
      <c r="BO58625" s="43"/>
    </row>
    <row r="58626" spans="65:67" ht="18.75" customHeight="1">
      <c r="BM58626" s="1025"/>
      <c r="BO58626" s="43"/>
    </row>
    <row r="58627" spans="65:67" ht="18.75" customHeight="1">
      <c r="BM58627" s="1025"/>
      <c r="BO58627" s="43"/>
    </row>
    <row r="58628" spans="65:67" ht="18.75" customHeight="1">
      <c r="BM58628" s="1025"/>
      <c r="BO58628" s="43"/>
    </row>
    <row r="58629" spans="65:67" ht="18.75" customHeight="1">
      <c r="BM58629" s="1025"/>
      <c r="BO58629" s="43"/>
    </row>
    <row r="58630" spans="65:67" ht="18.75" customHeight="1">
      <c r="BM58630" s="1025"/>
      <c r="BO58630" s="43"/>
    </row>
    <row r="58631" spans="65:67" ht="18.75" customHeight="1">
      <c r="BM58631" s="1025"/>
      <c r="BO58631" s="43"/>
    </row>
    <row r="58632" spans="65:67" ht="18.75" customHeight="1">
      <c r="BM58632" s="1025"/>
      <c r="BO58632" s="43"/>
    </row>
    <row r="58633" spans="65:67" ht="18.75" customHeight="1">
      <c r="BM58633" s="1025"/>
      <c r="BO58633" s="43"/>
    </row>
    <row r="58634" spans="65:67" ht="18.75" customHeight="1">
      <c r="BM58634" s="1025"/>
      <c r="BO58634" s="43"/>
    </row>
    <row r="58635" spans="65:67" ht="18.75" customHeight="1">
      <c r="BM58635" s="1025"/>
      <c r="BO58635" s="43"/>
    </row>
    <row r="58636" spans="65:67" ht="18.75" customHeight="1">
      <c r="BM58636" s="1025"/>
      <c r="BO58636" s="43"/>
    </row>
    <row r="58637" spans="65:67" ht="18.75" customHeight="1">
      <c r="BM58637" s="1025"/>
      <c r="BO58637" s="43"/>
    </row>
    <row r="58638" spans="65:67" ht="18.75" customHeight="1">
      <c r="BM58638" s="1025"/>
      <c r="BO58638" s="43"/>
    </row>
    <row r="58639" spans="65:67" ht="18.75" customHeight="1">
      <c r="BM58639" s="1025"/>
      <c r="BO58639" s="43"/>
    </row>
    <row r="58640" spans="65:67" ht="18.75" customHeight="1">
      <c r="BM58640" s="1025"/>
      <c r="BO58640" s="43"/>
    </row>
    <row r="58641" spans="65:67" ht="18.75" customHeight="1">
      <c r="BM58641" s="1025"/>
      <c r="BO58641" s="43"/>
    </row>
    <row r="58642" spans="65:67" ht="18.75" customHeight="1">
      <c r="BM58642" s="1025"/>
      <c r="BO58642" s="43"/>
    </row>
    <row r="58643" spans="65:67" ht="18.75" customHeight="1">
      <c r="BM58643" s="1025"/>
      <c r="BO58643" s="43"/>
    </row>
    <row r="58644" spans="65:67" ht="18.75" customHeight="1">
      <c r="BM58644" s="1025"/>
      <c r="BO58644" s="43"/>
    </row>
    <row r="58645" spans="65:67" ht="18.75" customHeight="1">
      <c r="BM58645" s="1025"/>
      <c r="BO58645" s="43"/>
    </row>
    <row r="58646" spans="65:67" ht="18.75" customHeight="1">
      <c r="BM58646" s="1025"/>
      <c r="BO58646" s="43"/>
    </row>
    <row r="58647" spans="65:67" ht="18.75" customHeight="1">
      <c r="BM58647" s="1025"/>
      <c r="BO58647" s="43"/>
    </row>
    <row r="58648" spans="65:67" ht="18.75" customHeight="1">
      <c r="BM58648" s="1025"/>
      <c r="BO58648" s="43"/>
    </row>
    <row r="58649" spans="65:67" ht="18.75" customHeight="1">
      <c r="BM58649" s="1025"/>
      <c r="BO58649" s="43"/>
    </row>
    <row r="58650" spans="65:67" ht="18.75" customHeight="1">
      <c r="BM58650" s="1025"/>
      <c r="BO58650" s="43"/>
    </row>
    <row r="58651" spans="65:67" ht="18.75" customHeight="1">
      <c r="BM58651" s="1025"/>
      <c r="BO58651" s="43"/>
    </row>
    <row r="58652" spans="65:67" ht="18.75" customHeight="1">
      <c r="BM58652" s="1025"/>
      <c r="BO58652" s="43"/>
    </row>
    <row r="58653" spans="65:67" ht="18.75" customHeight="1">
      <c r="BM58653" s="1025"/>
      <c r="BO58653" s="43"/>
    </row>
    <row r="58654" spans="65:67" ht="18.75" customHeight="1">
      <c r="BM58654" s="1025"/>
      <c r="BO58654" s="43"/>
    </row>
    <row r="58655" spans="65:67" ht="18.75" customHeight="1">
      <c r="BM58655" s="1025"/>
      <c r="BO58655" s="43"/>
    </row>
    <row r="58656" spans="65:67" ht="18.75" customHeight="1">
      <c r="BM58656" s="1025"/>
      <c r="BO58656" s="43"/>
    </row>
    <row r="58657" spans="65:67" ht="18.75" customHeight="1">
      <c r="BM58657" s="1025"/>
      <c r="BO58657" s="43"/>
    </row>
    <row r="58658" spans="65:67" ht="18.75" customHeight="1">
      <c r="BM58658" s="1025"/>
      <c r="BO58658" s="43"/>
    </row>
    <row r="58659" spans="65:67" ht="18.75" customHeight="1">
      <c r="BM58659" s="1025"/>
      <c r="BO58659" s="43"/>
    </row>
    <row r="58660" spans="65:67" ht="18.75" customHeight="1">
      <c r="BM58660" s="1025"/>
      <c r="BO58660" s="43"/>
    </row>
    <row r="58661" spans="65:67" ht="18.75" customHeight="1">
      <c r="BM58661" s="1025"/>
      <c r="BO58661" s="43"/>
    </row>
    <row r="58662" spans="65:67" ht="18.75" customHeight="1">
      <c r="BM58662" s="1025"/>
      <c r="BO58662" s="43"/>
    </row>
    <row r="58663" spans="65:67" ht="18.75" customHeight="1">
      <c r="BM58663" s="1025"/>
      <c r="BO58663" s="43"/>
    </row>
    <row r="58664" spans="65:67" ht="18.75" customHeight="1">
      <c r="BM58664" s="1025"/>
      <c r="BO58664" s="43"/>
    </row>
    <row r="58665" spans="65:67" ht="18.75" customHeight="1">
      <c r="BM58665" s="1025"/>
      <c r="BO58665" s="43"/>
    </row>
    <row r="58666" spans="65:67" ht="18.75" customHeight="1">
      <c r="BM58666" s="1025"/>
      <c r="BO58666" s="43"/>
    </row>
    <row r="58667" spans="65:67" ht="18.75" customHeight="1">
      <c r="BM58667" s="1025"/>
      <c r="BO58667" s="43"/>
    </row>
    <row r="58668" spans="65:67" ht="18.75" customHeight="1">
      <c r="BM58668" s="1025"/>
      <c r="BO58668" s="43"/>
    </row>
    <row r="58669" spans="65:67" ht="18.75" customHeight="1">
      <c r="BM58669" s="1025"/>
      <c r="BO58669" s="43"/>
    </row>
    <row r="58670" spans="65:67" ht="18.75" customHeight="1">
      <c r="BM58670" s="1025"/>
      <c r="BO58670" s="43"/>
    </row>
    <row r="58671" spans="65:67" ht="18.75" customHeight="1">
      <c r="BM58671" s="1025"/>
      <c r="BO58671" s="43"/>
    </row>
    <row r="58672" spans="65:67" ht="18.75" customHeight="1">
      <c r="BM58672" s="1025"/>
      <c r="BO58672" s="43"/>
    </row>
    <row r="58673" spans="65:67" ht="18.75" customHeight="1">
      <c r="BM58673" s="1025"/>
      <c r="BO58673" s="43"/>
    </row>
    <row r="58674" spans="65:67" ht="18.75" customHeight="1">
      <c r="BM58674" s="1025"/>
      <c r="BO58674" s="43"/>
    </row>
    <row r="58675" spans="65:67" ht="18.75" customHeight="1">
      <c r="BM58675" s="1025"/>
      <c r="BO58675" s="43"/>
    </row>
    <row r="58676" spans="65:67" ht="18.75" customHeight="1">
      <c r="BM58676" s="1025"/>
      <c r="BO58676" s="43"/>
    </row>
    <row r="58677" spans="65:67" ht="18.75" customHeight="1">
      <c r="BM58677" s="1025"/>
      <c r="BO58677" s="43"/>
    </row>
    <row r="58678" spans="65:67" ht="18.75" customHeight="1">
      <c r="BM58678" s="1025"/>
      <c r="BO58678" s="43"/>
    </row>
    <row r="58679" spans="65:67" ht="18.75" customHeight="1">
      <c r="BM58679" s="1025"/>
      <c r="BO58679" s="43"/>
    </row>
    <row r="58680" spans="65:67" ht="18.75" customHeight="1">
      <c r="BM58680" s="1025"/>
      <c r="BO58680" s="43"/>
    </row>
    <row r="58681" spans="65:67" ht="18.75" customHeight="1">
      <c r="BM58681" s="1025"/>
      <c r="BO58681" s="43"/>
    </row>
    <row r="58682" spans="65:67" ht="18.75" customHeight="1">
      <c r="BM58682" s="1025"/>
      <c r="BO58682" s="43"/>
    </row>
    <row r="58683" spans="65:67" ht="18.75" customHeight="1">
      <c r="BM58683" s="1025"/>
      <c r="BO58683" s="43"/>
    </row>
    <row r="58684" spans="65:67" ht="18.75" customHeight="1">
      <c r="BM58684" s="1025"/>
      <c r="BO58684" s="43"/>
    </row>
    <row r="58685" spans="65:67" ht="18.75" customHeight="1">
      <c r="BM58685" s="1025"/>
      <c r="BO58685" s="43"/>
    </row>
    <row r="58686" spans="65:67" ht="18.75" customHeight="1">
      <c r="BM58686" s="1025"/>
      <c r="BO58686" s="43"/>
    </row>
    <row r="58687" spans="65:67" ht="18.75" customHeight="1">
      <c r="BM58687" s="1025"/>
      <c r="BO58687" s="43"/>
    </row>
    <row r="58688" spans="65:67" ht="18.75" customHeight="1">
      <c r="BM58688" s="1025"/>
      <c r="BO58688" s="43"/>
    </row>
    <row r="58689" spans="65:67" ht="18.75" customHeight="1">
      <c r="BM58689" s="1025"/>
      <c r="BO58689" s="43"/>
    </row>
    <row r="58690" spans="65:67" ht="18.75" customHeight="1">
      <c r="BM58690" s="1025"/>
      <c r="BO58690" s="43"/>
    </row>
    <row r="58691" spans="65:67" ht="18.75" customHeight="1">
      <c r="BM58691" s="1025"/>
      <c r="BO58691" s="43"/>
    </row>
    <row r="58692" spans="65:67" ht="18.75" customHeight="1">
      <c r="BM58692" s="1025"/>
      <c r="BO58692" s="43"/>
    </row>
    <row r="58693" spans="65:67" ht="18.75" customHeight="1">
      <c r="BM58693" s="1025"/>
      <c r="BO58693" s="43"/>
    </row>
    <row r="58694" spans="65:67" ht="18.75" customHeight="1">
      <c r="BM58694" s="1025"/>
      <c r="BO58694" s="43"/>
    </row>
    <row r="58695" spans="65:67" ht="18.75" customHeight="1">
      <c r="BM58695" s="1025"/>
      <c r="BO58695" s="43"/>
    </row>
    <row r="58696" spans="65:67" ht="18.75" customHeight="1">
      <c r="BM58696" s="1025"/>
      <c r="BO58696" s="43"/>
    </row>
    <row r="58697" spans="65:67" ht="18.75" customHeight="1">
      <c r="BM58697" s="1025"/>
      <c r="BO58697" s="43"/>
    </row>
    <row r="58698" spans="65:67" ht="18.75" customHeight="1">
      <c r="BM58698" s="1025"/>
      <c r="BO58698" s="43"/>
    </row>
    <row r="58699" spans="65:67" ht="18.75" customHeight="1">
      <c r="BM58699" s="1025"/>
      <c r="BO58699" s="43"/>
    </row>
    <row r="58700" spans="65:67" ht="18.75" customHeight="1">
      <c r="BM58700" s="1025"/>
      <c r="BO58700" s="43"/>
    </row>
    <row r="58701" spans="65:67" ht="18.75" customHeight="1">
      <c r="BM58701" s="1025"/>
      <c r="BO58701" s="43"/>
    </row>
    <row r="58702" spans="65:67" ht="18.75" customHeight="1">
      <c r="BM58702" s="1025"/>
      <c r="BO58702" s="43"/>
    </row>
    <row r="58703" spans="65:67" ht="18.75" customHeight="1">
      <c r="BM58703" s="1025"/>
      <c r="BO58703" s="43"/>
    </row>
    <row r="58704" spans="65:67" ht="18.75" customHeight="1">
      <c r="BM58704" s="1025"/>
      <c r="BO58704" s="43"/>
    </row>
    <row r="58705" spans="65:67" ht="18.75" customHeight="1">
      <c r="BM58705" s="1025"/>
      <c r="BO58705" s="43"/>
    </row>
    <row r="58706" spans="65:67" ht="18.75" customHeight="1">
      <c r="BM58706" s="1025"/>
      <c r="BO58706" s="43"/>
    </row>
    <row r="58707" spans="65:67" ht="18.75" customHeight="1">
      <c r="BM58707" s="1025"/>
      <c r="BO58707" s="43"/>
    </row>
    <row r="58708" spans="65:67" ht="18.75" customHeight="1">
      <c r="BM58708" s="1025"/>
      <c r="BO58708" s="43"/>
    </row>
    <row r="58709" spans="65:67" ht="18.75" customHeight="1">
      <c r="BM58709" s="1025"/>
      <c r="BO58709" s="43"/>
    </row>
    <row r="58710" spans="65:67" ht="18.75" customHeight="1">
      <c r="BM58710" s="1025"/>
      <c r="BO58710" s="43"/>
    </row>
    <row r="58711" spans="65:67" ht="18.75" customHeight="1">
      <c r="BM58711" s="1025"/>
      <c r="BO58711" s="43"/>
    </row>
    <row r="58712" spans="65:67" ht="18.75" customHeight="1">
      <c r="BM58712" s="1025"/>
      <c r="BO58712" s="43"/>
    </row>
    <row r="58713" spans="65:67" ht="18.75" customHeight="1">
      <c r="BM58713" s="1025"/>
      <c r="BO58713" s="43"/>
    </row>
    <row r="58714" spans="65:67" ht="18.75" customHeight="1">
      <c r="BM58714" s="1025"/>
      <c r="BO58714" s="43"/>
    </row>
    <row r="58715" spans="65:67" ht="18.75" customHeight="1">
      <c r="BM58715" s="1025"/>
      <c r="BO58715" s="43"/>
    </row>
    <row r="58716" spans="65:67" ht="18.75" customHeight="1">
      <c r="BM58716" s="1025"/>
      <c r="BO58716" s="43"/>
    </row>
    <row r="58717" spans="65:67" ht="18.75" customHeight="1">
      <c r="BM58717" s="1025"/>
      <c r="BO58717" s="43"/>
    </row>
    <row r="58718" spans="65:67" ht="18.75" customHeight="1">
      <c r="BM58718" s="1025"/>
      <c r="BO58718" s="43"/>
    </row>
    <row r="58719" spans="65:67" ht="18.75" customHeight="1">
      <c r="BM58719" s="1025"/>
      <c r="BO58719" s="43"/>
    </row>
    <row r="58720" spans="65:67" ht="18.75" customHeight="1">
      <c r="BM58720" s="1025"/>
      <c r="BO58720" s="43"/>
    </row>
    <row r="58721" spans="65:67" ht="18.75" customHeight="1">
      <c r="BM58721" s="1025"/>
      <c r="BO58721" s="43"/>
    </row>
    <row r="58722" spans="65:67" ht="18.75" customHeight="1">
      <c r="BM58722" s="1025"/>
      <c r="BO58722" s="43"/>
    </row>
    <row r="58723" spans="65:67" ht="18.75" customHeight="1">
      <c r="BM58723" s="1025"/>
      <c r="BO58723" s="43"/>
    </row>
    <row r="58724" spans="65:67" ht="18.75" customHeight="1">
      <c r="BM58724" s="1025"/>
      <c r="BO58724" s="43"/>
    </row>
    <row r="58725" spans="65:67" ht="18.75" customHeight="1">
      <c r="BM58725" s="1025"/>
      <c r="BO58725" s="43"/>
    </row>
    <row r="58726" spans="65:67" ht="18.75" customHeight="1">
      <c r="BM58726" s="1025"/>
      <c r="BO58726" s="43"/>
    </row>
    <row r="58727" spans="65:67" ht="18.75" customHeight="1">
      <c r="BM58727" s="1025"/>
      <c r="BO58727" s="43"/>
    </row>
    <row r="58728" spans="65:67" ht="18.75" customHeight="1">
      <c r="BM58728" s="1025"/>
      <c r="BO58728" s="43"/>
    </row>
    <row r="58729" spans="65:67" ht="18.75" customHeight="1">
      <c r="BM58729" s="1025"/>
      <c r="BO58729" s="43"/>
    </row>
    <row r="58730" spans="65:67" ht="18.75" customHeight="1">
      <c r="BM58730" s="1025"/>
      <c r="BO58730" s="43"/>
    </row>
    <row r="58731" spans="65:67" ht="18.75" customHeight="1">
      <c r="BM58731" s="1025"/>
      <c r="BO58731" s="43"/>
    </row>
    <row r="58732" spans="65:67" ht="18.75" customHeight="1">
      <c r="BM58732" s="1025"/>
      <c r="BO58732" s="43"/>
    </row>
    <row r="58733" spans="65:67" ht="18.75" customHeight="1">
      <c r="BM58733" s="1025"/>
      <c r="BO58733" s="43"/>
    </row>
    <row r="58734" spans="65:67" ht="18.75" customHeight="1">
      <c r="BM58734" s="1025"/>
      <c r="BO58734" s="43"/>
    </row>
    <row r="58735" spans="65:67" ht="18.75" customHeight="1">
      <c r="BM58735" s="1025"/>
      <c r="BO58735" s="43"/>
    </row>
    <row r="58736" spans="65:67" ht="18.75" customHeight="1">
      <c r="BM58736" s="1025"/>
      <c r="BO58736" s="43"/>
    </row>
    <row r="58737" spans="65:67" ht="18.75" customHeight="1">
      <c r="BM58737" s="1025"/>
      <c r="BO58737" s="43"/>
    </row>
    <row r="58738" spans="65:67" ht="18.75" customHeight="1">
      <c r="BM58738" s="1025"/>
      <c r="BO58738" s="43"/>
    </row>
    <row r="58739" spans="65:67" ht="18.75" customHeight="1">
      <c r="BM58739" s="1025"/>
      <c r="BO58739" s="43"/>
    </row>
    <row r="58740" spans="65:67" ht="18.75" customHeight="1">
      <c r="BM58740" s="1025"/>
      <c r="BO58740" s="43"/>
    </row>
    <row r="58741" spans="65:67" ht="18.75" customHeight="1">
      <c r="BM58741" s="1025"/>
      <c r="BO58741" s="43"/>
    </row>
    <row r="58742" spans="65:67" ht="18.75" customHeight="1">
      <c r="BM58742" s="1025"/>
      <c r="BO58742" s="43"/>
    </row>
    <row r="58743" spans="65:67" ht="18.75" customHeight="1">
      <c r="BM58743" s="1025"/>
      <c r="BO58743" s="43"/>
    </row>
    <row r="58744" spans="65:67" ht="18.75" customHeight="1">
      <c r="BM58744" s="1025"/>
      <c r="BO58744" s="43"/>
    </row>
    <row r="58745" spans="65:67" ht="18.75" customHeight="1">
      <c r="BM58745" s="1025"/>
      <c r="BO58745" s="43"/>
    </row>
    <row r="58746" spans="65:67" ht="18.75" customHeight="1">
      <c r="BM58746" s="1025"/>
      <c r="BO58746" s="43"/>
    </row>
    <row r="58747" spans="65:67" ht="18.75" customHeight="1">
      <c r="BM58747" s="1025"/>
      <c r="BO58747" s="43"/>
    </row>
    <row r="58748" spans="65:67" ht="18.75" customHeight="1">
      <c r="BM58748" s="1025"/>
      <c r="BO58748" s="43"/>
    </row>
    <row r="58749" spans="65:67" ht="18.75" customHeight="1">
      <c r="BM58749" s="1025"/>
      <c r="BO58749" s="43"/>
    </row>
    <row r="58750" spans="65:67" ht="18.75" customHeight="1">
      <c r="BM58750" s="1025"/>
      <c r="BO58750" s="43"/>
    </row>
    <row r="58751" spans="65:67" ht="18.75" customHeight="1">
      <c r="BM58751" s="1025"/>
      <c r="BO58751" s="43"/>
    </row>
    <row r="58752" spans="65:67" ht="18.75" customHeight="1">
      <c r="BM58752" s="1025"/>
      <c r="BO58752" s="43"/>
    </row>
    <row r="58753" spans="65:67" ht="18.75" customHeight="1">
      <c r="BM58753" s="1025"/>
      <c r="BO58753" s="43"/>
    </row>
    <row r="58754" spans="65:67" ht="18.75" customHeight="1">
      <c r="BM58754" s="1025"/>
      <c r="BO58754" s="43"/>
    </row>
    <row r="58755" spans="65:67" ht="18.75" customHeight="1">
      <c r="BM58755" s="1025"/>
      <c r="BO58755" s="43"/>
    </row>
    <row r="58756" spans="65:67" ht="18.75" customHeight="1">
      <c r="BM58756" s="1025"/>
      <c r="BO58756" s="43"/>
    </row>
    <row r="58757" spans="65:67" ht="18.75" customHeight="1">
      <c r="BM58757" s="1025"/>
      <c r="BO58757" s="43"/>
    </row>
    <row r="58758" spans="65:67" ht="18.75" customHeight="1">
      <c r="BM58758" s="1025"/>
      <c r="BO58758" s="43"/>
    </row>
    <row r="58759" spans="65:67" ht="18.75" customHeight="1">
      <c r="BM58759" s="1025"/>
      <c r="BO58759" s="43"/>
    </row>
    <row r="58760" spans="65:67" ht="18.75" customHeight="1">
      <c r="BM58760" s="1025"/>
      <c r="BO58760" s="43"/>
    </row>
    <row r="58761" spans="65:67" ht="18.75" customHeight="1">
      <c r="BM58761" s="1025"/>
      <c r="BO58761" s="43"/>
    </row>
    <row r="58762" spans="65:67" ht="18.75" customHeight="1">
      <c r="BM58762" s="1025"/>
      <c r="BO58762" s="43"/>
    </row>
    <row r="58763" spans="65:67" ht="18.75" customHeight="1">
      <c r="BM58763" s="1025"/>
      <c r="BO58763" s="43"/>
    </row>
    <row r="58764" spans="65:67" ht="18.75" customHeight="1">
      <c r="BM58764" s="1025"/>
      <c r="BO58764" s="43"/>
    </row>
    <row r="58765" spans="65:67" ht="18.75" customHeight="1">
      <c r="BM58765" s="1025"/>
      <c r="BO58765" s="43"/>
    </row>
    <row r="58766" spans="65:67" ht="18.75" customHeight="1">
      <c r="BM58766" s="1025"/>
      <c r="BO58766" s="43"/>
    </row>
    <row r="58767" spans="65:67" ht="18.75" customHeight="1">
      <c r="BM58767" s="1025"/>
      <c r="BO58767" s="43"/>
    </row>
    <row r="58768" spans="65:67" ht="18.75" customHeight="1">
      <c r="BM58768" s="1025"/>
      <c r="BO58768" s="43"/>
    </row>
    <row r="58769" spans="65:67" ht="18.75" customHeight="1">
      <c r="BM58769" s="1025"/>
      <c r="BO58769" s="43"/>
    </row>
    <row r="58770" spans="65:67" ht="18.75" customHeight="1">
      <c r="BM58770" s="1025"/>
      <c r="BO58770" s="43"/>
    </row>
    <row r="58771" spans="65:67" ht="18.75" customHeight="1">
      <c r="BM58771" s="1025"/>
      <c r="BO58771" s="43"/>
    </row>
    <row r="58772" spans="65:67" ht="18.75" customHeight="1">
      <c r="BM58772" s="1025"/>
      <c r="BO58772" s="43"/>
    </row>
    <row r="58773" spans="65:67" ht="18.75" customHeight="1">
      <c r="BM58773" s="1025"/>
      <c r="BO58773" s="43"/>
    </row>
    <row r="58774" spans="65:67" ht="18.75" customHeight="1">
      <c r="BM58774" s="1025"/>
      <c r="BO58774" s="43"/>
    </row>
    <row r="58775" spans="65:67" ht="18.75" customHeight="1">
      <c r="BM58775" s="1025"/>
      <c r="BO58775" s="43"/>
    </row>
    <row r="58776" spans="65:67" ht="18.75" customHeight="1">
      <c r="BM58776" s="1025"/>
      <c r="BO58776" s="43"/>
    </row>
    <row r="58777" spans="65:67" ht="18.75" customHeight="1">
      <c r="BM58777" s="1025"/>
      <c r="BO58777" s="43"/>
    </row>
    <row r="58778" spans="65:67" ht="18.75" customHeight="1">
      <c r="BM58778" s="1025"/>
      <c r="BO58778" s="43"/>
    </row>
    <row r="58779" spans="65:67" ht="18.75" customHeight="1">
      <c r="BM58779" s="1025"/>
      <c r="BO58779" s="43"/>
    </row>
    <row r="58780" spans="65:67" ht="18.75" customHeight="1">
      <c r="BM58780" s="1025"/>
      <c r="BO58780" s="43"/>
    </row>
    <row r="58781" spans="65:67" ht="18.75" customHeight="1">
      <c r="BM58781" s="1025"/>
      <c r="BO58781" s="43"/>
    </row>
    <row r="58782" spans="65:67" ht="18.75" customHeight="1">
      <c r="BM58782" s="1025"/>
      <c r="BO58782" s="43"/>
    </row>
    <row r="58783" spans="65:67" ht="18.75" customHeight="1">
      <c r="BM58783" s="1025"/>
      <c r="BO58783" s="43"/>
    </row>
    <row r="58784" spans="65:67" ht="18.75" customHeight="1">
      <c r="BM58784" s="1025"/>
      <c r="BO58784" s="43"/>
    </row>
    <row r="58785" spans="65:67" ht="18.75" customHeight="1">
      <c r="BM58785" s="1025"/>
      <c r="BO58785" s="43"/>
    </row>
    <row r="58786" spans="65:67" ht="18.75" customHeight="1">
      <c r="BM58786" s="1025"/>
      <c r="BO58786" s="43"/>
    </row>
    <row r="58787" spans="65:67" ht="18.75" customHeight="1">
      <c r="BM58787" s="1025"/>
      <c r="BO58787" s="43"/>
    </row>
    <row r="58788" spans="65:67" ht="18.75" customHeight="1">
      <c r="BM58788" s="1025"/>
      <c r="BO58788" s="43"/>
    </row>
    <row r="58789" spans="65:67" ht="18.75" customHeight="1">
      <c r="BM58789" s="1025"/>
      <c r="BO58789" s="43"/>
    </row>
    <row r="58790" spans="65:67" ht="18.75" customHeight="1">
      <c r="BM58790" s="1025"/>
      <c r="BO58790" s="43"/>
    </row>
    <row r="58791" spans="65:67" ht="18.75" customHeight="1">
      <c r="BM58791" s="1025"/>
      <c r="BO58791" s="43"/>
    </row>
    <row r="58792" spans="65:67" ht="18.75" customHeight="1">
      <c r="BM58792" s="1025"/>
      <c r="BO58792" s="43"/>
    </row>
    <row r="58793" spans="65:67" ht="18.75" customHeight="1">
      <c r="BM58793" s="1025"/>
      <c r="BO58793" s="43"/>
    </row>
    <row r="58794" spans="65:67" ht="18.75" customHeight="1">
      <c r="BM58794" s="1025"/>
      <c r="BO58794" s="43"/>
    </row>
    <row r="58795" spans="65:67" ht="18.75" customHeight="1">
      <c r="BM58795" s="1025"/>
      <c r="BO58795" s="43"/>
    </row>
    <row r="58796" spans="65:67" ht="18.75" customHeight="1">
      <c r="BM58796" s="1025"/>
      <c r="BO58796" s="43"/>
    </row>
    <row r="58797" spans="65:67" ht="18.75" customHeight="1">
      <c r="BM58797" s="1025"/>
      <c r="BO58797" s="43"/>
    </row>
    <row r="58798" spans="65:67" ht="18.75" customHeight="1">
      <c r="BM58798" s="1025"/>
      <c r="BO58798" s="43"/>
    </row>
    <row r="58799" spans="65:67" ht="18.75" customHeight="1">
      <c r="BM58799" s="1025"/>
      <c r="BO58799" s="43"/>
    </row>
    <row r="58800" spans="65:67" ht="18.75" customHeight="1">
      <c r="BM58800" s="1025"/>
      <c r="BO58800" s="43"/>
    </row>
    <row r="58801" spans="65:67" ht="18.75" customHeight="1">
      <c r="BM58801" s="1025"/>
      <c r="BO58801" s="43"/>
    </row>
    <row r="58802" spans="65:67" ht="18.75" customHeight="1">
      <c r="BM58802" s="1025"/>
      <c r="BO58802" s="43"/>
    </row>
    <row r="58803" spans="65:67" ht="18.75" customHeight="1">
      <c r="BM58803" s="1025"/>
      <c r="BO58803" s="43"/>
    </row>
    <row r="58804" spans="65:67" ht="18.75" customHeight="1">
      <c r="BM58804" s="1025"/>
      <c r="BO58804" s="43"/>
    </row>
    <row r="58805" spans="65:67" ht="18.75" customHeight="1">
      <c r="BM58805" s="1025"/>
      <c r="BO58805" s="43"/>
    </row>
    <row r="58806" spans="65:67" ht="18.75" customHeight="1">
      <c r="BM58806" s="1025"/>
      <c r="BO58806" s="43"/>
    </row>
    <row r="58807" spans="65:67" ht="18.75" customHeight="1">
      <c r="BM58807" s="1025"/>
      <c r="BO58807" s="43"/>
    </row>
    <row r="58808" spans="65:67" ht="18.75" customHeight="1">
      <c r="BM58808" s="1025"/>
      <c r="BO58808" s="43"/>
    </row>
    <row r="58809" spans="65:67" ht="18.75" customHeight="1">
      <c r="BM58809" s="1025"/>
      <c r="BO58809" s="43"/>
    </row>
    <row r="58810" spans="65:67" ht="18.75" customHeight="1">
      <c r="BM58810" s="1025"/>
      <c r="BO58810" s="43"/>
    </row>
    <row r="58811" spans="65:67" ht="18.75" customHeight="1">
      <c r="BM58811" s="1025"/>
      <c r="BO58811" s="43"/>
    </row>
    <row r="58812" spans="65:67" ht="18.75" customHeight="1">
      <c r="BM58812" s="1025"/>
      <c r="BO58812" s="43"/>
    </row>
    <row r="58813" spans="65:67" ht="18.75" customHeight="1">
      <c r="BM58813" s="1025"/>
      <c r="BO58813" s="43"/>
    </row>
    <row r="58814" spans="65:67" ht="18.75" customHeight="1">
      <c r="BM58814" s="1025"/>
      <c r="BO58814" s="43"/>
    </row>
    <row r="58815" spans="65:67" ht="18.75" customHeight="1">
      <c r="BM58815" s="1025"/>
      <c r="BO58815" s="43"/>
    </row>
    <row r="58816" spans="65:67" ht="18.75" customHeight="1">
      <c r="BM58816" s="1025"/>
      <c r="BO58816" s="43"/>
    </row>
    <row r="58817" spans="65:67" ht="18.75" customHeight="1">
      <c r="BM58817" s="1025"/>
      <c r="BO58817" s="43"/>
    </row>
    <row r="58818" spans="65:67" ht="18.75" customHeight="1">
      <c r="BM58818" s="1025"/>
      <c r="BO58818" s="43"/>
    </row>
    <row r="58819" spans="65:67" ht="18.75" customHeight="1">
      <c r="BM58819" s="1025"/>
      <c r="BO58819" s="43"/>
    </row>
    <row r="58820" spans="65:67" ht="18.75" customHeight="1">
      <c r="BM58820" s="1025"/>
      <c r="BO58820" s="43"/>
    </row>
    <row r="58821" spans="65:67" ht="18.75" customHeight="1">
      <c r="BM58821" s="1025"/>
      <c r="BO58821" s="43"/>
    </row>
    <row r="58822" spans="65:67" ht="18.75" customHeight="1">
      <c r="BM58822" s="1025"/>
      <c r="BO58822" s="43"/>
    </row>
    <row r="58823" spans="65:67" ht="18.75" customHeight="1">
      <c r="BM58823" s="1025"/>
      <c r="BO58823" s="43"/>
    </row>
    <row r="58824" spans="65:67" ht="18.75" customHeight="1">
      <c r="BM58824" s="1025"/>
      <c r="BO58824" s="43"/>
    </row>
    <row r="58825" spans="65:67" ht="18.75" customHeight="1">
      <c r="BM58825" s="1025"/>
      <c r="BO58825" s="43"/>
    </row>
    <row r="58826" spans="65:67" ht="18.75" customHeight="1">
      <c r="BM58826" s="1025"/>
      <c r="BO58826" s="43"/>
    </row>
    <row r="58827" spans="65:67" ht="18.75" customHeight="1">
      <c r="BM58827" s="1025"/>
      <c r="BO58827" s="43"/>
    </row>
    <row r="58828" spans="65:67" ht="18.75" customHeight="1">
      <c r="BM58828" s="1025"/>
      <c r="BO58828" s="43"/>
    </row>
    <row r="58829" spans="65:67" ht="18.75" customHeight="1">
      <c r="BM58829" s="1025"/>
      <c r="BO58829" s="43"/>
    </row>
    <row r="58830" spans="65:67" ht="18.75" customHeight="1">
      <c r="BM58830" s="1025"/>
      <c r="BO58830" s="43"/>
    </row>
    <row r="58831" spans="65:67" ht="18.75" customHeight="1">
      <c r="BM58831" s="1025"/>
      <c r="BO58831" s="43"/>
    </row>
    <row r="58832" spans="65:67" ht="18.75" customHeight="1">
      <c r="BM58832" s="1025"/>
      <c r="BO58832" s="43"/>
    </row>
    <row r="58833" spans="65:67" ht="18.75" customHeight="1">
      <c r="BM58833" s="1025"/>
      <c r="BO58833" s="43"/>
    </row>
    <row r="58834" spans="65:67" ht="18.75" customHeight="1">
      <c r="BM58834" s="1025"/>
      <c r="BO58834" s="43"/>
    </row>
    <row r="58835" spans="65:67" ht="18.75" customHeight="1">
      <c r="BM58835" s="1025"/>
      <c r="BO58835" s="43"/>
    </row>
    <row r="58836" spans="65:67" ht="18.75" customHeight="1">
      <c r="BM58836" s="1025"/>
      <c r="BO58836" s="43"/>
    </row>
    <row r="58837" spans="65:67" ht="18.75" customHeight="1">
      <c r="BM58837" s="1025"/>
      <c r="BO58837" s="43"/>
    </row>
    <row r="58838" spans="65:67" ht="18.75" customHeight="1">
      <c r="BM58838" s="1025"/>
      <c r="BO58838" s="43"/>
    </row>
    <row r="58839" spans="65:67" ht="18.75" customHeight="1">
      <c r="BM58839" s="1025"/>
      <c r="BO58839" s="43"/>
    </row>
    <row r="58840" spans="65:67" ht="18.75" customHeight="1">
      <c r="BM58840" s="1025"/>
      <c r="BO58840" s="43"/>
    </row>
    <row r="58841" spans="65:67" ht="18.75" customHeight="1">
      <c r="BM58841" s="1025"/>
      <c r="BO58841" s="43"/>
    </row>
    <row r="58842" spans="65:67" ht="18.75" customHeight="1">
      <c r="BM58842" s="1025"/>
      <c r="BO58842" s="43"/>
    </row>
    <row r="58843" spans="65:67" ht="18.75" customHeight="1">
      <c r="BM58843" s="1025"/>
      <c r="BO58843" s="43"/>
    </row>
    <row r="58844" spans="65:67" ht="18.75" customHeight="1">
      <c r="BM58844" s="1025"/>
      <c r="BO58844" s="43"/>
    </row>
    <row r="58845" spans="65:67" ht="18.75" customHeight="1">
      <c r="BM58845" s="1025"/>
      <c r="BO58845" s="43"/>
    </row>
    <row r="58846" spans="65:67" ht="18.75" customHeight="1">
      <c r="BM58846" s="1025"/>
      <c r="BO58846" s="43"/>
    </row>
    <row r="58847" spans="65:67" ht="18.75" customHeight="1">
      <c r="BM58847" s="1025"/>
      <c r="BO58847" s="43"/>
    </row>
    <row r="58848" spans="65:67" ht="18.75" customHeight="1">
      <c r="BM58848" s="1025"/>
      <c r="BO58848" s="43"/>
    </row>
    <row r="58849" spans="65:67" ht="18.75" customHeight="1">
      <c r="BM58849" s="1025"/>
      <c r="BO58849" s="43"/>
    </row>
    <row r="58850" spans="65:67" ht="18.75" customHeight="1">
      <c r="BM58850" s="1025"/>
      <c r="BO58850" s="43"/>
    </row>
    <row r="58851" spans="65:67" ht="18.75" customHeight="1">
      <c r="BM58851" s="1025"/>
      <c r="BO58851" s="43"/>
    </row>
    <row r="58852" spans="65:67" ht="18.75" customHeight="1">
      <c r="BM58852" s="1025"/>
      <c r="BO58852" s="43"/>
    </row>
    <row r="58853" spans="65:67" ht="18.75" customHeight="1">
      <c r="BM58853" s="1025"/>
      <c r="BO58853" s="43"/>
    </row>
    <row r="58854" spans="65:67" ht="18.75" customHeight="1">
      <c r="BM58854" s="1025"/>
      <c r="BO58854" s="43"/>
    </row>
    <row r="58855" spans="65:67" ht="18.75" customHeight="1">
      <c r="BM58855" s="1025"/>
      <c r="BO58855" s="43"/>
    </row>
    <row r="58856" spans="65:67" ht="18.75" customHeight="1">
      <c r="BM58856" s="1025"/>
      <c r="BO58856" s="43"/>
    </row>
    <row r="58857" spans="65:67" ht="18.75" customHeight="1">
      <c r="BM58857" s="1025"/>
      <c r="BO58857" s="43"/>
    </row>
    <row r="58858" spans="65:67" ht="18.75" customHeight="1">
      <c r="BM58858" s="1025"/>
      <c r="BO58858" s="43"/>
    </row>
    <row r="58859" spans="65:67" ht="18.75" customHeight="1">
      <c r="BM58859" s="1025"/>
      <c r="BO58859" s="43"/>
    </row>
    <row r="58860" spans="65:67" ht="18.75" customHeight="1">
      <c r="BM58860" s="1025"/>
      <c r="BO58860" s="43"/>
    </row>
    <row r="58861" spans="65:67" ht="18.75" customHeight="1">
      <c r="BM58861" s="1025"/>
      <c r="BO58861" s="43"/>
    </row>
    <row r="58862" spans="65:67" ht="18.75" customHeight="1">
      <c r="BM58862" s="1025"/>
      <c r="BO58862" s="43"/>
    </row>
    <row r="58863" spans="65:67" ht="18.75" customHeight="1">
      <c r="BM58863" s="1025"/>
      <c r="BO58863" s="43"/>
    </row>
    <row r="58864" spans="65:67" ht="18.75" customHeight="1">
      <c r="BM58864" s="1025"/>
      <c r="BO58864" s="43"/>
    </row>
    <row r="58865" spans="65:67" ht="18.75" customHeight="1">
      <c r="BM58865" s="1025"/>
      <c r="BO58865" s="43"/>
    </row>
    <row r="58866" spans="65:67" ht="18.75" customHeight="1">
      <c r="BM58866" s="1025"/>
      <c r="BO58866" s="43"/>
    </row>
    <row r="58867" spans="65:67" ht="18.75" customHeight="1">
      <c r="BM58867" s="1025"/>
      <c r="BO58867" s="43"/>
    </row>
    <row r="58868" spans="65:67" ht="18.75" customHeight="1">
      <c r="BM58868" s="1025"/>
      <c r="BO58868" s="43"/>
    </row>
    <row r="58869" spans="65:67" ht="18.75" customHeight="1">
      <c r="BM58869" s="1025"/>
      <c r="BO58869" s="43"/>
    </row>
    <row r="58870" spans="65:67" ht="18.75" customHeight="1">
      <c r="BM58870" s="1025"/>
      <c r="BO58870" s="43"/>
    </row>
    <row r="58871" spans="65:67" ht="18.75" customHeight="1">
      <c r="BM58871" s="1025"/>
      <c r="BO58871" s="43"/>
    </row>
    <row r="58872" spans="65:67" ht="18.75" customHeight="1">
      <c r="BM58872" s="1025"/>
      <c r="BO58872" s="43"/>
    </row>
    <row r="58873" spans="65:67" ht="18.75" customHeight="1">
      <c r="BM58873" s="1025"/>
      <c r="BO58873" s="43"/>
    </row>
    <row r="58874" spans="65:67" ht="18.75" customHeight="1">
      <c r="BM58874" s="1025"/>
      <c r="BO58874" s="43"/>
    </row>
    <row r="58875" spans="65:67" ht="18.75" customHeight="1">
      <c r="BM58875" s="1025"/>
      <c r="BO58875" s="43"/>
    </row>
    <row r="58876" spans="65:67" ht="18.75" customHeight="1">
      <c r="BM58876" s="1025"/>
      <c r="BO58876" s="43"/>
    </row>
    <row r="58877" spans="65:67" ht="18.75" customHeight="1">
      <c r="BM58877" s="1025"/>
      <c r="BO58877" s="43"/>
    </row>
    <row r="58878" spans="65:67" ht="18.75" customHeight="1">
      <c r="BM58878" s="1025"/>
      <c r="BO58878" s="43"/>
    </row>
    <row r="58879" spans="65:67" ht="18.75" customHeight="1">
      <c r="BM58879" s="1025"/>
      <c r="BO58879" s="43"/>
    </row>
    <row r="58880" spans="65:67" ht="18.75" customHeight="1">
      <c r="BM58880" s="1025"/>
      <c r="BO58880" s="43"/>
    </row>
    <row r="58881" spans="65:67" ht="18.75" customHeight="1">
      <c r="BM58881" s="1025"/>
      <c r="BO58881" s="43"/>
    </row>
    <row r="58882" spans="65:67" ht="18.75" customHeight="1">
      <c r="BM58882" s="1025"/>
      <c r="BO58882" s="43"/>
    </row>
    <row r="58883" spans="65:67" ht="18.75" customHeight="1">
      <c r="BM58883" s="1025"/>
      <c r="BO58883" s="43"/>
    </row>
    <row r="58884" spans="65:67" ht="18.75" customHeight="1">
      <c r="BM58884" s="1025"/>
      <c r="BO58884" s="43"/>
    </row>
    <row r="58885" spans="65:67" ht="18.75" customHeight="1">
      <c r="BM58885" s="1025"/>
      <c r="BO58885" s="43"/>
    </row>
    <row r="58886" spans="65:67" ht="18.75" customHeight="1">
      <c r="BM58886" s="1025"/>
      <c r="BO58886" s="43"/>
    </row>
    <row r="58887" spans="65:67" ht="18.75" customHeight="1">
      <c r="BM58887" s="1025"/>
      <c r="BO58887" s="43"/>
    </row>
    <row r="58888" spans="65:67" ht="18.75" customHeight="1">
      <c r="BM58888" s="1025"/>
      <c r="BO58888" s="43"/>
    </row>
    <row r="58889" spans="65:67" ht="18.75" customHeight="1">
      <c r="BM58889" s="1025"/>
      <c r="BO58889" s="43"/>
    </row>
    <row r="58890" spans="65:67" ht="18.75" customHeight="1">
      <c r="BM58890" s="1025"/>
      <c r="BO58890" s="43"/>
    </row>
    <row r="58891" spans="65:67" ht="18.75" customHeight="1">
      <c r="BM58891" s="1025"/>
      <c r="BO58891" s="43"/>
    </row>
    <row r="58892" spans="65:67" ht="18.75" customHeight="1">
      <c r="BM58892" s="1025"/>
      <c r="BO58892" s="43"/>
    </row>
    <row r="58893" spans="65:67" ht="18.75" customHeight="1">
      <c r="BM58893" s="1025"/>
      <c r="BO58893" s="43"/>
    </row>
    <row r="58894" spans="65:67" ht="18.75" customHeight="1">
      <c r="BM58894" s="1025"/>
      <c r="BO58894" s="43"/>
    </row>
    <row r="58895" spans="65:67" ht="18.75" customHeight="1">
      <c r="BM58895" s="1025"/>
      <c r="BO58895" s="43"/>
    </row>
    <row r="58896" spans="65:67" ht="18.75" customHeight="1">
      <c r="BM58896" s="1025"/>
      <c r="BO58896" s="43"/>
    </row>
    <row r="58897" spans="65:67" ht="18.75" customHeight="1">
      <c r="BM58897" s="1025"/>
      <c r="BO58897" s="43"/>
    </row>
    <row r="58898" spans="65:67" ht="18.75" customHeight="1">
      <c r="BM58898" s="1025"/>
      <c r="BO58898" s="43"/>
    </row>
    <row r="58899" spans="65:67" ht="18.75" customHeight="1">
      <c r="BM58899" s="1025"/>
      <c r="BO58899" s="43"/>
    </row>
    <row r="58900" spans="65:67" ht="18.75" customHeight="1">
      <c r="BM58900" s="1025"/>
      <c r="BO58900" s="43"/>
    </row>
    <row r="58901" spans="65:67" ht="18.75" customHeight="1">
      <c r="BM58901" s="1025"/>
      <c r="BO58901" s="43"/>
    </row>
    <row r="58902" spans="65:67" ht="18.75" customHeight="1">
      <c r="BM58902" s="1025"/>
      <c r="BO58902" s="43"/>
    </row>
    <row r="58903" spans="65:67" ht="18.75" customHeight="1">
      <c r="BM58903" s="1025"/>
      <c r="BO58903" s="43"/>
    </row>
    <row r="58904" spans="65:67" ht="18.75" customHeight="1">
      <c r="BM58904" s="1025"/>
      <c r="BO58904" s="43"/>
    </row>
    <row r="58905" spans="65:67" ht="18.75" customHeight="1">
      <c r="BM58905" s="1025"/>
      <c r="BO58905" s="43"/>
    </row>
    <row r="58906" spans="65:67" ht="18.75" customHeight="1">
      <c r="BM58906" s="1025"/>
      <c r="BO58906" s="43"/>
    </row>
    <row r="58907" spans="65:67" ht="18.75" customHeight="1">
      <c r="BM58907" s="1025"/>
      <c r="BO58907" s="43"/>
    </row>
    <row r="58908" spans="65:67" ht="18.75" customHeight="1">
      <c r="BM58908" s="1025"/>
      <c r="BO58908" s="43"/>
    </row>
    <row r="58909" spans="65:67" ht="18.75" customHeight="1">
      <c r="BM58909" s="1025"/>
      <c r="BO58909" s="43"/>
    </row>
    <row r="58910" spans="65:67" ht="18.75" customHeight="1">
      <c r="BM58910" s="1025"/>
      <c r="BO58910" s="43"/>
    </row>
    <row r="58911" spans="65:67" ht="18.75" customHeight="1">
      <c r="BM58911" s="1025"/>
      <c r="BO58911" s="43"/>
    </row>
    <row r="58912" spans="65:67" ht="18.75" customHeight="1">
      <c r="BM58912" s="1025"/>
      <c r="BO58912" s="43"/>
    </row>
    <row r="58913" spans="65:67" ht="18.75" customHeight="1">
      <c r="BM58913" s="1025"/>
      <c r="BO58913" s="43"/>
    </row>
    <row r="58914" spans="65:67" ht="18.75" customHeight="1">
      <c r="BM58914" s="1025"/>
      <c r="BO58914" s="43"/>
    </row>
    <row r="58915" spans="65:67" ht="18.75" customHeight="1">
      <c r="BM58915" s="1025"/>
      <c r="BO58915" s="43"/>
    </row>
    <row r="58916" spans="65:67" ht="18.75" customHeight="1">
      <c r="BM58916" s="1025"/>
      <c r="BO58916" s="43"/>
    </row>
    <row r="58917" spans="65:67" ht="18.75" customHeight="1">
      <c r="BM58917" s="1025"/>
      <c r="BO58917" s="43"/>
    </row>
    <row r="58918" spans="65:67" ht="18.75" customHeight="1">
      <c r="BM58918" s="1025"/>
      <c r="BO58918" s="43"/>
    </row>
    <row r="58919" spans="65:67" ht="18.75" customHeight="1">
      <c r="BM58919" s="1025"/>
      <c r="BO58919" s="43"/>
    </row>
    <row r="58920" spans="65:67" ht="18.75" customHeight="1">
      <c r="BM58920" s="1025"/>
      <c r="BO58920" s="43"/>
    </row>
    <row r="58921" spans="65:67" ht="18.75" customHeight="1">
      <c r="BM58921" s="1025"/>
      <c r="BO58921" s="43"/>
    </row>
    <row r="58922" spans="65:67" ht="18.75" customHeight="1">
      <c r="BM58922" s="1025"/>
      <c r="BO58922" s="43"/>
    </row>
    <row r="58923" spans="65:67" ht="18.75" customHeight="1">
      <c r="BM58923" s="1025"/>
      <c r="BO58923" s="43"/>
    </row>
    <row r="58924" spans="65:67" ht="18.75" customHeight="1">
      <c r="BM58924" s="1025"/>
      <c r="BO58924" s="43"/>
    </row>
    <row r="58925" spans="65:67" ht="18.75" customHeight="1">
      <c r="BM58925" s="1025"/>
      <c r="BO58925" s="43"/>
    </row>
    <row r="58926" spans="65:67" ht="18.75" customHeight="1">
      <c r="BM58926" s="1025"/>
      <c r="BO58926" s="43"/>
    </row>
    <row r="58927" spans="65:67" ht="18.75" customHeight="1">
      <c r="BM58927" s="1025"/>
      <c r="BO58927" s="43"/>
    </row>
    <row r="58928" spans="65:67" ht="18.75" customHeight="1">
      <c r="BM58928" s="1025"/>
      <c r="BO58928" s="43"/>
    </row>
    <row r="58929" spans="65:67" ht="18.75" customHeight="1">
      <c r="BM58929" s="1025"/>
      <c r="BO58929" s="43"/>
    </row>
    <row r="58930" spans="65:67" ht="18.75" customHeight="1">
      <c r="BM58930" s="1025"/>
      <c r="BO58930" s="43"/>
    </row>
    <row r="58931" spans="65:67" ht="18.75" customHeight="1">
      <c r="BM58931" s="1025"/>
      <c r="BO58931" s="43"/>
    </row>
    <row r="58932" spans="65:67" ht="18.75" customHeight="1">
      <c r="BM58932" s="1025"/>
      <c r="BO58932" s="43"/>
    </row>
    <row r="58933" spans="65:67" ht="18.75" customHeight="1">
      <c r="BM58933" s="1025"/>
      <c r="BO58933" s="43"/>
    </row>
    <row r="58934" spans="65:67" ht="18.75" customHeight="1">
      <c r="BM58934" s="1025"/>
      <c r="BO58934" s="43"/>
    </row>
    <row r="58935" spans="65:67" ht="18.75" customHeight="1">
      <c r="BM58935" s="1025"/>
      <c r="BO58935" s="43"/>
    </row>
    <row r="58936" spans="65:67" ht="18.75" customHeight="1">
      <c r="BM58936" s="1025"/>
      <c r="BO58936" s="43"/>
    </row>
    <row r="58937" spans="65:67" ht="18.75" customHeight="1">
      <c r="BM58937" s="1025"/>
      <c r="BO58937" s="43"/>
    </row>
    <row r="58938" spans="65:67" ht="18.75" customHeight="1">
      <c r="BM58938" s="1025"/>
      <c r="BO58938" s="43"/>
    </row>
    <row r="58939" spans="65:67" ht="18.75" customHeight="1">
      <c r="BM58939" s="1025"/>
      <c r="BO58939" s="43"/>
    </row>
    <row r="58940" spans="65:67" ht="18.75" customHeight="1">
      <c r="BM58940" s="1025"/>
      <c r="BO58940" s="43"/>
    </row>
    <row r="58941" spans="65:67" ht="18.75" customHeight="1">
      <c r="BM58941" s="1025"/>
      <c r="BO58941" s="43"/>
    </row>
    <row r="58942" spans="65:67" ht="18.75" customHeight="1">
      <c r="BM58942" s="1025"/>
      <c r="BO58942" s="43"/>
    </row>
    <row r="58943" spans="65:67" ht="18.75" customHeight="1">
      <c r="BM58943" s="1025"/>
      <c r="BO58943" s="43"/>
    </row>
    <row r="58944" spans="65:67" ht="18.75" customHeight="1">
      <c r="BM58944" s="1025"/>
      <c r="BO58944" s="43"/>
    </row>
    <row r="58945" spans="65:67" ht="18.75" customHeight="1">
      <c r="BM58945" s="1025"/>
      <c r="BO58945" s="43"/>
    </row>
    <row r="58946" spans="65:67" ht="18.75" customHeight="1">
      <c r="BM58946" s="1025"/>
      <c r="BO58946" s="43"/>
    </row>
    <row r="58947" spans="65:67" ht="18.75" customHeight="1">
      <c r="BM58947" s="1025"/>
      <c r="BO58947" s="43"/>
    </row>
    <row r="58948" spans="65:67" ht="18.75" customHeight="1">
      <c r="BM58948" s="1025"/>
      <c r="BO58948" s="43"/>
    </row>
    <row r="58949" spans="65:67" ht="18.75" customHeight="1">
      <c r="BM58949" s="1025"/>
      <c r="BO58949" s="43"/>
    </row>
    <row r="58950" spans="65:67" ht="18.75" customHeight="1">
      <c r="BM58950" s="1025"/>
      <c r="BO58950" s="43"/>
    </row>
    <row r="58951" spans="65:67" ht="18.75" customHeight="1">
      <c r="BM58951" s="1025"/>
      <c r="BO58951" s="43"/>
    </row>
    <row r="58952" spans="65:67" ht="18.75" customHeight="1">
      <c r="BM58952" s="1025"/>
      <c r="BO58952" s="43"/>
    </row>
    <row r="58953" spans="65:67" ht="18.75" customHeight="1">
      <c r="BM58953" s="1025"/>
      <c r="BO58953" s="43"/>
    </row>
    <row r="58954" spans="65:67" ht="18.75" customHeight="1">
      <c r="BM58954" s="1025"/>
      <c r="BO58954" s="43"/>
    </row>
    <row r="58955" spans="65:67" ht="18.75" customHeight="1">
      <c r="BM58955" s="1025"/>
      <c r="BO58955" s="43"/>
    </row>
    <row r="58956" spans="65:67" ht="18.75" customHeight="1">
      <c r="BM58956" s="1025"/>
      <c r="BO58956" s="43"/>
    </row>
    <row r="58957" spans="65:67" ht="18.75" customHeight="1">
      <c r="BM58957" s="1025"/>
      <c r="BO58957" s="43"/>
    </row>
    <row r="58958" spans="65:67" ht="18.75" customHeight="1">
      <c r="BM58958" s="1025"/>
      <c r="BO58958" s="43"/>
    </row>
    <row r="58959" spans="65:67" ht="18.75" customHeight="1">
      <c r="BM58959" s="1025"/>
      <c r="BO58959" s="43"/>
    </row>
    <row r="58960" spans="65:67" ht="18.75" customHeight="1">
      <c r="BM58960" s="1025"/>
      <c r="BO58960" s="43"/>
    </row>
    <row r="58961" spans="65:67" ht="18.75" customHeight="1">
      <c r="BM58961" s="1025"/>
      <c r="BO58961" s="43"/>
    </row>
    <row r="58962" spans="65:67" ht="18.75" customHeight="1">
      <c r="BM58962" s="1025"/>
      <c r="BO58962" s="43"/>
    </row>
    <row r="58963" spans="65:67" ht="18.75" customHeight="1">
      <c r="BM58963" s="1025"/>
      <c r="BO58963" s="43"/>
    </row>
    <row r="58964" spans="65:67" ht="18.75" customHeight="1">
      <c r="BM58964" s="1025"/>
      <c r="BO58964" s="43"/>
    </row>
    <row r="58965" spans="65:67" ht="18.75" customHeight="1">
      <c r="BM58965" s="1025"/>
      <c r="BO58965" s="43"/>
    </row>
    <row r="58966" spans="65:67" ht="18.75" customHeight="1">
      <c r="BM58966" s="1025"/>
      <c r="BO58966" s="43"/>
    </row>
    <row r="58967" spans="65:67" ht="18.75" customHeight="1">
      <c r="BM58967" s="1025"/>
      <c r="BO58967" s="43"/>
    </row>
    <row r="58968" spans="65:67" ht="18.75" customHeight="1">
      <c r="BM58968" s="1025"/>
      <c r="BO58968" s="43"/>
    </row>
    <row r="58969" spans="65:67" ht="18.75" customHeight="1">
      <c r="BM58969" s="1025"/>
      <c r="BO58969" s="43"/>
    </row>
    <row r="58970" spans="65:67" ht="18.75" customHeight="1">
      <c r="BM58970" s="1025"/>
      <c r="BO58970" s="43"/>
    </row>
    <row r="58971" spans="65:67" ht="18.75" customHeight="1">
      <c r="BM58971" s="1025"/>
      <c r="BO58971" s="43"/>
    </row>
    <row r="58972" spans="65:67" ht="18.75" customHeight="1">
      <c r="BM58972" s="1025"/>
      <c r="BO58972" s="43"/>
    </row>
    <row r="58973" spans="65:67" ht="18.75" customHeight="1">
      <c r="BM58973" s="1025"/>
      <c r="BO58973" s="43"/>
    </row>
    <row r="58974" spans="65:67" ht="18.75" customHeight="1">
      <c r="BM58974" s="1025"/>
      <c r="BO58974" s="43"/>
    </row>
    <row r="58975" spans="65:67" ht="18.75" customHeight="1">
      <c r="BM58975" s="1025"/>
      <c r="BO58975" s="43"/>
    </row>
    <row r="58976" spans="65:67" ht="18.75" customHeight="1">
      <c r="BM58976" s="1025"/>
      <c r="BO58976" s="43"/>
    </row>
    <row r="58977" spans="65:67" ht="18.75" customHeight="1">
      <c r="BM58977" s="1025"/>
      <c r="BO58977" s="43"/>
    </row>
    <row r="58978" spans="65:67" ht="18.75" customHeight="1">
      <c r="BM58978" s="1025"/>
      <c r="BO58978" s="43"/>
    </row>
    <row r="58979" spans="65:67" ht="18.75" customHeight="1">
      <c r="BM58979" s="1025"/>
      <c r="BO58979" s="43"/>
    </row>
    <row r="58980" spans="65:67" ht="18.75" customHeight="1">
      <c r="BM58980" s="1025"/>
      <c r="BO58980" s="43"/>
    </row>
    <row r="58981" spans="65:67" ht="18.75" customHeight="1">
      <c r="BM58981" s="1025"/>
      <c r="BO58981" s="43"/>
    </row>
    <row r="58982" spans="65:67" ht="18.75" customHeight="1">
      <c r="BM58982" s="1025"/>
      <c r="BO58982" s="43"/>
    </row>
    <row r="58983" spans="65:67" ht="18.75" customHeight="1">
      <c r="BM58983" s="1025"/>
      <c r="BO58983" s="43"/>
    </row>
    <row r="58984" spans="65:67" ht="18.75" customHeight="1">
      <c r="BM58984" s="1025"/>
      <c r="BO58984" s="43"/>
    </row>
    <row r="58985" spans="65:67" ht="18.75" customHeight="1">
      <c r="BM58985" s="1025"/>
      <c r="BO58985" s="43"/>
    </row>
    <row r="58986" spans="65:67" ht="18.75" customHeight="1">
      <c r="BM58986" s="1025"/>
      <c r="BO58986" s="43"/>
    </row>
    <row r="58987" spans="65:67" ht="18.75" customHeight="1">
      <c r="BM58987" s="1025"/>
      <c r="BO58987" s="43"/>
    </row>
    <row r="58988" spans="65:67" ht="18.75" customHeight="1">
      <c r="BM58988" s="1025"/>
      <c r="BO58988" s="43"/>
    </row>
    <row r="58989" spans="65:67" ht="18.75" customHeight="1">
      <c r="BM58989" s="1025"/>
      <c r="BO58989" s="43"/>
    </row>
    <row r="58990" spans="65:67" ht="18.75" customHeight="1">
      <c r="BM58990" s="1025"/>
      <c r="BO58990" s="43"/>
    </row>
    <row r="58991" spans="65:67" ht="18.75" customHeight="1">
      <c r="BM58991" s="1025"/>
      <c r="BO58991" s="43"/>
    </row>
    <row r="58992" spans="65:67" ht="18.75" customHeight="1">
      <c r="BM58992" s="1025"/>
      <c r="BO58992" s="43"/>
    </row>
    <row r="58993" spans="65:67" ht="18.75" customHeight="1">
      <c r="BM58993" s="1025"/>
      <c r="BO58993" s="43"/>
    </row>
    <row r="58994" spans="65:67" ht="18.75" customHeight="1">
      <c r="BM58994" s="1025"/>
      <c r="BO58994" s="43"/>
    </row>
    <row r="58995" spans="65:67" ht="18.75" customHeight="1">
      <c r="BM58995" s="1025"/>
      <c r="BO58995" s="43"/>
    </row>
    <row r="58996" spans="65:67" ht="18.75" customHeight="1">
      <c r="BM58996" s="1025"/>
      <c r="BO58996" s="43"/>
    </row>
    <row r="58997" spans="65:67" ht="18.75" customHeight="1">
      <c r="BM58997" s="1025"/>
      <c r="BO58997" s="43"/>
    </row>
    <row r="58998" spans="65:67" ht="18.75" customHeight="1">
      <c r="BM58998" s="1025"/>
      <c r="BO58998" s="43"/>
    </row>
    <row r="58999" spans="65:67" ht="18.75" customHeight="1">
      <c r="BM58999" s="1025"/>
      <c r="BO58999" s="43"/>
    </row>
    <row r="59000" spans="65:67" ht="18.75" customHeight="1">
      <c r="BM59000" s="1025"/>
      <c r="BO59000" s="43"/>
    </row>
    <row r="59001" spans="65:67" ht="18.75" customHeight="1">
      <c r="BM59001" s="1025"/>
      <c r="BO59001" s="43"/>
    </row>
    <row r="59002" spans="65:67" ht="18.75" customHeight="1">
      <c r="BM59002" s="1025"/>
      <c r="BO59002" s="43"/>
    </row>
    <row r="59003" spans="65:67" ht="18.75" customHeight="1">
      <c r="BM59003" s="1025"/>
      <c r="BO59003" s="43"/>
    </row>
    <row r="59004" spans="65:67" ht="18.75" customHeight="1">
      <c r="BM59004" s="1025"/>
      <c r="BO59004" s="43"/>
    </row>
    <row r="59005" spans="65:67" ht="18.75" customHeight="1">
      <c r="BM59005" s="1025"/>
      <c r="BO59005" s="43"/>
    </row>
    <row r="59006" spans="65:67" ht="18.75" customHeight="1">
      <c r="BM59006" s="1025"/>
      <c r="BO59006" s="43"/>
    </row>
    <row r="59007" spans="65:67" ht="18.75" customHeight="1">
      <c r="BM59007" s="1025"/>
      <c r="BO59007" s="43"/>
    </row>
    <row r="59008" spans="65:67" ht="18.75" customHeight="1">
      <c r="BM59008" s="1025"/>
      <c r="BO59008" s="43"/>
    </row>
    <row r="59009" spans="65:67" ht="18.75" customHeight="1">
      <c r="BM59009" s="1025"/>
      <c r="BO59009" s="43"/>
    </row>
    <row r="59010" spans="65:67" ht="18.75" customHeight="1">
      <c r="BM59010" s="1025"/>
      <c r="BO59010" s="43"/>
    </row>
    <row r="59011" spans="65:67" ht="18.75" customHeight="1">
      <c r="BM59011" s="1025"/>
      <c r="BO59011" s="43"/>
    </row>
    <row r="59012" spans="65:67" ht="18.75" customHeight="1">
      <c r="BM59012" s="1025"/>
      <c r="BO59012" s="43"/>
    </row>
    <row r="59013" spans="65:67" ht="18.75" customHeight="1">
      <c r="BM59013" s="1025"/>
      <c r="BO59013" s="43"/>
    </row>
    <row r="59014" spans="65:67" ht="18.75" customHeight="1">
      <c r="BM59014" s="1025"/>
      <c r="BO59014" s="43"/>
    </row>
    <row r="59015" spans="65:67" ht="18.75" customHeight="1">
      <c r="BM59015" s="1025"/>
      <c r="BO59015" s="43"/>
    </row>
    <row r="59016" spans="65:67" ht="18.75" customHeight="1">
      <c r="BM59016" s="1025"/>
      <c r="BO59016" s="43"/>
    </row>
    <row r="59017" spans="65:67" ht="18.75" customHeight="1">
      <c r="BM59017" s="1025"/>
      <c r="BO59017" s="43"/>
    </row>
    <row r="59018" spans="65:67" ht="18.75" customHeight="1">
      <c r="BM59018" s="1025"/>
      <c r="BO59018" s="43"/>
    </row>
    <row r="59019" spans="65:67" ht="18.75" customHeight="1">
      <c r="BM59019" s="1025"/>
      <c r="BO59019" s="43"/>
    </row>
    <row r="59020" spans="65:67" ht="18.75" customHeight="1">
      <c r="BM59020" s="1025"/>
      <c r="BO59020" s="43"/>
    </row>
    <row r="59021" spans="65:67" ht="18.75" customHeight="1">
      <c r="BM59021" s="1025"/>
      <c r="BO59021" s="43"/>
    </row>
    <row r="59022" spans="65:67" ht="18.75" customHeight="1">
      <c r="BM59022" s="1025"/>
      <c r="BO59022" s="43"/>
    </row>
    <row r="59023" spans="65:67" ht="18.75" customHeight="1">
      <c r="BM59023" s="1025"/>
      <c r="BO59023" s="43"/>
    </row>
    <row r="59024" spans="65:67" ht="18.75" customHeight="1">
      <c r="BM59024" s="1025"/>
      <c r="BO59024" s="43"/>
    </row>
    <row r="59025" spans="65:67" ht="18.75" customHeight="1">
      <c r="BM59025" s="1025"/>
      <c r="BO59025" s="43"/>
    </row>
    <row r="59026" spans="65:67" ht="18.75" customHeight="1">
      <c r="BM59026" s="1025"/>
      <c r="BO59026" s="43"/>
    </row>
    <row r="59027" spans="65:67" ht="18.75" customHeight="1">
      <c r="BM59027" s="1025"/>
      <c r="BO59027" s="43"/>
    </row>
    <row r="59028" spans="65:67" ht="18.75" customHeight="1">
      <c r="BM59028" s="1025"/>
      <c r="BO59028" s="43"/>
    </row>
    <row r="59029" spans="65:67" ht="18.75" customHeight="1">
      <c r="BM59029" s="1025"/>
      <c r="BO59029" s="43"/>
    </row>
    <row r="59030" spans="65:67" ht="18.75" customHeight="1">
      <c r="BM59030" s="1025"/>
      <c r="BO59030" s="43"/>
    </row>
    <row r="59031" spans="65:67" ht="18.75" customHeight="1">
      <c r="BM59031" s="1025"/>
      <c r="BO59031" s="43"/>
    </row>
    <row r="59032" spans="65:67" ht="18.75" customHeight="1">
      <c r="BM59032" s="1025"/>
      <c r="BO59032" s="43"/>
    </row>
    <row r="59033" spans="65:67" ht="18.75" customHeight="1">
      <c r="BM59033" s="1025"/>
      <c r="BO59033" s="43"/>
    </row>
    <row r="59034" spans="65:67" ht="18.75" customHeight="1">
      <c r="BM59034" s="1025"/>
      <c r="BO59034" s="43"/>
    </row>
    <row r="59035" spans="65:67" ht="18.75" customHeight="1">
      <c r="BM59035" s="1025"/>
      <c r="BO59035" s="43"/>
    </row>
    <row r="59036" spans="65:67" ht="18.75" customHeight="1">
      <c r="BM59036" s="1025"/>
      <c r="BO59036" s="43"/>
    </row>
    <row r="59037" spans="65:67" ht="18.75" customHeight="1">
      <c r="BM59037" s="1025"/>
      <c r="BO59037" s="43"/>
    </row>
    <row r="59038" spans="65:67" ht="18.75" customHeight="1">
      <c r="BM59038" s="1025"/>
      <c r="BO59038" s="43"/>
    </row>
    <row r="59039" spans="65:67" ht="18.75" customHeight="1">
      <c r="BM59039" s="1025"/>
      <c r="BO59039" s="43"/>
    </row>
    <row r="59040" spans="65:67" ht="18.75" customHeight="1">
      <c r="BM59040" s="1025"/>
      <c r="BO59040" s="43"/>
    </row>
    <row r="59041" spans="65:67" ht="18.75" customHeight="1">
      <c r="BM59041" s="1025"/>
      <c r="BO59041" s="43"/>
    </row>
    <row r="59042" spans="65:67" ht="18.75" customHeight="1">
      <c r="BM59042" s="1025"/>
      <c r="BO59042" s="43"/>
    </row>
    <row r="59043" spans="65:67" ht="18.75" customHeight="1">
      <c r="BM59043" s="1025"/>
      <c r="BO59043" s="43"/>
    </row>
    <row r="59044" spans="65:67" ht="18.75" customHeight="1">
      <c r="BM59044" s="1025"/>
      <c r="BO59044" s="43"/>
    </row>
    <row r="59045" spans="65:67" ht="18.75" customHeight="1">
      <c r="BM59045" s="1025"/>
      <c r="BO59045" s="43"/>
    </row>
    <row r="59046" spans="65:67" ht="18.75" customHeight="1">
      <c r="BM59046" s="1025"/>
      <c r="BO59046" s="43"/>
    </row>
    <row r="59047" spans="65:67" ht="18.75" customHeight="1">
      <c r="BM59047" s="1025"/>
      <c r="BO59047" s="43"/>
    </row>
    <row r="59048" spans="65:67" ht="18.75" customHeight="1">
      <c r="BM59048" s="1025"/>
      <c r="BO59048" s="43"/>
    </row>
    <row r="59049" spans="65:67" ht="18.75" customHeight="1">
      <c r="BM59049" s="1025"/>
      <c r="BO59049" s="43"/>
    </row>
    <row r="59050" spans="65:67" ht="18.75" customHeight="1">
      <c r="BM59050" s="1025"/>
      <c r="BO59050" s="43"/>
    </row>
    <row r="59051" spans="65:67" ht="18.75" customHeight="1">
      <c r="BM59051" s="1025"/>
      <c r="BO59051" s="43"/>
    </row>
    <row r="59052" spans="65:67" ht="18.75" customHeight="1">
      <c r="BM59052" s="1025"/>
      <c r="BO59052" s="43"/>
    </row>
    <row r="59053" spans="65:67" ht="18.75" customHeight="1">
      <c r="BM59053" s="1025"/>
      <c r="BO59053" s="43"/>
    </row>
    <row r="59054" spans="65:67" ht="18.75" customHeight="1">
      <c r="BM59054" s="1025"/>
      <c r="BO59054" s="43"/>
    </row>
    <row r="59055" spans="65:67" ht="18.75" customHeight="1">
      <c r="BM59055" s="1025"/>
      <c r="BO59055" s="43"/>
    </row>
    <row r="59056" spans="65:67" ht="18.75" customHeight="1">
      <c r="BM59056" s="1025"/>
      <c r="BO59056" s="43"/>
    </row>
    <row r="59057" spans="65:67" ht="18.75" customHeight="1">
      <c r="BM59057" s="1025"/>
      <c r="BO59057" s="43"/>
    </row>
    <row r="59058" spans="65:67" ht="18.75" customHeight="1">
      <c r="BM59058" s="1025"/>
      <c r="BO59058" s="43"/>
    </row>
    <row r="59059" spans="65:67" ht="18.75" customHeight="1">
      <c r="BM59059" s="1025"/>
      <c r="BO59059" s="43"/>
    </row>
    <row r="59060" spans="65:67" ht="18.75" customHeight="1">
      <c r="BM59060" s="1025"/>
      <c r="BO59060" s="43"/>
    </row>
    <row r="59061" spans="65:67" ht="18.75" customHeight="1">
      <c r="BM59061" s="1025"/>
      <c r="BO59061" s="43"/>
    </row>
    <row r="59062" spans="65:67" ht="18.75" customHeight="1">
      <c r="BM59062" s="1025"/>
      <c r="BO59062" s="43"/>
    </row>
    <row r="59063" spans="65:67" ht="18.75" customHeight="1">
      <c r="BM59063" s="1025"/>
      <c r="BO59063" s="43"/>
    </row>
    <row r="59064" spans="65:67" ht="18.75" customHeight="1">
      <c r="BM59064" s="1025"/>
      <c r="BO59064" s="43"/>
    </row>
    <row r="59065" spans="65:67" ht="18.75" customHeight="1">
      <c r="BM59065" s="1025"/>
      <c r="BO59065" s="43"/>
    </row>
    <row r="59066" spans="65:67" ht="18.75" customHeight="1">
      <c r="BM59066" s="1025"/>
      <c r="BO59066" s="43"/>
    </row>
    <row r="59067" spans="65:67" ht="18.75" customHeight="1">
      <c r="BM59067" s="1025"/>
      <c r="BO59067" s="43"/>
    </row>
    <row r="59068" spans="65:67" ht="18.75" customHeight="1">
      <c r="BM59068" s="1025"/>
      <c r="BO59068" s="43"/>
    </row>
    <row r="59069" spans="65:67" ht="18.75" customHeight="1">
      <c r="BM59069" s="1025"/>
      <c r="BO59069" s="43"/>
    </row>
    <row r="59070" spans="65:67" ht="18.75" customHeight="1">
      <c r="BM59070" s="1025"/>
      <c r="BO59070" s="43"/>
    </row>
    <row r="59071" spans="65:67" ht="18.75" customHeight="1">
      <c r="BM59071" s="1025"/>
      <c r="BO59071" s="43"/>
    </row>
    <row r="59072" spans="65:67" ht="18.75" customHeight="1">
      <c r="BM59072" s="1025"/>
      <c r="BO59072" s="43"/>
    </row>
    <row r="59073" spans="65:67" ht="18.75" customHeight="1">
      <c r="BM59073" s="1025"/>
      <c r="BO59073" s="43"/>
    </row>
    <row r="59074" spans="65:67" ht="18.75" customHeight="1">
      <c r="BM59074" s="1025"/>
      <c r="BO59074" s="43"/>
    </row>
    <row r="59075" spans="65:67" ht="18.75" customHeight="1">
      <c r="BM59075" s="1025"/>
      <c r="BO59075" s="43"/>
    </row>
    <row r="59076" spans="65:67" ht="18.75" customHeight="1">
      <c r="BM59076" s="1025"/>
      <c r="BO59076" s="43"/>
    </row>
    <row r="59077" spans="65:67" ht="18.75" customHeight="1">
      <c r="BM59077" s="1025"/>
      <c r="BO59077" s="43"/>
    </row>
    <row r="59078" spans="65:67" ht="18.75" customHeight="1">
      <c r="BM59078" s="1025"/>
      <c r="BO59078" s="43"/>
    </row>
    <row r="59079" spans="65:67" ht="18.75" customHeight="1">
      <c r="BM59079" s="1025"/>
      <c r="BO59079" s="43"/>
    </row>
    <row r="59080" spans="65:67" ht="18.75" customHeight="1">
      <c r="BM59080" s="1025"/>
      <c r="BO59080" s="43"/>
    </row>
    <row r="59081" spans="65:67" ht="18.75" customHeight="1">
      <c r="BM59081" s="1025"/>
      <c r="BO59081" s="43"/>
    </row>
    <row r="59082" spans="65:67" ht="18.75" customHeight="1">
      <c r="BM59082" s="1025"/>
      <c r="BO59082" s="43"/>
    </row>
    <row r="59083" spans="65:67" ht="18.75" customHeight="1">
      <c r="BM59083" s="1025"/>
      <c r="BO59083" s="43"/>
    </row>
    <row r="59084" spans="65:67" ht="18.75" customHeight="1">
      <c r="BM59084" s="1025"/>
      <c r="BO59084" s="43"/>
    </row>
    <row r="59085" spans="65:67" ht="18.75" customHeight="1">
      <c r="BM59085" s="1025"/>
      <c r="BO59085" s="43"/>
    </row>
    <row r="59086" spans="65:67" ht="18.75" customHeight="1">
      <c r="BM59086" s="1025"/>
      <c r="BO59086" s="43"/>
    </row>
    <row r="59087" spans="65:67" ht="18.75" customHeight="1">
      <c r="BM59087" s="1025"/>
      <c r="BO59087" s="43"/>
    </row>
    <row r="59088" spans="65:67" ht="18.75" customHeight="1">
      <c r="BM59088" s="1025"/>
      <c r="BO59088" s="43"/>
    </row>
    <row r="59089" spans="65:67" ht="18.75" customHeight="1">
      <c r="BM59089" s="1025"/>
      <c r="BO59089" s="43"/>
    </row>
    <row r="59090" spans="65:67" ht="18.75" customHeight="1">
      <c r="BM59090" s="1025"/>
      <c r="BO59090" s="43"/>
    </row>
    <row r="59091" spans="65:67" ht="18.75" customHeight="1">
      <c r="BM59091" s="1025"/>
      <c r="BO59091" s="43"/>
    </row>
    <row r="59092" spans="65:67" ht="18.75" customHeight="1">
      <c r="BM59092" s="1025"/>
      <c r="BO59092" s="43"/>
    </row>
    <row r="59093" spans="65:67" ht="18.75" customHeight="1">
      <c r="BM59093" s="1025"/>
      <c r="BO59093" s="43"/>
    </row>
    <row r="59094" spans="65:67" ht="18.75" customHeight="1">
      <c r="BM59094" s="1025"/>
      <c r="BO59094" s="43"/>
    </row>
    <row r="59095" spans="65:67" ht="18.75" customHeight="1">
      <c r="BM59095" s="1025"/>
      <c r="BO59095" s="43"/>
    </row>
    <row r="59096" spans="65:67" ht="18.75" customHeight="1">
      <c r="BM59096" s="1025"/>
      <c r="BO59096" s="43"/>
    </row>
    <row r="59097" spans="65:67" ht="18.75" customHeight="1">
      <c r="BM59097" s="1025"/>
      <c r="BO59097" s="43"/>
    </row>
    <row r="59098" spans="65:67" ht="18.75" customHeight="1">
      <c r="BM59098" s="1025"/>
      <c r="BO59098" s="43"/>
    </row>
    <row r="59099" spans="65:67" ht="18.75" customHeight="1">
      <c r="BM59099" s="1025"/>
      <c r="BO59099" s="43"/>
    </row>
    <row r="59100" spans="65:67" ht="18.75" customHeight="1">
      <c r="BM59100" s="1025"/>
      <c r="BO59100" s="43"/>
    </row>
    <row r="59101" spans="65:67" ht="18.75" customHeight="1">
      <c r="BM59101" s="1025"/>
      <c r="BO59101" s="43"/>
    </row>
    <row r="59102" spans="65:67" ht="18.75" customHeight="1">
      <c r="BM59102" s="1025"/>
      <c r="BO59102" s="43"/>
    </row>
    <row r="59103" spans="65:67" ht="18.75" customHeight="1">
      <c r="BM59103" s="1025"/>
      <c r="BO59103" s="43"/>
    </row>
    <row r="59104" spans="65:67" ht="18.75" customHeight="1">
      <c r="BM59104" s="1025"/>
      <c r="BO59104" s="43"/>
    </row>
    <row r="59105" spans="65:67" ht="18.75" customHeight="1">
      <c r="BM59105" s="1025"/>
      <c r="BO59105" s="43"/>
    </row>
    <row r="59106" spans="65:67" ht="18.75" customHeight="1">
      <c r="BM59106" s="1025"/>
      <c r="BO59106" s="43"/>
    </row>
    <row r="59107" spans="65:67" ht="18.75" customHeight="1">
      <c r="BM59107" s="1025"/>
      <c r="BO59107" s="43"/>
    </row>
    <row r="59108" spans="65:67" ht="18.75" customHeight="1">
      <c r="BM59108" s="1025"/>
      <c r="BO59108" s="43"/>
    </row>
    <row r="59109" spans="65:67" ht="18.75" customHeight="1">
      <c r="BM59109" s="1025"/>
      <c r="BO59109" s="43"/>
    </row>
    <row r="59110" spans="65:67" ht="18.75" customHeight="1">
      <c r="BM59110" s="1025"/>
      <c r="BO59110" s="43"/>
    </row>
    <row r="59111" spans="65:67" ht="18.75" customHeight="1">
      <c r="BM59111" s="1025"/>
      <c r="BO59111" s="43"/>
    </row>
    <row r="59112" spans="65:67" ht="18.75" customHeight="1">
      <c r="BM59112" s="1025"/>
      <c r="BO59112" s="43"/>
    </row>
    <row r="59113" spans="65:67" ht="18.75" customHeight="1">
      <c r="BM59113" s="1025"/>
      <c r="BO59113" s="43"/>
    </row>
    <row r="59114" spans="65:67" ht="18.75" customHeight="1">
      <c r="BM59114" s="1025"/>
      <c r="BO59114" s="43"/>
    </row>
    <row r="59115" spans="65:67" ht="18.75" customHeight="1">
      <c r="BM59115" s="1025"/>
      <c r="BO59115" s="43"/>
    </row>
    <row r="59116" spans="65:67" ht="18.75" customHeight="1">
      <c r="BM59116" s="1025"/>
      <c r="BO59116" s="43"/>
    </row>
    <row r="59117" spans="65:67" ht="18.75" customHeight="1">
      <c r="BM59117" s="1025"/>
      <c r="BO59117" s="43"/>
    </row>
    <row r="59118" spans="65:67" ht="18.75" customHeight="1">
      <c r="BM59118" s="1025"/>
      <c r="BO59118" s="43"/>
    </row>
    <row r="59119" spans="65:67" ht="18.75" customHeight="1">
      <c r="BM59119" s="1025"/>
      <c r="BO59119" s="43"/>
    </row>
    <row r="59120" spans="65:67" ht="18.75" customHeight="1">
      <c r="BM59120" s="1025"/>
      <c r="BO59120" s="43"/>
    </row>
    <row r="59121" spans="65:67" ht="18.75" customHeight="1">
      <c r="BM59121" s="1025"/>
      <c r="BO59121" s="43"/>
    </row>
    <row r="59122" spans="65:67" ht="18.75" customHeight="1">
      <c r="BM59122" s="1025"/>
      <c r="BO59122" s="43"/>
    </row>
    <row r="59123" spans="65:67" ht="18.75" customHeight="1">
      <c r="BM59123" s="1025"/>
      <c r="BO59123" s="43"/>
    </row>
    <row r="59124" spans="65:67" ht="18.75" customHeight="1">
      <c r="BM59124" s="1025"/>
      <c r="BO59124" s="43"/>
    </row>
    <row r="59125" spans="65:67" ht="18.75" customHeight="1">
      <c r="BM59125" s="1025"/>
      <c r="BO59125" s="43"/>
    </row>
    <row r="59126" spans="65:67" ht="18.75" customHeight="1">
      <c r="BM59126" s="1025"/>
      <c r="BO59126" s="43"/>
    </row>
    <row r="59127" spans="65:67" ht="18.75" customHeight="1">
      <c r="BM59127" s="1025"/>
      <c r="BO59127" s="43"/>
    </row>
    <row r="59128" spans="65:67" ht="18.75" customHeight="1">
      <c r="BM59128" s="1025"/>
      <c r="BO59128" s="43"/>
    </row>
    <row r="59129" spans="65:67" ht="18.75" customHeight="1">
      <c r="BM59129" s="1025"/>
      <c r="BO59129" s="43"/>
    </row>
    <row r="59130" spans="65:67" ht="18.75" customHeight="1">
      <c r="BM59130" s="1025"/>
      <c r="BO59130" s="43"/>
    </row>
    <row r="59131" spans="65:67" ht="18.75" customHeight="1">
      <c r="BM59131" s="1025"/>
      <c r="BO59131" s="43"/>
    </row>
    <row r="59132" spans="65:67" ht="18.75" customHeight="1">
      <c r="BM59132" s="1025"/>
      <c r="BO59132" s="43"/>
    </row>
    <row r="59133" spans="65:67" ht="18.75" customHeight="1">
      <c r="BM59133" s="1025"/>
      <c r="BO59133" s="43"/>
    </row>
    <row r="59134" spans="65:67" ht="18.75" customHeight="1">
      <c r="BM59134" s="1025"/>
      <c r="BO59134" s="43"/>
    </row>
    <row r="59135" spans="65:67" ht="18.75" customHeight="1">
      <c r="BM59135" s="1025"/>
      <c r="BO59135" s="43"/>
    </row>
    <row r="59136" spans="65:67" ht="18.75" customHeight="1">
      <c r="BM59136" s="1025"/>
      <c r="BO59136" s="43"/>
    </row>
    <row r="59137" spans="65:67" ht="18.75" customHeight="1">
      <c r="BM59137" s="1025"/>
      <c r="BO59137" s="43"/>
    </row>
    <row r="59138" spans="65:67" ht="18.75" customHeight="1">
      <c r="BM59138" s="1025"/>
      <c r="BO59138" s="43"/>
    </row>
    <row r="59139" spans="65:67" ht="18.75" customHeight="1">
      <c r="BM59139" s="1025"/>
      <c r="BO59139" s="43"/>
    </row>
    <row r="59140" spans="65:67" ht="18.75" customHeight="1">
      <c r="BM59140" s="1025"/>
      <c r="BO59140" s="43"/>
    </row>
    <row r="59141" spans="65:67" ht="18.75" customHeight="1">
      <c r="BM59141" s="1025"/>
      <c r="BO59141" s="43"/>
    </row>
    <row r="59142" spans="65:67" ht="18.75" customHeight="1">
      <c r="BM59142" s="1025"/>
      <c r="BO59142" s="43"/>
    </row>
    <row r="59143" spans="65:67" ht="18.75" customHeight="1">
      <c r="BM59143" s="1025"/>
      <c r="BO59143" s="43"/>
    </row>
    <row r="59144" spans="65:67" ht="18.75" customHeight="1">
      <c r="BM59144" s="1025"/>
      <c r="BO59144" s="43"/>
    </row>
    <row r="59145" spans="65:67" ht="18.75" customHeight="1">
      <c r="BM59145" s="1025"/>
      <c r="BO59145" s="43"/>
    </row>
    <row r="59146" spans="65:67" ht="18.75" customHeight="1">
      <c r="BM59146" s="1025"/>
      <c r="BO59146" s="43"/>
    </row>
    <row r="59147" spans="65:67" ht="18.75" customHeight="1">
      <c r="BM59147" s="1025"/>
      <c r="BO59147" s="43"/>
    </row>
    <row r="59148" spans="65:67" ht="18.75" customHeight="1">
      <c r="BM59148" s="1025"/>
      <c r="BO59148" s="43"/>
    </row>
    <row r="59149" spans="65:67" ht="18.75" customHeight="1">
      <c r="BM59149" s="1025"/>
      <c r="BO59149" s="43"/>
    </row>
    <row r="59150" spans="65:67" ht="18.75" customHeight="1">
      <c r="BM59150" s="1025"/>
      <c r="BO59150" s="43"/>
    </row>
    <row r="59151" spans="65:67" ht="18.75" customHeight="1">
      <c r="BM59151" s="1025"/>
      <c r="BO59151" s="43"/>
    </row>
    <row r="59152" spans="65:67" ht="18.75" customHeight="1">
      <c r="BM59152" s="1025"/>
      <c r="BO59152" s="43"/>
    </row>
    <row r="59153" spans="65:67" ht="18.75" customHeight="1">
      <c r="BM59153" s="1025"/>
      <c r="BO59153" s="43"/>
    </row>
    <row r="59154" spans="65:67" ht="18.75" customHeight="1">
      <c r="BM59154" s="1025"/>
      <c r="BO59154" s="43"/>
    </row>
    <row r="59155" spans="65:67" ht="18.75" customHeight="1">
      <c r="BM59155" s="1025"/>
      <c r="BO59155" s="43"/>
    </row>
    <row r="59156" spans="65:67" ht="18.75" customHeight="1">
      <c r="BM59156" s="1025"/>
      <c r="BO59156" s="43"/>
    </row>
    <row r="59157" spans="65:67" ht="18.75" customHeight="1">
      <c r="BM59157" s="1025"/>
      <c r="BO59157" s="43"/>
    </row>
    <row r="59158" spans="65:67" ht="18.75" customHeight="1">
      <c r="BM59158" s="1025"/>
      <c r="BO59158" s="43"/>
    </row>
    <row r="59159" spans="65:67" ht="18.75" customHeight="1">
      <c r="BM59159" s="1025"/>
      <c r="BO59159" s="43"/>
    </row>
    <row r="59160" spans="65:67" ht="18.75" customHeight="1">
      <c r="BM59160" s="1025"/>
      <c r="BO59160" s="43"/>
    </row>
    <row r="59161" spans="65:67" ht="18.75" customHeight="1">
      <c r="BM59161" s="1025"/>
      <c r="BO59161" s="43"/>
    </row>
    <row r="59162" spans="65:67" ht="18.75" customHeight="1">
      <c r="BM59162" s="1025"/>
      <c r="BO59162" s="43"/>
    </row>
    <row r="59163" spans="65:67" ht="18.75" customHeight="1">
      <c r="BM59163" s="1025"/>
      <c r="BO59163" s="43"/>
    </row>
    <row r="59164" spans="65:67" ht="18.75" customHeight="1">
      <c r="BM59164" s="1025"/>
      <c r="BO59164" s="43"/>
    </row>
    <row r="59165" spans="65:67" ht="18.75" customHeight="1">
      <c r="BM59165" s="1025"/>
      <c r="BO59165" s="43"/>
    </row>
    <row r="59166" spans="65:67" ht="18.75" customHeight="1">
      <c r="BM59166" s="1025"/>
      <c r="BO59166" s="43"/>
    </row>
    <row r="59167" spans="65:67" ht="18.75" customHeight="1">
      <c r="BM59167" s="1025"/>
      <c r="BO59167" s="43"/>
    </row>
    <row r="59168" spans="65:67" ht="18.75" customHeight="1">
      <c r="BM59168" s="1025"/>
      <c r="BO59168" s="43"/>
    </row>
    <row r="59169" spans="65:67" ht="18.75" customHeight="1">
      <c r="BM59169" s="1025"/>
      <c r="BO59169" s="43"/>
    </row>
    <row r="59170" spans="65:67" ht="18.75" customHeight="1">
      <c r="BM59170" s="1025"/>
      <c r="BO59170" s="43"/>
    </row>
    <row r="59171" spans="65:67" ht="18.75" customHeight="1">
      <c r="BM59171" s="1025"/>
      <c r="BO59171" s="43"/>
    </row>
    <row r="59172" spans="65:67" ht="18.75" customHeight="1">
      <c r="BM59172" s="1025"/>
      <c r="BO59172" s="43"/>
    </row>
    <row r="59173" spans="65:67" ht="18.75" customHeight="1">
      <c r="BM59173" s="1025"/>
      <c r="BO59173" s="43"/>
    </row>
    <row r="59174" spans="65:67" ht="18.75" customHeight="1">
      <c r="BM59174" s="1025"/>
      <c r="BO59174" s="43"/>
    </row>
    <row r="59175" spans="65:67" ht="18.75" customHeight="1">
      <c r="BM59175" s="1025"/>
      <c r="BO59175" s="43"/>
    </row>
    <row r="59176" spans="65:67" ht="18.75" customHeight="1">
      <c r="BM59176" s="1025"/>
      <c r="BO59176" s="43"/>
    </row>
    <row r="59177" spans="65:67" ht="18.75" customHeight="1">
      <c r="BM59177" s="1025"/>
      <c r="BO59177" s="43"/>
    </row>
    <row r="59178" spans="65:67" ht="18.75" customHeight="1">
      <c r="BM59178" s="1025"/>
      <c r="BO59178" s="43"/>
    </row>
    <row r="59179" spans="65:67" ht="18.75" customHeight="1">
      <c r="BM59179" s="1025"/>
      <c r="BO59179" s="43"/>
    </row>
    <row r="59180" spans="65:67" ht="18.75" customHeight="1">
      <c r="BM59180" s="1025"/>
      <c r="BO59180" s="43"/>
    </row>
    <row r="59181" spans="65:67" ht="18.75" customHeight="1">
      <c r="BM59181" s="1025"/>
      <c r="BO59181" s="43"/>
    </row>
    <row r="59182" spans="65:67" ht="18.75" customHeight="1">
      <c r="BM59182" s="1025"/>
      <c r="BO59182" s="43"/>
    </row>
    <row r="59183" spans="65:67" ht="18.75" customHeight="1">
      <c r="BM59183" s="1025"/>
      <c r="BO59183" s="43"/>
    </row>
    <row r="59184" spans="65:67" ht="18.75" customHeight="1">
      <c r="BM59184" s="1025"/>
      <c r="BO59184" s="43"/>
    </row>
    <row r="59185" spans="65:67" ht="18.75" customHeight="1">
      <c r="BM59185" s="1025"/>
      <c r="BO59185" s="43"/>
    </row>
    <row r="59186" spans="65:67" ht="18.75" customHeight="1">
      <c r="BM59186" s="1025"/>
      <c r="BO59186" s="43"/>
    </row>
    <row r="59187" spans="65:67" ht="18.75" customHeight="1">
      <c r="BM59187" s="1025"/>
      <c r="BO59187" s="43"/>
    </row>
    <row r="59188" spans="65:67" ht="18.75" customHeight="1">
      <c r="BM59188" s="1025"/>
      <c r="BO59188" s="43"/>
    </row>
    <row r="59189" spans="65:67" ht="18.75" customHeight="1">
      <c r="BM59189" s="1025"/>
      <c r="BO59189" s="43"/>
    </row>
    <row r="59190" spans="65:67" ht="18.75" customHeight="1">
      <c r="BM59190" s="1025"/>
      <c r="BO59190" s="43"/>
    </row>
    <row r="59191" spans="65:67" ht="18.75" customHeight="1">
      <c r="BM59191" s="1025"/>
      <c r="BO59191" s="43"/>
    </row>
    <row r="59192" spans="65:67" ht="18.75" customHeight="1">
      <c r="BM59192" s="1025"/>
      <c r="BO59192" s="43"/>
    </row>
    <row r="59193" spans="65:67" ht="18.75" customHeight="1">
      <c r="BM59193" s="1025"/>
      <c r="BO59193" s="43"/>
    </row>
    <row r="59194" spans="65:67" ht="18.75" customHeight="1">
      <c r="BM59194" s="1025"/>
      <c r="BO59194" s="43"/>
    </row>
    <row r="59195" spans="65:67" ht="18.75" customHeight="1">
      <c r="BM59195" s="1025"/>
      <c r="BO59195" s="43"/>
    </row>
    <row r="59196" spans="65:67" ht="18.75" customHeight="1">
      <c r="BM59196" s="1025"/>
      <c r="BO59196" s="43"/>
    </row>
    <row r="59197" spans="65:67" ht="18.75" customHeight="1">
      <c r="BM59197" s="1025"/>
      <c r="BO59197" s="43"/>
    </row>
    <row r="59198" spans="65:67" ht="18.75" customHeight="1">
      <c r="BM59198" s="1025"/>
      <c r="BO59198" s="43"/>
    </row>
    <row r="59199" spans="65:67" ht="18.75" customHeight="1">
      <c r="BM59199" s="1025"/>
      <c r="BO59199" s="43"/>
    </row>
    <row r="59200" spans="65:67" ht="18.75" customHeight="1">
      <c r="BM59200" s="1025"/>
      <c r="BO59200" s="43"/>
    </row>
    <row r="59201" spans="65:67" ht="18.75" customHeight="1">
      <c r="BM59201" s="1025"/>
      <c r="BO59201" s="43"/>
    </row>
    <row r="59202" spans="65:67" ht="18.75" customHeight="1">
      <c r="BM59202" s="1025"/>
      <c r="BO59202" s="43"/>
    </row>
    <row r="59203" spans="65:67" ht="18.75" customHeight="1">
      <c r="BM59203" s="1025"/>
      <c r="BO59203" s="43"/>
    </row>
    <row r="59204" spans="65:67" ht="18.75" customHeight="1">
      <c r="BM59204" s="1025"/>
      <c r="BO59204" s="43"/>
    </row>
    <row r="59205" spans="65:67" ht="18.75" customHeight="1">
      <c r="BM59205" s="1025"/>
      <c r="BO59205" s="43"/>
    </row>
    <row r="59206" spans="65:67" ht="18.75" customHeight="1">
      <c r="BM59206" s="1025"/>
      <c r="BO59206" s="43"/>
    </row>
    <row r="59207" spans="65:67" ht="18.75" customHeight="1">
      <c r="BM59207" s="1025"/>
      <c r="BO59207" s="43"/>
    </row>
    <row r="59208" spans="65:67" ht="18.75" customHeight="1">
      <c r="BM59208" s="1025"/>
      <c r="BO59208" s="43"/>
    </row>
    <row r="59209" spans="65:67" ht="18.75" customHeight="1">
      <c r="BM59209" s="1025"/>
      <c r="BO59209" s="43"/>
    </row>
    <row r="59210" spans="65:67" ht="18.75" customHeight="1">
      <c r="BM59210" s="1025"/>
      <c r="BO59210" s="43"/>
    </row>
    <row r="59211" spans="65:67" ht="18.75" customHeight="1">
      <c r="BM59211" s="1025"/>
      <c r="BO59211" s="43"/>
    </row>
    <row r="59212" spans="65:67" ht="18.75" customHeight="1">
      <c r="BM59212" s="1025"/>
      <c r="BO59212" s="43"/>
    </row>
    <row r="59213" spans="65:67" ht="18.75" customHeight="1">
      <c r="BM59213" s="1025"/>
      <c r="BO59213" s="43"/>
    </row>
    <row r="59214" spans="65:67" ht="18.75" customHeight="1">
      <c r="BM59214" s="1025"/>
      <c r="BO59214" s="43"/>
    </row>
    <row r="59215" spans="65:67" ht="18.75" customHeight="1">
      <c r="BM59215" s="1025"/>
      <c r="BO59215" s="43"/>
    </row>
    <row r="59216" spans="65:67" ht="18.75" customHeight="1">
      <c r="BM59216" s="1025"/>
      <c r="BO59216" s="43"/>
    </row>
    <row r="59217" spans="65:67" ht="18.75" customHeight="1">
      <c r="BM59217" s="1025"/>
      <c r="BO59217" s="43"/>
    </row>
    <row r="59218" spans="65:67" ht="18.75" customHeight="1">
      <c r="BM59218" s="1025"/>
      <c r="BO59218" s="43"/>
    </row>
    <row r="59219" spans="65:67" ht="18.75" customHeight="1">
      <c r="BM59219" s="1025"/>
      <c r="BO59219" s="43"/>
    </row>
    <row r="59220" spans="65:67" ht="18.75" customHeight="1">
      <c r="BM59220" s="1025"/>
      <c r="BO59220" s="43"/>
    </row>
    <row r="59221" spans="65:67" ht="18.75" customHeight="1">
      <c r="BM59221" s="1025"/>
      <c r="BO59221" s="43"/>
    </row>
    <row r="59222" spans="65:67" ht="18.75" customHeight="1">
      <c r="BM59222" s="1025"/>
      <c r="BO59222" s="43"/>
    </row>
    <row r="59223" spans="65:67" ht="18.75" customHeight="1">
      <c r="BM59223" s="1025"/>
      <c r="BO59223" s="43"/>
    </row>
    <row r="59224" spans="65:67" ht="18.75" customHeight="1">
      <c r="BM59224" s="1025"/>
      <c r="BO59224" s="43"/>
    </row>
    <row r="59225" spans="65:67" ht="18.75" customHeight="1">
      <c r="BM59225" s="1025"/>
      <c r="BO59225" s="43"/>
    </row>
    <row r="59226" spans="65:67" ht="18.75" customHeight="1">
      <c r="BM59226" s="1025"/>
      <c r="BO59226" s="43"/>
    </row>
    <row r="59227" spans="65:67" ht="18.75" customHeight="1">
      <c r="BM59227" s="1025"/>
      <c r="BO59227" s="43"/>
    </row>
    <row r="59228" spans="65:67" ht="18.75" customHeight="1">
      <c r="BM59228" s="1025"/>
      <c r="BO59228" s="43"/>
    </row>
    <row r="59229" spans="65:67" ht="18.75" customHeight="1">
      <c r="BM59229" s="1025"/>
      <c r="BO59229" s="43"/>
    </row>
    <row r="59230" spans="65:67" ht="18.75" customHeight="1">
      <c r="BM59230" s="1025"/>
      <c r="BO59230" s="43"/>
    </row>
    <row r="59231" spans="65:67" ht="18.75" customHeight="1">
      <c r="BM59231" s="1025"/>
      <c r="BO59231" s="43"/>
    </row>
    <row r="59232" spans="65:67" ht="18.75" customHeight="1">
      <c r="BM59232" s="1025"/>
      <c r="BO59232" s="43"/>
    </row>
    <row r="59233" spans="65:67" ht="18.75" customHeight="1">
      <c r="BM59233" s="1025"/>
      <c r="BO59233" s="43"/>
    </row>
    <row r="59234" spans="65:67" ht="18.75" customHeight="1">
      <c r="BM59234" s="1025"/>
      <c r="BO59234" s="43"/>
    </row>
    <row r="59235" spans="65:67" ht="18.75" customHeight="1">
      <c r="BM59235" s="1025"/>
      <c r="BO59235" s="43"/>
    </row>
    <row r="59236" spans="65:67" ht="18.75" customHeight="1">
      <c r="BM59236" s="1025"/>
      <c r="BO59236" s="43"/>
    </row>
    <row r="59237" spans="65:67" ht="18.75" customHeight="1">
      <c r="BM59237" s="1025"/>
      <c r="BO59237" s="43"/>
    </row>
    <row r="59238" spans="65:67" ht="18.75" customHeight="1">
      <c r="BM59238" s="1025"/>
      <c r="BO59238" s="43"/>
    </row>
    <row r="59239" spans="65:67" ht="18.75" customHeight="1">
      <c r="BM59239" s="1025"/>
      <c r="BO59239" s="43"/>
    </row>
    <row r="59240" spans="65:67" ht="18.75" customHeight="1">
      <c r="BM59240" s="1025"/>
      <c r="BO59240" s="43"/>
    </row>
    <row r="59241" spans="65:67" ht="18.75" customHeight="1">
      <c r="BM59241" s="1025"/>
      <c r="BO59241" s="43"/>
    </row>
    <row r="59242" spans="65:67" ht="18.75" customHeight="1">
      <c r="BM59242" s="1025"/>
      <c r="BO59242" s="43"/>
    </row>
    <row r="59243" spans="65:67" ht="18.75" customHeight="1">
      <c r="BM59243" s="1025"/>
      <c r="BO59243" s="43"/>
    </row>
    <row r="59244" spans="65:67" ht="18.75" customHeight="1">
      <c r="BM59244" s="1025"/>
      <c r="BO59244" s="43"/>
    </row>
    <row r="59245" spans="65:67" ht="18.75" customHeight="1">
      <c r="BM59245" s="1025"/>
      <c r="BO59245" s="43"/>
    </row>
    <row r="59246" spans="65:67" ht="18.75" customHeight="1">
      <c r="BM59246" s="1025"/>
      <c r="BO59246" s="43"/>
    </row>
    <row r="59247" spans="65:67" ht="18.75" customHeight="1">
      <c r="BM59247" s="1025"/>
      <c r="BO59247" s="43"/>
    </row>
    <row r="59248" spans="65:67" ht="18.75" customHeight="1">
      <c r="BM59248" s="1025"/>
      <c r="BO59248" s="43"/>
    </row>
    <row r="59249" spans="65:67" ht="18.75" customHeight="1">
      <c r="BM59249" s="1025"/>
      <c r="BO59249" s="43"/>
    </row>
    <row r="59250" spans="65:67" ht="18.75" customHeight="1">
      <c r="BM59250" s="1025"/>
      <c r="BO59250" s="43"/>
    </row>
    <row r="59251" spans="65:67" ht="18.75" customHeight="1">
      <c r="BM59251" s="1025"/>
      <c r="BO59251" s="43"/>
    </row>
    <row r="59252" spans="65:67" ht="18.75" customHeight="1">
      <c r="BM59252" s="1025"/>
      <c r="BO59252" s="43"/>
    </row>
    <row r="59253" spans="65:67" ht="18.75" customHeight="1">
      <c r="BM59253" s="1025"/>
      <c r="BO59253" s="43"/>
    </row>
    <row r="59254" spans="65:67" ht="18.75" customHeight="1">
      <c r="BM59254" s="1025"/>
      <c r="BO59254" s="43"/>
    </row>
    <row r="59255" spans="65:67" ht="18.75" customHeight="1">
      <c r="BM59255" s="1025"/>
      <c r="BO59255" s="43"/>
    </row>
    <row r="59256" spans="65:67" ht="18.75" customHeight="1">
      <c r="BM59256" s="1025"/>
      <c r="BO59256" s="43"/>
    </row>
    <row r="59257" spans="65:67" ht="18.75" customHeight="1">
      <c r="BM59257" s="1025"/>
      <c r="BO59257" s="43"/>
    </row>
    <row r="59258" spans="65:67" ht="18.75" customHeight="1">
      <c r="BM59258" s="1025"/>
      <c r="BO59258" s="43"/>
    </row>
    <row r="59259" spans="65:67" ht="18.75" customHeight="1">
      <c r="BM59259" s="1025"/>
      <c r="BO59259" s="43"/>
    </row>
    <row r="59260" spans="65:67" ht="18.75" customHeight="1">
      <c r="BM59260" s="1025"/>
      <c r="BO59260" s="43"/>
    </row>
    <row r="59261" spans="65:67" ht="18.75" customHeight="1">
      <c r="BM59261" s="1025"/>
      <c r="BO59261" s="43"/>
    </row>
    <row r="59262" spans="65:67" ht="18.75" customHeight="1">
      <c r="BM59262" s="1025"/>
      <c r="BO59262" s="43"/>
    </row>
    <row r="59263" spans="65:67" ht="18.75" customHeight="1">
      <c r="BM59263" s="1025"/>
      <c r="BO59263" s="43"/>
    </row>
    <row r="59264" spans="65:67" ht="18.75" customHeight="1">
      <c r="BM59264" s="1025"/>
      <c r="BO59264" s="43"/>
    </row>
    <row r="59265" spans="65:67" ht="18.75" customHeight="1">
      <c r="BM59265" s="1025"/>
      <c r="BO59265" s="43"/>
    </row>
    <row r="59266" spans="65:67" ht="18.75" customHeight="1">
      <c r="BM59266" s="1025"/>
      <c r="BO59266" s="43"/>
    </row>
    <row r="59267" spans="65:67" ht="18.75" customHeight="1">
      <c r="BM59267" s="1025"/>
      <c r="BO59267" s="43"/>
    </row>
    <row r="59268" spans="65:67" ht="18.75" customHeight="1">
      <c r="BM59268" s="1025"/>
      <c r="BO59268" s="43"/>
    </row>
    <row r="59269" spans="65:67" ht="18.75" customHeight="1">
      <c r="BM59269" s="1025"/>
      <c r="BO59269" s="43"/>
    </row>
    <row r="59270" spans="65:67" ht="18.75" customHeight="1">
      <c r="BM59270" s="1025"/>
      <c r="BO59270" s="43"/>
    </row>
    <row r="59271" spans="65:67" ht="18.75" customHeight="1">
      <c r="BM59271" s="1025"/>
      <c r="BO59271" s="43"/>
    </row>
    <row r="59272" spans="65:67" ht="18.75" customHeight="1">
      <c r="BM59272" s="1025"/>
      <c r="BO59272" s="43"/>
    </row>
    <row r="59273" spans="65:67" ht="18.75" customHeight="1">
      <c r="BM59273" s="1025"/>
      <c r="BO59273" s="43"/>
    </row>
    <row r="59274" spans="65:67" ht="18.75" customHeight="1">
      <c r="BM59274" s="1025"/>
      <c r="BO59274" s="43"/>
    </row>
    <row r="59275" spans="65:67" ht="18.75" customHeight="1">
      <c r="BM59275" s="1025"/>
      <c r="BO59275" s="43"/>
    </row>
    <row r="59276" spans="65:67" ht="18.75" customHeight="1">
      <c r="BM59276" s="1025"/>
      <c r="BO59276" s="43"/>
    </row>
    <row r="59277" spans="65:67" ht="18.75" customHeight="1">
      <c r="BM59277" s="1025"/>
      <c r="BO59277" s="43"/>
    </row>
    <row r="59278" spans="65:67" ht="18.75" customHeight="1">
      <c r="BM59278" s="1025"/>
      <c r="BO59278" s="43"/>
    </row>
    <row r="59279" spans="65:67" ht="18.75" customHeight="1">
      <c r="BM59279" s="1025"/>
      <c r="BO59279" s="43"/>
    </row>
    <row r="59280" spans="65:67" ht="18.75" customHeight="1">
      <c r="BM59280" s="1025"/>
      <c r="BO59280" s="43"/>
    </row>
    <row r="59281" spans="65:67" ht="18.75" customHeight="1">
      <c r="BM59281" s="1025"/>
      <c r="BO59281" s="43"/>
    </row>
    <row r="59282" spans="65:67" ht="18.75" customHeight="1">
      <c r="BM59282" s="1025"/>
      <c r="BO59282" s="43"/>
    </row>
    <row r="59283" spans="65:67" ht="18.75" customHeight="1">
      <c r="BM59283" s="1025"/>
      <c r="BO59283" s="43"/>
    </row>
    <row r="59284" spans="65:67" ht="18.75" customHeight="1">
      <c r="BM59284" s="1025"/>
      <c r="BO59284" s="43"/>
    </row>
    <row r="59285" spans="65:67" ht="18.75" customHeight="1">
      <c r="BM59285" s="1025"/>
      <c r="BO59285" s="43"/>
    </row>
    <row r="59286" spans="65:67" ht="18.75" customHeight="1">
      <c r="BM59286" s="1025"/>
      <c r="BO59286" s="43"/>
    </row>
    <row r="59287" spans="65:67" ht="18.75" customHeight="1">
      <c r="BM59287" s="1025"/>
      <c r="BO59287" s="43"/>
    </row>
    <row r="59288" spans="65:67" ht="18.75" customHeight="1">
      <c r="BM59288" s="1025"/>
      <c r="BO59288" s="43"/>
    </row>
    <row r="59289" spans="65:67" ht="18.75" customHeight="1">
      <c r="BM59289" s="1025"/>
      <c r="BO59289" s="43"/>
    </row>
    <row r="59290" spans="65:67" ht="18.75" customHeight="1">
      <c r="BM59290" s="1025"/>
      <c r="BO59290" s="43"/>
    </row>
    <row r="59291" spans="65:67" ht="18.75" customHeight="1">
      <c r="BM59291" s="1025"/>
      <c r="BO59291" s="43"/>
    </row>
    <row r="59292" spans="65:67" ht="18.75" customHeight="1">
      <c r="BM59292" s="1025"/>
      <c r="BO59292" s="43"/>
    </row>
    <row r="59293" spans="65:67" ht="18.75" customHeight="1">
      <c r="BM59293" s="1025"/>
      <c r="BO59293" s="43"/>
    </row>
    <row r="59294" spans="65:67" ht="18.75" customHeight="1">
      <c r="BM59294" s="1025"/>
      <c r="BO59294" s="43"/>
    </row>
    <row r="59295" spans="65:67" ht="18.75" customHeight="1">
      <c r="BM59295" s="1025"/>
      <c r="BO59295" s="43"/>
    </row>
    <row r="59296" spans="65:67" ht="18.75" customHeight="1">
      <c r="BM59296" s="1025"/>
      <c r="BO59296" s="43"/>
    </row>
    <row r="59297" spans="65:67" ht="18.75" customHeight="1">
      <c r="BM59297" s="1025"/>
      <c r="BO59297" s="43"/>
    </row>
    <row r="59298" spans="65:67" ht="18.75" customHeight="1">
      <c r="BM59298" s="1025"/>
      <c r="BO59298" s="43"/>
    </row>
    <row r="59299" spans="65:67" ht="18.75" customHeight="1">
      <c r="BM59299" s="1025"/>
      <c r="BO59299" s="43"/>
    </row>
    <row r="59300" spans="65:67" ht="18.75" customHeight="1">
      <c r="BM59300" s="1025"/>
      <c r="BO59300" s="43"/>
    </row>
    <row r="59301" spans="65:67" ht="18.75" customHeight="1">
      <c r="BM59301" s="1025"/>
      <c r="BO59301" s="43"/>
    </row>
    <row r="59302" spans="65:67" ht="18.75" customHeight="1">
      <c r="BM59302" s="1025"/>
      <c r="BO59302" s="43"/>
    </row>
    <row r="59303" spans="65:67" ht="18.75" customHeight="1">
      <c r="BM59303" s="1025"/>
      <c r="BO59303" s="43"/>
    </row>
    <row r="59304" spans="65:67" ht="18.75" customHeight="1">
      <c r="BM59304" s="1025"/>
      <c r="BO59304" s="43"/>
    </row>
    <row r="59305" spans="65:67" ht="18.75" customHeight="1">
      <c r="BM59305" s="1025"/>
      <c r="BO59305" s="43"/>
    </row>
    <row r="59306" spans="65:67" ht="18.75" customHeight="1">
      <c r="BM59306" s="1025"/>
      <c r="BO59306" s="43"/>
    </row>
    <row r="59307" spans="65:67" ht="18.75" customHeight="1">
      <c r="BM59307" s="1025"/>
      <c r="BO59307" s="43"/>
    </row>
    <row r="59308" spans="65:67" ht="18.75" customHeight="1">
      <c r="BM59308" s="1025"/>
      <c r="BO59308" s="43"/>
    </row>
    <row r="59309" spans="65:67" ht="18.75" customHeight="1">
      <c r="BM59309" s="1025"/>
      <c r="BO59309" s="43"/>
    </row>
    <row r="59310" spans="65:67" ht="18.75" customHeight="1">
      <c r="BM59310" s="1025"/>
      <c r="BO59310" s="43"/>
    </row>
    <row r="59311" spans="65:67" ht="18.75" customHeight="1">
      <c r="BM59311" s="1025"/>
      <c r="BO59311" s="43"/>
    </row>
    <row r="59312" spans="65:67" ht="18.75" customHeight="1">
      <c r="BM59312" s="1025"/>
      <c r="BO59312" s="43"/>
    </row>
    <row r="59313" spans="65:67" ht="18.75" customHeight="1">
      <c r="BM59313" s="1025"/>
      <c r="BO59313" s="43"/>
    </row>
    <row r="59314" spans="65:67" ht="18.75" customHeight="1">
      <c r="BM59314" s="1025"/>
      <c r="BO59314" s="43"/>
    </row>
    <row r="59315" spans="65:67" ht="18.75" customHeight="1">
      <c r="BM59315" s="1025"/>
      <c r="BO59315" s="43"/>
    </row>
    <row r="59316" spans="65:67" ht="18.75" customHeight="1">
      <c r="BM59316" s="1025"/>
      <c r="BO59316" s="43"/>
    </row>
    <row r="59317" spans="65:67" ht="18.75" customHeight="1">
      <c r="BM59317" s="1025"/>
      <c r="BO59317" s="43"/>
    </row>
    <row r="59318" spans="65:67" ht="18.75" customHeight="1">
      <c r="BM59318" s="1025"/>
      <c r="BO59318" s="43"/>
    </row>
    <row r="59319" spans="65:67" ht="18.75" customHeight="1">
      <c r="BM59319" s="1025"/>
      <c r="BO59319" s="43"/>
    </row>
    <row r="59320" spans="65:67" ht="18.75" customHeight="1">
      <c r="BM59320" s="1025"/>
      <c r="BO59320" s="43"/>
    </row>
    <row r="59321" spans="65:67" ht="18.75" customHeight="1">
      <c r="BM59321" s="1025"/>
      <c r="BO59321" s="43"/>
    </row>
    <row r="59322" spans="65:67" ht="18.75" customHeight="1">
      <c r="BM59322" s="1025"/>
      <c r="BO59322" s="43"/>
    </row>
    <row r="59323" spans="65:67" ht="18.75" customHeight="1">
      <c r="BM59323" s="1025"/>
      <c r="BO59323" s="43"/>
    </row>
    <row r="59324" spans="65:67" ht="18.75" customHeight="1">
      <c r="BM59324" s="1025"/>
      <c r="BO59324" s="43"/>
    </row>
    <row r="59325" spans="65:67" ht="18.75" customHeight="1">
      <c r="BM59325" s="1025"/>
      <c r="BO59325" s="43"/>
    </row>
    <row r="59326" spans="65:67" ht="18.75" customHeight="1">
      <c r="BM59326" s="1025"/>
      <c r="BO59326" s="43"/>
    </row>
    <row r="59327" spans="65:67" ht="18.75" customHeight="1">
      <c r="BM59327" s="1025"/>
      <c r="BO59327" s="43"/>
    </row>
    <row r="59328" spans="65:67" ht="18.75" customHeight="1">
      <c r="BM59328" s="1025"/>
      <c r="BO59328" s="43"/>
    </row>
    <row r="59329" spans="65:67" ht="18.75" customHeight="1">
      <c r="BM59329" s="1025"/>
      <c r="BO59329" s="43"/>
    </row>
    <row r="59330" spans="65:67" ht="18.75" customHeight="1">
      <c r="BM59330" s="1025"/>
      <c r="BO59330" s="43"/>
    </row>
    <row r="59331" spans="65:67" ht="18.75" customHeight="1">
      <c r="BM59331" s="1025"/>
      <c r="BO59331" s="43"/>
    </row>
    <row r="59332" spans="65:67" ht="18.75" customHeight="1">
      <c r="BM59332" s="1025"/>
      <c r="BO59332" s="43"/>
    </row>
    <row r="59333" spans="65:67" ht="18.75" customHeight="1">
      <c r="BM59333" s="1025"/>
      <c r="BO59333" s="43"/>
    </row>
    <row r="59334" spans="65:67" ht="18.75" customHeight="1">
      <c r="BM59334" s="1025"/>
      <c r="BO59334" s="43"/>
    </row>
    <row r="59335" spans="65:67" ht="18.75" customHeight="1">
      <c r="BM59335" s="1025"/>
      <c r="BO59335" s="43"/>
    </row>
    <row r="59336" spans="65:67" ht="18.75" customHeight="1">
      <c r="BM59336" s="1025"/>
      <c r="BO59336" s="43"/>
    </row>
    <row r="59337" spans="65:67" ht="18.75" customHeight="1">
      <c r="BM59337" s="1025"/>
      <c r="BO59337" s="43"/>
    </row>
    <row r="59338" spans="65:67" ht="18.75" customHeight="1">
      <c r="BM59338" s="1025"/>
      <c r="BO59338" s="43"/>
    </row>
    <row r="59339" spans="65:67" ht="18.75" customHeight="1">
      <c r="BM59339" s="1025"/>
      <c r="BO59339" s="43"/>
    </row>
    <row r="59340" spans="65:67" ht="18.75" customHeight="1">
      <c r="BM59340" s="1025"/>
      <c r="BO59340" s="43"/>
    </row>
    <row r="59341" spans="65:67" ht="18.75" customHeight="1">
      <c r="BM59341" s="1025"/>
      <c r="BO59341" s="43"/>
    </row>
    <row r="59342" spans="65:67" ht="18.75" customHeight="1">
      <c r="BM59342" s="1025"/>
      <c r="BO59342" s="43"/>
    </row>
    <row r="59343" spans="65:67" ht="18.75" customHeight="1">
      <c r="BM59343" s="1025"/>
      <c r="BO59343" s="43"/>
    </row>
    <row r="59344" spans="65:67" ht="18.75" customHeight="1">
      <c r="BM59344" s="1025"/>
      <c r="BO59344" s="43"/>
    </row>
    <row r="59345" spans="65:67" ht="18.75" customHeight="1">
      <c r="BM59345" s="1025"/>
      <c r="BO59345" s="43"/>
    </row>
    <row r="59346" spans="65:67" ht="18.75" customHeight="1">
      <c r="BM59346" s="1025"/>
      <c r="BO59346" s="43"/>
    </row>
    <row r="59347" spans="65:67" ht="18.75" customHeight="1">
      <c r="BM59347" s="1025"/>
      <c r="BO59347" s="43"/>
    </row>
    <row r="59348" spans="65:67" ht="18.75" customHeight="1">
      <c r="BM59348" s="1025"/>
      <c r="BO59348" s="43"/>
    </row>
    <row r="59349" spans="65:67" ht="18.75" customHeight="1">
      <c r="BM59349" s="1025"/>
      <c r="BO59349" s="43"/>
    </row>
    <row r="59350" spans="65:67" ht="18.75" customHeight="1">
      <c r="BM59350" s="1025"/>
      <c r="BO59350" s="43"/>
    </row>
    <row r="59351" spans="65:67" ht="18.75" customHeight="1">
      <c r="BM59351" s="1025"/>
      <c r="BO59351" s="43"/>
    </row>
    <row r="59352" spans="65:67" ht="18.75" customHeight="1">
      <c r="BM59352" s="1025"/>
      <c r="BO59352" s="43"/>
    </row>
    <row r="59353" spans="65:67" ht="18.75" customHeight="1">
      <c r="BM59353" s="1025"/>
      <c r="BO59353" s="43"/>
    </row>
    <row r="59354" spans="65:67" ht="18.75" customHeight="1">
      <c r="BM59354" s="1025"/>
      <c r="BO59354" s="43"/>
    </row>
    <row r="59355" spans="65:67" ht="18.75" customHeight="1">
      <c r="BM59355" s="1025"/>
      <c r="BO59355" s="43"/>
    </row>
    <row r="59356" spans="65:67" ht="18.75" customHeight="1">
      <c r="BM59356" s="1025"/>
      <c r="BO59356" s="43"/>
    </row>
    <row r="59357" spans="65:67" ht="18.75" customHeight="1">
      <c r="BM59357" s="1025"/>
      <c r="BO59357" s="43"/>
    </row>
    <row r="59358" spans="65:67" ht="18.75" customHeight="1">
      <c r="BM59358" s="1025"/>
      <c r="BO59358" s="43"/>
    </row>
    <row r="59359" spans="65:67" ht="18.75" customHeight="1">
      <c r="BM59359" s="1025"/>
      <c r="BO59359" s="43"/>
    </row>
    <row r="59360" spans="65:67" ht="18.75" customHeight="1">
      <c r="BM59360" s="1025"/>
      <c r="BO59360" s="43"/>
    </row>
    <row r="59361" spans="65:67" ht="18.75" customHeight="1">
      <c r="BM59361" s="1025"/>
      <c r="BO59361" s="43"/>
    </row>
    <row r="59362" spans="65:67" ht="18.75" customHeight="1">
      <c r="BM59362" s="1025"/>
      <c r="BO59362" s="43"/>
    </row>
    <row r="59363" spans="65:67" ht="18.75" customHeight="1">
      <c r="BM59363" s="1025"/>
      <c r="BO59363" s="43"/>
    </row>
    <row r="59364" spans="65:67" ht="18.75" customHeight="1">
      <c r="BM59364" s="1025"/>
      <c r="BO59364" s="43"/>
    </row>
    <row r="59365" spans="65:67" ht="18.75" customHeight="1">
      <c r="BM59365" s="1025"/>
      <c r="BO59365" s="43"/>
    </row>
    <row r="59366" spans="65:67" ht="18.75" customHeight="1">
      <c r="BM59366" s="1025"/>
      <c r="BO59366" s="43"/>
    </row>
    <row r="59367" spans="65:67" ht="18.75" customHeight="1">
      <c r="BM59367" s="1025"/>
      <c r="BO59367" s="43"/>
    </row>
    <row r="59368" spans="65:67" ht="18.75" customHeight="1">
      <c r="BM59368" s="1025"/>
      <c r="BO59368" s="43"/>
    </row>
    <row r="59369" spans="65:67" ht="18.75" customHeight="1">
      <c r="BM59369" s="1025"/>
      <c r="BO59369" s="43"/>
    </row>
    <row r="59370" spans="65:67" ht="18.75" customHeight="1">
      <c r="BM59370" s="1025"/>
      <c r="BO59370" s="43"/>
    </row>
    <row r="59371" spans="65:67" ht="18.75" customHeight="1">
      <c r="BM59371" s="1025"/>
      <c r="BO59371" s="43"/>
    </row>
    <row r="59372" spans="65:67" ht="18.75" customHeight="1">
      <c r="BM59372" s="1025"/>
      <c r="BO59372" s="43"/>
    </row>
    <row r="59373" spans="65:67" ht="18.75" customHeight="1">
      <c r="BM59373" s="1025"/>
      <c r="BO59373" s="43"/>
    </row>
    <row r="59374" spans="65:67" ht="18.75" customHeight="1">
      <c r="BM59374" s="1025"/>
      <c r="BO59374" s="43"/>
    </row>
    <row r="59375" spans="65:67" ht="18.75" customHeight="1">
      <c r="BM59375" s="1025"/>
      <c r="BO59375" s="43"/>
    </row>
    <row r="59376" spans="65:67" ht="18.75" customHeight="1">
      <c r="BM59376" s="1025"/>
      <c r="BO59376" s="43"/>
    </row>
    <row r="59377" spans="65:67" ht="18.75" customHeight="1">
      <c r="BM59377" s="1025"/>
      <c r="BO59377" s="43"/>
    </row>
    <row r="59378" spans="65:67" ht="18.75" customHeight="1">
      <c r="BM59378" s="1025"/>
      <c r="BO59378" s="43"/>
    </row>
    <row r="59379" spans="65:67" ht="18.75" customHeight="1">
      <c r="BM59379" s="1025"/>
      <c r="BO59379" s="43"/>
    </row>
    <row r="59380" spans="65:67" ht="18.75" customHeight="1">
      <c r="BM59380" s="1025"/>
      <c r="BO59380" s="43"/>
    </row>
    <row r="59381" spans="65:67" ht="18.75" customHeight="1">
      <c r="BM59381" s="1025"/>
      <c r="BO59381" s="43"/>
    </row>
    <row r="59382" spans="65:67" ht="18.75" customHeight="1">
      <c r="BM59382" s="1025"/>
      <c r="BO59382" s="43"/>
    </row>
    <row r="59383" spans="65:67" ht="18.75" customHeight="1">
      <c r="BM59383" s="1025"/>
      <c r="BO59383" s="43"/>
    </row>
    <row r="59384" spans="65:67" ht="18.75" customHeight="1">
      <c r="BM59384" s="1025"/>
      <c r="BO59384" s="43"/>
    </row>
    <row r="59385" spans="65:67" ht="18.75" customHeight="1">
      <c r="BM59385" s="1025"/>
      <c r="BO59385" s="43"/>
    </row>
    <row r="59386" spans="65:67" ht="18.75" customHeight="1">
      <c r="BM59386" s="1025"/>
      <c r="BO59386" s="43"/>
    </row>
    <row r="59387" spans="65:67" ht="18.75" customHeight="1">
      <c r="BM59387" s="1025"/>
      <c r="BO59387" s="43"/>
    </row>
    <row r="59388" spans="65:67" ht="18.75" customHeight="1">
      <c r="BM59388" s="1025"/>
      <c r="BO59388" s="43"/>
    </row>
    <row r="59389" spans="65:67" ht="18.75" customHeight="1">
      <c r="BM59389" s="1025"/>
      <c r="BO59389" s="43"/>
    </row>
    <row r="59390" spans="65:67" ht="18.75" customHeight="1">
      <c r="BM59390" s="1025"/>
      <c r="BO59390" s="43"/>
    </row>
    <row r="59391" spans="65:67" ht="18.75" customHeight="1">
      <c r="BM59391" s="1025"/>
      <c r="BO59391" s="43"/>
    </row>
    <row r="59392" spans="65:67" ht="18.75" customHeight="1">
      <c r="BM59392" s="1025"/>
      <c r="BO59392" s="43"/>
    </row>
    <row r="59393" spans="65:67" ht="18.75" customHeight="1">
      <c r="BM59393" s="1025"/>
      <c r="BO59393" s="43"/>
    </row>
    <row r="59394" spans="65:67" ht="18.75" customHeight="1">
      <c r="BM59394" s="1025"/>
      <c r="BO59394" s="43"/>
    </row>
    <row r="59395" spans="65:67" ht="18.75" customHeight="1">
      <c r="BM59395" s="1025"/>
      <c r="BO59395" s="43"/>
    </row>
    <row r="59396" spans="65:67" ht="18.75" customHeight="1">
      <c r="BM59396" s="1025"/>
      <c r="BO59396" s="43"/>
    </row>
    <row r="59397" spans="65:67" ht="18.75" customHeight="1">
      <c r="BM59397" s="1025"/>
      <c r="BO59397" s="43"/>
    </row>
    <row r="59398" spans="65:67" ht="18.75" customHeight="1">
      <c r="BM59398" s="1025"/>
      <c r="BO59398" s="43"/>
    </row>
    <row r="59399" spans="65:67" ht="18.75" customHeight="1">
      <c r="BM59399" s="1025"/>
      <c r="BO59399" s="43"/>
    </row>
    <row r="59400" spans="65:67" ht="18.75" customHeight="1">
      <c r="BM59400" s="1025"/>
      <c r="BO59400" s="43"/>
    </row>
    <row r="59401" spans="65:67" ht="18.75" customHeight="1">
      <c r="BM59401" s="1025"/>
      <c r="BO59401" s="43"/>
    </row>
    <row r="59402" spans="65:67" ht="18.75" customHeight="1">
      <c r="BM59402" s="1025"/>
      <c r="BO59402" s="43"/>
    </row>
    <row r="59403" spans="65:67" ht="18.75" customHeight="1">
      <c r="BM59403" s="1025"/>
      <c r="BO59403" s="43"/>
    </row>
    <row r="59404" spans="65:67" ht="18.75" customHeight="1">
      <c r="BM59404" s="1025"/>
      <c r="BO59404" s="43"/>
    </row>
    <row r="59405" spans="65:67" ht="18.75" customHeight="1">
      <c r="BM59405" s="1025"/>
      <c r="BO59405" s="43"/>
    </row>
    <row r="59406" spans="65:67" ht="18.75" customHeight="1">
      <c r="BM59406" s="1025"/>
      <c r="BO59406" s="43"/>
    </row>
    <row r="59407" spans="65:67" ht="18.75" customHeight="1">
      <c r="BM59407" s="1025"/>
      <c r="BO59407" s="43"/>
    </row>
    <row r="59408" spans="65:67" ht="18.75" customHeight="1">
      <c r="BM59408" s="1025"/>
      <c r="BO59408" s="43"/>
    </row>
    <row r="59409" spans="65:67" ht="18.75" customHeight="1">
      <c r="BM59409" s="1025"/>
      <c r="BO59409" s="43"/>
    </row>
    <row r="59410" spans="65:67" ht="18.75" customHeight="1">
      <c r="BM59410" s="1025"/>
      <c r="BO59410" s="43"/>
    </row>
    <row r="59411" spans="65:67" ht="18.75" customHeight="1">
      <c r="BM59411" s="1025"/>
      <c r="BO59411" s="43"/>
    </row>
    <row r="59412" spans="65:67" ht="18.75" customHeight="1">
      <c r="BM59412" s="1025"/>
      <c r="BO59412" s="43"/>
    </row>
    <row r="59413" spans="65:67" ht="18.75" customHeight="1">
      <c r="BM59413" s="1025"/>
      <c r="BO59413" s="43"/>
    </row>
    <row r="59414" spans="65:67" ht="18.75" customHeight="1">
      <c r="BM59414" s="1025"/>
      <c r="BO59414" s="43"/>
    </row>
    <row r="59415" spans="65:67" ht="18.75" customHeight="1">
      <c r="BM59415" s="1025"/>
      <c r="BO59415" s="43"/>
    </row>
    <row r="59416" spans="65:67" ht="18.75" customHeight="1">
      <c r="BM59416" s="1025"/>
      <c r="BO59416" s="43"/>
    </row>
    <row r="59417" spans="65:67" ht="18.75" customHeight="1">
      <c r="BM59417" s="1025"/>
      <c r="BO59417" s="43"/>
    </row>
    <row r="59418" spans="65:67" ht="18.75" customHeight="1">
      <c r="BM59418" s="1025"/>
      <c r="BO59418" s="43"/>
    </row>
    <row r="59419" spans="65:67" ht="18.75" customHeight="1">
      <c r="BM59419" s="1025"/>
      <c r="BO59419" s="43"/>
    </row>
    <row r="59420" spans="65:67" ht="18.75" customHeight="1">
      <c r="BM59420" s="1025"/>
      <c r="BO59420" s="43"/>
    </row>
    <row r="59421" spans="65:67" ht="18.75" customHeight="1">
      <c r="BM59421" s="1025"/>
      <c r="BO59421" s="43"/>
    </row>
    <row r="59422" spans="65:67" ht="18.75" customHeight="1">
      <c r="BM59422" s="1025"/>
      <c r="BO59422" s="43"/>
    </row>
    <row r="59423" spans="65:67" ht="18.75" customHeight="1">
      <c r="BM59423" s="1025"/>
      <c r="BO59423" s="43"/>
    </row>
    <row r="59424" spans="65:67" ht="18.75" customHeight="1">
      <c r="BM59424" s="1025"/>
      <c r="BO59424" s="43"/>
    </row>
    <row r="59425" spans="65:67" ht="18.75" customHeight="1">
      <c r="BM59425" s="1025"/>
      <c r="BO59425" s="43"/>
    </row>
    <row r="59426" spans="65:67" ht="18.75" customHeight="1">
      <c r="BM59426" s="1025"/>
      <c r="BO59426" s="43"/>
    </row>
    <row r="59427" spans="65:67" ht="18.75" customHeight="1">
      <c r="BM59427" s="1025"/>
      <c r="BO59427" s="43"/>
    </row>
    <row r="59428" spans="65:67" ht="18.75" customHeight="1">
      <c r="BM59428" s="1025"/>
      <c r="BO59428" s="43"/>
    </row>
    <row r="59429" spans="65:67" ht="18.75" customHeight="1">
      <c r="BM59429" s="1025"/>
      <c r="BO59429" s="43"/>
    </row>
    <row r="59430" spans="65:67" ht="18.75" customHeight="1">
      <c r="BM59430" s="1025"/>
      <c r="BO59430" s="43"/>
    </row>
    <row r="59431" spans="65:67" ht="18.75" customHeight="1">
      <c r="BM59431" s="1025"/>
      <c r="BO59431" s="43"/>
    </row>
    <row r="59432" spans="65:67" ht="18.75" customHeight="1">
      <c r="BM59432" s="1025"/>
      <c r="BO59432" s="43"/>
    </row>
    <row r="59433" spans="65:67" ht="18.75" customHeight="1">
      <c r="BM59433" s="1025"/>
      <c r="BO59433" s="43"/>
    </row>
    <row r="59434" spans="65:67" ht="18.75" customHeight="1">
      <c r="BM59434" s="1025"/>
      <c r="BO59434" s="43"/>
    </row>
    <row r="59435" spans="65:67" ht="18.75" customHeight="1">
      <c r="BM59435" s="1025"/>
      <c r="BO59435" s="43"/>
    </row>
    <row r="59436" spans="65:67" ht="18.75" customHeight="1">
      <c r="BM59436" s="1025"/>
      <c r="BO59436" s="43"/>
    </row>
    <row r="59437" spans="65:67" ht="18.75" customHeight="1">
      <c r="BM59437" s="1025"/>
      <c r="BO59437" s="43"/>
    </row>
    <row r="59438" spans="65:67" ht="18.75" customHeight="1">
      <c r="BM59438" s="1025"/>
      <c r="BO59438" s="43"/>
    </row>
    <row r="59439" spans="65:67" ht="18.75" customHeight="1">
      <c r="BM59439" s="1025"/>
      <c r="BO59439" s="43"/>
    </row>
    <row r="59440" spans="65:67" ht="18.75" customHeight="1">
      <c r="BM59440" s="1025"/>
      <c r="BO59440" s="43"/>
    </row>
    <row r="59441" spans="65:67" ht="18.75" customHeight="1">
      <c r="BM59441" s="1025"/>
      <c r="BO59441" s="43"/>
    </row>
    <row r="59442" spans="65:67" ht="18.75" customHeight="1">
      <c r="BM59442" s="1025"/>
      <c r="BO59442" s="43"/>
    </row>
    <row r="59443" spans="65:67" ht="18.75" customHeight="1">
      <c r="BM59443" s="1025"/>
      <c r="BO59443" s="43"/>
    </row>
    <row r="59444" spans="65:67" ht="18.75" customHeight="1">
      <c r="BM59444" s="1025"/>
      <c r="BO59444" s="43"/>
    </row>
    <row r="59445" spans="65:67" ht="18.75" customHeight="1">
      <c r="BM59445" s="1025"/>
      <c r="BO59445" s="43"/>
    </row>
    <row r="59446" spans="65:67" ht="18.75" customHeight="1">
      <c r="BM59446" s="1025"/>
      <c r="BO59446" s="43"/>
    </row>
    <row r="59447" spans="65:67" ht="18.75" customHeight="1">
      <c r="BM59447" s="1025"/>
      <c r="BO59447" s="43"/>
    </row>
    <row r="59448" spans="65:67" ht="18.75" customHeight="1">
      <c r="BM59448" s="1025"/>
      <c r="BO59448" s="43"/>
    </row>
    <row r="59449" spans="65:67" ht="18.75" customHeight="1">
      <c r="BM59449" s="1025"/>
      <c r="BO59449" s="43"/>
    </row>
    <row r="59450" spans="65:67" ht="18.75" customHeight="1">
      <c r="BM59450" s="1025"/>
      <c r="BO59450" s="43"/>
    </row>
    <row r="59451" spans="65:67" ht="18.75" customHeight="1">
      <c r="BM59451" s="1025"/>
      <c r="BO59451" s="43"/>
    </row>
    <row r="59452" spans="65:67" ht="18.75" customHeight="1">
      <c r="BM59452" s="1025"/>
      <c r="BO59452" s="43"/>
    </row>
    <row r="59453" spans="65:67" ht="18.75" customHeight="1">
      <c r="BM59453" s="1025"/>
      <c r="BO59453" s="43"/>
    </row>
    <row r="59454" spans="65:67" ht="18.75" customHeight="1">
      <c r="BM59454" s="1025"/>
      <c r="BO59454" s="43"/>
    </row>
    <row r="59455" spans="65:67" ht="18.75" customHeight="1">
      <c r="BM59455" s="1025"/>
      <c r="BO59455" s="43"/>
    </row>
    <row r="59456" spans="65:67" ht="18.75" customHeight="1">
      <c r="BM59456" s="1025"/>
      <c r="BO59456" s="43"/>
    </row>
    <row r="59457" spans="65:67" ht="18.75" customHeight="1">
      <c r="BM59457" s="1025"/>
      <c r="BO59457" s="43"/>
    </row>
    <row r="59458" spans="65:67" ht="18.75" customHeight="1">
      <c r="BM59458" s="1025"/>
      <c r="BO59458" s="43"/>
    </row>
    <row r="59459" spans="65:67" ht="18.75" customHeight="1">
      <c r="BM59459" s="1025"/>
      <c r="BO59459" s="43"/>
    </row>
    <row r="59460" spans="65:67" ht="18.75" customHeight="1">
      <c r="BM59460" s="1025"/>
      <c r="BO59460" s="43"/>
    </row>
    <row r="59461" spans="65:67" ht="18.75" customHeight="1">
      <c r="BM59461" s="1025"/>
      <c r="BO59461" s="43"/>
    </row>
    <row r="59462" spans="65:67" ht="18.75" customHeight="1">
      <c r="BM59462" s="1025"/>
      <c r="BO59462" s="43"/>
    </row>
    <row r="59463" spans="65:67" ht="18.75" customHeight="1">
      <c r="BM59463" s="1025"/>
      <c r="BO59463" s="43"/>
    </row>
    <row r="59464" spans="65:67" ht="18.75" customHeight="1">
      <c r="BM59464" s="1025"/>
      <c r="BO59464" s="43"/>
    </row>
    <row r="59465" spans="65:67" ht="18.75" customHeight="1">
      <c r="BM59465" s="1025"/>
      <c r="BO59465" s="43"/>
    </row>
    <row r="59466" spans="65:67" ht="18.75" customHeight="1">
      <c r="BM59466" s="1025"/>
      <c r="BO59466" s="43"/>
    </row>
    <row r="59467" spans="65:67" ht="18.75" customHeight="1">
      <c r="BM59467" s="1025"/>
      <c r="BO59467" s="43"/>
    </row>
    <row r="59468" spans="65:67" ht="18.75" customHeight="1">
      <c r="BM59468" s="1025"/>
      <c r="BO59468" s="43"/>
    </row>
    <row r="59469" spans="65:67" ht="18.75" customHeight="1">
      <c r="BM59469" s="1025"/>
      <c r="BO59469" s="43"/>
    </row>
    <row r="59470" spans="65:67" ht="18.75" customHeight="1">
      <c r="BM59470" s="1025"/>
      <c r="BO59470" s="43"/>
    </row>
    <row r="59471" spans="65:67" ht="18.75" customHeight="1">
      <c r="BM59471" s="1025"/>
      <c r="BO59471" s="43"/>
    </row>
    <row r="59472" spans="65:67" ht="18.75" customHeight="1">
      <c r="BM59472" s="1025"/>
      <c r="BO59472" s="43"/>
    </row>
    <row r="59473" spans="65:67" ht="18.75" customHeight="1">
      <c r="BM59473" s="1025"/>
      <c r="BO59473" s="43"/>
    </row>
    <row r="59474" spans="65:67" ht="18.75" customHeight="1">
      <c r="BM59474" s="1025"/>
      <c r="BO59474" s="43"/>
    </row>
    <row r="59475" spans="65:67" ht="18.75" customHeight="1">
      <c r="BM59475" s="1025"/>
      <c r="BO59475" s="43"/>
    </row>
    <row r="59476" spans="65:67" ht="18.75" customHeight="1">
      <c r="BM59476" s="1025"/>
      <c r="BO59476" s="43"/>
    </row>
    <row r="59477" spans="65:67" ht="18.75" customHeight="1">
      <c r="BM59477" s="1025"/>
      <c r="BO59477" s="43"/>
    </row>
    <row r="59478" spans="65:67" ht="18.75" customHeight="1">
      <c r="BM59478" s="1025"/>
      <c r="BO59478" s="43"/>
    </row>
    <row r="59479" spans="65:67" ht="18.75" customHeight="1">
      <c r="BM59479" s="1025"/>
      <c r="BO59479" s="43"/>
    </row>
    <row r="59480" spans="65:67" ht="18.75" customHeight="1">
      <c r="BM59480" s="1025"/>
      <c r="BO59480" s="43"/>
    </row>
    <row r="59481" spans="65:67" ht="18.75" customHeight="1">
      <c r="BM59481" s="1025"/>
      <c r="BO59481" s="43"/>
    </row>
    <row r="59482" spans="65:67" ht="18.75" customHeight="1">
      <c r="BM59482" s="1025"/>
      <c r="BO59482" s="43"/>
    </row>
    <row r="59483" spans="65:67" ht="18.75" customHeight="1">
      <c r="BM59483" s="1025"/>
      <c r="BO59483" s="43"/>
    </row>
    <row r="59484" spans="65:67" ht="18.75" customHeight="1">
      <c r="BM59484" s="1025"/>
      <c r="BO59484" s="43"/>
    </row>
    <row r="59485" spans="65:67" ht="18.75" customHeight="1">
      <c r="BM59485" s="1025"/>
      <c r="BO59485" s="43"/>
    </row>
    <row r="59486" spans="65:67" ht="18.75" customHeight="1">
      <c r="BM59486" s="1025"/>
      <c r="BO59486" s="43"/>
    </row>
    <row r="59487" spans="65:67" ht="18.75" customHeight="1">
      <c r="BM59487" s="1025"/>
      <c r="BO59487" s="43"/>
    </row>
    <row r="59488" spans="65:67" ht="18.75" customHeight="1">
      <c r="BM59488" s="1025"/>
      <c r="BO59488" s="43"/>
    </row>
    <row r="59489" spans="65:67" ht="18.75" customHeight="1">
      <c r="BM59489" s="1025"/>
      <c r="BO59489" s="43"/>
    </row>
    <row r="59490" spans="65:67" ht="18.75" customHeight="1">
      <c r="BM59490" s="1025"/>
      <c r="BO59490" s="43"/>
    </row>
    <row r="59491" spans="65:67" ht="18.75" customHeight="1">
      <c r="BM59491" s="1025"/>
      <c r="BO59491" s="43"/>
    </row>
    <row r="59492" spans="65:67" ht="18.75" customHeight="1">
      <c r="BM59492" s="1025"/>
      <c r="BO59492" s="43"/>
    </row>
    <row r="59493" spans="65:67" ht="18.75" customHeight="1">
      <c r="BM59493" s="1025"/>
      <c r="BO59493" s="43"/>
    </row>
    <row r="59494" spans="65:67" ht="18.75" customHeight="1">
      <c r="BM59494" s="1025"/>
      <c r="BO59494" s="43"/>
    </row>
    <row r="59495" spans="65:67" ht="18.75" customHeight="1">
      <c r="BM59495" s="1025"/>
      <c r="BO59495" s="43"/>
    </row>
    <row r="59496" spans="65:67" ht="18.75" customHeight="1">
      <c r="BM59496" s="1025"/>
      <c r="BO59496" s="43"/>
    </row>
    <row r="59497" spans="65:67" ht="18.75" customHeight="1">
      <c r="BM59497" s="1025"/>
      <c r="BO59497" s="43"/>
    </row>
    <row r="59498" spans="65:67" ht="18.75" customHeight="1">
      <c r="BM59498" s="1025"/>
      <c r="BO59498" s="43"/>
    </row>
    <row r="59499" spans="65:67" ht="18.75" customHeight="1">
      <c r="BM59499" s="1025"/>
      <c r="BO59499" s="43"/>
    </row>
    <row r="59500" spans="65:67" ht="18.75" customHeight="1">
      <c r="BM59500" s="1025"/>
      <c r="BO59500" s="43"/>
    </row>
    <row r="59501" spans="65:67" ht="18.75" customHeight="1">
      <c r="BM59501" s="1025"/>
      <c r="BO59501" s="43"/>
    </row>
    <row r="59502" spans="65:67" ht="18.75" customHeight="1">
      <c r="BM59502" s="1025"/>
      <c r="BO59502" s="43"/>
    </row>
    <row r="59503" spans="65:67" ht="18.75" customHeight="1">
      <c r="BM59503" s="1025"/>
      <c r="BO59503" s="43"/>
    </row>
    <row r="59504" spans="65:67" ht="18.75" customHeight="1">
      <c r="BM59504" s="1025"/>
      <c r="BO59504" s="43"/>
    </row>
    <row r="59505" spans="65:67" ht="18.75" customHeight="1">
      <c r="BM59505" s="1025"/>
      <c r="BO59505" s="43"/>
    </row>
    <row r="59506" spans="65:67" ht="18.75" customHeight="1">
      <c r="BM59506" s="1025"/>
      <c r="BO59506" s="43"/>
    </row>
    <row r="59507" spans="65:67" ht="18.75" customHeight="1">
      <c r="BM59507" s="1025"/>
      <c r="BO59507" s="43"/>
    </row>
    <row r="59508" spans="65:67" ht="18.75" customHeight="1">
      <c r="BM59508" s="1025"/>
      <c r="BO59508" s="43"/>
    </row>
    <row r="59509" spans="65:67" ht="18.75" customHeight="1">
      <c r="BM59509" s="1025"/>
      <c r="BO59509" s="43"/>
    </row>
    <row r="59510" spans="65:67" ht="18.75" customHeight="1">
      <c r="BM59510" s="1025"/>
      <c r="BO59510" s="43"/>
    </row>
    <row r="59511" spans="65:67" ht="18.75" customHeight="1">
      <c r="BM59511" s="1025"/>
      <c r="BO59511" s="43"/>
    </row>
    <row r="59512" spans="65:67" ht="18.75" customHeight="1">
      <c r="BM59512" s="1025"/>
      <c r="BO59512" s="43"/>
    </row>
    <row r="59513" spans="65:67" ht="18.75" customHeight="1">
      <c r="BM59513" s="1025"/>
      <c r="BO59513" s="43"/>
    </row>
    <row r="59514" spans="65:67" ht="18.75" customHeight="1">
      <c r="BM59514" s="1025"/>
      <c r="BO59514" s="43"/>
    </row>
    <row r="59515" spans="65:67" ht="18.75" customHeight="1">
      <c r="BM59515" s="1025"/>
      <c r="BO59515" s="43"/>
    </row>
    <row r="59516" spans="65:67" ht="18.75" customHeight="1">
      <c r="BM59516" s="1025"/>
      <c r="BO59516" s="43"/>
    </row>
    <row r="59517" spans="65:67" ht="18.75" customHeight="1">
      <c r="BM59517" s="1025"/>
      <c r="BO59517" s="43"/>
    </row>
    <row r="59518" spans="65:67" ht="18.75" customHeight="1">
      <c r="BM59518" s="1025"/>
      <c r="BO59518" s="43"/>
    </row>
    <row r="59519" spans="65:67" ht="18.75" customHeight="1">
      <c r="BM59519" s="1025"/>
      <c r="BO59519" s="43"/>
    </row>
    <row r="59520" spans="65:67" ht="18.75" customHeight="1">
      <c r="BM59520" s="1025"/>
      <c r="BO59520" s="43"/>
    </row>
    <row r="59521" spans="65:67" ht="18.75" customHeight="1">
      <c r="BM59521" s="1025"/>
      <c r="BO59521" s="43"/>
    </row>
    <row r="59522" spans="65:67" ht="18.75" customHeight="1">
      <c r="BM59522" s="1025"/>
      <c r="BO59522" s="43"/>
    </row>
    <row r="59523" spans="65:67" ht="18.75" customHeight="1">
      <c r="BM59523" s="1025"/>
      <c r="BO59523" s="43"/>
    </row>
    <row r="59524" spans="65:67" ht="18.75" customHeight="1">
      <c r="BM59524" s="1025"/>
      <c r="BO59524" s="43"/>
    </row>
    <row r="59525" spans="65:67" ht="18.75" customHeight="1">
      <c r="BM59525" s="1025"/>
      <c r="BO59525" s="43"/>
    </row>
    <row r="59526" spans="65:67" ht="18.75" customHeight="1">
      <c r="BM59526" s="1025"/>
      <c r="BO59526" s="43"/>
    </row>
    <row r="59527" spans="65:67" ht="18.75" customHeight="1">
      <c r="BM59527" s="1025"/>
      <c r="BO59527" s="43"/>
    </row>
    <row r="59528" spans="65:67" ht="18.75" customHeight="1">
      <c r="BM59528" s="1025"/>
      <c r="BO59528" s="43"/>
    </row>
    <row r="59529" spans="65:67" ht="18.75" customHeight="1">
      <c r="BM59529" s="1025"/>
      <c r="BO59529" s="43"/>
    </row>
    <row r="59530" spans="65:67" ht="18.75" customHeight="1">
      <c r="BM59530" s="1025"/>
      <c r="BO59530" s="43"/>
    </row>
    <row r="59531" spans="65:67" ht="18.75" customHeight="1">
      <c r="BM59531" s="1025"/>
      <c r="BO59531" s="43"/>
    </row>
    <row r="59532" spans="65:67" ht="18.75" customHeight="1">
      <c r="BM59532" s="1025"/>
      <c r="BO59532" s="43"/>
    </row>
    <row r="59533" spans="65:67" ht="18.75" customHeight="1">
      <c r="BM59533" s="1025"/>
      <c r="BO59533" s="43"/>
    </row>
    <row r="59534" spans="65:67" ht="18.75" customHeight="1">
      <c r="BM59534" s="1025"/>
      <c r="BO59534" s="43"/>
    </row>
    <row r="59535" spans="65:67" ht="18.75" customHeight="1">
      <c r="BM59535" s="1025"/>
      <c r="BO59535" s="43"/>
    </row>
    <row r="59536" spans="65:67" ht="18.75" customHeight="1">
      <c r="BM59536" s="1025"/>
      <c r="BO59536" s="43"/>
    </row>
    <row r="59537" spans="65:67" ht="18.75" customHeight="1">
      <c r="BM59537" s="1025"/>
      <c r="BO59537" s="43"/>
    </row>
    <row r="59538" spans="65:67" ht="18.75" customHeight="1">
      <c r="BM59538" s="1025"/>
      <c r="BO59538" s="43"/>
    </row>
    <row r="59539" spans="65:67" ht="18.75" customHeight="1">
      <c r="BM59539" s="1025"/>
      <c r="BO59539" s="43"/>
    </row>
    <row r="59540" spans="65:67" ht="18.75" customHeight="1">
      <c r="BM59540" s="1025"/>
      <c r="BO59540" s="43"/>
    </row>
    <row r="59541" spans="65:67" ht="18.75" customHeight="1">
      <c r="BM59541" s="1025"/>
      <c r="BO59541" s="43"/>
    </row>
    <row r="59542" spans="65:67" ht="18.75" customHeight="1">
      <c r="BM59542" s="1025"/>
      <c r="BO59542" s="43"/>
    </row>
    <row r="59543" spans="65:67" ht="18.75" customHeight="1">
      <c r="BM59543" s="1025"/>
      <c r="BO59543" s="43"/>
    </row>
    <row r="59544" spans="65:67" ht="18.75" customHeight="1">
      <c r="BM59544" s="1025"/>
      <c r="BO59544" s="43"/>
    </row>
    <row r="59545" spans="65:67" ht="18.75" customHeight="1">
      <c r="BM59545" s="1025"/>
      <c r="BO59545" s="43"/>
    </row>
    <row r="59546" spans="65:67" ht="18.75" customHeight="1">
      <c r="BM59546" s="1025"/>
      <c r="BO59546" s="43"/>
    </row>
    <row r="59547" spans="65:67" ht="18.75" customHeight="1">
      <c r="BM59547" s="1025"/>
      <c r="BO59547" s="43"/>
    </row>
    <row r="59548" spans="65:67" ht="18.75" customHeight="1">
      <c r="BM59548" s="1025"/>
      <c r="BO59548" s="43"/>
    </row>
    <row r="59549" spans="65:67" ht="18.75" customHeight="1">
      <c r="BM59549" s="1025"/>
      <c r="BO59549" s="43"/>
    </row>
    <row r="59550" spans="65:67" ht="18.75" customHeight="1">
      <c r="BM59550" s="1025"/>
      <c r="BO59550" s="43"/>
    </row>
    <row r="59551" spans="65:67" ht="18.75" customHeight="1">
      <c r="BM59551" s="1025"/>
      <c r="BO59551" s="43"/>
    </row>
    <row r="59552" spans="65:67" ht="18.75" customHeight="1">
      <c r="BM59552" s="1025"/>
      <c r="BO59552" s="43"/>
    </row>
    <row r="59553" spans="65:67" ht="18.75" customHeight="1">
      <c r="BM59553" s="1025"/>
      <c r="BO59553" s="43"/>
    </row>
    <row r="59554" spans="65:67" ht="18.75" customHeight="1">
      <c r="BM59554" s="1025"/>
      <c r="BO59554" s="43"/>
    </row>
    <row r="59555" spans="65:67" ht="18.75" customHeight="1">
      <c r="BM59555" s="1025"/>
      <c r="BO59555" s="43"/>
    </row>
    <row r="59556" spans="65:67" ht="18.75" customHeight="1">
      <c r="BM59556" s="1025"/>
      <c r="BO59556" s="43"/>
    </row>
    <row r="59557" spans="65:67" ht="18.75" customHeight="1">
      <c r="BM59557" s="1025"/>
      <c r="BO59557" s="43"/>
    </row>
    <row r="59558" spans="65:67" ht="18.75" customHeight="1">
      <c r="BM59558" s="1025"/>
      <c r="BO59558" s="43"/>
    </row>
    <row r="59559" spans="65:67" ht="18.75" customHeight="1">
      <c r="BM59559" s="1025"/>
      <c r="BO59559" s="43"/>
    </row>
    <row r="59560" spans="65:67" ht="18.75" customHeight="1">
      <c r="BM59560" s="1025"/>
      <c r="BO59560" s="43"/>
    </row>
    <row r="59561" spans="65:67" ht="18.75" customHeight="1">
      <c r="BM59561" s="1025"/>
      <c r="BO59561" s="43"/>
    </row>
    <row r="59562" spans="65:67" ht="18.75" customHeight="1">
      <c r="BM59562" s="1025"/>
      <c r="BO59562" s="43"/>
    </row>
    <row r="59563" spans="65:67" ht="18.75" customHeight="1">
      <c r="BM59563" s="1025"/>
      <c r="BO59563" s="43"/>
    </row>
    <row r="59564" spans="65:67" ht="18.75" customHeight="1">
      <c r="BM59564" s="1025"/>
      <c r="BO59564" s="43"/>
    </row>
    <row r="59565" spans="65:67" ht="18.75" customHeight="1">
      <c r="BM59565" s="1025"/>
      <c r="BO59565" s="43"/>
    </row>
    <row r="59566" spans="65:67" ht="18.75" customHeight="1">
      <c r="BM59566" s="1025"/>
      <c r="BO59566" s="43"/>
    </row>
    <row r="59567" spans="65:67" ht="18.75" customHeight="1">
      <c r="BM59567" s="1025"/>
      <c r="BO59567" s="43"/>
    </row>
    <row r="59568" spans="65:67" ht="18.75" customHeight="1">
      <c r="BM59568" s="1025"/>
      <c r="BO59568" s="43"/>
    </row>
    <row r="59569" spans="65:67" ht="18.75" customHeight="1">
      <c r="BM59569" s="1025"/>
      <c r="BO59569" s="43"/>
    </row>
    <row r="59570" spans="65:67" ht="18.75" customHeight="1">
      <c r="BM59570" s="1025"/>
      <c r="BO59570" s="43"/>
    </row>
    <row r="59571" spans="65:67" ht="18.75" customHeight="1">
      <c r="BM59571" s="1025"/>
      <c r="BO59571" s="43"/>
    </row>
    <row r="59572" spans="65:67" ht="18.75" customHeight="1">
      <c r="BM59572" s="1025"/>
      <c r="BO59572" s="43"/>
    </row>
    <row r="59573" spans="65:67" ht="18.75" customHeight="1">
      <c r="BM59573" s="1025"/>
      <c r="BO59573" s="43"/>
    </row>
    <row r="59574" spans="65:67" ht="18.75" customHeight="1">
      <c r="BM59574" s="1025"/>
      <c r="BO59574" s="43"/>
    </row>
    <row r="59575" spans="65:67" ht="18.75" customHeight="1">
      <c r="BM59575" s="1025"/>
      <c r="BO59575" s="43"/>
    </row>
    <row r="59576" spans="65:67" ht="18.75" customHeight="1">
      <c r="BM59576" s="1025"/>
      <c r="BO59576" s="43"/>
    </row>
    <row r="59577" spans="65:67" ht="18.75" customHeight="1">
      <c r="BM59577" s="1025"/>
      <c r="BO59577" s="43"/>
    </row>
    <row r="59578" spans="65:67" ht="18.75" customHeight="1">
      <c r="BM59578" s="1025"/>
      <c r="BO59578" s="43"/>
    </row>
    <row r="59579" spans="65:67" ht="18.75" customHeight="1">
      <c r="BM59579" s="1025"/>
      <c r="BO59579" s="43"/>
    </row>
    <row r="59580" spans="65:67" ht="18.75" customHeight="1">
      <c r="BM59580" s="1025"/>
      <c r="BO59580" s="43"/>
    </row>
    <row r="59581" spans="65:67" ht="18.75" customHeight="1">
      <c r="BM59581" s="1025"/>
      <c r="BO59581" s="43"/>
    </row>
    <row r="59582" spans="65:67" ht="18.75" customHeight="1">
      <c r="BM59582" s="1025"/>
      <c r="BO59582" s="43"/>
    </row>
    <row r="59583" spans="65:67" ht="18.75" customHeight="1">
      <c r="BM59583" s="1025"/>
      <c r="BO59583" s="43"/>
    </row>
    <row r="59584" spans="65:67" ht="18.75" customHeight="1">
      <c r="BM59584" s="1025"/>
      <c r="BO59584" s="43"/>
    </row>
    <row r="59585" spans="65:67" ht="18.75" customHeight="1">
      <c r="BM59585" s="1025"/>
      <c r="BO59585" s="43"/>
    </row>
    <row r="59586" spans="65:67" ht="18.75" customHeight="1">
      <c r="BM59586" s="1025"/>
      <c r="BO59586" s="43"/>
    </row>
    <row r="59587" spans="65:67" ht="18.75" customHeight="1">
      <c r="BM59587" s="1025"/>
      <c r="BO59587" s="43"/>
    </row>
    <row r="59588" spans="65:67" ht="18.75" customHeight="1">
      <c r="BM59588" s="1025"/>
      <c r="BO59588" s="43"/>
    </row>
    <row r="59589" spans="65:67" ht="18.75" customHeight="1">
      <c r="BM59589" s="1025"/>
      <c r="BO59589" s="43"/>
    </row>
    <row r="59590" spans="65:67" ht="18.75" customHeight="1">
      <c r="BM59590" s="1025"/>
      <c r="BO59590" s="43"/>
    </row>
    <row r="59591" spans="65:67" ht="18.75" customHeight="1">
      <c r="BM59591" s="1025"/>
      <c r="BO59591" s="43"/>
    </row>
    <row r="59592" spans="65:67" ht="18.75" customHeight="1">
      <c r="BM59592" s="1025"/>
      <c r="BO59592" s="43"/>
    </row>
    <row r="59593" spans="65:67" ht="18.75" customHeight="1">
      <c r="BM59593" s="1025"/>
      <c r="BO59593" s="43"/>
    </row>
    <row r="59594" spans="65:67" ht="18.75" customHeight="1">
      <c r="BM59594" s="1025"/>
      <c r="BO59594" s="43"/>
    </row>
    <row r="59595" spans="65:67" ht="18.75" customHeight="1">
      <c r="BM59595" s="1025"/>
      <c r="BO59595" s="43"/>
    </row>
    <row r="59596" spans="65:67" ht="18.75" customHeight="1">
      <c r="BM59596" s="1025"/>
      <c r="BO59596" s="43"/>
    </row>
    <row r="59597" spans="65:67" ht="18.75" customHeight="1">
      <c r="BM59597" s="1025"/>
      <c r="BO59597" s="43"/>
    </row>
    <row r="59598" spans="65:67" ht="18.75" customHeight="1">
      <c r="BM59598" s="1025"/>
      <c r="BO59598" s="43"/>
    </row>
    <row r="59599" spans="65:67" ht="18.75" customHeight="1">
      <c r="BM59599" s="1025"/>
      <c r="BO59599" s="43"/>
    </row>
    <row r="59600" spans="65:67" ht="18.75" customHeight="1">
      <c r="BM59600" s="1025"/>
      <c r="BO59600" s="43"/>
    </row>
    <row r="59601" spans="65:67" ht="18.75" customHeight="1">
      <c r="BM59601" s="1025"/>
      <c r="BO59601" s="43"/>
    </row>
    <row r="59602" spans="65:67" ht="18.75" customHeight="1">
      <c r="BM59602" s="1025"/>
      <c r="BO59602" s="43"/>
    </row>
    <row r="59603" spans="65:67" ht="18.75" customHeight="1">
      <c r="BM59603" s="1025"/>
      <c r="BO59603" s="43"/>
    </row>
    <row r="59604" spans="65:67" ht="18.75" customHeight="1">
      <c r="BM59604" s="1025"/>
      <c r="BO59604" s="43"/>
    </row>
    <row r="59605" spans="65:67" ht="18.75" customHeight="1">
      <c r="BM59605" s="1025"/>
      <c r="BO59605" s="43"/>
    </row>
    <row r="59606" spans="65:67" ht="18.75" customHeight="1">
      <c r="BM59606" s="1025"/>
      <c r="BO59606" s="43"/>
    </row>
    <row r="59607" spans="65:67" ht="18.75" customHeight="1">
      <c r="BM59607" s="1025"/>
      <c r="BO59607" s="43"/>
    </row>
    <row r="59608" spans="65:67" ht="18.75" customHeight="1">
      <c r="BM59608" s="1025"/>
      <c r="BO59608" s="43"/>
    </row>
    <row r="59609" spans="65:67" ht="18.75" customHeight="1">
      <c r="BM59609" s="1025"/>
      <c r="BO59609" s="43"/>
    </row>
    <row r="59610" spans="65:67" ht="18.75" customHeight="1">
      <c r="BM59610" s="1025"/>
      <c r="BO59610" s="43"/>
    </row>
    <row r="59611" spans="65:67" ht="18.75" customHeight="1">
      <c r="BM59611" s="1025"/>
      <c r="BO59611" s="43"/>
    </row>
    <row r="59612" spans="65:67" ht="18.75" customHeight="1">
      <c r="BM59612" s="1025"/>
      <c r="BO59612" s="43"/>
    </row>
    <row r="59613" spans="65:67" ht="18.75" customHeight="1">
      <c r="BM59613" s="1025"/>
      <c r="BO59613" s="43"/>
    </row>
    <row r="59614" spans="65:67" ht="18.75" customHeight="1">
      <c r="BM59614" s="1025"/>
      <c r="BO59614" s="43"/>
    </row>
    <row r="59615" spans="65:67" ht="18.75" customHeight="1">
      <c r="BM59615" s="1025"/>
      <c r="BO59615" s="43"/>
    </row>
    <row r="59616" spans="65:67" ht="18.75" customHeight="1">
      <c r="BM59616" s="1025"/>
      <c r="BO59616" s="43"/>
    </row>
    <row r="59617" spans="65:67" ht="18.75" customHeight="1">
      <c r="BM59617" s="1025"/>
      <c r="BO59617" s="43"/>
    </row>
    <row r="59618" spans="65:67" ht="18.75" customHeight="1">
      <c r="BM59618" s="1025"/>
      <c r="BO59618" s="43"/>
    </row>
    <row r="59619" spans="65:67" ht="18.75" customHeight="1">
      <c r="BM59619" s="1025"/>
      <c r="BO59619" s="43"/>
    </row>
    <row r="59620" spans="65:67" ht="18.75" customHeight="1">
      <c r="BM59620" s="1025"/>
      <c r="BO59620" s="43"/>
    </row>
    <row r="59621" spans="65:67" ht="18.75" customHeight="1">
      <c r="BM59621" s="1025"/>
      <c r="BO59621" s="43"/>
    </row>
    <row r="59622" spans="65:67" ht="18.75" customHeight="1">
      <c r="BM59622" s="1025"/>
      <c r="BO59622" s="43"/>
    </row>
    <row r="59623" spans="65:67" ht="18.75" customHeight="1">
      <c r="BM59623" s="1025"/>
      <c r="BO59623" s="43"/>
    </row>
    <row r="59624" spans="65:67" ht="18.75" customHeight="1">
      <c r="BM59624" s="1025"/>
      <c r="BO59624" s="43"/>
    </row>
    <row r="59625" spans="65:67" ht="18.75" customHeight="1">
      <c r="BM59625" s="1025"/>
      <c r="BO59625" s="43"/>
    </row>
    <row r="59626" spans="65:67" ht="18.75" customHeight="1">
      <c r="BM59626" s="1025"/>
      <c r="BO59626" s="43"/>
    </row>
    <row r="59627" spans="65:67" ht="18.75" customHeight="1">
      <c r="BM59627" s="1025"/>
      <c r="BO59627" s="43"/>
    </row>
    <row r="59628" spans="65:67" ht="18.75" customHeight="1">
      <c r="BM59628" s="1025"/>
      <c r="BO59628" s="43"/>
    </row>
    <row r="59629" spans="65:67" ht="18.75" customHeight="1">
      <c r="BM59629" s="1025"/>
      <c r="BO59629" s="43"/>
    </row>
    <row r="59630" spans="65:67" ht="18.75" customHeight="1">
      <c r="BM59630" s="1025"/>
      <c r="BO59630" s="43"/>
    </row>
    <row r="59631" spans="65:67" ht="18.75" customHeight="1">
      <c r="BM59631" s="1025"/>
      <c r="BO59631" s="43"/>
    </row>
    <row r="59632" spans="65:67" ht="18.75" customHeight="1">
      <c r="BM59632" s="1025"/>
      <c r="BO59632" s="43"/>
    </row>
    <row r="59633" spans="65:67" ht="18.75" customHeight="1">
      <c r="BM59633" s="1025"/>
      <c r="BO59633" s="43"/>
    </row>
    <row r="59634" spans="65:67" ht="18.75" customHeight="1">
      <c r="BM59634" s="1025"/>
      <c r="BO59634" s="43"/>
    </row>
    <row r="59635" spans="65:67" ht="18.75" customHeight="1">
      <c r="BM59635" s="1025"/>
      <c r="BO59635" s="43"/>
    </row>
    <row r="59636" spans="65:67" ht="18.75" customHeight="1">
      <c r="BM59636" s="1025"/>
      <c r="BO59636" s="43"/>
    </row>
    <row r="59637" spans="65:67" ht="18.75" customHeight="1">
      <c r="BM59637" s="1025"/>
      <c r="BO59637" s="43"/>
    </row>
    <row r="59638" spans="65:67" ht="18.75" customHeight="1">
      <c r="BM59638" s="1025"/>
      <c r="BO59638" s="43"/>
    </row>
    <row r="59639" spans="65:67" ht="18.75" customHeight="1">
      <c r="BM59639" s="1025"/>
      <c r="BO59639" s="43"/>
    </row>
    <row r="59640" spans="65:67" ht="18.75" customHeight="1">
      <c r="BM59640" s="1025"/>
      <c r="BO59640" s="43"/>
    </row>
    <row r="59641" spans="65:67" ht="18.75" customHeight="1">
      <c r="BM59641" s="1025"/>
      <c r="BO59641" s="43"/>
    </row>
    <row r="59642" spans="65:67" ht="18.75" customHeight="1">
      <c r="BM59642" s="1025"/>
      <c r="BO59642" s="43"/>
    </row>
    <row r="59643" spans="65:67" ht="18.75" customHeight="1">
      <c r="BM59643" s="1025"/>
      <c r="BO59643" s="43"/>
    </row>
    <row r="59644" spans="65:67" ht="18.75" customHeight="1">
      <c r="BM59644" s="1025"/>
      <c r="BO59644" s="43"/>
    </row>
    <row r="59645" spans="65:67" ht="18.75" customHeight="1">
      <c r="BM59645" s="1025"/>
      <c r="BO59645" s="43"/>
    </row>
    <row r="59646" spans="65:67" ht="18.75" customHeight="1">
      <c r="BM59646" s="1025"/>
      <c r="BO59646" s="43"/>
    </row>
    <row r="59647" spans="65:67" ht="18.75" customHeight="1">
      <c r="BM59647" s="1025"/>
      <c r="BO59647" s="43"/>
    </row>
    <row r="59648" spans="65:67" ht="18.75" customHeight="1">
      <c r="BM59648" s="1025"/>
      <c r="BO59648" s="43"/>
    </row>
    <row r="59649" spans="65:67" ht="18.75" customHeight="1">
      <c r="BM59649" s="1025"/>
      <c r="BO59649" s="43"/>
    </row>
    <row r="59650" spans="65:67" ht="18.75" customHeight="1">
      <c r="BM59650" s="1025"/>
      <c r="BO59650" s="43"/>
    </row>
    <row r="59651" spans="65:67" ht="18.75" customHeight="1">
      <c r="BM59651" s="1025"/>
      <c r="BO59651" s="43"/>
    </row>
    <row r="59652" spans="65:67" ht="18.75" customHeight="1">
      <c r="BM59652" s="1025"/>
      <c r="BO59652" s="43"/>
    </row>
    <row r="59653" spans="65:67" ht="18.75" customHeight="1">
      <c r="BM59653" s="1025"/>
      <c r="BO59653" s="43"/>
    </row>
    <row r="59654" spans="65:67" ht="18.75" customHeight="1">
      <c r="BM59654" s="1025"/>
      <c r="BO59654" s="43"/>
    </row>
    <row r="59655" spans="65:67" ht="18.75" customHeight="1">
      <c r="BM59655" s="1025"/>
      <c r="BO59655" s="43"/>
    </row>
    <row r="59656" spans="65:67" ht="18.75" customHeight="1">
      <c r="BM59656" s="1025"/>
      <c r="BO59656" s="43"/>
    </row>
    <row r="59657" spans="65:67" ht="18.75" customHeight="1">
      <c r="BM59657" s="1025"/>
      <c r="BO59657" s="43"/>
    </row>
    <row r="59658" spans="65:67" ht="18.75" customHeight="1">
      <c r="BM59658" s="1025"/>
      <c r="BO59658" s="43"/>
    </row>
    <row r="59659" spans="65:67" ht="18.75" customHeight="1">
      <c r="BM59659" s="1025"/>
      <c r="BO59659" s="43"/>
    </row>
    <row r="59660" spans="65:67" ht="18.75" customHeight="1">
      <c r="BM59660" s="1025"/>
      <c r="BO59660" s="43"/>
    </row>
    <row r="59661" spans="65:67" ht="18.75" customHeight="1">
      <c r="BM59661" s="1025"/>
      <c r="BO59661" s="43"/>
    </row>
    <row r="59662" spans="65:67" ht="18.75" customHeight="1">
      <c r="BM59662" s="1025"/>
      <c r="BO59662" s="43"/>
    </row>
    <row r="59663" spans="65:67" ht="18.75" customHeight="1">
      <c r="BM59663" s="1025"/>
      <c r="BO59663" s="43"/>
    </row>
    <row r="59664" spans="65:67" ht="18.75" customHeight="1">
      <c r="BM59664" s="1025"/>
      <c r="BO59664" s="43"/>
    </row>
    <row r="59665" spans="65:67" ht="18.75" customHeight="1">
      <c r="BM59665" s="1025"/>
      <c r="BO59665" s="43"/>
    </row>
    <row r="59666" spans="65:67" ht="18.75" customHeight="1">
      <c r="BM59666" s="1025"/>
      <c r="BO59666" s="43"/>
    </row>
    <row r="59667" spans="65:67" ht="18.75" customHeight="1">
      <c r="BM59667" s="1025"/>
      <c r="BO59667" s="43"/>
    </row>
    <row r="59668" spans="65:67" ht="18.75" customHeight="1">
      <c r="BM59668" s="1025"/>
      <c r="BO59668" s="43"/>
    </row>
    <row r="59669" spans="65:67" ht="18.75" customHeight="1">
      <c r="BM59669" s="1025"/>
      <c r="BO59669" s="43"/>
    </row>
    <row r="59670" spans="65:67" ht="18.75" customHeight="1">
      <c r="BM59670" s="1025"/>
      <c r="BO59670" s="43"/>
    </row>
    <row r="59671" spans="65:67" ht="18.75" customHeight="1">
      <c r="BM59671" s="1025"/>
      <c r="BO59671" s="43"/>
    </row>
    <row r="59672" spans="65:67" ht="18.75" customHeight="1">
      <c r="BM59672" s="1025"/>
      <c r="BO59672" s="43"/>
    </row>
    <row r="59673" spans="65:67" ht="18.75" customHeight="1">
      <c r="BM59673" s="1025"/>
      <c r="BO59673" s="43"/>
    </row>
    <row r="59674" spans="65:67" ht="18.75" customHeight="1">
      <c r="BM59674" s="1025"/>
      <c r="BO59674" s="43"/>
    </row>
    <row r="59675" spans="65:67" ht="18.75" customHeight="1">
      <c r="BM59675" s="1025"/>
      <c r="BO59675" s="43"/>
    </row>
    <row r="59676" spans="65:67" ht="18.75" customHeight="1">
      <c r="BM59676" s="1025"/>
      <c r="BO59676" s="43"/>
    </row>
    <row r="59677" spans="65:67" ht="18.75" customHeight="1">
      <c r="BM59677" s="1025"/>
      <c r="BO59677" s="43"/>
    </row>
    <row r="59678" spans="65:67" ht="18.75" customHeight="1">
      <c r="BM59678" s="1025"/>
      <c r="BO59678" s="43"/>
    </row>
    <row r="59679" spans="65:67" ht="18.75" customHeight="1">
      <c r="BM59679" s="1025"/>
      <c r="BO59679" s="43"/>
    </row>
    <row r="59680" spans="65:67" ht="18.75" customHeight="1">
      <c r="BM59680" s="1025"/>
      <c r="BO59680" s="43"/>
    </row>
    <row r="59681" spans="65:67" ht="18.75" customHeight="1">
      <c r="BM59681" s="1025"/>
      <c r="BO59681" s="43"/>
    </row>
    <row r="59682" spans="65:67" ht="18.75" customHeight="1">
      <c r="BM59682" s="1025"/>
      <c r="BO59682" s="43"/>
    </row>
    <row r="59683" spans="65:67" ht="18.75" customHeight="1">
      <c r="BM59683" s="1025"/>
      <c r="BO59683" s="43"/>
    </row>
    <row r="59684" spans="65:67" ht="18.75" customHeight="1">
      <c r="BM59684" s="1025"/>
      <c r="BO59684" s="43"/>
    </row>
    <row r="59685" spans="65:67" ht="18.75" customHeight="1">
      <c r="BM59685" s="1025"/>
      <c r="BO59685" s="43"/>
    </row>
    <row r="59686" spans="65:67" ht="18.75" customHeight="1">
      <c r="BM59686" s="1025"/>
      <c r="BO59686" s="43"/>
    </row>
    <row r="59687" spans="65:67" ht="18.75" customHeight="1">
      <c r="BM59687" s="1025"/>
      <c r="BO59687" s="43"/>
    </row>
    <row r="59688" spans="65:67" ht="18.75" customHeight="1">
      <c r="BM59688" s="1025"/>
      <c r="BO59688" s="43"/>
    </row>
    <row r="59689" spans="65:67" ht="18.75" customHeight="1">
      <c r="BM59689" s="1025"/>
      <c r="BO59689" s="43"/>
    </row>
    <row r="59690" spans="65:67" ht="18.75" customHeight="1">
      <c r="BM59690" s="1025"/>
      <c r="BO59690" s="43"/>
    </row>
    <row r="59691" spans="65:67" ht="18.75" customHeight="1">
      <c r="BM59691" s="1025"/>
      <c r="BO59691" s="43"/>
    </row>
    <row r="59692" spans="65:67" ht="18.75" customHeight="1">
      <c r="BM59692" s="1025"/>
      <c r="BO59692" s="43"/>
    </row>
    <row r="59693" spans="65:67" ht="18.75" customHeight="1">
      <c r="BM59693" s="1025"/>
      <c r="BO59693" s="43"/>
    </row>
    <row r="59694" spans="65:67" ht="18.75" customHeight="1">
      <c r="BM59694" s="1025"/>
      <c r="BO59694" s="43"/>
    </row>
    <row r="59695" spans="65:67" ht="18.75" customHeight="1">
      <c r="BM59695" s="1025"/>
      <c r="BO59695" s="43"/>
    </row>
    <row r="59696" spans="65:67" ht="18.75" customHeight="1">
      <c r="BM59696" s="1025"/>
      <c r="BO59696" s="43"/>
    </row>
    <row r="59697" spans="65:67" ht="18.75" customHeight="1">
      <c r="BM59697" s="1025"/>
      <c r="BO59697" s="43"/>
    </row>
    <row r="59698" spans="65:67" ht="18.75" customHeight="1">
      <c r="BM59698" s="1025"/>
      <c r="BO59698" s="43"/>
    </row>
    <row r="59699" spans="65:67" ht="18.75" customHeight="1">
      <c r="BM59699" s="1025"/>
      <c r="BO59699" s="43"/>
    </row>
    <row r="59700" spans="65:67" ht="18.75" customHeight="1">
      <c r="BM59700" s="1025"/>
      <c r="BO59700" s="43"/>
    </row>
    <row r="59701" spans="65:67" ht="18.75" customHeight="1">
      <c r="BM59701" s="1025"/>
      <c r="BO59701" s="43"/>
    </row>
    <row r="59702" spans="65:67" ht="18.75" customHeight="1">
      <c r="BM59702" s="1025"/>
      <c r="BO59702" s="43"/>
    </row>
    <row r="59703" spans="65:67" ht="18.75" customHeight="1">
      <c r="BM59703" s="1025"/>
      <c r="BO59703" s="43"/>
    </row>
    <row r="59704" spans="65:67" ht="18.75" customHeight="1">
      <c r="BM59704" s="1025"/>
      <c r="BO59704" s="43"/>
    </row>
    <row r="59705" spans="65:67" ht="18.75" customHeight="1">
      <c r="BM59705" s="1025"/>
      <c r="BO59705" s="43"/>
    </row>
    <row r="59706" spans="65:67" ht="18.75" customHeight="1">
      <c r="BM59706" s="1025"/>
      <c r="BO59706" s="43"/>
    </row>
    <row r="59707" spans="65:67" ht="18.75" customHeight="1">
      <c r="BM59707" s="1025"/>
      <c r="BO59707" s="43"/>
    </row>
    <row r="59708" spans="65:67" ht="18.75" customHeight="1">
      <c r="BM59708" s="1025"/>
      <c r="BO59708" s="43"/>
    </row>
    <row r="59709" spans="65:67" ht="18.75" customHeight="1">
      <c r="BM59709" s="1025"/>
      <c r="BO59709" s="43"/>
    </row>
    <row r="59710" spans="65:67" ht="18.75" customHeight="1">
      <c r="BM59710" s="1025"/>
      <c r="BO59710" s="43"/>
    </row>
    <row r="59711" spans="65:67" ht="18.75" customHeight="1">
      <c r="BM59711" s="1025"/>
      <c r="BO59711" s="43"/>
    </row>
    <row r="59712" spans="65:67" ht="18.75" customHeight="1">
      <c r="BM59712" s="1025"/>
      <c r="BO59712" s="43"/>
    </row>
    <row r="59713" spans="65:67" ht="18.75" customHeight="1">
      <c r="BM59713" s="1025"/>
      <c r="BO59713" s="43"/>
    </row>
    <row r="59714" spans="65:67" ht="18.75" customHeight="1">
      <c r="BM59714" s="1025"/>
      <c r="BO59714" s="43"/>
    </row>
    <row r="59715" spans="65:67" ht="18.75" customHeight="1">
      <c r="BM59715" s="1025"/>
      <c r="BO59715" s="43"/>
    </row>
    <row r="59716" spans="65:67" ht="18.75" customHeight="1">
      <c r="BM59716" s="1025"/>
      <c r="BO59716" s="43"/>
    </row>
    <row r="59717" spans="65:67" ht="18.75" customHeight="1">
      <c r="BM59717" s="1025"/>
      <c r="BO59717" s="43"/>
    </row>
    <row r="59718" spans="65:67" ht="18.75" customHeight="1">
      <c r="BM59718" s="1025"/>
      <c r="BO59718" s="43"/>
    </row>
    <row r="59719" spans="65:67" ht="18.75" customHeight="1">
      <c r="BM59719" s="1025"/>
      <c r="BO59719" s="43"/>
    </row>
    <row r="59720" spans="65:67" ht="18.75" customHeight="1">
      <c r="BM59720" s="1025"/>
      <c r="BO59720" s="43"/>
    </row>
    <row r="59721" spans="65:67" ht="18.75" customHeight="1">
      <c r="BM59721" s="1025"/>
      <c r="BO59721" s="43"/>
    </row>
    <row r="59722" spans="65:67" ht="18.75" customHeight="1">
      <c r="BM59722" s="1025"/>
      <c r="BO59722" s="43"/>
    </row>
    <row r="59723" spans="65:67" ht="18.75" customHeight="1">
      <c r="BM59723" s="1025"/>
      <c r="BO59723" s="43"/>
    </row>
    <row r="59724" spans="65:67" ht="18.75" customHeight="1">
      <c r="BM59724" s="1025"/>
      <c r="BO59724" s="43"/>
    </row>
    <row r="59725" spans="65:67" ht="18.75" customHeight="1">
      <c r="BM59725" s="1025"/>
      <c r="BO59725" s="43"/>
    </row>
    <row r="59726" spans="65:67" ht="18.75" customHeight="1">
      <c r="BM59726" s="1025"/>
      <c r="BO59726" s="43"/>
    </row>
    <row r="59727" spans="65:67" ht="18.75" customHeight="1">
      <c r="BM59727" s="1025"/>
      <c r="BO59727" s="43"/>
    </row>
    <row r="59728" spans="65:67" ht="18.75" customHeight="1">
      <c r="BM59728" s="1025"/>
      <c r="BO59728" s="43"/>
    </row>
    <row r="59729" spans="65:67" ht="18.75" customHeight="1">
      <c r="BM59729" s="1025"/>
      <c r="BO59729" s="43"/>
    </row>
    <row r="59730" spans="65:67" ht="18.75" customHeight="1">
      <c r="BM59730" s="1025"/>
      <c r="BO59730" s="43"/>
    </row>
    <row r="59731" spans="65:67" ht="18.75" customHeight="1">
      <c r="BM59731" s="1025"/>
      <c r="BO59731" s="43"/>
    </row>
    <row r="59732" spans="65:67" ht="18.75" customHeight="1">
      <c r="BM59732" s="1025"/>
      <c r="BO59732" s="43"/>
    </row>
    <row r="59733" spans="65:67" ht="18.75" customHeight="1">
      <c r="BM59733" s="1025"/>
      <c r="BO59733" s="43"/>
    </row>
    <row r="59734" spans="65:67" ht="18.75" customHeight="1">
      <c r="BM59734" s="1025"/>
      <c r="BO59734" s="43"/>
    </row>
    <row r="59735" spans="65:67" ht="18.75" customHeight="1">
      <c r="BM59735" s="1025"/>
      <c r="BO59735" s="43"/>
    </row>
    <row r="59736" spans="65:67" ht="18.75" customHeight="1">
      <c r="BM59736" s="1025"/>
      <c r="BO59736" s="43"/>
    </row>
    <row r="59737" spans="65:67" ht="18.75" customHeight="1">
      <c r="BM59737" s="1025"/>
      <c r="BO59737" s="43"/>
    </row>
    <row r="59738" spans="65:67" ht="18.75" customHeight="1">
      <c r="BM59738" s="1025"/>
      <c r="BO59738" s="43"/>
    </row>
    <row r="59739" spans="65:67" ht="18.75" customHeight="1">
      <c r="BM59739" s="1025"/>
      <c r="BO59739" s="43"/>
    </row>
    <row r="59740" spans="65:67" ht="18.75" customHeight="1">
      <c r="BM59740" s="1025"/>
      <c r="BO59740" s="43"/>
    </row>
    <row r="59741" spans="65:67" ht="18.75" customHeight="1">
      <c r="BM59741" s="1025"/>
      <c r="BO59741" s="43"/>
    </row>
    <row r="59742" spans="65:67" ht="18.75" customHeight="1">
      <c r="BM59742" s="1025"/>
      <c r="BO59742" s="43"/>
    </row>
    <row r="59743" spans="65:67" ht="18.75" customHeight="1">
      <c r="BM59743" s="1025"/>
      <c r="BO59743" s="43"/>
    </row>
    <row r="59744" spans="65:67" ht="18.75" customHeight="1">
      <c r="BM59744" s="1025"/>
      <c r="BO59744" s="43"/>
    </row>
    <row r="59745" spans="65:67" ht="18.75" customHeight="1">
      <c r="BM59745" s="1025"/>
      <c r="BO59745" s="43"/>
    </row>
    <row r="59746" spans="65:67" ht="18.75" customHeight="1">
      <c r="BM59746" s="1025"/>
      <c r="BO59746" s="43"/>
    </row>
    <row r="59747" spans="65:67" ht="18.75" customHeight="1">
      <c r="BM59747" s="1025"/>
      <c r="BO59747" s="43"/>
    </row>
    <row r="59748" spans="65:67" ht="18.75" customHeight="1">
      <c r="BM59748" s="1025"/>
      <c r="BO59748" s="43"/>
    </row>
    <row r="59749" spans="65:67" ht="18.75" customHeight="1">
      <c r="BM59749" s="1025"/>
      <c r="BO59749" s="43"/>
    </row>
    <row r="59750" spans="65:67" ht="18.75" customHeight="1">
      <c r="BM59750" s="1025"/>
      <c r="BO59750" s="43"/>
    </row>
    <row r="59751" spans="65:67" ht="18.75" customHeight="1">
      <c r="BM59751" s="1025"/>
      <c r="BO59751" s="43"/>
    </row>
    <row r="59752" spans="65:67" ht="18.75" customHeight="1">
      <c r="BM59752" s="1025"/>
      <c r="BO59752" s="43"/>
    </row>
    <row r="59753" spans="65:67" ht="18.75" customHeight="1">
      <c r="BM59753" s="1025"/>
      <c r="BO59753" s="43"/>
    </row>
    <row r="59754" spans="65:67" ht="18.75" customHeight="1">
      <c r="BM59754" s="1025"/>
      <c r="BO59754" s="43"/>
    </row>
    <row r="59755" spans="65:67" ht="18.75" customHeight="1">
      <c r="BM59755" s="1025"/>
      <c r="BO59755" s="43"/>
    </row>
    <row r="59756" spans="65:67" ht="18.75" customHeight="1">
      <c r="BM59756" s="1025"/>
      <c r="BO59756" s="43"/>
    </row>
    <row r="59757" spans="65:67" ht="18.75" customHeight="1">
      <c r="BM59757" s="1025"/>
      <c r="BO59757" s="43"/>
    </row>
    <row r="59758" spans="65:67" ht="18.75" customHeight="1">
      <c r="BM59758" s="1025"/>
      <c r="BO59758" s="43"/>
    </row>
    <row r="59759" spans="65:67" ht="18.75" customHeight="1">
      <c r="BM59759" s="1025"/>
      <c r="BO59759" s="43"/>
    </row>
    <row r="59760" spans="65:67" ht="18.75" customHeight="1">
      <c r="BM59760" s="1025"/>
      <c r="BO59760" s="43"/>
    </row>
    <row r="59761" spans="65:67" ht="18.75" customHeight="1">
      <c r="BM59761" s="1025"/>
      <c r="BO59761" s="43"/>
    </row>
    <row r="59762" spans="65:67" ht="18.75" customHeight="1">
      <c r="BM59762" s="1025"/>
      <c r="BO59762" s="43"/>
    </row>
    <row r="59763" spans="65:67" ht="18.75" customHeight="1">
      <c r="BM59763" s="1025"/>
      <c r="BO59763" s="43"/>
    </row>
    <row r="59764" spans="65:67" ht="18.75" customHeight="1">
      <c r="BM59764" s="1025"/>
      <c r="BO59764" s="43"/>
    </row>
    <row r="59765" spans="65:67" ht="18.75" customHeight="1">
      <c r="BM59765" s="1025"/>
      <c r="BO59765" s="43"/>
    </row>
    <row r="59766" spans="65:67" ht="18.75" customHeight="1">
      <c r="BM59766" s="1025"/>
      <c r="BO59766" s="43"/>
    </row>
    <row r="59767" spans="65:67" ht="18.75" customHeight="1">
      <c r="BM59767" s="1025"/>
      <c r="BO59767" s="43"/>
    </row>
    <row r="59768" spans="65:67" ht="18.75" customHeight="1">
      <c r="BM59768" s="1025"/>
      <c r="BO59768" s="43"/>
    </row>
    <row r="59769" spans="65:67" ht="18.75" customHeight="1">
      <c r="BM59769" s="1025"/>
      <c r="BO59769" s="43"/>
    </row>
    <row r="59770" spans="65:67" ht="18.75" customHeight="1">
      <c r="BM59770" s="1025"/>
      <c r="BO59770" s="43"/>
    </row>
    <row r="59771" spans="65:67" ht="18.75" customHeight="1">
      <c r="BM59771" s="1025"/>
      <c r="BO59771" s="43"/>
    </row>
    <row r="59772" spans="65:67" ht="18.75" customHeight="1">
      <c r="BM59772" s="1025"/>
      <c r="BO59772" s="43"/>
    </row>
    <row r="59773" spans="65:67" ht="18.75" customHeight="1">
      <c r="BM59773" s="1025"/>
      <c r="BO59773" s="43"/>
    </row>
    <row r="59774" spans="65:67" ht="18.75" customHeight="1">
      <c r="BM59774" s="1025"/>
      <c r="BO59774" s="43"/>
    </row>
    <row r="59775" spans="65:67" ht="18.75" customHeight="1">
      <c r="BM59775" s="1025"/>
      <c r="BO59775" s="43"/>
    </row>
    <row r="59776" spans="65:67" ht="18.75" customHeight="1">
      <c r="BM59776" s="1025"/>
      <c r="BO59776" s="43"/>
    </row>
    <row r="59777" spans="65:67" ht="18.75" customHeight="1">
      <c r="BM59777" s="1025"/>
      <c r="BO59777" s="43"/>
    </row>
    <row r="59778" spans="65:67" ht="18.75" customHeight="1">
      <c r="BM59778" s="1025"/>
      <c r="BO59778" s="43"/>
    </row>
    <row r="59779" spans="65:67" ht="18.75" customHeight="1">
      <c r="BM59779" s="1025"/>
      <c r="BO59779" s="43"/>
    </row>
    <row r="59780" spans="65:67" ht="18.75" customHeight="1">
      <c r="BM59780" s="1025"/>
      <c r="BO59780" s="43"/>
    </row>
    <row r="59781" spans="65:67" ht="18.75" customHeight="1">
      <c r="BM59781" s="1025"/>
      <c r="BO59781" s="43"/>
    </row>
    <row r="59782" spans="65:67" ht="18.75" customHeight="1">
      <c r="BM59782" s="1025"/>
      <c r="BO59782" s="43"/>
    </row>
    <row r="59783" spans="65:67" ht="18.75" customHeight="1">
      <c r="BM59783" s="1025"/>
      <c r="BO59783" s="43"/>
    </row>
    <row r="59784" spans="65:67" ht="18.75" customHeight="1">
      <c r="BM59784" s="1025"/>
      <c r="BO59784" s="43"/>
    </row>
    <row r="59785" spans="65:67" ht="18.75" customHeight="1">
      <c r="BM59785" s="1025"/>
      <c r="BO59785" s="43"/>
    </row>
    <row r="59786" spans="65:67" ht="18.75" customHeight="1">
      <c r="BM59786" s="1025"/>
      <c r="BO59786" s="43"/>
    </row>
    <row r="59787" spans="65:67" ht="18.75" customHeight="1">
      <c r="BM59787" s="1025"/>
      <c r="BO59787" s="43"/>
    </row>
    <row r="59788" spans="65:67" ht="18.75" customHeight="1">
      <c r="BM59788" s="1025"/>
      <c r="BO59788" s="43"/>
    </row>
    <row r="59789" spans="65:67" ht="18.75" customHeight="1">
      <c r="BM59789" s="1025"/>
      <c r="BO59789" s="43"/>
    </row>
    <row r="59790" spans="65:67" ht="18.75" customHeight="1">
      <c r="BM59790" s="1025"/>
      <c r="BO59790" s="43"/>
    </row>
    <row r="59791" spans="65:67" ht="18.75" customHeight="1">
      <c r="BM59791" s="1025"/>
      <c r="BO59791" s="43"/>
    </row>
    <row r="59792" spans="65:67" ht="18.75" customHeight="1">
      <c r="BM59792" s="1025"/>
      <c r="BO59792" s="43"/>
    </row>
    <row r="59793" spans="65:67" ht="18.75" customHeight="1">
      <c r="BM59793" s="1025"/>
      <c r="BO59793" s="43"/>
    </row>
    <row r="59794" spans="65:67" ht="18.75" customHeight="1">
      <c r="BM59794" s="1025"/>
      <c r="BO59794" s="43"/>
    </row>
    <row r="59795" spans="65:67" ht="18.75" customHeight="1">
      <c r="BM59795" s="1025"/>
      <c r="BO59795" s="43"/>
    </row>
    <row r="59796" spans="65:67" ht="18.75" customHeight="1">
      <c r="BM59796" s="1025"/>
      <c r="BO59796" s="43"/>
    </row>
    <row r="59797" spans="65:67" ht="18.75" customHeight="1">
      <c r="BM59797" s="1025"/>
      <c r="BO59797" s="43"/>
    </row>
    <row r="59798" spans="65:67" ht="18.75" customHeight="1">
      <c r="BM59798" s="1025"/>
      <c r="BO59798" s="43"/>
    </row>
    <row r="59799" spans="65:67" ht="18.75" customHeight="1">
      <c r="BM59799" s="1025"/>
      <c r="BO59799" s="43"/>
    </row>
    <row r="59800" spans="65:67" ht="18.75" customHeight="1">
      <c r="BM59800" s="1025"/>
      <c r="BO59800" s="43"/>
    </row>
    <row r="59801" spans="65:67" ht="18.75" customHeight="1">
      <c r="BM59801" s="1025"/>
      <c r="BO59801" s="43"/>
    </row>
    <row r="59802" spans="65:67" ht="18.75" customHeight="1">
      <c r="BM59802" s="1025"/>
      <c r="BO59802" s="43"/>
    </row>
    <row r="59803" spans="65:67" ht="18.75" customHeight="1">
      <c r="BM59803" s="1025"/>
      <c r="BO59803" s="43"/>
    </row>
    <row r="59804" spans="65:67" ht="18.75" customHeight="1">
      <c r="BM59804" s="1025"/>
      <c r="BO59804" s="43"/>
    </row>
    <row r="59805" spans="65:67" ht="18.75" customHeight="1">
      <c r="BM59805" s="1025"/>
      <c r="BO59805" s="43"/>
    </row>
    <row r="59806" spans="65:67" ht="18.75" customHeight="1">
      <c r="BM59806" s="1025"/>
      <c r="BO59806" s="43"/>
    </row>
    <row r="59807" spans="65:67" ht="18.75" customHeight="1">
      <c r="BM59807" s="1025"/>
      <c r="BO59807" s="43"/>
    </row>
    <row r="59808" spans="65:67" ht="18.75" customHeight="1">
      <c r="BM59808" s="1025"/>
      <c r="BO59808" s="43"/>
    </row>
    <row r="59809" spans="65:67" ht="18.75" customHeight="1">
      <c r="BM59809" s="1025"/>
      <c r="BO59809" s="43"/>
    </row>
    <row r="59810" spans="65:67" ht="18.75" customHeight="1">
      <c r="BM59810" s="1025"/>
      <c r="BO59810" s="43"/>
    </row>
    <row r="59811" spans="65:67" ht="18.75" customHeight="1">
      <c r="BM59811" s="1025"/>
      <c r="BO59811" s="43"/>
    </row>
    <row r="59812" spans="65:67" ht="18.75" customHeight="1">
      <c r="BM59812" s="1025"/>
      <c r="BO59812" s="43"/>
    </row>
    <row r="59813" spans="65:67" ht="18.75" customHeight="1">
      <c r="BM59813" s="1025"/>
      <c r="BO59813" s="43"/>
    </row>
    <row r="59814" spans="65:67" ht="18.75" customHeight="1">
      <c r="BM59814" s="1025"/>
      <c r="BO59814" s="43"/>
    </row>
    <row r="59815" spans="65:67" ht="18.75" customHeight="1">
      <c r="BM59815" s="1025"/>
      <c r="BO59815" s="43"/>
    </row>
    <row r="59816" spans="65:67" ht="18.75" customHeight="1">
      <c r="BM59816" s="1025"/>
      <c r="BO59816" s="43"/>
    </row>
    <row r="59817" spans="65:67" ht="18.75" customHeight="1">
      <c r="BM59817" s="1025"/>
      <c r="BO59817" s="43"/>
    </row>
    <row r="59818" spans="65:67" ht="18.75" customHeight="1">
      <c r="BM59818" s="1025"/>
      <c r="BO59818" s="43"/>
    </row>
    <row r="59819" spans="65:67" ht="18.75" customHeight="1">
      <c r="BM59819" s="1025"/>
      <c r="BO59819" s="43"/>
    </row>
    <row r="59820" spans="65:67" ht="18.75" customHeight="1">
      <c r="BM59820" s="1025"/>
      <c r="BO59820" s="43"/>
    </row>
    <row r="59821" spans="65:67" ht="18.75" customHeight="1">
      <c r="BM59821" s="1025"/>
      <c r="BO59821" s="43"/>
    </row>
    <row r="59822" spans="65:67" ht="18.75" customHeight="1">
      <c r="BM59822" s="1025"/>
      <c r="BO59822" s="43"/>
    </row>
    <row r="59823" spans="65:67" ht="18.75" customHeight="1">
      <c r="BM59823" s="1025"/>
      <c r="BO59823" s="43"/>
    </row>
    <row r="59824" spans="65:67" ht="18.75" customHeight="1">
      <c r="BM59824" s="1025"/>
      <c r="BO59824" s="43"/>
    </row>
    <row r="59825" spans="65:67" ht="18.75" customHeight="1">
      <c r="BM59825" s="1025"/>
      <c r="BO59825" s="43"/>
    </row>
    <row r="59826" spans="65:67" ht="18.75" customHeight="1">
      <c r="BM59826" s="1025"/>
      <c r="BO59826" s="43"/>
    </row>
    <row r="59827" spans="65:67" ht="18.75" customHeight="1">
      <c r="BM59827" s="1025"/>
      <c r="BO59827" s="43"/>
    </row>
    <row r="59828" spans="65:67" ht="18.75" customHeight="1">
      <c r="BM59828" s="1025"/>
      <c r="BO59828" s="43"/>
    </row>
    <row r="59829" spans="65:67" ht="18.75" customHeight="1">
      <c r="BM59829" s="1025"/>
      <c r="BO59829" s="43"/>
    </row>
    <row r="59830" spans="65:67" ht="18.75" customHeight="1">
      <c r="BM59830" s="1025"/>
      <c r="BO59830" s="43"/>
    </row>
    <row r="59831" spans="65:67" ht="18.75" customHeight="1">
      <c r="BM59831" s="1025"/>
      <c r="BO59831" s="43"/>
    </row>
    <row r="59832" spans="65:67" ht="18.75" customHeight="1">
      <c r="BM59832" s="1025"/>
      <c r="BO59832" s="43"/>
    </row>
    <row r="59833" spans="65:67" ht="18.75" customHeight="1">
      <c r="BM59833" s="1025"/>
      <c r="BO59833" s="43"/>
    </row>
    <row r="59834" spans="65:67" ht="18.75" customHeight="1">
      <c r="BM59834" s="1025"/>
      <c r="BO59834" s="43"/>
    </row>
    <row r="59835" spans="65:67" ht="18.75" customHeight="1">
      <c r="BM59835" s="1025"/>
      <c r="BO59835" s="43"/>
    </row>
    <row r="59836" spans="65:67" ht="18.75" customHeight="1">
      <c r="BM59836" s="1025"/>
      <c r="BO59836" s="43"/>
    </row>
    <row r="59837" spans="65:67" ht="18.75" customHeight="1">
      <c r="BM59837" s="1025"/>
      <c r="BO59837" s="43"/>
    </row>
    <row r="59838" spans="65:67" ht="18.75" customHeight="1">
      <c r="BM59838" s="1025"/>
      <c r="BO59838" s="43"/>
    </row>
    <row r="59839" spans="65:67" ht="18.75" customHeight="1">
      <c r="BM59839" s="1025"/>
      <c r="BO59839" s="43"/>
    </row>
    <row r="59840" spans="65:67" ht="18.75" customHeight="1">
      <c r="BM59840" s="1025"/>
      <c r="BO59840" s="43"/>
    </row>
    <row r="59841" spans="65:67" ht="18.75" customHeight="1">
      <c r="BM59841" s="1025"/>
      <c r="BO59841" s="43"/>
    </row>
    <row r="59842" spans="65:67" ht="18.75" customHeight="1">
      <c r="BM59842" s="1025"/>
      <c r="BO59842" s="43"/>
    </row>
    <row r="59843" spans="65:67" ht="18.75" customHeight="1">
      <c r="BM59843" s="1025"/>
      <c r="BO59843" s="43"/>
    </row>
    <row r="59844" spans="65:67" ht="18.75" customHeight="1">
      <c r="BM59844" s="1025"/>
      <c r="BO59844" s="43"/>
    </row>
    <row r="59845" spans="65:67" ht="18.75" customHeight="1">
      <c r="BM59845" s="1025"/>
      <c r="BO59845" s="43"/>
    </row>
    <row r="59846" spans="65:67" ht="18.75" customHeight="1">
      <c r="BM59846" s="1025"/>
      <c r="BO59846" s="43"/>
    </row>
    <row r="59847" spans="65:67" ht="18.75" customHeight="1">
      <c r="BM59847" s="1025"/>
      <c r="BO59847" s="43"/>
    </row>
    <row r="59848" spans="65:67" ht="18.75" customHeight="1">
      <c r="BM59848" s="1025"/>
      <c r="BO59848" s="43"/>
    </row>
    <row r="59849" spans="65:67" ht="18.75" customHeight="1">
      <c r="BM59849" s="1025"/>
      <c r="BO59849" s="43"/>
    </row>
    <row r="59850" spans="65:67" ht="18.75" customHeight="1">
      <c r="BM59850" s="1025"/>
      <c r="BO59850" s="43"/>
    </row>
    <row r="59851" spans="65:67" ht="18.75" customHeight="1">
      <c r="BM59851" s="1025"/>
      <c r="BO59851" s="43"/>
    </row>
    <row r="59852" spans="65:67" ht="18.75" customHeight="1">
      <c r="BM59852" s="1025"/>
      <c r="BO59852" s="43"/>
    </row>
    <row r="59853" spans="65:67" ht="18.75" customHeight="1">
      <c r="BM59853" s="1025"/>
      <c r="BO59853" s="43"/>
    </row>
    <row r="59854" spans="65:67" ht="18.75" customHeight="1">
      <c r="BM59854" s="1025"/>
      <c r="BO59854" s="43"/>
    </row>
    <row r="59855" spans="65:67" ht="18.75" customHeight="1">
      <c r="BM59855" s="1025"/>
      <c r="BO59855" s="43"/>
    </row>
    <row r="59856" spans="65:67" ht="18.75" customHeight="1">
      <c r="BM59856" s="1025"/>
      <c r="BO59856" s="43"/>
    </row>
    <row r="59857" spans="65:67" ht="18.75" customHeight="1">
      <c r="BM59857" s="1025"/>
      <c r="BO59857" s="43"/>
    </row>
    <row r="59858" spans="65:67" ht="18.75" customHeight="1">
      <c r="BM59858" s="1025"/>
      <c r="BO59858" s="43"/>
    </row>
    <row r="59859" spans="65:67" ht="18.75" customHeight="1">
      <c r="BM59859" s="1025"/>
      <c r="BO59859" s="43"/>
    </row>
    <row r="59860" spans="65:67" ht="18.75" customHeight="1">
      <c r="BM59860" s="1025"/>
      <c r="BO59860" s="43"/>
    </row>
    <row r="59861" spans="65:67" ht="18.75" customHeight="1">
      <c r="BM59861" s="1025"/>
      <c r="BO59861" s="43"/>
    </row>
    <row r="59862" spans="65:67" ht="18.75" customHeight="1">
      <c r="BM59862" s="1025"/>
      <c r="BO59862" s="43"/>
    </row>
    <row r="59863" spans="65:67" ht="18.75" customHeight="1">
      <c r="BM59863" s="1025"/>
      <c r="BO59863" s="43"/>
    </row>
    <row r="59864" spans="65:67" ht="18.75" customHeight="1">
      <c r="BM59864" s="1025"/>
      <c r="BO59864" s="43"/>
    </row>
    <row r="59865" spans="65:67" ht="18.75" customHeight="1">
      <c r="BM59865" s="1025"/>
      <c r="BO59865" s="43"/>
    </row>
    <row r="59866" spans="65:67" ht="18.75" customHeight="1">
      <c r="BM59866" s="1025"/>
      <c r="BO59866" s="43"/>
    </row>
    <row r="59867" spans="65:67" ht="18.75" customHeight="1">
      <c r="BM59867" s="1025"/>
      <c r="BO59867" s="43"/>
    </row>
    <row r="59868" spans="65:67" ht="18.75" customHeight="1">
      <c r="BM59868" s="1025"/>
      <c r="BO59868" s="43"/>
    </row>
    <row r="59869" spans="65:67" ht="18.75" customHeight="1">
      <c r="BM59869" s="1025"/>
      <c r="BO59869" s="43"/>
    </row>
    <row r="59870" spans="65:67" ht="18.75" customHeight="1">
      <c r="BM59870" s="1025"/>
      <c r="BO59870" s="43"/>
    </row>
    <row r="59871" spans="65:67" ht="18.75" customHeight="1">
      <c r="BM59871" s="1025"/>
      <c r="BO59871" s="43"/>
    </row>
    <row r="59872" spans="65:67" ht="18.75" customHeight="1">
      <c r="BM59872" s="1025"/>
      <c r="BO59872" s="43"/>
    </row>
    <row r="59873" spans="65:67" ht="18.75" customHeight="1">
      <c r="BM59873" s="1025"/>
      <c r="BO59873" s="43"/>
    </row>
    <row r="59874" spans="65:67" ht="18.75" customHeight="1">
      <c r="BM59874" s="1025"/>
      <c r="BO59874" s="43"/>
    </row>
    <row r="59875" spans="65:67" ht="18.75" customHeight="1">
      <c r="BM59875" s="1025"/>
      <c r="BO59875" s="43"/>
    </row>
    <row r="59876" spans="65:67" ht="18.75" customHeight="1">
      <c r="BM59876" s="1025"/>
      <c r="BO59876" s="43"/>
    </row>
    <row r="59877" spans="65:67" ht="18.75" customHeight="1">
      <c r="BM59877" s="1025"/>
      <c r="BO59877" s="43"/>
    </row>
    <row r="59878" spans="65:67" ht="18.75" customHeight="1">
      <c r="BM59878" s="1025"/>
      <c r="BO59878" s="43"/>
    </row>
    <row r="59879" spans="65:67" ht="18.75" customHeight="1">
      <c r="BM59879" s="1025"/>
      <c r="BO59879" s="43"/>
    </row>
    <row r="59880" spans="65:67" ht="18.75" customHeight="1">
      <c r="BM59880" s="1025"/>
      <c r="BO59880" s="43"/>
    </row>
    <row r="59881" spans="65:67" ht="18.75" customHeight="1">
      <c r="BM59881" s="1025"/>
      <c r="BO59881" s="43"/>
    </row>
    <row r="59882" spans="65:67" ht="18.75" customHeight="1">
      <c r="BM59882" s="1025"/>
      <c r="BO59882" s="43"/>
    </row>
    <row r="59883" spans="65:67" ht="18.75" customHeight="1">
      <c r="BM59883" s="1025"/>
      <c r="BO59883" s="43"/>
    </row>
    <row r="59884" spans="65:67" ht="18.75" customHeight="1">
      <c r="BM59884" s="1025"/>
      <c r="BO59884" s="43"/>
    </row>
    <row r="59885" spans="65:67" ht="18.75" customHeight="1">
      <c r="BM59885" s="1025"/>
      <c r="BO59885" s="43"/>
    </row>
    <row r="59886" spans="65:67" ht="18.75" customHeight="1">
      <c r="BM59886" s="1025"/>
      <c r="BO59886" s="43"/>
    </row>
    <row r="59887" spans="65:67" ht="18.75" customHeight="1">
      <c r="BM59887" s="1025"/>
      <c r="BO59887" s="43"/>
    </row>
    <row r="59888" spans="65:67" ht="18.75" customHeight="1">
      <c r="BM59888" s="1025"/>
      <c r="BO59888" s="43"/>
    </row>
    <row r="59889" spans="65:67" ht="18.75" customHeight="1">
      <c r="BM59889" s="1025"/>
      <c r="BO59889" s="43"/>
    </row>
    <row r="59890" spans="65:67" ht="18.75" customHeight="1">
      <c r="BM59890" s="1025"/>
      <c r="BO59890" s="43"/>
    </row>
    <row r="59891" spans="65:67" ht="18.75" customHeight="1">
      <c r="BM59891" s="1025"/>
      <c r="BO59891" s="43"/>
    </row>
    <row r="59892" spans="65:67" ht="18.75" customHeight="1">
      <c r="BM59892" s="1025"/>
      <c r="BO59892" s="43"/>
    </row>
    <row r="59893" spans="65:67" ht="18.75" customHeight="1">
      <c r="BM59893" s="1025"/>
      <c r="BO59893" s="43"/>
    </row>
    <row r="59894" spans="65:67" ht="18.75" customHeight="1">
      <c r="BM59894" s="1025"/>
      <c r="BO59894" s="43"/>
    </row>
    <row r="59895" spans="65:67" ht="18.75" customHeight="1">
      <c r="BM59895" s="1025"/>
      <c r="BO59895" s="43"/>
    </row>
    <row r="59896" spans="65:67" ht="18.75" customHeight="1">
      <c r="BM59896" s="1025"/>
      <c r="BO59896" s="43"/>
    </row>
    <row r="59897" spans="65:67" ht="18.75" customHeight="1">
      <c r="BM59897" s="1025"/>
      <c r="BO59897" s="43"/>
    </row>
    <row r="59898" spans="65:67" ht="18.75" customHeight="1">
      <c r="BM59898" s="1025"/>
      <c r="BO59898" s="43"/>
    </row>
    <row r="59899" spans="65:67" ht="18.75" customHeight="1">
      <c r="BM59899" s="1025"/>
      <c r="BO59899" s="43"/>
    </row>
    <row r="59900" spans="65:67" ht="18.75" customHeight="1">
      <c r="BM59900" s="1025"/>
      <c r="BO59900" s="43"/>
    </row>
    <row r="59901" spans="65:67" ht="18.75" customHeight="1">
      <c r="BM59901" s="1025"/>
      <c r="BO59901" s="43"/>
    </row>
    <row r="59902" spans="65:67" ht="18.75" customHeight="1">
      <c r="BM59902" s="1025"/>
      <c r="BO59902" s="43"/>
    </row>
    <row r="59903" spans="65:67" ht="18.75" customHeight="1">
      <c r="BM59903" s="1025"/>
      <c r="BO59903" s="43"/>
    </row>
    <row r="59904" spans="65:67" ht="18.75" customHeight="1">
      <c r="BM59904" s="1025"/>
      <c r="BO59904" s="43"/>
    </row>
    <row r="59905" spans="65:67" ht="18.75" customHeight="1">
      <c r="BM59905" s="1025"/>
      <c r="BO59905" s="43"/>
    </row>
    <row r="59906" spans="65:67" ht="18.75" customHeight="1">
      <c r="BM59906" s="1025"/>
      <c r="BO59906" s="43"/>
    </row>
    <row r="59907" spans="65:67" ht="18.75" customHeight="1">
      <c r="BM59907" s="1025"/>
      <c r="BO59907" s="43"/>
    </row>
    <row r="59908" spans="65:67" ht="18.75" customHeight="1">
      <c r="BM59908" s="1025"/>
      <c r="BO59908" s="43"/>
    </row>
    <row r="59909" spans="65:67" ht="18.75" customHeight="1">
      <c r="BM59909" s="1025"/>
      <c r="BO59909" s="43"/>
    </row>
    <row r="59910" spans="65:67" ht="18.75" customHeight="1">
      <c r="BM59910" s="1025"/>
      <c r="BO59910" s="43"/>
    </row>
    <row r="59911" spans="65:67" ht="18.75" customHeight="1">
      <c r="BM59911" s="1025"/>
      <c r="BO59911" s="43"/>
    </row>
    <row r="59912" spans="65:67" ht="18.75" customHeight="1">
      <c r="BM59912" s="1025"/>
      <c r="BO59912" s="43"/>
    </row>
    <row r="59913" spans="65:67" ht="18.75" customHeight="1">
      <c r="BM59913" s="1025"/>
      <c r="BO59913" s="43"/>
    </row>
    <row r="59914" spans="65:67" ht="18.75" customHeight="1">
      <c r="BM59914" s="1025"/>
      <c r="BO59914" s="43"/>
    </row>
    <row r="59915" spans="65:67" ht="18.75" customHeight="1">
      <c r="BM59915" s="1025"/>
      <c r="BO59915" s="43"/>
    </row>
    <row r="59916" spans="65:67" ht="18.75" customHeight="1">
      <c r="BM59916" s="1025"/>
      <c r="BO59916" s="43"/>
    </row>
    <row r="59917" spans="65:67" ht="18.75" customHeight="1">
      <c r="BM59917" s="1025"/>
      <c r="BO59917" s="43"/>
    </row>
    <row r="59918" spans="65:67" ht="18.75" customHeight="1">
      <c r="BM59918" s="1025"/>
      <c r="BO59918" s="43"/>
    </row>
    <row r="59919" spans="65:67" ht="18.75" customHeight="1">
      <c r="BM59919" s="1025"/>
      <c r="BO59919" s="43"/>
    </row>
    <row r="59920" spans="65:67" ht="18.75" customHeight="1">
      <c r="BM59920" s="1025"/>
      <c r="BO59920" s="43"/>
    </row>
    <row r="59921" spans="65:67" ht="18.75" customHeight="1">
      <c r="BM59921" s="1025"/>
      <c r="BO59921" s="43"/>
    </row>
    <row r="59922" spans="65:67" ht="18.75" customHeight="1">
      <c r="BM59922" s="1025"/>
      <c r="BO59922" s="43"/>
    </row>
    <row r="59923" spans="65:67" ht="18.75" customHeight="1">
      <c r="BM59923" s="1025"/>
      <c r="BO59923" s="43"/>
    </row>
    <row r="59924" spans="65:67" ht="18.75" customHeight="1">
      <c r="BM59924" s="1025"/>
      <c r="BO59924" s="43"/>
    </row>
    <row r="59925" spans="65:67" ht="18.75" customHeight="1">
      <c r="BM59925" s="1025"/>
      <c r="BO59925" s="43"/>
    </row>
    <row r="59926" spans="65:67" ht="18.75" customHeight="1">
      <c r="BM59926" s="1025"/>
      <c r="BO59926" s="43"/>
    </row>
    <row r="59927" spans="65:67" ht="18.75" customHeight="1">
      <c r="BM59927" s="1025"/>
      <c r="BO59927" s="43"/>
    </row>
    <row r="59928" spans="65:67" ht="18.75" customHeight="1">
      <c r="BM59928" s="1025"/>
      <c r="BO59928" s="43"/>
    </row>
    <row r="59929" spans="65:67" ht="18.75" customHeight="1">
      <c r="BM59929" s="1025"/>
      <c r="BO59929" s="43"/>
    </row>
    <row r="59930" spans="65:67" ht="18.75" customHeight="1">
      <c r="BM59930" s="1025"/>
      <c r="BO59930" s="43"/>
    </row>
    <row r="59931" spans="65:67" ht="18.75" customHeight="1">
      <c r="BM59931" s="1025"/>
      <c r="BO59931" s="43"/>
    </row>
    <row r="59932" spans="65:67" ht="18.75" customHeight="1">
      <c r="BM59932" s="1025"/>
      <c r="BO59932" s="43"/>
    </row>
    <row r="59933" spans="65:67" ht="18.75" customHeight="1">
      <c r="BM59933" s="1025"/>
      <c r="BO59933" s="43"/>
    </row>
    <row r="59934" spans="65:67" ht="18.75" customHeight="1">
      <c r="BM59934" s="1025"/>
      <c r="BO59934" s="43"/>
    </row>
    <row r="59935" spans="65:67" ht="18.75" customHeight="1">
      <c r="BM59935" s="1025"/>
      <c r="BO59935" s="43"/>
    </row>
    <row r="59936" spans="65:67" ht="18.75" customHeight="1">
      <c r="BM59936" s="1025"/>
      <c r="BO59936" s="43"/>
    </row>
    <row r="59937" spans="65:67" ht="18.75" customHeight="1">
      <c r="BM59937" s="1025"/>
      <c r="BO59937" s="43"/>
    </row>
    <row r="59938" spans="65:67" ht="18.75" customHeight="1">
      <c r="BM59938" s="1025"/>
      <c r="BO59938" s="43"/>
    </row>
    <row r="59939" spans="65:67" ht="18.75" customHeight="1">
      <c r="BM59939" s="1025"/>
      <c r="BO59939" s="43"/>
    </row>
    <row r="59940" spans="65:67" ht="18.75" customHeight="1">
      <c r="BM59940" s="1025"/>
      <c r="BO59940" s="43"/>
    </row>
    <row r="59941" spans="65:67" ht="18.75" customHeight="1">
      <c r="BM59941" s="1025"/>
      <c r="BO59941" s="43"/>
    </row>
    <row r="59942" spans="65:67" ht="18.75" customHeight="1">
      <c r="BM59942" s="1025"/>
      <c r="BO59942" s="43"/>
    </row>
    <row r="59943" spans="65:67" ht="18.75" customHeight="1">
      <c r="BM59943" s="1025"/>
      <c r="BO59943" s="43"/>
    </row>
    <row r="59944" spans="65:67" ht="18.75" customHeight="1">
      <c r="BM59944" s="1025"/>
      <c r="BO59944" s="43"/>
    </row>
    <row r="59945" spans="65:67" ht="18.75" customHeight="1">
      <c r="BM59945" s="1025"/>
      <c r="BO59945" s="43"/>
    </row>
    <row r="59946" spans="65:67" ht="18.75" customHeight="1">
      <c r="BM59946" s="1025"/>
      <c r="BO59946" s="43"/>
    </row>
    <row r="59947" spans="65:67" ht="18.75" customHeight="1">
      <c r="BM59947" s="1025"/>
      <c r="BO59947" s="43"/>
    </row>
    <row r="59948" spans="65:67" ht="18.75" customHeight="1">
      <c r="BM59948" s="1025"/>
      <c r="BO59948" s="43"/>
    </row>
    <row r="59949" spans="65:67" ht="18.75" customHeight="1">
      <c r="BM59949" s="1025"/>
      <c r="BO59949" s="43"/>
    </row>
    <row r="59950" spans="65:67" ht="18.75" customHeight="1">
      <c r="BM59950" s="1025"/>
      <c r="BO59950" s="43"/>
    </row>
    <row r="59951" spans="65:67" ht="18.75" customHeight="1">
      <c r="BM59951" s="1025"/>
      <c r="BO59951" s="43"/>
    </row>
    <row r="59952" spans="65:67" ht="18.75" customHeight="1">
      <c r="BM59952" s="1025"/>
      <c r="BO59952" s="43"/>
    </row>
    <row r="59953" spans="65:67" ht="18.75" customHeight="1">
      <c r="BM59953" s="1025"/>
      <c r="BO59953" s="43"/>
    </row>
    <row r="59954" spans="65:67" ht="18.75" customHeight="1">
      <c r="BM59954" s="1025"/>
      <c r="BO59954" s="43"/>
    </row>
    <row r="59955" spans="65:67" ht="18.75" customHeight="1">
      <c r="BM59955" s="1025"/>
      <c r="BO59955" s="43"/>
    </row>
    <row r="59956" spans="65:67" ht="18.75" customHeight="1">
      <c r="BM59956" s="1025"/>
      <c r="BO59956" s="43"/>
    </row>
    <row r="59957" spans="65:67" ht="18.75" customHeight="1">
      <c r="BM59957" s="1025"/>
      <c r="BO59957" s="43"/>
    </row>
    <row r="59958" spans="65:67" ht="18.75" customHeight="1">
      <c r="BM59958" s="1025"/>
      <c r="BO59958" s="43"/>
    </row>
    <row r="59959" spans="65:67" ht="18.75" customHeight="1">
      <c r="BM59959" s="1025"/>
      <c r="BO59959" s="43"/>
    </row>
    <row r="59960" spans="65:67" ht="18.75" customHeight="1">
      <c r="BM59960" s="1025"/>
      <c r="BO59960" s="43"/>
    </row>
    <row r="59961" spans="65:67" ht="18.75" customHeight="1">
      <c r="BM59961" s="1025"/>
      <c r="BO59961" s="43"/>
    </row>
    <row r="59962" spans="65:67" ht="18.75" customHeight="1">
      <c r="BM59962" s="1025"/>
      <c r="BO59962" s="43"/>
    </row>
    <row r="59963" spans="65:67" ht="18.75" customHeight="1">
      <c r="BM59963" s="1025"/>
      <c r="BO59963" s="43"/>
    </row>
    <row r="59964" spans="65:67" ht="18.75" customHeight="1">
      <c r="BM59964" s="1025"/>
      <c r="BO59964" s="43"/>
    </row>
    <row r="59965" spans="65:67" ht="18.75" customHeight="1">
      <c r="BM59965" s="1025"/>
      <c r="BO59965" s="43"/>
    </row>
    <row r="59966" spans="65:67" ht="18.75" customHeight="1">
      <c r="BM59966" s="1025"/>
      <c r="BO59966" s="43"/>
    </row>
    <row r="59967" spans="65:67" ht="18.75" customHeight="1">
      <c r="BM59967" s="1025"/>
      <c r="BO59967" s="43"/>
    </row>
    <row r="59968" spans="65:67" ht="18.75" customHeight="1">
      <c r="BM59968" s="1025"/>
      <c r="BO59968" s="43"/>
    </row>
    <row r="59969" spans="65:67" ht="18.75" customHeight="1">
      <c r="BM59969" s="1025"/>
      <c r="BO59969" s="43"/>
    </row>
    <row r="59970" spans="65:67" ht="18.75" customHeight="1">
      <c r="BM59970" s="1025"/>
      <c r="BO59970" s="43"/>
    </row>
    <row r="59971" spans="65:67" ht="18.75" customHeight="1">
      <c r="BM59971" s="1025"/>
      <c r="BO59971" s="43"/>
    </row>
    <row r="59972" spans="65:67" ht="18.75" customHeight="1">
      <c r="BM59972" s="1025"/>
      <c r="BO59972" s="43"/>
    </row>
    <row r="59973" spans="65:67" ht="18.75" customHeight="1">
      <c r="BM59973" s="1025"/>
      <c r="BO59973" s="43"/>
    </row>
    <row r="59974" spans="65:67" ht="18.75" customHeight="1">
      <c r="BM59974" s="1025"/>
      <c r="BO59974" s="43"/>
    </row>
    <row r="59975" spans="65:67" ht="18.75" customHeight="1">
      <c r="BM59975" s="1025"/>
      <c r="BO59975" s="43"/>
    </row>
    <row r="59976" spans="65:67" ht="18.75" customHeight="1">
      <c r="BM59976" s="1025"/>
      <c r="BO59976" s="43"/>
    </row>
    <row r="59977" spans="65:67" ht="18.75" customHeight="1">
      <c r="BM59977" s="1025"/>
      <c r="BO59977" s="43"/>
    </row>
    <row r="59978" spans="65:67" ht="18.75" customHeight="1">
      <c r="BM59978" s="1025"/>
      <c r="BO59978" s="43"/>
    </row>
    <row r="59979" spans="65:67" ht="18.75" customHeight="1">
      <c r="BM59979" s="1025"/>
      <c r="BO59979" s="43"/>
    </row>
    <row r="59980" spans="65:67" ht="18.75" customHeight="1">
      <c r="BM59980" s="1025"/>
      <c r="BO59980" s="43"/>
    </row>
    <row r="59981" spans="65:67" ht="18.75" customHeight="1">
      <c r="BM59981" s="1025"/>
      <c r="BO59981" s="43"/>
    </row>
    <row r="59982" spans="65:67" ht="18.75" customHeight="1">
      <c r="BM59982" s="1025"/>
      <c r="BO59982" s="43"/>
    </row>
    <row r="59983" spans="65:67" ht="18.75" customHeight="1">
      <c r="BM59983" s="1025"/>
      <c r="BO59983" s="43"/>
    </row>
    <row r="59984" spans="65:67" ht="18.75" customHeight="1">
      <c r="BM59984" s="1025"/>
      <c r="BO59984" s="43"/>
    </row>
    <row r="59985" spans="65:67" ht="18.75" customHeight="1">
      <c r="BM59985" s="1025"/>
      <c r="BO59985" s="43"/>
    </row>
    <row r="59986" spans="65:67" ht="18.75" customHeight="1">
      <c r="BM59986" s="1025"/>
      <c r="BO59986" s="43"/>
    </row>
    <row r="59987" spans="65:67" ht="18.75" customHeight="1">
      <c r="BM59987" s="1025"/>
      <c r="BO59987" s="43"/>
    </row>
    <row r="59988" spans="65:67" ht="18.75" customHeight="1">
      <c r="BM59988" s="1025"/>
      <c r="BO59988" s="43"/>
    </row>
    <row r="59989" spans="65:67" ht="18.75" customHeight="1">
      <c r="BM59989" s="1025"/>
      <c r="BO59989" s="43"/>
    </row>
    <row r="59990" spans="65:67" ht="18.75" customHeight="1">
      <c r="BM59990" s="1025"/>
      <c r="BO59990" s="43"/>
    </row>
    <row r="59991" spans="65:67" ht="18.75" customHeight="1">
      <c r="BM59991" s="1025"/>
      <c r="BO59991" s="43"/>
    </row>
    <row r="59992" spans="65:67" ht="18.75" customHeight="1">
      <c r="BM59992" s="1025"/>
      <c r="BO59992" s="43"/>
    </row>
    <row r="59993" spans="65:67" ht="18.75" customHeight="1">
      <c r="BM59993" s="1025"/>
      <c r="BO59993" s="43"/>
    </row>
    <row r="59994" spans="65:67" ht="18.75" customHeight="1">
      <c r="BM59994" s="1025"/>
      <c r="BO59994" s="43"/>
    </row>
    <row r="59995" spans="65:67" ht="18.75" customHeight="1">
      <c r="BM59995" s="1025"/>
      <c r="BO59995" s="43"/>
    </row>
    <row r="59996" spans="65:67" ht="18.75" customHeight="1">
      <c r="BM59996" s="1025"/>
      <c r="BO59996" s="43"/>
    </row>
    <row r="59997" spans="65:67" ht="18.75" customHeight="1">
      <c r="BM59997" s="1025"/>
      <c r="BO59997" s="43"/>
    </row>
    <row r="59998" spans="65:67" ht="18.75" customHeight="1">
      <c r="BM59998" s="1025"/>
      <c r="BO59998" s="43"/>
    </row>
    <row r="59999" spans="65:67" ht="18.75" customHeight="1">
      <c r="BM59999" s="1025"/>
      <c r="BO59999" s="43"/>
    </row>
    <row r="60000" spans="65:67" ht="18.75" customHeight="1">
      <c r="BM60000" s="1025"/>
      <c r="BO60000" s="43"/>
    </row>
    <row r="60001" spans="65:67" ht="18.75" customHeight="1">
      <c r="BM60001" s="1025"/>
      <c r="BO60001" s="43"/>
    </row>
    <row r="60002" spans="65:67" ht="18.75" customHeight="1">
      <c r="BM60002" s="1025"/>
      <c r="BO60002" s="43"/>
    </row>
    <row r="60003" spans="65:67" ht="18.75" customHeight="1">
      <c r="BM60003" s="1025"/>
      <c r="BO60003" s="43"/>
    </row>
    <row r="60004" spans="65:67" ht="18.75" customHeight="1">
      <c r="BM60004" s="1025"/>
      <c r="BO60004" s="43"/>
    </row>
    <row r="60005" spans="65:67" ht="18.75" customHeight="1">
      <c r="BM60005" s="1025"/>
      <c r="BO60005" s="43"/>
    </row>
    <row r="60006" spans="65:67" ht="18.75" customHeight="1">
      <c r="BM60006" s="1025"/>
      <c r="BO60006" s="43"/>
    </row>
    <row r="60007" spans="65:67" ht="18.75" customHeight="1">
      <c r="BM60007" s="1025"/>
      <c r="BO60007" s="43"/>
    </row>
    <row r="60008" spans="65:67" ht="18.75" customHeight="1">
      <c r="BM60008" s="1025"/>
      <c r="BO60008" s="43"/>
    </row>
    <row r="60009" spans="65:67" ht="18.75" customHeight="1">
      <c r="BM60009" s="1025"/>
      <c r="BO60009" s="43"/>
    </row>
    <row r="60010" spans="65:67" ht="18.75" customHeight="1">
      <c r="BM60010" s="1025"/>
      <c r="BO60010" s="43"/>
    </row>
    <row r="60011" spans="65:67" ht="18.75" customHeight="1">
      <c r="BM60011" s="1025"/>
      <c r="BO60011" s="43"/>
    </row>
    <row r="60012" spans="65:67" ht="18.75" customHeight="1">
      <c r="BM60012" s="1025"/>
      <c r="BO60012" s="43"/>
    </row>
    <row r="60013" spans="65:67" ht="18.75" customHeight="1">
      <c r="BM60013" s="1025"/>
      <c r="BO60013" s="43"/>
    </row>
    <row r="60014" spans="65:67" ht="18.75" customHeight="1">
      <c r="BM60014" s="1025"/>
      <c r="BO60014" s="43"/>
    </row>
    <row r="60015" spans="65:67" ht="18.75" customHeight="1">
      <c r="BM60015" s="1025"/>
      <c r="BO60015" s="43"/>
    </row>
    <row r="60016" spans="65:67" ht="18.75" customHeight="1">
      <c r="BM60016" s="1025"/>
      <c r="BO60016" s="43"/>
    </row>
    <row r="60017" spans="65:67" ht="18.75" customHeight="1">
      <c r="BM60017" s="1025"/>
      <c r="BO60017" s="43"/>
    </row>
    <row r="60018" spans="65:67" ht="18.75" customHeight="1">
      <c r="BM60018" s="1025"/>
      <c r="BO60018" s="43"/>
    </row>
    <row r="60019" spans="65:67" ht="18.75" customHeight="1">
      <c r="BM60019" s="1025"/>
      <c r="BO60019" s="43"/>
    </row>
    <row r="60020" spans="65:67" ht="18.75" customHeight="1">
      <c r="BM60020" s="1025"/>
      <c r="BO60020" s="43"/>
    </row>
    <row r="60021" spans="65:67" ht="18.75" customHeight="1">
      <c r="BM60021" s="1025"/>
      <c r="BO60021" s="43"/>
    </row>
    <row r="60022" spans="65:67" ht="18.75" customHeight="1">
      <c r="BM60022" s="1025"/>
      <c r="BO60022" s="43"/>
    </row>
    <row r="60023" spans="65:67" ht="18.75" customHeight="1">
      <c r="BM60023" s="1025"/>
      <c r="BO60023" s="43"/>
    </row>
    <row r="60024" spans="65:67" ht="18.75" customHeight="1">
      <c r="BM60024" s="1025"/>
      <c r="BO60024" s="43"/>
    </row>
    <row r="60025" spans="65:67" ht="18.75" customHeight="1">
      <c r="BM60025" s="1025"/>
      <c r="BO60025" s="43"/>
    </row>
    <row r="60026" spans="65:67" ht="18.75" customHeight="1">
      <c r="BM60026" s="1025"/>
      <c r="BO60026" s="43"/>
    </row>
    <row r="60027" spans="65:67" ht="18.75" customHeight="1">
      <c r="BM60027" s="1025"/>
      <c r="BO60027" s="43"/>
    </row>
    <row r="60028" spans="65:67" ht="18.75" customHeight="1">
      <c r="BM60028" s="1025"/>
      <c r="BO60028" s="43"/>
    </row>
    <row r="60029" spans="65:67" ht="18.75" customHeight="1">
      <c r="BM60029" s="1025"/>
      <c r="BO60029" s="43"/>
    </row>
    <row r="60030" spans="65:67" ht="18.75" customHeight="1">
      <c r="BM60030" s="1025"/>
      <c r="BO60030" s="43"/>
    </row>
    <row r="60031" spans="65:67" ht="18.75" customHeight="1">
      <c r="BM60031" s="1025"/>
      <c r="BO60031" s="43"/>
    </row>
    <row r="60032" spans="65:67" ht="18.75" customHeight="1">
      <c r="BM60032" s="1025"/>
      <c r="BO60032" s="43"/>
    </row>
    <row r="60033" spans="65:67" ht="18.75" customHeight="1">
      <c r="BM60033" s="1025"/>
      <c r="BO60033" s="43"/>
    </row>
    <row r="60034" spans="65:67" ht="18.75" customHeight="1">
      <c r="BM60034" s="1025"/>
      <c r="BO60034" s="43"/>
    </row>
    <row r="60035" spans="65:67" ht="18.75" customHeight="1">
      <c r="BM60035" s="1025"/>
      <c r="BO60035" s="43"/>
    </row>
    <row r="60036" spans="65:67" ht="18.75" customHeight="1">
      <c r="BM60036" s="1025"/>
      <c r="BO60036" s="43"/>
    </row>
    <row r="60037" spans="65:67" ht="18.75" customHeight="1">
      <c r="BM60037" s="1025"/>
      <c r="BO60037" s="43"/>
    </row>
    <row r="60038" spans="65:67" ht="18.75" customHeight="1">
      <c r="BM60038" s="1025"/>
      <c r="BO60038" s="43"/>
    </row>
    <row r="60039" spans="65:67" ht="18.75" customHeight="1">
      <c r="BM60039" s="1025"/>
      <c r="BO60039" s="43"/>
    </row>
    <row r="60040" spans="65:67" ht="18.75" customHeight="1">
      <c r="BM60040" s="1025"/>
      <c r="BO60040" s="43"/>
    </row>
    <row r="60041" spans="65:67" ht="18.75" customHeight="1">
      <c r="BM60041" s="1025"/>
      <c r="BO60041" s="43"/>
    </row>
    <row r="60042" spans="65:67" ht="18.75" customHeight="1">
      <c r="BM60042" s="1025"/>
      <c r="BO60042" s="43"/>
    </row>
    <row r="60043" spans="65:67" ht="18.75" customHeight="1">
      <c r="BM60043" s="1025"/>
      <c r="BO60043" s="43"/>
    </row>
    <row r="60044" spans="65:67" ht="18.75" customHeight="1">
      <c r="BM60044" s="1025"/>
      <c r="BO60044" s="43"/>
    </row>
    <row r="60045" spans="65:67" ht="18.75" customHeight="1">
      <c r="BM60045" s="1025"/>
      <c r="BO60045" s="43"/>
    </row>
    <row r="60046" spans="65:67" ht="18.75" customHeight="1">
      <c r="BM60046" s="1025"/>
      <c r="BO60046" s="43"/>
    </row>
    <row r="60047" spans="65:67" ht="18.75" customHeight="1">
      <c r="BM60047" s="1025"/>
      <c r="BO60047" s="43"/>
    </row>
    <row r="60048" spans="65:67" ht="18.75" customHeight="1">
      <c r="BM60048" s="1025"/>
      <c r="BO60048" s="43"/>
    </row>
    <row r="60049" spans="65:67" ht="18.75" customHeight="1">
      <c r="BM60049" s="1025"/>
      <c r="BO60049" s="43"/>
    </row>
    <row r="60050" spans="65:67" ht="18.75" customHeight="1">
      <c r="BM60050" s="1025"/>
      <c r="BO60050" s="43"/>
    </row>
    <row r="60051" spans="65:67" ht="18.75" customHeight="1">
      <c r="BM60051" s="1025"/>
      <c r="BO60051" s="43"/>
    </row>
    <row r="60052" spans="65:67" ht="18.75" customHeight="1">
      <c r="BM60052" s="1025"/>
      <c r="BO60052" s="43"/>
    </row>
    <row r="60053" spans="65:67" ht="18.75" customHeight="1">
      <c r="BM60053" s="1025"/>
      <c r="BO60053" s="43"/>
    </row>
    <row r="60054" spans="65:67" ht="18.75" customHeight="1">
      <c r="BM60054" s="1025"/>
      <c r="BO60054" s="43"/>
    </row>
    <row r="60055" spans="65:67" ht="18.75" customHeight="1">
      <c r="BM60055" s="1025"/>
      <c r="BO60055" s="43"/>
    </row>
    <row r="60056" spans="65:67" ht="18.75" customHeight="1">
      <c r="BM60056" s="1025"/>
      <c r="BO60056" s="43"/>
    </row>
    <row r="60057" spans="65:67" ht="18.75" customHeight="1">
      <c r="BM60057" s="1025"/>
      <c r="BO60057" s="43"/>
    </row>
    <row r="60058" spans="65:67" ht="18.75" customHeight="1">
      <c r="BM60058" s="1025"/>
      <c r="BO60058" s="43"/>
    </row>
    <row r="60059" spans="65:67" ht="18.75" customHeight="1">
      <c r="BM60059" s="1025"/>
      <c r="BO60059" s="43"/>
    </row>
    <row r="60060" spans="65:67" ht="18.75" customHeight="1">
      <c r="BM60060" s="1025"/>
      <c r="BO60060" s="43"/>
    </row>
    <row r="60061" spans="65:67" ht="18.75" customHeight="1">
      <c r="BM60061" s="1025"/>
      <c r="BO60061" s="43"/>
    </row>
    <row r="60062" spans="65:67" ht="18.75" customHeight="1">
      <c r="BM60062" s="1025"/>
      <c r="BO60062" s="43"/>
    </row>
    <row r="60063" spans="65:67" ht="18.75" customHeight="1">
      <c r="BM60063" s="1025"/>
      <c r="BO60063" s="43"/>
    </row>
    <row r="60064" spans="65:67" ht="18.75" customHeight="1">
      <c r="BM60064" s="1025"/>
      <c r="BO60064" s="43"/>
    </row>
    <row r="60065" spans="65:67" ht="18.75" customHeight="1">
      <c r="BM60065" s="1025"/>
      <c r="BO60065" s="43"/>
    </row>
    <row r="60066" spans="65:67" ht="18.75" customHeight="1">
      <c r="BM60066" s="1025"/>
      <c r="BO60066" s="43"/>
    </row>
    <row r="60067" spans="65:67" ht="18.75" customHeight="1">
      <c r="BM60067" s="1025"/>
      <c r="BO60067" s="43"/>
    </row>
    <row r="60068" spans="65:67" ht="18.75" customHeight="1">
      <c r="BM60068" s="1025"/>
      <c r="BO60068" s="43"/>
    </row>
    <row r="60069" spans="65:67" ht="18.75" customHeight="1">
      <c r="BM60069" s="1025"/>
      <c r="BO60069" s="43"/>
    </row>
    <row r="60070" spans="65:67" ht="18.75" customHeight="1">
      <c r="BM60070" s="1025"/>
      <c r="BO60070" s="43"/>
    </row>
    <row r="60071" spans="65:67" ht="18.75" customHeight="1">
      <c r="BM60071" s="1025"/>
      <c r="BO60071" s="43"/>
    </row>
    <row r="60072" spans="65:67" ht="18.75" customHeight="1">
      <c r="BM60072" s="1025"/>
      <c r="BO60072" s="43"/>
    </row>
    <row r="60073" spans="65:67" ht="18.75" customHeight="1">
      <c r="BM60073" s="1025"/>
      <c r="BO60073" s="43"/>
    </row>
    <row r="60074" spans="65:67" ht="18.75" customHeight="1">
      <c r="BM60074" s="1025"/>
      <c r="BO60074" s="43"/>
    </row>
    <row r="60075" spans="65:67" ht="18.75" customHeight="1">
      <c r="BM60075" s="1025"/>
      <c r="BO60075" s="43"/>
    </row>
    <row r="60076" spans="65:67" ht="18.75" customHeight="1">
      <c r="BM60076" s="1025"/>
      <c r="BO60076" s="43"/>
    </row>
    <row r="60077" spans="65:67" ht="18.75" customHeight="1">
      <c r="BM60077" s="1025"/>
      <c r="BO60077" s="43"/>
    </row>
    <row r="60078" spans="65:67" ht="18.75" customHeight="1">
      <c r="BM60078" s="1025"/>
      <c r="BO60078" s="43"/>
    </row>
    <row r="60079" spans="65:67" ht="18.75" customHeight="1">
      <c r="BM60079" s="1025"/>
      <c r="BO60079" s="43"/>
    </row>
    <row r="60080" spans="65:67" ht="18.75" customHeight="1">
      <c r="BM60080" s="1025"/>
      <c r="BO60080" s="43"/>
    </row>
    <row r="60081" spans="65:67" ht="18.75" customHeight="1">
      <c r="BM60081" s="1025"/>
      <c r="BO60081" s="43"/>
    </row>
    <row r="60082" spans="65:67" ht="18.75" customHeight="1">
      <c r="BM60082" s="1025"/>
      <c r="BO60082" s="43"/>
    </row>
    <row r="60083" spans="65:67" ht="18.75" customHeight="1">
      <c r="BM60083" s="1025"/>
      <c r="BO60083" s="43"/>
    </row>
    <row r="60084" spans="65:67" ht="18.75" customHeight="1">
      <c r="BM60084" s="1025"/>
      <c r="BO60084" s="43"/>
    </row>
    <row r="60085" spans="65:67" ht="18.75" customHeight="1">
      <c r="BM60085" s="1025"/>
      <c r="BO60085" s="43"/>
    </row>
    <row r="60086" spans="65:67" ht="18.75" customHeight="1">
      <c r="BM60086" s="1025"/>
      <c r="BO60086" s="43"/>
    </row>
    <row r="60087" spans="65:67" ht="18.75" customHeight="1">
      <c r="BM60087" s="1025"/>
      <c r="BO60087" s="43"/>
    </row>
    <row r="60088" spans="65:67" ht="18.75" customHeight="1">
      <c r="BM60088" s="1025"/>
      <c r="BO60088" s="43"/>
    </row>
    <row r="60089" spans="65:67" ht="18.75" customHeight="1">
      <c r="BM60089" s="1025"/>
      <c r="BO60089" s="43"/>
    </row>
    <row r="60090" spans="65:67" ht="18.75" customHeight="1">
      <c r="BM60090" s="1025"/>
      <c r="BO60090" s="43"/>
    </row>
    <row r="60091" spans="65:67" ht="18.75" customHeight="1">
      <c r="BM60091" s="1025"/>
      <c r="BO60091" s="43"/>
    </row>
    <row r="60092" spans="65:67" ht="18.75" customHeight="1">
      <c r="BM60092" s="1025"/>
      <c r="BO60092" s="43"/>
    </row>
    <row r="60093" spans="65:67" ht="18.75" customHeight="1">
      <c r="BM60093" s="1025"/>
      <c r="BO60093" s="43"/>
    </row>
    <row r="60094" spans="65:67" ht="18.75" customHeight="1">
      <c r="BM60094" s="1025"/>
      <c r="BO60094" s="43"/>
    </row>
    <row r="60095" spans="65:67" ht="18.75" customHeight="1">
      <c r="BM60095" s="1025"/>
      <c r="BO60095" s="43"/>
    </row>
    <row r="60096" spans="65:67" ht="18.75" customHeight="1">
      <c r="BM60096" s="1025"/>
      <c r="BO60096" s="43"/>
    </row>
    <row r="60097" spans="65:67" ht="18.75" customHeight="1">
      <c r="BM60097" s="1025"/>
      <c r="BO60097" s="43"/>
    </row>
    <row r="60098" spans="65:67" ht="18.75" customHeight="1">
      <c r="BM60098" s="1025"/>
      <c r="BO60098" s="43"/>
    </row>
    <row r="60099" spans="65:67" ht="18.75" customHeight="1">
      <c r="BM60099" s="1025"/>
      <c r="BO60099" s="43"/>
    </row>
    <row r="60100" spans="65:67" ht="18.75" customHeight="1">
      <c r="BM60100" s="1025"/>
      <c r="BO60100" s="43"/>
    </row>
    <row r="60101" spans="65:67" ht="18.75" customHeight="1">
      <c r="BM60101" s="1025"/>
      <c r="BO60101" s="43"/>
    </row>
    <row r="60102" spans="65:67" ht="18.75" customHeight="1">
      <c r="BM60102" s="1025"/>
      <c r="BO60102" s="43"/>
    </row>
    <row r="60103" spans="65:67" ht="18.75" customHeight="1">
      <c r="BM60103" s="1025"/>
      <c r="BO60103" s="43"/>
    </row>
    <row r="60104" spans="65:67" ht="18.75" customHeight="1">
      <c r="BM60104" s="1025"/>
      <c r="BO60104" s="43"/>
    </row>
    <row r="60105" spans="65:67" ht="18.75" customHeight="1">
      <c r="BM60105" s="1025"/>
      <c r="BO60105" s="43"/>
    </row>
    <row r="60106" spans="65:67" ht="18.75" customHeight="1">
      <c r="BM60106" s="1025"/>
      <c r="BO60106" s="43"/>
    </row>
    <row r="60107" spans="65:67" ht="18.75" customHeight="1">
      <c r="BM60107" s="1025"/>
      <c r="BO60107" s="43"/>
    </row>
    <row r="60108" spans="65:67" ht="18.75" customHeight="1">
      <c r="BM60108" s="1025"/>
      <c r="BO60108" s="43"/>
    </row>
    <row r="60109" spans="65:67" ht="18.75" customHeight="1">
      <c r="BM60109" s="1025"/>
      <c r="BO60109" s="43"/>
    </row>
    <row r="60110" spans="65:67" ht="18.75" customHeight="1">
      <c r="BM60110" s="1025"/>
      <c r="BO60110" s="43"/>
    </row>
    <row r="60111" spans="65:67" ht="18.75" customHeight="1">
      <c r="BM60111" s="1025"/>
      <c r="BO60111" s="43"/>
    </row>
    <row r="60112" spans="65:67" ht="18.75" customHeight="1">
      <c r="BM60112" s="1025"/>
      <c r="BO60112" s="43"/>
    </row>
    <row r="60113" spans="65:67" ht="18.75" customHeight="1">
      <c r="BM60113" s="1025"/>
      <c r="BO60113" s="43"/>
    </row>
    <row r="60114" spans="65:67" ht="18.75" customHeight="1">
      <c r="BM60114" s="1025"/>
      <c r="BO60114" s="43"/>
    </row>
    <row r="60115" spans="65:67" ht="18.75" customHeight="1">
      <c r="BM60115" s="1025"/>
      <c r="BO60115" s="43"/>
    </row>
    <row r="60116" spans="65:67" ht="18.75" customHeight="1">
      <c r="BM60116" s="1025"/>
      <c r="BO60116" s="43"/>
    </row>
    <row r="60117" spans="65:67" ht="18.75" customHeight="1">
      <c r="BM60117" s="1025"/>
      <c r="BO60117" s="43"/>
    </row>
    <row r="60118" spans="65:67" ht="18.75" customHeight="1">
      <c r="BM60118" s="1025"/>
      <c r="BO60118" s="43"/>
    </row>
    <row r="60119" spans="65:67" ht="18.75" customHeight="1">
      <c r="BM60119" s="1025"/>
      <c r="BO60119" s="43"/>
    </row>
    <row r="60120" spans="65:67" ht="18.75" customHeight="1">
      <c r="BM60120" s="1025"/>
      <c r="BO60120" s="43"/>
    </row>
    <row r="60121" spans="65:67" ht="18.75" customHeight="1">
      <c r="BM60121" s="1025"/>
      <c r="BO60121" s="43"/>
    </row>
    <row r="60122" spans="65:67" ht="18.75" customHeight="1">
      <c r="BM60122" s="1025"/>
      <c r="BO60122" s="43"/>
    </row>
    <row r="60123" spans="65:67" ht="18.75" customHeight="1">
      <c r="BM60123" s="1025"/>
      <c r="BO60123" s="43"/>
    </row>
    <row r="60124" spans="65:67" ht="18.75" customHeight="1">
      <c r="BM60124" s="1025"/>
      <c r="BO60124" s="43"/>
    </row>
    <row r="60125" spans="65:67" ht="18.75" customHeight="1">
      <c r="BM60125" s="1025"/>
      <c r="BO60125" s="43"/>
    </row>
    <row r="60126" spans="65:67" ht="18.75" customHeight="1">
      <c r="BM60126" s="1025"/>
      <c r="BO60126" s="43"/>
    </row>
    <row r="60127" spans="65:67" ht="18.75" customHeight="1">
      <c r="BM60127" s="1025"/>
      <c r="BO60127" s="43"/>
    </row>
    <row r="60128" spans="65:67" ht="18.75" customHeight="1">
      <c r="BM60128" s="1025"/>
      <c r="BO60128" s="43"/>
    </row>
    <row r="60129" spans="65:67" ht="18.75" customHeight="1">
      <c r="BM60129" s="1025"/>
      <c r="BO60129" s="43"/>
    </row>
    <row r="60130" spans="65:67" ht="18.75" customHeight="1">
      <c r="BM60130" s="1025"/>
      <c r="BO60130" s="43"/>
    </row>
    <row r="60131" spans="65:67" ht="18.75" customHeight="1">
      <c r="BM60131" s="1025"/>
      <c r="BO60131" s="43"/>
    </row>
    <row r="60132" spans="65:67" ht="18.75" customHeight="1">
      <c r="BM60132" s="1025"/>
      <c r="BO60132" s="43"/>
    </row>
    <row r="60133" spans="65:67" ht="18.75" customHeight="1">
      <c r="BM60133" s="1025"/>
      <c r="BO60133" s="43"/>
    </row>
    <row r="60134" spans="65:67" ht="18.75" customHeight="1">
      <c r="BM60134" s="1025"/>
      <c r="BO60134" s="43"/>
    </row>
    <row r="60135" spans="65:67" ht="18.75" customHeight="1">
      <c r="BM60135" s="1025"/>
      <c r="BO60135" s="43"/>
    </row>
    <row r="60136" spans="65:67" ht="18.75" customHeight="1">
      <c r="BM60136" s="1025"/>
      <c r="BO60136" s="43"/>
    </row>
    <row r="60137" spans="65:67" ht="18.75" customHeight="1">
      <c r="BM60137" s="1025"/>
      <c r="BO60137" s="43"/>
    </row>
    <row r="60138" spans="65:67" ht="18.75" customHeight="1">
      <c r="BM60138" s="1025"/>
      <c r="BO60138" s="43"/>
    </row>
    <row r="60139" spans="65:67" ht="18.75" customHeight="1">
      <c r="BM60139" s="1025"/>
      <c r="BO60139" s="43"/>
    </row>
    <row r="60140" spans="65:67" ht="18.75" customHeight="1">
      <c r="BM60140" s="1025"/>
      <c r="BO60140" s="43"/>
    </row>
    <row r="60141" spans="65:67" ht="18.75" customHeight="1">
      <c r="BM60141" s="1025"/>
      <c r="BO60141" s="43"/>
    </row>
    <row r="60142" spans="65:67" ht="18.75" customHeight="1">
      <c r="BM60142" s="1025"/>
      <c r="BO60142" s="43"/>
    </row>
    <row r="60143" spans="65:67" ht="18.75" customHeight="1">
      <c r="BM60143" s="1025"/>
      <c r="BO60143" s="43"/>
    </row>
    <row r="60144" spans="65:67" ht="18.75" customHeight="1">
      <c r="BM60144" s="1025"/>
      <c r="BO60144" s="43"/>
    </row>
    <row r="60145" spans="65:67" ht="18.75" customHeight="1">
      <c r="BM60145" s="1025"/>
      <c r="BO60145" s="43"/>
    </row>
    <row r="60146" spans="65:67" ht="18.75" customHeight="1">
      <c r="BM60146" s="1025"/>
      <c r="BO60146" s="43"/>
    </row>
    <row r="60147" spans="65:67" ht="18.75" customHeight="1">
      <c r="BM60147" s="1025"/>
      <c r="BO60147" s="43"/>
    </row>
    <row r="60148" spans="65:67" ht="18.75" customHeight="1">
      <c r="BM60148" s="1025"/>
      <c r="BO60148" s="43"/>
    </row>
    <row r="60149" spans="65:67" ht="18.75" customHeight="1">
      <c r="BM60149" s="1025"/>
      <c r="BO60149" s="43"/>
    </row>
    <row r="60150" spans="65:67" ht="18.75" customHeight="1">
      <c r="BM60150" s="1025"/>
      <c r="BO60150" s="43"/>
    </row>
    <row r="60151" spans="65:67" ht="18.75" customHeight="1">
      <c r="BM60151" s="1025"/>
      <c r="BO60151" s="43"/>
    </row>
    <row r="60152" spans="65:67" ht="18.75" customHeight="1">
      <c r="BM60152" s="1025"/>
      <c r="BO60152" s="43"/>
    </row>
    <row r="60153" spans="65:67" ht="18.75" customHeight="1">
      <c r="BM60153" s="1025"/>
      <c r="BO60153" s="43"/>
    </row>
    <row r="60154" spans="65:67" ht="18.75" customHeight="1">
      <c r="BM60154" s="1025"/>
      <c r="BO60154" s="43"/>
    </row>
    <row r="60155" spans="65:67" ht="18.75" customHeight="1">
      <c r="BM60155" s="1025"/>
      <c r="BO60155" s="43"/>
    </row>
    <row r="60156" spans="65:67" ht="18.75" customHeight="1">
      <c r="BM60156" s="1025"/>
      <c r="BO60156" s="43"/>
    </row>
    <row r="60157" spans="65:67" ht="18.75" customHeight="1">
      <c r="BM60157" s="1025"/>
      <c r="BO60157" s="43"/>
    </row>
    <row r="60158" spans="65:67" ht="18.75" customHeight="1">
      <c r="BM60158" s="1025"/>
      <c r="BO60158" s="43"/>
    </row>
    <row r="60159" spans="65:67" ht="18.75" customHeight="1">
      <c r="BM60159" s="1025"/>
      <c r="BO60159" s="43"/>
    </row>
    <row r="60160" spans="65:67" ht="18.75" customHeight="1">
      <c r="BM60160" s="1025"/>
      <c r="BO60160" s="43"/>
    </row>
    <row r="60161" spans="65:67" ht="18.75" customHeight="1">
      <c r="BM60161" s="1025"/>
      <c r="BO60161" s="43"/>
    </row>
    <row r="60162" spans="65:67" ht="18.75" customHeight="1">
      <c r="BM60162" s="1025"/>
      <c r="BO60162" s="43"/>
    </row>
    <row r="60163" spans="65:67" ht="18.75" customHeight="1">
      <c r="BM60163" s="1025"/>
      <c r="BO60163" s="43"/>
    </row>
    <row r="60164" spans="65:67" ht="18.75" customHeight="1">
      <c r="BM60164" s="1025"/>
      <c r="BO60164" s="43"/>
    </row>
    <row r="60165" spans="65:67" ht="18.75" customHeight="1">
      <c r="BM60165" s="1025"/>
      <c r="BO60165" s="43"/>
    </row>
    <row r="60166" spans="65:67" ht="18.75" customHeight="1">
      <c r="BM60166" s="1025"/>
      <c r="BO60166" s="43"/>
    </row>
    <row r="60167" spans="65:67" ht="18.75" customHeight="1">
      <c r="BM60167" s="1025"/>
      <c r="BO60167" s="43"/>
    </row>
    <row r="60168" spans="65:67" ht="18.75" customHeight="1">
      <c r="BM60168" s="1025"/>
      <c r="BO60168" s="43"/>
    </row>
    <row r="60169" spans="65:67" ht="18.75" customHeight="1">
      <c r="BM60169" s="1025"/>
      <c r="BO60169" s="43"/>
    </row>
    <row r="60170" spans="65:67" ht="18.75" customHeight="1">
      <c r="BM60170" s="1025"/>
      <c r="BO60170" s="43"/>
    </row>
    <row r="60171" spans="65:67" ht="18.75" customHeight="1">
      <c r="BM60171" s="1025"/>
      <c r="BO60171" s="43"/>
    </row>
    <row r="60172" spans="65:67" ht="18.75" customHeight="1">
      <c r="BM60172" s="1025"/>
      <c r="BO60172" s="43"/>
    </row>
    <row r="60173" spans="65:67" ht="18.75" customHeight="1">
      <c r="BM60173" s="1025"/>
      <c r="BO60173" s="43"/>
    </row>
    <row r="60174" spans="65:67" ht="18.75" customHeight="1">
      <c r="BM60174" s="1025"/>
      <c r="BO60174" s="43"/>
    </row>
    <row r="60175" spans="65:67" ht="18.75" customHeight="1">
      <c r="BM60175" s="1025"/>
      <c r="BO60175" s="43"/>
    </row>
    <row r="60176" spans="65:67" ht="18.75" customHeight="1">
      <c r="BM60176" s="1025"/>
      <c r="BO60176" s="43"/>
    </row>
    <row r="60177" spans="65:67" ht="18.75" customHeight="1">
      <c r="BM60177" s="1025"/>
      <c r="BO60177" s="43"/>
    </row>
    <row r="60178" spans="65:67" ht="18.75" customHeight="1">
      <c r="BM60178" s="1025"/>
      <c r="BO60178" s="43"/>
    </row>
    <row r="60179" spans="65:67" ht="18.75" customHeight="1">
      <c r="BM60179" s="1025"/>
      <c r="BO60179" s="43"/>
    </row>
    <row r="60180" spans="65:67" ht="18.75" customHeight="1">
      <c r="BM60180" s="1025"/>
      <c r="BO60180" s="43"/>
    </row>
    <row r="60181" spans="65:67" ht="18.75" customHeight="1">
      <c r="BM60181" s="1025"/>
      <c r="BO60181" s="43"/>
    </row>
    <row r="60182" spans="65:67" ht="18.75" customHeight="1">
      <c r="BM60182" s="1025"/>
      <c r="BO60182" s="43"/>
    </row>
    <row r="60183" spans="65:67" ht="18.75" customHeight="1">
      <c r="BM60183" s="1025"/>
      <c r="BO60183" s="43"/>
    </row>
    <row r="60184" spans="65:67" ht="18.75" customHeight="1">
      <c r="BM60184" s="1025"/>
      <c r="BO60184" s="43"/>
    </row>
    <row r="60185" spans="65:67" ht="18.75" customHeight="1">
      <c r="BM60185" s="1025"/>
      <c r="BO60185" s="43"/>
    </row>
    <row r="60186" spans="65:67" ht="18.75" customHeight="1">
      <c r="BM60186" s="1025"/>
      <c r="BO60186" s="43"/>
    </row>
    <row r="60187" spans="65:67" ht="18.75" customHeight="1">
      <c r="BM60187" s="1025"/>
      <c r="BO60187" s="43"/>
    </row>
    <row r="60188" spans="65:67" ht="18.75" customHeight="1">
      <c r="BM60188" s="1025"/>
      <c r="BO60188" s="43"/>
    </row>
    <row r="60189" spans="65:67" ht="18.75" customHeight="1">
      <c r="BM60189" s="1025"/>
      <c r="BO60189" s="43"/>
    </row>
    <row r="60190" spans="65:67" ht="18.75" customHeight="1">
      <c r="BM60190" s="1025"/>
      <c r="BO60190" s="43"/>
    </row>
    <row r="60191" spans="65:67" ht="18.75" customHeight="1">
      <c r="BM60191" s="1025"/>
      <c r="BO60191" s="43"/>
    </row>
    <row r="60192" spans="65:67" ht="18.75" customHeight="1">
      <c r="BM60192" s="1025"/>
      <c r="BO60192" s="43"/>
    </row>
    <row r="60193" spans="65:67" ht="18.75" customHeight="1">
      <c r="BM60193" s="1025"/>
      <c r="BO60193" s="43"/>
    </row>
    <row r="60194" spans="65:67" ht="18.75" customHeight="1">
      <c r="BM60194" s="1025"/>
      <c r="BO60194" s="43"/>
    </row>
    <row r="60195" spans="65:67" ht="18.75" customHeight="1">
      <c r="BM60195" s="1025"/>
      <c r="BO60195" s="43"/>
    </row>
    <row r="60196" spans="65:67" ht="18.75" customHeight="1">
      <c r="BM60196" s="1025"/>
      <c r="BO60196" s="43"/>
    </row>
    <row r="60197" spans="65:67" ht="18.75" customHeight="1">
      <c r="BM60197" s="1025"/>
      <c r="BO60197" s="43"/>
    </row>
    <row r="60198" spans="65:67" ht="18.75" customHeight="1">
      <c r="BM60198" s="1025"/>
      <c r="BO60198" s="43"/>
    </row>
    <row r="60199" spans="65:67" ht="18.75" customHeight="1">
      <c r="BM60199" s="1025"/>
      <c r="BO60199" s="43"/>
    </row>
    <row r="60200" spans="65:67" ht="18.75" customHeight="1">
      <c r="BM60200" s="1025"/>
      <c r="BO60200" s="43"/>
    </row>
    <row r="60201" spans="65:67" ht="18.75" customHeight="1">
      <c r="BM60201" s="1025"/>
      <c r="BO60201" s="43"/>
    </row>
    <row r="60202" spans="65:67" ht="18.75" customHeight="1">
      <c r="BM60202" s="1025"/>
      <c r="BO60202" s="43"/>
    </row>
    <row r="60203" spans="65:67" ht="18.75" customHeight="1">
      <c r="BM60203" s="1025"/>
      <c r="BO60203" s="43"/>
    </row>
    <row r="60204" spans="65:67" ht="18.75" customHeight="1">
      <c r="BM60204" s="1025"/>
      <c r="BO60204" s="43"/>
    </row>
    <row r="60205" spans="65:67" ht="18.75" customHeight="1">
      <c r="BM60205" s="1025"/>
      <c r="BO60205" s="43"/>
    </row>
    <row r="60206" spans="65:67" ht="18.75" customHeight="1">
      <c r="BM60206" s="1025"/>
      <c r="BO60206" s="43"/>
    </row>
    <row r="60207" spans="65:67" ht="18.75" customHeight="1">
      <c r="BM60207" s="1025"/>
      <c r="BO60207" s="43"/>
    </row>
    <row r="60208" spans="65:67" ht="18.75" customHeight="1">
      <c r="BM60208" s="1025"/>
      <c r="BO60208" s="43"/>
    </row>
    <row r="60209" spans="65:67" ht="18.75" customHeight="1">
      <c r="BM60209" s="1025"/>
      <c r="BO60209" s="43"/>
    </row>
    <row r="60210" spans="65:67" ht="18.75" customHeight="1">
      <c r="BM60210" s="1025"/>
      <c r="BO60210" s="43"/>
    </row>
    <row r="60211" spans="65:67" ht="18.75" customHeight="1">
      <c r="BM60211" s="1025"/>
      <c r="BO60211" s="43"/>
    </row>
    <row r="60212" spans="65:67" ht="18.75" customHeight="1">
      <c r="BM60212" s="1025"/>
      <c r="BO60212" s="43"/>
    </row>
    <row r="60213" spans="65:67" ht="18.75" customHeight="1">
      <c r="BM60213" s="1025"/>
      <c r="BO60213" s="43"/>
    </row>
    <row r="60214" spans="65:67" ht="18.75" customHeight="1">
      <c r="BM60214" s="1025"/>
      <c r="BO60214" s="43"/>
    </row>
    <row r="60215" spans="65:67" ht="18.75" customHeight="1">
      <c r="BM60215" s="1025"/>
      <c r="BO60215" s="43"/>
    </row>
    <row r="60216" spans="65:67" ht="18.75" customHeight="1">
      <c r="BM60216" s="1025"/>
      <c r="BO60216" s="43"/>
    </row>
    <row r="60217" spans="65:67" ht="18.75" customHeight="1">
      <c r="BM60217" s="1025"/>
      <c r="BO60217" s="43"/>
    </row>
    <row r="60218" spans="65:67" ht="18.75" customHeight="1">
      <c r="BM60218" s="1025"/>
      <c r="BO60218" s="43"/>
    </row>
    <row r="60219" spans="65:67" ht="18.75" customHeight="1">
      <c r="BM60219" s="1025"/>
      <c r="BO60219" s="43"/>
    </row>
    <row r="60220" spans="65:67" ht="18.75" customHeight="1">
      <c r="BM60220" s="1025"/>
      <c r="BO60220" s="43"/>
    </row>
    <row r="60221" spans="65:67" ht="18.75" customHeight="1">
      <c r="BM60221" s="1025"/>
      <c r="BO60221" s="43"/>
    </row>
    <row r="60222" spans="65:67" ht="18.75" customHeight="1">
      <c r="BM60222" s="1025"/>
      <c r="BO60222" s="43"/>
    </row>
    <row r="60223" spans="65:67" ht="18.75" customHeight="1">
      <c r="BM60223" s="1025"/>
      <c r="BO60223" s="43"/>
    </row>
    <row r="60224" spans="65:67" ht="18.75" customHeight="1">
      <c r="BM60224" s="1025"/>
      <c r="BO60224" s="43"/>
    </row>
    <row r="60225" spans="65:67" ht="18.75" customHeight="1">
      <c r="BM60225" s="1025"/>
      <c r="BO60225" s="43"/>
    </row>
    <row r="60226" spans="65:67" ht="18.75" customHeight="1">
      <c r="BM60226" s="1025"/>
      <c r="BO60226" s="43"/>
    </row>
    <row r="60227" spans="65:67" ht="18.75" customHeight="1">
      <c r="BM60227" s="1025"/>
      <c r="BO60227" s="43"/>
    </row>
    <row r="60228" spans="65:67" ht="18.75" customHeight="1">
      <c r="BM60228" s="1025"/>
      <c r="BO60228" s="43"/>
    </row>
    <row r="60229" spans="65:67" ht="18.75" customHeight="1">
      <c r="BM60229" s="1025"/>
      <c r="BO60229" s="43"/>
    </row>
    <row r="60230" spans="65:67" ht="18.75" customHeight="1">
      <c r="BM60230" s="1025"/>
      <c r="BO60230" s="43"/>
    </row>
    <row r="60231" spans="65:67" ht="18.75" customHeight="1">
      <c r="BM60231" s="1025"/>
      <c r="BO60231" s="43"/>
    </row>
    <row r="60232" spans="65:67" ht="18.75" customHeight="1">
      <c r="BM60232" s="1025"/>
      <c r="BO60232" s="43"/>
    </row>
    <row r="60233" spans="65:67" ht="18.75" customHeight="1">
      <c r="BM60233" s="1025"/>
      <c r="BO60233" s="43"/>
    </row>
    <row r="60234" spans="65:67" ht="18.75" customHeight="1">
      <c r="BM60234" s="1025"/>
      <c r="BO60234" s="43"/>
    </row>
    <row r="60235" spans="65:67" ht="18.75" customHeight="1">
      <c r="BM60235" s="1025"/>
      <c r="BO60235" s="43"/>
    </row>
    <row r="60236" spans="65:67" ht="18.75" customHeight="1">
      <c r="BM60236" s="1025"/>
      <c r="BO60236" s="43"/>
    </row>
    <row r="60237" spans="65:67" ht="18.75" customHeight="1">
      <c r="BM60237" s="1025"/>
      <c r="BO60237" s="43"/>
    </row>
    <row r="60238" spans="65:67" ht="18.75" customHeight="1">
      <c r="BM60238" s="1025"/>
      <c r="BO60238" s="43"/>
    </row>
    <row r="60239" spans="65:67" ht="18.75" customHeight="1">
      <c r="BM60239" s="1025"/>
      <c r="BO60239" s="43"/>
    </row>
    <row r="60240" spans="65:67" ht="18.75" customHeight="1">
      <c r="BM60240" s="1025"/>
      <c r="BO60240" s="43"/>
    </row>
    <row r="60241" spans="65:67" ht="18.75" customHeight="1">
      <c r="BM60241" s="1025"/>
      <c r="BO60241" s="43"/>
    </row>
    <row r="60242" spans="65:67" ht="18.75" customHeight="1">
      <c r="BM60242" s="1025"/>
      <c r="BO60242" s="43"/>
    </row>
    <row r="60243" spans="65:67" ht="18.75" customHeight="1">
      <c r="BM60243" s="1025"/>
      <c r="BO60243" s="43"/>
    </row>
    <row r="60244" spans="65:67" ht="18.75" customHeight="1">
      <c r="BM60244" s="1025"/>
      <c r="BO60244" s="43"/>
    </row>
    <row r="60245" spans="65:67" ht="18.75" customHeight="1">
      <c r="BM60245" s="1025"/>
      <c r="BO60245" s="43"/>
    </row>
    <row r="60246" spans="65:67" ht="18.75" customHeight="1">
      <c r="BM60246" s="1025"/>
      <c r="BO60246" s="43"/>
    </row>
    <row r="60247" spans="65:67" ht="18.75" customHeight="1">
      <c r="BM60247" s="1025"/>
      <c r="BO60247" s="43"/>
    </row>
    <row r="60248" spans="65:67" ht="18.75" customHeight="1">
      <c r="BM60248" s="1025"/>
      <c r="BO60248" s="43"/>
    </row>
    <row r="60249" spans="65:67" ht="18.75" customHeight="1">
      <c r="BM60249" s="1025"/>
      <c r="BO60249" s="43"/>
    </row>
    <row r="60250" spans="65:67" ht="18.75" customHeight="1">
      <c r="BM60250" s="1025"/>
      <c r="BO60250" s="43"/>
    </row>
    <row r="60251" spans="65:67" ht="18.75" customHeight="1">
      <c r="BM60251" s="1025"/>
      <c r="BO60251" s="43"/>
    </row>
    <row r="60252" spans="65:67" ht="18.75" customHeight="1">
      <c r="BM60252" s="1025"/>
      <c r="BO60252" s="43"/>
    </row>
    <row r="60253" spans="65:67" ht="18.75" customHeight="1">
      <c r="BM60253" s="1025"/>
      <c r="BO60253" s="43"/>
    </row>
    <row r="60254" spans="65:67" ht="18.75" customHeight="1">
      <c r="BM60254" s="1025"/>
      <c r="BO60254" s="43"/>
    </row>
    <row r="60255" spans="65:67" ht="18.75" customHeight="1">
      <c r="BM60255" s="1025"/>
      <c r="BO60255" s="43"/>
    </row>
    <row r="60256" spans="65:67" ht="18.75" customHeight="1">
      <c r="BM60256" s="1025"/>
      <c r="BO60256" s="43"/>
    </row>
    <row r="60257" spans="65:67" ht="18.75" customHeight="1">
      <c r="BM60257" s="1025"/>
      <c r="BO60257" s="43"/>
    </row>
    <row r="60258" spans="65:67" ht="18.75" customHeight="1">
      <c r="BM60258" s="1025"/>
      <c r="BO60258" s="43"/>
    </row>
    <row r="60259" spans="65:67" ht="18.75" customHeight="1">
      <c r="BM60259" s="1025"/>
      <c r="BO60259" s="43"/>
    </row>
    <row r="60260" spans="65:67" ht="18.75" customHeight="1">
      <c r="BM60260" s="1025"/>
      <c r="BO60260" s="43"/>
    </row>
    <row r="60261" spans="65:67" ht="18.75" customHeight="1">
      <c r="BM60261" s="1025"/>
      <c r="BO60261" s="43"/>
    </row>
    <row r="60262" spans="65:67" ht="18.75" customHeight="1">
      <c r="BM60262" s="1025"/>
      <c r="BO60262" s="43"/>
    </row>
    <row r="60263" spans="65:67" ht="18.75" customHeight="1">
      <c r="BM60263" s="1025"/>
      <c r="BO60263" s="43"/>
    </row>
    <row r="60264" spans="65:67" ht="18.75" customHeight="1">
      <c r="BM60264" s="1025"/>
      <c r="BO60264" s="43"/>
    </row>
    <row r="60265" spans="65:67" ht="18.75" customHeight="1">
      <c r="BM60265" s="1025"/>
      <c r="BO60265" s="43"/>
    </row>
    <row r="60266" spans="65:67" ht="18.75" customHeight="1">
      <c r="BM60266" s="1025"/>
      <c r="BO60266" s="43"/>
    </row>
    <row r="60267" spans="65:67" ht="18.75" customHeight="1">
      <c r="BM60267" s="1025"/>
      <c r="BO60267" s="43"/>
    </row>
    <row r="60268" spans="65:67" ht="18.75" customHeight="1">
      <c r="BM60268" s="1025"/>
      <c r="BO60268" s="43"/>
    </row>
    <row r="60269" spans="65:67" ht="18.75" customHeight="1">
      <c r="BM60269" s="1025"/>
      <c r="BO60269" s="43"/>
    </row>
    <row r="60270" spans="65:67" ht="18.75" customHeight="1">
      <c r="BM60270" s="1025"/>
      <c r="BO60270" s="43"/>
    </row>
    <row r="60271" spans="65:67" ht="18.75" customHeight="1">
      <c r="BM60271" s="1025"/>
      <c r="BO60271" s="43"/>
    </row>
    <row r="60272" spans="65:67" ht="18.75" customHeight="1">
      <c r="BM60272" s="1025"/>
      <c r="BO60272" s="43"/>
    </row>
    <row r="60273" spans="65:67" ht="18.75" customHeight="1">
      <c r="BM60273" s="1025"/>
      <c r="BO60273" s="43"/>
    </row>
    <row r="60274" spans="65:67" ht="18.75" customHeight="1">
      <c r="BM60274" s="1025"/>
      <c r="BO60274" s="43"/>
    </row>
    <row r="60275" spans="65:67" ht="18.75" customHeight="1">
      <c r="BM60275" s="1025"/>
      <c r="BO60275" s="43"/>
    </row>
    <row r="60276" spans="65:67" ht="18.75" customHeight="1">
      <c r="BM60276" s="1025"/>
      <c r="BO60276" s="43"/>
    </row>
    <row r="60277" spans="65:67" ht="18.75" customHeight="1">
      <c r="BM60277" s="1025"/>
      <c r="BO60277" s="43"/>
    </row>
    <row r="60278" spans="65:67" ht="18.75" customHeight="1">
      <c r="BM60278" s="1025"/>
      <c r="BO60278" s="43"/>
    </row>
    <row r="60279" spans="65:67" ht="18.75" customHeight="1">
      <c r="BM60279" s="1025"/>
      <c r="BO60279" s="43"/>
    </row>
    <row r="60280" spans="65:67" ht="18.75" customHeight="1">
      <c r="BM60280" s="1025"/>
      <c r="BO60280" s="43"/>
    </row>
    <row r="60281" spans="65:67" ht="18.75" customHeight="1">
      <c r="BM60281" s="1025"/>
      <c r="BO60281" s="43"/>
    </row>
    <row r="60282" spans="65:67" ht="18.75" customHeight="1">
      <c r="BM60282" s="1025"/>
      <c r="BO60282" s="43"/>
    </row>
    <row r="60283" spans="65:67" ht="18.75" customHeight="1">
      <c r="BM60283" s="1025"/>
      <c r="BO60283" s="43"/>
    </row>
    <row r="60284" spans="65:67" ht="18.75" customHeight="1">
      <c r="BM60284" s="1025"/>
      <c r="BO60284" s="43"/>
    </row>
    <row r="60285" spans="65:67" ht="18.75" customHeight="1">
      <c r="BM60285" s="1025"/>
      <c r="BO60285" s="43"/>
    </row>
    <row r="60286" spans="65:67" ht="18.75" customHeight="1">
      <c r="BM60286" s="1025"/>
      <c r="BO60286" s="43"/>
    </row>
    <row r="60287" spans="65:67" ht="18.75" customHeight="1">
      <c r="BM60287" s="1025"/>
      <c r="BO60287" s="43"/>
    </row>
    <row r="60288" spans="65:67" ht="18.75" customHeight="1">
      <c r="BM60288" s="1025"/>
      <c r="BO60288" s="43"/>
    </row>
    <row r="60289" spans="65:67" ht="18.75" customHeight="1">
      <c r="BM60289" s="1025"/>
      <c r="BO60289" s="43"/>
    </row>
    <row r="60290" spans="65:67" ht="18.75" customHeight="1">
      <c r="BM60290" s="1025"/>
      <c r="BO60290" s="43"/>
    </row>
    <row r="60291" spans="65:67" ht="18.75" customHeight="1">
      <c r="BM60291" s="1025"/>
      <c r="BO60291" s="43"/>
    </row>
    <row r="60292" spans="65:67" ht="18.75" customHeight="1">
      <c r="BM60292" s="1025"/>
      <c r="BO60292" s="43"/>
    </row>
    <row r="60293" spans="65:67" ht="18.75" customHeight="1">
      <c r="BM60293" s="1025"/>
      <c r="BO60293" s="43"/>
    </row>
    <row r="60294" spans="65:67" ht="18.75" customHeight="1">
      <c r="BM60294" s="1025"/>
      <c r="BO60294" s="43"/>
    </row>
    <row r="60295" spans="65:67" ht="18.75" customHeight="1">
      <c r="BM60295" s="1025"/>
      <c r="BO60295" s="43"/>
    </row>
    <row r="60296" spans="65:67" ht="18.75" customHeight="1">
      <c r="BM60296" s="1025"/>
      <c r="BO60296" s="43"/>
    </row>
    <row r="60297" spans="65:67" ht="18.75" customHeight="1">
      <c r="BM60297" s="1025"/>
      <c r="BO60297" s="43"/>
    </row>
    <row r="60298" spans="65:67" ht="18.75" customHeight="1">
      <c r="BM60298" s="1025"/>
      <c r="BO60298" s="43"/>
    </row>
    <row r="60299" spans="65:67" ht="18.75" customHeight="1">
      <c r="BM60299" s="1025"/>
      <c r="BO60299" s="43"/>
    </row>
    <row r="60300" spans="65:67" ht="18.75" customHeight="1">
      <c r="BM60300" s="1025"/>
      <c r="BO60300" s="43"/>
    </row>
    <row r="60301" spans="65:67" ht="18.75" customHeight="1">
      <c r="BM60301" s="1025"/>
      <c r="BO60301" s="43"/>
    </row>
    <row r="60302" spans="65:67" ht="18.75" customHeight="1">
      <c r="BM60302" s="1025"/>
      <c r="BO60302" s="43"/>
    </row>
    <row r="60303" spans="65:67" ht="18.75" customHeight="1">
      <c r="BM60303" s="1025"/>
      <c r="BO60303" s="43"/>
    </row>
    <row r="60304" spans="65:67" ht="18.75" customHeight="1">
      <c r="BM60304" s="1025"/>
      <c r="BO60304" s="43"/>
    </row>
    <row r="60305" spans="65:67" ht="18.75" customHeight="1">
      <c r="BM60305" s="1025"/>
      <c r="BO60305" s="43"/>
    </row>
    <row r="60306" spans="65:67" ht="18.75" customHeight="1">
      <c r="BM60306" s="1025"/>
      <c r="BO60306" s="43"/>
    </row>
    <row r="60307" spans="65:67" ht="18.75" customHeight="1">
      <c r="BM60307" s="1025"/>
      <c r="BO60307" s="43"/>
    </row>
    <row r="60308" spans="65:67" ht="18.75" customHeight="1">
      <c r="BM60308" s="1025"/>
      <c r="BO60308" s="43"/>
    </row>
    <row r="60309" spans="65:67" ht="18.75" customHeight="1">
      <c r="BM60309" s="1025"/>
      <c r="BO60309" s="43"/>
    </row>
    <row r="60310" spans="65:67" ht="18.75" customHeight="1">
      <c r="BM60310" s="1025"/>
      <c r="BO60310" s="43"/>
    </row>
    <row r="60311" spans="65:67" ht="18.75" customHeight="1">
      <c r="BM60311" s="1025"/>
      <c r="BO60311" s="43"/>
    </row>
    <row r="60312" spans="65:67" ht="18.75" customHeight="1">
      <c r="BM60312" s="1025"/>
      <c r="BO60312" s="43"/>
    </row>
    <row r="60313" spans="65:67" ht="18.75" customHeight="1">
      <c r="BM60313" s="1025"/>
      <c r="BO60313" s="43"/>
    </row>
    <row r="60314" spans="65:67" ht="18.75" customHeight="1">
      <c r="BM60314" s="1025"/>
      <c r="BO60314" s="43"/>
    </row>
    <row r="60315" spans="65:67" ht="18.75" customHeight="1">
      <c r="BM60315" s="1025"/>
      <c r="BO60315" s="43"/>
    </row>
    <row r="60316" spans="65:67" ht="18.75" customHeight="1">
      <c r="BM60316" s="1025"/>
      <c r="BO60316" s="43"/>
    </row>
    <row r="60317" spans="65:67" ht="18.75" customHeight="1">
      <c r="BM60317" s="1025"/>
      <c r="BO60317" s="43"/>
    </row>
    <row r="60318" spans="65:67" ht="18.75" customHeight="1">
      <c r="BM60318" s="1025"/>
      <c r="BO60318" s="43"/>
    </row>
    <row r="60319" spans="65:67" ht="18.75" customHeight="1">
      <c r="BM60319" s="1025"/>
      <c r="BO60319" s="43"/>
    </row>
    <row r="60320" spans="65:67" ht="18.75" customHeight="1">
      <c r="BM60320" s="1025"/>
      <c r="BO60320" s="43"/>
    </row>
    <row r="60321" spans="65:67" ht="18.75" customHeight="1">
      <c r="BM60321" s="1025"/>
      <c r="BO60321" s="43"/>
    </row>
    <row r="60322" spans="65:67" ht="18.75" customHeight="1">
      <c r="BM60322" s="1025"/>
      <c r="BO60322" s="43"/>
    </row>
    <row r="60323" spans="65:67" ht="18.75" customHeight="1">
      <c r="BM60323" s="1025"/>
      <c r="BO60323" s="43"/>
    </row>
    <row r="60324" spans="65:67" ht="18.75" customHeight="1">
      <c r="BM60324" s="1025"/>
      <c r="BO60324" s="43"/>
    </row>
    <row r="60325" spans="65:67" ht="18.75" customHeight="1">
      <c r="BM60325" s="1025"/>
      <c r="BO60325" s="43"/>
    </row>
    <row r="60326" spans="65:67" ht="18.75" customHeight="1">
      <c r="BM60326" s="1025"/>
      <c r="BO60326" s="43"/>
    </row>
    <row r="60327" spans="65:67" ht="18.75" customHeight="1">
      <c r="BM60327" s="1025"/>
      <c r="BO60327" s="43"/>
    </row>
    <row r="60328" spans="65:67" ht="18.75" customHeight="1">
      <c r="BM60328" s="1025"/>
      <c r="BO60328" s="43"/>
    </row>
    <row r="60329" spans="65:67" ht="18.75" customHeight="1">
      <c r="BM60329" s="1025"/>
      <c r="BO60329" s="43"/>
    </row>
    <row r="60330" spans="65:67" ht="18.75" customHeight="1">
      <c r="BM60330" s="1025"/>
      <c r="BO60330" s="43"/>
    </row>
    <row r="60331" spans="65:67" ht="18.75" customHeight="1">
      <c r="BM60331" s="1025"/>
      <c r="BO60331" s="43"/>
    </row>
    <row r="60332" spans="65:67" ht="18.75" customHeight="1">
      <c r="BM60332" s="1025"/>
      <c r="BO60332" s="43"/>
    </row>
    <row r="60333" spans="65:67" ht="18.75" customHeight="1">
      <c r="BM60333" s="1025"/>
      <c r="BO60333" s="43"/>
    </row>
    <row r="60334" spans="65:67" ht="18.75" customHeight="1">
      <c r="BM60334" s="1025"/>
      <c r="BO60334" s="43"/>
    </row>
    <row r="60335" spans="65:67" ht="18.75" customHeight="1">
      <c r="BM60335" s="1025"/>
      <c r="BO60335" s="43"/>
    </row>
    <row r="60336" spans="65:67" ht="18.75" customHeight="1">
      <c r="BM60336" s="1025"/>
      <c r="BO60336" s="43"/>
    </row>
    <row r="60337" spans="65:67" ht="18.75" customHeight="1">
      <c r="BM60337" s="1025"/>
      <c r="BO60337" s="43"/>
    </row>
    <row r="60338" spans="65:67" ht="18.75" customHeight="1">
      <c r="BM60338" s="1025"/>
      <c r="BO60338" s="43"/>
    </row>
    <row r="60339" spans="65:67" ht="18.75" customHeight="1">
      <c r="BM60339" s="1025"/>
      <c r="BO60339" s="43"/>
    </row>
    <row r="60340" spans="65:67" ht="18.75" customHeight="1">
      <c r="BM60340" s="1025"/>
      <c r="BO60340" s="43"/>
    </row>
    <row r="60341" spans="65:67" ht="18.75" customHeight="1">
      <c r="BM60341" s="1025"/>
      <c r="BO60341" s="43"/>
    </row>
    <row r="60342" spans="65:67" ht="18.75" customHeight="1">
      <c r="BM60342" s="1025"/>
      <c r="BO60342" s="43"/>
    </row>
    <row r="60343" spans="65:67" ht="18.75" customHeight="1">
      <c r="BM60343" s="1025"/>
      <c r="BO60343" s="43"/>
    </row>
    <row r="60344" spans="65:67" ht="18.75" customHeight="1">
      <c r="BM60344" s="1025"/>
      <c r="BO60344" s="43"/>
    </row>
    <row r="60345" spans="65:67" ht="18.75" customHeight="1">
      <c r="BM60345" s="1025"/>
      <c r="BO60345" s="43"/>
    </row>
    <row r="60346" spans="65:67" ht="18.75" customHeight="1">
      <c r="BM60346" s="1025"/>
      <c r="BO60346" s="43"/>
    </row>
    <row r="60347" spans="65:67" ht="18.75" customHeight="1">
      <c r="BM60347" s="1025"/>
      <c r="BO60347" s="43"/>
    </row>
    <row r="60348" spans="65:67" ht="18.75" customHeight="1">
      <c r="BM60348" s="1025"/>
      <c r="BO60348" s="43"/>
    </row>
    <row r="60349" spans="65:67" ht="18.75" customHeight="1">
      <c r="BM60349" s="1025"/>
      <c r="BO60349" s="43"/>
    </row>
    <row r="60350" spans="65:67" ht="18.75" customHeight="1">
      <c r="BM60350" s="1025"/>
      <c r="BO60350" s="43"/>
    </row>
    <row r="60351" spans="65:67" ht="18.75" customHeight="1">
      <c r="BM60351" s="1025"/>
      <c r="BO60351" s="43"/>
    </row>
    <row r="60352" spans="65:67" ht="18.75" customHeight="1">
      <c r="BM60352" s="1025"/>
      <c r="BO60352" s="43"/>
    </row>
    <row r="60353" spans="65:67" ht="18.75" customHeight="1">
      <c r="BM60353" s="1025"/>
      <c r="BO60353" s="43"/>
    </row>
    <row r="60354" spans="65:67" ht="18.75" customHeight="1">
      <c r="BM60354" s="1025"/>
      <c r="BO60354" s="43"/>
    </row>
    <row r="60355" spans="65:67" ht="18.75" customHeight="1">
      <c r="BM60355" s="1025"/>
      <c r="BO60355" s="43"/>
    </row>
    <row r="60356" spans="65:67" ht="18.75" customHeight="1">
      <c r="BM60356" s="1025"/>
      <c r="BO60356" s="43"/>
    </row>
    <row r="60357" spans="65:67" ht="18.75" customHeight="1">
      <c r="BM60357" s="1025"/>
      <c r="BO60357" s="43"/>
    </row>
    <row r="60358" spans="65:67" ht="18.75" customHeight="1">
      <c r="BM60358" s="1025"/>
      <c r="BO60358" s="43"/>
    </row>
    <row r="60359" spans="65:67" ht="18.75" customHeight="1">
      <c r="BM60359" s="1025"/>
      <c r="BO60359" s="43"/>
    </row>
    <row r="60360" spans="65:67" ht="18.75" customHeight="1">
      <c r="BM60360" s="1025"/>
      <c r="BO60360" s="43"/>
    </row>
    <row r="60361" spans="65:67" ht="18.75" customHeight="1">
      <c r="BM60361" s="1025"/>
      <c r="BO60361" s="43"/>
    </row>
    <row r="60362" spans="65:67" ht="18.75" customHeight="1">
      <c r="BM60362" s="1025"/>
      <c r="BO60362" s="43"/>
    </row>
    <row r="60363" spans="65:67" ht="18.75" customHeight="1">
      <c r="BM60363" s="1025"/>
      <c r="BO60363" s="43"/>
    </row>
    <row r="60364" spans="65:67" ht="18.75" customHeight="1">
      <c r="BM60364" s="1025"/>
      <c r="BO60364" s="43"/>
    </row>
    <row r="60365" spans="65:67" ht="18.75" customHeight="1">
      <c r="BM60365" s="1025"/>
      <c r="BO60365" s="43"/>
    </row>
    <row r="60366" spans="65:67" ht="18.75" customHeight="1">
      <c r="BM60366" s="1025"/>
      <c r="BO60366" s="43"/>
    </row>
    <row r="60367" spans="65:67" ht="18.75" customHeight="1">
      <c r="BM60367" s="1025"/>
      <c r="BO60367" s="43"/>
    </row>
    <row r="60368" spans="65:67" ht="18.75" customHeight="1">
      <c r="BM60368" s="1025"/>
      <c r="BO60368" s="43"/>
    </row>
    <row r="60369" spans="65:67" ht="18.75" customHeight="1">
      <c r="BM60369" s="1025"/>
      <c r="BO60369" s="43"/>
    </row>
    <row r="60370" spans="65:67" ht="18.75" customHeight="1">
      <c r="BM60370" s="1025"/>
      <c r="BO60370" s="43"/>
    </row>
    <row r="60371" spans="65:67" ht="18.75" customHeight="1">
      <c r="BM60371" s="1025"/>
      <c r="BO60371" s="43"/>
    </row>
    <row r="60372" spans="65:67" ht="18.75" customHeight="1">
      <c r="BM60372" s="1025"/>
      <c r="BO60372" s="43"/>
    </row>
    <row r="60373" spans="65:67" ht="18.75" customHeight="1">
      <c r="BM60373" s="1025"/>
      <c r="BO60373" s="43"/>
    </row>
    <row r="60374" spans="65:67" ht="18.75" customHeight="1">
      <c r="BM60374" s="1025"/>
      <c r="BO60374" s="43"/>
    </row>
    <row r="60375" spans="65:67" ht="18.75" customHeight="1">
      <c r="BM60375" s="1025"/>
      <c r="BO60375" s="43"/>
    </row>
    <row r="60376" spans="65:67" ht="18.75" customHeight="1">
      <c r="BM60376" s="1025"/>
      <c r="BO60376" s="43"/>
    </row>
    <row r="60377" spans="65:67" ht="18.75" customHeight="1">
      <c r="BM60377" s="1025"/>
      <c r="BO60377" s="43"/>
    </row>
    <row r="60378" spans="65:67" ht="18.75" customHeight="1">
      <c r="BM60378" s="1025"/>
      <c r="BO60378" s="43"/>
    </row>
    <row r="60379" spans="65:67" ht="18.75" customHeight="1">
      <c r="BM60379" s="1025"/>
      <c r="BO60379" s="43"/>
    </row>
    <row r="60380" spans="65:67" ht="18.75" customHeight="1">
      <c r="BM60380" s="1025"/>
      <c r="BO60380" s="43"/>
    </row>
    <row r="60381" spans="65:67" ht="18.75" customHeight="1">
      <c r="BM60381" s="1025"/>
      <c r="BO60381" s="43"/>
    </row>
    <row r="60382" spans="65:67" ht="18.75" customHeight="1">
      <c r="BM60382" s="1025"/>
      <c r="BO60382" s="43"/>
    </row>
    <row r="60383" spans="65:67" ht="18.75" customHeight="1">
      <c r="BM60383" s="1025"/>
      <c r="BO60383" s="43"/>
    </row>
    <row r="60384" spans="65:67" ht="18.75" customHeight="1">
      <c r="BM60384" s="1025"/>
      <c r="BO60384" s="43"/>
    </row>
    <row r="60385" spans="65:67" ht="18.75" customHeight="1">
      <c r="BM60385" s="1025"/>
      <c r="BO60385" s="43"/>
    </row>
    <row r="60386" spans="65:67" ht="18.75" customHeight="1">
      <c r="BM60386" s="1025"/>
      <c r="BO60386" s="43"/>
    </row>
    <row r="60387" spans="65:67" ht="18.75" customHeight="1">
      <c r="BM60387" s="1025"/>
      <c r="BO60387" s="43"/>
    </row>
    <row r="60388" spans="65:67" ht="18.75" customHeight="1">
      <c r="BM60388" s="1025"/>
      <c r="BO60388" s="43"/>
    </row>
    <row r="60389" spans="65:67" ht="18.75" customHeight="1">
      <c r="BM60389" s="1025"/>
      <c r="BO60389" s="43"/>
    </row>
    <row r="60390" spans="65:67" ht="18.75" customHeight="1">
      <c r="BM60390" s="1025"/>
      <c r="BO60390" s="43"/>
    </row>
    <row r="60391" spans="65:67" ht="18.75" customHeight="1">
      <c r="BM60391" s="1025"/>
      <c r="BO60391" s="43"/>
    </row>
    <row r="60392" spans="65:67" ht="18.75" customHeight="1">
      <c r="BM60392" s="1025"/>
      <c r="BO60392" s="43"/>
    </row>
    <row r="60393" spans="65:67" ht="18.75" customHeight="1">
      <c r="BM60393" s="1025"/>
      <c r="BO60393" s="43"/>
    </row>
    <row r="60394" spans="65:67" ht="18.75" customHeight="1">
      <c r="BM60394" s="1025"/>
      <c r="BO60394" s="43"/>
    </row>
    <row r="60395" spans="65:67" ht="18.75" customHeight="1">
      <c r="BM60395" s="1025"/>
      <c r="BO60395" s="43"/>
    </row>
    <row r="60396" spans="65:67" ht="18.75" customHeight="1">
      <c r="BM60396" s="1025"/>
      <c r="BO60396" s="43"/>
    </row>
    <row r="60397" spans="65:67" ht="18.75" customHeight="1">
      <c r="BM60397" s="1025"/>
      <c r="BO60397" s="43"/>
    </row>
    <row r="60398" spans="65:67" ht="18.75" customHeight="1">
      <c r="BM60398" s="1025"/>
      <c r="BO60398" s="43"/>
    </row>
    <row r="60399" spans="65:67" ht="18.75" customHeight="1">
      <c r="BM60399" s="1025"/>
      <c r="BO60399" s="43"/>
    </row>
    <row r="60400" spans="65:67" ht="18.75" customHeight="1">
      <c r="BM60400" s="1025"/>
      <c r="BO60400" s="43"/>
    </row>
    <row r="60401" spans="65:67" ht="18.75" customHeight="1">
      <c r="BM60401" s="1025"/>
      <c r="BO60401" s="43"/>
    </row>
    <row r="60402" spans="65:67" ht="18.75" customHeight="1">
      <c r="BM60402" s="1025"/>
      <c r="BO60402" s="43"/>
    </row>
    <row r="60403" spans="65:67" ht="18.75" customHeight="1">
      <c r="BM60403" s="1025"/>
      <c r="BO60403" s="43"/>
    </row>
    <row r="60404" spans="65:67" ht="18.75" customHeight="1">
      <c r="BM60404" s="1025"/>
      <c r="BO60404" s="43"/>
    </row>
    <row r="60405" spans="65:67" ht="18.75" customHeight="1">
      <c r="BM60405" s="1025"/>
      <c r="BO60405" s="43"/>
    </row>
    <row r="60406" spans="65:67" ht="18.75" customHeight="1">
      <c r="BM60406" s="1025"/>
      <c r="BO60406" s="43"/>
    </row>
    <row r="60407" spans="65:67" ht="18.75" customHeight="1">
      <c r="BM60407" s="1025"/>
      <c r="BO60407" s="43"/>
    </row>
    <row r="60408" spans="65:67" ht="18.75" customHeight="1">
      <c r="BM60408" s="1025"/>
      <c r="BO60408" s="43"/>
    </row>
    <row r="60409" spans="65:67" ht="18.75" customHeight="1">
      <c r="BM60409" s="1025"/>
      <c r="BO60409" s="43"/>
    </row>
    <row r="60410" spans="65:67" ht="18.75" customHeight="1">
      <c r="BM60410" s="1025"/>
      <c r="BO60410" s="43"/>
    </row>
    <row r="60411" spans="65:67" ht="18.75" customHeight="1">
      <c r="BM60411" s="1025"/>
      <c r="BO60411" s="43"/>
    </row>
    <row r="60412" spans="65:67" ht="18.75" customHeight="1">
      <c r="BM60412" s="1025"/>
      <c r="BO60412" s="43"/>
    </row>
    <row r="60413" spans="65:67" ht="18.75" customHeight="1">
      <c r="BM60413" s="1025"/>
      <c r="BO60413" s="43"/>
    </row>
    <row r="60414" spans="65:67" ht="18.75" customHeight="1">
      <c r="BM60414" s="1025"/>
      <c r="BO60414" s="43"/>
    </row>
    <row r="60415" spans="65:67" ht="18.75" customHeight="1">
      <c r="BM60415" s="1025"/>
      <c r="BO60415" s="43"/>
    </row>
    <row r="60416" spans="65:67" ht="18.75" customHeight="1">
      <c r="BM60416" s="1025"/>
      <c r="BO60416" s="43"/>
    </row>
    <row r="60417" spans="65:67" ht="18.75" customHeight="1">
      <c r="BM60417" s="1025"/>
      <c r="BO60417" s="43"/>
    </row>
    <row r="60418" spans="65:67" ht="18.75" customHeight="1">
      <c r="BM60418" s="1025"/>
      <c r="BO60418" s="43"/>
    </row>
    <row r="60419" spans="65:67" ht="18.75" customHeight="1">
      <c r="BM60419" s="1025"/>
      <c r="BO60419" s="43"/>
    </row>
    <row r="60420" spans="65:67" ht="18.75" customHeight="1">
      <c r="BM60420" s="1025"/>
      <c r="BO60420" s="43"/>
    </row>
    <row r="60421" spans="65:67" ht="18.75" customHeight="1">
      <c r="BM60421" s="1025"/>
      <c r="BO60421" s="43"/>
    </row>
    <row r="60422" spans="65:67" ht="18.75" customHeight="1">
      <c r="BM60422" s="1025"/>
      <c r="BO60422" s="43"/>
    </row>
    <row r="60423" spans="65:67" ht="18.75" customHeight="1">
      <c r="BM60423" s="1025"/>
      <c r="BO60423" s="43"/>
    </row>
    <row r="60424" spans="65:67" ht="18.75" customHeight="1">
      <c r="BM60424" s="1025"/>
      <c r="BO60424" s="43"/>
    </row>
    <row r="60425" spans="65:67" ht="18.75" customHeight="1">
      <c r="BM60425" s="1025"/>
      <c r="BO60425" s="43"/>
    </row>
    <row r="60426" spans="65:67" ht="18.75" customHeight="1">
      <c r="BM60426" s="1025"/>
      <c r="BO60426" s="43"/>
    </row>
    <row r="60427" spans="65:67" ht="18.75" customHeight="1">
      <c r="BM60427" s="1025"/>
      <c r="BO60427" s="43"/>
    </row>
    <row r="60428" spans="65:67" ht="18.75" customHeight="1">
      <c r="BM60428" s="1025"/>
      <c r="BO60428" s="43"/>
    </row>
    <row r="60429" spans="65:67" ht="18.75" customHeight="1">
      <c r="BM60429" s="1025"/>
      <c r="BO60429" s="43"/>
    </row>
    <row r="60430" spans="65:67" ht="18.75" customHeight="1">
      <c r="BM60430" s="1025"/>
      <c r="BO60430" s="43"/>
    </row>
    <row r="60431" spans="65:67" ht="18.75" customHeight="1">
      <c r="BM60431" s="1025"/>
      <c r="BO60431" s="43"/>
    </row>
    <row r="60432" spans="65:67" ht="18.75" customHeight="1">
      <c r="BM60432" s="1025"/>
      <c r="BO60432" s="43"/>
    </row>
    <row r="60433" spans="65:67" ht="18.75" customHeight="1">
      <c r="BM60433" s="1025"/>
      <c r="BO60433" s="43"/>
    </row>
    <row r="60434" spans="65:67" ht="18.75" customHeight="1">
      <c r="BM60434" s="1025"/>
      <c r="BO60434" s="43"/>
    </row>
    <row r="60435" spans="65:67" ht="18.75" customHeight="1">
      <c r="BM60435" s="1025"/>
      <c r="BO60435" s="43"/>
    </row>
    <row r="60436" spans="65:67" ht="18.75" customHeight="1">
      <c r="BM60436" s="1025"/>
      <c r="BO60436" s="43"/>
    </row>
    <row r="60437" spans="65:67" ht="18.75" customHeight="1">
      <c r="BM60437" s="1025"/>
      <c r="BO60437" s="43"/>
    </row>
    <row r="60438" spans="65:67" ht="18.75" customHeight="1">
      <c r="BM60438" s="1025"/>
      <c r="BO60438" s="43"/>
    </row>
    <row r="60439" spans="65:67" ht="18.75" customHeight="1">
      <c r="BM60439" s="1025"/>
      <c r="BO60439" s="43"/>
    </row>
    <row r="60440" spans="65:67" ht="18.75" customHeight="1">
      <c r="BM60440" s="1025"/>
      <c r="BO60440" s="43"/>
    </row>
    <row r="60441" spans="65:67" ht="18.75" customHeight="1">
      <c r="BM60441" s="1025"/>
      <c r="BO60441" s="43"/>
    </row>
    <row r="60442" spans="65:67" ht="18.75" customHeight="1">
      <c r="BM60442" s="1025"/>
      <c r="BO60442" s="43"/>
    </row>
    <row r="60443" spans="65:67" ht="18.75" customHeight="1">
      <c r="BM60443" s="1025"/>
      <c r="BO60443" s="43"/>
    </row>
    <row r="60444" spans="65:67" ht="18.75" customHeight="1">
      <c r="BM60444" s="1025"/>
      <c r="BO60444" s="43"/>
    </row>
    <row r="60445" spans="65:67" ht="18.75" customHeight="1">
      <c r="BM60445" s="1025"/>
      <c r="BO60445" s="43"/>
    </row>
    <row r="60446" spans="65:67" ht="18.75" customHeight="1">
      <c r="BM60446" s="1025"/>
      <c r="BO60446" s="43"/>
    </row>
    <row r="60447" spans="65:67" ht="18.75" customHeight="1">
      <c r="BM60447" s="1025"/>
      <c r="BO60447" s="43"/>
    </row>
    <row r="60448" spans="65:67" ht="18.75" customHeight="1">
      <c r="BM60448" s="1025"/>
      <c r="BO60448" s="43"/>
    </row>
    <row r="60449" spans="65:67" ht="18.75" customHeight="1">
      <c r="BM60449" s="1025"/>
      <c r="BO60449" s="43"/>
    </row>
    <row r="60450" spans="65:67" ht="18.75" customHeight="1">
      <c r="BM60450" s="1025"/>
      <c r="BO60450" s="43"/>
    </row>
    <row r="60451" spans="65:67" ht="18.75" customHeight="1">
      <c r="BM60451" s="1025"/>
      <c r="BO60451" s="43"/>
    </row>
    <row r="60452" spans="65:67" ht="18.75" customHeight="1">
      <c r="BM60452" s="1025"/>
      <c r="BO60452" s="43"/>
    </row>
    <row r="60453" spans="65:67" ht="18.75" customHeight="1">
      <c r="BM60453" s="1025"/>
      <c r="BO60453" s="43"/>
    </row>
    <row r="60454" spans="65:67" ht="18.75" customHeight="1">
      <c r="BM60454" s="1025"/>
      <c r="BO60454" s="43"/>
    </row>
    <row r="60455" spans="65:67" ht="18.75" customHeight="1">
      <c r="BM60455" s="1025"/>
      <c r="BO60455" s="43"/>
    </row>
    <row r="60456" spans="65:67" ht="18.75" customHeight="1">
      <c r="BM60456" s="1025"/>
      <c r="BO60456" s="43"/>
    </row>
    <row r="60457" spans="65:67" ht="18.75" customHeight="1">
      <c r="BM60457" s="1025"/>
      <c r="BO60457" s="43"/>
    </row>
    <row r="60458" spans="65:67" ht="18.75" customHeight="1">
      <c r="BM60458" s="1025"/>
      <c r="BO60458" s="43"/>
    </row>
    <row r="60459" spans="65:67" ht="18.75" customHeight="1">
      <c r="BM60459" s="1025"/>
      <c r="BO60459" s="43"/>
    </row>
    <row r="60460" spans="65:67" ht="18.75" customHeight="1">
      <c r="BM60460" s="1025"/>
      <c r="BO60460" s="43"/>
    </row>
    <row r="60461" spans="65:67" ht="18.75" customHeight="1">
      <c r="BM60461" s="1025"/>
      <c r="BO60461" s="43"/>
    </row>
    <row r="60462" spans="65:67" ht="18.75" customHeight="1">
      <c r="BM60462" s="1025"/>
      <c r="BO60462" s="43"/>
    </row>
    <row r="60463" spans="65:67" ht="18.75" customHeight="1">
      <c r="BM60463" s="1025"/>
      <c r="BO60463" s="43"/>
    </row>
    <row r="60464" spans="65:67" ht="18.75" customHeight="1">
      <c r="BM60464" s="1025"/>
      <c r="BO60464" s="43"/>
    </row>
    <row r="60465" spans="65:67" ht="18.75" customHeight="1">
      <c r="BM60465" s="1025"/>
      <c r="BO60465" s="43"/>
    </row>
    <row r="60466" spans="65:67" ht="18.75" customHeight="1">
      <c r="BM60466" s="1025"/>
      <c r="BO60466" s="43"/>
    </row>
    <row r="60467" spans="65:67" ht="18.75" customHeight="1">
      <c r="BM60467" s="1025"/>
      <c r="BO60467" s="43"/>
    </row>
    <row r="60468" spans="65:67" ht="18.75" customHeight="1">
      <c r="BM60468" s="1025"/>
      <c r="BO60468" s="43"/>
    </row>
    <row r="60469" spans="65:67" ht="18.75" customHeight="1">
      <c r="BM60469" s="1025"/>
      <c r="BO60469" s="43"/>
    </row>
    <row r="60470" spans="65:67" ht="18.75" customHeight="1">
      <c r="BM60470" s="1025"/>
      <c r="BO60470" s="43"/>
    </row>
    <row r="60471" spans="65:67" ht="18.75" customHeight="1">
      <c r="BM60471" s="1025"/>
      <c r="BO60471" s="43"/>
    </row>
    <row r="60472" spans="65:67" ht="18.75" customHeight="1">
      <c r="BM60472" s="1025"/>
      <c r="BO60472" s="43"/>
    </row>
    <row r="60473" spans="65:67" ht="18.75" customHeight="1">
      <c r="BM60473" s="1025"/>
      <c r="BO60473" s="43"/>
    </row>
    <row r="60474" spans="65:67" ht="18.75" customHeight="1">
      <c r="BM60474" s="1025"/>
      <c r="BO60474" s="43"/>
    </row>
    <row r="60475" spans="65:67" ht="18.75" customHeight="1">
      <c r="BM60475" s="1025"/>
      <c r="BO60475" s="43"/>
    </row>
    <row r="60476" spans="65:67" ht="18.75" customHeight="1">
      <c r="BM60476" s="1025"/>
      <c r="BO60476" s="43"/>
    </row>
    <row r="60477" spans="65:67" ht="18.75" customHeight="1">
      <c r="BM60477" s="1025"/>
      <c r="BO60477" s="43"/>
    </row>
    <row r="60478" spans="65:67" ht="18.75" customHeight="1">
      <c r="BM60478" s="1025"/>
      <c r="BO60478" s="43"/>
    </row>
    <row r="60479" spans="65:67" ht="18.75" customHeight="1">
      <c r="BM60479" s="1025"/>
      <c r="BO60479" s="43"/>
    </row>
    <row r="60480" spans="65:67" ht="18.75" customHeight="1">
      <c r="BM60480" s="1025"/>
      <c r="BO60480" s="43"/>
    </row>
    <row r="60481" spans="65:67" ht="18.75" customHeight="1">
      <c r="BM60481" s="1025"/>
      <c r="BO60481" s="43"/>
    </row>
    <row r="60482" spans="65:67" ht="18.75" customHeight="1">
      <c r="BM60482" s="1025"/>
      <c r="BO60482" s="43"/>
    </row>
    <row r="60483" spans="65:67" ht="18.75" customHeight="1">
      <c r="BM60483" s="1025"/>
      <c r="BO60483" s="43"/>
    </row>
    <row r="60484" spans="65:67" ht="18.75" customHeight="1">
      <c r="BM60484" s="1025"/>
      <c r="BO60484" s="43"/>
    </row>
    <row r="60485" spans="65:67" ht="18.75" customHeight="1">
      <c r="BM60485" s="1025"/>
      <c r="BO60485" s="43"/>
    </row>
    <row r="60486" spans="65:67" ht="18.75" customHeight="1">
      <c r="BM60486" s="1025"/>
      <c r="BO60486" s="43"/>
    </row>
    <row r="60487" spans="65:67" ht="18.75" customHeight="1">
      <c r="BM60487" s="1025"/>
      <c r="BO60487" s="43"/>
    </row>
    <row r="60488" spans="65:67" ht="18.75" customHeight="1">
      <c r="BM60488" s="1025"/>
      <c r="BO60488" s="43"/>
    </row>
    <row r="60489" spans="65:67" ht="18.75" customHeight="1">
      <c r="BM60489" s="1025"/>
      <c r="BO60489" s="43"/>
    </row>
    <row r="60490" spans="65:67" ht="18.75" customHeight="1">
      <c r="BM60490" s="1025"/>
      <c r="BO60490" s="43"/>
    </row>
    <row r="60491" spans="65:67" ht="18.75" customHeight="1">
      <c r="BM60491" s="1025"/>
      <c r="BO60491" s="43"/>
    </row>
    <row r="60492" spans="65:67" ht="18.75" customHeight="1">
      <c r="BM60492" s="1025"/>
      <c r="BO60492" s="43"/>
    </row>
    <row r="60493" spans="65:67" ht="18.75" customHeight="1">
      <c r="BM60493" s="1025"/>
      <c r="BO60493" s="43"/>
    </row>
    <row r="60494" spans="65:67" ht="18.75" customHeight="1">
      <c r="BM60494" s="1025"/>
      <c r="BO60494" s="43"/>
    </row>
    <row r="60495" spans="65:67" ht="18.75" customHeight="1">
      <c r="BM60495" s="1025"/>
      <c r="BO60495" s="43"/>
    </row>
    <row r="60496" spans="65:67" ht="18.75" customHeight="1">
      <c r="BM60496" s="1025"/>
      <c r="BO60496" s="43"/>
    </row>
    <row r="60497" spans="65:67" ht="18.75" customHeight="1">
      <c r="BM60497" s="1025"/>
      <c r="BO60497" s="43"/>
    </row>
    <row r="60498" spans="65:67" ht="18.75" customHeight="1">
      <c r="BM60498" s="1025"/>
      <c r="BO60498" s="43"/>
    </row>
    <row r="60499" spans="65:67" ht="18.75" customHeight="1">
      <c r="BM60499" s="1025"/>
      <c r="BO60499" s="43"/>
    </row>
    <row r="60500" spans="65:67" ht="18.75" customHeight="1">
      <c r="BM60500" s="1025"/>
      <c r="BO60500" s="43"/>
    </row>
    <row r="60501" spans="65:67" ht="18.75" customHeight="1">
      <c r="BM60501" s="1025"/>
      <c r="BO60501" s="43"/>
    </row>
    <row r="60502" spans="65:67" ht="18.75" customHeight="1">
      <c r="BM60502" s="1025"/>
      <c r="BO60502" s="43"/>
    </row>
    <row r="60503" spans="65:67" ht="18.75" customHeight="1">
      <c r="BM60503" s="1025"/>
      <c r="BO60503" s="43"/>
    </row>
    <row r="60504" spans="65:67" ht="18.75" customHeight="1">
      <c r="BM60504" s="1025"/>
      <c r="BO60504" s="43"/>
    </row>
    <row r="60505" spans="65:67" ht="18.75" customHeight="1">
      <c r="BM60505" s="1025"/>
      <c r="BO60505" s="43"/>
    </row>
    <row r="60506" spans="65:67" ht="18.75" customHeight="1">
      <c r="BM60506" s="1025"/>
      <c r="BO60506" s="43"/>
    </row>
    <row r="60507" spans="65:67" ht="18.75" customHeight="1">
      <c r="BM60507" s="1025"/>
      <c r="BO60507" s="43"/>
    </row>
    <row r="60508" spans="65:67" ht="18.75" customHeight="1">
      <c r="BM60508" s="1025"/>
      <c r="BO60508" s="43"/>
    </row>
    <row r="60509" spans="65:67" ht="18.75" customHeight="1">
      <c r="BM60509" s="1025"/>
      <c r="BO60509" s="43"/>
    </row>
    <row r="60510" spans="65:67" ht="18.75" customHeight="1">
      <c r="BM60510" s="1025"/>
      <c r="BO60510" s="43"/>
    </row>
    <row r="60511" spans="65:67" ht="18.75" customHeight="1">
      <c r="BM60511" s="1025"/>
      <c r="BO60511" s="43"/>
    </row>
    <row r="60512" spans="65:67" ht="18.75" customHeight="1">
      <c r="BM60512" s="1025"/>
      <c r="BO60512" s="43"/>
    </row>
    <row r="60513" spans="65:67" ht="18.75" customHeight="1">
      <c r="BM60513" s="1025"/>
      <c r="BO60513" s="43"/>
    </row>
    <row r="60514" spans="65:67" ht="18.75" customHeight="1">
      <c r="BM60514" s="1025"/>
      <c r="BO60514" s="43"/>
    </row>
    <row r="60515" spans="65:67" ht="18.75" customHeight="1">
      <c r="BM60515" s="1025"/>
      <c r="BO60515" s="43"/>
    </row>
    <row r="60516" spans="65:67" ht="18.75" customHeight="1">
      <c r="BM60516" s="1025"/>
      <c r="BO60516" s="43"/>
    </row>
    <row r="60517" spans="65:67" ht="18.75" customHeight="1">
      <c r="BM60517" s="1025"/>
      <c r="BO60517" s="43"/>
    </row>
    <row r="60518" spans="65:67" ht="18.75" customHeight="1">
      <c r="BM60518" s="1025"/>
      <c r="BO60518" s="43"/>
    </row>
    <row r="60519" spans="65:67" ht="18.75" customHeight="1">
      <c r="BM60519" s="1025"/>
      <c r="BO60519" s="43"/>
    </row>
    <row r="60520" spans="65:67" ht="18.75" customHeight="1">
      <c r="BM60520" s="1025"/>
      <c r="BO60520" s="43"/>
    </row>
    <row r="60521" spans="65:67" ht="18.75" customHeight="1">
      <c r="BM60521" s="1025"/>
      <c r="BO60521" s="43"/>
    </row>
    <row r="60522" spans="65:67" ht="18.75" customHeight="1">
      <c r="BM60522" s="1025"/>
      <c r="BO60522" s="43"/>
    </row>
    <row r="60523" spans="65:67" ht="18.75" customHeight="1">
      <c r="BM60523" s="1025"/>
      <c r="BO60523" s="43"/>
    </row>
    <row r="60524" spans="65:67" ht="18.75" customHeight="1">
      <c r="BM60524" s="1025"/>
      <c r="BO60524" s="43"/>
    </row>
    <row r="60525" spans="65:67" ht="18.75" customHeight="1">
      <c r="BM60525" s="1025"/>
      <c r="BO60525" s="43"/>
    </row>
    <row r="60526" spans="65:67" ht="18.75" customHeight="1">
      <c r="BM60526" s="1025"/>
      <c r="BO60526" s="43"/>
    </row>
    <row r="60527" spans="65:67" ht="18.75" customHeight="1">
      <c r="BM60527" s="1025"/>
      <c r="BO60527" s="43"/>
    </row>
    <row r="60528" spans="65:67" ht="18.75" customHeight="1">
      <c r="BM60528" s="1025"/>
      <c r="BO60528" s="43"/>
    </row>
    <row r="60529" spans="65:67" ht="18.75" customHeight="1">
      <c r="BM60529" s="1025"/>
      <c r="BO60529" s="43"/>
    </row>
    <row r="60530" spans="65:67" ht="18.75" customHeight="1">
      <c r="BM60530" s="1025"/>
      <c r="BO60530" s="43"/>
    </row>
    <row r="60531" spans="65:67" ht="18.75" customHeight="1">
      <c r="BM60531" s="1025"/>
      <c r="BO60531" s="43"/>
    </row>
    <row r="60532" spans="65:67" ht="18.75" customHeight="1">
      <c r="BM60532" s="1025"/>
      <c r="BO60532" s="43"/>
    </row>
    <row r="60533" spans="65:67" ht="18.75" customHeight="1">
      <c r="BM60533" s="1025"/>
      <c r="BO60533" s="43"/>
    </row>
    <row r="60534" spans="65:67" ht="18.75" customHeight="1">
      <c r="BM60534" s="1025"/>
      <c r="BO60534" s="43"/>
    </row>
    <row r="60535" spans="65:67" ht="18.75" customHeight="1">
      <c r="BM60535" s="1025"/>
      <c r="BO60535" s="43"/>
    </row>
    <row r="60536" spans="65:67" ht="18.75" customHeight="1">
      <c r="BM60536" s="1025"/>
      <c r="BO60536" s="43"/>
    </row>
    <row r="60537" spans="65:67" ht="18.75" customHeight="1">
      <c r="BM60537" s="1025"/>
      <c r="BO60537" s="43"/>
    </row>
    <row r="60538" spans="65:67" ht="18.75" customHeight="1">
      <c r="BM60538" s="1025"/>
      <c r="BO60538" s="43"/>
    </row>
    <row r="60539" spans="65:67" ht="18.75" customHeight="1">
      <c r="BM60539" s="1025"/>
      <c r="BO60539" s="43"/>
    </row>
    <row r="60540" spans="65:67" ht="18.75" customHeight="1">
      <c r="BM60540" s="1025"/>
      <c r="BO60540" s="43"/>
    </row>
    <row r="60541" spans="65:67" ht="18.75" customHeight="1">
      <c r="BM60541" s="1025"/>
      <c r="BO60541" s="43"/>
    </row>
    <row r="60542" spans="65:67" ht="18.75" customHeight="1">
      <c r="BM60542" s="1025"/>
      <c r="BO60542" s="43"/>
    </row>
    <row r="60543" spans="65:67" ht="18.75" customHeight="1">
      <c r="BM60543" s="1025"/>
      <c r="BO60543" s="43"/>
    </row>
    <row r="60544" spans="65:67" ht="18.75" customHeight="1">
      <c r="BM60544" s="1025"/>
      <c r="BO60544" s="43"/>
    </row>
    <row r="60545" spans="65:67" ht="18.75" customHeight="1">
      <c r="BM60545" s="1025"/>
      <c r="BO60545" s="43"/>
    </row>
    <row r="60546" spans="65:67" ht="18.75" customHeight="1">
      <c r="BM60546" s="1025"/>
      <c r="BO60546" s="43"/>
    </row>
    <row r="60547" spans="65:67" ht="18.75" customHeight="1">
      <c r="BM60547" s="1025"/>
      <c r="BO60547" s="43"/>
    </row>
    <row r="60548" spans="65:67" ht="18.75" customHeight="1">
      <c r="BM60548" s="1025"/>
      <c r="BO60548" s="43"/>
    </row>
    <row r="60549" spans="65:67" ht="18.75" customHeight="1">
      <c r="BM60549" s="1025"/>
      <c r="BO60549" s="43"/>
    </row>
    <row r="60550" spans="65:67" ht="18.75" customHeight="1">
      <c r="BM60550" s="1025"/>
      <c r="BO60550" s="43"/>
    </row>
    <row r="60551" spans="65:67" ht="18.75" customHeight="1">
      <c r="BM60551" s="1025"/>
      <c r="BO60551" s="43"/>
    </row>
    <row r="60552" spans="65:67" ht="18.75" customHeight="1">
      <c r="BM60552" s="1025"/>
      <c r="BO60552" s="43"/>
    </row>
    <row r="60553" spans="65:67" ht="18.75" customHeight="1">
      <c r="BM60553" s="1025"/>
      <c r="BO60553" s="43"/>
    </row>
    <row r="60554" spans="65:67" ht="18.75" customHeight="1">
      <c r="BM60554" s="1025"/>
      <c r="BO60554" s="43"/>
    </row>
    <row r="60555" spans="65:67" ht="18.75" customHeight="1">
      <c r="BM60555" s="1025"/>
      <c r="BO60555" s="43"/>
    </row>
    <row r="60556" spans="65:67" ht="18.75" customHeight="1">
      <c r="BM60556" s="1025"/>
      <c r="BO60556" s="43"/>
    </row>
    <row r="60557" spans="65:67" ht="18.75" customHeight="1">
      <c r="BM60557" s="1025"/>
      <c r="BO60557" s="43"/>
    </row>
    <row r="60558" spans="65:67" ht="18.75" customHeight="1">
      <c r="BM60558" s="1025"/>
      <c r="BO60558" s="43"/>
    </row>
    <row r="60559" spans="65:67" ht="18.75" customHeight="1">
      <c r="BM60559" s="1025"/>
      <c r="BO60559" s="43"/>
    </row>
    <row r="60560" spans="65:67" ht="18.75" customHeight="1">
      <c r="BM60560" s="1025"/>
      <c r="BO60560" s="43"/>
    </row>
    <row r="60561" spans="65:67" ht="18.75" customHeight="1">
      <c r="BM60561" s="1025"/>
      <c r="BO60561" s="43"/>
    </row>
    <row r="60562" spans="65:67" ht="18.75" customHeight="1">
      <c r="BM60562" s="1025"/>
      <c r="BO60562" s="43"/>
    </row>
    <row r="60563" spans="65:67" ht="18.75" customHeight="1">
      <c r="BM60563" s="1025"/>
      <c r="BO60563" s="43"/>
    </row>
    <row r="60564" spans="65:67" ht="18.75" customHeight="1">
      <c r="BM60564" s="1025"/>
      <c r="BO60564" s="43"/>
    </row>
    <row r="60565" spans="65:67" ht="18.75" customHeight="1">
      <c r="BM60565" s="1025"/>
      <c r="BO60565" s="43"/>
    </row>
    <row r="60566" spans="65:67" ht="18.75" customHeight="1">
      <c r="BM60566" s="1025"/>
      <c r="BO60566" s="43"/>
    </row>
    <row r="60567" spans="65:67" ht="18.75" customHeight="1">
      <c r="BM60567" s="1025"/>
      <c r="BO60567" s="43"/>
    </row>
    <row r="60568" spans="65:67" ht="18.75" customHeight="1">
      <c r="BM60568" s="1025"/>
      <c r="BO60568" s="43"/>
    </row>
    <row r="60569" spans="65:67" ht="18.75" customHeight="1">
      <c r="BM60569" s="1025"/>
      <c r="BO60569" s="43"/>
    </row>
    <row r="60570" spans="65:67" ht="18.75" customHeight="1">
      <c r="BM60570" s="1025"/>
      <c r="BO60570" s="43"/>
    </row>
    <row r="60571" spans="65:67" ht="18.75" customHeight="1">
      <c r="BM60571" s="1025"/>
      <c r="BO60571" s="43"/>
    </row>
    <row r="60572" spans="65:67" ht="18.75" customHeight="1">
      <c r="BM60572" s="1025"/>
      <c r="BO60572" s="43"/>
    </row>
    <row r="60573" spans="65:67" ht="18.75" customHeight="1">
      <c r="BM60573" s="1025"/>
      <c r="BO60573" s="43"/>
    </row>
    <row r="60574" spans="65:67" ht="18.75" customHeight="1">
      <c r="BM60574" s="1025"/>
      <c r="BO60574" s="43"/>
    </row>
    <row r="60575" spans="65:67" ht="18.75" customHeight="1">
      <c r="BM60575" s="1025"/>
      <c r="BO60575" s="43"/>
    </row>
    <row r="60576" spans="65:67" ht="18.75" customHeight="1">
      <c r="BM60576" s="1025"/>
      <c r="BO60576" s="43"/>
    </row>
    <row r="60577" spans="65:67" ht="18.75" customHeight="1">
      <c r="BM60577" s="1025"/>
      <c r="BO60577" s="43"/>
    </row>
    <row r="60578" spans="65:67" ht="18.75" customHeight="1">
      <c r="BM60578" s="1025"/>
      <c r="BO60578" s="43"/>
    </row>
    <row r="60579" spans="65:67" ht="18.75" customHeight="1">
      <c r="BM60579" s="1025"/>
      <c r="BO60579" s="43"/>
    </row>
    <row r="60580" spans="65:67" ht="18.75" customHeight="1">
      <c r="BM60580" s="1025"/>
      <c r="BO60580" s="43"/>
    </row>
    <row r="60581" spans="65:67" ht="18.75" customHeight="1">
      <c r="BM60581" s="1025"/>
      <c r="BO60581" s="43"/>
    </row>
    <row r="60582" spans="65:67" ht="18.75" customHeight="1">
      <c r="BM60582" s="1025"/>
      <c r="BO60582" s="43"/>
    </row>
    <row r="60583" spans="65:67" ht="18.75" customHeight="1">
      <c r="BM60583" s="1025"/>
      <c r="BO60583" s="43"/>
    </row>
    <row r="60584" spans="65:67" ht="18.75" customHeight="1">
      <c r="BM60584" s="1025"/>
      <c r="BO60584" s="43"/>
    </row>
    <row r="60585" spans="65:67" ht="18.75" customHeight="1">
      <c r="BM60585" s="1025"/>
      <c r="BO60585" s="43"/>
    </row>
    <row r="60586" spans="65:67" ht="18.75" customHeight="1">
      <c r="BM60586" s="1025"/>
      <c r="BO60586" s="43"/>
    </row>
    <row r="60587" spans="65:67" ht="18.75" customHeight="1">
      <c r="BM60587" s="1025"/>
      <c r="BO60587" s="43"/>
    </row>
    <row r="60588" spans="65:67" ht="18.75" customHeight="1">
      <c r="BM60588" s="1025"/>
      <c r="BO60588" s="43"/>
    </row>
    <row r="60589" spans="65:67" ht="18.75" customHeight="1">
      <c r="BM60589" s="1025"/>
      <c r="BO60589" s="43"/>
    </row>
    <row r="60590" spans="65:67" ht="18.75" customHeight="1">
      <c r="BM60590" s="1025"/>
      <c r="BO60590" s="43"/>
    </row>
    <row r="60591" spans="65:67" ht="18.75" customHeight="1">
      <c r="BM60591" s="1025"/>
      <c r="BO60591" s="43"/>
    </row>
    <row r="60592" spans="65:67" ht="18.75" customHeight="1">
      <c r="BM60592" s="1025"/>
      <c r="BO60592" s="43"/>
    </row>
    <row r="60593" spans="65:67" ht="18.75" customHeight="1">
      <c r="BM60593" s="1025"/>
      <c r="BO60593" s="43"/>
    </row>
    <row r="60594" spans="65:67" ht="18.75" customHeight="1">
      <c r="BM60594" s="1025"/>
      <c r="BO60594" s="43"/>
    </row>
    <row r="60595" spans="65:67" ht="18.75" customHeight="1">
      <c r="BM60595" s="1025"/>
      <c r="BO60595" s="43"/>
    </row>
    <row r="60596" spans="65:67" ht="18.75" customHeight="1">
      <c r="BM60596" s="1025"/>
      <c r="BO60596" s="43"/>
    </row>
    <row r="60597" spans="65:67" ht="18.75" customHeight="1">
      <c r="BM60597" s="1025"/>
      <c r="BO60597" s="43"/>
    </row>
    <row r="60598" spans="65:67" ht="18.75" customHeight="1">
      <c r="BM60598" s="1025"/>
      <c r="BO60598" s="43"/>
    </row>
    <row r="60599" spans="65:67" ht="18.75" customHeight="1">
      <c r="BM60599" s="1025"/>
      <c r="BO60599" s="43"/>
    </row>
    <row r="60600" spans="65:67" ht="18.75" customHeight="1">
      <c r="BM60600" s="1025"/>
      <c r="BO60600" s="43"/>
    </row>
    <row r="60601" spans="65:67" ht="18.75" customHeight="1">
      <c r="BM60601" s="1025"/>
      <c r="BO60601" s="43"/>
    </row>
    <row r="60602" spans="65:67" ht="18.75" customHeight="1">
      <c r="BM60602" s="1025"/>
      <c r="BO60602" s="43"/>
    </row>
    <row r="60603" spans="65:67" ht="18.75" customHeight="1">
      <c r="BM60603" s="1025"/>
      <c r="BO60603" s="43"/>
    </row>
    <row r="60604" spans="65:67" ht="18.75" customHeight="1">
      <c r="BM60604" s="1025"/>
      <c r="BO60604" s="43"/>
    </row>
    <row r="60605" spans="65:67" ht="18.75" customHeight="1">
      <c r="BM60605" s="1025"/>
      <c r="BO60605" s="43"/>
    </row>
    <row r="60606" spans="65:67" ht="18.75" customHeight="1">
      <c r="BM60606" s="1025"/>
      <c r="BO60606" s="43"/>
    </row>
    <row r="60607" spans="65:67" ht="18.75" customHeight="1">
      <c r="BM60607" s="1025"/>
      <c r="BO60607" s="43"/>
    </row>
    <row r="60608" spans="65:67" ht="18.75" customHeight="1">
      <c r="BM60608" s="1025"/>
      <c r="BO60608" s="43"/>
    </row>
    <row r="60609" spans="65:67" ht="18.75" customHeight="1">
      <c r="BM60609" s="1025"/>
      <c r="BO60609" s="43"/>
    </row>
    <row r="60610" spans="65:67" ht="18.75" customHeight="1">
      <c r="BM60610" s="1025"/>
      <c r="BO60610" s="43"/>
    </row>
    <row r="60611" spans="65:67" ht="18.75" customHeight="1">
      <c r="BM60611" s="1025"/>
      <c r="BO60611" s="43"/>
    </row>
    <row r="60612" spans="65:67" ht="18.75" customHeight="1">
      <c r="BM60612" s="1025"/>
      <c r="BO60612" s="43"/>
    </row>
    <row r="60613" spans="65:67" ht="18.75" customHeight="1">
      <c r="BM60613" s="1025"/>
      <c r="BO60613" s="43"/>
    </row>
    <row r="60614" spans="65:67" ht="18.75" customHeight="1">
      <c r="BM60614" s="1025"/>
      <c r="BO60614" s="43"/>
    </row>
    <row r="60615" spans="65:67" ht="18.75" customHeight="1">
      <c r="BM60615" s="1025"/>
      <c r="BO60615" s="43"/>
    </row>
    <row r="60616" spans="65:67" ht="18.75" customHeight="1">
      <c r="BM60616" s="1025"/>
      <c r="BO60616" s="43"/>
    </row>
    <row r="60617" spans="65:67" ht="18.75" customHeight="1">
      <c r="BM60617" s="1025"/>
      <c r="BO60617" s="43"/>
    </row>
    <row r="60618" spans="65:67" ht="18.75" customHeight="1">
      <c r="BM60618" s="1025"/>
      <c r="BO60618" s="43"/>
    </row>
    <row r="60619" spans="65:67" ht="18.75" customHeight="1">
      <c r="BM60619" s="1025"/>
      <c r="BO60619" s="43"/>
    </row>
    <row r="60620" spans="65:67" ht="18.75" customHeight="1">
      <c r="BM60620" s="1025"/>
      <c r="BO60620" s="43"/>
    </row>
    <row r="60621" spans="65:67" ht="18.75" customHeight="1">
      <c r="BM60621" s="1025"/>
      <c r="BO60621" s="43"/>
    </row>
    <row r="60622" spans="65:67" ht="18.75" customHeight="1">
      <c r="BM60622" s="1025"/>
      <c r="BO60622" s="43"/>
    </row>
    <row r="60623" spans="65:67" ht="18.75" customHeight="1">
      <c r="BM60623" s="1025"/>
      <c r="BO60623" s="43"/>
    </row>
    <row r="60624" spans="65:67" ht="18.75" customHeight="1">
      <c r="BM60624" s="1025"/>
      <c r="BO60624" s="43"/>
    </row>
    <row r="60625" spans="65:67" ht="18.75" customHeight="1">
      <c r="BM60625" s="1025"/>
      <c r="BO60625" s="43"/>
    </row>
    <row r="60626" spans="65:67" ht="18.75" customHeight="1">
      <c r="BM60626" s="1025"/>
      <c r="BO60626" s="43"/>
    </row>
    <row r="60627" spans="65:67" ht="18.75" customHeight="1">
      <c r="BM60627" s="1025"/>
      <c r="BO60627" s="43"/>
    </row>
    <row r="60628" spans="65:67" ht="18.75" customHeight="1">
      <c r="BM60628" s="1025"/>
      <c r="BO60628" s="43"/>
    </row>
    <row r="60629" spans="65:67" ht="18.75" customHeight="1">
      <c r="BM60629" s="1025"/>
      <c r="BO60629" s="43"/>
    </row>
    <row r="60630" spans="65:67" ht="18.75" customHeight="1">
      <c r="BM60630" s="1025"/>
      <c r="BO60630" s="43"/>
    </row>
    <row r="60631" spans="65:67" ht="18.75" customHeight="1">
      <c r="BM60631" s="1025"/>
      <c r="BO60631" s="43"/>
    </row>
    <row r="60632" spans="65:67" ht="18.75" customHeight="1">
      <c r="BM60632" s="1025"/>
      <c r="BO60632" s="43"/>
    </row>
    <row r="60633" spans="65:67" ht="18.75" customHeight="1">
      <c r="BM60633" s="1025"/>
      <c r="BO60633" s="43"/>
    </row>
    <row r="60634" spans="65:67" ht="18.75" customHeight="1">
      <c r="BM60634" s="1025"/>
      <c r="BO60634" s="43"/>
    </row>
    <row r="60635" spans="65:67" ht="18.75" customHeight="1">
      <c r="BM60635" s="1025"/>
      <c r="BO60635" s="43"/>
    </row>
    <row r="60636" spans="65:67" ht="18.75" customHeight="1">
      <c r="BM60636" s="1025"/>
      <c r="BO60636" s="43"/>
    </row>
    <row r="60637" spans="65:67" ht="18.75" customHeight="1">
      <c r="BM60637" s="1025"/>
      <c r="BO60637" s="43"/>
    </row>
    <row r="60638" spans="65:67" ht="18.75" customHeight="1">
      <c r="BM60638" s="1025"/>
      <c r="BO60638" s="43"/>
    </row>
    <row r="60639" spans="65:67" ht="18.75" customHeight="1">
      <c r="BM60639" s="1025"/>
      <c r="BO60639" s="43"/>
    </row>
    <row r="60640" spans="65:67" ht="18.75" customHeight="1">
      <c r="BM60640" s="1025"/>
      <c r="BO60640" s="43"/>
    </row>
    <row r="60641" spans="65:67" ht="18.75" customHeight="1">
      <c r="BM60641" s="1025"/>
      <c r="BO60641" s="43"/>
    </row>
    <row r="60642" spans="65:67" ht="18.75" customHeight="1">
      <c r="BM60642" s="1025"/>
      <c r="BO60642" s="43"/>
    </row>
    <row r="60643" spans="65:67" ht="18.75" customHeight="1">
      <c r="BM60643" s="1025"/>
      <c r="BO60643" s="43"/>
    </row>
    <row r="60644" spans="65:67" ht="18.75" customHeight="1">
      <c r="BM60644" s="1025"/>
      <c r="BO60644" s="43"/>
    </row>
    <row r="60645" spans="65:67" ht="18.75" customHeight="1">
      <c r="BM60645" s="1025"/>
      <c r="BO60645" s="43"/>
    </row>
    <row r="60646" spans="65:67" ht="18.75" customHeight="1">
      <c r="BM60646" s="1025"/>
      <c r="BO60646" s="43"/>
    </row>
    <row r="60647" spans="65:67" ht="18.75" customHeight="1">
      <c r="BM60647" s="1025"/>
      <c r="BO60647" s="43"/>
    </row>
    <row r="60648" spans="65:67" ht="18.75" customHeight="1">
      <c r="BM60648" s="1025"/>
      <c r="BO60648" s="43"/>
    </row>
    <row r="60649" spans="65:67" ht="18.75" customHeight="1">
      <c r="BM60649" s="1025"/>
      <c r="BO60649" s="43"/>
    </row>
    <row r="60650" spans="65:67" ht="18.75" customHeight="1">
      <c r="BM60650" s="1025"/>
      <c r="BO60650" s="43"/>
    </row>
    <row r="60651" spans="65:67" ht="18.75" customHeight="1">
      <c r="BM60651" s="1025"/>
      <c r="BO60651" s="43"/>
    </row>
    <row r="60652" spans="65:67" ht="18.75" customHeight="1">
      <c r="BM60652" s="1025"/>
      <c r="BO60652" s="43"/>
    </row>
    <row r="60653" spans="65:67" ht="18.75" customHeight="1">
      <c r="BM60653" s="1025"/>
      <c r="BO60653" s="43"/>
    </row>
    <row r="60654" spans="65:67" ht="18.75" customHeight="1">
      <c r="BM60654" s="1025"/>
      <c r="BO60654" s="43"/>
    </row>
    <row r="60655" spans="65:67" ht="18.75" customHeight="1">
      <c r="BM60655" s="1025"/>
      <c r="BO60655" s="43"/>
    </row>
    <row r="60656" spans="65:67" ht="18.75" customHeight="1">
      <c r="BM60656" s="1025"/>
      <c r="BO60656" s="43"/>
    </row>
    <row r="60657" spans="65:67" ht="18.75" customHeight="1">
      <c r="BM60657" s="1025"/>
      <c r="BO60657" s="43"/>
    </row>
    <row r="60658" spans="65:67" ht="18.75" customHeight="1">
      <c r="BM60658" s="1025"/>
      <c r="BO60658" s="43"/>
    </row>
    <row r="60659" spans="65:67" ht="18.75" customHeight="1">
      <c r="BM60659" s="1025"/>
      <c r="BO60659" s="43"/>
    </row>
    <row r="60660" spans="65:67" ht="18.75" customHeight="1">
      <c r="BM60660" s="1025"/>
      <c r="BO60660" s="43"/>
    </row>
    <row r="60661" spans="65:67" ht="18.75" customHeight="1">
      <c r="BM60661" s="1025"/>
      <c r="BO60661" s="43"/>
    </row>
    <row r="60662" spans="65:67" ht="18.75" customHeight="1">
      <c r="BM60662" s="1025"/>
      <c r="BO60662" s="43"/>
    </row>
    <row r="60663" spans="65:67" ht="18.75" customHeight="1">
      <c r="BM60663" s="1025"/>
      <c r="BO60663" s="43"/>
    </row>
    <row r="60664" spans="65:67" ht="18.75" customHeight="1">
      <c r="BM60664" s="1025"/>
      <c r="BO60664" s="43"/>
    </row>
    <row r="60665" spans="65:67" ht="18.75" customHeight="1">
      <c r="BM60665" s="1025"/>
      <c r="BO60665" s="43"/>
    </row>
    <row r="60666" spans="65:67" ht="18.75" customHeight="1">
      <c r="BM60666" s="1025"/>
      <c r="BO60666" s="43"/>
    </row>
    <row r="60667" spans="65:67" ht="18.75" customHeight="1">
      <c r="BM60667" s="1025"/>
      <c r="BO60667" s="43"/>
    </row>
    <row r="60668" spans="65:67" ht="18.75" customHeight="1">
      <c r="BM60668" s="1025"/>
      <c r="BO60668" s="43"/>
    </row>
    <row r="60669" spans="65:67" ht="18.75" customHeight="1">
      <c r="BM60669" s="1025"/>
      <c r="BO60669" s="43"/>
    </row>
    <row r="60670" spans="65:67" ht="18.75" customHeight="1">
      <c r="BM60670" s="1025"/>
      <c r="BO60670" s="43"/>
    </row>
    <row r="60671" spans="65:67" ht="18.75" customHeight="1">
      <c r="BM60671" s="1025"/>
      <c r="BO60671" s="43"/>
    </row>
    <row r="60672" spans="65:67" ht="18.75" customHeight="1">
      <c r="BM60672" s="1025"/>
      <c r="BO60672" s="43"/>
    </row>
    <row r="60673" spans="65:67" ht="18.75" customHeight="1">
      <c r="BM60673" s="1025"/>
      <c r="BO60673" s="43"/>
    </row>
    <row r="60674" spans="65:67" ht="18.75" customHeight="1">
      <c r="BM60674" s="1025"/>
      <c r="BO60674" s="43"/>
    </row>
    <row r="60675" spans="65:67" ht="18.75" customHeight="1">
      <c r="BM60675" s="1025"/>
      <c r="BO60675" s="43"/>
    </row>
    <row r="60676" spans="65:67" ht="18.75" customHeight="1">
      <c r="BM60676" s="1025"/>
      <c r="BO60676" s="43"/>
    </row>
    <row r="60677" spans="65:67" ht="18.75" customHeight="1">
      <c r="BM60677" s="1025"/>
      <c r="BO60677" s="43"/>
    </row>
    <row r="60678" spans="65:67" ht="18.75" customHeight="1">
      <c r="BM60678" s="1025"/>
      <c r="BO60678" s="43"/>
    </row>
    <row r="60679" spans="65:67" ht="18.75" customHeight="1">
      <c r="BM60679" s="1025"/>
      <c r="BO60679" s="43"/>
    </row>
    <row r="60680" spans="65:67" ht="18.75" customHeight="1">
      <c r="BM60680" s="1025"/>
      <c r="BO60680" s="43"/>
    </row>
    <row r="60681" spans="65:67" ht="18.75" customHeight="1">
      <c r="BM60681" s="1025"/>
      <c r="BO60681" s="43"/>
    </row>
    <row r="60682" spans="65:67" ht="18.75" customHeight="1">
      <c r="BM60682" s="1025"/>
      <c r="BO60682" s="43"/>
    </row>
    <row r="60683" spans="65:67" ht="18.75" customHeight="1">
      <c r="BM60683" s="1025"/>
      <c r="BO60683" s="43"/>
    </row>
    <row r="60684" spans="65:67" ht="18.75" customHeight="1">
      <c r="BM60684" s="1025"/>
      <c r="BO60684" s="43"/>
    </row>
    <row r="60685" spans="65:67" ht="18.75" customHeight="1">
      <c r="BM60685" s="1025"/>
      <c r="BO60685" s="43"/>
    </row>
    <row r="60686" spans="65:67" ht="18.75" customHeight="1">
      <c r="BM60686" s="1025"/>
      <c r="BO60686" s="43"/>
    </row>
    <row r="60687" spans="65:67" ht="18.75" customHeight="1">
      <c r="BM60687" s="1025"/>
      <c r="BO60687" s="43"/>
    </row>
    <row r="60688" spans="65:67" ht="18.75" customHeight="1">
      <c r="BM60688" s="1025"/>
      <c r="BO60688" s="43"/>
    </row>
    <row r="60689" spans="65:67" ht="18.75" customHeight="1">
      <c r="BM60689" s="1025"/>
      <c r="BO60689" s="43"/>
    </row>
    <row r="60690" spans="65:67" ht="18.75" customHeight="1">
      <c r="BM60690" s="1025"/>
      <c r="BO60690" s="43"/>
    </row>
    <row r="60691" spans="65:67" ht="18.75" customHeight="1">
      <c r="BM60691" s="1025"/>
      <c r="BO60691" s="43"/>
    </row>
    <row r="60692" spans="65:67" ht="18.75" customHeight="1">
      <c r="BM60692" s="1025"/>
      <c r="BO60692" s="43"/>
    </row>
    <row r="60693" spans="65:67" ht="18.75" customHeight="1">
      <c r="BM60693" s="1025"/>
      <c r="BO60693" s="43"/>
    </row>
    <row r="60694" spans="65:67" ht="18.75" customHeight="1">
      <c r="BM60694" s="1025"/>
      <c r="BO60694" s="43"/>
    </row>
    <row r="60695" spans="65:67" ht="18.75" customHeight="1">
      <c r="BM60695" s="1025"/>
      <c r="BO60695" s="43"/>
    </row>
    <row r="60696" spans="65:67" ht="18.75" customHeight="1">
      <c r="BM60696" s="1025"/>
      <c r="BO60696" s="43"/>
    </row>
    <row r="60697" spans="65:67" ht="18.75" customHeight="1">
      <c r="BM60697" s="1025"/>
      <c r="BO60697" s="43"/>
    </row>
    <row r="60698" spans="65:67" ht="18.75" customHeight="1">
      <c r="BM60698" s="1025"/>
      <c r="BO60698" s="43"/>
    </row>
    <row r="60699" spans="65:67" ht="18.75" customHeight="1">
      <c r="BM60699" s="1025"/>
      <c r="BO60699" s="43"/>
    </row>
    <row r="60700" spans="65:67" ht="18.75" customHeight="1">
      <c r="BM60700" s="1025"/>
      <c r="BO60700" s="43"/>
    </row>
    <row r="60701" spans="65:67" ht="18.75" customHeight="1">
      <c r="BM60701" s="1025"/>
      <c r="BO60701" s="43"/>
    </row>
    <row r="60702" spans="65:67" ht="18.75" customHeight="1">
      <c r="BM60702" s="1025"/>
      <c r="BO60702" s="43"/>
    </row>
    <row r="60703" spans="65:67" ht="18.75" customHeight="1">
      <c r="BM60703" s="1025"/>
      <c r="BO60703" s="43"/>
    </row>
    <row r="60704" spans="65:67" ht="18.75" customHeight="1">
      <c r="BM60704" s="1025"/>
      <c r="BO60704" s="43"/>
    </row>
    <row r="60705" spans="65:67" ht="18.75" customHeight="1">
      <c r="BM60705" s="1025"/>
      <c r="BO60705" s="43"/>
    </row>
    <row r="60706" spans="65:67" ht="18.75" customHeight="1">
      <c r="BM60706" s="1025"/>
      <c r="BO60706" s="43"/>
    </row>
    <row r="60707" spans="65:67" ht="18.75" customHeight="1">
      <c r="BM60707" s="1025"/>
      <c r="BO60707" s="43"/>
    </row>
    <row r="60708" spans="65:67" ht="18.75" customHeight="1">
      <c r="BM60708" s="1025"/>
      <c r="BO60708" s="43"/>
    </row>
    <row r="60709" spans="65:67" ht="18.75" customHeight="1">
      <c r="BM60709" s="1025"/>
      <c r="BO60709" s="43"/>
    </row>
    <row r="60710" spans="65:67" ht="18.75" customHeight="1">
      <c r="BM60710" s="1025"/>
      <c r="BO60710" s="43"/>
    </row>
    <row r="60711" spans="65:67" ht="18.75" customHeight="1">
      <c r="BM60711" s="1025"/>
      <c r="BO60711" s="43"/>
    </row>
    <row r="60712" spans="65:67" ht="18.75" customHeight="1">
      <c r="BM60712" s="1025"/>
      <c r="BO60712" s="43"/>
    </row>
    <row r="60713" spans="65:67" ht="18.75" customHeight="1">
      <c r="BM60713" s="1025"/>
      <c r="BO60713" s="43"/>
    </row>
    <row r="60714" spans="65:67" ht="18.75" customHeight="1">
      <c r="BM60714" s="1025"/>
      <c r="BO60714" s="43"/>
    </row>
    <row r="60715" spans="65:67" ht="18.75" customHeight="1">
      <c r="BM60715" s="1025"/>
      <c r="BO60715" s="43"/>
    </row>
    <row r="60716" spans="65:67" ht="18.75" customHeight="1">
      <c r="BM60716" s="1025"/>
      <c r="BO60716" s="43"/>
    </row>
    <row r="60717" spans="65:67" ht="18.75" customHeight="1">
      <c r="BM60717" s="1025"/>
      <c r="BO60717" s="43"/>
    </row>
    <row r="60718" spans="65:67" ht="18.75" customHeight="1">
      <c r="BM60718" s="1025"/>
      <c r="BO60718" s="43"/>
    </row>
    <row r="60719" spans="65:67" ht="18.75" customHeight="1">
      <c r="BM60719" s="1025"/>
      <c r="BO60719" s="43"/>
    </row>
    <row r="60720" spans="65:67" ht="18.75" customHeight="1">
      <c r="BM60720" s="1025"/>
      <c r="BO60720" s="43"/>
    </row>
    <row r="60721" spans="65:67" ht="18.75" customHeight="1">
      <c r="BM60721" s="1025"/>
      <c r="BO60721" s="43"/>
    </row>
    <row r="60722" spans="65:67" ht="18.75" customHeight="1">
      <c r="BM60722" s="1025"/>
      <c r="BO60722" s="43"/>
    </row>
    <row r="60723" spans="65:67" ht="18.75" customHeight="1">
      <c r="BM60723" s="1025"/>
      <c r="BO60723" s="43"/>
    </row>
    <row r="60724" spans="65:67" ht="18.75" customHeight="1">
      <c r="BM60724" s="1025"/>
      <c r="BO60724" s="43"/>
    </row>
    <row r="60725" spans="65:67" ht="18.75" customHeight="1">
      <c r="BM60725" s="1025"/>
      <c r="BO60725" s="43"/>
    </row>
    <row r="60726" spans="65:67" ht="18.75" customHeight="1">
      <c r="BM60726" s="1025"/>
      <c r="BO60726" s="43"/>
    </row>
    <row r="60727" spans="65:67" ht="18.75" customHeight="1">
      <c r="BM60727" s="1025"/>
      <c r="BO60727" s="43"/>
    </row>
    <row r="60728" spans="65:67" ht="18.75" customHeight="1">
      <c r="BM60728" s="1025"/>
      <c r="BO60728" s="43"/>
    </row>
    <row r="60729" spans="65:67" ht="18.75" customHeight="1">
      <c r="BM60729" s="1025"/>
      <c r="BO60729" s="43"/>
    </row>
    <row r="60730" spans="65:67" ht="18.75" customHeight="1">
      <c r="BM60730" s="1025"/>
      <c r="BO60730" s="43"/>
    </row>
    <row r="60731" spans="65:67" ht="18.75" customHeight="1">
      <c r="BM60731" s="1025"/>
      <c r="BO60731" s="43"/>
    </row>
    <row r="60732" spans="65:67" ht="18.75" customHeight="1">
      <c r="BM60732" s="1025"/>
      <c r="BO60732" s="43"/>
    </row>
    <row r="60733" spans="65:67" ht="18.75" customHeight="1">
      <c r="BM60733" s="1025"/>
      <c r="BO60733" s="43"/>
    </row>
    <row r="60734" spans="65:67" ht="18.75" customHeight="1">
      <c r="BM60734" s="1025"/>
      <c r="BO60734" s="43"/>
    </row>
    <row r="60735" spans="65:67" ht="18.75" customHeight="1">
      <c r="BM60735" s="1025"/>
      <c r="BO60735" s="43"/>
    </row>
    <row r="60736" spans="65:67" ht="18.75" customHeight="1">
      <c r="BM60736" s="1025"/>
      <c r="BO60736" s="43"/>
    </row>
    <row r="60737" spans="65:67" ht="18.75" customHeight="1">
      <c r="BM60737" s="1025"/>
      <c r="BO60737" s="43"/>
    </row>
    <row r="60738" spans="65:67" ht="18.75" customHeight="1">
      <c r="BM60738" s="1025"/>
      <c r="BO60738" s="43"/>
    </row>
    <row r="60739" spans="65:67" ht="18.75" customHeight="1">
      <c r="BM60739" s="1025"/>
      <c r="BO60739" s="43"/>
    </row>
    <row r="60740" spans="65:67" ht="18.75" customHeight="1">
      <c r="BM60740" s="1025"/>
      <c r="BO60740" s="43"/>
    </row>
    <row r="60741" spans="65:67" ht="18.75" customHeight="1">
      <c r="BM60741" s="1025"/>
      <c r="BO60741" s="43"/>
    </row>
    <row r="60742" spans="65:67" ht="18.75" customHeight="1">
      <c r="BM60742" s="1025"/>
      <c r="BO60742" s="43"/>
    </row>
    <row r="60743" spans="65:67" ht="18.75" customHeight="1">
      <c r="BM60743" s="1025"/>
      <c r="BO60743" s="43"/>
    </row>
    <row r="60744" spans="65:67" ht="18.75" customHeight="1">
      <c r="BM60744" s="1025"/>
      <c r="BO60744" s="43"/>
    </row>
    <row r="60745" spans="65:67" ht="18.75" customHeight="1">
      <c r="BM60745" s="1025"/>
      <c r="BO60745" s="43"/>
    </row>
    <row r="60746" spans="65:67" ht="18.75" customHeight="1">
      <c r="BM60746" s="1025"/>
      <c r="BO60746" s="43"/>
    </row>
    <row r="60747" spans="65:67" ht="18.75" customHeight="1">
      <c r="BM60747" s="1025"/>
      <c r="BO60747" s="43"/>
    </row>
    <row r="60748" spans="65:67" ht="18.75" customHeight="1">
      <c r="BM60748" s="1025"/>
      <c r="BO60748" s="43"/>
    </row>
    <row r="60749" spans="65:67" ht="18.75" customHeight="1">
      <c r="BM60749" s="1025"/>
      <c r="BO60749" s="43"/>
    </row>
    <row r="60750" spans="65:67" ht="18.75" customHeight="1">
      <c r="BM60750" s="1025"/>
      <c r="BO60750" s="43"/>
    </row>
    <row r="60751" spans="65:67" ht="18.75" customHeight="1">
      <c r="BM60751" s="1025"/>
      <c r="BO60751" s="43"/>
    </row>
    <row r="60752" spans="65:67" ht="18.75" customHeight="1">
      <c r="BM60752" s="1025"/>
      <c r="BO60752" s="43"/>
    </row>
    <row r="60753" spans="65:67" ht="18.75" customHeight="1">
      <c r="BM60753" s="1025"/>
      <c r="BO60753" s="43"/>
    </row>
    <row r="60754" spans="65:67" ht="18.75" customHeight="1">
      <c r="BM60754" s="1025"/>
      <c r="BO60754" s="43"/>
    </row>
    <row r="60755" spans="65:67" ht="18.75" customHeight="1">
      <c r="BM60755" s="1025"/>
      <c r="BO60755" s="43"/>
    </row>
    <row r="60756" spans="65:67" ht="18.75" customHeight="1">
      <c r="BM60756" s="1025"/>
      <c r="BO60756" s="43"/>
    </row>
    <row r="60757" spans="65:67" ht="18.75" customHeight="1">
      <c r="BM60757" s="1025"/>
      <c r="BO60757" s="43"/>
    </row>
    <row r="60758" spans="65:67" ht="18.75" customHeight="1">
      <c r="BM60758" s="1025"/>
      <c r="BO60758" s="43"/>
    </row>
    <row r="60759" spans="65:67" ht="18.75" customHeight="1">
      <c r="BM60759" s="1025"/>
      <c r="BO60759" s="43"/>
    </row>
    <row r="60760" spans="65:67" ht="18.75" customHeight="1">
      <c r="BM60760" s="1025"/>
      <c r="BO60760" s="43"/>
    </row>
    <row r="60761" spans="65:67" ht="18.75" customHeight="1">
      <c r="BM60761" s="1025"/>
      <c r="BO60761" s="43"/>
    </row>
    <row r="60762" spans="65:67" ht="18.75" customHeight="1">
      <c r="BM60762" s="1025"/>
      <c r="BO60762" s="43"/>
    </row>
    <row r="60763" spans="65:67" ht="18.75" customHeight="1">
      <c r="BM60763" s="1025"/>
      <c r="BO60763" s="43"/>
    </row>
    <row r="60764" spans="65:67" ht="18.75" customHeight="1">
      <c r="BM60764" s="1025"/>
      <c r="BO60764" s="43"/>
    </row>
    <row r="60765" spans="65:67" ht="18.75" customHeight="1">
      <c r="BM60765" s="1025"/>
      <c r="BO60765" s="43"/>
    </row>
    <row r="60766" spans="65:67" ht="18.75" customHeight="1">
      <c r="BM60766" s="1025"/>
      <c r="BO60766" s="43"/>
    </row>
    <row r="60767" spans="65:67" ht="18.75" customHeight="1">
      <c r="BM60767" s="1025"/>
      <c r="BO60767" s="43"/>
    </row>
    <row r="60768" spans="65:67" ht="18.75" customHeight="1">
      <c r="BM60768" s="1025"/>
      <c r="BO60768" s="43"/>
    </row>
    <row r="60769" spans="65:67" ht="18.75" customHeight="1">
      <c r="BM60769" s="1025"/>
      <c r="BO60769" s="43"/>
    </row>
    <row r="60770" spans="65:67" ht="18.75" customHeight="1">
      <c r="BM60770" s="1025"/>
      <c r="BO60770" s="43"/>
    </row>
    <row r="60771" spans="65:67" ht="18.75" customHeight="1">
      <c r="BM60771" s="1025"/>
      <c r="BO60771" s="43"/>
    </row>
    <row r="60772" spans="65:67" ht="18.75" customHeight="1">
      <c r="BM60772" s="1025"/>
      <c r="BO60772" s="43"/>
    </row>
    <row r="60773" spans="65:67" ht="18.75" customHeight="1">
      <c r="BM60773" s="1025"/>
      <c r="BO60773" s="43"/>
    </row>
    <row r="60774" spans="65:67" ht="18.75" customHeight="1">
      <c r="BM60774" s="1025"/>
      <c r="BO60774" s="43"/>
    </row>
    <row r="60775" spans="65:67" ht="18.75" customHeight="1">
      <c r="BM60775" s="1025"/>
      <c r="BO60775" s="43"/>
    </row>
    <row r="60776" spans="65:67" ht="18.75" customHeight="1">
      <c r="BM60776" s="1025"/>
      <c r="BO60776" s="43"/>
    </row>
    <row r="60777" spans="65:67" ht="18.75" customHeight="1">
      <c r="BM60777" s="1025"/>
      <c r="BO60777" s="43"/>
    </row>
    <row r="60778" spans="65:67" ht="18.75" customHeight="1">
      <c r="BM60778" s="1025"/>
      <c r="BO60778" s="43"/>
    </row>
    <row r="60779" spans="65:67" ht="18.75" customHeight="1">
      <c r="BM60779" s="1025"/>
      <c r="BO60779" s="43"/>
    </row>
    <row r="60780" spans="65:67" ht="18.75" customHeight="1">
      <c r="BM60780" s="1025"/>
      <c r="BO60780" s="43"/>
    </row>
    <row r="60781" spans="65:67" ht="18.75" customHeight="1">
      <c r="BM60781" s="1025"/>
      <c r="BO60781" s="43"/>
    </row>
    <row r="60782" spans="65:67" ht="18.75" customHeight="1">
      <c r="BM60782" s="1025"/>
      <c r="BO60782" s="43"/>
    </row>
    <row r="60783" spans="65:67" ht="18.75" customHeight="1">
      <c r="BM60783" s="1025"/>
      <c r="BO60783" s="43"/>
    </row>
    <row r="60784" spans="65:67" ht="18.75" customHeight="1">
      <c r="BM60784" s="1025"/>
      <c r="BO60784" s="43"/>
    </row>
    <row r="60785" spans="65:67" ht="18.75" customHeight="1">
      <c r="BM60785" s="1025"/>
      <c r="BO60785" s="43"/>
    </row>
    <row r="60786" spans="65:67" ht="18.75" customHeight="1">
      <c r="BM60786" s="1025"/>
      <c r="BO60786" s="43"/>
    </row>
    <row r="60787" spans="65:67" ht="18.75" customHeight="1">
      <c r="BM60787" s="1025"/>
      <c r="BO60787" s="43"/>
    </row>
    <row r="60788" spans="65:67" ht="18.75" customHeight="1">
      <c r="BM60788" s="1025"/>
      <c r="BO60788" s="43"/>
    </row>
    <row r="60789" spans="65:67" ht="18.75" customHeight="1">
      <c r="BM60789" s="1025"/>
      <c r="BO60789" s="43"/>
    </row>
    <row r="60790" spans="65:67" ht="18.75" customHeight="1">
      <c r="BM60790" s="1025"/>
      <c r="BO60790" s="43"/>
    </row>
    <row r="60791" spans="65:67" ht="18.75" customHeight="1">
      <c r="BM60791" s="1025"/>
      <c r="BO60791" s="43"/>
    </row>
    <row r="60792" spans="65:67" ht="18.75" customHeight="1">
      <c r="BM60792" s="1025"/>
      <c r="BO60792" s="43"/>
    </row>
    <row r="60793" spans="65:67" ht="18.75" customHeight="1">
      <c r="BM60793" s="1025"/>
      <c r="BO60793" s="43"/>
    </row>
    <row r="60794" spans="65:67" ht="18.75" customHeight="1">
      <c r="BM60794" s="1025"/>
      <c r="BO60794" s="43"/>
    </row>
    <row r="60795" spans="65:67" ht="18.75" customHeight="1">
      <c r="BM60795" s="1025"/>
      <c r="BO60795" s="43"/>
    </row>
    <row r="60796" spans="65:67" ht="18.75" customHeight="1">
      <c r="BM60796" s="1025"/>
      <c r="BO60796" s="43"/>
    </row>
    <row r="60797" spans="65:67" ht="18.75" customHeight="1">
      <c r="BM60797" s="1025"/>
      <c r="BO60797" s="43"/>
    </row>
    <row r="60798" spans="65:67" ht="18.75" customHeight="1">
      <c r="BM60798" s="1025"/>
      <c r="BO60798" s="43"/>
    </row>
    <row r="60799" spans="65:67" ht="18.75" customHeight="1">
      <c r="BM60799" s="1025"/>
      <c r="BO60799" s="43"/>
    </row>
    <row r="60800" spans="65:67" ht="18.75" customHeight="1">
      <c r="BM60800" s="1025"/>
      <c r="BO60800" s="43"/>
    </row>
    <row r="60801" spans="65:67" ht="18.75" customHeight="1">
      <c r="BM60801" s="1025"/>
      <c r="BO60801" s="43"/>
    </row>
    <row r="60802" spans="65:67" ht="18.75" customHeight="1">
      <c r="BM60802" s="1025"/>
      <c r="BO60802" s="43"/>
    </row>
    <row r="60803" spans="65:67" ht="18.75" customHeight="1">
      <c r="BM60803" s="1025"/>
      <c r="BO60803" s="43"/>
    </row>
    <row r="60804" spans="65:67" ht="18.75" customHeight="1">
      <c r="BM60804" s="1025"/>
      <c r="BO60804" s="43"/>
    </row>
    <row r="60805" spans="65:67" ht="18.75" customHeight="1">
      <c r="BM60805" s="1025"/>
      <c r="BO60805" s="43"/>
    </row>
    <row r="60806" spans="65:67" ht="18.75" customHeight="1">
      <c r="BM60806" s="1025"/>
      <c r="BO60806" s="43"/>
    </row>
    <row r="60807" spans="65:67" ht="18.75" customHeight="1">
      <c r="BM60807" s="1025"/>
      <c r="BO60807" s="43"/>
    </row>
    <row r="60808" spans="65:67" ht="18.75" customHeight="1">
      <c r="BM60808" s="1025"/>
      <c r="BO60808" s="43"/>
    </row>
    <row r="60809" spans="65:67" ht="18.75" customHeight="1">
      <c r="BM60809" s="1025"/>
      <c r="BO60809" s="43"/>
    </row>
    <row r="60810" spans="65:67" ht="18.75" customHeight="1">
      <c r="BM60810" s="1025"/>
      <c r="BO60810" s="43"/>
    </row>
    <row r="60811" spans="65:67" ht="18.75" customHeight="1">
      <c r="BM60811" s="1025"/>
      <c r="BO60811" s="43"/>
    </row>
    <row r="60812" spans="65:67" ht="18.75" customHeight="1">
      <c r="BM60812" s="1025"/>
      <c r="BO60812" s="43"/>
    </row>
    <row r="60813" spans="65:67" ht="18.75" customHeight="1">
      <c r="BM60813" s="1025"/>
      <c r="BO60813" s="43"/>
    </row>
    <row r="60814" spans="65:67" ht="18.75" customHeight="1">
      <c r="BM60814" s="1025"/>
      <c r="BO60814" s="43"/>
    </row>
    <row r="60815" spans="65:67" ht="18.75" customHeight="1">
      <c r="BM60815" s="1025"/>
      <c r="BO60815" s="43"/>
    </row>
    <row r="60816" spans="65:67" ht="18.75" customHeight="1">
      <c r="BM60816" s="1025"/>
      <c r="BO60816" s="43"/>
    </row>
    <row r="60817" spans="65:67" ht="18.75" customHeight="1">
      <c r="BM60817" s="1025"/>
      <c r="BO60817" s="43"/>
    </row>
    <row r="60818" spans="65:67" ht="18.75" customHeight="1">
      <c r="BM60818" s="1025"/>
      <c r="BO60818" s="43"/>
    </row>
    <row r="60819" spans="65:67" ht="18.75" customHeight="1">
      <c r="BM60819" s="1025"/>
      <c r="BO60819" s="43"/>
    </row>
    <row r="60820" spans="65:67" ht="18.75" customHeight="1">
      <c r="BM60820" s="1025"/>
      <c r="BO60820" s="43"/>
    </row>
    <row r="60821" spans="65:67" ht="18.75" customHeight="1">
      <c r="BM60821" s="1025"/>
      <c r="BO60821" s="43"/>
    </row>
    <row r="60822" spans="65:67" ht="18.75" customHeight="1">
      <c r="BM60822" s="1025"/>
      <c r="BO60822" s="43"/>
    </row>
    <row r="60823" spans="65:67" ht="18.75" customHeight="1">
      <c r="BM60823" s="1025"/>
      <c r="BO60823" s="43"/>
    </row>
    <row r="60824" spans="65:67" ht="18.75" customHeight="1">
      <c r="BM60824" s="1025"/>
      <c r="BO60824" s="43"/>
    </row>
    <row r="60825" spans="65:67" ht="18.75" customHeight="1">
      <c r="BM60825" s="1025"/>
      <c r="BO60825" s="43"/>
    </row>
    <row r="60826" spans="65:67" ht="18.75" customHeight="1">
      <c r="BM60826" s="1025"/>
      <c r="BO60826" s="43"/>
    </row>
    <row r="60827" spans="65:67" ht="18.75" customHeight="1">
      <c r="BM60827" s="1025"/>
      <c r="BO60827" s="43"/>
    </row>
    <row r="60828" spans="65:67" ht="18.75" customHeight="1">
      <c r="BM60828" s="1025"/>
      <c r="BO60828" s="43"/>
    </row>
    <row r="60829" spans="65:67" ht="18.75" customHeight="1">
      <c r="BM60829" s="1025"/>
      <c r="BO60829" s="43"/>
    </row>
    <row r="60830" spans="65:67" ht="18.75" customHeight="1">
      <c r="BM60830" s="1025"/>
      <c r="BO60830" s="43"/>
    </row>
    <row r="60831" spans="65:67" ht="18.75" customHeight="1">
      <c r="BM60831" s="1025"/>
      <c r="BO60831" s="43"/>
    </row>
    <row r="60832" spans="65:67" ht="18.75" customHeight="1">
      <c r="BM60832" s="1025"/>
      <c r="BO60832" s="43"/>
    </row>
    <row r="60833" spans="65:67" ht="18.75" customHeight="1">
      <c r="BM60833" s="1025"/>
      <c r="BO60833" s="43"/>
    </row>
    <row r="60834" spans="65:67" ht="18.75" customHeight="1">
      <c r="BM60834" s="1025"/>
      <c r="BO60834" s="43"/>
    </row>
    <row r="60835" spans="65:67" ht="18.75" customHeight="1">
      <c r="BM60835" s="1025"/>
      <c r="BO60835" s="43"/>
    </row>
    <row r="60836" spans="65:67" ht="18.75" customHeight="1">
      <c r="BM60836" s="1025"/>
      <c r="BO60836" s="43"/>
    </row>
    <row r="60837" spans="65:67" ht="18.75" customHeight="1">
      <c r="BM60837" s="1025"/>
      <c r="BO60837" s="43"/>
    </row>
    <row r="60838" spans="65:67" ht="18.75" customHeight="1">
      <c r="BM60838" s="1025"/>
      <c r="BO60838" s="43"/>
    </row>
    <row r="60839" spans="65:67" ht="18.75" customHeight="1">
      <c r="BM60839" s="1025"/>
      <c r="BO60839" s="43"/>
    </row>
    <row r="60840" spans="65:67" ht="18.75" customHeight="1">
      <c r="BM60840" s="1025"/>
      <c r="BO60840" s="43"/>
    </row>
    <row r="60841" spans="65:67" ht="18.75" customHeight="1">
      <c r="BM60841" s="1025"/>
      <c r="BO60841" s="43"/>
    </row>
    <row r="60842" spans="65:67" ht="18.75" customHeight="1">
      <c r="BM60842" s="1025"/>
      <c r="BO60842" s="43"/>
    </row>
    <row r="60843" spans="65:67" ht="18.75" customHeight="1">
      <c r="BM60843" s="1025"/>
      <c r="BO60843" s="43"/>
    </row>
    <row r="60844" spans="65:67" ht="18.75" customHeight="1">
      <c r="BM60844" s="1025"/>
      <c r="BO60844" s="43"/>
    </row>
    <row r="60845" spans="65:67" ht="18.75" customHeight="1">
      <c r="BM60845" s="1025"/>
      <c r="BO60845" s="43"/>
    </row>
    <row r="60846" spans="65:67" ht="18.75" customHeight="1">
      <c r="BM60846" s="1025"/>
      <c r="BO60846" s="43"/>
    </row>
    <row r="60847" spans="65:67" ht="18.75" customHeight="1">
      <c r="BM60847" s="1025"/>
      <c r="BO60847" s="43"/>
    </row>
    <row r="60848" spans="65:67" ht="18.75" customHeight="1">
      <c r="BM60848" s="1025"/>
      <c r="BO60848" s="43"/>
    </row>
    <row r="60849" spans="65:67" ht="18.75" customHeight="1">
      <c r="BM60849" s="1025"/>
      <c r="BO60849" s="43"/>
    </row>
    <row r="60850" spans="65:67" ht="18.75" customHeight="1">
      <c r="BM60850" s="1025"/>
      <c r="BO60850" s="43"/>
    </row>
    <row r="60851" spans="65:67" ht="18.75" customHeight="1">
      <c r="BM60851" s="1025"/>
      <c r="BO60851" s="43"/>
    </row>
    <row r="60852" spans="65:67" ht="18.75" customHeight="1">
      <c r="BM60852" s="1025"/>
      <c r="BO60852" s="43"/>
    </row>
    <row r="60853" spans="65:67" ht="18.75" customHeight="1">
      <c r="BM60853" s="1025"/>
      <c r="BO60853" s="43"/>
    </row>
    <row r="60854" spans="65:67" ht="18.75" customHeight="1">
      <c r="BM60854" s="1025"/>
      <c r="BO60854" s="43"/>
    </row>
    <row r="60855" spans="65:67" ht="18.75" customHeight="1">
      <c r="BM60855" s="1025"/>
      <c r="BO60855" s="43"/>
    </row>
    <row r="60856" spans="65:67" ht="18.75" customHeight="1">
      <c r="BM60856" s="1025"/>
      <c r="BO60856" s="43"/>
    </row>
    <row r="60857" spans="65:67" ht="18.75" customHeight="1">
      <c r="BM60857" s="1025"/>
      <c r="BO60857" s="43"/>
    </row>
    <row r="60858" spans="65:67" ht="18.75" customHeight="1">
      <c r="BM60858" s="1025"/>
      <c r="BO60858" s="43"/>
    </row>
    <row r="60859" spans="65:67" ht="18.75" customHeight="1">
      <c r="BM60859" s="1025"/>
      <c r="BO60859" s="43"/>
    </row>
    <row r="60860" spans="65:67" ht="18.75" customHeight="1">
      <c r="BM60860" s="1025"/>
      <c r="BO60860" s="43"/>
    </row>
    <row r="60861" spans="65:67" ht="18.75" customHeight="1">
      <c r="BM60861" s="1025"/>
      <c r="BO60861" s="43"/>
    </row>
    <row r="60862" spans="65:67" ht="18.75" customHeight="1">
      <c r="BM60862" s="1025"/>
      <c r="BO60862" s="43"/>
    </row>
    <row r="60863" spans="65:67" ht="18.75" customHeight="1">
      <c r="BM60863" s="1025"/>
      <c r="BO60863" s="43"/>
    </row>
    <row r="60864" spans="65:67" ht="18.75" customHeight="1">
      <c r="BM60864" s="1025"/>
      <c r="BO60864" s="43"/>
    </row>
    <row r="60865" spans="65:67" ht="18.75" customHeight="1">
      <c r="BM60865" s="1025"/>
      <c r="BO60865" s="43"/>
    </row>
    <row r="60866" spans="65:67" ht="18.75" customHeight="1">
      <c r="BM60866" s="1025"/>
      <c r="BO60866" s="43"/>
    </row>
    <row r="60867" spans="65:67" ht="18.75" customHeight="1">
      <c r="BM60867" s="1025"/>
      <c r="BO60867" s="43"/>
    </row>
    <row r="60868" spans="65:67" ht="18.75" customHeight="1">
      <c r="BM60868" s="1025"/>
      <c r="BO60868" s="43"/>
    </row>
    <row r="60869" spans="65:67" ht="18.75" customHeight="1">
      <c r="BM60869" s="1025"/>
      <c r="BO60869" s="43"/>
    </row>
    <row r="60870" spans="65:67" ht="18.75" customHeight="1">
      <c r="BM60870" s="1025"/>
      <c r="BO60870" s="43"/>
    </row>
    <row r="60871" spans="65:67" ht="18.75" customHeight="1">
      <c r="BM60871" s="1025"/>
      <c r="BO60871" s="43"/>
    </row>
    <row r="60872" spans="65:67" ht="18.75" customHeight="1">
      <c r="BM60872" s="1025"/>
      <c r="BO60872" s="43"/>
    </row>
    <row r="60873" spans="65:67" ht="18.75" customHeight="1">
      <c r="BM60873" s="1025"/>
      <c r="BO60873" s="43"/>
    </row>
    <row r="60874" spans="65:67" ht="18.75" customHeight="1">
      <c r="BM60874" s="1025"/>
      <c r="BO60874" s="43"/>
    </row>
    <row r="60875" spans="65:67" ht="18.75" customHeight="1">
      <c r="BM60875" s="1025"/>
      <c r="BO60875" s="43"/>
    </row>
    <row r="60876" spans="65:67" ht="18.75" customHeight="1">
      <c r="BM60876" s="1025"/>
      <c r="BO60876" s="43"/>
    </row>
    <row r="60877" spans="65:67" ht="18.75" customHeight="1">
      <c r="BM60877" s="1025"/>
      <c r="BO60877" s="43"/>
    </row>
    <row r="60878" spans="65:67" ht="18.75" customHeight="1">
      <c r="BM60878" s="1025"/>
      <c r="BO60878" s="43"/>
    </row>
    <row r="60879" spans="65:67" ht="18.75" customHeight="1">
      <c r="BM60879" s="1025"/>
      <c r="BO60879" s="43"/>
    </row>
    <row r="60880" spans="65:67" ht="18.75" customHeight="1">
      <c r="BM60880" s="1025"/>
      <c r="BO60880" s="43"/>
    </row>
    <row r="60881" spans="65:67" ht="18.75" customHeight="1">
      <c r="BM60881" s="1025"/>
      <c r="BO60881" s="43"/>
    </row>
    <row r="60882" spans="65:67" ht="18.75" customHeight="1">
      <c r="BM60882" s="1025"/>
      <c r="BO60882" s="43"/>
    </row>
    <row r="60883" spans="65:67" ht="18.75" customHeight="1">
      <c r="BM60883" s="1025"/>
      <c r="BO60883" s="43"/>
    </row>
    <row r="60884" spans="65:67" ht="18.75" customHeight="1">
      <c r="BM60884" s="1025"/>
      <c r="BO60884" s="43"/>
    </row>
    <row r="60885" spans="65:67" ht="18.75" customHeight="1">
      <c r="BM60885" s="1025"/>
      <c r="BO60885" s="43"/>
    </row>
    <row r="60886" spans="65:67" ht="18.75" customHeight="1">
      <c r="BM60886" s="1025"/>
      <c r="BO60886" s="43"/>
    </row>
    <row r="60887" spans="65:67" ht="18.75" customHeight="1">
      <c r="BM60887" s="1025"/>
      <c r="BO60887" s="43"/>
    </row>
    <row r="60888" spans="65:67" ht="18.75" customHeight="1">
      <c r="BM60888" s="1025"/>
      <c r="BO60888" s="43"/>
    </row>
    <row r="60889" spans="65:67" ht="18.75" customHeight="1">
      <c r="BM60889" s="1025"/>
      <c r="BO60889" s="43"/>
    </row>
    <row r="60890" spans="65:67" ht="18.75" customHeight="1">
      <c r="BM60890" s="1025"/>
      <c r="BO60890" s="43"/>
    </row>
    <row r="60891" spans="65:67" ht="18.75" customHeight="1">
      <c r="BM60891" s="1025"/>
      <c r="BO60891" s="43"/>
    </row>
    <row r="60892" spans="65:67" ht="18.75" customHeight="1">
      <c r="BM60892" s="1025"/>
      <c r="BO60892" s="43"/>
    </row>
    <row r="60893" spans="65:67" ht="18.75" customHeight="1">
      <c r="BM60893" s="1025"/>
      <c r="BO60893" s="43"/>
    </row>
    <row r="60894" spans="65:67" ht="18.75" customHeight="1">
      <c r="BM60894" s="1025"/>
      <c r="BO60894" s="43"/>
    </row>
    <row r="60895" spans="65:67" ht="18.75" customHeight="1">
      <c r="BM60895" s="1025"/>
      <c r="BO60895" s="43"/>
    </row>
    <row r="60896" spans="65:67" ht="18.75" customHeight="1">
      <c r="BM60896" s="1025"/>
      <c r="BO60896" s="43"/>
    </row>
    <row r="60897" spans="65:67" ht="18.75" customHeight="1">
      <c r="BM60897" s="1025"/>
      <c r="BO60897" s="43"/>
    </row>
    <row r="60898" spans="65:67" ht="18.75" customHeight="1">
      <c r="BM60898" s="1025"/>
      <c r="BO60898" s="43"/>
    </row>
    <row r="60899" spans="65:67" ht="18.75" customHeight="1">
      <c r="BM60899" s="1025"/>
      <c r="BO60899" s="43"/>
    </row>
    <row r="60900" spans="65:67" ht="18.75" customHeight="1">
      <c r="BM60900" s="1025"/>
      <c r="BO60900" s="43"/>
    </row>
    <row r="60901" spans="65:67" ht="18.75" customHeight="1">
      <c r="BM60901" s="1025"/>
      <c r="BO60901" s="43"/>
    </row>
    <row r="60902" spans="65:67" ht="18.75" customHeight="1">
      <c r="BM60902" s="1025"/>
      <c r="BO60902" s="43"/>
    </row>
    <row r="60903" spans="65:67" ht="18.75" customHeight="1">
      <c r="BM60903" s="1025"/>
      <c r="BO60903" s="43"/>
    </row>
    <row r="60904" spans="65:67" ht="18.75" customHeight="1">
      <c r="BM60904" s="1025"/>
      <c r="BO60904" s="43"/>
    </row>
    <row r="60905" spans="65:67" ht="18.75" customHeight="1">
      <c r="BM60905" s="1025"/>
      <c r="BO60905" s="43"/>
    </row>
    <row r="60906" spans="65:67" ht="18.75" customHeight="1">
      <c r="BM60906" s="1025"/>
      <c r="BO60906" s="43"/>
    </row>
    <row r="60907" spans="65:67" ht="18.75" customHeight="1">
      <c r="BM60907" s="1025"/>
      <c r="BO60907" s="43"/>
    </row>
    <row r="60908" spans="65:67" ht="18.75" customHeight="1">
      <c r="BM60908" s="1025"/>
      <c r="BO60908" s="43"/>
    </row>
    <row r="60909" spans="65:67" ht="18.75" customHeight="1">
      <c r="BM60909" s="1025"/>
      <c r="BO60909" s="43"/>
    </row>
    <row r="60910" spans="65:67" ht="18.75" customHeight="1">
      <c r="BM60910" s="1025"/>
      <c r="BO60910" s="43"/>
    </row>
    <row r="60911" spans="65:67" ht="18.75" customHeight="1">
      <c r="BM60911" s="1025"/>
      <c r="BO60911" s="43"/>
    </row>
    <row r="60912" spans="65:67" ht="18.75" customHeight="1">
      <c r="BM60912" s="1025"/>
      <c r="BO60912" s="43"/>
    </row>
    <row r="60913" spans="65:67" ht="18.75" customHeight="1">
      <c r="BM60913" s="1025"/>
      <c r="BO60913" s="43"/>
    </row>
    <row r="60914" spans="65:67" ht="18.75" customHeight="1">
      <c r="BM60914" s="1025"/>
      <c r="BO60914" s="43"/>
    </row>
    <row r="60915" spans="65:67" ht="18.75" customHeight="1">
      <c r="BM60915" s="1025"/>
      <c r="BO60915" s="43"/>
    </row>
    <row r="60916" spans="65:67" ht="18.75" customHeight="1">
      <c r="BM60916" s="1025"/>
      <c r="BO60916" s="43"/>
    </row>
    <row r="60917" spans="65:67" ht="18.75" customHeight="1">
      <c r="BM60917" s="1025"/>
      <c r="BO60917" s="43"/>
    </row>
    <row r="60918" spans="65:67" ht="18.75" customHeight="1">
      <c r="BM60918" s="1025"/>
      <c r="BO60918" s="43"/>
    </row>
    <row r="60919" spans="65:67" ht="18.75" customHeight="1">
      <c r="BM60919" s="1025"/>
      <c r="BO60919" s="43"/>
    </row>
    <row r="60920" spans="65:67" ht="18.75" customHeight="1">
      <c r="BM60920" s="1025"/>
      <c r="BO60920" s="43"/>
    </row>
    <row r="60921" spans="65:67" ht="18.75" customHeight="1">
      <c r="BM60921" s="1025"/>
      <c r="BO60921" s="43"/>
    </row>
    <row r="60922" spans="65:67" ht="18.75" customHeight="1">
      <c r="BM60922" s="1025"/>
      <c r="BO60922" s="43"/>
    </row>
    <row r="60923" spans="65:67" ht="18.75" customHeight="1">
      <c r="BM60923" s="1025"/>
      <c r="BO60923" s="43"/>
    </row>
    <row r="60924" spans="65:67" ht="18.75" customHeight="1">
      <c r="BM60924" s="1025"/>
      <c r="BO60924" s="43"/>
    </row>
    <row r="60925" spans="65:67" ht="18.75" customHeight="1">
      <c r="BM60925" s="1025"/>
      <c r="BO60925" s="43"/>
    </row>
    <row r="60926" spans="65:67" ht="18.75" customHeight="1">
      <c r="BM60926" s="1025"/>
      <c r="BO60926" s="43"/>
    </row>
    <row r="60927" spans="65:67" ht="18.75" customHeight="1">
      <c r="BM60927" s="1025"/>
      <c r="BO60927" s="43"/>
    </row>
    <row r="60928" spans="65:67" ht="18.75" customHeight="1">
      <c r="BM60928" s="1025"/>
      <c r="BO60928" s="43"/>
    </row>
    <row r="60929" spans="65:67" ht="18.75" customHeight="1">
      <c r="BM60929" s="1025"/>
      <c r="BO60929" s="43"/>
    </row>
    <row r="60930" spans="65:67" ht="18.75" customHeight="1">
      <c r="BM60930" s="1025"/>
      <c r="BO60930" s="43"/>
    </row>
    <row r="60931" spans="65:67" ht="18.75" customHeight="1">
      <c r="BM60931" s="1025"/>
      <c r="BO60931" s="43"/>
    </row>
    <row r="60932" spans="65:67" ht="18.75" customHeight="1">
      <c r="BM60932" s="1025"/>
      <c r="BO60932" s="43"/>
    </row>
    <row r="60933" spans="65:67" ht="18.75" customHeight="1">
      <c r="BM60933" s="1025"/>
      <c r="BO60933" s="43"/>
    </row>
    <row r="60934" spans="65:67" ht="18.75" customHeight="1">
      <c r="BM60934" s="1025"/>
      <c r="BO60934" s="43"/>
    </row>
    <row r="60935" spans="65:67" ht="18.75" customHeight="1">
      <c r="BM60935" s="1025"/>
      <c r="BO60935" s="43"/>
    </row>
    <row r="60936" spans="65:67" ht="18.75" customHeight="1">
      <c r="BM60936" s="1025"/>
      <c r="BO60936" s="43"/>
    </row>
    <row r="60937" spans="65:67" ht="18.75" customHeight="1">
      <c r="BM60937" s="1025"/>
      <c r="BO60937" s="43"/>
    </row>
    <row r="60938" spans="65:67" ht="18.75" customHeight="1">
      <c r="BM60938" s="1025"/>
      <c r="BO60938" s="43"/>
    </row>
    <row r="60939" spans="65:67" ht="18.75" customHeight="1">
      <c r="BM60939" s="1025"/>
      <c r="BO60939" s="43"/>
    </row>
    <row r="60940" spans="65:67" ht="18.75" customHeight="1">
      <c r="BM60940" s="1025"/>
      <c r="BO60940" s="43"/>
    </row>
    <row r="60941" spans="65:67" ht="18.75" customHeight="1">
      <c r="BM60941" s="1025"/>
      <c r="BO60941" s="43"/>
    </row>
    <row r="60942" spans="65:67" ht="18.75" customHeight="1">
      <c r="BM60942" s="1025"/>
      <c r="BO60942" s="43"/>
    </row>
    <row r="60943" spans="65:67" ht="18.75" customHeight="1">
      <c r="BM60943" s="1025"/>
      <c r="BO60943" s="43"/>
    </row>
    <row r="60944" spans="65:67" ht="18.75" customHeight="1">
      <c r="BM60944" s="1025"/>
      <c r="BO60944" s="43"/>
    </row>
    <row r="60945" spans="65:67" ht="18.75" customHeight="1">
      <c r="BM60945" s="1025"/>
      <c r="BO60945" s="43"/>
    </row>
    <row r="60946" spans="65:67" ht="18.75" customHeight="1">
      <c r="BM60946" s="1025"/>
      <c r="BO60946" s="43"/>
    </row>
    <row r="60947" spans="65:67" ht="18.75" customHeight="1">
      <c r="BM60947" s="1025"/>
      <c r="BO60947" s="43"/>
    </row>
    <row r="60948" spans="65:67" ht="18.75" customHeight="1">
      <c r="BM60948" s="1025"/>
      <c r="BO60948" s="43"/>
    </row>
    <row r="60949" spans="65:67" ht="18.75" customHeight="1">
      <c r="BM60949" s="1025"/>
      <c r="BO60949" s="43"/>
    </row>
    <row r="60950" spans="65:67" ht="18.75" customHeight="1">
      <c r="BM60950" s="1025"/>
      <c r="BO60950" s="43"/>
    </row>
    <row r="60951" spans="65:67" ht="18.75" customHeight="1">
      <c r="BM60951" s="1025"/>
      <c r="BO60951" s="43"/>
    </row>
    <row r="60952" spans="65:67" ht="18.75" customHeight="1">
      <c r="BM60952" s="1025"/>
      <c r="BO60952" s="43"/>
    </row>
    <row r="60953" spans="65:67" ht="18.75" customHeight="1">
      <c r="BM60953" s="1025"/>
      <c r="BO60953" s="43"/>
    </row>
    <row r="60954" spans="65:67" ht="18.75" customHeight="1">
      <c r="BM60954" s="1025"/>
      <c r="BO60954" s="43"/>
    </row>
    <row r="60955" spans="65:67" ht="18.75" customHeight="1">
      <c r="BM60955" s="1025"/>
      <c r="BO60955" s="43"/>
    </row>
    <row r="60956" spans="65:67" ht="18.75" customHeight="1">
      <c r="BM60956" s="1025"/>
      <c r="BO60956" s="43"/>
    </row>
    <row r="60957" spans="65:67" ht="18.75" customHeight="1">
      <c r="BM60957" s="1025"/>
      <c r="BO60957" s="43"/>
    </row>
    <row r="60958" spans="65:67" ht="18.75" customHeight="1">
      <c r="BM60958" s="1025"/>
      <c r="BO60958" s="43"/>
    </row>
    <row r="60959" spans="65:67" ht="18.75" customHeight="1">
      <c r="BM60959" s="1025"/>
      <c r="BO60959" s="43"/>
    </row>
    <row r="60960" spans="65:67" ht="18.75" customHeight="1">
      <c r="BM60960" s="1025"/>
      <c r="BO60960" s="43"/>
    </row>
    <row r="60961" spans="65:67" ht="18.75" customHeight="1">
      <c r="BM60961" s="1025"/>
      <c r="BO60961" s="43"/>
    </row>
    <row r="60962" spans="65:67" ht="18.75" customHeight="1">
      <c r="BM60962" s="1025"/>
      <c r="BO60962" s="43"/>
    </row>
    <row r="60963" spans="65:67" ht="18.75" customHeight="1">
      <c r="BM60963" s="1025"/>
      <c r="BO60963" s="43"/>
    </row>
    <row r="60964" spans="65:67" ht="18.75" customHeight="1">
      <c r="BM60964" s="1025"/>
      <c r="BO60964" s="43"/>
    </row>
    <row r="60965" spans="65:67" ht="18.75" customHeight="1">
      <c r="BM60965" s="1025"/>
      <c r="BO60965" s="43"/>
    </row>
    <row r="60966" spans="65:67" ht="18.75" customHeight="1">
      <c r="BM60966" s="1025"/>
      <c r="BO60966" s="43"/>
    </row>
    <row r="60967" spans="65:67" ht="18.75" customHeight="1">
      <c r="BM60967" s="1025"/>
      <c r="BO60967" s="43"/>
    </row>
    <row r="60968" spans="65:67" ht="18.75" customHeight="1">
      <c r="BM60968" s="1025"/>
      <c r="BO60968" s="43"/>
    </row>
    <row r="60969" spans="65:67" ht="18.75" customHeight="1">
      <c r="BM60969" s="1025"/>
      <c r="BO60969" s="43"/>
    </row>
    <row r="60970" spans="65:67" ht="18.75" customHeight="1">
      <c r="BM60970" s="1025"/>
      <c r="BO60970" s="43"/>
    </row>
    <row r="60971" spans="65:67" ht="18.75" customHeight="1">
      <c r="BM60971" s="1025"/>
      <c r="BO60971" s="43"/>
    </row>
    <row r="60972" spans="65:67" ht="18.75" customHeight="1">
      <c r="BM60972" s="1025"/>
      <c r="BO60972" s="43"/>
    </row>
    <row r="60973" spans="65:67" ht="18.75" customHeight="1">
      <c r="BM60973" s="1025"/>
      <c r="BO60973" s="43"/>
    </row>
    <row r="60974" spans="65:67" ht="18.75" customHeight="1">
      <c r="BM60974" s="1025"/>
      <c r="BO60974" s="43"/>
    </row>
    <row r="60975" spans="65:67" ht="18.75" customHeight="1">
      <c r="BM60975" s="1025"/>
      <c r="BO60975" s="43"/>
    </row>
    <row r="60976" spans="65:67" ht="18.75" customHeight="1">
      <c r="BM60976" s="1025"/>
      <c r="BO60976" s="43"/>
    </row>
    <row r="60977" spans="65:67" ht="18.75" customHeight="1">
      <c r="BM60977" s="1025"/>
      <c r="BO60977" s="43"/>
    </row>
    <row r="60978" spans="65:67" ht="18.75" customHeight="1">
      <c r="BM60978" s="1025"/>
      <c r="BO60978" s="43"/>
    </row>
    <row r="60979" spans="65:67" ht="18.75" customHeight="1">
      <c r="BM60979" s="1025"/>
      <c r="BO60979" s="43"/>
    </row>
    <row r="60980" spans="65:67" ht="18.75" customHeight="1">
      <c r="BM60980" s="1025"/>
      <c r="BO60980" s="43"/>
    </row>
    <row r="60981" spans="65:67" ht="18.75" customHeight="1">
      <c r="BM60981" s="1025"/>
      <c r="BO60981" s="43"/>
    </row>
    <row r="60982" spans="65:67" ht="18.75" customHeight="1">
      <c r="BM60982" s="1025"/>
      <c r="BO60982" s="43"/>
    </row>
    <row r="60983" spans="65:67" ht="18.75" customHeight="1">
      <c r="BM60983" s="1025"/>
      <c r="BO60983" s="43"/>
    </row>
    <row r="60984" spans="65:67" ht="18.75" customHeight="1">
      <c r="BM60984" s="1025"/>
      <c r="BO60984" s="43"/>
    </row>
    <row r="60985" spans="65:67" ht="18.75" customHeight="1">
      <c r="BM60985" s="1025"/>
      <c r="BO60985" s="43"/>
    </row>
    <row r="60986" spans="65:67" ht="18.75" customHeight="1">
      <c r="BM60986" s="1025"/>
      <c r="BO60986" s="43"/>
    </row>
    <row r="60987" spans="65:67" ht="18.75" customHeight="1">
      <c r="BM60987" s="1025"/>
      <c r="BO60987" s="43"/>
    </row>
    <row r="60988" spans="65:67" ht="18.75" customHeight="1">
      <c r="BM60988" s="1025"/>
      <c r="BO60988" s="43"/>
    </row>
    <row r="60989" spans="65:67" ht="18.75" customHeight="1">
      <c r="BM60989" s="1025"/>
      <c r="BO60989" s="43"/>
    </row>
    <row r="60990" spans="65:67" ht="18.75" customHeight="1">
      <c r="BM60990" s="1025"/>
      <c r="BO60990" s="43"/>
    </row>
    <row r="60991" spans="65:67" ht="18.75" customHeight="1">
      <c r="BM60991" s="1025"/>
      <c r="BO60991" s="43"/>
    </row>
    <row r="60992" spans="65:67" ht="18.75" customHeight="1">
      <c r="BM60992" s="1025"/>
      <c r="BO60992" s="43"/>
    </row>
    <row r="60993" spans="65:67" ht="18.75" customHeight="1">
      <c r="BM60993" s="1025"/>
      <c r="BO60993" s="43"/>
    </row>
    <row r="60994" spans="65:67" ht="18.75" customHeight="1">
      <c r="BM60994" s="1025"/>
      <c r="BO60994" s="43"/>
    </row>
    <row r="60995" spans="65:67" ht="18.75" customHeight="1">
      <c r="BM60995" s="1025"/>
      <c r="BO60995" s="43"/>
    </row>
    <row r="60996" spans="65:67" ht="18.75" customHeight="1">
      <c r="BM60996" s="1025"/>
      <c r="BO60996" s="43"/>
    </row>
    <row r="60997" spans="65:67" ht="18.75" customHeight="1">
      <c r="BM60997" s="1025"/>
      <c r="BO60997" s="43"/>
    </row>
    <row r="60998" spans="65:67" ht="18.75" customHeight="1">
      <c r="BM60998" s="1025"/>
      <c r="BO60998" s="43"/>
    </row>
    <row r="60999" spans="65:67" ht="18.75" customHeight="1">
      <c r="BM60999" s="1025"/>
      <c r="BO60999" s="43"/>
    </row>
    <row r="61000" spans="65:67" ht="18.75" customHeight="1">
      <c r="BM61000" s="1025"/>
      <c r="BO61000" s="43"/>
    </row>
    <row r="61001" spans="65:67" ht="18.75" customHeight="1">
      <c r="BM61001" s="1025"/>
      <c r="BO61001" s="43"/>
    </row>
    <row r="61002" spans="65:67" ht="18.75" customHeight="1">
      <c r="BM61002" s="1025"/>
      <c r="BO61002" s="43"/>
    </row>
    <row r="61003" spans="65:67" ht="18.75" customHeight="1">
      <c r="BM61003" s="1025"/>
      <c r="BO61003" s="43"/>
    </row>
    <row r="61004" spans="65:67" ht="18.75" customHeight="1">
      <c r="BM61004" s="1025"/>
      <c r="BO61004" s="43"/>
    </row>
    <row r="61005" spans="65:67" ht="18.75" customHeight="1">
      <c r="BM61005" s="1025"/>
      <c r="BO61005" s="43"/>
    </row>
    <row r="61006" spans="65:67" ht="18.75" customHeight="1">
      <c r="BM61006" s="1025"/>
      <c r="BO61006" s="43"/>
    </row>
    <row r="61007" spans="65:67" ht="18.75" customHeight="1">
      <c r="BM61007" s="1025"/>
      <c r="BO61007" s="43"/>
    </row>
    <row r="61008" spans="65:67" ht="18.75" customHeight="1">
      <c r="BM61008" s="1025"/>
      <c r="BO61008" s="43"/>
    </row>
    <row r="61009" spans="65:67" ht="18.75" customHeight="1">
      <c r="BM61009" s="1025"/>
      <c r="BO61009" s="43"/>
    </row>
    <row r="61010" spans="65:67" ht="18.75" customHeight="1">
      <c r="BM61010" s="1025"/>
      <c r="BO61010" s="43"/>
    </row>
    <row r="61011" spans="65:67" ht="18.75" customHeight="1">
      <c r="BM61011" s="1025"/>
      <c r="BO61011" s="43"/>
    </row>
    <row r="61012" spans="65:67" ht="18.75" customHeight="1">
      <c r="BM61012" s="1025"/>
      <c r="BO61012" s="43"/>
    </row>
    <row r="61013" spans="65:67" ht="18.75" customHeight="1">
      <c r="BM61013" s="1025"/>
      <c r="BO61013" s="43"/>
    </row>
    <row r="61014" spans="65:67" ht="18.75" customHeight="1">
      <c r="BM61014" s="1025"/>
      <c r="BO61014" s="43"/>
    </row>
    <row r="61015" spans="65:67" ht="18.75" customHeight="1">
      <c r="BM61015" s="1025"/>
      <c r="BO61015" s="43"/>
    </row>
    <row r="61016" spans="65:67" ht="18.75" customHeight="1">
      <c r="BM61016" s="1025"/>
      <c r="BO61016" s="43"/>
    </row>
    <row r="61017" spans="65:67" ht="18.75" customHeight="1">
      <c r="BM61017" s="1025"/>
      <c r="BO61017" s="43"/>
    </row>
    <row r="61018" spans="65:67" ht="18.75" customHeight="1">
      <c r="BM61018" s="1025"/>
      <c r="BO61018" s="43"/>
    </row>
    <row r="61019" spans="65:67" ht="18.75" customHeight="1">
      <c r="BM61019" s="1025"/>
      <c r="BO61019" s="43"/>
    </row>
    <row r="61020" spans="65:67" ht="18.75" customHeight="1">
      <c r="BM61020" s="1025"/>
      <c r="BO61020" s="43"/>
    </row>
    <row r="61021" spans="65:67" ht="18.75" customHeight="1">
      <c r="BM61021" s="1025"/>
      <c r="BO61021" s="43"/>
    </row>
    <row r="61022" spans="65:67" ht="18.75" customHeight="1">
      <c r="BM61022" s="1025"/>
      <c r="BO61022" s="43"/>
    </row>
    <row r="61023" spans="65:67" ht="18.75" customHeight="1">
      <c r="BM61023" s="1025"/>
      <c r="BO61023" s="43"/>
    </row>
    <row r="61024" spans="65:67" ht="18.75" customHeight="1">
      <c r="BM61024" s="1025"/>
      <c r="BO61024" s="43"/>
    </row>
    <row r="61025" spans="65:67" ht="18.75" customHeight="1">
      <c r="BM61025" s="1025"/>
      <c r="BO61025" s="43"/>
    </row>
    <row r="61026" spans="65:67" ht="18.75" customHeight="1">
      <c r="BM61026" s="1025"/>
      <c r="BO61026" s="43"/>
    </row>
    <row r="61027" spans="65:67" ht="18.75" customHeight="1">
      <c r="BM61027" s="1025"/>
      <c r="BO61027" s="43"/>
    </row>
    <row r="61028" spans="65:67" ht="18.75" customHeight="1">
      <c r="BM61028" s="1025"/>
      <c r="BO61028" s="43"/>
    </row>
    <row r="61029" spans="65:67" ht="18.75" customHeight="1">
      <c r="BM61029" s="1025"/>
      <c r="BO61029" s="43"/>
    </row>
    <row r="61030" spans="65:67" ht="18.75" customHeight="1">
      <c r="BM61030" s="1025"/>
      <c r="BO61030" s="43"/>
    </row>
    <row r="61031" spans="65:67" ht="18.75" customHeight="1">
      <c r="BM61031" s="1025"/>
      <c r="BO61031" s="43"/>
    </row>
    <row r="61032" spans="65:67" ht="18.75" customHeight="1">
      <c r="BM61032" s="1025"/>
      <c r="BO61032" s="43"/>
    </row>
    <row r="61033" spans="65:67" ht="18.75" customHeight="1">
      <c r="BM61033" s="1025"/>
      <c r="BO61033" s="43"/>
    </row>
    <row r="61034" spans="65:67" ht="18.75" customHeight="1">
      <c r="BM61034" s="1025"/>
      <c r="BO61034" s="43"/>
    </row>
    <row r="61035" spans="65:67" ht="18.75" customHeight="1">
      <c r="BM61035" s="1025"/>
      <c r="BO61035" s="43"/>
    </row>
    <row r="61036" spans="65:67" ht="18.75" customHeight="1">
      <c r="BM61036" s="1025"/>
      <c r="BO61036" s="43"/>
    </row>
    <row r="61037" spans="65:67" ht="18.75" customHeight="1">
      <c r="BM61037" s="1025"/>
      <c r="BO61037" s="43"/>
    </row>
    <row r="61038" spans="65:67" ht="18.75" customHeight="1">
      <c r="BM61038" s="1025"/>
      <c r="BO61038" s="43"/>
    </row>
    <row r="61039" spans="65:67" ht="18.75" customHeight="1">
      <c r="BM61039" s="1025"/>
      <c r="BO61039" s="43"/>
    </row>
    <row r="61040" spans="65:67" ht="18.75" customHeight="1">
      <c r="BM61040" s="1025"/>
      <c r="BO61040" s="43"/>
    </row>
    <row r="61041" spans="65:67" ht="18.75" customHeight="1">
      <c r="BM61041" s="1025"/>
      <c r="BO61041" s="43"/>
    </row>
    <row r="61042" spans="65:67" ht="18.75" customHeight="1">
      <c r="BM61042" s="1025"/>
      <c r="BO61042" s="43"/>
    </row>
    <row r="61043" spans="65:67" ht="18.75" customHeight="1">
      <c r="BM61043" s="1025"/>
      <c r="BO61043" s="43"/>
    </row>
    <row r="61044" spans="65:67" ht="18.75" customHeight="1">
      <c r="BM61044" s="1025"/>
      <c r="BO61044" s="43"/>
    </row>
    <row r="61045" spans="65:67" ht="18.75" customHeight="1">
      <c r="BM61045" s="1025"/>
      <c r="BO61045" s="43"/>
    </row>
    <row r="61046" spans="65:67" ht="18.75" customHeight="1">
      <c r="BM61046" s="1025"/>
      <c r="BO61046" s="43"/>
    </row>
    <row r="61047" spans="65:67" ht="18.75" customHeight="1">
      <c r="BM61047" s="1025"/>
      <c r="BO61047" s="43"/>
    </row>
    <row r="61048" spans="65:67" ht="18.75" customHeight="1">
      <c r="BM61048" s="1025"/>
      <c r="BO61048" s="43"/>
    </row>
    <row r="61049" spans="65:67" ht="18.75" customHeight="1">
      <c r="BM61049" s="1025"/>
      <c r="BO61049" s="43"/>
    </row>
    <row r="61050" spans="65:67" ht="18.75" customHeight="1">
      <c r="BM61050" s="1025"/>
      <c r="BO61050" s="43"/>
    </row>
    <row r="61051" spans="65:67" ht="18.75" customHeight="1">
      <c r="BM61051" s="1025"/>
      <c r="BO61051" s="43"/>
    </row>
    <row r="61052" spans="65:67" ht="18.75" customHeight="1">
      <c r="BM61052" s="1025"/>
      <c r="BO61052" s="43"/>
    </row>
    <row r="61053" spans="65:67" ht="18.75" customHeight="1">
      <c r="BM61053" s="1025"/>
      <c r="BO61053" s="43"/>
    </row>
    <row r="61054" spans="65:67" ht="18.75" customHeight="1">
      <c r="BM61054" s="1025"/>
      <c r="BO61054" s="43"/>
    </row>
    <row r="61055" spans="65:67" ht="18.75" customHeight="1">
      <c r="BM61055" s="1025"/>
      <c r="BO61055" s="43"/>
    </row>
    <row r="61056" spans="65:67" ht="18.75" customHeight="1">
      <c r="BM61056" s="1025"/>
      <c r="BO61056" s="43"/>
    </row>
    <row r="61057" spans="65:67" ht="18.75" customHeight="1">
      <c r="BM61057" s="1025"/>
      <c r="BO61057" s="43"/>
    </row>
    <row r="61058" spans="65:67" ht="18.75" customHeight="1">
      <c r="BM61058" s="1025"/>
      <c r="BO61058" s="43"/>
    </row>
    <row r="61059" spans="65:67" ht="18.75" customHeight="1">
      <c r="BM61059" s="1025"/>
      <c r="BO61059" s="43"/>
    </row>
    <row r="61060" spans="65:67" ht="18.75" customHeight="1">
      <c r="BM61060" s="1025"/>
      <c r="BO61060" s="43"/>
    </row>
    <row r="61061" spans="65:67" ht="18.75" customHeight="1">
      <c r="BM61061" s="1025"/>
      <c r="BO61061" s="43"/>
    </row>
    <row r="61062" spans="65:67" ht="18.75" customHeight="1">
      <c r="BM61062" s="1025"/>
      <c r="BO61062" s="43"/>
    </row>
    <row r="61063" spans="65:67" ht="18.75" customHeight="1">
      <c r="BM61063" s="1025"/>
      <c r="BO61063" s="43"/>
    </row>
    <row r="61064" spans="65:67" ht="18.75" customHeight="1">
      <c r="BM61064" s="1025"/>
      <c r="BO61064" s="43"/>
    </row>
    <row r="61065" spans="65:67" ht="18.75" customHeight="1">
      <c r="BM61065" s="1025"/>
      <c r="BO61065" s="43"/>
    </row>
    <row r="61066" spans="65:67" ht="18.75" customHeight="1">
      <c r="BM61066" s="1025"/>
      <c r="BO61066" s="43"/>
    </row>
    <row r="61067" spans="65:67" ht="18.75" customHeight="1">
      <c r="BM61067" s="1025"/>
      <c r="BO61067" s="43"/>
    </row>
    <row r="61068" spans="65:67" ht="18.75" customHeight="1">
      <c r="BM61068" s="1025"/>
      <c r="BO61068" s="43"/>
    </row>
    <row r="61069" spans="65:67" ht="18.75" customHeight="1">
      <c r="BM61069" s="1025"/>
      <c r="BO61069" s="43"/>
    </row>
    <row r="61070" spans="65:67" ht="18.75" customHeight="1">
      <c r="BM61070" s="1025"/>
      <c r="BO61070" s="43"/>
    </row>
    <row r="61071" spans="65:67" ht="18.75" customHeight="1">
      <c r="BM61071" s="1025"/>
      <c r="BO61071" s="43"/>
    </row>
    <row r="61072" spans="65:67" ht="18.75" customHeight="1">
      <c r="BM61072" s="1025"/>
      <c r="BO61072" s="43"/>
    </row>
    <row r="61073" spans="65:67" ht="18.75" customHeight="1">
      <c r="BM61073" s="1025"/>
      <c r="BO61073" s="43"/>
    </row>
    <row r="61074" spans="65:67" ht="18.75" customHeight="1">
      <c r="BM61074" s="1025"/>
      <c r="BO61074" s="43"/>
    </row>
    <row r="61075" spans="65:67" ht="18.75" customHeight="1">
      <c r="BM61075" s="1025"/>
      <c r="BO61075" s="43"/>
    </row>
    <row r="61076" spans="65:67" ht="18.75" customHeight="1">
      <c r="BM61076" s="1025"/>
      <c r="BO61076" s="43"/>
    </row>
    <row r="61077" spans="65:67" ht="18.75" customHeight="1">
      <c r="BM61077" s="1025"/>
      <c r="BO61077" s="43"/>
    </row>
    <row r="61078" spans="65:67" ht="18.75" customHeight="1">
      <c r="BM61078" s="1025"/>
      <c r="BO61078" s="43"/>
    </row>
    <row r="61079" spans="65:67" ht="18.75" customHeight="1">
      <c r="BM61079" s="1025"/>
      <c r="BO61079" s="43"/>
    </row>
    <row r="61080" spans="65:67" ht="18.75" customHeight="1">
      <c r="BM61080" s="1025"/>
      <c r="BO61080" s="43"/>
    </row>
    <row r="61081" spans="65:67" ht="18.75" customHeight="1">
      <c r="BM61081" s="1025"/>
      <c r="BO61081" s="43"/>
    </row>
    <row r="61082" spans="65:67" ht="18.75" customHeight="1">
      <c r="BM61082" s="1025"/>
      <c r="BO61082" s="43"/>
    </row>
    <row r="61083" spans="65:67" ht="18.75" customHeight="1">
      <c r="BM61083" s="1025"/>
      <c r="BO61083" s="43"/>
    </row>
    <row r="61084" spans="65:67" ht="18.75" customHeight="1">
      <c r="BM61084" s="1025"/>
      <c r="BO61084" s="43"/>
    </row>
    <row r="61085" spans="65:67" ht="18.75" customHeight="1">
      <c r="BM61085" s="1025"/>
      <c r="BO61085" s="43"/>
    </row>
    <row r="61086" spans="65:67" ht="18.75" customHeight="1">
      <c r="BM61086" s="1025"/>
      <c r="BO61086" s="43"/>
    </row>
    <row r="61087" spans="65:67" ht="18.75" customHeight="1">
      <c r="BM61087" s="1025"/>
      <c r="BO61087" s="43"/>
    </row>
    <row r="61088" spans="65:67" ht="18.75" customHeight="1">
      <c r="BM61088" s="1025"/>
      <c r="BO61088" s="43"/>
    </row>
    <row r="61089" spans="65:67" ht="18.75" customHeight="1">
      <c r="BM61089" s="1025"/>
      <c r="BO61089" s="43"/>
    </row>
    <row r="61090" spans="65:67" ht="18.75" customHeight="1">
      <c r="BM61090" s="1025"/>
      <c r="BO61090" s="43"/>
    </row>
    <row r="61091" spans="65:67" ht="18.75" customHeight="1">
      <c r="BM61091" s="1025"/>
      <c r="BO61091" s="43"/>
    </row>
    <row r="61092" spans="65:67" ht="18.75" customHeight="1">
      <c r="BM61092" s="1025"/>
      <c r="BO61092" s="43"/>
    </row>
    <row r="61093" spans="65:67" ht="18.75" customHeight="1">
      <c r="BM61093" s="1025"/>
      <c r="BO61093" s="43"/>
    </row>
    <row r="61094" spans="65:67" ht="18.75" customHeight="1">
      <c r="BM61094" s="1025"/>
      <c r="BO61094" s="43"/>
    </row>
    <row r="61095" spans="65:67" ht="18.75" customHeight="1">
      <c r="BM61095" s="1025"/>
      <c r="BO61095" s="43"/>
    </row>
    <row r="61096" spans="65:67" ht="18.75" customHeight="1">
      <c r="BM61096" s="1025"/>
      <c r="BO61096" s="43"/>
    </row>
    <row r="61097" spans="65:67" ht="18.75" customHeight="1">
      <c r="BM61097" s="1025"/>
      <c r="BO61097" s="43"/>
    </row>
    <row r="61098" spans="65:67" ht="18.75" customHeight="1">
      <c r="BM61098" s="1025"/>
      <c r="BO61098" s="43"/>
    </row>
    <row r="61099" spans="65:67" ht="18.75" customHeight="1">
      <c r="BM61099" s="1025"/>
      <c r="BO61099" s="43"/>
    </row>
    <row r="61100" spans="65:67" ht="18.75" customHeight="1">
      <c r="BM61100" s="1025"/>
      <c r="BO61100" s="43"/>
    </row>
    <row r="61101" spans="65:67" ht="18.75" customHeight="1">
      <c r="BM61101" s="1025"/>
      <c r="BO61101" s="43"/>
    </row>
    <row r="61102" spans="65:67" ht="18.75" customHeight="1">
      <c r="BM61102" s="1025"/>
      <c r="BO61102" s="43"/>
    </row>
    <row r="61103" spans="65:67" ht="18.75" customHeight="1">
      <c r="BM61103" s="1025"/>
      <c r="BO61103" s="43"/>
    </row>
    <row r="61104" spans="65:67" ht="18.75" customHeight="1">
      <c r="BM61104" s="1025"/>
      <c r="BO61104" s="43"/>
    </row>
    <row r="61105" spans="65:67" ht="18.75" customHeight="1">
      <c r="BM61105" s="1025"/>
      <c r="BO61105" s="43"/>
    </row>
    <row r="61106" spans="65:67" ht="18.75" customHeight="1">
      <c r="BM61106" s="1025"/>
      <c r="BO61106" s="43"/>
    </row>
    <row r="61107" spans="65:67" ht="18.75" customHeight="1">
      <c r="BM61107" s="1025"/>
      <c r="BO61107" s="43"/>
    </row>
    <row r="61108" spans="65:67" ht="18.75" customHeight="1">
      <c r="BM61108" s="1025"/>
      <c r="BO61108" s="43"/>
    </row>
    <row r="61109" spans="65:67" ht="18.75" customHeight="1">
      <c r="BM61109" s="1025"/>
      <c r="BO61109" s="43"/>
    </row>
    <row r="61110" spans="65:67" ht="18.75" customHeight="1">
      <c r="BM61110" s="1025"/>
      <c r="BO61110" s="43"/>
    </row>
    <row r="61111" spans="65:67" ht="18.75" customHeight="1">
      <c r="BM61111" s="1025"/>
      <c r="BO61111" s="43"/>
    </row>
    <row r="61112" spans="65:67" ht="18.75" customHeight="1">
      <c r="BM61112" s="1025"/>
      <c r="BO61112" s="43"/>
    </row>
    <row r="61113" spans="65:67" ht="18.75" customHeight="1">
      <c r="BM61113" s="1025"/>
      <c r="BO61113" s="43"/>
    </row>
    <row r="61114" spans="65:67" ht="18.75" customHeight="1">
      <c r="BM61114" s="1025"/>
      <c r="BO61114" s="43"/>
    </row>
    <row r="61115" spans="65:67" ht="18.75" customHeight="1">
      <c r="BM61115" s="1025"/>
      <c r="BO61115" s="43"/>
    </row>
    <row r="61116" spans="65:67" ht="18.75" customHeight="1">
      <c r="BM61116" s="1025"/>
      <c r="BO61116" s="43"/>
    </row>
    <row r="61117" spans="65:67" ht="18.75" customHeight="1">
      <c r="BM61117" s="1025"/>
      <c r="BO61117" s="43"/>
    </row>
    <row r="61118" spans="65:67" ht="18.75" customHeight="1">
      <c r="BM61118" s="1025"/>
      <c r="BO61118" s="43"/>
    </row>
    <row r="61119" spans="65:67" ht="18.75" customHeight="1">
      <c r="BM61119" s="1025"/>
      <c r="BO61119" s="43"/>
    </row>
    <row r="61120" spans="65:67" ht="18.75" customHeight="1">
      <c r="BM61120" s="1025"/>
      <c r="BO61120" s="43"/>
    </row>
    <row r="61121" spans="65:67" ht="18.75" customHeight="1">
      <c r="BM61121" s="1025"/>
      <c r="BO61121" s="43"/>
    </row>
    <row r="61122" spans="65:67" ht="18.75" customHeight="1">
      <c r="BM61122" s="1025"/>
      <c r="BO61122" s="43"/>
    </row>
    <row r="61123" spans="65:67" ht="18.75" customHeight="1">
      <c r="BM61123" s="1025"/>
      <c r="BO61123" s="43"/>
    </row>
    <row r="61124" spans="65:67" ht="18.75" customHeight="1">
      <c r="BM61124" s="1025"/>
      <c r="BO61124" s="43"/>
    </row>
    <row r="61125" spans="65:67" ht="18.75" customHeight="1">
      <c r="BM61125" s="1025"/>
      <c r="BO61125" s="43"/>
    </row>
    <row r="61126" spans="65:67" ht="18.75" customHeight="1">
      <c r="BM61126" s="1025"/>
      <c r="BO61126" s="43"/>
    </row>
    <row r="61127" spans="65:67" ht="18.75" customHeight="1">
      <c r="BM61127" s="1025"/>
      <c r="BO61127" s="43"/>
    </row>
    <row r="61128" spans="65:67" ht="18.75" customHeight="1">
      <c r="BM61128" s="1025"/>
      <c r="BO61128" s="43"/>
    </row>
    <row r="61129" spans="65:67" ht="18.75" customHeight="1">
      <c r="BM61129" s="1025"/>
      <c r="BO61129" s="43"/>
    </row>
    <row r="61130" spans="65:67" ht="18.75" customHeight="1">
      <c r="BM61130" s="1025"/>
      <c r="BO61130" s="43"/>
    </row>
    <row r="61131" spans="65:67" ht="18.75" customHeight="1">
      <c r="BM61131" s="1025"/>
      <c r="BO61131" s="43"/>
    </row>
    <row r="61132" spans="65:67" ht="18.75" customHeight="1">
      <c r="BM61132" s="1025"/>
      <c r="BO61132" s="43"/>
    </row>
    <row r="61133" spans="65:67" ht="18.75" customHeight="1">
      <c r="BM61133" s="1025"/>
      <c r="BO61133" s="43"/>
    </row>
    <row r="61134" spans="65:67" ht="18.75" customHeight="1">
      <c r="BM61134" s="1025"/>
      <c r="BO61134" s="43"/>
    </row>
    <row r="61135" spans="65:67" ht="18.75" customHeight="1">
      <c r="BM61135" s="1025"/>
      <c r="BO61135" s="43"/>
    </row>
    <row r="61136" spans="65:67" ht="18.75" customHeight="1">
      <c r="BM61136" s="1025"/>
      <c r="BO61136" s="43"/>
    </row>
    <row r="61137" spans="65:67" ht="18.75" customHeight="1">
      <c r="BM61137" s="1025"/>
      <c r="BO61137" s="43"/>
    </row>
    <row r="61138" spans="65:67" ht="18.75" customHeight="1">
      <c r="BM61138" s="1025"/>
      <c r="BO61138" s="43"/>
    </row>
    <row r="61139" spans="65:67" ht="18.75" customHeight="1">
      <c r="BM61139" s="1025"/>
      <c r="BO61139" s="43"/>
    </row>
    <row r="61140" spans="65:67" ht="18.75" customHeight="1">
      <c r="BM61140" s="1025"/>
      <c r="BO61140" s="43"/>
    </row>
    <row r="61141" spans="65:67" ht="18.75" customHeight="1">
      <c r="BM61141" s="1025"/>
      <c r="BO61141" s="43"/>
    </row>
    <row r="61142" spans="65:67" ht="18.75" customHeight="1">
      <c r="BM61142" s="1025"/>
      <c r="BO61142" s="43"/>
    </row>
    <row r="61143" spans="65:67" ht="18.75" customHeight="1">
      <c r="BM61143" s="1025"/>
      <c r="BO61143" s="43"/>
    </row>
    <row r="61144" spans="65:67" ht="18.75" customHeight="1">
      <c r="BM61144" s="1025"/>
      <c r="BO61144" s="43"/>
    </row>
    <row r="61145" spans="65:67" ht="18.75" customHeight="1">
      <c r="BM61145" s="1025"/>
      <c r="BO61145" s="43"/>
    </row>
    <row r="61146" spans="65:67" ht="18.75" customHeight="1">
      <c r="BM61146" s="1025"/>
      <c r="BO61146" s="43"/>
    </row>
    <row r="61147" spans="65:67" ht="18.75" customHeight="1">
      <c r="BM61147" s="1025"/>
      <c r="BO61147" s="43"/>
    </row>
    <row r="61148" spans="65:67" ht="18.75" customHeight="1">
      <c r="BM61148" s="1025"/>
      <c r="BO61148" s="43"/>
    </row>
    <row r="61149" spans="65:67" ht="18.75" customHeight="1">
      <c r="BM61149" s="1025"/>
      <c r="BO61149" s="43"/>
    </row>
    <row r="61150" spans="65:67" ht="18.75" customHeight="1">
      <c r="BM61150" s="1025"/>
      <c r="BO61150" s="43"/>
    </row>
    <row r="61151" spans="65:67" ht="18.75" customHeight="1">
      <c r="BM61151" s="1025"/>
      <c r="BO61151" s="43"/>
    </row>
    <row r="61152" spans="65:67" ht="18.75" customHeight="1">
      <c r="BM61152" s="1025"/>
      <c r="BO61152" s="43"/>
    </row>
    <row r="61153" spans="65:67" ht="18.75" customHeight="1">
      <c r="BM61153" s="1025"/>
      <c r="BO61153" s="43"/>
    </row>
    <row r="61154" spans="65:67" ht="18.75" customHeight="1">
      <c r="BM61154" s="1025"/>
      <c r="BO61154" s="43"/>
    </row>
    <row r="61155" spans="65:67" ht="18.75" customHeight="1">
      <c r="BM61155" s="1025"/>
      <c r="BO61155" s="43"/>
    </row>
    <row r="61156" spans="65:67" ht="18.75" customHeight="1">
      <c r="BM61156" s="1025"/>
      <c r="BO61156" s="43"/>
    </row>
    <row r="61157" spans="65:67" ht="18.75" customHeight="1">
      <c r="BM61157" s="1025"/>
      <c r="BO61157" s="43"/>
    </row>
    <row r="61158" spans="65:67" ht="18.75" customHeight="1">
      <c r="BM61158" s="1025"/>
      <c r="BO61158" s="43"/>
    </row>
    <row r="61159" spans="65:67" ht="18.75" customHeight="1">
      <c r="BM61159" s="1025"/>
      <c r="BO61159" s="43"/>
    </row>
    <row r="61160" spans="65:67" ht="18.75" customHeight="1">
      <c r="BM61160" s="1025"/>
      <c r="BO61160" s="43"/>
    </row>
    <row r="61161" spans="65:67" ht="18.75" customHeight="1">
      <c r="BM61161" s="1025"/>
      <c r="BO61161" s="43"/>
    </row>
    <row r="61162" spans="65:67" ht="18.75" customHeight="1">
      <c r="BM61162" s="1025"/>
      <c r="BO61162" s="43"/>
    </row>
    <row r="61163" spans="65:67" ht="18.75" customHeight="1">
      <c r="BM61163" s="1025"/>
      <c r="BO61163" s="43"/>
    </row>
    <row r="61164" spans="65:67" ht="18.75" customHeight="1">
      <c r="BM61164" s="1025"/>
      <c r="BO61164" s="43"/>
    </row>
    <row r="61165" spans="65:67" ht="18.75" customHeight="1">
      <c r="BM61165" s="1025"/>
      <c r="BO61165" s="43"/>
    </row>
    <row r="61166" spans="65:67" ht="18.75" customHeight="1">
      <c r="BM61166" s="1025"/>
      <c r="BO61166" s="43"/>
    </row>
    <row r="61167" spans="65:67" ht="18.75" customHeight="1">
      <c r="BM61167" s="1025"/>
      <c r="BO61167" s="43"/>
    </row>
    <row r="61168" spans="65:67" ht="18.75" customHeight="1">
      <c r="BM61168" s="1025"/>
      <c r="BO61168" s="43"/>
    </row>
    <row r="61169" spans="65:67" ht="18.75" customHeight="1">
      <c r="BM61169" s="1025"/>
      <c r="BO61169" s="43"/>
    </row>
    <row r="61170" spans="65:67" ht="18.75" customHeight="1">
      <c r="BM61170" s="1025"/>
      <c r="BO61170" s="43"/>
    </row>
    <row r="61171" spans="65:67" ht="18.75" customHeight="1">
      <c r="BM61171" s="1025"/>
      <c r="BO61171" s="43"/>
    </row>
    <row r="61172" spans="65:67" ht="18.75" customHeight="1">
      <c r="BM61172" s="1025"/>
      <c r="BO61172" s="43"/>
    </row>
    <row r="61173" spans="65:67" ht="18.75" customHeight="1">
      <c r="BM61173" s="1025"/>
      <c r="BO61173" s="43"/>
    </row>
    <row r="61174" spans="65:67" ht="18.75" customHeight="1">
      <c r="BM61174" s="1025"/>
      <c r="BO61174" s="43"/>
    </row>
    <row r="61175" spans="65:67" ht="18.75" customHeight="1">
      <c r="BM61175" s="1025"/>
      <c r="BO61175" s="43"/>
    </row>
    <row r="61176" spans="65:67" ht="18.75" customHeight="1">
      <c r="BM61176" s="1025"/>
      <c r="BO61176" s="43"/>
    </row>
    <row r="61177" spans="65:67" ht="18.75" customHeight="1">
      <c r="BM61177" s="1025"/>
      <c r="BO61177" s="43"/>
    </row>
    <row r="61178" spans="65:67" ht="18.75" customHeight="1">
      <c r="BM61178" s="1025"/>
      <c r="BO61178" s="43"/>
    </row>
    <row r="61179" spans="65:67" ht="18.75" customHeight="1">
      <c r="BM61179" s="1025"/>
      <c r="BO61179" s="43"/>
    </row>
    <row r="61180" spans="65:67" ht="18.75" customHeight="1">
      <c r="BM61180" s="1025"/>
      <c r="BO61180" s="43"/>
    </row>
    <row r="61181" spans="65:67" ht="18.75" customHeight="1">
      <c r="BM61181" s="1025"/>
      <c r="BO61181" s="43"/>
    </row>
    <row r="61182" spans="65:67" ht="18.75" customHeight="1">
      <c r="BM61182" s="1025"/>
      <c r="BO61182" s="43"/>
    </row>
    <row r="61183" spans="65:67" ht="18.75" customHeight="1">
      <c r="BM61183" s="1025"/>
      <c r="BO61183" s="43"/>
    </row>
    <row r="61184" spans="65:67" ht="18.75" customHeight="1">
      <c r="BM61184" s="1025"/>
      <c r="BO61184" s="43"/>
    </row>
    <row r="61185" spans="65:67" ht="18.75" customHeight="1">
      <c r="BM61185" s="1025"/>
      <c r="BO61185" s="43"/>
    </row>
    <row r="61186" spans="65:67" ht="18.75" customHeight="1">
      <c r="BM61186" s="1025"/>
      <c r="BO61186" s="43"/>
    </row>
    <row r="61187" spans="65:67" ht="18.75" customHeight="1">
      <c r="BM61187" s="1025"/>
      <c r="BO61187" s="43"/>
    </row>
    <row r="61188" spans="65:67" ht="18.75" customHeight="1">
      <c r="BM61188" s="1025"/>
      <c r="BO61188" s="43"/>
    </row>
    <row r="61189" spans="65:67" ht="18.75" customHeight="1">
      <c r="BM61189" s="1025"/>
      <c r="BO61189" s="43"/>
    </row>
    <row r="61190" spans="65:67" ht="18.75" customHeight="1">
      <c r="BM61190" s="1025"/>
      <c r="BO61190" s="43"/>
    </row>
    <row r="61191" spans="65:67" ht="18.75" customHeight="1">
      <c r="BM61191" s="1025"/>
      <c r="BO61191" s="43"/>
    </row>
    <row r="61192" spans="65:67" ht="18.75" customHeight="1">
      <c r="BM61192" s="1025"/>
      <c r="BO61192" s="43"/>
    </row>
    <row r="61193" spans="65:67" ht="18.75" customHeight="1">
      <c r="BM61193" s="1025"/>
      <c r="BO61193" s="43"/>
    </row>
    <row r="61194" spans="65:67" ht="18.75" customHeight="1">
      <c r="BM61194" s="1025"/>
      <c r="BO61194" s="43"/>
    </row>
    <row r="61195" spans="65:67" ht="18.75" customHeight="1">
      <c r="BM61195" s="1025"/>
      <c r="BO61195" s="43"/>
    </row>
    <row r="61196" spans="65:67" ht="18.75" customHeight="1">
      <c r="BM61196" s="1025"/>
      <c r="BO61196" s="43"/>
    </row>
    <row r="61197" spans="65:67" ht="18.75" customHeight="1">
      <c r="BM61197" s="1025"/>
      <c r="BO61197" s="43"/>
    </row>
    <row r="61198" spans="65:67" ht="18.75" customHeight="1">
      <c r="BM61198" s="1025"/>
      <c r="BO61198" s="43"/>
    </row>
    <row r="61199" spans="65:67" ht="18.75" customHeight="1">
      <c r="BM61199" s="1025"/>
      <c r="BO61199" s="43"/>
    </row>
    <row r="61200" spans="65:67" ht="18.75" customHeight="1">
      <c r="BM61200" s="1025"/>
      <c r="BO61200" s="43"/>
    </row>
    <row r="61201" spans="65:67" ht="18.75" customHeight="1">
      <c r="BM61201" s="1025"/>
      <c r="BO61201" s="43"/>
    </row>
    <row r="61202" spans="65:67" ht="18.75" customHeight="1">
      <c r="BM61202" s="1025"/>
      <c r="BO61202" s="43"/>
    </row>
    <row r="61203" spans="65:67" ht="18.75" customHeight="1">
      <c r="BM61203" s="1025"/>
      <c r="BO61203" s="43"/>
    </row>
    <row r="61204" spans="65:67" ht="18.75" customHeight="1">
      <c r="BM61204" s="1025"/>
      <c r="BO61204" s="43"/>
    </row>
    <row r="61205" spans="65:67" ht="18.75" customHeight="1">
      <c r="BM61205" s="1025"/>
      <c r="BO61205" s="43"/>
    </row>
    <row r="61206" spans="65:67" ht="18.75" customHeight="1">
      <c r="BM61206" s="1025"/>
      <c r="BO61206" s="43"/>
    </row>
    <row r="61207" spans="65:67" ht="18.75" customHeight="1">
      <c r="BM61207" s="1025"/>
      <c r="BO61207" s="43"/>
    </row>
    <row r="61208" spans="65:67" ht="18.75" customHeight="1">
      <c r="BM61208" s="1025"/>
      <c r="BO61208" s="43"/>
    </row>
    <row r="61209" spans="65:67" ht="18.75" customHeight="1">
      <c r="BM61209" s="1025"/>
      <c r="BO61209" s="43"/>
    </row>
    <row r="61210" spans="65:67" ht="18.75" customHeight="1">
      <c r="BM61210" s="1025"/>
      <c r="BO61210" s="43"/>
    </row>
    <row r="61211" spans="65:67" ht="18.75" customHeight="1">
      <c r="BM61211" s="1025"/>
      <c r="BO61211" s="43"/>
    </row>
    <row r="61212" spans="65:67" ht="18.75" customHeight="1">
      <c r="BM61212" s="1025"/>
      <c r="BO61212" s="43"/>
    </row>
    <row r="61213" spans="65:67" ht="18.75" customHeight="1">
      <c r="BM61213" s="1025"/>
      <c r="BO61213" s="43"/>
    </row>
    <row r="61214" spans="65:67" ht="18.75" customHeight="1">
      <c r="BM61214" s="1025"/>
      <c r="BO61214" s="43"/>
    </row>
    <row r="61215" spans="65:67" ht="18.75" customHeight="1">
      <c r="BM61215" s="1025"/>
      <c r="BO61215" s="43"/>
    </row>
    <row r="61216" spans="65:67" ht="18.75" customHeight="1">
      <c r="BM61216" s="1025"/>
      <c r="BO61216" s="43"/>
    </row>
    <row r="61217" spans="65:67" ht="18.75" customHeight="1">
      <c r="BM61217" s="1025"/>
      <c r="BO61217" s="43"/>
    </row>
    <row r="61218" spans="65:67" ht="18.75" customHeight="1">
      <c r="BM61218" s="1025"/>
      <c r="BO61218" s="43"/>
    </row>
    <row r="61219" spans="65:67" ht="18.75" customHeight="1">
      <c r="BM61219" s="1025"/>
      <c r="BO61219" s="43"/>
    </row>
    <row r="61220" spans="65:67" ht="18.75" customHeight="1">
      <c r="BM61220" s="1025"/>
      <c r="BO61220" s="43"/>
    </row>
    <row r="61221" spans="65:67" ht="18.75" customHeight="1">
      <c r="BM61221" s="1025"/>
      <c r="BO61221" s="43"/>
    </row>
    <row r="61222" spans="65:67" ht="18.75" customHeight="1">
      <c r="BM61222" s="1025"/>
      <c r="BO61222" s="43"/>
    </row>
    <row r="61223" spans="65:67" ht="18.75" customHeight="1">
      <c r="BM61223" s="1025"/>
      <c r="BO61223" s="43"/>
    </row>
    <row r="61224" spans="65:67" ht="18.75" customHeight="1">
      <c r="BM61224" s="1025"/>
      <c r="BO61224" s="43"/>
    </row>
    <row r="61225" spans="65:67" ht="18.75" customHeight="1">
      <c r="BM61225" s="1025"/>
      <c r="BO61225" s="43"/>
    </row>
    <row r="61226" spans="65:67" ht="18.75" customHeight="1">
      <c r="BM61226" s="1025"/>
      <c r="BO61226" s="43"/>
    </row>
    <row r="61227" spans="65:67" ht="18.75" customHeight="1">
      <c r="BM61227" s="1025"/>
      <c r="BO61227" s="43"/>
    </row>
    <row r="61228" spans="65:67" ht="18.75" customHeight="1">
      <c r="BM61228" s="1025"/>
      <c r="BO61228" s="43"/>
    </row>
    <row r="61229" spans="65:67" ht="18.75" customHeight="1">
      <c r="BM61229" s="1025"/>
      <c r="BO61229" s="43"/>
    </row>
    <row r="61230" spans="65:67" ht="18.75" customHeight="1">
      <c r="BM61230" s="1025"/>
      <c r="BO61230" s="43"/>
    </row>
    <row r="61231" spans="65:67" ht="18.75" customHeight="1">
      <c r="BM61231" s="1025"/>
      <c r="BO61231" s="43"/>
    </row>
    <row r="61232" spans="65:67" ht="18.75" customHeight="1">
      <c r="BM61232" s="1025"/>
      <c r="BO61232" s="43"/>
    </row>
    <row r="61233" spans="65:67" ht="18.75" customHeight="1">
      <c r="BM61233" s="1025"/>
      <c r="BO61233" s="43"/>
    </row>
    <row r="61234" spans="65:67" ht="18.75" customHeight="1">
      <c r="BM61234" s="1025"/>
      <c r="BO61234" s="43"/>
    </row>
    <row r="61235" spans="65:67" ht="18.75" customHeight="1">
      <c r="BM61235" s="1025"/>
      <c r="BO61235" s="43"/>
    </row>
    <row r="61236" spans="65:67" ht="18.75" customHeight="1">
      <c r="BM61236" s="1025"/>
      <c r="BO61236" s="43"/>
    </row>
    <row r="61237" spans="65:67" ht="18.75" customHeight="1">
      <c r="BM61237" s="1025"/>
      <c r="BO61237" s="43"/>
    </row>
    <row r="61238" spans="65:67" ht="18.75" customHeight="1">
      <c r="BM61238" s="1025"/>
      <c r="BO61238" s="43"/>
    </row>
    <row r="61239" spans="65:67" ht="18.75" customHeight="1">
      <c r="BM61239" s="1025"/>
      <c r="BO61239" s="43"/>
    </row>
    <row r="61240" spans="65:67" ht="18.75" customHeight="1">
      <c r="BM61240" s="1025"/>
      <c r="BO61240" s="43"/>
    </row>
    <row r="61241" spans="65:67" ht="18.75" customHeight="1">
      <c r="BM61241" s="1025"/>
      <c r="BO61241" s="43"/>
    </row>
    <row r="61242" spans="65:67" ht="18.75" customHeight="1">
      <c r="BM61242" s="1025"/>
      <c r="BO61242" s="43"/>
    </row>
    <row r="61243" spans="65:67" ht="18.75" customHeight="1">
      <c r="BM61243" s="1025"/>
      <c r="BO61243" s="43"/>
    </row>
    <row r="61244" spans="65:67" ht="18.75" customHeight="1">
      <c r="BM61244" s="1025"/>
      <c r="BO61244" s="43"/>
    </row>
    <row r="61245" spans="65:67" ht="18.75" customHeight="1">
      <c r="BM61245" s="1025"/>
      <c r="BO61245" s="43"/>
    </row>
    <row r="61246" spans="65:67" ht="18.75" customHeight="1">
      <c r="BM61246" s="1025"/>
      <c r="BO61246" s="43"/>
    </row>
    <row r="61247" spans="65:67" ht="18.75" customHeight="1">
      <c r="BM61247" s="1025"/>
      <c r="BO61247" s="43"/>
    </row>
    <row r="61248" spans="65:67" ht="18.75" customHeight="1">
      <c r="BM61248" s="1025"/>
      <c r="BO61248" s="43"/>
    </row>
    <row r="61249" spans="65:67" ht="18.75" customHeight="1">
      <c r="BM61249" s="1025"/>
      <c r="BO61249" s="43"/>
    </row>
    <row r="61250" spans="65:67" ht="18.75" customHeight="1">
      <c r="BM61250" s="1025"/>
      <c r="BO61250" s="43"/>
    </row>
    <row r="61251" spans="65:67" ht="18.75" customHeight="1">
      <c r="BM61251" s="1025"/>
      <c r="BO61251" s="43"/>
    </row>
    <row r="61252" spans="65:67" ht="18.75" customHeight="1">
      <c r="BM61252" s="1025"/>
      <c r="BO61252" s="43"/>
    </row>
    <row r="61253" spans="65:67" ht="18.75" customHeight="1">
      <c r="BM61253" s="1025"/>
      <c r="BO61253" s="43"/>
    </row>
    <row r="61254" spans="65:67" ht="18.75" customHeight="1">
      <c r="BM61254" s="1025"/>
      <c r="BO61254" s="43"/>
    </row>
    <row r="61255" spans="65:67" ht="18.75" customHeight="1">
      <c r="BM61255" s="1025"/>
      <c r="BO61255" s="43"/>
    </row>
    <row r="61256" spans="65:67" ht="18.75" customHeight="1">
      <c r="BM61256" s="1025"/>
      <c r="BO61256" s="43"/>
    </row>
    <row r="61257" spans="65:67" ht="18.75" customHeight="1">
      <c r="BM61257" s="1025"/>
      <c r="BO61257" s="43"/>
    </row>
    <row r="61258" spans="65:67" ht="18.75" customHeight="1">
      <c r="BM61258" s="1025"/>
      <c r="BO61258" s="43"/>
    </row>
    <row r="61259" spans="65:67" ht="18.75" customHeight="1">
      <c r="BM61259" s="1025"/>
      <c r="BO61259" s="43"/>
    </row>
    <row r="61260" spans="65:67" ht="18.75" customHeight="1">
      <c r="BM61260" s="1025"/>
      <c r="BO61260" s="43"/>
    </row>
    <row r="61261" spans="65:67" ht="18.75" customHeight="1">
      <c r="BM61261" s="1025"/>
      <c r="BO61261" s="43"/>
    </row>
    <row r="61262" spans="65:67" ht="18.75" customHeight="1">
      <c r="BM61262" s="1025"/>
      <c r="BO61262" s="43"/>
    </row>
    <row r="61263" spans="65:67" ht="18.75" customHeight="1">
      <c r="BM61263" s="1025"/>
      <c r="BO61263" s="43"/>
    </row>
    <row r="61264" spans="65:67" ht="18.75" customHeight="1">
      <c r="BM61264" s="1025"/>
      <c r="BO61264" s="43"/>
    </row>
    <row r="61265" spans="65:67" ht="18.75" customHeight="1">
      <c r="BM61265" s="1025"/>
      <c r="BO61265" s="43"/>
    </row>
    <row r="61266" spans="65:67" ht="18.75" customHeight="1">
      <c r="BM61266" s="1025"/>
      <c r="BO61266" s="43"/>
    </row>
    <row r="61267" spans="65:67" ht="18.75" customHeight="1">
      <c r="BM61267" s="1025"/>
      <c r="BO61267" s="43"/>
    </row>
    <row r="61268" spans="65:67" ht="18.75" customHeight="1">
      <c r="BM61268" s="1025"/>
      <c r="BO61268" s="43"/>
    </row>
    <row r="61269" spans="65:67" ht="18.75" customHeight="1">
      <c r="BM61269" s="1025"/>
      <c r="BO61269" s="43"/>
    </row>
    <row r="61270" spans="65:67" ht="18.75" customHeight="1">
      <c r="BM61270" s="1025"/>
      <c r="BO61270" s="43"/>
    </row>
    <row r="61271" spans="65:67" ht="18.75" customHeight="1">
      <c r="BM61271" s="1025"/>
      <c r="BO61271" s="43"/>
    </row>
    <row r="61272" spans="65:67" ht="18.75" customHeight="1">
      <c r="BM61272" s="1025"/>
      <c r="BO61272" s="43"/>
    </row>
    <row r="61273" spans="65:67" ht="18.75" customHeight="1">
      <c r="BM61273" s="1025"/>
      <c r="BO61273" s="43"/>
    </row>
    <row r="61274" spans="65:67" ht="18.75" customHeight="1">
      <c r="BM61274" s="1025"/>
      <c r="BO61274" s="43"/>
    </row>
    <row r="61275" spans="65:67" ht="18.75" customHeight="1">
      <c r="BM61275" s="1025"/>
      <c r="BO61275" s="43"/>
    </row>
    <row r="61276" spans="65:67" ht="18.75" customHeight="1">
      <c r="BM61276" s="1025"/>
      <c r="BO61276" s="43"/>
    </row>
    <row r="61277" spans="65:67" ht="18.75" customHeight="1">
      <c r="BM61277" s="1025"/>
      <c r="BO61277" s="43"/>
    </row>
    <row r="61278" spans="65:67" ht="18.75" customHeight="1">
      <c r="BM61278" s="1025"/>
      <c r="BO61278" s="43"/>
    </row>
    <row r="61279" spans="65:67" ht="18.75" customHeight="1">
      <c r="BM61279" s="1025"/>
      <c r="BO61279" s="43"/>
    </row>
    <row r="61280" spans="65:67" ht="18.75" customHeight="1">
      <c r="BM61280" s="1025"/>
      <c r="BO61280" s="43"/>
    </row>
    <row r="61281" spans="65:67" ht="18.75" customHeight="1">
      <c r="BM61281" s="1025"/>
      <c r="BO61281" s="43"/>
    </row>
    <row r="61282" spans="65:67" ht="18.75" customHeight="1">
      <c r="BM61282" s="1025"/>
      <c r="BO61282" s="43"/>
    </row>
    <row r="61283" spans="65:67" ht="18.75" customHeight="1">
      <c r="BM61283" s="1025"/>
      <c r="BO61283" s="43"/>
    </row>
    <row r="61284" spans="65:67" ht="18.75" customHeight="1">
      <c r="BM61284" s="1025"/>
      <c r="BO61284" s="43"/>
    </row>
    <row r="61285" spans="65:67" ht="18.75" customHeight="1">
      <c r="BM61285" s="1025"/>
      <c r="BO61285" s="43"/>
    </row>
    <row r="61286" spans="65:67" ht="18.75" customHeight="1">
      <c r="BM61286" s="1025"/>
      <c r="BO61286" s="43"/>
    </row>
    <row r="61287" spans="65:67" ht="18.75" customHeight="1">
      <c r="BM61287" s="1025"/>
      <c r="BO61287" s="43"/>
    </row>
    <row r="61288" spans="65:67" ht="18.75" customHeight="1">
      <c r="BM61288" s="1025"/>
      <c r="BO61288" s="43"/>
    </row>
    <row r="61289" spans="65:67" ht="18.75" customHeight="1">
      <c r="BM61289" s="1025"/>
      <c r="BO61289" s="43"/>
    </row>
    <row r="61290" spans="65:67" ht="18.75" customHeight="1">
      <c r="BM61290" s="1025"/>
      <c r="BO61290" s="43"/>
    </row>
    <row r="61291" spans="65:67" ht="18.75" customHeight="1">
      <c r="BM61291" s="1025"/>
      <c r="BO61291" s="43"/>
    </row>
    <row r="61292" spans="65:67" ht="18.75" customHeight="1">
      <c r="BM61292" s="1025"/>
      <c r="BO61292" s="43"/>
    </row>
    <row r="61293" spans="65:67" ht="18.75" customHeight="1">
      <c r="BM61293" s="1025"/>
      <c r="BO61293" s="43"/>
    </row>
    <row r="61294" spans="65:67" ht="18.75" customHeight="1">
      <c r="BM61294" s="1025"/>
      <c r="BO61294" s="43"/>
    </row>
    <row r="61295" spans="65:67" ht="18.75" customHeight="1">
      <c r="BM61295" s="1025"/>
      <c r="BO61295" s="43"/>
    </row>
    <row r="61296" spans="65:67" ht="18.75" customHeight="1">
      <c r="BM61296" s="1025"/>
      <c r="BO61296" s="43"/>
    </row>
    <row r="61297" spans="65:67" ht="18.75" customHeight="1">
      <c r="BM61297" s="1025"/>
      <c r="BO61297" s="43"/>
    </row>
    <row r="61298" spans="65:67" ht="18.75" customHeight="1">
      <c r="BM61298" s="1025"/>
      <c r="BO61298" s="43"/>
    </row>
    <row r="61299" spans="65:67" ht="18.75" customHeight="1">
      <c r="BM61299" s="1025"/>
      <c r="BO61299" s="43"/>
    </row>
    <row r="61300" spans="65:67" ht="18.75" customHeight="1">
      <c r="BM61300" s="1025"/>
      <c r="BO61300" s="43"/>
    </row>
    <row r="61301" spans="65:67" ht="18.75" customHeight="1">
      <c r="BM61301" s="1025"/>
      <c r="BO61301" s="43"/>
    </row>
    <row r="61302" spans="65:67" ht="18.75" customHeight="1">
      <c r="BM61302" s="1025"/>
      <c r="BO61302" s="43"/>
    </row>
    <row r="61303" spans="65:67" ht="18.75" customHeight="1">
      <c r="BM61303" s="1025"/>
      <c r="BO61303" s="43"/>
    </row>
    <row r="61304" spans="65:67" ht="18.75" customHeight="1">
      <c r="BM61304" s="1025"/>
      <c r="BO61304" s="43"/>
    </row>
    <row r="61305" spans="65:67" ht="18.75" customHeight="1">
      <c r="BM61305" s="1025"/>
      <c r="BO61305" s="43"/>
    </row>
    <row r="61306" spans="65:67" ht="18.75" customHeight="1">
      <c r="BM61306" s="1025"/>
      <c r="BO61306" s="43"/>
    </row>
    <row r="61307" spans="65:67" ht="18.75" customHeight="1">
      <c r="BM61307" s="1025"/>
      <c r="BO61307" s="43"/>
    </row>
    <row r="61308" spans="65:67" ht="18.75" customHeight="1">
      <c r="BM61308" s="1025"/>
      <c r="BO61308" s="43"/>
    </row>
    <row r="61309" spans="65:67" ht="18.75" customHeight="1">
      <c r="BM61309" s="1025"/>
      <c r="BO61309" s="43"/>
    </row>
    <row r="61310" spans="65:67" ht="18.75" customHeight="1">
      <c r="BM61310" s="1025"/>
      <c r="BO61310" s="43"/>
    </row>
    <row r="61311" spans="65:67" ht="18.75" customHeight="1">
      <c r="BM61311" s="1025"/>
      <c r="BO61311" s="43"/>
    </row>
    <row r="61312" spans="65:67" ht="18.75" customHeight="1">
      <c r="BM61312" s="1025"/>
      <c r="BO61312" s="43"/>
    </row>
    <row r="61313" spans="65:67" ht="18.75" customHeight="1">
      <c r="BM61313" s="1025"/>
      <c r="BO61313" s="43"/>
    </row>
    <row r="61314" spans="65:67" ht="18.75" customHeight="1">
      <c r="BM61314" s="1025"/>
      <c r="BO61314" s="43"/>
    </row>
    <row r="61315" spans="65:67" ht="18.75" customHeight="1">
      <c r="BM61315" s="1025"/>
      <c r="BO61315" s="43"/>
    </row>
    <row r="61316" spans="65:67" ht="18.75" customHeight="1">
      <c r="BM61316" s="1025"/>
      <c r="BO61316" s="43"/>
    </row>
    <row r="61317" spans="65:67" ht="18.75" customHeight="1">
      <c r="BM61317" s="1025"/>
      <c r="BO61317" s="43"/>
    </row>
    <row r="61318" spans="65:67" ht="18.75" customHeight="1">
      <c r="BM61318" s="1025"/>
      <c r="BO61318" s="43"/>
    </row>
    <row r="61319" spans="65:67" ht="18.75" customHeight="1">
      <c r="BM61319" s="1025"/>
      <c r="BO61319" s="43"/>
    </row>
    <row r="61320" spans="65:67" ht="18.75" customHeight="1">
      <c r="BM61320" s="1025"/>
      <c r="BO61320" s="43"/>
    </row>
    <row r="61321" spans="65:67" ht="18.75" customHeight="1">
      <c r="BM61321" s="1025"/>
      <c r="BO61321" s="43"/>
    </row>
    <row r="61322" spans="65:67" ht="18.75" customHeight="1">
      <c r="BM61322" s="1025"/>
      <c r="BO61322" s="43"/>
    </row>
    <row r="61323" spans="65:67" ht="18.75" customHeight="1">
      <c r="BM61323" s="1025"/>
      <c r="BO61323" s="43"/>
    </row>
    <row r="61324" spans="65:67" ht="18.75" customHeight="1">
      <c r="BM61324" s="1025"/>
      <c r="BO61324" s="43"/>
    </row>
    <row r="61325" spans="65:67" ht="18.75" customHeight="1">
      <c r="BM61325" s="1025"/>
      <c r="BO61325" s="43"/>
    </row>
    <row r="61326" spans="65:67" ht="18.75" customHeight="1">
      <c r="BM61326" s="1025"/>
      <c r="BO61326" s="43"/>
    </row>
    <row r="61327" spans="65:67" ht="18.75" customHeight="1">
      <c r="BM61327" s="1025"/>
      <c r="BO61327" s="43"/>
    </row>
    <row r="61328" spans="65:67" ht="18.75" customHeight="1">
      <c r="BM61328" s="1025"/>
      <c r="BO61328" s="43"/>
    </row>
    <row r="61329" spans="65:67" ht="18.75" customHeight="1">
      <c r="BM61329" s="1025"/>
      <c r="BO61329" s="43"/>
    </row>
    <row r="61330" spans="65:67" ht="18.75" customHeight="1">
      <c r="BM61330" s="1025"/>
      <c r="BO61330" s="43"/>
    </row>
    <row r="61331" spans="65:67" ht="18.75" customHeight="1">
      <c r="BM61331" s="1025"/>
      <c r="BO61331" s="43"/>
    </row>
    <row r="61332" spans="65:67" ht="18.75" customHeight="1">
      <c r="BM61332" s="1025"/>
      <c r="BO61332" s="43"/>
    </row>
    <row r="61333" spans="65:67" ht="18.75" customHeight="1">
      <c r="BM61333" s="1025"/>
      <c r="BO61333" s="43"/>
    </row>
    <row r="61334" spans="65:67" ht="18.75" customHeight="1">
      <c r="BM61334" s="1025"/>
      <c r="BO61334" s="43"/>
    </row>
    <row r="61335" spans="65:67" ht="18.75" customHeight="1">
      <c r="BM61335" s="1025"/>
      <c r="BO61335" s="43"/>
    </row>
    <row r="61336" spans="65:67" ht="18.75" customHeight="1">
      <c r="BM61336" s="1025"/>
      <c r="BO61336" s="43"/>
    </row>
    <row r="61337" spans="65:67" ht="18.75" customHeight="1">
      <c r="BM61337" s="1025"/>
      <c r="BO61337" s="43"/>
    </row>
    <row r="61338" spans="65:67" ht="18.75" customHeight="1">
      <c r="BM61338" s="1025"/>
      <c r="BO61338" s="43"/>
    </row>
    <row r="61339" spans="65:67" ht="18.75" customHeight="1">
      <c r="BM61339" s="1025"/>
      <c r="BO61339" s="43"/>
    </row>
    <row r="61340" spans="65:67" ht="18.75" customHeight="1">
      <c r="BM61340" s="1025"/>
      <c r="BO61340" s="43"/>
    </row>
    <row r="61341" spans="65:67" ht="18.75" customHeight="1">
      <c r="BM61341" s="1025"/>
      <c r="BO61341" s="43"/>
    </row>
    <row r="61342" spans="65:67" ht="18.75" customHeight="1">
      <c r="BM61342" s="1025"/>
      <c r="BO61342" s="43"/>
    </row>
    <row r="61343" spans="65:67" ht="18.75" customHeight="1">
      <c r="BM61343" s="1025"/>
      <c r="BO61343" s="43"/>
    </row>
    <row r="61344" spans="65:67" ht="18.75" customHeight="1">
      <c r="BM61344" s="1025"/>
      <c r="BO61344" s="43"/>
    </row>
    <row r="61345" spans="65:67" ht="18.75" customHeight="1">
      <c r="BM61345" s="1025"/>
      <c r="BO61345" s="43"/>
    </row>
    <row r="61346" spans="65:67" ht="18.75" customHeight="1">
      <c r="BM61346" s="1025"/>
      <c r="BO61346" s="43"/>
    </row>
    <row r="61347" spans="65:67" ht="18.75" customHeight="1">
      <c r="BM61347" s="1025"/>
      <c r="BO61347" s="43"/>
    </row>
    <row r="61348" spans="65:67" ht="18.75" customHeight="1">
      <c r="BM61348" s="1025"/>
      <c r="BO61348" s="43"/>
    </row>
    <row r="61349" spans="65:67" ht="18.75" customHeight="1">
      <c r="BM61349" s="1025"/>
      <c r="BO61349" s="43"/>
    </row>
    <row r="61350" spans="65:67" ht="18.75" customHeight="1">
      <c r="BM61350" s="1025"/>
      <c r="BO61350" s="43"/>
    </row>
    <row r="61351" spans="65:67" ht="18.75" customHeight="1">
      <c r="BM61351" s="1025"/>
      <c r="BO61351" s="43"/>
    </row>
    <row r="61352" spans="65:67" ht="18.75" customHeight="1">
      <c r="BM61352" s="1025"/>
      <c r="BO61352" s="43"/>
    </row>
    <row r="61353" spans="65:67" ht="18.75" customHeight="1">
      <c r="BM61353" s="1025"/>
      <c r="BO61353" s="43"/>
    </row>
    <row r="61354" spans="65:67" ht="18.75" customHeight="1">
      <c r="BM61354" s="1025"/>
      <c r="BO61354" s="43"/>
    </row>
    <row r="61355" spans="65:67" ht="18.75" customHeight="1">
      <c r="BM61355" s="1025"/>
      <c r="BO61355" s="43"/>
    </row>
    <row r="61356" spans="65:67" ht="18.75" customHeight="1">
      <c r="BM61356" s="1025"/>
      <c r="BO61356" s="43"/>
    </row>
    <row r="61357" spans="65:67" ht="18.75" customHeight="1">
      <c r="BM61357" s="1025"/>
      <c r="BO61357" s="43"/>
    </row>
    <row r="61358" spans="65:67" ht="18.75" customHeight="1">
      <c r="BM61358" s="1025"/>
      <c r="BO61358" s="43"/>
    </row>
    <row r="61359" spans="65:67" ht="18.75" customHeight="1">
      <c r="BM61359" s="1025"/>
      <c r="BO61359" s="43"/>
    </row>
    <row r="61360" spans="65:67" ht="18.75" customHeight="1">
      <c r="BM61360" s="1025"/>
      <c r="BO61360" s="43"/>
    </row>
    <row r="61361" spans="65:67" ht="18.75" customHeight="1">
      <c r="BM61361" s="1025"/>
      <c r="BO61361" s="43"/>
    </row>
    <row r="61362" spans="65:67" ht="18.75" customHeight="1">
      <c r="BM61362" s="1025"/>
      <c r="BO61362" s="43"/>
    </row>
    <row r="61363" spans="65:67" ht="18.75" customHeight="1">
      <c r="BM61363" s="1025"/>
      <c r="BO61363" s="43"/>
    </row>
    <row r="61364" spans="65:67" ht="18.75" customHeight="1">
      <c r="BM61364" s="1025"/>
      <c r="BO61364" s="43"/>
    </row>
    <row r="61365" spans="65:67" ht="18.75" customHeight="1">
      <c r="BM61365" s="1025"/>
      <c r="BO61365" s="43"/>
    </row>
    <row r="61366" spans="65:67" ht="18.75" customHeight="1">
      <c r="BM61366" s="1025"/>
      <c r="BO61366" s="43"/>
    </row>
    <row r="61367" spans="65:67" ht="18.75" customHeight="1">
      <c r="BM61367" s="1025"/>
      <c r="BO61367" s="43"/>
    </row>
    <row r="61368" spans="65:67" ht="18.75" customHeight="1">
      <c r="BM61368" s="1025"/>
      <c r="BO61368" s="43"/>
    </row>
    <row r="61369" spans="65:67" ht="18.75" customHeight="1">
      <c r="BM61369" s="1025"/>
      <c r="BO61369" s="43"/>
    </row>
    <row r="61370" spans="65:67" ht="18.75" customHeight="1">
      <c r="BM61370" s="1025"/>
      <c r="BO61370" s="43"/>
    </row>
    <row r="61371" spans="65:67" ht="18.75" customHeight="1">
      <c r="BM61371" s="1025"/>
      <c r="BO61371" s="43"/>
    </row>
    <row r="61372" spans="65:67" ht="18.75" customHeight="1">
      <c r="BM61372" s="1025"/>
      <c r="BO61372" s="43"/>
    </row>
    <row r="61373" spans="65:67" ht="18.75" customHeight="1">
      <c r="BM61373" s="1025"/>
      <c r="BO61373" s="43"/>
    </row>
    <row r="61374" spans="65:67" ht="18.75" customHeight="1">
      <c r="BM61374" s="1025"/>
      <c r="BO61374" s="43"/>
    </row>
    <row r="61375" spans="65:67" ht="18.75" customHeight="1">
      <c r="BM61375" s="1025"/>
      <c r="BO61375" s="43"/>
    </row>
    <row r="61376" spans="65:67" ht="18.75" customHeight="1">
      <c r="BM61376" s="1025"/>
      <c r="BO61376" s="43"/>
    </row>
    <row r="61377" spans="65:67" ht="18.75" customHeight="1">
      <c r="BM61377" s="1025"/>
      <c r="BO61377" s="43"/>
    </row>
    <row r="61378" spans="65:67" ht="18.75" customHeight="1">
      <c r="BM61378" s="1025"/>
      <c r="BO61378" s="43"/>
    </row>
    <row r="61379" spans="65:67" ht="18.75" customHeight="1">
      <c r="BM61379" s="1025"/>
      <c r="BO61379" s="43"/>
    </row>
    <row r="61380" spans="65:67" ht="18.75" customHeight="1">
      <c r="BM61380" s="1025"/>
      <c r="BO61380" s="43"/>
    </row>
    <row r="61381" spans="65:67" ht="18.75" customHeight="1">
      <c r="BM61381" s="1025"/>
      <c r="BO61381" s="43"/>
    </row>
    <row r="61382" spans="65:67" ht="18.75" customHeight="1">
      <c r="BM61382" s="1025"/>
      <c r="BO61382" s="43"/>
    </row>
    <row r="61383" spans="65:67" ht="18.75" customHeight="1">
      <c r="BM61383" s="1025"/>
      <c r="BO61383" s="43"/>
    </row>
    <row r="61384" spans="65:67" ht="18.75" customHeight="1">
      <c r="BM61384" s="1025"/>
      <c r="BO61384" s="43"/>
    </row>
    <row r="61385" spans="65:67" ht="18.75" customHeight="1">
      <c r="BM61385" s="1025"/>
      <c r="BO61385" s="43"/>
    </row>
    <row r="61386" spans="65:67" ht="18.75" customHeight="1">
      <c r="BM61386" s="1025"/>
      <c r="BO61386" s="43"/>
    </row>
    <row r="61387" spans="65:67" ht="18.75" customHeight="1">
      <c r="BM61387" s="1025"/>
      <c r="BO61387" s="43"/>
    </row>
    <row r="61388" spans="65:67" ht="18.75" customHeight="1">
      <c r="BM61388" s="1025"/>
      <c r="BO61388" s="43"/>
    </row>
    <row r="61389" spans="65:67" ht="18.75" customHeight="1">
      <c r="BM61389" s="1025"/>
      <c r="BO61389" s="43"/>
    </row>
    <row r="61390" spans="65:67" ht="18.75" customHeight="1">
      <c r="BM61390" s="1025"/>
      <c r="BO61390" s="43"/>
    </row>
    <row r="61391" spans="65:67" ht="18.75" customHeight="1">
      <c r="BM61391" s="1025"/>
      <c r="BO61391" s="43"/>
    </row>
    <row r="61392" spans="65:67" ht="18.75" customHeight="1">
      <c r="BM61392" s="1025"/>
      <c r="BO61392" s="43"/>
    </row>
    <row r="61393" spans="65:67" ht="18.75" customHeight="1">
      <c r="BM61393" s="1025"/>
      <c r="BO61393" s="43"/>
    </row>
    <row r="61394" spans="65:67" ht="18.75" customHeight="1">
      <c r="BM61394" s="1025"/>
      <c r="BO61394" s="43"/>
    </row>
    <row r="61395" spans="65:67" ht="18.75" customHeight="1">
      <c r="BM61395" s="1025"/>
      <c r="BO61395" s="43"/>
    </row>
    <row r="61396" spans="65:67" ht="18.75" customHeight="1">
      <c r="BM61396" s="1025"/>
      <c r="BO61396" s="43"/>
    </row>
    <row r="61397" spans="65:67" ht="18.75" customHeight="1">
      <c r="BM61397" s="1025"/>
      <c r="BO61397" s="43"/>
    </row>
    <row r="61398" spans="65:67" ht="18.75" customHeight="1">
      <c r="BM61398" s="1025"/>
      <c r="BO61398" s="43"/>
    </row>
    <row r="61399" spans="65:67" ht="18.75" customHeight="1">
      <c r="BM61399" s="1025"/>
      <c r="BO61399" s="43"/>
    </row>
    <row r="61400" spans="65:67" ht="18.75" customHeight="1">
      <c r="BM61400" s="1025"/>
      <c r="BO61400" s="43"/>
    </row>
    <row r="61401" spans="65:67" ht="18.75" customHeight="1">
      <c r="BM61401" s="1025"/>
      <c r="BO61401" s="43"/>
    </row>
    <row r="61402" spans="65:67" ht="18.75" customHeight="1">
      <c r="BM61402" s="1025"/>
      <c r="BO61402" s="43"/>
    </row>
    <row r="61403" spans="65:67" ht="18.75" customHeight="1">
      <c r="BM61403" s="1025"/>
      <c r="BO61403" s="43"/>
    </row>
    <row r="61404" spans="65:67" ht="18.75" customHeight="1">
      <c r="BM61404" s="1025"/>
      <c r="BO61404" s="43"/>
    </row>
    <row r="61405" spans="65:67" ht="18.75" customHeight="1">
      <c r="BM61405" s="1025"/>
      <c r="BO61405" s="43"/>
    </row>
    <row r="61406" spans="65:67" ht="18.75" customHeight="1">
      <c r="BM61406" s="1025"/>
      <c r="BO61406" s="43"/>
    </row>
    <row r="61407" spans="65:67" ht="18.75" customHeight="1">
      <c r="BM61407" s="1025"/>
      <c r="BO61407" s="43"/>
    </row>
    <row r="61408" spans="65:67" ht="18.75" customHeight="1">
      <c r="BM61408" s="1025"/>
      <c r="BO61408" s="43"/>
    </row>
    <row r="61409" spans="65:67" ht="18.75" customHeight="1">
      <c r="BM61409" s="1025"/>
      <c r="BO61409" s="43"/>
    </row>
    <row r="61410" spans="65:67" ht="18.75" customHeight="1">
      <c r="BM61410" s="1025"/>
      <c r="BO61410" s="43"/>
    </row>
    <row r="61411" spans="65:67" ht="18.75" customHeight="1">
      <c r="BM61411" s="1025"/>
      <c r="BO61411" s="43"/>
    </row>
    <row r="61412" spans="65:67" ht="18.75" customHeight="1">
      <c r="BM61412" s="1025"/>
      <c r="BO61412" s="43"/>
    </row>
    <row r="61413" spans="65:67" ht="18.75" customHeight="1">
      <c r="BM61413" s="1025"/>
      <c r="BO61413" s="43"/>
    </row>
    <row r="61414" spans="65:67" ht="18.75" customHeight="1">
      <c r="BM61414" s="1025"/>
      <c r="BO61414" s="43"/>
    </row>
    <row r="61415" spans="65:67" ht="18.75" customHeight="1">
      <c r="BM61415" s="1025"/>
      <c r="BO61415" s="43"/>
    </row>
    <row r="61416" spans="65:67" ht="18.75" customHeight="1">
      <c r="BM61416" s="1025"/>
      <c r="BO61416" s="43"/>
    </row>
    <row r="61417" spans="65:67" ht="18.75" customHeight="1">
      <c r="BM61417" s="1025"/>
      <c r="BO61417" s="43"/>
    </row>
    <row r="61418" spans="65:67" ht="18.75" customHeight="1">
      <c r="BM61418" s="1025"/>
      <c r="BO61418" s="43"/>
    </row>
    <row r="61419" spans="65:67" ht="18.75" customHeight="1">
      <c r="BM61419" s="1025"/>
      <c r="BO61419" s="43"/>
    </row>
    <row r="61420" spans="65:67" ht="18.75" customHeight="1">
      <c r="BM61420" s="1025"/>
      <c r="BO61420" s="43"/>
    </row>
    <row r="61421" spans="65:67" ht="18.75" customHeight="1">
      <c r="BM61421" s="1025"/>
      <c r="BO61421" s="43"/>
    </row>
    <row r="61422" spans="65:67" ht="18.75" customHeight="1">
      <c r="BM61422" s="1025"/>
      <c r="BO61422" s="43"/>
    </row>
    <row r="61423" spans="65:67" ht="18.75" customHeight="1">
      <c r="BM61423" s="1025"/>
      <c r="BO61423" s="43"/>
    </row>
    <row r="61424" spans="65:67" ht="18.75" customHeight="1">
      <c r="BM61424" s="1025"/>
      <c r="BO61424" s="43"/>
    </row>
    <row r="61425" spans="65:67" ht="18.75" customHeight="1">
      <c r="BM61425" s="1025"/>
      <c r="BO61425" s="43"/>
    </row>
    <row r="61426" spans="65:67" ht="18.75" customHeight="1">
      <c r="BM61426" s="1025"/>
      <c r="BO61426" s="43"/>
    </row>
    <row r="61427" spans="65:67" ht="18.75" customHeight="1">
      <c r="BM61427" s="1025"/>
      <c r="BO61427" s="43"/>
    </row>
    <row r="61428" spans="65:67" ht="18.75" customHeight="1">
      <c r="BM61428" s="1025"/>
      <c r="BO61428" s="43"/>
    </row>
    <row r="61429" spans="65:67" ht="18.75" customHeight="1">
      <c r="BM61429" s="1025"/>
      <c r="BO61429" s="43"/>
    </row>
    <row r="61430" spans="65:67" ht="18.75" customHeight="1">
      <c r="BM61430" s="1025"/>
      <c r="BO61430" s="43"/>
    </row>
    <row r="61431" spans="65:67" ht="18.75" customHeight="1">
      <c r="BM61431" s="1025"/>
      <c r="BO61431" s="43"/>
    </row>
    <row r="61432" spans="65:67" ht="18.75" customHeight="1">
      <c r="BM61432" s="1025"/>
      <c r="BO61432" s="43"/>
    </row>
    <row r="61433" spans="65:67" ht="18.75" customHeight="1">
      <c r="BM61433" s="1025"/>
      <c r="BO61433" s="43"/>
    </row>
    <row r="61434" spans="65:67" ht="18.75" customHeight="1">
      <c r="BM61434" s="1025"/>
      <c r="BO61434" s="43"/>
    </row>
    <row r="61435" spans="65:67" ht="18.75" customHeight="1">
      <c r="BM61435" s="1025"/>
      <c r="BO61435" s="43"/>
    </row>
    <row r="61436" spans="65:67" ht="18.75" customHeight="1">
      <c r="BM61436" s="1025"/>
      <c r="BO61436" s="43"/>
    </row>
    <row r="61437" spans="65:67" ht="18.75" customHeight="1">
      <c r="BM61437" s="1025"/>
      <c r="BO61437" s="43"/>
    </row>
    <row r="61438" spans="65:67" ht="18.75" customHeight="1">
      <c r="BM61438" s="1025"/>
      <c r="BO61438" s="43"/>
    </row>
    <row r="61439" spans="65:67" ht="18.75" customHeight="1">
      <c r="BM61439" s="1025"/>
      <c r="BO61439" s="43"/>
    </row>
    <row r="61440" spans="65:67" ht="18.75" customHeight="1">
      <c r="BM61440" s="1025"/>
      <c r="BO61440" s="43"/>
    </row>
    <row r="61441" spans="65:67" ht="18.75" customHeight="1">
      <c r="BM61441" s="1025"/>
      <c r="BO61441" s="43"/>
    </row>
    <row r="61442" spans="65:67" ht="18.75" customHeight="1">
      <c r="BM61442" s="1025"/>
      <c r="BO61442" s="43"/>
    </row>
    <row r="61443" spans="65:67" ht="18.75" customHeight="1">
      <c r="BM61443" s="1025"/>
      <c r="BO61443" s="43"/>
    </row>
    <row r="61444" spans="65:67" ht="18.75" customHeight="1">
      <c r="BM61444" s="1025"/>
      <c r="BO61444" s="43"/>
    </row>
    <row r="61445" spans="65:67" ht="18.75" customHeight="1">
      <c r="BM61445" s="1025"/>
      <c r="BO61445" s="43"/>
    </row>
    <row r="61446" spans="65:67" ht="18.75" customHeight="1">
      <c r="BM61446" s="1025"/>
      <c r="BO61446" s="43"/>
    </row>
    <row r="61447" spans="65:67" ht="18.75" customHeight="1">
      <c r="BM61447" s="1025"/>
      <c r="BO61447" s="43"/>
    </row>
    <row r="61448" spans="65:67" ht="18.75" customHeight="1">
      <c r="BM61448" s="1025"/>
      <c r="BO61448" s="43"/>
    </row>
    <row r="61449" spans="65:67" ht="18.75" customHeight="1">
      <c r="BM61449" s="1025"/>
      <c r="BO61449" s="43"/>
    </row>
    <row r="61450" spans="65:67" ht="18.75" customHeight="1">
      <c r="BM61450" s="1025"/>
      <c r="BO61450" s="43"/>
    </row>
    <row r="61451" spans="65:67" ht="18.75" customHeight="1">
      <c r="BM61451" s="1025"/>
      <c r="BO61451" s="43"/>
    </row>
    <row r="61452" spans="65:67" ht="18.75" customHeight="1">
      <c r="BM61452" s="1025"/>
      <c r="BO61452" s="43"/>
    </row>
    <row r="61453" spans="65:67" ht="18.75" customHeight="1">
      <c r="BM61453" s="1025"/>
      <c r="BO61453" s="43"/>
    </row>
    <row r="61454" spans="65:67" ht="18.75" customHeight="1">
      <c r="BM61454" s="1025"/>
      <c r="BO61454" s="43"/>
    </row>
    <row r="61455" spans="65:67" ht="18.75" customHeight="1">
      <c r="BM61455" s="1025"/>
      <c r="BO61455" s="43"/>
    </row>
    <row r="61456" spans="65:67" ht="18.75" customHeight="1">
      <c r="BM61456" s="1025"/>
      <c r="BO61456" s="43"/>
    </row>
    <row r="61457" spans="65:67" ht="18.75" customHeight="1">
      <c r="BM61457" s="1025"/>
      <c r="BO61457" s="43"/>
    </row>
    <row r="61458" spans="65:67" ht="18.75" customHeight="1">
      <c r="BM61458" s="1025"/>
      <c r="BO61458" s="43"/>
    </row>
    <row r="61459" spans="65:67" ht="18.75" customHeight="1">
      <c r="BM61459" s="1025"/>
      <c r="BO61459" s="43"/>
    </row>
    <row r="61460" spans="65:67" ht="18.75" customHeight="1">
      <c r="BM61460" s="1025"/>
      <c r="BO61460" s="43"/>
    </row>
    <row r="61461" spans="65:67" ht="18.75" customHeight="1">
      <c r="BM61461" s="1025"/>
      <c r="BO61461" s="43"/>
    </row>
    <row r="61462" spans="65:67" ht="18.75" customHeight="1">
      <c r="BM61462" s="1025"/>
      <c r="BO61462" s="43"/>
    </row>
    <row r="61463" spans="65:67" ht="18.75" customHeight="1">
      <c r="BM61463" s="1025"/>
      <c r="BO61463" s="43"/>
    </row>
    <row r="61464" spans="65:67" ht="18.75" customHeight="1">
      <c r="BM61464" s="1025"/>
      <c r="BO61464" s="43"/>
    </row>
    <row r="61465" spans="65:67" ht="18.75" customHeight="1">
      <c r="BM61465" s="1025"/>
      <c r="BO61465" s="43"/>
    </row>
    <row r="61466" spans="65:67" ht="18.75" customHeight="1">
      <c r="BM61466" s="1025"/>
      <c r="BO61466" s="43"/>
    </row>
    <row r="61467" spans="65:67" ht="18.75" customHeight="1">
      <c r="BM61467" s="1025"/>
      <c r="BO61467" s="43"/>
    </row>
    <row r="61468" spans="65:67" ht="18.75" customHeight="1">
      <c r="BM61468" s="1025"/>
      <c r="BO61468" s="43"/>
    </row>
    <row r="61469" spans="65:67" ht="18.75" customHeight="1">
      <c r="BM61469" s="1025"/>
      <c r="BO61469" s="43"/>
    </row>
    <row r="61470" spans="65:67" ht="18.75" customHeight="1">
      <c r="BM61470" s="1025"/>
      <c r="BO61470" s="43"/>
    </row>
    <row r="61471" spans="65:67" ht="18.75" customHeight="1">
      <c r="BM61471" s="1025"/>
      <c r="BO61471" s="43"/>
    </row>
    <row r="61472" spans="65:67" ht="18.75" customHeight="1">
      <c r="BM61472" s="1025"/>
      <c r="BO61472" s="43"/>
    </row>
    <row r="61473" spans="65:67" ht="18.75" customHeight="1">
      <c r="BM61473" s="1025"/>
      <c r="BO61473" s="43"/>
    </row>
    <row r="61474" spans="65:67" ht="18.75" customHeight="1">
      <c r="BM61474" s="1025"/>
      <c r="BO61474" s="43"/>
    </row>
    <row r="61475" spans="65:67" ht="18.75" customHeight="1">
      <c r="BM61475" s="1025"/>
      <c r="BO61475" s="43"/>
    </row>
    <row r="61476" spans="65:67" ht="18.75" customHeight="1">
      <c r="BM61476" s="1025"/>
      <c r="BO61476" s="43"/>
    </row>
    <row r="61477" spans="65:67" ht="18.75" customHeight="1">
      <c r="BM61477" s="1025"/>
      <c r="BO61477" s="43"/>
    </row>
    <row r="61478" spans="65:67" ht="18.75" customHeight="1">
      <c r="BM61478" s="1025"/>
      <c r="BO61478" s="43"/>
    </row>
    <row r="61479" spans="65:67" ht="18.75" customHeight="1">
      <c r="BM61479" s="1025"/>
      <c r="BO61479" s="43"/>
    </row>
    <row r="61480" spans="65:67" ht="18.75" customHeight="1">
      <c r="BM61480" s="1025"/>
      <c r="BO61480" s="43"/>
    </row>
    <row r="61481" spans="65:67" ht="18.75" customHeight="1">
      <c r="BM61481" s="1025"/>
      <c r="BO61481" s="43"/>
    </row>
    <row r="61482" spans="65:67" ht="18.75" customHeight="1">
      <c r="BM61482" s="1025"/>
      <c r="BO61482" s="43"/>
    </row>
    <row r="61483" spans="65:67" ht="18.75" customHeight="1">
      <c r="BM61483" s="1025"/>
      <c r="BO61483" s="43"/>
    </row>
    <row r="61484" spans="65:67" ht="18.75" customHeight="1">
      <c r="BM61484" s="1025"/>
      <c r="BO61484" s="43"/>
    </row>
    <row r="61485" spans="65:67" ht="18.75" customHeight="1">
      <c r="BM61485" s="1025"/>
      <c r="BO61485" s="43"/>
    </row>
    <row r="61486" spans="65:67" ht="18.75" customHeight="1">
      <c r="BM61486" s="1025"/>
      <c r="BO61486" s="43"/>
    </row>
    <row r="61487" spans="65:67" ht="18.75" customHeight="1">
      <c r="BM61487" s="1025"/>
      <c r="BO61487" s="43"/>
    </row>
    <row r="61488" spans="65:67" ht="18.75" customHeight="1">
      <c r="BM61488" s="1025"/>
      <c r="BO61488" s="43"/>
    </row>
    <row r="61489" spans="65:67" ht="18.75" customHeight="1">
      <c r="BM61489" s="1025"/>
      <c r="BO61489" s="43"/>
    </row>
    <row r="61490" spans="65:67" ht="18.75" customHeight="1">
      <c r="BM61490" s="1025"/>
      <c r="BO61490" s="43"/>
    </row>
    <row r="61491" spans="65:67" ht="18.75" customHeight="1">
      <c r="BM61491" s="1025"/>
      <c r="BO61491" s="43"/>
    </row>
    <row r="61492" spans="65:67" ht="18.75" customHeight="1">
      <c r="BM61492" s="1025"/>
      <c r="BO61492" s="43"/>
    </row>
    <row r="61493" spans="65:67" ht="18.75" customHeight="1">
      <c r="BM61493" s="1025"/>
      <c r="BO61493" s="43"/>
    </row>
    <row r="61494" spans="65:67" ht="18.75" customHeight="1">
      <c r="BM61494" s="1025"/>
      <c r="BO61494" s="43"/>
    </row>
    <row r="61495" spans="65:67" ht="18.75" customHeight="1">
      <c r="BM61495" s="1025"/>
      <c r="BO61495" s="43"/>
    </row>
    <row r="61496" spans="65:67" ht="18.75" customHeight="1">
      <c r="BM61496" s="1025"/>
      <c r="BO61496" s="43"/>
    </row>
    <row r="61497" spans="65:67" ht="18.75" customHeight="1">
      <c r="BM61497" s="1025"/>
      <c r="BO61497" s="43"/>
    </row>
    <row r="61498" spans="65:67" ht="18.75" customHeight="1">
      <c r="BM61498" s="1025"/>
      <c r="BO61498" s="43"/>
    </row>
    <row r="61499" spans="65:67" ht="18.75" customHeight="1">
      <c r="BM61499" s="1025"/>
      <c r="BO61499" s="43"/>
    </row>
    <row r="61500" spans="65:67" ht="18.75" customHeight="1">
      <c r="BM61500" s="1025"/>
      <c r="BO61500" s="43"/>
    </row>
    <row r="61501" spans="65:67" ht="18.75" customHeight="1">
      <c r="BM61501" s="1025"/>
      <c r="BO61501" s="43"/>
    </row>
    <row r="61502" spans="65:67" ht="18.75" customHeight="1">
      <c r="BM61502" s="1025"/>
      <c r="BO61502" s="43"/>
    </row>
    <row r="61503" spans="65:67" ht="18.75" customHeight="1">
      <c r="BM61503" s="1025"/>
      <c r="BO61503" s="43"/>
    </row>
    <row r="61504" spans="65:67" ht="18.75" customHeight="1">
      <c r="BM61504" s="1025"/>
      <c r="BO61504" s="43"/>
    </row>
    <row r="61505" spans="65:67" ht="18.75" customHeight="1">
      <c r="BM61505" s="1025"/>
      <c r="BO61505" s="43"/>
    </row>
    <row r="61506" spans="65:67" ht="18.75" customHeight="1">
      <c r="BM61506" s="1025"/>
      <c r="BO61506" s="43"/>
    </row>
    <row r="61507" spans="65:67" ht="18.75" customHeight="1">
      <c r="BM61507" s="1025"/>
      <c r="BO61507" s="43"/>
    </row>
    <row r="61508" spans="65:67" ht="18.75" customHeight="1">
      <c r="BM61508" s="1025"/>
      <c r="BO61508" s="43"/>
    </row>
    <row r="61509" spans="65:67" ht="18.75" customHeight="1">
      <c r="BM61509" s="1025"/>
      <c r="BO61509" s="43"/>
    </row>
    <row r="61510" spans="65:67" ht="18.75" customHeight="1">
      <c r="BM61510" s="1025"/>
      <c r="BO61510" s="43"/>
    </row>
    <row r="61511" spans="65:67" ht="18.75" customHeight="1">
      <c r="BM61511" s="1025"/>
      <c r="BO61511" s="43"/>
    </row>
    <row r="61512" spans="65:67" ht="18.75" customHeight="1">
      <c r="BM61512" s="1025"/>
      <c r="BO61512" s="43"/>
    </row>
    <row r="61513" spans="65:67" ht="18.75" customHeight="1">
      <c r="BM61513" s="1025"/>
      <c r="BO61513" s="43"/>
    </row>
    <row r="61514" spans="65:67" ht="18.75" customHeight="1">
      <c r="BM61514" s="1025"/>
      <c r="BO61514" s="43"/>
    </row>
    <row r="61515" spans="65:67" ht="18.75" customHeight="1">
      <c r="BM61515" s="1025"/>
      <c r="BO61515" s="43"/>
    </row>
    <row r="61516" spans="65:67" ht="18.75" customHeight="1">
      <c r="BM61516" s="1025"/>
      <c r="BO61516" s="43"/>
    </row>
    <row r="61517" spans="65:67" ht="18.75" customHeight="1">
      <c r="BM61517" s="1025"/>
      <c r="BO61517" s="43"/>
    </row>
    <row r="61518" spans="65:67" ht="18.75" customHeight="1">
      <c r="BM61518" s="1025"/>
      <c r="BO61518" s="43"/>
    </row>
    <row r="61519" spans="65:67" ht="18.75" customHeight="1">
      <c r="BM61519" s="1025"/>
      <c r="BO61519" s="43"/>
    </row>
    <row r="61520" spans="65:67" ht="18.75" customHeight="1">
      <c r="BM61520" s="1025"/>
      <c r="BO61520" s="43"/>
    </row>
    <row r="61521" spans="65:67" ht="18.75" customHeight="1">
      <c r="BM61521" s="1025"/>
      <c r="BO61521" s="43"/>
    </row>
    <row r="61522" spans="65:67" ht="18.75" customHeight="1">
      <c r="BM61522" s="1025"/>
      <c r="BO61522" s="43"/>
    </row>
    <row r="61523" spans="65:67" ht="18.75" customHeight="1">
      <c r="BM61523" s="1025"/>
      <c r="BO61523" s="43"/>
    </row>
    <row r="61524" spans="65:67" ht="18.75" customHeight="1">
      <c r="BM61524" s="1025"/>
      <c r="BO61524" s="43"/>
    </row>
    <row r="61525" spans="65:67" ht="18.75" customHeight="1">
      <c r="BM61525" s="1025"/>
      <c r="BO61525" s="43"/>
    </row>
    <row r="61526" spans="65:67" ht="18.75" customHeight="1">
      <c r="BM61526" s="1025"/>
      <c r="BO61526" s="43"/>
    </row>
    <row r="61527" spans="65:67" ht="18.75" customHeight="1">
      <c r="BM61527" s="1025"/>
      <c r="BO61527" s="43"/>
    </row>
    <row r="61528" spans="65:67" ht="18.75" customHeight="1">
      <c r="BM61528" s="1025"/>
      <c r="BO61528" s="43"/>
    </row>
    <row r="61529" spans="65:67" ht="18.75" customHeight="1">
      <c r="BM61529" s="1025"/>
      <c r="BO61529" s="43"/>
    </row>
    <row r="61530" spans="65:67" ht="18.75" customHeight="1">
      <c r="BM61530" s="1025"/>
      <c r="BO61530" s="43"/>
    </row>
    <row r="61531" spans="65:67" ht="18.75" customHeight="1">
      <c r="BM61531" s="1025"/>
      <c r="BO61531" s="43"/>
    </row>
    <row r="61532" spans="65:67" ht="18.75" customHeight="1">
      <c r="BM61532" s="1025"/>
      <c r="BO61532" s="43"/>
    </row>
    <row r="61533" spans="65:67" ht="18.75" customHeight="1">
      <c r="BM61533" s="1025"/>
      <c r="BO61533" s="43"/>
    </row>
    <row r="61534" spans="65:67" ht="18.75" customHeight="1">
      <c r="BM61534" s="1025"/>
      <c r="BO61534" s="43"/>
    </row>
    <row r="61535" spans="65:67" ht="18.75" customHeight="1">
      <c r="BM61535" s="1025"/>
      <c r="BO61535" s="43"/>
    </row>
    <row r="61536" spans="65:67" ht="18.75" customHeight="1">
      <c r="BM61536" s="1025"/>
      <c r="BO61536" s="43"/>
    </row>
    <row r="61537" spans="65:67" ht="18.75" customHeight="1">
      <c r="BM61537" s="1025"/>
      <c r="BO61537" s="43"/>
    </row>
    <row r="61538" spans="65:67" ht="18.75" customHeight="1">
      <c r="BM61538" s="1025"/>
      <c r="BO61538" s="43"/>
    </row>
    <row r="61539" spans="65:67" ht="18.75" customHeight="1">
      <c r="BM61539" s="1025"/>
      <c r="BO61539" s="43"/>
    </row>
    <row r="61540" spans="65:67" ht="18.75" customHeight="1">
      <c r="BM61540" s="1025"/>
      <c r="BO61540" s="43"/>
    </row>
    <row r="61541" spans="65:67" ht="18.75" customHeight="1">
      <c r="BM61541" s="1025"/>
      <c r="BO61541" s="43"/>
    </row>
    <row r="61542" spans="65:67" ht="18.75" customHeight="1">
      <c r="BM61542" s="1025"/>
      <c r="BO61542" s="43"/>
    </row>
    <row r="61543" spans="65:67" ht="18.75" customHeight="1">
      <c r="BM61543" s="1025"/>
      <c r="BO61543" s="43"/>
    </row>
    <row r="61544" spans="65:67" ht="18.75" customHeight="1">
      <c r="BM61544" s="1025"/>
      <c r="BO61544" s="43"/>
    </row>
    <row r="61545" spans="65:67" ht="18.75" customHeight="1">
      <c r="BM61545" s="1025"/>
      <c r="BO61545" s="43"/>
    </row>
    <row r="61546" spans="65:67" ht="18.75" customHeight="1">
      <c r="BM61546" s="1025"/>
      <c r="BO61546" s="43"/>
    </row>
    <row r="61547" spans="65:67" ht="18.75" customHeight="1">
      <c r="BM61547" s="1025"/>
      <c r="BO61547" s="43"/>
    </row>
    <row r="61548" spans="65:67" ht="18.75" customHeight="1">
      <c r="BM61548" s="1025"/>
      <c r="BO61548" s="43"/>
    </row>
    <row r="61549" spans="65:67" ht="18.75" customHeight="1">
      <c r="BM61549" s="1025"/>
      <c r="BO61549" s="43"/>
    </row>
    <row r="61550" spans="65:67" ht="18.75" customHeight="1">
      <c r="BM61550" s="1025"/>
      <c r="BO61550" s="43"/>
    </row>
    <row r="61551" spans="65:67" ht="18.75" customHeight="1">
      <c r="BM61551" s="1025"/>
      <c r="BO61551" s="43"/>
    </row>
    <row r="61552" spans="65:67" ht="18.75" customHeight="1">
      <c r="BM61552" s="1025"/>
      <c r="BO61552" s="43"/>
    </row>
    <row r="61553" spans="65:67" ht="18.75" customHeight="1">
      <c r="BM61553" s="1025"/>
      <c r="BO61553" s="43"/>
    </row>
    <row r="61554" spans="65:67" ht="18.75" customHeight="1">
      <c r="BM61554" s="1025"/>
      <c r="BO61554" s="43"/>
    </row>
    <row r="61555" spans="65:67" ht="18.75" customHeight="1">
      <c r="BM61555" s="1025"/>
      <c r="BO61555" s="43"/>
    </row>
    <row r="61556" spans="65:67" ht="18.75" customHeight="1">
      <c r="BM61556" s="1025"/>
      <c r="BO61556" s="43"/>
    </row>
    <row r="61557" spans="65:67" ht="18.75" customHeight="1">
      <c r="BM61557" s="1025"/>
      <c r="BO61557" s="43"/>
    </row>
    <row r="61558" spans="65:67" ht="18.75" customHeight="1">
      <c r="BM61558" s="1025"/>
      <c r="BO61558" s="43"/>
    </row>
    <row r="61559" spans="65:67" ht="18.75" customHeight="1">
      <c r="BM61559" s="1025"/>
      <c r="BO61559" s="43"/>
    </row>
    <row r="61560" spans="65:67" ht="18.75" customHeight="1">
      <c r="BM61560" s="1025"/>
      <c r="BO61560" s="43"/>
    </row>
    <row r="61561" spans="65:67" ht="18.75" customHeight="1">
      <c r="BM61561" s="1025"/>
      <c r="BO61561" s="43"/>
    </row>
    <row r="61562" spans="65:67" ht="18.75" customHeight="1">
      <c r="BM61562" s="1025"/>
      <c r="BO61562" s="43"/>
    </row>
    <row r="61563" spans="65:67" ht="18.75" customHeight="1">
      <c r="BM61563" s="1025"/>
      <c r="BO61563" s="43"/>
    </row>
    <row r="61564" spans="65:67" ht="18.75" customHeight="1">
      <c r="BM61564" s="1025"/>
      <c r="BO61564" s="43"/>
    </row>
    <row r="61565" spans="65:67" ht="18.75" customHeight="1">
      <c r="BM61565" s="1025"/>
      <c r="BO61565" s="43"/>
    </row>
    <row r="61566" spans="65:67" ht="18.75" customHeight="1">
      <c r="BM61566" s="1025"/>
      <c r="BO61566" s="43"/>
    </row>
    <row r="61567" spans="65:67" ht="18.75" customHeight="1">
      <c r="BM61567" s="1025"/>
      <c r="BO61567" s="43"/>
    </row>
    <row r="61568" spans="65:67" ht="18.75" customHeight="1">
      <c r="BM61568" s="1025"/>
      <c r="BO61568" s="43"/>
    </row>
    <row r="61569" spans="65:67" ht="18.75" customHeight="1">
      <c r="BM61569" s="1025"/>
      <c r="BO61569" s="43"/>
    </row>
    <row r="61570" spans="65:67" ht="18.75" customHeight="1">
      <c r="BM61570" s="1025"/>
      <c r="BO61570" s="43"/>
    </row>
    <row r="61571" spans="65:67" ht="18.75" customHeight="1">
      <c r="BM61571" s="1025"/>
      <c r="BO61571" s="43"/>
    </row>
    <row r="61572" spans="65:67" ht="18.75" customHeight="1">
      <c r="BM61572" s="1025"/>
      <c r="BO61572" s="43"/>
    </row>
    <row r="61573" spans="65:67" ht="18.75" customHeight="1">
      <c r="BM61573" s="1025"/>
      <c r="BO61573" s="43"/>
    </row>
    <row r="61574" spans="65:67" ht="18.75" customHeight="1">
      <c r="BM61574" s="1025"/>
      <c r="BO61574" s="43"/>
    </row>
    <row r="61575" spans="65:67" ht="18.75" customHeight="1">
      <c r="BM61575" s="1025"/>
      <c r="BO61575" s="43"/>
    </row>
    <row r="61576" spans="65:67" ht="18.75" customHeight="1">
      <c r="BM61576" s="1025"/>
      <c r="BO61576" s="43"/>
    </row>
    <row r="61577" spans="65:67" ht="18.75" customHeight="1">
      <c r="BM61577" s="1025"/>
      <c r="BO61577" s="43"/>
    </row>
    <row r="61578" spans="65:67" ht="18.75" customHeight="1">
      <c r="BM61578" s="1025"/>
      <c r="BO61578" s="43"/>
    </row>
    <row r="61579" spans="65:67" ht="18.75" customHeight="1">
      <c r="BM61579" s="1025"/>
      <c r="BO61579" s="43"/>
    </row>
    <row r="61580" spans="65:67" ht="18.75" customHeight="1">
      <c r="BM61580" s="1025"/>
      <c r="BO61580" s="43"/>
    </row>
    <row r="61581" spans="65:67" ht="18.75" customHeight="1">
      <c r="BM61581" s="1025"/>
      <c r="BO61581" s="43"/>
    </row>
    <row r="61582" spans="65:67" ht="18.75" customHeight="1">
      <c r="BM61582" s="1025"/>
      <c r="BO61582" s="43"/>
    </row>
    <row r="61583" spans="65:67" ht="18.75" customHeight="1">
      <c r="BM61583" s="1025"/>
      <c r="BO61583" s="43"/>
    </row>
    <row r="61584" spans="65:67" ht="18.75" customHeight="1">
      <c r="BM61584" s="1025"/>
      <c r="BO61584" s="43"/>
    </row>
    <row r="61585" spans="65:67" ht="18.75" customHeight="1">
      <c r="BM61585" s="1025"/>
      <c r="BO61585" s="43"/>
    </row>
    <row r="61586" spans="65:67" ht="18.75" customHeight="1">
      <c r="BM61586" s="1025"/>
      <c r="BO61586" s="43"/>
    </row>
    <row r="61587" spans="65:67" ht="18.75" customHeight="1">
      <c r="BM61587" s="1025"/>
      <c r="BO61587" s="43"/>
    </row>
    <row r="61588" spans="65:67" ht="18.75" customHeight="1">
      <c r="BM61588" s="1025"/>
      <c r="BO61588" s="43"/>
    </row>
    <row r="61589" spans="65:67" ht="18.75" customHeight="1">
      <c r="BM61589" s="1025"/>
      <c r="BO61589" s="43"/>
    </row>
    <row r="61590" spans="65:67" ht="18.75" customHeight="1">
      <c r="BM61590" s="1025"/>
      <c r="BO61590" s="43"/>
    </row>
    <row r="61591" spans="65:67" ht="18.75" customHeight="1">
      <c r="BM61591" s="1025"/>
      <c r="BO61591" s="43"/>
    </row>
    <row r="61592" spans="65:67" ht="18.75" customHeight="1">
      <c r="BM61592" s="1025"/>
      <c r="BO61592" s="43"/>
    </row>
    <row r="61593" spans="65:67" ht="18.75" customHeight="1">
      <c r="BM61593" s="1025"/>
      <c r="BO61593" s="43"/>
    </row>
    <row r="61594" spans="65:67" ht="18.75" customHeight="1">
      <c r="BM61594" s="1025"/>
      <c r="BO61594" s="43"/>
    </row>
    <row r="61595" spans="65:67" ht="18.75" customHeight="1">
      <c r="BM61595" s="1025"/>
      <c r="BO61595" s="43"/>
    </row>
    <row r="61596" spans="65:67" ht="18.75" customHeight="1">
      <c r="BM61596" s="1025"/>
      <c r="BO61596" s="43"/>
    </row>
    <row r="61597" spans="65:67" ht="18.75" customHeight="1">
      <c r="BM61597" s="1025"/>
      <c r="BO61597" s="43"/>
    </row>
    <row r="61598" spans="65:67" ht="18.75" customHeight="1">
      <c r="BM61598" s="1025"/>
      <c r="BO61598" s="43"/>
    </row>
    <row r="61599" spans="65:67" ht="18.75" customHeight="1">
      <c r="BM61599" s="1025"/>
      <c r="BO61599" s="43"/>
    </row>
    <row r="61600" spans="65:67" ht="18.75" customHeight="1">
      <c r="BM61600" s="1025"/>
      <c r="BO61600" s="43"/>
    </row>
    <row r="61601" spans="65:67" ht="18.75" customHeight="1">
      <c r="BM61601" s="1025"/>
      <c r="BO61601" s="43"/>
    </row>
    <row r="61602" spans="65:67" ht="18.75" customHeight="1">
      <c r="BM61602" s="1025"/>
      <c r="BO61602" s="43"/>
    </row>
    <row r="61603" spans="65:67" ht="18.75" customHeight="1">
      <c r="BM61603" s="1025"/>
      <c r="BO61603" s="43"/>
    </row>
    <row r="61604" spans="65:67" ht="18.75" customHeight="1">
      <c r="BM61604" s="1025"/>
      <c r="BO61604" s="43"/>
    </row>
    <row r="61605" spans="65:67" ht="18.75" customHeight="1">
      <c r="BM61605" s="1025"/>
      <c r="BO61605" s="43"/>
    </row>
    <row r="61606" spans="65:67" ht="18.75" customHeight="1">
      <c r="BM61606" s="1025"/>
      <c r="BO61606" s="43"/>
    </row>
    <row r="61607" spans="65:67" ht="18.75" customHeight="1">
      <c r="BM61607" s="1025"/>
      <c r="BO61607" s="43"/>
    </row>
    <row r="61608" spans="65:67" ht="18.75" customHeight="1">
      <c r="BM61608" s="1025"/>
      <c r="BO61608" s="43"/>
    </row>
    <row r="61609" spans="65:67" ht="18.75" customHeight="1">
      <c r="BM61609" s="1025"/>
      <c r="BO61609" s="43"/>
    </row>
    <row r="61610" spans="65:67" ht="18.75" customHeight="1">
      <c r="BM61610" s="1025"/>
      <c r="BO61610" s="43"/>
    </row>
    <row r="61611" spans="65:67" ht="18.75" customHeight="1">
      <c r="BM61611" s="1025"/>
      <c r="BO61611" s="43"/>
    </row>
    <row r="61612" spans="65:67" ht="18.75" customHeight="1">
      <c r="BM61612" s="1025"/>
      <c r="BO61612" s="43"/>
    </row>
    <row r="61613" spans="65:67" ht="18.75" customHeight="1">
      <c r="BM61613" s="1025"/>
      <c r="BO61613" s="43"/>
    </row>
    <row r="61614" spans="65:67" ht="18.75" customHeight="1">
      <c r="BM61614" s="1025"/>
      <c r="BO61614" s="43"/>
    </row>
    <row r="61615" spans="65:67" ht="18.75" customHeight="1">
      <c r="BM61615" s="1025"/>
      <c r="BO61615" s="43"/>
    </row>
    <row r="61616" spans="65:67" ht="18.75" customHeight="1">
      <c r="BM61616" s="1025"/>
      <c r="BO61616" s="43"/>
    </row>
    <row r="61617" spans="65:67" ht="18.75" customHeight="1">
      <c r="BM61617" s="1025"/>
      <c r="BO61617" s="43"/>
    </row>
    <row r="61618" spans="65:67" ht="18.75" customHeight="1">
      <c r="BM61618" s="1025"/>
      <c r="BO61618" s="43"/>
    </row>
    <row r="61619" spans="65:67" ht="18.75" customHeight="1">
      <c r="BM61619" s="1025"/>
      <c r="BO61619" s="43"/>
    </row>
    <row r="61620" spans="65:67" ht="18.75" customHeight="1">
      <c r="BM61620" s="1025"/>
      <c r="BO61620" s="43"/>
    </row>
    <row r="61621" spans="65:67" ht="18.75" customHeight="1">
      <c r="BM61621" s="1025"/>
      <c r="BO61621" s="43"/>
    </row>
    <row r="61622" spans="65:67" ht="18.75" customHeight="1">
      <c r="BM61622" s="1025"/>
      <c r="BO61622" s="43"/>
    </row>
    <row r="61623" spans="65:67" ht="18.75" customHeight="1">
      <c r="BM61623" s="1025"/>
      <c r="BO61623" s="43"/>
    </row>
    <row r="61624" spans="65:67" ht="18.75" customHeight="1">
      <c r="BM61624" s="1025"/>
      <c r="BO61624" s="43"/>
    </row>
    <row r="61625" spans="65:67" ht="18.75" customHeight="1">
      <c r="BM61625" s="1025"/>
      <c r="BO61625" s="43"/>
    </row>
    <row r="61626" spans="65:67" ht="18.75" customHeight="1">
      <c r="BM61626" s="1025"/>
      <c r="BO61626" s="43"/>
    </row>
    <row r="61627" spans="65:67" ht="18.75" customHeight="1">
      <c r="BM61627" s="1025"/>
      <c r="BO61627" s="43"/>
    </row>
    <row r="61628" spans="65:67" ht="18.75" customHeight="1">
      <c r="BM61628" s="1025"/>
      <c r="BO61628" s="43"/>
    </row>
    <row r="61629" spans="65:67" ht="18.75" customHeight="1">
      <c r="BM61629" s="1025"/>
      <c r="BO61629" s="43"/>
    </row>
    <row r="61630" spans="65:67" ht="18.75" customHeight="1">
      <c r="BM61630" s="1025"/>
      <c r="BO61630" s="43"/>
    </row>
    <row r="61631" spans="65:67" ht="18.75" customHeight="1">
      <c r="BM61631" s="1025"/>
      <c r="BO61631" s="43"/>
    </row>
    <row r="61632" spans="65:67" ht="18.75" customHeight="1">
      <c r="BM61632" s="1025"/>
      <c r="BO61632" s="43"/>
    </row>
    <row r="61633" spans="65:67" ht="18.75" customHeight="1">
      <c r="BM61633" s="1025"/>
      <c r="BO61633" s="43"/>
    </row>
    <row r="61634" spans="65:67" ht="18.75" customHeight="1">
      <c r="BM61634" s="1025"/>
      <c r="BO61634" s="43"/>
    </row>
    <row r="61635" spans="65:67" ht="18.75" customHeight="1">
      <c r="BM61635" s="1025"/>
      <c r="BO61635" s="43"/>
    </row>
    <row r="61636" spans="65:67" ht="18.75" customHeight="1">
      <c r="BM61636" s="1025"/>
      <c r="BO61636" s="43"/>
    </row>
    <row r="61637" spans="65:67" ht="18.75" customHeight="1">
      <c r="BM61637" s="1025"/>
      <c r="BO61637" s="43"/>
    </row>
    <row r="61638" spans="65:67" ht="18.75" customHeight="1">
      <c r="BM61638" s="1025"/>
      <c r="BO61638" s="43"/>
    </row>
    <row r="61639" spans="65:67" ht="18.75" customHeight="1">
      <c r="BM61639" s="1025"/>
      <c r="BO61639" s="43"/>
    </row>
    <row r="61640" spans="65:67" ht="18.75" customHeight="1">
      <c r="BM61640" s="1025"/>
      <c r="BO61640" s="43"/>
    </row>
    <row r="61641" spans="65:67" ht="18.75" customHeight="1">
      <c r="BM61641" s="1025"/>
      <c r="BO61641" s="43"/>
    </row>
    <row r="61642" spans="65:67" ht="18.75" customHeight="1">
      <c r="BM61642" s="1025"/>
      <c r="BO61642" s="43"/>
    </row>
    <row r="61643" spans="65:67" ht="18.75" customHeight="1">
      <c r="BM61643" s="1025"/>
      <c r="BO61643" s="43"/>
    </row>
    <row r="61644" spans="65:67" ht="18.75" customHeight="1">
      <c r="BM61644" s="1025"/>
      <c r="BO61644" s="43"/>
    </row>
    <row r="61645" spans="65:67" ht="18.75" customHeight="1">
      <c r="BM61645" s="1025"/>
      <c r="BO61645" s="43"/>
    </row>
    <row r="61646" spans="65:67" ht="18.75" customHeight="1">
      <c r="BM61646" s="1025"/>
      <c r="BO61646" s="43"/>
    </row>
    <row r="61647" spans="65:67" ht="18.75" customHeight="1">
      <c r="BM61647" s="1025"/>
      <c r="BO61647" s="43"/>
    </row>
    <row r="61648" spans="65:67" ht="18.75" customHeight="1">
      <c r="BM61648" s="1025"/>
      <c r="BO61648" s="43"/>
    </row>
    <row r="61649" spans="65:67" ht="18.75" customHeight="1">
      <c r="BM61649" s="1025"/>
      <c r="BO61649" s="43"/>
    </row>
    <row r="61650" spans="65:67" ht="18.75" customHeight="1">
      <c r="BM61650" s="1025"/>
      <c r="BO61650" s="43"/>
    </row>
    <row r="61651" spans="65:67" ht="18.75" customHeight="1">
      <c r="BM61651" s="1025"/>
      <c r="BO61651" s="43"/>
    </row>
    <row r="61652" spans="65:67" ht="18.75" customHeight="1">
      <c r="BM61652" s="1025"/>
      <c r="BO61652" s="43"/>
    </row>
    <row r="61653" spans="65:67" ht="18.75" customHeight="1">
      <c r="BM61653" s="1025"/>
      <c r="BO61653" s="43"/>
    </row>
    <row r="61654" spans="65:67" ht="18.75" customHeight="1">
      <c r="BM61654" s="1025"/>
      <c r="BO61654" s="43"/>
    </row>
    <row r="61655" spans="65:67" ht="18.75" customHeight="1">
      <c r="BM61655" s="1025"/>
      <c r="BO61655" s="43"/>
    </row>
    <row r="61656" spans="65:67" ht="18.75" customHeight="1">
      <c r="BM61656" s="1025"/>
      <c r="BO61656" s="43"/>
    </row>
    <row r="61657" spans="65:67" ht="18.75" customHeight="1">
      <c r="BM61657" s="1025"/>
      <c r="BO61657" s="43"/>
    </row>
    <row r="61658" spans="65:67" ht="18.75" customHeight="1">
      <c r="BM61658" s="1025"/>
      <c r="BO61658" s="43"/>
    </row>
    <row r="61659" spans="65:67" ht="18.75" customHeight="1">
      <c r="BM61659" s="1025"/>
      <c r="BO61659" s="43"/>
    </row>
    <row r="61660" spans="65:67" ht="18.75" customHeight="1">
      <c r="BM61660" s="1025"/>
      <c r="BO61660" s="43"/>
    </row>
    <row r="61661" spans="65:67" ht="18.75" customHeight="1">
      <c r="BM61661" s="1025"/>
      <c r="BO61661" s="43"/>
    </row>
    <row r="61662" spans="65:67" ht="18.75" customHeight="1">
      <c r="BM61662" s="1025"/>
      <c r="BO61662" s="43"/>
    </row>
    <row r="61663" spans="65:67" ht="18.75" customHeight="1">
      <c r="BM61663" s="1025"/>
      <c r="BO61663" s="43"/>
    </row>
    <row r="61664" spans="65:67" ht="18.75" customHeight="1">
      <c r="BM61664" s="1025"/>
      <c r="BO61664" s="43"/>
    </row>
    <row r="61665" spans="65:67" ht="18.75" customHeight="1">
      <c r="BM61665" s="1025"/>
      <c r="BO61665" s="43"/>
    </row>
    <row r="61666" spans="65:67" ht="18.75" customHeight="1">
      <c r="BM61666" s="1025"/>
      <c r="BO61666" s="43"/>
    </row>
    <row r="61667" spans="65:67" ht="18.75" customHeight="1">
      <c r="BM61667" s="1025"/>
      <c r="BO61667" s="43"/>
    </row>
    <row r="61668" spans="65:67" ht="18.75" customHeight="1">
      <c r="BM61668" s="1025"/>
      <c r="BO61668" s="43"/>
    </row>
    <row r="61669" spans="65:67" ht="18.75" customHeight="1">
      <c r="BM61669" s="1025"/>
      <c r="BO61669" s="43"/>
    </row>
    <row r="61670" spans="65:67" ht="18.75" customHeight="1">
      <c r="BM61670" s="1025"/>
      <c r="BO61670" s="43"/>
    </row>
    <row r="61671" spans="65:67" ht="18.75" customHeight="1">
      <c r="BM61671" s="1025"/>
      <c r="BO61671" s="43"/>
    </row>
    <row r="61672" spans="65:67" ht="18.75" customHeight="1">
      <c r="BM61672" s="1025"/>
      <c r="BO61672" s="43"/>
    </row>
    <row r="61673" spans="65:67" ht="18.75" customHeight="1">
      <c r="BM61673" s="1025"/>
      <c r="BO61673" s="43"/>
    </row>
    <row r="61674" spans="65:67" ht="18.75" customHeight="1">
      <c r="BM61674" s="1025"/>
      <c r="BO61674" s="43"/>
    </row>
    <row r="61675" spans="65:67" ht="18.75" customHeight="1">
      <c r="BM61675" s="1025"/>
      <c r="BO61675" s="43"/>
    </row>
    <row r="61676" spans="65:67" ht="18.75" customHeight="1">
      <c r="BM61676" s="1025"/>
      <c r="BO61676" s="43"/>
    </row>
    <row r="61677" spans="65:67" ht="18.75" customHeight="1">
      <c r="BM61677" s="1025"/>
      <c r="BO61677" s="43"/>
    </row>
    <row r="61678" spans="65:67" ht="18.75" customHeight="1">
      <c r="BM61678" s="1025"/>
      <c r="BO61678" s="43"/>
    </row>
    <row r="61679" spans="65:67" ht="18.75" customHeight="1">
      <c r="BM61679" s="1025"/>
      <c r="BO61679" s="43"/>
    </row>
    <row r="61680" spans="65:67" ht="18.75" customHeight="1">
      <c r="BM61680" s="1025"/>
      <c r="BO61680" s="43"/>
    </row>
    <row r="61681" spans="65:67" ht="18.75" customHeight="1">
      <c r="BM61681" s="1025"/>
      <c r="BO61681" s="43"/>
    </row>
    <row r="61682" spans="65:67" ht="18.75" customHeight="1">
      <c r="BM61682" s="1025"/>
      <c r="BO61682" s="43"/>
    </row>
    <row r="61683" spans="65:67" ht="18.75" customHeight="1">
      <c r="BM61683" s="1025"/>
      <c r="BO61683" s="43"/>
    </row>
    <row r="61684" spans="65:67" ht="18.75" customHeight="1">
      <c r="BM61684" s="1025"/>
      <c r="BO61684" s="43"/>
    </row>
    <row r="61685" spans="65:67" ht="18.75" customHeight="1">
      <c r="BM61685" s="1025"/>
      <c r="BO61685" s="43"/>
    </row>
    <row r="61686" spans="65:67" ht="18.75" customHeight="1">
      <c r="BM61686" s="1025"/>
      <c r="BO61686" s="43"/>
    </row>
    <row r="61687" spans="65:67" ht="18.75" customHeight="1">
      <c r="BM61687" s="1025"/>
      <c r="BO61687" s="43"/>
    </row>
    <row r="61688" spans="65:67" ht="18.75" customHeight="1">
      <c r="BM61688" s="1025"/>
      <c r="BO61688" s="43"/>
    </row>
    <row r="61689" spans="65:67" ht="18.75" customHeight="1">
      <c r="BM61689" s="1025"/>
      <c r="BO61689" s="43"/>
    </row>
    <row r="61690" spans="65:67" ht="18.75" customHeight="1">
      <c r="BM61690" s="1025"/>
      <c r="BO61690" s="43"/>
    </row>
    <row r="61691" spans="65:67" ht="18.75" customHeight="1">
      <c r="BM61691" s="1025"/>
      <c r="BO61691" s="43"/>
    </row>
    <row r="61692" spans="65:67" ht="18.75" customHeight="1">
      <c r="BM61692" s="1025"/>
      <c r="BO61692" s="43"/>
    </row>
    <row r="61693" spans="65:67" ht="18.75" customHeight="1">
      <c r="BM61693" s="1025"/>
      <c r="BO61693" s="43"/>
    </row>
    <row r="61694" spans="65:67" ht="18.75" customHeight="1">
      <c r="BM61694" s="1025"/>
      <c r="BO61694" s="43"/>
    </row>
    <row r="61695" spans="65:67" ht="18.75" customHeight="1">
      <c r="BM61695" s="1025"/>
      <c r="BO61695" s="43"/>
    </row>
    <row r="61696" spans="65:67" ht="18.75" customHeight="1">
      <c r="BM61696" s="1025"/>
      <c r="BO61696" s="43"/>
    </row>
    <row r="61697" spans="65:67" ht="18.75" customHeight="1">
      <c r="BM61697" s="1025"/>
      <c r="BO61697" s="43"/>
    </row>
    <row r="61698" spans="65:67" ht="18.75" customHeight="1">
      <c r="BM61698" s="1025"/>
      <c r="BO61698" s="43"/>
    </row>
    <row r="61699" spans="65:67" ht="18.75" customHeight="1">
      <c r="BM61699" s="1025"/>
      <c r="BO61699" s="43"/>
    </row>
    <row r="61700" spans="65:67" ht="18.75" customHeight="1">
      <c r="BM61700" s="1025"/>
      <c r="BO61700" s="43"/>
    </row>
    <row r="61701" spans="65:67" ht="18.75" customHeight="1">
      <c r="BM61701" s="1025"/>
      <c r="BO61701" s="43"/>
    </row>
    <row r="61702" spans="65:67" ht="18.75" customHeight="1">
      <c r="BM61702" s="1025"/>
      <c r="BO61702" s="43"/>
    </row>
    <row r="61703" spans="65:67" ht="18.75" customHeight="1">
      <c r="BM61703" s="1025"/>
      <c r="BO61703" s="43"/>
    </row>
    <row r="61704" spans="65:67" ht="18.75" customHeight="1">
      <c r="BM61704" s="1025"/>
      <c r="BO61704" s="43"/>
    </row>
    <row r="61705" spans="65:67" ht="18.75" customHeight="1">
      <c r="BM61705" s="1025"/>
      <c r="BO61705" s="43"/>
    </row>
    <row r="61706" spans="65:67" ht="18.75" customHeight="1">
      <c r="BM61706" s="1025"/>
      <c r="BO61706" s="43"/>
    </row>
    <row r="61707" spans="65:67" ht="18.75" customHeight="1">
      <c r="BM61707" s="1025"/>
      <c r="BO61707" s="43"/>
    </row>
    <row r="61708" spans="65:67" ht="18.75" customHeight="1">
      <c r="BM61708" s="1025"/>
      <c r="BO61708" s="43"/>
    </row>
    <row r="61709" spans="65:67" ht="18.75" customHeight="1">
      <c r="BM61709" s="1025"/>
      <c r="BO61709" s="43"/>
    </row>
    <row r="61710" spans="65:67" ht="18.75" customHeight="1">
      <c r="BM61710" s="1025"/>
      <c r="BO61710" s="43"/>
    </row>
    <row r="61711" spans="65:67" ht="18.75" customHeight="1">
      <c r="BM61711" s="1025"/>
      <c r="BO61711" s="43"/>
    </row>
    <row r="61712" spans="65:67" ht="18.75" customHeight="1">
      <c r="BM61712" s="1025"/>
      <c r="BO61712" s="43"/>
    </row>
    <row r="61713" spans="65:67" ht="18.75" customHeight="1">
      <c r="BM61713" s="1025"/>
      <c r="BO61713" s="43"/>
    </row>
    <row r="61714" spans="65:67" ht="18.75" customHeight="1">
      <c r="BM61714" s="1025"/>
      <c r="BO61714" s="43"/>
    </row>
    <row r="61715" spans="65:67" ht="18.75" customHeight="1">
      <c r="BM61715" s="1025"/>
      <c r="BO61715" s="43"/>
    </row>
    <row r="61716" spans="65:67" ht="18.75" customHeight="1">
      <c r="BM61716" s="1025"/>
      <c r="BO61716" s="43"/>
    </row>
    <row r="61717" spans="65:67" ht="18.75" customHeight="1">
      <c r="BM61717" s="1025"/>
      <c r="BO61717" s="43"/>
    </row>
    <row r="61718" spans="65:67" ht="18.75" customHeight="1">
      <c r="BM61718" s="1025"/>
      <c r="BO61718" s="43"/>
    </row>
    <row r="61719" spans="65:67" ht="18.75" customHeight="1">
      <c r="BM61719" s="1025"/>
      <c r="BO61719" s="43"/>
    </row>
    <row r="61720" spans="65:67" ht="18.75" customHeight="1">
      <c r="BM61720" s="1025"/>
      <c r="BO61720" s="43"/>
    </row>
    <row r="61721" spans="65:67" ht="18.75" customHeight="1">
      <c r="BM61721" s="1025"/>
      <c r="BO61721" s="43"/>
    </row>
    <row r="61722" spans="65:67" ht="18.75" customHeight="1">
      <c r="BM61722" s="1025"/>
      <c r="BO61722" s="43"/>
    </row>
    <row r="61723" spans="65:67" ht="18.75" customHeight="1">
      <c r="BM61723" s="1025"/>
      <c r="BO61723" s="43"/>
    </row>
    <row r="61724" spans="65:67" ht="18.75" customHeight="1">
      <c r="BM61724" s="1025"/>
      <c r="BO61724" s="43"/>
    </row>
    <row r="61725" spans="65:67" ht="18.75" customHeight="1">
      <c r="BM61725" s="1025"/>
      <c r="BO61725" s="43"/>
    </row>
    <row r="61726" spans="65:67" ht="18.75" customHeight="1">
      <c r="BM61726" s="1025"/>
      <c r="BO61726" s="43"/>
    </row>
    <row r="61727" spans="65:67" ht="18.75" customHeight="1">
      <c r="BM61727" s="1025"/>
      <c r="BO61727" s="43"/>
    </row>
    <row r="61728" spans="65:67" ht="18.75" customHeight="1">
      <c r="BM61728" s="1025"/>
      <c r="BO61728" s="43"/>
    </row>
    <row r="61729" spans="65:67" ht="18.75" customHeight="1">
      <c r="BM61729" s="1025"/>
      <c r="BO61729" s="43"/>
    </row>
    <row r="61730" spans="65:67" ht="18.75" customHeight="1">
      <c r="BM61730" s="1025"/>
      <c r="BO61730" s="43"/>
    </row>
    <row r="61731" spans="65:67" ht="18.75" customHeight="1">
      <c r="BM61731" s="1025"/>
      <c r="BO61731" s="43"/>
    </row>
    <row r="61732" spans="65:67" ht="18.75" customHeight="1">
      <c r="BM61732" s="1025"/>
      <c r="BO61732" s="43"/>
    </row>
    <row r="61733" spans="65:67" ht="18.75" customHeight="1">
      <c r="BM61733" s="1025"/>
      <c r="BO61733" s="43"/>
    </row>
    <row r="61734" spans="65:67" ht="18.75" customHeight="1">
      <c r="BM61734" s="1025"/>
      <c r="BO61734" s="43"/>
    </row>
    <row r="61735" spans="65:67" ht="18.75" customHeight="1">
      <c r="BM61735" s="1025"/>
      <c r="BO61735" s="43"/>
    </row>
    <row r="61736" spans="65:67" ht="18.75" customHeight="1">
      <c r="BM61736" s="1025"/>
      <c r="BO61736" s="43"/>
    </row>
    <row r="61737" spans="65:67" ht="18.75" customHeight="1">
      <c r="BM61737" s="1025"/>
      <c r="BO61737" s="43"/>
    </row>
    <row r="61738" spans="65:67" ht="18.75" customHeight="1">
      <c r="BM61738" s="1025"/>
      <c r="BO61738" s="43"/>
    </row>
    <row r="61739" spans="65:67" ht="18.75" customHeight="1">
      <c r="BM61739" s="1025"/>
      <c r="BO61739" s="43"/>
    </row>
    <row r="61740" spans="65:67" ht="18.75" customHeight="1">
      <c r="BM61740" s="1025"/>
      <c r="BO61740" s="43"/>
    </row>
    <row r="61741" spans="65:67" ht="18.75" customHeight="1">
      <c r="BM61741" s="1025"/>
      <c r="BO61741" s="43"/>
    </row>
    <row r="61742" spans="65:67" ht="18.75" customHeight="1">
      <c r="BM61742" s="1025"/>
      <c r="BO61742" s="43"/>
    </row>
    <row r="61743" spans="65:67" ht="18.75" customHeight="1">
      <c r="BM61743" s="1025"/>
      <c r="BO61743" s="43"/>
    </row>
    <row r="61744" spans="65:67" ht="18.75" customHeight="1">
      <c r="BM61744" s="1025"/>
      <c r="BO61744" s="43"/>
    </row>
    <row r="61745" spans="65:67" ht="18.75" customHeight="1">
      <c r="BM61745" s="1025"/>
      <c r="BO61745" s="43"/>
    </row>
    <row r="61746" spans="65:67" ht="18.75" customHeight="1">
      <c r="BM61746" s="1025"/>
      <c r="BO61746" s="43"/>
    </row>
    <row r="61747" spans="65:67" ht="18.75" customHeight="1">
      <c r="BM61747" s="1025"/>
      <c r="BO61747" s="43"/>
    </row>
    <row r="61748" spans="65:67" ht="18.75" customHeight="1">
      <c r="BM61748" s="1025"/>
      <c r="BO61748" s="43"/>
    </row>
    <row r="61749" spans="65:67" ht="18.75" customHeight="1">
      <c r="BM61749" s="1025"/>
      <c r="BO61749" s="43"/>
    </row>
    <row r="61750" spans="65:67" ht="18.75" customHeight="1">
      <c r="BM61750" s="1025"/>
      <c r="BO61750" s="43"/>
    </row>
    <row r="61751" spans="65:67" ht="18.75" customHeight="1">
      <c r="BM61751" s="1025"/>
      <c r="BO61751" s="43"/>
    </row>
    <row r="61752" spans="65:67" ht="18.75" customHeight="1">
      <c r="BM61752" s="1025"/>
      <c r="BO61752" s="43"/>
    </row>
    <row r="61753" spans="65:67" ht="18.75" customHeight="1">
      <c r="BM61753" s="1025"/>
      <c r="BO61753" s="43"/>
    </row>
    <row r="61754" spans="65:67" ht="18.75" customHeight="1">
      <c r="BM61754" s="1025"/>
      <c r="BO61754" s="43"/>
    </row>
    <row r="61755" spans="65:67" ht="18.75" customHeight="1">
      <c r="BM61755" s="1025"/>
      <c r="BO61755" s="43"/>
    </row>
    <row r="61756" spans="65:67" ht="18.75" customHeight="1">
      <c r="BM61756" s="1025"/>
      <c r="BO61756" s="43"/>
    </row>
    <row r="61757" spans="65:67" ht="18.75" customHeight="1">
      <c r="BM61757" s="1025"/>
      <c r="BO61757" s="43"/>
    </row>
    <row r="61758" spans="65:67" ht="18.75" customHeight="1">
      <c r="BM61758" s="1025"/>
      <c r="BO61758" s="43"/>
    </row>
    <row r="61759" spans="65:67" ht="18.75" customHeight="1">
      <c r="BM61759" s="1025"/>
      <c r="BO61759" s="43"/>
    </row>
    <row r="61760" spans="65:67" ht="18.75" customHeight="1">
      <c r="BM61760" s="1025"/>
      <c r="BO61760" s="43"/>
    </row>
    <row r="61761" spans="65:67" ht="18.75" customHeight="1">
      <c r="BM61761" s="1025"/>
      <c r="BO61761" s="43"/>
    </row>
    <row r="61762" spans="65:67" ht="18.75" customHeight="1">
      <c r="BM61762" s="1025"/>
      <c r="BO61762" s="43"/>
    </row>
    <row r="61763" spans="65:67" ht="18.75" customHeight="1">
      <c r="BM61763" s="1025"/>
      <c r="BO61763" s="43"/>
    </row>
    <row r="61764" spans="65:67" ht="18.75" customHeight="1">
      <c r="BM61764" s="1025"/>
      <c r="BO61764" s="43"/>
    </row>
    <row r="61765" spans="65:67" ht="18.75" customHeight="1">
      <c r="BM61765" s="1025"/>
      <c r="BO61765" s="43"/>
    </row>
    <row r="61766" spans="65:67" ht="18.75" customHeight="1">
      <c r="BM61766" s="1025"/>
      <c r="BO61766" s="43"/>
    </row>
    <row r="61767" spans="65:67" ht="18.75" customHeight="1">
      <c r="BM61767" s="1025"/>
      <c r="BO61767" s="43"/>
    </row>
    <row r="61768" spans="65:67" ht="18.75" customHeight="1">
      <c r="BM61768" s="1025"/>
      <c r="BO61768" s="43"/>
    </row>
    <row r="61769" spans="65:67" ht="18.75" customHeight="1">
      <c r="BM61769" s="1025"/>
      <c r="BO61769" s="43"/>
    </row>
    <row r="61770" spans="65:67" ht="18.75" customHeight="1">
      <c r="BM61770" s="1025"/>
      <c r="BO61770" s="43"/>
    </row>
    <row r="61771" spans="65:67" ht="18.75" customHeight="1">
      <c r="BM61771" s="1025"/>
      <c r="BO61771" s="43"/>
    </row>
    <row r="61772" spans="65:67" ht="18.75" customHeight="1">
      <c r="BM61772" s="1025"/>
      <c r="BO61772" s="43"/>
    </row>
    <row r="61773" spans="65:67" ht="18.75" customHeight="1">
      <c r="BM61773" s="1025"/>
      <c r="BO61773" s="43"/>
    </row>
    <row r="61774" spans="65:67" ht="18.75" customHeight="1">
      <c r="BM61774" s="1025"/>
      <c r="BO61774" s="43"/>
    </row>
    <row r="61775" spans="65:67" ht="18.75" customHeight="1">
      <c r="BM61775" s="1025"/>
      <c r="BO61775" s="43"/>
    </row>
    <row r="61776" spans="65:67" ht="18.75" customHeight="1">
      <c r="BM61776" s="1025"/>
      <c r="BO61776" s="43"/>
    </row>
    <row r="61777" spans="65:67" ht="18.75" customHeight="1">
      <c r="BM61777" s="1025"/>
      <c r="BO61777" s="43"/>
    </row>
    <row r="61778" spans="65:67" ht="18.75" customHeight="1">
      <c r="BM61778" s="1025"/>
      <c r="BO61778" s="43"/>
    </row>
    <row r="61779" spans="65:67" ht="18.75" customHeight="1">
      <c r="BM61779" s="1025"/>
      <c r="BO61779" s="43"/>
    </row>
    <row r="61780" spans="65:67" ht="18.75" customHeight="1">
      <c r="BM61780" s="1025"/>
      <c r="BO61780" s="43"/>
    </row>
    <row r="61781" spans="65:67" ht="18.75" customHeight="1">
      <c r="BM61781" s="1025"/>
      <c r="BO61781" s="43"/>
    </row>
    <row r="61782" spans="65:67" ht="18.75" customHeight="1">
      <c r="BM61782" s="1025"/>
      <c r="BO61782" s="43"/>
    </row>
    <row r="61783" spans="65:67" ht="18.75" customHeight="1">
      <c r="BM61783" s="1025"/>
      <c r="BO61783" s="43"/>
    </row>
    <row r="61784" spans="65:67" ht="18.75" customHeight="1">
      <c r="BM61784" s="1025"/>
      <c r="BO61784" s="43"/>
    </row>
    <row r="61785" spans="65:67" ht="18.75" customHeight="1">
      <c r="BM61785" s="1025"/>
      <c r="BO61785" s="43"/>
    </row>
    <row r="61786" spans="65:67" ht="18.75" customHeight="1">
      <c r="BM61786" s="1025"/>
      <c r="BO61786" s="43"/>
    </row>
    <row r="61787" spans="65:67" ht="18.75" customHeight="1">
      <c r="BM61787" s="1025"/>
      <c r="BO61787" s="43"/>
    </row>
    <row r="61788" spans="65:67" ht="18.75" customHeight="1">
      <c r="BM61788" s="1025"/>
      <c r="BO61788" s="43"/>
    </row>
    <row r="61789" spans="65:67" ht="18.75" customHeight="1">
      <c r="BM61789" s="1025"/>
      <c r="BO61789" s="43"/>
    </row>
    <row r="61790" spans="65:67" ht="18.75" customHeight="1">
      <c r="BM61790" s="1025"/>
      <c r="BO61790" s="43"/>
    </row>
    <row r="61791" spans="65:67" ht="18.75" customHeight="1">
      <c r="BM61791" s="1025"/>
      <c r="BO61791" s="43"/>
    </row>
    <row r="61792" spans="65:67" ht="18.75" customHeight="1">
      <c r="BM61792" s="1025"/>
      <c r="BO61792" s="43"/>
    </row>
    <row r="61793" spans="65:67" ht="18.75" customHeight="1">
      <c r="BM61793" s="1025"/>
      <c r="BO61793" s="43"/>
    </row>
    <row r="61794" spans="65:67" ht="18.75" customHeight="1">
      <c r="BM61794" s="1025"/>
      <c r="BO61794" s="43"/>
    </row>
    <row r="61795" spans="65:67" ht="18.75" customHeight="1">
      <c r="BM61795" s="1025"/>
      <c r="BO61795" s="43"/>
    </row>
    <row r="61796" spans="65:67" ht="18.75" customHeight="1">
      <c r="BM61796" s="1025"/>
      <c r="BO61796" s="43"/>
    </row>
    <row r="61797" spans="65:67" ht="18.75" customHeight="1">
      <c r="BM61797" s="1025"/>
      <c r="BO61797" s="43"/>
    </row>
    <row r="61798" spans="65:67" ht="18.75" customHeight="1">
      <c r="BM61798" s="1025"/>
      <c r="BO61798" s="43"/>
    </row>
    <row r="61799" spans="65:67" ht="18.75" customHeight="1">
      <c r="BM61799" s="1025"/>
      <c r="BO61799" s="43"/>
    </row>
    <row r="61800" spans="65:67" ht="18.75" customHeight="1">
      <c r="BM61800" s="1025"/>
      <c r="BO61800" s="43"/>
    </row>
    <row r="61801" spans="65:67" ht="18.75" customHeight="1">
      <c r="BM61801" s="1025"/>
      <c r="BO61801" s="43"/>
    </row>
    <row r="61802" spans="65:67" ht="18.75" customHeight="1">
      <c r="BM61802" s="1025"/>
      <c r="BO61802" s="43"/>
    </row>
    <row r="61803" spans="65:67" ht="18.75" customHeight="1">
      <c r="BM61803" s="1025"/>
      <c r="BO61803" s="43"/>
    </row>
    <row r="61804" spans="65:67" ht="18.75" customHeight="1">
      <c r="BM61804" s="1025"/>
      <c r="BO61804" s="43"/>
    </row>
    <row r="61805" spans="65:67" ht="18.75" customHeight="1">
      <c r="BM61805" s="1025"/>
      <c r="BO61805" s="43"/>
    </row>
    <row r="61806" spans="65:67" ht="18.75" customHeight="1">
      <c r="BM61806" s="1025"/>
      <c r="BO61806" s="43"/>
    </row>
    <row r="61807" spans="65:67" ht="18.75" customHeight="1">
      <c r="BM61807" s="1025"/>
      <c r="BO61807" s="43"/>
    </row>
    <row r="61808" spans="65:67" ht="18.75" customHeight="1">
      <c r="BM61808" s="1025"/>
      <c r="BO61808" s="43"/>
    </row>
    <row r="61809" spans="65:67" ht="18.75" customHeight="1">
      <c r="BM61809" s="1025"/>
      <c r="BO61809" s="43"/>
    </row>
    <row r="61810" spans="65:67" ht="18.75" customHeight="1">
      <c r="BM61810" s="1025"/>
      <c r="BO61810" s="43"/>
    </row>
    <row r="61811" spans="65:67" ht="18.75" customHeight="1">
      <c r="BM61811" s="1025"/>
      <c r="BO61811" s="43"/>
    </row>
    <row r="61812" spans="65:67" ht="18.75" customHeight="1">
      <c r="BM61812" s="1025"/>
      <c r="BO61812" s="43"/>
    </row>
    <row r="61813" spans="65:67" ht="18.75" customHeight="1">
      <c r="BM61813" s="1025"/>
      <c r="BO61813" s="43"/>
    </row>
    <row r="61814" spans="65:67" ht="18.75" customHeight="1">
      <c r="BM61814" s="1025"/>
      <c r="BO61814" s="43"/>
    </row>
    <row r="61815" spans="65:67" ht="18.75" customHeight="1">
      <c r="BM61815" s="1025"/>
      <c r="BO61815" s="43"/>
    </row>
    <row r="61816" spans="65:67" ht="18.75" customHeight="1">
      <c r="BM61816" s="1025"/>
      <c r="BO61816" s="43"/>
    </row>
    <row r="61817" spans="65:67" ht="18.75" customHeight="1">
      <c r="BM61817" s="1025"/>
      <c r="BO61817" s="43"/>
    </row>
    <row r="61818" spans="65:67" ht="18.75" customHeight="1">
      <c r="BM61818" s="1025"/>
      <c r="BO61818" s="43"/>
    </row>
    <row r="61819" spans="65:67" ht="18.75" customHeight="1">
      <c r="BM61819" s="1025"/>
      <c r="BO61819" s="43"/>
    </row>
    <row r="61820" spans="65:67" ht="18.75" customHeight="1">
      <c r="BM61820" s="1025"/>
      <c r="BO61820" s="43"/>
    </row>
    <row r="61821" spans="65:67" ht="18.75" customHeight="1">
      <c r="BM61821" s="1025"/>
      <c r="BO61821" s="43"/>
    </row>
    <row r="61822" spans="65:67" ht="18.75" customHeight="1">
      <c r="BM61822" s="1025"/>
      <c r="BO61822" s="43"/>
    </row>
    <row r="61823" spans="65:67" ht="18.75" customHeight="1">
      <c r="BM61823" s="1025"/>
      <c r="BO61823" s="43"/>
    </row>
    <row r="61824" spans="65:67" ht="18.75" customHeight="1">
      <c r="BM61824" s="1025"/>
      <c r="BO61824" s="43"/>
    </row>
    <row r="61825" spans="65:67" ht="18.75" customHeight="1">
      <c r="BM61825" s="1025"/>
      <c r="BO61825" s="43"/>
    </row>
    <row r="61826" spans="65:67" ht="18.75" customHeight="1">
      <c r="BM61826" s="1025"/>
      <c r="BO61826" s="43"/>
    </row>
    <row r="61827" spans="65:67" ht="18.75" customHeight="1">
      <c r="BM61827" s="1025"/>
      <c r="BO61827" s="43"/>
    </row>
    <row r="61828" spans="65:67" ht="18.75" customHeight="1">
      <c r="BM61828" s="1025"/>
      <c r="BO61828" s="43"/>
    </row>
    <row r="61829" spans="65:67" ht="18.75" customHeight="1">
      <c r="BM61829" s="1025"/>
      <c r="BO61829" s="43"/>
    </row>
    <row r="61830" spans="65:67" ht="18.75" customHeight="1">
      <c r="BM61830" s="1025"/>
      <c r="BO61830" s="43"/>
    </row>
    <row r="61831" spans="65:67" ht="18.75" customHeight="1">
      <c r="BM61831" s="1025"/>
      <c r="BO61831" s="43"/>
    </row>
    <row r="61832" spans="65:67" ht="18.75" customHeight="1">
      <c r="BM61832" s="1025"/>
      <c r="BO61832" s="43"/>
    </row>
    <row r="61833" spans="65:67" ht="18.75" customHeight="1">
      <c r="BM61833" s="1025"/>
      <c r="BO61833" s="43"/>
    </row>
    <row r="61834" spans="65:67" ht="18.75" customHeight="1">
      <c r="BM61834" s="1025"/>
      <c r="BO61834" s="43"/>
    </row>
    <row r="61835" spans="65:67" ht="18.75" customHeight="1">
      <c r="BM61835" s="1025"/>
      <c r="BO61835" s="43"/>
    </row>
    <row r="61836" spans="65:67" ht="18.75" customHeight="1">
      <c r="BM61836" s="1025"/>
      <c r="BO61836" s="43"/>
    </row>
    <row r="61837" spans="65:67" ht="18.75" customHeight="1">
      <c r="BM61837" s="1025"/>
      <c r="BO61837" s="43"/>
    </row>
    <row r="61838" spans="65:67" ht="18.75" customHeight="1">
      <c r="BM61838" s="1025"/>
      <c r="BO61838" s="43"/>
    </row>
    <row r="61839" spans="65:67" ht="18.75" customHeight="1">
      <c r="BM61839" s="1025"/>
      <c r="BO61839" s="43"/>
    </row>
    <row r="61840" spans="65:67" ht="18.75" customHeight="1">
      <c r="BM61840" s="1025"/>
      <c r="BO61840" s="43"/>
    </row>
    <row r="61841" spans="65:67" ht="18.75" customHeight="1">
      <c r="BM61841" s="1025"/>
      <c r="BO61841" s="43"/>
    </row>
    <row r="61842" spans="65:67" ht="18.75" customHeight="1">
      <c r="BM61842" s="1025"/>
      <c r="BO61842" s="43"/>
    </row>
    <row r="61843" spans="65:67" ht="18.75" customHeight="1">
      <c r="BM61843" s="1025"/>
      <c r="BO61843" s="43"/>
    </row>
    <row r="61844" spans="65:67" ht="18.75" customHeight="1">
      <c r="BM61844" s="1025"/>
      <c r="BO61844" s="43"/>
    </row>
    <row r="61845" spans="65:67" ht="18.75" customHeight="1">
      <c r="BM61845" s="1025"/>
      <c r="BO61845" s="43"/>
    </row>
    <row r="61846" spans="65:67" ht="18.75" customHeight="1">
      <c r="BM61846" s="1025"/>
      <c r="BO61846" s="43"/>
    </row>
    <row r="61847" spans="65:67" ht="18.75" customHeight="1">
      <c r="BM61847" s="1025"/>
      <c r="BO61847" s="43"/>
    </row>
    <row r="61848" spans="65:67" ht="18.75" customHeight="1">
      <c r="BM61848" s="1025"/>
      <c r="BO61848" s="43"/>
    </row>
    <row r="61849" spans="65:67" ht="18.75" customHeight="1">
      <c r="BM61849" s="1025"/>
      <c r="BO61849" s="43"/>
    </row>
    <row r="61850" spans="65:67" ht="18.75" customHeight="1">
      <c r="BM61850" s="1025"/>
      <c r="BO61850" s="43"/>
    </row>
    <row r="61851" spans="65:67" ht="18.75" customHeight="1">
      <c r="BM61851" s="1025"/>
      <c r="BO61851" s="43"/>
    </row>
    <row r="61852" spans="65:67" ht="18.75" customHeight="1">
      <c r="BM61852" s="1025"/>
      <c r="BO61852" s="43"/>
    </row>
    <row r="61853" spans="65:67" ht="18.75" customHeight="1">
      <c r="BM61853" s="1025"/>
      <c r="BO61853" s="43"/>
    </row>
    <row r="61854" spans="65:67" ht="18.75" customHeight="1">
      <c r="BM61854" s="1025"/>
      <c r="BO61854" s="43"/>
    </row>
    <row r="61855" spans="65:67" ht="18.75" customHeight="1">
      <c r="BM61855" s="1025"/>
      <c r="BO61855" s="43"/>
    </row>
    <row r="61856" spans="65:67" ht="18.75" customHeight="1">
      <c r="BM61856" s="1025"/>
      <c r="BO61856" s="43"/>
    </row>
    <row r="61857" spans="65:67" ht="18.75" customHeight="1">
      <c r="BM61857" s="1025"/>
      <c r="BO61857" s="43"/>
    </row>
    <row r="61858" spans="65:67" ht="18.75" customHeight="1">
      <c r="BM61858" s="1025"/>
      <c r="BO61858" s="43"/>
    </row>
    <row r="61859" spans="65:67" ht="18.75" customHeight="1">
      <c r="BM61859" s="1025"/>
      <c r="BO61859" s="43"/>
    </row>
    <row r="61860" spans="65:67" ht="18.75" customHeight="1">
      <c r="BM61860" s="1025"/>
      <c r="BO61860" s="43"/>
    </row>
    <row r="61861" spans="65:67" ht="18.75" customHeight="1">
      <c r="BM61861" s="1025"/>
      <c r="BO61861" s="43"/>
    </row>
    <row r="61862" spans="65:67" ht="18.75" customHeight="1">
      <c r="BM61862" s="1025"/>
      <c r="BO61862" s="43"/>
    </row>
    <row r="61863" spans="65:67" ht="18.75" customHeight="1">
      <c r="BM61863" s="1025"/>
      <c r="BO61863" s="43"/>
    </row>
    <row r="61864" spans="65:67" ht="18.75" customHeight="1">
      <c r="BM61864" s="1025"/>
      <c r="BO61864" s="43"/>
    </row>
    <row r="61865" spans="65:67" ht="18.75" customHeight="1">
      <c r="BM61865" s="1025"/>
      <c r="BO61865" s="43"/>
    </row>
    <row r="61866" spans="65:67" ht="18.75" customHeight="1">
      <c r="BM61866" s="1025"/>
      <c r="BO61866" s="43"/>
    </row>
    <row r="61867" spans="65:67" ht="18.75" customHeight="1">
      <c r="BM61867" s="1025"/>
      <c r="BO61867" s="43"/>
    </row>
    <row r="61868" spans="65:67" ht="18.75" customHeight="1">
      <c r="BM61868" s="1025"/>
      <c r="BO61868" s="43"/>
    </row>
    <row r="61869" spans="65:67" ht="18.75" customHeight="1">
      <c r="BM61869" s="1025"/>
      <c r="BO61869" s="43"/>
    </row>
    <row r="61870" spans="65:67" ht="18.75" customHeight="1">
      <c r="BM61870" s="1025"/>
      <c r="BO61870" s="43"/>
    </row>
    <row r="61871" spans="65:67" ht="18.75" customHeight="1">
      <c r="BM61871" s="1025"/>
      <c r="BO61871" s="43"/>
    </row>
    <row r="61872" spans="65:67" ht="18.75" customHeight="1">
      <c r="BM61872" s="1025"/>
      <c r="BO61872" s="43"/>
    </row>
    <row r="61873" spans="65:67" ht="18.75" customHeight="1">
      <c r="BM61873" s="1025"/>
      <c r="BO61873" s="43"/>
    </row>
    <row r="61874" spans="65:67" ht="18.75" customHeight="1">
      <c r="BM61874" s="1025"/>
      <c r="BO61874" s="43"/>
    </row>
    <row r="61875" spans="65:67" ht="18.75" customHeight="1">
      <c r="BM61875" s="1025"/>
      <c r="BO61875" s="43"/>
    </row>
    <row r="61876" spans="65:67" ht="18.75" customHeight="1">
      <c r="BM61876" s="1025"/>
      <c r="BO61876" s="43"/>
    </row>
    <row r="61877" spans="65:67" ht="18.75" customHeight="1">
      <c r="BM61877" s="1025"/>
      <c r="BO61877" s="43"/>
    </row>
    <row r="61878" spans="65:67" ht="18.75" customHeight="1">
      <c r="BM61878" s="1025"/>
      <c r="BO61878" s="43"/>
    </row>
    <row r="61879" spans="65:67" ht="18.75" customHeight="1">
      <c r="BM61879" s="1025"/>
      <c r="BO61879" s="43"/>
    </row>
    <row r="61880" spans="65:67" ht="18.75" customHeight="1">
      <c r="BM61880" s="1025"/>
      <c r="BO61880" s="43"/>
    </row>
    <row r="61881" spans="65:67" ht="18.75" customHeight="1">
      <c r="BM61881" s="1025"/>
      <c r="BO61881" s="43"/>
    </row>
    <row r="61882" spans="65:67" ht="18.75" customHeight="1">
      <c r="BM61882" s="1025"/>
      <c r="BO61882" s="43"/>
    </row>
    <row r="61883" spans="65:67" ht="18.75" customHeight="1">
      <c r="BM61883" s="1025"/>
      <c r="BO61883" s="43"/>
    </row>
    <row r="61884" spans="65:67" ht="18.75" customHeight="1">
      <c r="BM61884" s="1025"/>
      <c r="BO61884" s="43"/>
    </row>
    <row r="61885" spans="65:67" ht="18.75" customHeight="1">
      <c r="BM61885" s="1025"/>
      <c r="BO61885" s="43"/>
    </row>
    <row r="61886" spans="65:67" ht="18.75" customHeight="1">
      <c r="BM61886" s="1025"/>
      <c r="BO61886" s="43"/>
    </row>
    <row r="61887" spans="65:67" ht="18.75" customHeight="1">
      <c r="BM61887" s="1025"/>
      <c r="BO61887" s="43"/>
    </row>
    <row r="61888" spans="65:67" ht="18.75" customHeight="1">
      <c r="BM61888" s="1025"/>
      <c r="BO61888" s="43"/>
    </row>
    <row r="61889" spans="65:67" ht="18.75" customHeight="1">
      <c r="BM61889" s="1025"/>
      <c r="BO61889" s="43"/>
    </row>
    <row r="61890" spans="65:67" ht="18.75" customHeight="1">
      <c r="BM61890" s="1025"/>
      <c r="BO61890" s="43"/>
    </row>
    <row r="61891" spans="65:67" ht="18.75" customHeight="1">
      <c r="BM61891" s="1025"/>
      <c r="BO61891" s="43"/>
    </row>
    <row r="61892" spans="65:67" ht="18.75" customHeight="1">
      <c r="BM61892" s="1025"/>
      <c r="BO61892" s="43"/>
    </row>
    <row r="61893" spans="65:67" ht="18.75" customHeight="1">
      <c r="BM61893" s="1025"/>
      <c r="BO61893" s="43"/>
    </row>
    <row r="61894" spans="65:67" ht="18.75" customHeight="1">
      <c r="BM61894" s="1025"/>
      <c r="BO61894" s="43"/>
    </row>
    <row r="61895" spans="65:67" ht="18.75" customHeight="1">
      <c r="BM61895" s="1025"/>
      <c r="BO61895" s="43"/>
    </row>
    <row r="61896" spans="65:67" ht="18.75" customHeight="1">
      <c r="BM61896" s="1025"/>
      <c r="BO61896" s="43"/>
    </row>
    <row r="61897" spans="65:67" ht="18.75" customHeight="1">
      <c r="BM61897" s="1025"/>
      <c r="BO61897" s="43"/>
    </row>
    <row r="61898" spans="65:67" ht="18.75" customHeight="1">
      <c r="BM61898" s="1025"/>
      <c r="BO61898" s="43"/>
    </row>
    <row r="61899" spans="65:67" ht="18.75" customHeight="1">
      <c r="BM61899" s="1025"/>
      <c r="BO61899" s="43"/>
    </row>
    <row r="61900" spans="65:67" ht="18.75" customHeight="1">
      <c r="BM61900" s="1025"/>
      <c r="BO61900" s="43"/>
    </row>
    <row r="61901" spans="65:67" ht="18.75" customHeight="1">
      <c r="BM61901" s="1025"/>
      <c r="BO61901" s="43"/>
    </row>
    <row r="61902" spans="65:67" ht="18.75" customHeight="1">
      <c r="BM61902" s="1025"/>
      <c r="BO61902" s="43"/>
    </row>
    <row r="61903" spans="65:67" ht="18.75" customHeight="1">
      <c r="BM61903" s="1025"/>
      <c r="BO61903" s="43"/>
    </row>
    <row r="61904" spans="65:67" ht="18.75" customHeight="1">
      <c r="BM61904" s="1025"/>
      <c r="BO61904" s="43"/>
    </row>
    <row r="61905" spans="65:67" ht="18.75" customHeight="1">
      <c r="BM61905" s="1025"/>
      <c r="BO61905" s="43"/>
    </row>
    <row r="61906" spans="65:67" ht="18.75" customHeight="1">
      <c r="BM61906" s="1025"/>
      <c r="BO61906" s="43"/>
    </row>
    <row r="61907" spans="65:67" ht="18.75" customHeight="1">
      <c r="BM61907" s="1025"/>
      <c r="BO61907" s="43"/>
    </row>
    <row r="61908" spans="65:67" ht="18.75" customHeight="1">
      <c r="BM61908" s="1025"/>
      <c r="BO61908" s="43"/>
    </row>
    <row r="61909" spans="65:67" ht="18.75" customHeight="1">
      <c r="BM61909" s="1025"/>
      <c r="BO61909" s="43"/>
    </row>
    <row r="61910" spans="65:67" ht="18.75" customHeight="1">
      <c r="BM61910" s="1025"/>
      <c r="BO61910" s="43"/>
    </row>
    <row r="61911" spans="65:67" ht="18.75" customHeight="1">
      <c r="BM61911" s="1025"/>
      <c r="BO61911" s="43"/>
    </row>
    <row r="61912" spans="65:67" ht="18.75" customHeight="1">
      <c r="BM61912" s="1025"/>
      <c r="BO61912" s="43"/>
    </row>
    <row r="61913" spans="65:67" ht="18.75" customHeight="1">
      <c r="BM61913" s="1025"/>
      <c r="BO61913" s="43"/>
    </row>
    <row r="61914" spans="65:67" ht="18.75" customHeight="1">
      <c r="BM61914" s="1025"/>
      <c r="BO61914" s="43"/>
    </row>
    <row r="61915" spans="65:67" ht="18.75" customHeight="1">
      <c r="BM61915" s="1025"/>
      <c r="BO61915" s="43"/>
    </row>
    <row r="61916" spans="65:67" ht="18.75" customHeight="1">
      <c r="BM61916" s="1025"/>
      <c r="BO61916" s="43"/>
    </row>
    <row r="61917" spans="65:67" ht="18.75" customHeight="1">
      <c r="BM61917" s="1025"/>
      <c r="BO61917" s="43"/>
    </row>
    <row r="61918" spans="65:67" ht="18.75" customHeight="1">
      <c r="BM61918" s="1025"/>
      <c r="BO61918" s="43"/>
    </row>
    <row r="61919" spans="65:67" ht="18.75" customHeight="1">
      <c r="BM61919" s="1025"/>
      <c r="BO61919" s="43"/>
    </row>
    <row r="61920" spans="65:67" ht="18.75" customHeight="1">
      <c r="BM61920" s="1025"/>
      <c r="BO61920" s="43"/>
    </row>
    <row r="61921" spans="65:67" ht="18.75" customHeight="1">
      <c r="BM61921" s="1025"/>
      <c r="BO61921" s="43"/>
    </row>
    <row r="61922" spans="65:67" ht="18.75" customHeight="1">
      <c r="BM61922" s="1025"/>
      <c r="BO61922" s="43"/>
    </row>
    <row r="61923" spans="65:67" ht="18.75" customHeight="1">
      <c r="BM61923" s="1025"/>
      <c r="BO61923" s="43"/>
    </row>
    <row r="61924" spans="65:67" ht="18.75" customHeight="1">
      <c r="BM61924" s="1025"/>
      <c r="BO61924" s="43"/>
    </row>
    <row r="61925" spans="65:67" ht="18.75" customHeight="1">
      <c r="BM61925" s="1025"/>
      <c r="BO61925" s="43"/>
    </row>
    <row r="61926" spans="65:67" ht="18.75" customHeight="1">
      <c r="BM61926" s="1025"/>
      <c r="BO61926" s="43"/>
    </row>
    <row r="61927" spans="65:67" ht="18.75" customHeight="1">
      <c r="BM61927" s="1025"/>
      <c r="BO61927" s="43"/>
    </row>
    <row r="61928" spans="65:67" ht="18.75" customHeight="1">
      <c r="BM61928" s="1025"/>
      <c r="BO61928" s="43"/>
    </row>
    <row r="61929" spans="65:67" ht="18.75" customHeight="1">
      <c r="BM61929" s="1025"/>
      <c r="BO61929" s="43"/>
    </row>
    <row r="61930" spans="65:67" ht="18.75" customHeight="1">
      <c r="BM61930" s="1025"/>
      <c r="BO61930" s="43"/>
    </row>
    <row r="61931" spans="65:67" ht="18.75" customHeight="1">
      <c r="BM61931" s="1025"/>
      <c r="BO61931" s="43"/>
    </row>
    <row r="61932" spans="65:67" ht="18.75" customHeight="1">
      <c r="BM61932" s="1025"/>
      <c r="BO61932" s="43"/>
    </row>
    <row r="61933" spans="65:67" ht="18.75" customHeight="1">
      <c r="BM61933" s="1025"/>
      <c r="BO61933" s="43"/>
    </row>
    <row r="61934" spans="65:67" ht="18.75" customHeight="1">
      <c r="BM61934" s="1025"/>
      <c r="BO61934" s="43"/>
    </row>
    <row r="61935" spans="65:67" ht="18.75" customHeight="1">
      <c r="BM61935" s="1025"/>
      <c r="BO61935" s="43"/>
    </row>
    <row r="61936" spans="65:67" ht="18.75" customHeight="1">
      <c r="BM61936" s="1025"/>
      <c r="BO61936" s="43"/>
    </row>
    <row r="61937" spans="65:67" ht="18.75" customHeight="1">
      <c r="BM61937" s="1025"/>
      <c r="BO61937" s="43"/>
    </row>
    <row r="61938" spans="65:67" ht="18.75" customHeight="1">
      <c r="BM61938" s="1025"/>
      <c r="BO61938" s="43"/>
    </row>
    <row r="61939" spans="65:67" ht="18.75" customHeight="1">
      <c r="BM61939" s="1025"/>
      <c r="BO61939" s="43"/>
    </row>
    <row r="61940" spans="65:67" ht="18.75" customHeight="1">
      <c r="BM61940" s="1025"/>
      <c r="BO61940" s="43"/>
    </row>
    <row r="61941" spans="65:67" ht="18.75" customHeight="1">
      <c r="BM61941" s="1025"/>
      <c r="BO61941" s="43"/>
    </row>
    <row r="61942" spans="65:67" ht="18.75" customHeight="1">
      <c r="BM61942" s="1025"/>
      <c r="BO61942" s="43"/>
    </row>
    <row r="61943" spans="65:67" ht="18.75" customHeight="1">
      <c r="BM61943" s="1025"/>
      <c r="BO61943" s="43"/>
    </row>
    <row r="61944" spans="65:67" ht="18.75" customHeight="1">
      <c r="BM61944" s="1025"/>
      <c r="BO61944" s="43"/>
    </row>
    <row r="61945" spans="65:67" ht="18.75" customHeight="1">
      <c r="BM61945" s="1025"/>
      <c r="BO61945" s="43"/>
    </row>
    <row r="61946" spans="65:67" ht="18.75" customHeight="1">
      <c r="BM61946" s="1025"/>
      <c r="BO61946" s="43"/>
    </row>
    <row r="61947" spans="65:67" ht="18.75" customHeight="1">
      <c r="BM61947" s="1025"/>
      <c r="BO61947" s="43"/>
    </row>
    <row r="61948" spans="65:67" ht="18.75" customHeight="1">
      <c r="BM61948" s="1025"/>
      <c r="BO61948" s="43"/>
    </row>
    <row r="61949" spans="65:67" ht="18.75" customHeight="1">
      <c r="BM61949" s="1025"/>
      <c r="BO61949" s="43"/>
    </row>
    <row r="61950" spans="65:67" ht="18.75" customHeight="1">
      <c r="BM61950" s="1025"/>
      <c r="BO61950" s="43"/>
    </row>
    <row r="61951" spans="65:67" ht="18.75" customHeight="1">
      <c r="BM61951" s="1025"/>
      <c r="BO61951" s="43"/>
    </row>
    <row r="61952" spans="65:67" ht="18.75" customHeight="1">
      <c r="BM61952" s="1025"/>
      <c r="BO61952" s="43"/>
    </row>
    <row r="61953" spans="65:67" ht="18.75" customHeight="1">
      <c r="BM61953" s="1025"/>
      <c r="BO61953" s="43"/>
    </row>
    <row r="61954" spans="65:67" ht="18.75" customHeight="1">
      <c r="BM61954" s="1025"/>
      <c r="BO61954" s="43"/>
    </row>
    <row r="61955" spans="65:67" ht="18.75" customHeight="1">
      <c r="BM61955" s="1025"/>
      <c r="BO61955" s="43"/>
    </row>
    <row r="61956" spans="65:67" ht="18.75" customHeight="1">
      <c r="BM61956" s="1025"/>
      <c r="BO61956" s="43"/>
    </row>
    <row r="61957" spans="65:67" ht="18.75" customHeight="1">
      <c r="BM61957" s="1025"/>
      <c r="BO61957" s="43"/>
    </row>
    <row r="61958" spans="65:67" ht="18.75" customHeight="1">
      <c r="BM61958" s="1025"/>
      <c r="BO61958" s="43"/>
    </row>
    <row r="61959" spans="65:67" ht="18.75" customHeight="1">
      <c r="BM61959" s="1025"/>
      <c r="BO61959" s="43"/>
    </row>
    <row r="61960" spans="65:67" ht="18.75" customHeight="1">
      <c r="BM61960" s="1025"/>
      <c r="BO61960" s="43"/>
    </row>
    <row r="61961" spans="65:67" ht="18.75" customHeight="1">
      <c r="BM61961" s="1025"/>
      <c r="BO61961" s="43"/>
    </row>
    <row r="61962" spans="65:67" ht="18.75" customHeight="1">
      <c r="BM61962" s="1025"/>
      <c r="BO61962" s="43"/>
    </row>
    <row r="61963" spans="65:67" ht="18.75" customHeight="1">
      <c r="BM61963" s="1025"/>
      <c r="BO61963" s="43"/>
    </row>
    <row r="61964" spans="65:67" ht="18.75" customHeight="1">
      <c r="BM61964" s="1025"/>
      <c r="BO61964" s="43"/>
    </row>
    <row r="61965" spans="65:67" ht="18.75" customHeight="1">
      <c r="BM61965" s="1025"/>
      <c r="BO61965" s="43"/>
    </row>
    <row r="61966" spans="65:67" ht="18.75" customHeight="1">
      <c r="BM61966" s="1025"/>
      <c r="BO61966" s="43"/>
    </row>
    <row r="61967" spans="65:67" ht="18.75" customHeight="1">
      <c r="BM61967" s="1025"/>
      <c r="BO61967" s="43"/>
    </row>
    <row r="61968" spans="65:67" ht="18.75" customHeight="1">
      <c r="BM61968" s="1025"/>
      <c r="BO61968" s="43"/>
    </row>
    <row r="61969" spans="65:67" ht="18.75" customHeight="1">
      <c r="BM61969" s="1025"/>
      <c r="BO61969" s="43"/>
    </row>
    <row r="61970" spans="65:67" ht="18.75" customHeight="1">
      <c r="BM61970" s="1025"/>
      <c r="BO61970" s="43"/>
    </row>
    <row r="61971" spans="65:67" ht="18.75" customHeight="1">
      <c r="BM61971" s="1025"/>
      <c r="BO61971" s="43"/>
    </row>
    <row r="61972" spans="65:67" ht="18.75" customHeight="1">
      <c r="BM61972" s="1025"/>
      <c r="BO61972" s="43"/>
    </row>
    <row r="61973" spans="65:67" ht="18.75" customHeight="1">
      <c r="BM61973" s="1025"/>
      <c r="BO61973" s="43"/>
    </row>
    <row r="61974" spans="65:67" ht="18.75" customHeight="1">
      <c r="BM61974" s="1025"/>
      <c r="BO61974" s="43"/>
    </row>
    <row r="61975" spans="65:67" ht="18.75" customHeight="1">
      <c r="BM61975" s="1025"/>
      <c r="BO61975" s="43"/>
    </row>
    <row r="61976" spans="65:67" ht="18.75" customHeight="1">
      <c r="BM61976" s="1025"/>
      <c r="BO61976" s="43"/>
    </row>
    <row r="61977" spans="65:67" ht="18.75" customHeight="1">
      <c r="BM61977" s="1025"/>
      <c r="BO61977" s="43"/>
    </row>
    <row r="61978" spans="65:67" ht="18.75" customHeight="1">
      <c r="BM61978" s="1025"/>
      <c r="BO61978" s="43"/>
    </row>
    <row r="61979" spans="65:67" ht="18.75" customHeight="1">
      <c r="BM61979" s="1025"/>
      <c r="BO61979" s="43"/>
    </row>
    <row r="61980" spans="65:67" ht="18.75" customHeight="1">
      <c r="BM61980" s="1025"/>
      <c r="BO61980" s="43"/>
    </row>
    <row r="61981" spans="65:67" ht="18.75" customHeight="1">
      <c r="BM61981" s="1025"/>
      <c r="BO61981" s="43"/>
    </row>
    <row r="61982" spans="65:67" ht="18.75" customHeight="1">
      <c r="BM61982" s="1025"/>
      <c r="BO61982" s="43"/>
    </row>
    <row r="61983" spans="65:67" ht="18.75" customHeight="1">
      <c r="BM61983" s="1025"/>
      <c r="BO61983" s="43"/>
    </row>
    <row r="61984" spans="65:67" ht="18.75" customHeight="1">
      <c r="BM61984" s="1025"/>
      <c r="BO61984" s="43"/>
    </row>
    <row r="61985" spans="65:67" ht="18.75" customHeight="1">
      <c r="BM61985" s="1025"/>
      <c r="BO61985" s="43"/>
    </row>
    <row r="61986" spans="65:67" ht="18.75" customHeight="1">
      <c r="BM61986" s="1025"/>
      <c r="BO61986" s="43"/>
    </row>
    <row r="61987" spans="65:67" ht="18.75" customHeight="1">
      <c r="BM61987" s="1025"/>
      <c r="BO61987" s="43"/>
    </row>
    <row r="61988" spans="65:67" ht="18.75" customHeight="1">
      <c r="BM61988" s="1025"/>
      <c r="BO61988" s="43"/>
    </row>
    <row r="61989" spans="65:67" ht="18.75" customHeight="1">
      <c r="BM61989" s="1025"/>
      <c r="BO61989" s="43"/>
    </row>
    <row r="61990" spans="65:67" ht="18.75" customHeight="1">
      <c r="BM61990" s="1025"/>
      <c r="BO61990" s="43"/>
    </row>
    <row r="61991" spans="65:67" ht="18.75" customHeight="1">
      <c r="BM61991" s="1025"/>
      <c r="BO61991" s="43"/>
    </row>
    <row r="61992" spans="65:67" ht="18.75" customHeight="1">
      <c r="BM61992" s="1025"/>
      <c r="BO61992" s="43"/>
    </row>
    <row r="61993" spans="65:67" ht="18.75" customHeight="1">
      <c r="BM61993" s="1025"/>
      <c r="BO61993" s="43"/>
    </row>
    <row r="61994" spans="65:67" ht="18.75" customHeight="1">
      <c r="BM61994" s="1025"/>
      <c r="BO61994" s="43"/>
    </row>
    <row r="61995" spans="65:67" ht="18.75" customHeight="1">
      <c r="BM61995" s="1025"/>
      <c r="BO61995" s="43"/>
    </row>
    <row r="61996" spans="65:67" ht="18.75" customHeight="1">
      <c r="BM61996" s="1025"/>
      <c r="BO61996" s="43"/>
    </row>
    <row r="61997" spans="65:67" ht="18.75" customHeight="1">
      <c r="BM61997" s="1025"/>
      <c r="BO61997" s="43"/>
    </row>
    <row r="61998" spans="65:67" ht="18.75" customHeight="1">
      <c r="BM61998" s="1025"/>
      <c r="BO61998" s="43"/>
    </row>
    <row r="61999" spans="65:67" ht="18.75" customHeight="1">
      <c r="BM61999" s="1025"/>
      <c r="BO61999" s="43"/>
    </row>
    <row r="62000" spans="65:67" ht="18.75" customHeight="1">
      <c r="BM62000" s="1025"/>
      <c r="BO62000" s="43"/>
    </row>
    <row r="62001" spans="65:67" ht="18.75" customHeight="1">
      <c r="BM62001" s="1025"/>
      <c r="BO62001" s="43"/>
    </row>
    <row r="62002" spans="65:67" ht="18.75" customHeight="1">
      <c r="BM62002" s="1025"/>
      <c r="BO62002" s="43"/>
    </row>
    <row r="62003" spans="65:67" ht="18.75" customHeight="1">
      <c r="BM62003" s="1025"/>
      <c r="BO62003" s="43"/>
    </row>
    <row r="62004" spans="65:67" ht="18.75" customHeight="1">
      <c r="BM62004" s="1025"/>
      <c r="BO62004" s="43"/>
    </row>
    <row r="62005" spans="65:67" ht="18.75" customHeight="1">
      <c r="BM62005" s="1025"/>
      <c r="BO62005" s="43"/>
    </row>
    <row r="62006" spans="65:67" ht="18.75" customHeight="1">
      <c r="BM62006" s="1025"/>
      <c r="BO62006" s="43"/>
    </row>
    <row r="62007" spans="65:67" ht="18.75" customHeight="1">
      <c r="BM62007" s="1025"/>
      <c r="BO62007" s="43"/>
    </row>
    <row r="62008" spans="65:67" ht="18.75" customHeight="1">
      <c r="BM62008" s="1025"/>
      <c r="BO62008" s="43"/>
    </row>
    <row r="62009" spans="65:67" ht="18.75" customHeight="1">
      <c r="BM62009" s="1025"/>
      <c r="BO62009" s="43"/>
    </row>
    <row r="62010" spans="65:67" ht="18.75" customHeight="1">
      <c r="BM62010" s="1025"/>
      <c r="BO62010" s="43"/>
    </row>
    <row r="62011" spans="65:67" ht="18.75" customHeight="1">
      <c r="BM62011" s="1025"/>
      <c r="BO62011" s="43"/>
    </row>
    <row r="62012" spans="65:67" ht="18.75" customHeight="1">
      <c r="BM62012" s="1025"/>
      <c r="BO62012" s="43"/>
    </row>
    <row r="62013" spans="65:67" ht="18.75" customHeight="1">
      <c r="BM62013" s="1025"/>
      <c r="BO62013" s="43"/>
    </row>
    <row r="62014" spans="65:67" ht="18.75" customHeight="1">
      <c r="BM62014" s="1025"/>
      <c r="BO62014" s="43"/>
    </row>
    <row r="62015" spans="65:67" ht="18.75" customHeight="1">
      <c r="BM62015" s="1025"/>
      <c r="BO62015" s="43"/>
    </row>
    <row r="62016" spans="65:67" ht="18.75" customHeight="1">
      <c r="BM62016" s="1025"/>
      <c r="BO62016" s="43"/>
    </row>
    <row r="62017" spans="65:67" ht="18.75" customHeight="1">
      <c r="BM62017" s="1025"/>
      <c r="BO62017" s="43"/>
    </row>
    <row r="62018" spans="65:67" ht="18.75" customHeight="1">
      <c r="BM62018" s="1025"/>
      <c r="BO62018" s="43"/>
    </row>
    <row r="62019" spans="65:67" ht="18.75" customHeight="1">
      <c r="BM62019" s="1025"/>
      <c r="BO62019" s="43"/>
    </row>
    <row r="62020" spans="65:67" ht="18.75" customHeight="1">
      <c r="BM62020" s="1025"/>
      <c r="BO62020" s="43"/>
    </row>
    <row r="62021" spans="65:67" ht="18.75" customHeight="1">
      <c r="BM62021" s="1025"/>
      <c r="BO62021" s="43"/>
    </row>
    <row r="62022" spans="65:67" ht="18.75" customHeight="1">
      <c r="BM62022" s="1025"/>
      <c r="BO62022" s="43"/>
    </row>
    <row r="62023" spans="65:67" ht="18.75" customHeight="1">
      <c r="BM62023" s="1025"/>
      <c r="BO62023" s="43"/>
    </row>
    <row r="62024" spans="65:67" ht="18.75" customHeight="1">
      <c r="BM62024" s="1025"/>
      <c r="BO62024" s="43"/>
    </row>
    <row r="62025" spans="65:67" ht="18.75" customHeight="1">
      <c r="BM62025" s="1025"/>
      <c r="BO62025" s="43"/>
    </row>
    <row r="62026" spans="65:67" ht="18.75" customHeight="1">
      <c r="BM62026" s="1025"/>
      <c r="BO62026" s="43"/>
    </row>
    <row r="62027" spans="65:67" ht="18.75" customHeight="1">
      <c r="BM62027" s="1025"/>
      <c r="BO62027" s="43"/>
    </row>
    <row r="62028" spans="65:67" ht="18.75" customHeight="1">
      <c r="BM62028" s="1025"/>
      <c r="BO62028" s="43"/>
    </row>
    <row r="62029" spans="65:67" ht="18.75" customHeight="1">
      <c r="BM62029" s="1025"/>
      <c r="BO62029" s="43"/>
    </row>
    <row r="62030" spans="65:67" ht="18.75" customHeight="1">
      <c r="BM62030" s="1025"/>
      <c r="BO62030" s="43"/>
    </row>
    <row r="62031" spans="65:67" ht="18.75" customHeight="1">
      <c r="BM62031" s="1025"/>
      <c r="BO62031" s="43"/>
    </row>
    <row r="62032" spans="65:67" ht="18.75" customHeight="1">
      <c r="BM62032" s="1025"/>
      <c r="BO62032" s="43"/>
    </row>
    <row r="62033" spans="65:67" ht="18.75" customHeight="1">
      <c r="BM62033" s="1025"/>
      <c r="BO62033" s="43"/>
    </row>
    <row r="62034" spans="65:67" ht="18.75" customHeight="1">
      <c r="BM62034" s="1025"/>
      <c r="BO62034" s="43"/>
    </row>
    <row r="62035" spans="65:67" ht="18.75" customHeight="1">
      <c r="BM62035" s="1025"/>
      <c r="BO62035" s="43"/>
    </row>
    <row r="62036" spans="65:67" ht="18.75" customHeight="1">
      <c r="BM62036" s="1025"/>
      <c r="BO62036" s="43"/>
    </row>
    <row r="62037" spans="65:67" ht="18.75" customHeight="1">
      <c r="BM62037" s="1025"/>
      <c r="BO62037" s="43"/>
    </row>
    <row r="62038" spans="65:67" ht="18.75" customHeight="1">
      <c r="BM62038" s="1025"/>
      <c r="BO62038" s="43"/>
    </row>
    <row r="62039" spans="65:67" ht="18.75" customHeight="1">
      <c r="BM62039" s="1025"/>
      <c r="BO62039" s="43"/>
    </row>
    <row r="62040" spans="65:67" ht="18.75" customHeight="1">
      <c r="BM62040" s="1025"/>
      <c r="BO62040" s="43"/>
    </row>
    <row r="62041" spans="65:67" ht="18.75" customHeight="1">
      <c r="BM62041" s="1025"/>
      <c r="BO62041" s="43"/>
    </row>
    <row r="62042" spans="65:67" ht="18.75" customHeight="1">
      <c r="BM62042" s="1025"/>
      <c r="BO62042" s="43"/>
    </row>
    <row r="62043" spans="65:67" ht="18.75" customHeight="1">
      <c r="BM62043" s="1025"/>
      <c r="BO62043" s="43"/>
    </row>
    <row r="62044" spans="65:67" ht="18.75" customHeight="1">
      <c r="BM62044" s="1025"/>
      <c r="BO62044" s="43"/>
    </row>
    <row r="62045" spans="65:67" ht="18.75" customHeight="1">
      <c r="BM62045" s="1025"/>
      <c r="BO62045" s="43"/>
    </row>
    <row r="62046" spans="65:67" ht="18.75" customHeight="1">
      <c r="BM62046" s="1025"/>
      <c r="BO62046" s="43"/>
    </row>
    <row r="62047" spans="65:67" ht="18.75" customHeight="1">
      <c r="BM62047" s="1025"/>
      <c r="BO62047" s="43"/>
    </row>
    <row r="62048" spans="65:67" ht="18.75" customHeight="1">
      <c r="BM62048" s="1025"/>
      <c r="BO62048" s="43"/>
    </row>
    <row r="62049" spans="65:67" ht="18.75" customHeight="1">
      <c r="BM62049" s="1025"/>
      <c r="BO62049" s="43"/>
    </row>
    <row r="62050" spans="65:67" ht="18.75" customHeight="1">
      <c r="BM62050" s="1025"/>
      <c r="BO62050" s="43"/>
    </row>
    <row r="62051" spans="65:67" ht="18.75" customHeight="1">
      <c r="BM62051" s="1025"/>
      <c r="BO62051" s="43"/>
    </row>
    <row r="62052" spans="65:67" ht="18.75" customHeight="1">
      <c r="BM62052" s="1025"/>
      <c r="BO62052" s="43"/>
    </row>
    <row r="62053" spans="65:67" ht="18.75" customHeight="1">
      <c r="BM62053" s="1025"/>
      <c r="BO62053" s="43"/>
    </row>
    <row r="62054" spans="65:67" ht="18.75" customHeight="1">
      <c r="BM62054" s="1025"/>
      <c r="BO62054" s="43"/>
    </row>
    <row r="62055" spans="65:67" ht="18.75" customHeight="1">
      <c r="BM62055" s="1025"/>
      <c r="BO62055" s="43"/>
    </row>
    <row r="62056" spans="65:67" ht="18.75" customHeight="1">
      <c r="BM62056" s="1025"/>
      <c r="BO62056" s="43"/>
    </row>
    <row r="62057" spans="65:67" ht="18.75" customHeight="1">
      <c r="BM62057" s="1025"/>
      <c r="BO62057" s="43"/>
    </row>
    <row r="62058" spans="65:67" ht="18.75" customHeight="1">
      <c r="BM62058" s="1025"/>
      <c r="BO62058" s="43"/>
    </row>
    <row r="62059" spans="65:67" ht="18.75" customHeight="1">
      <c r="BM62059" s="1025"/>
      <c r="BO62059" s="43"/>
    </row>
    <row r="62060" spans="65:67" ht="18.75" customHeight="1">
      <c r="BM62060" s="1025"/>
      <c r="BO62060" s="43"/>
    </row>
    <row r="62061" spans="65:67" ht="18.75" customHeight="1">
      <c r="BM62061" s="1025"/>
      <c r="BO62061" s="43"/>
    </row>
    <row r="62062" spans="65:67" ht="18.75" customHeight="1">
      <c r="BM62062" s="1025"/>
      <c r="BO62062" s="43"/>
    </row>
    <row r="62063" spans="65:67" ht="18.75" customHeight="1">
      <c r="BM62063" s="1025"/>
      <c r="BO62063" s="43"/>
    </row>
    <row r="62064" spans="65:67" ht="18.75" customHeight="1">
      <c r="BM62064" s="1025"/>
      <c r="BO62064" s="43"/>
    </row>
    <row r="62065" spans="65:67" ht="18.75" customHeight="1">
      <c r="BM62065" s="1025"/>
      <c r="BO62065" s="43"/>
    </row>
    <row r="62066" spans="65:67" ht="18.75" customHeight="1">
      <c r="BM62066" s="1025"/>
      <c r="BO62066" s="43"/>
    </row>
    <row r="62067" spans="65:67" ht="18.75" customHeight="1">
      <c r="BM62067" s="1025"/>
      <c r="BO62067" s="43"/>
    </row>
    <row r="62068" spans="65:67" ht="18.75" customHeight="1">
      <c r="BM62068" s="1025"/>
      <c r="BO62068" s="43"/>
    </row>
    <row r="62069" spans="65:67" ht="18.75" customHeight="1">
      <c r="BM62069" s="1025"/>
      <c r="BO62069" s="43"/>
    </row>
    <row r="62070" spans="65:67" ht="18.75" customHeight="1">
      <c r="BM62070" s="1025"/>
      <c r="BO62070" s="43"/>
    </row>
    <row r="62071" spans="65:67" ht="18.75" customHeight="1">
      <c r="BM62071" s="1025"/>
      <c r="BO62071" s="43"/>
    </row>
    <row r="62072" spans="65:67" ht="18.75" customHeight="1">
      <c r="BM62072" s="1025"/>
      <c r="BO62072" s="43"/>
    </row>
    <row r="62073" spans="65:67" ht="18.75" customHeight="1">
      <c r="BM62073" s="1025"/>
      <c r="BO62073" s="43"/>
    </row>
    <row r="62074" spans="65:67" ht="18.75" customHeight="1">
      <c r="BM62074" s="1025"/>
      <c r="BO62074" s="43"/>
    </row>
    <row r="62075" spans="65:67" ht="18.75" customHeight="1">
      <c r="BM62075" s="1025"/>
      <c r="BO62075" s="43"/>
    </row>
    <row r="62076" spans="65:67" ht="18.75" customHeight="1">
      <c r="BM62076" s="1025"/>
      <c r="BO62076" s="43"/>
    </row>
    <row r="62077" spans="65:67" ht="18.75" customHeight="1">
      <c r="BM62077" s="1025"/>
      <c r="BO62077" s="43"/>
    </row>
    <row r="62078" spans="65:67" ht="18.75" customHeight="1">
      <c r="BM62078" s="1025"/>
      <c r="BO62078" s="43"/>
    </row>
    <row r="62079" spans="65:67" ht="18.75" customHeight="1">
      <c r="BM62079" s="1025"/>
      <c r="BO62079" s="43"/>
    </row>
    <row r="62080" spans="65:67" ht="18.75" customHeight="1">
      <c r="BM62080" s="1025"/>
      <c r="BO62080" s="43"/>
    </row>
    <row r="62081" spans="65:67" ht="18.75" customHeight="1">
      <c r="BM62081" s="1025"/>
      <c r="BO62081" s="43"/>
    </row>
    <row r="62082" spans="65:67" ht="18.75" customHeight="1">
      <c r="BM62082" s="1025"/>
      <c r="BO62082" s="43"/>
    </row>
    <row r="62083" spans="65:67" ht="18.75" customHeight="1">
      <c r="BM62083" s="1025"/>
      <c r="BO62083" s="43"/>
    </row>
    <row r="62084" spans="65:67" ht="18.75" customHeight="1">
      <c r="BM62084" s="1025"/>
      <c r="BO62084" s="43"/>
    </row>
    <row r="62085" spans="65:67" ht="18.75" customHeight="1">
      <c r="BM62085" s="1025"/>
      <c r="BO62085" s="43"/>
    </row>
    <row r="62086" spans="65:67" ht="18.75" customHeight="1">
      <c r="BM62086" s="1025"/>
      <c r="BO62086" s="43"/>
    </row>
    <row r="62087" spans="65:67" ht="18.75" customHeight="1">
      <c r="BM62087" s="1025"/>
      <c r="BO62087" s="43"/>
    </row>
    <row r="62088" spans="65:67" ht="18.75" customHeight="1">
      <c r="BM62088" s="1025"/>
      <c r="BO62088" s="43"/>
    </row>
    <row r="62089" spans="65:67" ht="18.75" customHeight="1">
      <c r="BM62089" s="1025"/>
      <c r="BO62089" s="43"/>
    </row>
    <row r="62090" spans="65:67" ht="18.75" customHeight="1">
      <c r="BM62090" s="1025"/>
      <c r="BO62090" s="43"/>
    </row>
    <row r="62091" spans="65:67" ht="18.75" customHeight="1">
      <c r="BM62091" s="1025"/>
      <c r="BO62091" s="43"/>
    </row>
    <row r="62092" spans="65:67" ht="18.75" customHeight="1">
      <c r="BM62092" s="1025"/>
      <c r="BO62092" s="43"/>
    </row>
    <row r="62093" spans="65:67" ht="18.75" customHeight="1">
      <c r="BM62093" s="1025"/>
      <c r="BO62093" s="43"/>
    </row>
    <row r="62094" spans="65:67" ht="18.75" customHeight="1">
      <c r="BM62094" s="1025"/>
      <c r="BO62094" s="43"/>
    </row>
    <row r="62095" spans="65:67" ht="18.75" customHeight="1">
      <c r="BM62095" s="1025"/>
      <c r="BO62095" s="43"/>
    </row>
    <row r="62096" spans="65:67" ht="18.75" customHeight="1">
      <c r="BM62096" s="1025"/>
      <c r="BO62096" s="43"/>
    </row>
    <row r="62097" spans="65:67" ht="18.75" customHeight="1">
      <c r="BM62097" s="1025"/>
      <c r="BO62097" s="43"/>
    </row>
    <row r="62098" spans="65:67" ht="18.75" customHeight="1">
      <c r="BM62098" s="1025"/>
      <c r="BO62098" s="43"/>
    </row>
    <row r="62099" spans="65:67" ht="18.75" customHeight="1">
      <c r="BM62099" s="1025"/>
      <c r="BO62099" s="43"/>
    </row>
    <row r="62100" spans="65:67" ht="18.75" customHeight="1">
      <c r="BM62100" s="1025"/>
      <c r="BO62100" s="43"/>
    </row>
    <row r="62101" spans="65:67" ht="18.75" customHeight="1">
      <c r="BM62101" s="1025"/>
      <c r="BO62101" s="43"/>
    </row>
    <row r="62102" spans="65:67" ht="18.75" customHeight="1">
      <c r="BM62102" s="1025"/>
      <c r="BO62102" s="43"/>
    </row>
    <row r="62103" spans="65:67" ht="18.75" customHeight="1">
      <c r="BM62103" s="1025"/>
      <c r="BO62103" s="43"/>
    </row>
    <row r="62104" spans="65:67" ht="18.75" customHeight="1">
      <c r="BM62104" s="1025"/>
      <c r="BO62104" s="43"/>
    </row>
    <row r="62105" spans="65:67" ht="18.75" customHeight="1">
      <c r="BM62105" s="1025"/>
      <c r="BO62105" s="43"/>
    </row>
    <row r="62106" spans="65:67" ht="18.75" customHeight="1">
      <c r="BM62106" s="1025"/>
      <c r="BO62106" s="43"/>
    </row>
    <row r="62107" spans="65:67" ht="18.75" customHeight="1">
      <c r="BM62107" s="1025"/>
      <c r="BO62107" s="43"/>
    </row>
    <row r="62108" spans="65:67" ht="18.75" customHeight="1">
      <c r="BM62108" s="1025"/>
      <c r="BO62108" s="43"/>
    </row>
    <row r="62109" spans="65:67" ht="18.75" customHeight="1">
      <c r="BM62109" s="1025"/>
      <c r="BO62109" s="43"/>
    </row>
    <row r="62110" spans="65:67" ht="18.75" customHeight="1">
      <c r="BM62110" s="1025"/>
      <c r="BO62110" s="43"/>
    </row>
    <row r="62111" spans="65:67" ht="18.75" customHeight="1">
      <c r="BM62111" s="1025"/>
      <c r="BO62111" s="43"/>
    </row>
    <row r="62112" spans="65:67" ht="18.75" customHeight="1">
      <c r="BM62112" s="1025"/>
      <c r="BO62112" s="43"/>
    </row>
    <row r="62113" spans="65:67" ht="18.75" customHeight="1">
      <c r="BM62113" s="1025"/>
      <c r="BO62113" s="43"/>
    </row>
    <row r="62114" spans="65:67" ht="18.75" customHeight="1">
      <c r="BM62114" s="1025"/>
      <c r="BO62114" s="43"/>
    </row>
    <row r="62115" spans="65:67" ht="18.75" customHeight="1">
      <c r="BM62115" s="1025"/>
      <c r="BO62115" s="43"/>
    </row>
    <row r="62116" spans="65:67" ht="18.75" customHeight="1">
      <c r="BM62116" s="1025"/>
      <c r="BO62116" s="43"/>
    </row>
    <row r="62117" spans="65:67" ht="18.75" customHeight="1">
      <c r="BM62117" s="1025"/>
      <c r="BO62117" s="43"/>
    </row>
    <row r="62118" spans="65:67" ht="18.75" customHeight="1">
      <c r="BM62118" s="1025"/>
      <c r="BO62118" s="43"/>
    </row>
    <row r="62119" spans="65:67" ht="18.75" customHeight="1">
      <c r="BM62119" s="1025"/>
      <c r="BO62119" s="43"/>
    </row>
    <row r="62120" spans="65:67" ht="18.75" customHeight="1">
      <c r="BM62120" s="1025"/>
      <c r="BO62120" s="43"/>
    </row>
    <row r="62121" spans="65:67" ht="18.75" customHeight="1">
      <c r="BM62121" s="1025"/>
      <c r="BO62121" s="43"/>
    </row>
    <row r="62122" spans="65:67" ht="18.75" customHeight="1">
      <c r="BM62122" s="1025"/>
      <c r="BO62122" s="43"/>
    </row>
    <row r="62123" spans="65:67" ht="18.75" customHeight="1">
      <c r="BM62123" s="1025"/>
      <c r="BO62123" s="43"/>
    </row>
    <row r="62124" spans="65:67" ht="18.75" customHeight="1">
      <c r="BM62124" s="1025"/>
      <c r="BO62124" s="43"/>
    </row>
    <row r="62125" spans="65:67" ht="18.75" customHeight="1">
      <c r="BM62125" s="1025"/>
      <c r="BO62125" s="43"/>
    </row>
    <row r="62126" spans="65:67" ht="18.75" customHeight="1">
      <c r="BM62126" s="1025"/>
      <c r="BO62126" s="43"/>
    </row>
    <row r="62127" spans="65:67" ht="18.75" customHeight="1">
      <c r="BM62127" s="1025"/>
      <c r="BO62127" s="43"/>
    </row>
    <row r="62128" spans="65:67" ht="18.75" customHeight="1">
      <c r="BM62128" s="1025"/>
      <c r="BO62128" s="43"/>
    </row>
    <row r="62129" spans="65:67" ht="18.75" customHeight="1">
      <c r="BM62129" s="1025"/>
      <c r="BO62129" s="43"/>
    </row>
    <row r="62130" spans="65:67" ht="18.75" customHeight="1">
      <c r="BM62130" s="1025"/>
      <c r="BO62130" s="43"/>
    </row>
    <row r="62131" spans="65:67" ht="18.75" customHeight="1">
      <c r="BM62131" s="1025"/>
      <c r="BO62131" s="43"/>
    </row>
    <row r="62132" spans="65:67" ht="18.75" customHeight="1">
      <c r="BM62132" s="1025"/>
      <c r="BO62132" s="43"/>
    </row>
    <row r="62133" spans="65:67" ht="18.75" customHeight="1">
      <c r="BM62133" s="1025"/>
      <c r="BO62133" s="43"/>
    </row>
    <row r="62134" spans="65:67" ht="18.75" customHeight="1">
      <c r="BM62134" s="1025"/>
      <c r="BO62134" s="43"/>
    </row>
    <row r="62135" spans="65:67" ht="18.75" customHeight="1">
      <c r="BM62135" s="1025"/>
      <c r="BO62135" s="43"/>
    </row>
    <row r="62136" spans="65:67" ht="18.75" customHeight="1">
      <c r="BM62136" s="1025"/>
      <c r="BO62136" s="43"/>
    </row>
    <row r="62137" spans="65:67" ht="18.75" customHeight="1">
      <c r="BM62137" s="1025"/>
      <c r="BO62137" s="43"/>
    </row>
    <row r="62138" spans="65:67" ht="18.75" customHeight="1">
      <c r="BM62138" s="1025"/>
      <c r="BO62138" s="43"/>
    </row>
    <row r="62139" spans="65:67" ht="18.75" customHeight="1">
      <c r="BM62139" s="1025"/>
      <c r="BO62139" s="43"/>
    </row>
    <row r="62140" spans="65:67" ht="18.75" customHeight="1">
      <c r="BM62140" s="1025"/>
      <c r="BO62140" s="43"/>
    </row>
    <row r="62141" spans="65:67" ht="18.75" customHeight="1">
      <c r="BM62141" s="1025"/>
      <c r="BO62141" s="43"/>
    </row>
    <row r="62142" spans="65:67" ht="18.75" customHeight="1">
      <c r="BM62142" s="1025"/>
      <c r="BO62142" s="43"/>
    </row>
    <row r="62143" spans="65:67" ht="18.75" customHeight="1">
      <c r="BM62143" s="1025"/>
      <c r="BO62143" s="43"/>
    </row>
    <row r="62144" spans="65:67" ht="18.75" customHeight="1">
      <c r="BM62144" s="1025"/>
      <c r="BO62144" s="43"/>
    </row>
    <row r="62145" spans="65:67" ht="18.75" customHeight="1">
      <c r="BM62145" s="1025"/>
      <c r="BO62145" s="43"/>
    </row>
    <row r="62146" spans="65:67" ht="18.75" customHeight="1">
      <c r="BM62146" s="1025"/>
      <c r="BO62146" s="43"/>
    </row>
    <row r="62147" spans="65:67" ht="18.75" customHeight="1">
      <c r="BM62147" s="1025"/>
      <c r="BO62147" s="43"/>
    </row>
    <row r="62148" spans="65:67" ht="18.75" customHeight="1">
      <c r="BM62148" s="1025"/>
      <c r="BO62148" s="43"/>
    </row>
    <row r="62149" spans="65:67" ht="18.75" customHeight="1">
      <c r="BM62149" s="1025"/>
      <c r="BO62149" s="43"/>
    </row>
    <row r="62150" spans="65:67" ht="18.75" customHeight="1">
      <c r="BM62150" s="1025"/>
      <c r="BO62150" s="43"/>
    </row>
    <row r="62151" spans="65:67" ht="18.75" customHeight="1">
      <c r="BM62151" s="1025"/>
      <c r="BO62151" s="43"/>
    </row>
    <row r="62152" spans="65:67" ht="18.75" customHeight="1">
      <c r="BM62152" s="1025"/>
      <c r="BO62152" s="43"/>
    </row>
    <row r="62153" spans="65:67" ht="18.75" customHeight="1">
      <c r="BM62153" s="1025"/>
      <c r="BO62153" s="43"/>
    </row>
    <row r="62154" spans="65:67" ht="18.75" customHeight="1">
      <c r="BM62154" s="1025"/>
      <c r="BO62154" s="43"/>
    </row>
    <row r="62155" spans="65:67" ht="18.75" customHeight="1">
      <c r="BM62155" s="1025"/>
      <c r="BO62155" s="43"/>
    </row>
    <row r="62156" spans="65:67" ht="18.75" customHeight="1">
      <c r="BM62156" s="1025"/>
      <c r="BO62156" s="43"/>
    </row>
    <row r="62157" spans="65:67" ht="18.75" customHeight="1">
      <c r="BM62157" s="1025"/>
      <c r="BO62157" s="43"/>
    </row>
    <row r="62158" spans="65:67" ht="18.75" customHeight="1">
      <c r="BM62158" s="1025"/>
      <c r="BO62158" s="43"/>
    </row>
    <row r="62159" spans="65:67" ht="18.75" customHeight="1">
      <c r="BM62159" s="1025"/>
      <c r="BO62159" s="43"/>
    </row>
    <row r="62160" spans="65:67" ht="18.75" customHeight="1">
      <c r="BM62160" s="1025"/>
      <c r="BO62160" s="43"/>
    </row>
    <row r="62161" spans="65:67" ht="18.75" customHeight="1">
      <c r="BM62161" s="1025"/>
      <c r="BO62161" s="43"/>
    </row>
    <row r="62162" spans="65:67" ht="18.75" customHeight="1">
      <c r="BM62162" s="1025"/>
      <c r="BO62162" s="43"/>
    </row>
    <row r="62163" spans="65:67" ht="18.75" customHeight="1">
      <c r="BM62163" s="1025"/>
      <c r="BO62163" s="43"/>
    </row>
    <row r="62164" spans="65:67" ht="18.75" customHeight="1">
      <c r="BM62164" s="1025"/>
      <c r="BO62164" s="43"/>
    </row>
    <row r="62165" spans="65:67" ht="18.75" customHeight="1">
      <c r="BM62165" s="1025"/>
      <c r="BO62165" s="43"/>
    </row>
    <row r="62166" spans="65:67" ht="18.75" customHeight="1">
      <c r="BM62166" s="1025"/>
      <c r="BO62166" s="43"/>
    </row>
    <row r="62167" spans="65:67" ht="18.75" customHeight="1">
      <c r="BM62167" s="1025"/>
      <c r="BO62167" s="43"/>
    </row>
    <row r="62168" spans="65:67" ht="18.75" customHeight="1">
      <c r="BM62168" s="1025"/>
      <c r="BO62168" s="43"/>
    </row>
    <row r="62169" spans="65:67" ht="18.75" customHeight="1">
      <c r="BM62169" s="1025"/>
      <c r="BO62169" s="43"/>
    </row>
    <row r="62170" spans="65:67" ht="18.75" customHeight="1">
      <c r="BM62170" s="1025"/>
      <c r="BO62170" s="43"/>
    </row>
    <row r="62171" spans="65:67" ht="18.75" customHeight="1">
      <c r="BM62171" s="1025"/>
      <c r="BO62171" s="43"/>
    </row>
    <row r="62172" spans="65:67" ht="18.75" customHeight="1">
      <c r="BM62172" s="1025"/>
      <c r="BO62172" s="43"/>
    </row>
    <row r="62173" spans="65:67" ht="18.75" customHeight="1">
      <c r="BM62173" s="1025"/>
      <c r="BO62173" s="43"/>
    </row>
    <row r="62174" spans="65:67" ht="18.75" customHeight="1">
      <c r="BM62174" s="1025"/>
      <c r="BO62174" s="43"/>
    </row>
    <row r="62175" spans="65:67" ht="18.75" customHeight="1">
      <c r="BM62175" s="1025"/>
      <c r="BO62175" s="43"/>
    </row>
    <row r="62176" spans="65:67" ht="18.75" customHeight="1">
      <c r="BM62176" s="1025"/>
      <c r="BO62176" s="43"/>
    </row>
    <row r="62177" spans="65:67" ht="18.75" customHeight="1">
      <c r="BM62177" s="1025"/>
      <c r="BO62177" s="43"/>
    </row>
    <row r="62178" spans="65:67" ht="18.75" customHeight="1">
      <c r="BM62178" s="1025"/>
      <c r="BO62178" s="43"/>
    </row>
    <row r="62179" spans="65:67" ht="18.75" customHeight="1">
      <c r="BM62179" s="1025"/>
      <c r="BO62179" s="43"/>
    </row>
    <row r="62180" spans="65:67" ht="18.75" customHeight="1">
      <c r="BM62180" s="1025"/>
      <c r="BO62180" s="43"/>
    </row>
    <row r="62181" spans="65:67" ht="18.75" customHeight="1">
      <c r="BM62181" s="1025"/>
      <c r="BO62181" s="43"/>
    </row>
    <row r="62182" spans="65:67" ht="18.75" customHeight="1">
      <c r="BM62182" s="1025"/>
      <c r="BO62182" s="43"/>
    </row>
    <row r="62183" spans="65:67" ht="18.75" customHeight="1">
      <c r="BM62183" s="1025"/>
      <c r="BO62183" s="43"/>
    </row>
    <row r="62184" spans="65:67" ht="18.75" customHeight="1">
      <c r="BM62184" s="1025"/>
      <c r="BO62184" s="43"/>
    </row>
    <row r="62185" spans="65:67" ht="18.75" customHeight="1">
      <c r="BM62185" s="1025"/>
      <c r="BO62185" s="43"/>
    </row>
    <row r="62186" spans="65:67" ht="18.75" customHeight="1">
      <c r="BM62186" s="1025"/>
      <c r="BO62186" s="43"/>
    </row>
    <row r="62187" spans="65:67" ht="18.75" customHeight="1">
      <c r="BM62187" s="1025"/>
      <c r="BO62187" s="43"/>
    </row>
    <row r="62188" spans="65:67" ht="18.75" customHeight="1">
      <c r="BM62188" s="1025"/>
      <c r="BO62188" s="43"/>
    </row>
    <row r="62189" spans="65:67" ht="18.75" customHeight="1">
      <c r="BM62189" s="1025"/>
      <c r="BO62189" s="43"/>
    </row>
    <row r="62190" spans="65:67" ht="18.75" customHeight="1">
      <c r="BM62190" s="1025"/>
      <c r="BO62190" s="43"/>
    </row>
    <row r="62191" spans="65:67" ht="18.75" customHeight="1">
      <c r="BM62191" s="1025"/>
      <c r="BO62191" s="43"/>
    </row>
    <row r="62192" spans="65:67" ht="18.75" customHeight="1">
      <c r="BM62192" s="1025"/>
      <c r="BO62192" s="43"/>
    </row>
    <row r="62193" spans="65:67" ht="18.75" customHeight="1">
      <c r="BM62193" s="1025"/>
      <c r="BO62193" s="43"/>
    </row>
    <row r="62194" spans="65:67" ht="18.75" customHeight="1">
      <c r="BM62194" s="1025"/>
      <c r="BO62194" s="43"/>
    </row>
    <row r="62195" spans="65:67" ht="18.75" customHeight="1">
      <c r="BM62195" s="1025"/>
      <c r="BO62195" s="43"/>
    </row>
    <row r="62196" spans="65:67" ht="18.75" customHeight="1">
      <c r="BM62196" s="1025"/>
      <c r="BO62196" s="43"/>
    </row>
    <row r="62197" spans="65:67" ht="18.75" customHeight="1">
      <c r="BM62197" s="1025"/>
      <c r="BO62197" s="43"/>
    </row>
    <row r="62198" spans="65:67" ht="18.75" customHeight="1">
      <c r="BM62198" s="1025"/>
      <c r="BO62198" s="43"/>
    </row>
    <row r="62199" spans="65:67" ht="18.75" customHeight="1">
      <c r="BM62199" s="1025"/>
      <c r="BO62199" s="43"/>
    </row>
    <row r="62200" spans="65:67" ht="18.75" customHeight="1">
      <c r="BM62200" s="1025"/>
      <c r="BO62200" s="43"/>
    </row>
    <row r="62201" spans="65:67" ht="18.75" customHeight="1">
      <c r="BM62201" s="1025"/>
      <c r="BO62201" s="43"/>
    </row>
    <row r="62202" spans="65:67" ht="18.75" customHeight="1">
      <c r="BM62202" s="1025"/>
      <c r="BO62202" s="43"/>
    </row>
    <row r="62203" spans="65:67" ht="18.75" customHeight="1">
      <c r="BM62203" s="1025"/>
      <c r="BO62203" s="43"/>
    </row>
    <row r="62204" spans="65:67" ht="18.75" customHeight="1">
      <c r="BM62204" s="1025"/>
      <c r="BO62204" s="43"/>
    </row>
    <row r="62205" spans="65:67" ht="18.75" customHeight="1">
      <c r="BM62205" s="1025"/>
      <c r="BO62205" s="43"/>
    </row>
    <row r="62206" spans="65:67" ht="18.75" customHeight="1">
      <c r="BM62206" s="1025"/>
      <c r="BO62206" s="43"/>
    </row>
    <row r="62207" spans="65:67" ht="18.75" customHeight="1">
      <c r="BM62207" s="1025"/>
      <c r="BO62207" s="43"/>
    </row>
    <row r="62208" spans="65:67" ht="18.75" customHeight="1">
      <c r="BM62208" s="1025"/>
      <c r="BO62208" s="43"/>
    </row>
    <row r="62209" spans="65:67" ht="18.75" customHeight="1">
      <c r="BM62209" s="1025"/>
      <c r="BO62209" s="43"/>
    </row>
    <row r="62210" spans="65:67" ht="18.75" customHeight="1">
      <c r="BM62210" s="1025"/>
      <c r="BO62210" s="43"/>
    </row>
    <row r="62211" spans="65:67" ht="18.75" customHeight="1">
      <c r="BM62211" s="1025"/>
      <c r="BO62211" s="43"/>
    </row>
    <row r="62212" spans="65:67" ht="18.75" customHeight="1">
      <c r="BM62212" s="1025"/>
      <c r="BO62212" s="43"/>
    </row>
    <row r="62213" spans="65:67" ht="18.75" customHeight="1">
      <c r="BM62213" s="1025"/>
      <c r="BO62213" s="43"/>
    </row>
    <row r="62214" spans="65:67" ht="18.75" customHeight="1">
      <c r="BM62214" s="1025"/>
      <c r="BO62214" s="43"/>
    </row>
    <row r="62215" spans="65:67" ht="18.75" customHeight="1">
      <c r="BM62215" s="1025"/>
      <c r="BO62215" s="43"/>
    </row>
    <row r="62216" spans="65:67" ht="18.75" customHeight="1">
      <c r="BM62216" s="1025"/>
      <c r="BO62216" s="43"/>
    </row>
    <row r="62217" spans="65:67" ht="18.75" customHeight="1">
      <c r="BM62217" s="1025"/>
      <c r="BO62217" s="43"/>
    </row>
    <row r="62218" spans="65:67" ht="18.75" customHeight="1">
      <c r="BM62218" s="1025"/>
      <c r="BO62218" s="43"/>
    </row>
    <row r="62219" spans="65:67" ht="18.75" customHeight="1">
      <c r="BM62219" s="1025"/>
      <c r="BO62219" s="43"/>
    </row>
    <row r="62220" spans="65:67" ht="18.75" customHeight="1">
      <c r="BM62220" s="1025"/>
      <c r="BO62220" s="43"/>
    </row>
    <row r="62221" spans="65:67" ht="18.75" customHeight="1">
      <c r="BM62221" s="1025"/>
      <c r="BO62221" s="43"/>
    </row>
    <row r="62222" spans="65:67" ht="18.75" customHeight="1">
      <c r="BM62222" s="1025"/>
      <c r="BO62222" s="43"/>
    </row>
    <row r="62223" spans="65:67" ht="18.75" customHeight="1">
      <c r="BM62223" s="1025"/>
      <c r="BO62223" s="43"/>
    </row>
    <row r="62224" spans="65:67" ht="18.75" customHeight="1">
      <c r="BM62224" s="1025"/>
      <c r="BO62224" s="43"/>
    </row>
    <row r="62225" spans="65:67" ht="18.75" customHeight="1">
      <c r="BM62225" s="1025"/>
      <c r="BO62225" s="43"/>
    </row>
    <row r="62226" spans="65:67" ht="18.75" customHeight="1">
      <c r="BM62226" s="1025"/>
      <c r="BO62226" s="43"/>
    </row>
    <row r="62227" spans="65:67" ht="18.75" customHeight="1">
      <c r="BM62227" s="1025"/>
      <c r="BO62227" s="43"/>
    </row>
    <row r="62228" spans="65:67" ht="18.75" customHeight="1">
      <c r="BM62228" s="1025"/>
      <c r="BO62228" s="43"/>
    </row>
    <row r="62229" spans="65:67" ht="18.75" customHeight="1">
      <c r="BM62229" s="1025"/>
      <c r="BO62229" s="43"/>
    </row>
    <row r="62230" spans="65:67" ht="18.75" customHeight="1">
      <c r="BM62230" s="1025"/>
      <c r="BO62230" s="43"/>
    </row>
    <row r="62231" spans="65:67" ht="18.75" customHeight="1">
      <c r="BM62231" s="1025"/>
      <c r="BO62231" s="43"/>
    </row>
    <row r="62232" spans="65:67" ht="18.75" customHeight="1">
      <c r="BM62232" s="1025"/>
      <c r="BO62232" s="43"/>
    </row>
    <row r="62233" spans="65:67" ht="18.75" customHeight="1">
      <c r="BM62233" s="1025"/>
      <c r="BO62233" s="43"/>
    </row>
    <row r="62234" spans="65:67" ht="18.75" customHeight="1">
      <c r="BM62234" s="1025"/>
      <c r="BO62234" s="43"/>
    </row>
    <row r="62235" spans="65:67" ht="18.75" customHeight="1">
      <c r="BM62235" s="1025"/>
      <c r="BO62235" s="43"/>
    </row>
    <row r="62236" spans="65:67" ht="18.75" customHeight="1">
      <c r="BM62236" s="1025"/>
      <c r="BO62236" s="43"/>
    </row>
    <row r="62237" spans="65:67" ht="18.75" customHeight="1">
      <c r="BM62237" s="1025"/>
      <c r="BO62237" s="43"/>
    </row>
    <row r="62238" spans="65:67" ht="18.75" customHeight="1">
      <c r="BM62238" s="1025"/>
      <c r="BO62238" s="43"/>
    </row>
    <row r="62239" spans="65:67" ht="18.75" customHeight="1">
      <c r="BM62239" s="1025"/>
      <c r="BO62239" s="43"/>
    </row>
    <row r="62240" spans="65:67" ht="18.75" customHeight="1">
      <c r="BM62240" s="1025"/>
      <c r="BO62240" s="43"/>
    </row>
    <row r="62241" spans="65:67" ht="18.75" customHeight="1">
      <c r="BM62241" s="1025"/>
      <c r="BO62241" s="43"/>
    </row>
    <row r="62242" spans="65:67" ht="18.75" customHeight="1">
      <c r="BM62242" s="1025"/>
      <c r="BO62242" s="43"/>
    </row>
    <row r="62243" spans="65:67" ht="18.75" customHeight="1">
      <c r="BM62243" s="1025"/>
      <c r="BO62243" s="43"/>
    </row>
    <row r="62244" spans="65:67" ht="18.75" customHeight="1">
      <c r="BM62244" s="1025"/>
      <c r="BO62244" s="43"/>
    </row>
    <row r="62245" spans="65:67" ht="18.75" customHeight="1">
      <c r="BM62245" s="1025"/>
      <c r="BO62245" s="43"/>
    </row>
    <row r="62246" spans="65:67" ht="18.75" customHeight="1">
      <c r="BM62246" s="1025"/>
      <c r="BO62246" s="43"/>
    </row>
    <row r="62247" spans="65:67" ht="18.75" customHeight="1">
      <c r="BM62247" s="1025"/>
      <c r="BO62247" s="43"/>
    </row>
    <row r="62248" spans="65:67" ht="18.75" customHeight="1">
      <c r="BM62248" s="1025"/>
      <c r="BO62248" s="43"/>
    </row>
    <row r="62249" spans="65:67" ht="18.75" customHeight="1">
      <c r="BM62249" s="1025"/>
      <c r="BO62249" s="43"/>
    </row>
    <row r="62250" spans="65:67" ht="18.75" customHeight="1">
      <c r="BM62250" s="1025"/>
      <c r="BO62250" s="43"/>
    </row>
    <row r="62251" spans="65:67" ht="18.75" customHeight="1">
      <c r="BM62251" s="1025"/>
      <c r="BO62251" s="43"/>
    </row>
    <row r="62252" spans="65:67" ht="18.75" customHeight="1">
      <c r="BM62252" s="1025"/>
      <c r="BO62252" s="43"/>
    </row>
    <row r="62253" spans="65:67" ht="18.75" customHeight="1">
      <c r="BM62253" s="1025"/>
      <c r="BO62253" s="43"/>
    </row>
    <row r="62254" spans="65:67" ht="18.75" customHeight="1">
      <c r="BM62254" s="1025"/>
      <c r="BO62254" s="43"/>
    </row>
    <row r="62255" spans="65:67" ht="18.75" customHeight="1">
      <c r="BM62255" s="1025"/>
      <c r="BO62255" s="43"/>
    </row>
    <row r="62256" spans="65:67" ht="18.75" customHeight="1">
      <c r="BM62256" s="1025"/>
      <c r="BO62256" s="43"/>
    </row>
    <row r="62257" spans="65:67" ht="18.75" customHeight="1">
      <c r="BM62257" s="1025"/>
      <c r="BO62257" s="43"/>
    </row>
    <row r="62258" spans="65:67" ht="18.75" customHeight="1">
      <c r="BM62258" s="1025"/>
      <c r="BO62258" s="43"/>
    </row>
    <row r="62259" spans="65:67" ht="18.75" customHeight="1">
      <c r="BM62259" s="1025"/>
      <c r="BO62259" s="43"/>
    </row>
    <row r="62260" spans="65:67" ht="18.75" customHeight="1">
      <c r="BM62260" s="1025"/>
      <c r="BO62260" s="43"/>
    </row>
    <row r="62261" spans="65:67" ht="18.75" customHeight="1">
      <c r="BM62261" s="1025"/>
      <c r="BO62261" s="43"/>
    </row>
    <row r="62262" spans="65:67" ht="18.75" customHeight="1">
      <c r="BM62262" s="1025"/>
      <c r="BO62262" s="43"/>
    </row>
    <row r="62263" spans="65:67" ht="18.75" customHeight="1">
      <c r="BM62263" s="1025"/>
      <c r="BO62263" s="43"/>
    </row>
    <row r="62264" spans="65:67" ht="18.75" customHeight="1">
      <c r="BM62264" s="1025"/>
      <c r="BO62264" s="43"/>
    </row>
    <row r="62265" spans="65:67" ht="18.75" customHeight="1">
      <c r="BM62265" s="1025"/>
      <c r="BO62265" s="43"/>
    </row>
    <row r="62266" spans="65:67" ht="18.75" customHeight="1">
      <c r="BM62266" s="1025"/>
      <c r="BO62266" s="43"/>
    </row>
    <row r="62267" spans="65:67" ht="18.75" customHeight="1">
      <c r="BM62267" s="1025"/>
      <c r="BO62267" s="43"/>
    </row>
    <row r="62268" spans="65:67" ht="18.75" customHeight="1">
      <c r="BM62268" s="1025"/>
      <c r="BO62268" s="43"/>
    </row>
    <row r="62269" spans="65:67" ht="18.75" customHeight="1">
      <c r="BM62269" s="1025"/>
      <c r="BO62269" s="43"/>
    </row>
    <row r="62270" spans="65:67" ht="18.75" customHeight="1">
      <c r="BM62270" s="1025"/>
      <c r="BO62270" s="43"/>
    </row>
    <row r="62271" spans="65:67" ht="18.75" customHeight="1">
      <c r="BM62271" s="1025"/>
      <c r="BO62271" s="43"/>
    </row>
    <row r="62272" spans="65:67" ht="18.75" customHeight="1">
      <c r="BM62272" s="1025"/>
      <c r="BO62272" s="43"/>
    </row>
    <row r="62273" spans="65:67" ht="18.75" customHeight="1">
      <c r="BM62273" s="1025"/>
      <c r="BO62273" s="43"/>
    </row>
    <row r="62274" spans="65:67" ht="18.75" customHeight="1">
      <c r="BM62274" s="1025"/>
      <c r="BO62274" s="43"/>
    </row>
    <row r="62275" spans="65:67" ht="18.75" customHeight="1">
      <c r="BM62275" s="1025"/>
      <c r="BO62275" s="43"/>
    </row>
    <row r="62276" spans="65:67" ht="18.75" customHeight="1">
      <c r="BM62276" s="1025"/>
      <c r="BO62276" s="43"/>
    </row>
    <row r="62277" spans="65:67" ht="18.75" customHeight="1">
      <c r="BM62277" s="1025"/>
      <c r="BO62277" s="43"/>
    </row>
    <row r="62278" spans="65:67" ht="18.75" customHeight="1">
      <c r="BM62278" s="1025"/>
      <c r="BO62278" s="43"/>
    </row>
    <row r="62279" spans="65:67" ht="18.75" customHeight="1">
      <c r="BM62279" s="1025"/>
      <c r="BO62279" s="43"/>
    </row>
    <row r="62280" spans="65:67" ht="18.75" customHeight="1">
      <c r="BM62280" s="1025"/>
      <c r="BO62280" s="43"/>
    </row>
    <row r="62281" spans="65:67" ht="18.75" customHeight="1">
      <c r="BM62281" s="1025"/>
      <c r="BO62281" s="43"/>
    </row>
    <row r="62282" spans="65:67" ht="18.75" customHeight="1">
      <c r="BM62282" s="1025"/>
      <c r="BO62282" s="43"/>
    </row>
    <row r="62283" spans="65:67" ht="18.75" customHeight="1">
      <c r="BM62283" s="1025"/>
      <c r="BO62283" s="43"/>
    </row>
    <row r="62284" spans="65:67" ht="18.75" customHeight="1">
      <c r="BM62284" s="1025"/>
      <c r="BO62284" s="43"/>
    </row>
    <row r="62285" spans="65:67" ht="18.75" customHeight="1">
      <c r="BM62285" s="1025"/>
      <c r="BO62285" s="43"/>
    </row>
    <row r="62286" spans="65:67" ht="18.75" customHeight="1">
      <c r="BM62286" s="1025"/>
      <c r="BO62286" s="43"/>
    </row>
    <row r="62287" spans="65:67" ht="18.75" customHeight="1">
      <c r="BM62287" s="1025"/>
      <c r="BO62287" s="43"/>
    </row>
    <row r="62288" spans="65:67" ht="18.75" customHeight="1">
      <c r="BM62288" s="1025"/>
      <c r="BO62288" s="43"/>
    </row>
    <row r="62289" spans="65:67" ht="18.75" customHeight="1">
      <c r="BM62289" s="1025"/>
      <c r="BO62289" s="43"/>
    </row>
    <row r="62290" spans="65:67" ht="18.75" customHeight="1">
      <c r="BM62290" s="1025"/>
      <c r="BO62290" s="43"/>
    </row>
    <row r="62291" spans="65:67" ht="18.75" customHeight="1">
      <c r="BM62291" s="1025"/>
      <c r="BO62291" s="43"/>
    </row>
    <row r="62292" spans="65:67" ht="18.75" customHeight="1">
      <c r="BM62292" s="1025"/>
      <c r="BO62292" s="43"/>
    </row>
    <row r="62293" spans="65:67" ht="18.75" customHeight="1">
      <c r="BM62293" s="1025"/>
      <c r="BO62293" s="43"/>
    </row>
    <row r="62294" spans="65:67" ht="18.75" customHeight="1">
      <c r="BM62294" s="1025"/>
      <c r="BO62294" s="43"/>
    </row>
    <row r="62295" spans="65:67" ht="18.75" customHeight="1">
      <c r="BM62295" s="1025"/>
      <c r="BO62295" s="43"/>
    </row>
    <row r="62296" spans="65:67" ht="18.75" customHeight="1">
      <c r="BM62296" s="1025"/>
      <c r="BO62296" s="43"/>
    </row>
    <row r="62297" spans="65:67" ht="18.75" customHeight="1">
      <c r="BM62297" s="1025"/>
      <c r="BO62297" s="43"/>
    </row>
    <row r="62298" spans="65:67" ht="18.75" customHeight="1">
      <c r="BM62298" s="1025"/>
      <c r="BO62298" s="43"/>
    </row>
    <row r="62299" spans="65:67" ht="18.75" customHeight="1">
      <c r="BM62299" s="1025"/>
      <c r="BO62299" s="43"/>
    </row>
    <row r="62300" spans="65:67" ht="18.75" customHeight="1">
      <c r="BM62300" s="1025"/>
      <c r="BO62300" s="43"/>
    </row>
    <row r="62301" spans="65:67" ht="18.75" customHeight="1">
      <c r="BM62301" s="1025"/>
      <c r="BO62301" s="43"/>
    </row>
    <row r="62302" spans="65:67" ht="18.75" customHeight="1">
      <c r="BM62302" s="1025"/>
      <c r="BO62302" s="43"/>
    </row>
    <row r="62303" spans="65:67" ht="18.75" customHeight="1">
      <c r="BM62303" s="1025"/>
      <c r="BO62303" s="43"/>
    </row>
    <row r="62304" spans="65:67" ht="18.75" customHeight="1">
      <c r="BM62304" s="1025"/>
      <c r="BO62304" s="43"/>
    </row>
    <row r="62305" spans="65:67" ht="18.75" customHeight="1">
      <c r="BM62305" s="1025"/>
      <c r="BO62305" s="43"/>
    </row>
    <row r="62306" spans="65:67" ht="18.75" customHeight="1">
      <c r="BM62306" s="1025"/>
      <c r="BO62306" s="43"/>
    </row>
    <row r="62307" spans="65:67" ht="18.75" customHeight="1">
      <c r="BM62307" s="1025"/>
      <c r="BO62307" s="43"/>
    </row>
    <row r="62308" spans="65:67" ht="18.75" customHeight="1">
      <c r="BM62308" s="1025"/>
      <c r="BO62308" s="43"/>
    </row>
    <row r="62309" spans="65:67" ht="18.75" customHeight="1">
      <c r="BM62309" s="1025"/>
      <c r="BO62309" s="43"/>
    </row>
    <row r="62310" spans="65:67" ht="18.75" customHeight="1">
      <c r="BM62310" s="1025"/>
      <c r="BO62310" s="43"/>
    </row>
    <row r="62311" spans="65:67" ht="18.75" customHeight="1">
      <c r="BM62311" s="1025"/>
      <c r="BO62311" s="43"/>
    </row>
    <row r="62312" spans="65:67" ht="18.75" customHeight="1">
      <c r="BM62312" s="1025"/>
      <c r="BO62312" s="43"/>
    </row>
    <row r="62313" spans="65:67" ht="18.75" customHeight="1">
      <c r="BM62313" s="1025"/>
      <c r="BO62313" s="43"/>
    </row>
    <row r="62314" spans="65:67" ht="18.75" customHeight="1">
      <c r="BM62314" s="1025"/>
      <c r="BO62314" s="43"/>
    </row>
    <row r="62315" spans="65:67" ht="18.75" customHeight="1">
      <c r="BM62315" s="1025"/>
      <c r="BO62315" s="43"/>
    </row>
    <row r="62316" spans="65:67" ht="18.75" customHeight="1">
      <c r="BM62316" s="1025"/>
      <c r="BO62316" s="43"/>
    </row>
    <row r="62317" spans="65:67" ht="18.75" customHeight="1">
      <c r="BM62317" s="1025"/>
      <c r="BO62317" s="43"/>
    </row>
    <row r="62318" spans="65:67" ht="18.75" customHeight="1">
      <c r="BM62318" s="1025"/>
      <c r="BO62318" s="43"/>
    </row>
    <row r="62319" spans="65:67" ht="18.75" customHeight="1">
      <c r="BM62319" s="1025"/>
      <c r="BO62319" s="43"/>
    </row>
    <row r="62320" spans="65:67" ht="18.75" customHeight="1">
      <c r="BM62320" s="1025"/>
      <c r="BO62320" s="43"/>
    </row>
    <row r="62321" spans="65:67" ht="18.75" customHeight="1">
      <c r="BM62321" s="1025"/>
      <c r="BO62321" s="43"/>
    </row>
    <row r="62322" spans="65:67" ht="18.75" customHeight="1">
      <c r="BM62322" s="1025"/>
      <c r="BO62322" s="43"/>
    </row>
    <row r="62323" spans="65:67" ht="18.75" customHeight="1">
      <c r="BM62323" s="1025"/>
      <c r="BO62323" s="43"/>
    </row>
    <row r="62324" spans="65:67" ht="18.75" customHeight="1">
      <c r="BM62324" s="1025"/>
      <c r="BO62324" s="43"/>
    </row>
    <row r="62325" spans="65:67" ht="18.75" customHeight="1">
      <c r="BM62325" s="1025"/>
      <c r="BO62325" s="43"/>
    </row>
    <row r="62326" spans="65:67" ht="18.75" customHeight="1">
      <c r="BM62326" s="1025"/>
      <c r="BO62326" s="43"/>
    </row>
    <row r="62327" spans="65:67" ht="18.75" customHeight="1">
      <c r="BM62327" s="1025"/>
      <c r="BO62327" s="43"/>
    </row>
    <row r="62328" spans="65:67" ht="18.75" customHeight="1">
      <c r="BM62328" s="1025"/>
      <c r="BO62328" s="43"/>
    </row>
    <row r="62329" spans="65:67" ht="18.75" customHeight="1">
      <c r="BM62329" s="1025"/>
      <c r="BO62329" s="43"/>
    </row>
    <row r="62330" spans="65:67" ht="18.75" customHeight="1">
      <c r="BM62330" s="1025"/>
      <c r="BO62330" s="43"/>
    </row>
    <row r="62331" spans="65:67" ht="18.75" customHeight="1">
      <c r="BM62331" s="1025"/>
      <c r="BO62331" s="43"/>
    </row>
    <row r="62332" spans="65:67" ht="18.75" customHeight="1">
      <c r="BM62332" s="1025"/>
      <c r="BO62332" s="43"/>
    </row>
    <row r="62333" spans="65:67" ht="18.75" customHeight="1">
      <c r="BM62333" s="1025"/>
      <c r="BO62333" s="43"/>
    </row>
    <row r="62334" spans="65:67" ht="18.75" customHeight="1">
      <c r="BM62334" s="1025"/>
      <c r="BO62334" s="43"/>
    </row>
    <row r="62335" spans="65:67" ht="18.75" customHeight="1">
      <c r="BM62335" s="1025"/>
      <c r="BO62335" s="43"/>
    </row>
    <row r="62336" spans="65:67" ht="18.75" customHeight="1">
      <c r="BM62336" s="1025"/>
      <c r="BO62336" s="43"/>
    </row>
    <row r="62337" spans="65:67" ht="18.75" customHeight="1">
      <c r="BM62337" s="1025"/>
      <c r="BO62337" s="43"/>
    </row>
    <row r="62338" spans="65:67" ht="18.75" customHeight="1">
      <c r="BM62338" s="1025"/>
      <c r="BO62338" s="43"/>
    </row>
    <row r="62339" spans="65:67" ht="18.75" customHeight="1">
      <c r="BM62339" s="1025"/>
      <c r="BO62339" s="43"/>
    </row>
    <row r="62340" spans="65:67" ht="18.75" customHeight="1">
      <c r="BM62340" s="1025"/>
      <c r="BO62340" s="43"/>
    </row>
    <row r="62341" spans="65:67" ht="18.75" customHeight="1">
      <c r="BM62341" s="1025"/>
      <c r="BO62341" s="43"/>
    </row>
    <row r="62342" spans="65:67" ht="18.75" customHeight="1">
      <c r="BM62342" s="1025"/>
      <c r="BO62342" s="43"/>
    </row>
    <row r="62343" spans="65:67" ht="18.75" customHeight="1">
      <c r="BM62343" s="1025"/>
      <c r="BO62343" s="43"/>
    </row>
    <row r="62344" spans="65:67" ht="18.75" customHeight="1">
      <c r="BM62344" s="1025"/>
      <c r="BO62344" s="43"/>
    </row>
    <row r="62345" spans="65:67" ht="18.75" customHeight="1">
      <c r="BM62345" s="1025"/>
      <c r="BO62345" s="43"/>
    </row>
    <row r="62346" spans="65:67" ht="18.75" customHeight="1">
      <c r="BM62346" s="1025"/>
      <c r="BO62346" s="43"/>
    </row>
    <row r="62347" spans="65:67" ht="18.75" customHeight="1">
      <c r="BM62347" s="1025"/>
      <c r="BO62347" s="43"/>
    </row>
    <row r="62348" spans="65:67" ht="18.75" customHeight="1">
      <c r="BM62348" s="1025"/>
      <c r="BO62348" s="43"/>
    </row>
    <row r="62349" spans="65:67" ht="18.75" customHeight="1">
      <c r="BM62349" s="1025"/>
      <c r="BO62349" s="43"/>
    </row>
    <row r="62350" spans="65:67" ht="18.75" customHeight="1">
      <c r="BM62350" s="1025"/>
      <c r="BO62350" s="43"/>
    </row>
    <row r="62351" spans="65:67" ht="18.75" customHeight="1">
      <c r="BM62351" s="1025"/>
      <c r="BO62351" s="43"/>
    </row>
    <row r="62352" spans="65:67" ht="18.75" customHeight="1">
      <c r="BM62352" s="1025"/>
      <c r="BO62352" s="43"/>
    </row>
    <row r="62353" spans="65:67" ht="18.75" customHeight="1">
      <c r="BM62353" s="1025"/>
      <c r="BO62353" s="43"/>
    </row>
    <row r="62354" spans="65:67" ht="18.75" customHeight="1">
      <c r="BM62354" s="1025"/>
      <c r="BO62354" s="43"/>
    </row>
    <row r="62355" spans="65:67" ht="18.75" customHeight="1">
      <c r="BM62355" s="1025"/>
      <c r="BO62355" s="43"/>
    </row>
    <row r="62356" spans="65:67" ht="18.75" customHeight="1">
      <c r="BM62356" s="1025"/>
      <c r="BO62356" s="43"/>
    </row>
    <row r="62357" spans="65:67" ht="18.75" customHeight="1">
      <c r="BM62357" s="1025"/>
      <c r="BO62357" s="43"/>
    </row>
    <row r="62358" spans="65:67" ht="18.75" customHeight="1">
      <c r="BM62358" s="1025"/>
      <c r="BO62358" s="43"/>
    </row>
    <row r="62359" spans="65:67" ht="18.75" customHeight="1">
      <c r="BM62359" s="1025"/>
      <c r="BO62359" s="43"/>
    </row>
    <row r="62360" spans="65:67" ht="18.75" customHeight="1">
      <c r="BM62360" s="1025"/>
      <c r="BO62360" s="43"/>
    </row>
    <row r="62361" spans="65:67" ht="18.75" customHeight="1">
      <c r="BM62361" s="1025"/>
      <c r="BO62361" s="43"/>
    </row>
    <row r="62362" spans="65:67" ht="18.75" customHeight="1">
      <c r="BM62362" s="1025"/>
      <c r="BO62362" s="43"/>
    </row>
    <row r="62363" spans="65:67" ht="18.75" customHeight="1">
      <c r="BM62363" s="1025"/>
      <c r="BO62363" s="43"/>
    </row>
    <row r="62364" spans="65:67" ht="18.75" customHeight="1">
      <c r="BM62364" s="1025"/>
      <c r="BO62364" s="43"/>
    </row>
    <row r="62365" spans="65:67" ht="18.75" customHeight="1">
      <c r="BM62365" s="1025"/>
      <c r="BO62365" s="43"/>
    </row>
    <row r="62366" spans="65:67" ht="18.75" customHeight="1">
      <c r="BM62366" s="1025"/>
      <c r="BO62366" s="43"/>
    </row>
    <row r="62367" spans="65:67" ht="18.75" customHeight="1">
      <c r="BM62367" s="1025"/>
      <c r="BO62367" s="43"/>
    </row>
    <row r="62368" spans="65:67" ht="18.75" customHeight="1">
      <c r="BM62368" s="1025"/>
      <c r="BO62368" s="43"/>
    </row>
    <row r="62369" spans="65:67" ht="18.75" customHeight="1">
      <c r="BM62369" s="1025"/>
      <c r="BO62369" s="43"/>
    </row>
    <row r="62370" spans="65:67" ht="18.75" customHeight="1">
      <c r="BM62370" s="1025"/>
      <c r="BO62370" s="43"/>
    </row>
    <row r="62371" spans="65:67" ht="18.75" customHeight="1">
      <c r="BM62371" s="1025"/>
      <c r="BO62371" s="43"/>
    </row>
    <row r="62372" spans="65:67" ht="18.75" customHeight="1">
      <c r="BM62372" s="1025"/>
      <c r="BO62372" s="43"/>
    </row>
    <row r="62373" spans="65:67" ht="18.75" customHeight="1">
      <c r="BM62373" s="1025"/>
      <c r="BO62373" s="43"/>
    </row>
    <row r="62374" spans="65:67" ht="18.75" customHeight="1">
      <c r="BM62374" s="1025"/>
      <c r="BO62374" s="43"/>
    </row>
    <row r="62375" spans="65:67" ht="18.75" customHeight="1">
      <c r="BM62375" s="1025"/>
      <c r="BO62375" s="43"/>
    </row>
    <row r="62376" spans="65:67" ht="18.75" customHeight="1">
      <c r="BM62376" s="1025"/>
      <c r="BO62376" s="43"/>
    </row>
    <row r="62377" spans="65:67" ht="18.75" customHeight="1">
      <c r="BM62377" s="1025"/>
      <c r="BO62377" s="43"/>
    </row>
    <row r="62378" spans="65:67" ht="18.75" customHeight="1">
      <c r="BM62378" s="1025"/>
      <c r="BO62378" s="43"/>
    </row>
    <row r="62379" spans="65:67" ht="18.75" customHeight="1">
      <c r="BM62379" s="1025"/>
      <c r="BO62379" s="43"/>
    </row>
    <row r="62380" spans="65:67" ht="18.75" customHeight="1">
      <c r="BM62380" s="1025"/>
      <c r="BO62380" s="43"/>
    </row>
    <row r="62381" spans="65:67" ht="18.75" customHeight="1">
      <c r="BM62381" s="1025"/>
      <c r="BO62381" s="43"/>
    </row>
    <row r="62382" spans="65:67" ht="18.75" customHeight="1">
      <c r="BM62382" s="1025"/>
      <c r="BO62382" s="43"/>
    </row>
    <row r="62383" spans="65:67" ht="18.75" customHeight="1">
      <c r="BM62383" s="1025"/>
      <c r="BO62383" s="43"/>
    </row>
    <row r="62384" spans="65:67" ht="18.75" customHeight="1">
      <c r="BM62384" s="1025"/>
      <c r="BO62384" s="43"/>
    </row>
    <row r="62385" spans="65:67" ht="18.75" customHeight="1">
      <c r="BM62385" s="1025"/>
      <c r="BO62385" s="43"/>
    </row>
    <row r="62386" spans="65:67" ht="18.75" customHeight="1">
      <c r="BM62386" s="1025"/>
      <c r="BO62386" s="43"/>
    </row>
    <row r="62387" spans="65:67" ht="18.75" customHeight="1">
      <c r="BM62387" s="1025"/>
      <c r="BO62387" s="43"/>
    </row>
    <row r="62388" spans="65:67" ht="18.75" customHeight="1">
      <c r="BM62388" s="1025"/>
      <c r="BO62388" s="43"/>
    </row>
    <row r="62389" spans="65:67" ht="18.75" customHeight="1">
      <c r="BM62389" s="1025"/>
      <c r="BO62389" s="43"/>
    </row>
    <row r="62390" spans="65:67" ht="18.75" customHeight="1">
      <c r="BM62390" s="1025"/>
      <c r="BO62390" s="43"/>
    </row>
    <row r="62391" spans="65:67" ht="18.75" customHeight="1">
      <c r="BM62391" s="1025"/>
      <c r="BO62391" s="43"/>
    </row>
    <row r="62392" spans="65:67" ht="18.75" customHeight="1">
      <c r="BM62392" s="1025"/>
      <c r="BO62392" s="43"/>
    </row>
    <row r="62393" spans="65:67" ht="18.75" customHeight="1">
      <c r="BM62393" s="1025"/>
      <c r="BO62393" s="43"/>
    </row>
    <row r="62394" spans="65:67" ht="18.75" customHeight="1">
      <c r="BM62394" s="1025"/>
      <c r="BO62394" s="43"/>
    </row>
    <row r="62395" spans="65:67" ht="18.75" customHeight="1">
      <c r="BM62395" s="1025"/>
      <c r="BO62395" s="43"/>
    </row>
    <row r="62396" spans="65:67" ht="18.75" customHeight="1">
      <c r="BM62396" s="1025"/>
      <c r="BO62396" s="43"/>
    </row>
    <row r="62397" spans="65:67" ht="18.75" customHeight="1">
      <c r="BM62397" s="1025"/>
      <c r="BO62397" s="43"/>
    </row>
    <row r="62398" spans="65:67" ht="18.75" customHeight="1">
      <c r="BM62398" s="1025"/>
      <c r="BO62398" s="43"/>
    </row>
    <row r="62399" spans="65:67" ht="18.75" customHeight="1">
      <c r="BM62399" s="1025"/>
      <c r="BO62399" s="43"/>
    </row>
    <row r="62400" spans="65:67" ht="18.75" customHeight="1">
      <c r="BM62400" s="1025"/>
      <c r="BO62400" s="43"/>
    </row>
    <row r="62401" spans="65:67" ht="18.75" customHeight="1">
      <c r="BM62401" s="1025"/>
      <c r="BO62401" s="43"/>
    </row>
    <row r="62402" spans="65:67" ht="18.75" customHeight="1">
      <c r="BM62402" s="1025"/>
      <c r="BO62402" s="43"/>
    </row>
    <row r="62403" spans="65:67" ht="18.75" customHeight="1">
      <c r="BM62403" s="1025"/>
      <c r="BO62403" s="43"/>
    </row>
    <row r="62404" spans="65:67" ht="18.75" customHeight="1">
      <c r="BM62404" s="1025"/>
      <c r="BO62404" s="43"/>
    </row>
    <row r="62405" spans="65:67" ht="18.75" customHeight="1">
      <c r="BM62405" s="1025"/>
      <c r="BO62405" s="43"/>
    </row>
    <row r="62406" spans="65:67" ht="18.75" customHeight="1">
      <c r="BM62406" s="1025"/>
      <c r="BO62406" s="43"/>
    </row>
    <row r="62407" spans="65:67" ht="18.75" customHeight="1">
      <c r="BM62407" s="1025"/>
      <c r="BO62407" s="43"/>
    </row>
    <row r="62408" spans="65:67" ht="18.75" customHeight="1">
      <c r="BM62408" s="1025"/>
      <c r="BO62408" s="43"/>
    </row>
    <row r="62409" spans="65:67" ht="18.75" customHeight="1">
      <c r="BM62409" s="1025"/>
      <c r="BO62409" s="43"/>
    </row>
    <row r="62410" spans="65:67" ht="18.75" customHeight="1">
      <c r="BM62410" s="1025"/>
      <c r="BO62410" s="43"/>
    </row>
    <row r="62411" spans="65:67" ht="18.75" customHeight="1">
      <c r="BM62411" s="1025"/>
      <c r="BO62411" s="43"/>
    </row>
    <row r="62412" spans="65:67" ht="18.75" customHeight="1">
      <c r="BM62412" s="1025"/>
      <c r="BO62412" s="43"/>
    </row>
    <row r="62413" spans="65:67" ht="18.75" customHeight="1">
      <c r="BM62413" s="1025"/>
      <c r="BO62413" s="43"/>
    </row>
    <row r="62414" spans="65:67" ht="18.75" customHeight="1">
      <c r="BM62414" s="1025"/>
      <c r="BO62414" s="43"/>
    </row>
    <row r="62415" spans="65:67" ht="18.75" customHeight="1">
      <c r="BM62415" s="1025"/>
      <c r="BO62415" s="43"/>
    </row>
    <row r="62416" spans="65:67" ht="18.75" customHeight="1">
      <c r="BM62416" s="1025"/>
      <c r="BO62416" s="43"/>
    </row>
    <row r="62417" spans="65:67" ht="18.75" customHeight="1">
      <c r="BM62417" s="1025"/>
      <c r="BO62417" s="43"/>
    </row>
    <row r="62418" spans="65:67" ht="18.75" customHeight="1">
      <c r="BM62418" s="1025"/>
      <c r="BO62418" s="43"/>
    </row>
    <row r="62419" spans="65:67" ht="18.75" customHeight="1">
      <c r="BM62419" s="1025"/>
      <c r="BO62419" s="43"/>
    </row>
    <row r="62420" spans="65:67" ht="18.75" customHeight="1">
      <c r="BM62420" s="1025"/>
      <c r="BO62420" s="43"/>
    </row>
    <row r="62421" spans="65:67" ht="18.75" customHeight="1">
      <c r="BM62421" s="1025"/>
      <c r="BO62421" s="43"/>
    </row>
    <row r="62422" spans="65:67" ht="18.75" customHeight="1">
      <c r="BM62422" s="1025"/>
      <c r="BO62422" s="43"/>
    </row>
    <row r="62423" spans="65:67" ht="18.75" customHeight="1">
      <c r="BM62423" s="1025"/>
      <c r="BO62423" s="43"/>
    </row>
    <row r="62424" spans="65:67" ht="18.75" customHeight="1">
      <c r="BM62424" s="1025"/>
      <c r="BO62424" s="43"/>
    </row>
    <row r="62425" spans="65:67" ht="18.75" customHeight="1">
      <c r="BM62425" s="1025"/>
      <c r="BO62425" s="43"/>
    </row>
    <row r="62426" spans="65:67" ht="18.75" customHeight="1">
      <c r="BM62426" s="1025"/>
      <c r="BO62426" s="43"/>
    </row>
    <row r="62427" spans="65:67" ht="18.75" customHeight="1">
      <c r="BM62427" s="1025"/>
      <c r="BO62427" s="43"/>
    </row>
    <row r="62428" spans="65:67" ht="18.75" customHeight="1">
      <c r="BM62428" s="1025"/>
      <c r="BO62428" s="43"/>
    </row>
    <row r="62429" spans="65:67" ht="18.75" customHeight="1">
      <c r="BM62429" s="1025"/>
      <c r="BO62429" s="43"/>
    </row>
    <row r="62430" spans="65:67" ht="18.75" customHeight="1">
      <c r="BM62430" s="1025"/>
      <c r="BO62430" s="43"/>
    </row>
    <row r="62431" spans="65:67" ht="18.75" customHeight="1">
      <c r="BM62431" s="1025"/>
      <c r="BO62431" s="43"/>
    </row>
    <row r="62432" spans="65:67" ht="18.75" customHeight="1">
      <c r="BM62432" s="1025"/>
      <c r="BO62432" s="43"/>
    </row>
    <row r="62433" spans="65:67" ht="18.75" customHeight="1">
      <c r="BM62433" s="1025"/>
      <c r="BO62433" s="43"/>
    </row>
    <row r="62434" spans="65:67" ht="18.75" customHeight="1">
      <c r="BM62434" s="1025"/>
      <c r="BO62434" s="43"/>
    </row>
    <row r="62435" spans="65:67" ht="18.75" customHeight="1">
      <c r="BM62435" s="1025"/>
      <c r="BO62435" s="43"/>
    </row>
    <row r="62436" spans="65:67" ht="18.75" customHeight="1">
      <c r="BM62436" s="1025"/>
      <c r="BO62436" s="43"/>
    </row>
    <row r="62437" spans="65:67" ht="18.75" customHeight="1">
      <c r="BM62437" s="1025"/>
      <c r="BO62437" s="43"/>
    </row>
    <row r="62438" spans="65:67" ht="18.75" customHeight="1">
      <c r="BM62438" s="1025"/>
      <c r="BO62438" s="43"/>
    </row>
    <row r="62439" spans="65:67" ht="18.75" customHeight="1">
      <c r="BM62439" s="1025"/>
      <c r="BO62439" s="43"/>
    </row>
    <row r="62440" spans="65:67" ht="18.75" customHeight="1">
      <c r="BM62440" s="1025"/>
      <c r="BO62440" s="43"/>
    </row>
    <row r="62441" spans="65:67" ht="18.75" customHeight="1">
      <c r="BM62441" s="1025"/>
      <c r="BO62441" s="43"/>
    </row>
    <row r="62442" spans="65:67" ht="18.75" customHeight="1">
      <c r="BM62442" s="1025"/>
      <c r="BO62442" s="43"/>
    </row>
    <row r="62443" spans="65:67" ht="18.75" customHeight="1">
      <c r="BM62443" s="1025"/>
      <c r="BO62443" s="43"/>
    </row>
    <row r="62444" spans="65:67" ht="18.75" customHeight="1">
      <c r="BM62444" s="1025"/>
      <c r="BO62444" s="43"/>
    </row>
    <row r="62445" spans="65:67" ht="18.75" customHeight="1">
      <c r="BM62445" s="1025"/>
      <c r="BO62445" s="43"/>
    </row>
    <row r="62446" spans="65:67" ht="18.75" customHeight="1">
      <c r="BM62446" s="1025"/>
      <c r="BO62446" s="43"/>
    </row>
    <row r="62447" spans="65:67" ht="18.75" customHeight="1">
      <c r="BM62447" s="1025"/>
      <c r="BO62447" s="43"/>
    </row>
    <row r="62448" spans="65:67" ht="18.75" customHeight="1">
      <c r="BM62448" s="1025"/>
      <c r="BO62448" s="43"/>
    </row>
    <row r="62449" spans="65:67" ht="18.75" customHeight="1">
      <c r="BM62449" s="1025"/>
      <c r="BO62449" s="43"/>
    </row>
    <row r="62450" spans="65:67" ht="18.75" customHeight="1">
      <c r="BM62450" s="1025"/>
      <c r="BO62450" s="43"/>
    </row>
    <row r="62451" spans="65:67" ht="18.75" customHeight="1">
      <c r="BM62451" s="1025"/>
      <c r="BO62451" s="43"/>
    </row>
    <row r="62452" spans="65:67" ht="18.75" customHeight="1">
      <c r="BM62452" s="1025"/>
      <c r="BO62452" s="43"/>
    </row>
    <row r="62453" spans="65:67" ht="18.75" customHeight="1">
      <c r="BM62453" s="1025"/>
      <c r="BO62453" s="43"/>
    </row>
    <row r="62454" spans="65:67" ht="18.75" customHeight="1">
      <c r="BM62454" s="1025"/>
      <c r="BO62454" s="43"/>
    </row>
    <row r="62455" spans="65:67" ht="18.75" customHeight="1">
      <c r="BM62455" s="1025"/>
      <c r="BO62455" s="43"/>
    </row>
    <row r="62456" spans="65:67" ht="18.75" customHeight="1">
      <c r="BM62456" s="1025"/>
      <c r="BO62456" s="43"/>
    </row>
    <row r="62457" spans="65:67" ht="18.75" customHeight="1">
      <c r="BM62457" s="1025"/>
      <c r="BO62457" s="43"/>
    </row>
    <row r="62458" spans="65:67" ht="18.75" customHeight="1">
      <c r="BM62458" s="1025"/>
      <c r="BO62458" s="43"/>
    </row>
    <row r="62459" spans="65:67" ht="18.75" customHeight="1">
      <c r="BM62459" s="1025"/>
      <c r="BO62459" s="43"/>
    </row>
    <row r="62460" spans="65:67" ht="18.75" customHeight="1">
      <c r="BM62460" s="1025"/>
      <c r="BO62460" s="43"/>
    </row>
    <row r="62461" spans="65:67" ht="18.75" customHeight="1">
      <c r="BM62461" s="1025"/>
      <c r="BO62461" s="43"/>
    </row>
    <row r="62462" spans="65:67" ht="18.75" customHeight="1">
      <c r="BM62462" s="1025"/>
      <c r="BO62462" s="43"/>
    </row>
    <row r="62463" spans="65:67" ht="18.75" customHeight="1">
      <c r="BM62463" s="1025"/>
      <c r="BO62463" s="43"/>
    </row>
    <row r="62464" spans="65:67" ht="18.75" customHeight="1">
      <c r="BM62464" s="1025"/>
      <c r="BO62464" s="43"/>
    </row>
    <row r="62465" spans="65:67" ht="18.75" customHeight="1">
      <c r="BM62465" s="1025"/>
      <c r="BO62465" s="43"/>
    </row>
    <row r="62466" spans="65:67" ht="18.75" customHeight="1">
      <c r="BM62466" s="1025"/>
      <c r="BO62466" s="43"/>
    </row>
    <row r="62467" spans="65:67" ht="18.75" customHeight="1">
      <c r="BM62467" s="1025"/>
      <c r="BO62467" s="43"/>
    </row>
    <row r="62468" spans="65:67" ht="18.75" customHeight="1">
      <c r="BM62468" s="1025"/>
      <c r="BO62468" s="43"/>
    </row>
    <row r="62469" spans="65:67" ht="18.75" customHeight="1">
      <c r="BM62469" s="1025"/>
      <c r="BO62469" s="43"/>
    </row>
    <row r="62470" spans="65:67" ht="18.75" customHeight="1">
      <c r="BM62470" s="1025"/>
      <c r="BO62470" s="43"/>
    </row>
    <row r="62471" spans="65:67" ht="18.75" customHeight="1">
      <c r="BM62471" s="1025"/>
      <c r="BO62471" s="43"/>
    </row>
    <row r="62472" spans="65:67" ht="18.75" customHeight="1">
      <c r="BM62472" s="1025"/>
      <c r="BO62472" s="43"/>
    </row>
    <row r="62473" spans="65:67" ht="18.75" customHeight="1">
      <c r="BM62473" s="1025"/>
      <c r="BO62473" s="43"/>
    </row>
    <row r="62474" spans="65:67" ht="18.75" customHeight="1">
      <c r="BM62474" s="1025"/>
      <c r="BO62474" s="43"/>
    </row>
    <row r="62475" spans="65:67" ht="18.75" customHeight="1">
      <c r="BM62475" s="1025"/>
      <c r="BO62475" s="43"/>
    </row>
    <row r="62476" spans="65:67" ht="18.75" customHeight="1">
      <c r="BM62476" s="1025"/>
      <c r="BO62476" s="43"/>
    </row>
    <row r="62477" spans="65:67" ht="18.75" customHeight="1">
      <c r="BM62477" s="1025"/>
      <c r="BO62477" s="43"/>
    </row>
    <row r="62478" spans="65:67" ht="18.75" customHeight="1">
      <c r="BM62478" s="1025"/>
      <c r="BO62478" s="43"/>
    </row>
    <row r="62479" spans="65:67" ht="18.75" customHeight="1">
      <c r="BM62479" s="1025"/>
      <c r="BO62479" s="43"/>
    </row>
    <row r="62480" spans="65:67" ht="18.75" customHeight="1">
      <c r="BM62480" s="1025"/>
      <c r="BO62480" s="43"/>
    </row>
    <row r="62481" spans="65:67" ht="18.75" customHeight="1">
      <c r="BM62481" s="1025"/>
      <c r="BO62481" s="43"/>
    </row>
    <row r="62482" spans="65:67" ht="18.75" customHeight="1">
      <c r="BM62482" s="1025"/>
      <c r="BO62482" s="43"/>
    </row>
    <row r="62483" spans="65:67" ht="18.75" customHeight="1">
      <c r="BM62483" s="1025"/>
      <c r="BO62483" s="43"/>
    </row>
    <row r="62484" spans="65:67" ht="18.75" customHeight="1">
      <c r="BM62484" s="1025"/>
      <c r="BO62484" s="43"/>
    </row>
    <row r="62485" spans="65:67" ht="18.75" customHeight="1">
      <c r="BM62485" s="1025"/>
      <c r="BO62485" s="43"/>
    </row>
    <row r="62486" spans="65:67" ht="18.75" customHeight="1">
      <c r="BM62486" s="1025"/>
      <c r="BO62486" s="43"/>
    </row>
    <row r="62487" spans="65:67" ht="18.75" customHeight="1">
      <c r="BM62487" s="1025"/>
      <c r="BO62487" s="43"/>
    </row>
    <row r="62488" spans="65:67" ht="18.75" customHeight="1">
      <c r="BM62488" s="1025"/>
      <c r="BO62488" s="43"/>
    </row>
    <row r="62489" spans="65:67" ht="18.75" customHeight="1">
      <c r="BM62489" s="1025"/>
      <c r="BO62489" s="43"/>
    </row>
    <row r="62490" spans="65:67" ht="18.75" customHeight="1">
      <c r="BM62490" s="1025"/>
      <c r="BO62490" s="43"/>
    </row>
    <row r="62491" spans="65:67" ht="18.75" customHeight="1">
      <c r="BM62491" s="1025"/>
      <c r="BO62491" s="43"/>
    </row>
    <row r="62492" spans="65:67" ht="18.75" customHeight="1">
      <c r="BM62492" s="1025"/>
      <c r="BO62492" s="43"/>
    </row>
    <row r="62493" spans="65:67" ht="18.75" customHeight="1">
      <c r="BM62493" s="1025"/>
      <c r="BO62493" s="43"/>
    </row>
    <row r="62494" spans="65:67" ht="18.75" customHeight="1">
      <c r="BM62494" s="1025"/>
      <c r="BO62494" s="43"/>
    </row>
    <row r="62495" spans="65:67" ht="18.75" customHeight="1">
      <c r="BM62495" s="1025"/>
      <c r="BO62495" s="43"/>
    </row>
    <row r="62496" spans="65:67" ht="18.75" customHeight="1">
      <c r="BM62496" s="1025"/>
      <c r="BO62496" s="43"/>
    </row>
    <row r="62497" spans="65:67" ht="18.75" customHeight="1">
      <c r="BM62497" s="1025"/>
      <c r="BO62497" s="43"/>
    </row>
    <row r="62498" spans="65:67" ht="18.75" customHeight="1">
      <c r="BM62498" s="1025"/>
      <c r="BO62498" s="43"/>
    </row>
    <row r="62499" spans="65:67" ht="18.75" customHeight="1">
      <c r="BM62499" s="1025"/>
      <c r="BO62499" s="43"/>
    </row>
    <row r="62500" spans="65:67" ht="18.75" customHeight="1">
      <c r="BM62500" s="1025"/>
      <c r="BO62500" s="43"/>
    </row>
    <row r="62501" spans="65:67" ht="18.75" customHeight="1">
      <c r="BM62501" s="1025"/>
      <c r="BO62501" s="43"/>
    </row>
    <row r="62502" spans="65:67" ht="18.75" customHeight="1">
      <c r="BM62502" s="1025"/>
      <c r="BO62502" s="43"/>
    </row>
    <row r="62503" spans="65:67" ht="18.75" customHeight="1">
      <c r="BM62503" s="1025"/>
      <c r="BO62503" s="43"/>
    </row>
    <row r="62504" spans="65:67" ht="18.75" customHeight="1">
      <c r="BM62504" s="1025"/>
      <c r="BO62504" s="43"/>
    </row>
    <row r="62505" spans="65:67" ht="18.75" customHeight="1">
      <c r="BM62505" s="1025"/>
      <c r="BO62505" s="43"/>
    </row>
    <row r="62506" spans="65:67" ht="18.75" customHeight="1">
      <c r="BM62506" s="1025"/>
      <c r="BO62506" s="43"/>
    </row>
    <row r="62507" spans="65:67" ht="18.75" customHeight="1">
      <c r="BM62507" s="1025"/>
      <c r="BO62507" s="43"/>
    </row>
    <row r="62508" spans="65:67" ht="18.75" customHeight="1">
      <c r="BM62508" s="1025"/>
      <c r="BO62508" s="43"/>
    </row>
    <row r="62509" spans="65:67" ht="18.75" customHeight="1">
      <c r="BM62509" s="1025"/>
      <c r="BO62509" s="43"/>
    </row>
    <row r="62510" spans="65:67" ht="18.75" customHeight="1">
      <c r="BM62510" s="1025"/>
      <c r="BO62510" s="43"/>
    </row>
    <row r="62511" spans="65:67" ht="18.75" customHeight="1">
      <c r="BM62511" s="1025"/>
      <c r="BO62511" s="43"/>
    </row>
    <row r="62512" spans="65:67" ht="18.75" customHeight="1">
      <c r="BM62512" s="1025"/>
      <c r="BO62512" s="43"/>
    </row>
    <row r="62513" spans="65:67" ht="18.75" customHeight="1">
      <c r="BM62513" s="1025"/>
      <c r="BO62513" s="43"/>
    </row>
    <row r="62514" spans="65:67" ht="18.75" customHeight="1">
      <c r="BM62514" s="1025"/>
      <c r="BO62514" s="43"/>
    </row>
    <row r="62515" spans="65:67" ht="18.75" customHeight="1">
      <c r="BM62515" s="1025"/>
      <c r="BO62515" s="43"/>
    </row>
    <row r="62516" spans="65:67" ht="18.75" customHeight="1">
      <c r="BM62516" s="1025"/>
      <c r="BO62516" s="43"/>
    </row>
    <row r="62517" spans="65:67" ht="18.75" customHeight="1">
      <c r="BM62517" s="1025"/>
      <c r="BO62517" s="43"/>
    </row>
    <row r="62518" spans="65:67" ht="18.75" customHeight="1">
      <c r="BM62518" s="1025"/>
      <c r="BO62518" s="43"/>
    </row>
    <row r="62519" spans="65:67" ht="18.75" customHeight="1">
      <c r="BM62519" s="1025"/>
      <c r="BO62519" s="43"/>
    </row>
    <row r="62520" spans="65:67" ht="18.75" customHeight="1">
      <c r="BM62520" s="1025"/>
      <c r="BO62520" s="43"/>
    </row>
    <row r="62521" spans="65:67" ht="18.75" customHeight="1">
      <c r="BM62521" s="1025"/>
      <c r="BO62521" s="43"/>
    </row>
    <row r="62522" spans="65:67" ht="18.75" customHeight="1">
      <c r="BM62522" s="1025"/>
      <c r="BO62522" s="43"/>
    </row>
    <row r="62523" spans="65:67" ht="18.75" customHeight="1">
      <c r="BM62523" s="1025"/>
      <c r="BO62523" s="43"/>
    </row>
    <row r="62524" spans="65:67" ht="18.75" customHeight="1">
      <c r="BM62524" s="1025"/>
      <c r="BO62524" s="43"/>
    </row>
    <row r="62525" spans="65:67" ht="18.75" customHeight="1">
      <c r="BM62525" s="1025"/>
      <c r="BO62525" s="43"/>
    </row>
    <row r="62526" spans="65:67" ht="18.75" customHeight="1">
      <c r="BM62526" s="1025"/>
      <c r="BO62526" s="43"/>
    </row>
    <row r="62527" spans="65:67" ht="18.75" customHeight="1">
      <c r="BM62527" s="1025"/>
      <c r="BO62527" s="43"/>
    </row>
    <row r="62528" spans="65:67" ht="18.75" customHeight="1">
      <c r="BM62528" s="1025"/>
      <c r="BO62528" s="43"/>
    </row>
    <row r="62529" spans="65:67" ht="18.75" customHeight="1">
      <c r="BM62529" s="1025"/>
      <c r="BO62529" s="43"/>
    </row>
    <row r="62530" spans="65:67" ht="18.75" customHeight="1">
      <c r="BM62530" s="1025"/>
      <c r="BO62530" s="43"/>
    </row>
    <row r="62531" spans="65:67" ht="18.75" customHeight="1">
      <c r="BM62531" s="1025"/>
      <c r="BO62531" s="43"/>
    </row>
    <row r="62532" spans="65:67" ht="18.75" customHeight="1">
      <c r="BM62532" s="1025"/>
      <c r="BO62532" s="43"/>
    </row>
    <row r="62533" spans="65:67" ht="18.75" customHeight="1">
      <c r="BM62533" s="1025"/>
      <c r="BO62533" s="43"/>
    </row>
    <row r="62534" spans="65:67" ht="18.75" customHeight="1">
      <c r="BM62534" s="1025"/>
      <c r="BO62534" s="43"/>
    </row>
    <row r="62535" spans="65:67" ht="18.75" customHeight="1">
      <c r="BM62535" s="1025"/>
      <c r="BO62535" s="43"/>
    </row>
    <row r="62536" spans="65:67" ht="18.75" customHeight="1">
      <c r="BM62536" s="1025"/>
      <c r="BO62536" s="43"/>
    </row>
    <row r="62537" spans="65:67" ht="18.75" customHeight="1">
      <c r="BM62537" s="1025"/>
      <c r="BO62537" s="43"/>
    </row>
    <row r="62538" spans="65:67" ht="18.75" customHeight="1">
      <c r="BM62538" s="1025"/>
      <c r="BO62538" s="43"/>
    </row>
    <row r="62539" spans="65:67" ht="18.75" customHeight="1">
      <c r="BM62539" s="1025"/>
      <c r="BO62539" s="43"/>
    </row>
    <row r="62540" spans="65:67" ht="18.75" customHeight="1">
      <c r="BM62540" s="1025"/>
      <c r="BO62540" s="43"/>
    </row>
    <row r="62541" spans="65:67" ht="18.75" customHeight="1">
      <c r="BM62541" s="1025"/>
      <c r="BO62541" s="43"/>
    </row>
    <row r="62542" spans="65:67" ht="18.75" customHeight="1">
      <c r="BM62542" s="1025"/>
      <c r="BO62542" s="43"/>
    </row>
    <row r="62543" spans="65:67" ht="18.75" customHeight="1">
      <c r="BM62543" s="1025"/>
      <c r="BO62543" s="43"/>
    </row>
    <row r="62544" spans="65:67" ht="18.75" customHeight="1">
      <c r="BM62544" s="1025"/>
      <c r="BO62544" s="43"/>
    </row>
    <row r="62545" spans="65:67" ht="18.75" customHeight="1">
      <c r="BM62545" s="1025"/>
      <c r="BO62545" s="43"/>
    </row>
    <row r="62546" spans="65:67" ht="18.75" customHeight="1">
      <c r="BM62546" s="1025"/>
      <c r="BO62546" s="43"/>
    </row>
    <row r="62547" spans="65:67" ht="18.75" customHeight="1">
      <c r="BM62547" s="1025"/>
      <c r="BO62547" s="43"/>
    </row>
    <row r="62548" spans="65:67" ht="18.75" customHeight="1">
      <c r="BM62548" s="1025"/>
      <c r="BO62548" s="43"/>
    </row>
    <row r="62549" spans="65:67" ht="18.75" customHeight="1">
      <c r="BM62549" s="1025"/>
      <c r="BO62549" s="43"/>
    </row>
    <row r="62550" spans="65:67" ht="18.75" customHeight="1">
      <c r="BM62550" s="1025"/>
      <c r="BO62550" s="43"/>
    </row>
    <row r="62551" spans="65:67" ht="18.75" customHeight="1">
      <c r="BM62551" s="1025"/>
      <c r="BO62551" s="43"/>
    </row>
    <row r="62552" spans="65:67" ht="18.75" customHeight="1">
      <c r="BM62552" s="1025"/>
      <c r="BO62552" s="43"/>
    </row>
    <row r="62553" spans="65:67" ht="18.75" customHeight="1">
      <c r="BM62553" s="1025"/>
      <c r="BO62553" s="43"/>
    </row>
    <row r="62554" spans="65:67" ht="18.75" customHeight="1">
      <c r="BM62554" s="1025"/>
      <c r="BO62554" s="43"/>
    </row>
    <row r="62555" spans="65:67" ht="18.75" customHeight="1">
      <c r="BM62555" s="1025"/>
      <c r="BO62555" s="43"/>
    </row>
    <row r="62556" spans="65:67" ht="18.75" customHeight="1">
      <c r="BM62556" s="1025"/>
      <c r="BO62556" s="43"/>
    </row>
    <row r="62557" spans="65:67" ht="18.75" customHeight="1">
      <c r="BM62557" s="1025"/>
      <c r="BO62557" s="43"/>
    </row>
    <row r="62558" spans="65:67" ht="18.75" customHeight="1">
      <c r="BM62558" s="1025"/>
      <c r="BO62558" s="43"/>
    </row>
    <row r="62559" spans="65:67" ht="18.75" customHeight="1">
      <c r="BM62559" s="1025"/>
      <c r="BO62559" s="43"/>
    </row>
    <row r="62560" spans="65:67" ht="18.75" customHeight="1">
      <c r="BM62560" s="1025"/>
      <c r="BO62560" s="43"/>
    </row>
    <row r="62561" spans="65:67" ht="18.75" customHeight="1">
      <c r="BM62561" s="1025"/>
      <c r="BO62561" s="43"/>
    </row>
    <row r="62562" spans="65:67" ht="18.75" customHeight="1">
      <c r="BM62562" s="1025"/>
      <c r="BO62562" s="43"/>
    </row>
    <row r="62563" spans="65:67" ht="18.75" customHeight="1">
      <c r="BM62563" s="1025"/>
      <c r="BO62563" s="43"/>
    </row>
    <row r="62564" spans="65:67" ht="18.75" customHeight="1">
      <c r="BM62564" s="1025"/>
      <c r="BO62564" s="43"/>
    </row>
    <row r="62565" spans="65:67" ht="18.75" customHeight="1">
      <c r="BM62565" s="1025"/>
      <c r="BO62565" s="43"/>
    </row>
    <row r="62566" spans="65:67" ht="18.75" customHeight="1">
      <c r="BM62566" s="1025"/>
      <c r="BO62566" s="43"/>
    </row>
    <row r="62567" spans="65:67" ht="18.75" customHeight="1">
      <c r="BM62567" s="1025"/>
      <c r="BO62567" s="43"/>
    </row>
    <row r="62568" spans="65:67" ht="18.75" customHeight="1">
      <c r="BM62568" s="1025"/>
      <c r="BO62568" s="43"/>
    </row>
    <row r="62569" spans="65:67" ht="18.75" customHeight="1">
      <c r="BM62569" s="1025"/>
      <c r="BO62569" s="43"/>
    </row>
    <row r="62570" spans="65:67" ht="18.75" customHeight="1">
      <c r="BM62570" s="1025"/>
      <c r="BO62570" s="43"/>
    </row>
    <row r="62571" spans="65:67" ht="18.75" customHeight="1">
      <c r="BM62571" s="1025"/>
      <c r="BO62571" s="43"/>
    </row>
    <row r="62572" spans="65:67" ht="18.75" customHeight="1">
      <c r="BM62572" s="1025"/>
      <c r="BO62572" s="43"/>
    </row>
    <row r="62573" spans="65:67" ht="18.75" customHeight="1">
      <c r="BM62573" s="1025"/>
      <c r="BO62573" s="43"/>
    </row>
    <row r="62574" spans="65:67" ht="18.75" customHeight="1">
      <c r="BM62574" s="1025"/>
      <c r="BO62574" s="43"/>
    </row>
    <row r="62575" spans="65:67" ht="18.75" customHeight="1">
      <c r="BM62575" s="1025"/>
      <c r="BO62575" s="43"/>
    </row>
    <row r="62576" spans="65:67" ht="18.75" customHeight="1">
      <c r="BM62576" s="1025"/>
      <c r="BO62576" s="43"/>
    </row>
    <row r="62577" spans="65:67" ht="18.75" customHeight="1">
      <c r="BM62577" s="1025"/>
      <c r="BO62577" s="43"/>
    </row>
    <row r="62578" spans="65:67" ht="18.75" customHeight="1">
      <c r="BM62578" s="1025"/>
      <c r="BO62578" s="43"/>
    </row>
    <row r="62579" spans="65:67" ht="18.75" customHeight="1">
      <c r="BM62579" s="1025"/>
      <c r="BO62579" s="43"/>
    </row>
    <row r="62580" spans="65:67" ht="18.75" customHeight="1">
      <c r="BM62580" s="1025"/>
      <c r="BO62580" s="43"/>
    </row>
    <row r="62581" spans="65:67" ht="18.75" customHeight="1">
      <c r="BM62581" s="1025"/>
      <c r="BO62581" s="43"/>
    </row>
    <row r="62582" spans="65:67" ht="18.75" customHeight="1">
      <c r="BM62582" s="1025"/>
      <c r="BO62582" s="43"/>
    </row>
    <row r="62583" spans="65:67" ht="18.75" customHeight="1">
      <c r="BM62583" s="1025"/>
      <c r="BO62583" s="43"/>
    </row>
    <row r="62584" spans="65:67" ht="18.75" customHeight="1">
      <c r="BM62584" s="1025"/>
      <c r="BO62584" s="43"/>
    </row>
    <row r="62585" spans="65:67" ht="18.75" customHeight="1">
      <c r="BM62585" s="1025"/>
      <c r="BO62585" s="43"/>
    </row>
    <row r="62586" spans="65:67" ht="18.75" customHeight="1">
      <c r="BM62586" s="1025"/>
      <c r="BO62586" s="43"/>
    </row>
    <row r="62587" spans="65:67" ht="18.75" customHeight="1">
      <c r="BM62587" s="1025"/>
      <c r="BO62587" s="43"/>
    </row>
    <row r="62588" spans="65:67" ht="18.75" customHeight="1">
      <c r="BM62588" s="1025"/>
      <c r="BO62588" s="43"/>
    </row>
    <row r="62589" spans="65:67" ht="18.75" customHeight="1">
      <c r="BM62589" s="1025"/>
      <c r="BO62589" s="43"/>
    </row>
    <row r="62590" spans="65:67" ht="18.75" customHeight="1">
      <c r="BM62590" s="1025"/>
      <c r="BO62590" s="43"/>
    </row>
    <row r="62591" spans="65:67" ht="18.75" customHeight="1">
      <c r="BM62591" s="1025"/>
      <c r="BO62591" s="43"/>
    </row>
    <row r="62592" spans="65:67" ht="18.75" customHeight="1">
      <c r="BM62592" s="1025"/>
      <c r="BO62592" s="43"/>
    </row>
    <row r="62593" spans="65:67" ht="18.75" customHeight="1">
      <c r="BM62593" s="1025"/>
      <c r="BO62593" s="43"/>
    </row>
    <row r="62594" spans="65:67" ht="18.75" customHeight="1">
      <c r="BM62594" s="1025"/>
      <c r="BO62594" s="43"/>
    </row>
    <row r="62595" spans="65:67" ht="18.75" customHeight="1">
      <c r="BM62595" s="1025"/>
      <c r="BO62595" s="43"/>
    </row>
    <row r="62596" spans="65:67" ht="18.75" customHeight="1">
      <c r="BM62596" s="1025"/>
      <c r="BO62596" s="43"/>
    </row>
    <row r="62597" spans="65:67" ht="18.75" customHeight="1">
      <c r="BM62597" s="1025"/>
      <c r="BO62597" s="43"/>
    </row>
    <row r="62598" spans="65:67" ht="18.75" customHeight="1">
      <c r="BM62598" s="1025"/>
      <c r="BO62598" s="43"/>
    </row>
    <row r="62599" spans="65:67" ht="18.75" customHeight="1">
      <c r="BM62599" s="1025"/>
      <c r="BO62599" s="43"/>
    </row>
    <row r="62600" spans="65:67" ht="18.75" customHeight="1">
      <c r="BM62600" s="1025"/>
      <c r="BO62600" s="43"/>
    </row>
    <row r="62601" spans="65:67" ht="18.75" customHeight="1">
      <c r="BM62601" s="1025"/>
      <c r="BO62601" s="43"/>
    </row>
    <row r="62602" spans="65:67" ht="18.75" customHeight="1">
      <c r="BM62602" s="1025"/>
      <c r="BO62602" s="43"/>
    </row>
    <row r="62603" spans="65:67" ht="18.75" customHeight="1">
      <c r="BM62603" s="1025"/>
      <c r="BO62603" s="43"/>
    </row>
    <row r="62604" spans="65:67" ht="18.75" customHeight="1">
      <c r="BM62604" s="1025"/>
      <c r="BO62604" s="43"/>
    </row>
    <row r="62605" spans="65:67" ht="18.75" customHeight="1">
      <c r="BM62605" s="1025"/>
      <c r="BO62605" s="43"/>
    </row>
    <row r="62606" spans="65:67" ht="18.75" customHeight="1">
      <c r="BM62606" s="1025"/>
      <c r="BO62606" s="43"/>
    </row>
    <row r="62607" spans="65:67" ht="18.75" customHeight="1">
      <c r="BM62607" s="1025"/>
      <c r="BO62607" s="43"/>
    </row>
    <row r="62608" spans="65:67" ht="18.75" customHeight="1">
      <c r="BM62608" s="1025"/>
      <c r="BO62608" s="43"/>
    </row>
    <row r="62609" spans="65:67" ht="18.75" customHeight="1">
      <c r="BM62609" s="1025"/>
      <c r="BO62609" s="43"/>
    </row>
    <row r="62610" spans="65:67" ht="18.75" customHeight="1">
      <c r="BM62610" s="1025"/>
      <c r="BO62610" s="43"/>
    </row>
    <row r="62611" spans="65:67" ht="18.75" customHeight="1">
      <c r="BM62611" s="1025"/>
      <c r="BO62611" s="43"/>
    </row>
    <row r="62612" spans="65:67" ht="18.75" customHeight="1">
      <c r="BM62612" s="1025"/>
      <c r="BO62612" s="43"/>
    </row>
    <row r="62613" spans="65:67" ht="18.75" customHeight="1">
      <c r="BM62613" s="1025"/>
      <c r="BO62613" s="43"/>
    </row>
    <row r="62614" spans="65:67" ht="18.75" customHeight="1">
      <c r="BM62614" s="1025"/>
      <c r="BO62614" s="43"/>
    </row>
    <row r="62615" spans="65:67" ht="18.75" customHeight="1">
      <c r="BM62615" s="1025"/>
      <c r="BO62615" s="43"/>
    </row>
    <row r="62616" spans="65:67" ht="18.75" customHeight="1">
      <c r="BM62616" s="1025"/>
      <c r="BO62616" s="43"/>
    </row>
    <row r="62617" spans="65:67" ht="18.75" customHeight="1">
      <c r="BM62617" s="1025"/>
      <c r="BO62617" s="43"/>
    </row>
    <row r="62618" spans="65:67" ht="18.75" customHeight="1">
      <c r="BM62618" s="1025"/>
      <c r="BO62618" s="43"/>
    </row>
    <row r="62619" spans="65:67" ht="18.75" customHeight="1">
      <c r="BM62619" s="1025"/>
      <c r="BO62619" s="43"/>
    </row>
    <row r="62620" spans="65:67" ht="18.75" customHeight="1">
      <c r="BM62620" s="1025"/>
      <c r="BO62620" s="43"/>
    </row>
    <row r="62621" spans="65:67" ht="18.75" customHeight="1">
      <c r="BM62621" s="1025"/>
      <c r="BO62621" s="43"/>
    </row>
    <row r="62622" spans="65:67" ht="18.75" customHeight="1">
      <c r="BM62622" s="1025"/>
      <c r="BO62622" s="43"/>
    </row>
    <row r="62623" spans="65:67" ht="18.75" customHeight="1">
      <c r="BM62623" s="1025"/>
      <c r="BO62623" s="43"/>
    </row>
    <row r="62624" spans="65:67" ht="18.75" customHeight="1">
      <c r="BM62624" s="1025"/>
      <c r="BO62624" s="43"/>
    </row>
    <row r="62625" spans="65:67" ht="18.75" customHeight="1">
      <c r="BM62625" s="1025"/>
      <c r="BO62625" s="43"/>
    </row>
    <row r="62626" spans="65:67" ht="18.75" customHeight="1">
      <c r="BM62626" s="1025"/>
      <c r="BO62626" s="43"/>
    </row>
    <row r="62627" spans="65:67" ht="18.75" customHeight="1">
      <c r="BM62627" s="1025"/>
      <c r="BO62627" s="43"/>
    </row>
    <row r="62628" spans="65:67" ht="18.75" customHeight="1">
      <c r="BM62628" s="1025"/>
      <c r="BO62628" s="43"/>
    </row>
    <row r="62629" spans="65:67" ht="18.75" customHeight="1">
      <c r="BM62629" s="1025"/>
      <c r="BO62629" s="43"/>
    </row>
    <row r="62630" spans="65:67" ht="18.75" customHeight="1">
      <c r="BM62630" s="1025"/>
      <c r="BO62630" s="43"/>
    </row>
    <row r="62631" spans="65:67" ht="18.75" customHeight="1">
      <c r="BM62631" s="1025"/>
      <c r="BO62631" s="43"/>
    </row>
    <row r="62632" spans="65:67" ht="18.75" customHeight="1">
      <c r="BM62632" s="1025"/>
      <c r="BO62632" s="43"/>
    </row>
    <row r="62633" spans="65:67" ht="18.75" customHeight="1">
      <c r="BM62633" s="1025"/>
      <c r="BO62633" s="43"/>
    </row>
    <row r="62634" spans="65:67" ht="18.75" customHeight="1">
      <c r="BM62634" s="1025"/>
      <c r="BO62634" s="43"/>
    </row>
    <row r="62635" spans="65:67" ht="18.75" customHeight="1">
      <c r="BM62635" s="1025"/>
      <c r="BO62635" s="43"/>
    </row>
    <row r="62636" spans="65:67" ht="18.75" customHeight="1">
      <c r="BM62636" s="1025"/>
      <c r="BO62636" s="43"/>
    </row>
    <row r="62637" spans="65:67" ht="18.75" customHeight="1">
      <c r="BM62637" s="1025"/>
      <c r="BO62637" s="43"/>
    </row>
    <row r="62638" spans="65:67" ht="18.75" customHeight="1">
      <c r="BM62638" s="1025"/>
      <c r="BO62638" s="43"/>
    </row>
    <row r="62639" spans="65:67" ht="18.75" customHeight="1">
      <c r="BM62639" s="1025"/>
      <c r="BO62639" s="43"/>
    </row>
    <row r="62640" spans="65:67" ht="18.75" customHeight="1">
      <c r="BM62640" s="1025"/>
      <c r="BO62640" s="43"/>
    </row>
    <row r="62641" spans="65:67" ht="18.75" customHeight="1">
      <c r="BM62641" s="1025"/>
      <c r="BO62641" s="43"/>
    </row>
    <row r="62642" spans="65:67" ht="18.75" customHeight="1">
      <c r="BM62642" s="1025"/>
      <c r="BO62642" s="43"/>
    </row>
    <row r="62643" spans="65:67" ht="18.75" customHeight="1">
      <c r="BM62643" s="1025"/>
      <c r="BO62643" s="43"/>
    </row>
    <row r="62644" spans="65:67" ht="18.75" customHeight="1">
      <c r="BM62644" s="1025"/>
      <c r="BO62644" s="43"/>
    </row>
    <row r="62645" spans="65:67" ht="18.75" customHeight="1">
      <c r="BM62645" s="1025"/>
      <c r="BO62645" s="43"/>
    </row>
    <row r="62646" spans="65:67" ht="18.75" customHeight="1">
      <c r="BM62646" s="1025"/>
      <c r="BO62646" s="43"/>
    </row>
    <row r="62647" spans="65:67" ht="18.75" customHeight="1">
      <c r="BM62647" s="1025"/>
      <c r="BO62647" s="43"/>
    </row>
    <row r="62648" spans="65:67" ht="18.75" customHeight="1">
      <c r="BM62648" s="1025"/>
      <c r="BO62648" s="43"/>
    </row>
    <row r="62649" spans="65:67" ht="18.75" customHeight="1">
      <c r="BM62649" s="1025"/>
      <c r="BO62649" s="43"/>
    </row>
    <row r="62650" spans="65:67" ht="18.75" customHeight="1">
      <c r="BM62650" s="1025"/>
      <c r="BO62650" s="43"/>
    </row>
    <row r="62651" spans="65:67" ht="18.75" customHeight="1">
      <c r="BM62651" s="1025"/>
      <c r="BO62651" s="43"/>
    </row>
    <row r="62652" spans="65:67" ht="18.75" customHeight="1">
      <c r="BM62652" s="1025"/>
      <c r="BO62652" s="43"/>
    </row>
    <row r="62653" spans="65:67" ht="18.75" customHeight="1">
      <c r="BM62653" s="1025"/>
      <c r="BO62653" s="43"/>
    </row>
    <row r="62654" spans="65:67" ht="18.75" customHeight="1">
      <c r="BM62654" s="1025"/>
      <c r="BO62654" s="43"/>
    </row>
    <row r="62655" spans="65:67" ht="18.75" customHeight="1">
      <c r="BM62655" s="1025"/>
      <c r="BO62655" s="43"/>
    </row>
    <row r="62656" spans="65:67" ht="18.75" customHeight="1">
      <c r="BM62656" s="1025"/>
      <c r="BO62656" s="43"/>
    </row>
    <row r="62657" spans="65:67" ht="18.75" customHeight="1">
      <c r="BM62657" s="1025"/>
      <c r="BO62657" s="43"/>
    </row>
    <row r="62658" spans="65:67" ht="18.75" customHeight="1">
      <c r="BM62658" s="1025"/>
      <c r="BO62658" s="43"/>
    </row>
    <row r="62659" spans="65:67" ht="18.75" customHeight="1">
      <c r="BM62659" s="1025"/>
      <c r="BO62659" s="43"/>
    </row>
    <row r="62660" spans="65:67" ht="18.75" customHeight="1">
      <c r="BM62660" s="1025"/>
      <c r="BO62660" s="43"/>
    </row>
    <row r="62661" spans="65:67" ht="18.75" customHeight="1">
      <c r="BM62661" s="1025"/>
      <c r="BO62661" s="43"/>
    </row>
    <row r="62662" spans="65:67" ht="18.75" customHeight="1">
      <c r="BM62662" s="1025"/>
      <c r="BO62662" s="43"/>
    </row>
    <row r="62663" spans="65:67" ht="18.75" customHeight="1">
      <c r="BM62663" s="1025"/>
      <c r="BO62663" s="43"/>
    </row>
    <row r="62664" spans="65:67" ht="18.75" customHeight="1">
      <c r="BM62664" s="1025"/>
      <c r="BO62664" s="43"/>
    </row>
    <row r="62665" spans="65:67" ht="18.75" customHeight="1">
      <c r="BM62665" s="1025"/>
      <c r="BO62665" s="43"/>
    </row>
    <row r="62666" spans="65:67" ht="18.75" customHeight="1">
      <c r="BM62666" s="1025"/>
      <c r="BO62666" s="43"/>
    </row>
    <row r="62667" spans="65:67" ht="18.75" customHeight="1">
      <c r="BM62667" s="1025"/>
      <c r="BO62667" s="43"/>
    </row>
    <row r="62668" spans="65:67" ht="18.75" customHeight="1">
      <c r="BM62668" s="1025"/>
      <c r="BO62668" s="43"/>
    </row>
    <row r="62669" spans="65:67" ht="18.75" customHeight="1">
      <c r="BM62669" s="1025"/>
      <c r="BO62669" s="43"/>
    </row>
    <row r="62670" spans="65:67" ht="18.75" customHeight="1">
      <c r="BM62670" s="1025"/>
      <c r="BO62670" s="43"/>
    </row>
    <row r="62671" spans="65:67" ht="18.75" customHeight="1">
      <c r="BM62671" s="1025"/>
      <c r="BO62671" s="43"/>
    </row>
    <row r="62672" spans="65:67" ht="18.75" customHeight="1">
      <c r="BM62672" s="1025"/>
      <c r="BO62672" s="43"/>
    </row>
    <row r="62673" spans="65:67" ht="18.75" customHeight="1">
      <c r="BM62673" s="1025"/>
      <c r="BO62673" s="43"/>
    </row>
    <row r="62674" spans="65:67" ht="18.75" customHeight="1">
      <c r="BM62674" s="1025"/>
      <c r="BO62674" s="43"/>
    </row>
    <row r="62675" spans="65:67" ht="18.75" customHeight="1">
      <c r="BM62675" s="1025"/>
      <c r="BO62675" s="43"/>
    </row>
    <row r="62676" spans="65:67" ht="18.75" customHeight="1">
      <c r="BM62676" s="1025"/>
      <c r="BO62676" s="43"/>
    </row>
    <row r="62677" spans="65:67" ht="18.75" customHeight="1">
      <c r="BM62677" s="1025"/>
      <c r="BO62677" s="43"/>
    </row>
    <row r="62678" spans="65:67" ht="18.75" customHeight="1">
      <c r="BM62678" s="1025"/>
      <c r="BO62678" s="43"/>
    </row>
    <row r="62679" spans="65:67" ht="18.75" customHeight="1">
      <c r="BM62679" s="1025"/>
      <c r="BO62679" s="43"/>
    </row>
    <row r="62680" spans="65:67" ht="18.75" customHeight="1">
      <c r="BM62680" s="1025"/>
      <c r="BO62680" s="43"/>
    </row>
    <row r="62681" spans="65:67" ht="18.75" customHeight="1">
      <c r="BM62681" s="1025"/>
      <c r="BO62681" s="43"/>
    </row>
    <row r="62682" spans="65:67" ht="18.75" customHeight="1">
      <c r="BM62682" s="1025"/>
      <c r="BO62682" s="43"/>
    </row>
    <row r="62683" spans="65:67" ht="18.75" customHeight="1">
      <c r="BM62683" s="1025"/>
      <c r="BO62683" s="43"/>
    </row>
    <row r="62684" spans="65:67" ht="18.75" customHeight="1">
      <c r="BM62684" s="1025"/>
      <c r="BO62684" s="43"/>
    </row>
    <row r="62685" spans="65:67" ht="18.75" customHeight="1">
      <c r="BM62685" s="1025"/>
      <c r="BO62685" s="43"/>
    </row>
    <row r="62686" spans="65:67" ht="18.75" customHeight="1">
      <c r="BM62686" s="1025"/>
      <c r="BO62686" s="43"/>
    </row>
    <row r="62687" spans="65:67" ht="18.75" customHeight="1">
      <c r="BM62687" s="1025"/>
      <c r="BO62687" s="43"/>
    </row>
    <row r="62688" spans="65:67" ht="18.75" customHeight="1">
      <c r="BM62688" s="1025"/>
      <c r="BO62688" s="43"/>
    </row>
    <row r="62689" spans="65:67" ht="18.75" customHeight="1">
      <c r="BM62689" s="1025"/>
      <c r="BO62689" s="43"/>
    </row>
    <row r="62690" spans="65:67" ht="18.75" customHeight="1">
      <c r="BM62690" s="1025"/>
      <c r="BO62690" s="43"/>
    </row>
    <row r="62691" spans="65:67" ht="18.75" customHeight="1">
      <c r="BM62691" s="1025"/>
      <c r="BO62691" s="43"/>
    </row>
    <row r="62692" spans="65:67" ht="18.75" customHeight="1">
      <c r="BM62692" s="1025"/>
      <c r="BO62692" s="43"/>
    </row>
    <row r="62693" spans="65:67" ht="18.75" customHeight="1">
      <c r="BM62693" s="1025"/>
      <c r="BO62693" s="43"/>
    </row>
    <row r="62694" spans="65:67" ht="18.75" customHeight="1">
      <c r="BM62694" s="1025"/>
      <c r="BO62694" s="43"/>
    </row>
    <row r="62695" spans="65:67" ht="18.75" customHeight="1">
      <c r="BM62695" s="1025"/>
      <c r="BO62695" s="43"/>
    </row>
    <row r="62696" spans="65:67" ht="18.75" customHeight="1">
      <c r="BM62696" s="1025"/>
      <c r="BO62696" s="43"/>
    </row>
    <row r="62697" spans="65:67" ht="18.75" customHeight="1">
      <c r="BM62697" s="1025"/>
      <c r="BO62697" s="43"/>
    </row>
    <row r="62698" spans="65:67" ht="18.75" customHeight="1">
      <c r="BM62698" s="1025"/>
      <c r="BO62698" s="43"/>
    </row>
    <row r="62699" spans="65:67" ht="18.75" customHeight="1">
      <c r="BM62699" s="1025"/>
      <c r="BO62699" s="43"/>
    </row>
    <row r="62700" spans="65:67" ht="18.75" customHeight="1">
      <c r="BM62700" s="1025"/>
      <c r="BO62700" s="43"/>
    </row>
    <row r="62701" spans="65:67" ht="18.75" customHeight="1">
      <c r="BM62701" s="1025"/>
      <c r="BO62701" s="43"/>
    </row>
    <row r="62702" spans="65:67" ht="18.75" customHeight="1">
      <c r="BM62702" s="1025"/>
      <c r="BO62702" s="43"/>
    </row>
    <row r="62703" spans="65:67" ht="18.75" customHeight="1">
      <c r="BM62703" s="1025"/>
      <c r="BO62703" s="43"/>
    </row>
    <row r="62704" spans="65:67" ht="18.75" customHeight="1">
      <c r="BM62704" s="1025"/>
      <c r="BO62704" s="43"/>
    </row>
    <row r="62705" spans="65:67" ht="18.75" customHeight="1">
      <c r="BM62705" s="1025"/>
      <c r="BO62705" s="43"/>
    </row>
    <row r="62706" spans="65:67" ht="18.75" customHeight="1">
      <c r="BM62706" s="1025"/>
      <c r="BO62706" s="43"/>
    </row>
    <row r="62707" spans="65:67" ht="18.75" customHeight="1">
      <c r="BM62707" s="1025"/>
      <c r="BO62707" s="43"/>
    </row>
    <row r="62708" spans="65:67" ht="18.75" customHeight="1">
      <c r="BM62708" s="1025"/>
      <c r="BO62708" s="43"/>
    </row>
    <row r="62709" spans="65:67" ht="18.75" customHeight="1">
      <c r="BM62709" s="1025"/>
      <c r="BO62709" s="43"/>
    </row>
    <row r="62710" spans="65:67" ht="18.75" customHeight="1">
      <c r="BM62710" s="1025"/>
      <c r="BO62710" s="43"/>
    </row>
    <row r="62711" spans="65:67" ht="18.75" customHeight="1">
      <c r="BM62711" s="1025"/>
      <c r="BO62711" s="43"/>
    </row>
    <row r="62712" spans="65:67" ht="18.75" customHeight="1">
      <c r="BM62712" s="1025"/>
      <c r="BO62712" s="43"/>
    </row>
    <row r="62713" spans="65:67" ht="18.75" customHeight="1">
      <c r="BM62713" s="1025"/>
      <c r="BO62713" s="43"/>
    </row>
    <row r="62714" spans="65:67" ht="18.75" customHeight="1">
      <c r="BM62714" s="1025"/>
      <c r="BO62714" s="43"/>
    </row>
    <row r="62715" spans="65:67" ht="18.75" customHeight="1">
      <c r="BM62715" s="1025"/>
      <c r="BO62715" s="43"/>
    </row>
    <row r="62716" spans="65:67" ht="18.75" customHeight="1">
      <c r="BM62716" s="1025"/>
      <c r="BO62716" s="43"/>
    </row>
    <row r="62717" spans="65:67" ht="18.75" customHeight="1">
      <c r="BM62717" s="1025"/>
      <c r="BO62717" s="43"/>
    </row>
    <row r="62718" spans="65:67" ht="18.75" customHeight="1">
      <c r="BM62718" s="1025"/>
      <c r="BO62718" s="43"/>
    </row>
    <row r="62719" spans="65:67" ht="18.75" customHeight="1">
      <c r="BM62719" s="1025"/>
      <c r="BO62719" s="43"/>
    </row>
    <row r="62720" spans="65:67" ht="18.75" customHeight="1">
      <c r="BM62720" s="1025"/>
      <c r="BO62720" s="43"/>
    </row>
    <row r="62721" spans="65:67" ht="18.75" customHeight="1">
      <c r="BM62721" s="1025"/>
      <c r="BO62721" s="43"/>
    </row>
    <row r="62722" spans="65:67" ht="18.75" customHeight="1">
      <c r="BM62722" s="1025"/>
      <c r="BO62722" s="43"/>
    </row>
    <row r="62723" spans="65:67" ht="18.75" customHeight="1">
      <c r="BM62723" s="1025"/>
      <c r="BO62723" s="43"/>
    </row>
    <row r="62724" spans="65:67" ht="18.75" customHeight="1">
      <c r="BM62724" s="1025"/>
      <c r="BO62724" s="43"/>
    </row>
    <row r="62725" spans="65:67" ht="18.75" customHeight="1">
      <c r="BM62725" s="1025"/>
      <c r="BO62725" s="43"/>
    </row>
    <row r="62726" spans="65:67" ht="18.75" customHeight="1">
      <c r="BM62726" s="1025"/>
      <c r="BO62726" s="43"/>
    </row>
    <row r="62727" spans="65:67" ht="18.75" customHeight="1">
      <c r="BM62727" s="1025"/>
      <c r="BO62727" s="43"/>
    </row>
    <row r="62728" spans="65:67" ht="18.75" customHeight="1">
      <c r="BM62728" s="1025"/>
      <c r="BO62728" s="43"/>
    </row>
    <row r="62729" spans="65:67" ht="18.75" customHeight="1">
      <c r="BM62729" s="1025"/>
      <c r="BO62729" s="43"/>
    </row>
    <row r="62730" spans="65:67" ht="18.75" customHeight="1">
      <c r="BM62730" s="1025"/>
      <c r="BO62730" s="43"/>
    </row>
    <row r="62731" spans="65:67" ht="18.75" customHeight="1">
      <c r="BM62731" s="1025"/>
      <c r="BO62731" s="43"/>
    </row>
    <row r="62732" spans="65:67" ht="18.75" customHeight="1">
      <c r="BM62732" s="1025"/>
      <c r="BO62732" s="43"/>
    </row>
    <row r="62733" spans="65:67" ht="18.75" customHeight="1">
      <c r="BM62733" s="1025"/>
      <c r="BO62733" s="43"/>
    </row>
    <row r="62734" spans="65:67" ht="18.75" customHeight="1">
      <c r="BM62734" s="1025"/>
      <c r="BO62734" s="43"/>
    </row>
    <row r="62735" spans="65:67" ht="18.75" customHeight="1">
      <c r="BM62735" s="1025"/>
      <c r="BO62735" s="43"/>
    </row>
    <row r="62736" spans="65:67" ht="18.75" customHeight="1">
      <c r="BM62736" s="1025"/>
      <c r="BO62736" s="43"/>
    </row>
    <row r="62737" spans="65:67" ht="18.75" customHeight="1">
      <c r="BM62737" s="1025"/>
      <c r="BO62737" s="43"/>
    </row>
    <row r="62738" spans="65:67" ht="18.75" customHeight="1">
      <c r="BM62738" s="1025"/>
      <c r="BO62738" s="43"/>
    </row>
    <row r="62739" spans="65:67" ht="18.75" customHeight="1">
      <c r="BM62739" s="1025"/>
      <c r="BO62739" s="43"/>
    </row>
    <row r="62740" spans="65:67" ht="18.75" customHeight="1">
      <c r="BM62740" s="1025"/>
      <c r="BO62740" s="43"/>
    </row>
    <row r="62741" spans="65:67" ht="18.75" customHeight="1">
      <c r="BM62741" s="1025"/>
      <c r="BO62741" s="43"/>
    </row>
    <row r="62742" spans="65:67" ht="18.75" customHeight="1">
      <c r="BM62742" s="1025"/>
      <c r="BO62742" s="43"/>
    </row>
    <row r="62743" spans="65:67" ht="18.75" customHeight="1">
      <c r="BM62743" s="1025"/>
      <c r="BO62743" s="43"/>
    </row>
    <row r="62744" spans="65:67" ht="18.75" customHeight="1">
      <c r="BM62744" s="1025"/>
      <c r="BO62744" s="43"/>
    </row>
    <row r="62745" spans="65:67" ht="18.75" customHeight="1">
      <c r="BM62745" s="1025"/>
      <c r="BO62745" s="43"/>
    </row>
    <row r="62746" spans="65:67" ht="18.75" customHeight="1">
      <c r="BM62746" s="1025"/>
      <c r="BO62746" s="43"/>
    </row>
    <row r="62747" spans="65:67" ht="18.75" customHeight="1">
      <c r="BM62747" s="1025"/>
      <c r="BO62747" s="43"/>
    </row>
    <row r="62748" spans="65:67" ht="18.75" customHeight="1">
      <c r="BM62748" s="1025"/>
      <c r="BO62748" s="43"/>
    </row>
    <row r="62749" spans="65:67" ht="18.75" customHeight="1">
      <c r="BM62749" s="1025"/>
      <c r="BO62749" s="43"/>
    </row>
    <row r="62750" spans="65:67" ht="18.75" customHeight="1">
      <c r="BM62750" s="1025"/>
      <c r="BO62750" s="43"/>
    </row>
    <row r="62751" spans="65:67" ht="18.75" customHeight="1">
      <c r="BM62751" s="1025"/>
      <c r="BO62751" s="43"/>
    </row>
    <row r="62752" spans="65:67" ht="18.75" customHeight="1">
      <c r="BM62752" s="1025"/>
      <c r="BO62752" s="43"/>
    </row>
    <row r="62753" spans="65:67" ht="18.75" customHeight="1">
      <c r="BM62753" s="1025"/>
      <c r="BO62753" s="43"/>
    </row>
    <row r="62754" spans="65:67" ht="18.75" customHeight="1">
      <c r="BM62754" s="1025"/>
      <c r="BO62754" s="43"/>
    </row>
    <row r="62755" spans="65:67" ht="18.75" customHeight="1">
      <c r="BM62755" s="1025"/>
      <c r="BO62755" s="43"/>
    </row>
    <row r="62756" spans="65:67" ht="18.75" customHeight="1">
      <c r="BM62756" s="1025"/>
      <c r="BO62756" s="43"/>
    </row>
    <row r="62757" spans="65:67" ht="18.75" customHeight="1">
      <c r="BM62757" s="1025"/>
      <c r="BO62757" s="43"/>
    </row>
    <row r="62758" spans="65:67" ht="18.75" customHeight="1">
      <c r="BM62758" s="1025"/>
      <c r="BO62758" s="43"/>
    </row>
    <row r="62759" spans="65:67" ht="18.75" customHeight="1">
      <c r="BM62759" s="1025"/>
      <c r="BO62759" s="43"/>
    </row>
    <row r="62760" spans="65:67" ht="18.75" customHeight="1">
      <c r="BM62760" s="1025"/>
      <c r="BO62760" s="43"/>
    </row>
    <row r="62761" spans="65:67" ht="18.75" customHeight="1">
      <c r="BM62761" s="1025"/>
      <c r="BO62761" s="43"/>
    </row>
    <row r="62762" spans="65:67" ht="18.75" customHeight="1">
      <c r="BM62762" s="1025"/>
      <c r="BO62762" s="43"/>
    </row>
    <row r="62763" spans="65:67" ht="18.75" customHeight="1">
      <c r="BM62763" s="1025"/>
      <c r="BO62763" s="43"/>
    </row>
    <row r="62764" spans="65:67" ht="18.75" customHeight="1">
      <c r="BM62764" s="1025"/>
      <c r="BO62764" s="43"/>
    </row>
    <row r="62765" spans="65:67" ht="18.75" customHeight="1">
      <c r="BM62765" s="1025"/>
      <c r="BO62765" s="43"/>
    </row>
    <row r="62766" spans="65:67" ht="18.75" customHeight="1">
      <c r="BM62766" s="1025"/>
      <c r="BO62766" s="43"/>
    </row>
    <row r="62767" spans="65:67" ht="18.75" customHeight="1">
      <c r="BM62767" s="1025"/>
      <c r="BO62767" s="43"/>
    </row>
    <row r="62768" spans="65:67" ht="18.75" customHeight="1">
      <c r="BM62768" s="1025"/>
      <c r="BO62768" s="43"/>
    </row>
    <row r="62769" spans="65:67" ht="18.75" customHeight="1">
      <c r="BM62769" s="1025"/>
      <c r="BO62769" s="43"/>
    </row>
    <row r="62770" spans="65:67" ht="18.75" customHeight="1">
      <c r="BM62770" s="1025"/>
      <c r="BO62770" s="43"/>
    </row>
    <row r="62771" spans="65:67" ht="18.75" customHeight="1">
      <c r="BM62771" s="1025"/>
      <c r="BO62771" s="43"/>
    </row>
    <row r="62772" spans="65:67" ht="18.75" customHeight="1">
      <c r="BM62772" s="1025"/>
      <c r="BO62772" s="43"/>
    </row>
    <row r="62773" spans="65:67" ht="18.75" customHeight="1">
      <c r="BM62773" s="1025"/>
      <c r="BO62773" s="43"/>
    </row>
    <row r="62774" spans="65:67" ht="18.75" customHeight="1">
      <c r="BM62774" s="1025"/>
      <c r="BO62774" s="43"/>
    </row>
    <row r="62775" spans="65:67" ht="18.75" customHeight="1">
      <c r="BM62775" s="1025"/>
      <c r="BO62775" s="43"/>
    </row>
    <row r="62776" spans="65:67" ht="18.75" customHeight="1">
      <c r="BM62776" s="1025"/>
      <c r="BO62776" s="43"/>
    </row>
    <row r="62777" spans="65:67" ht="18.75" customHeight="1">
      <c r="BM62777" s="1025"/>
      <c r="BO62777" s="43"/>
    </row>
    <row r="62778" spans="65:67" ht="18.75" customHeight="1">
      <c r="BM62778" s="1025"/>
      <c r="BO62778" s="43"/>
    </row>
    <row r="62779" spans="65:67" ht="18.75" customHeight="1">
      <c r="BM62779" s="1025"/>
      <c r="BO62779" s="43"/>
    </row>
    <row r="62780" spans="65:67" ht="18.75" customHeight="1">
      <c r="BM62780" s="1025"/>
      <c r="BO62780" s="43"/>
    </row>
    <row r="62781" spans="65:67" ht="18.75" customHeight="1">
      <c r="BM62781" s="1025"/>
      <c r="BO62781" s="43"/>
    </row>
    <row r="62782" spans="65:67" ht="18.75" customHeight="1">
      <c r="BM62782" s="1025"/>
      <c r="BO62782" s="43"/>
    </row>
    <row r="62783" spans="65:67" ht="18.75" customHeight="1">
      <c r="BM62783" s="1025"/>
      <c r="BO62783" s="43"/>
    </row>
    <row r="62784" spans="65:67" ht="18.75" customHeight="1">
      <c r="BM62784" s="1025"/>
      <c r="BO62784" s="43"/>
    </row>
    <row r="62785" spans="65:67" ht="18.75" customHeight="1">
      <c r="BM62785" s="1025"/>
      <c r="BO62785" s="43"/>
    </row>
    <row r="62786" spans="65:67" ht="18.75" customHeight="1">
      <c r="BM62786" s="1025"/>
      <c r="BO62786" s="43"/>
    </row>
    <row r="62787" spans="65:67" ht="18.75" customHeight="1">
      <c r="BM62787" s="1025"/>
      <c r="BO62787" s="43"/>
    </row>
    <row r="62788" spans="65:67" ht="18.75" customHeight="1">
      <c r="BM62788" s="1025"/>
      <c r="BO62788" s="43"/>
    </row>
    <row r="62789" spans="65:67" ht="18.75" customHeight="1">
      <c r="BM62789" s="1025"/>
      <c r="BO62789" s="43"/>
    </row>
    <row r="62790" spans="65:67" ht="18.75" customHeight="1">
      <c r="BM62790" s="1025"/>
      <c r="BO62790" s="43"/>
    </row>
    <row r="62791" spans="65:67" ht="18.75" customHeight="1">
      <c r="BM62791" s="1025"/>
      <c r="BO62791" s="43"/>
    </row>
    <row r="62792" spans="65:67" ht="18.75" customHeight="1">
      <c r="BM62792" s="1025"/>
      <c r="BO62792" s="43"/>
    </row>
    <row r="62793" spans="65:67" ht="18.75" customHeight="1">
      <c r="BM62793" s="1025"/>
      <c r="BO62793" s="43"/>
    </row>
    <row r="62794" spans="65:67" ht="18.75" customHeight="1">
      <c r="BM62794" s="1025"/>
      <c r="BO62794" s="43"/>
    </row>
    <row r="62795" spans="65:67" ht="18.75" customHeight="1">
      <c r="BM62795" s="1025"/>
      <c r="BO62795" s="43"/>
    </row>
    <row r="62796" spans="65:67" ht="18.75" customHeight="1">
      <c r="BM62796" s="1025"/>
      <c r="BO62796" s="43"/>
    </row>
    <row r="62797" spans="65:67" ht="18.75" customHeight="1">
      <c r="BM62797" s="1025"/>
      <c r="BO62797" s="43"/>
    </row>
    <row r="62798" spans="65:67" ht="18.75" customHeight="1">
      <c r="BM62798" s="1025"/>
      <c r="BO62798" s="43"/>
    </row>
    <row r="62799" spans="65:67" ht="18.75" customHeight="1">
      <c r="BM62799" s="1025"/>
      <c r="BO62799" s="43"/>
    </row>
    <row r="62800" spans="65:67" ht="18.75" customHeight="1">
      <c r="BM62800" s="1025"/>
      <c r="BO62800" s="43"/>
    </row>
    <row r="62801" spans="65:67" ht="18.75" customHeight="1">
      <c r="BM62801" s="1025"/>
      <c r="BO62801" s="43"/>
    </row>
    <row r="62802" spans="65:67" ht="18.75" customHeight="1">
      <c r="BM62802" s="1025"/>
      <c r="BO62802" s="43"/>
    </row>
    <row r="62803" spans="65:67" ht="18.75" customHeight="1">
      <c r="BM62803" s="1025"/>
      <c r="BO62803" s="43"/>
    </row>
    <row r="62804" spans="65:67" ht="18.75" customHeight="1">
      <c r="BM62804" s="1025"/>
      <c r="BO62804" s="43"/>
    </row>
    <row r="62805" spans="65:67" ht="18.75" customHeight="1">
      <c r="BM62805" s="1025"/>
      <c r="BO62805" s="43"/>
    </row>
    <row r="62806" spans="65:67" ht="18.75" customHeight="1">
      <c r="BM62806" s="1025"/>
      <c r="BO62806" s="43"/>
    </row>
    <row r="62807" spans="65:67" ht="18.75" customHeight="1">
      <c r="BM62807" s="1025"/>
      <c r="BO62807" s="43"/>
    </row>
    <row r="62808" spans="65:67" ht="18.75" customHeight="1">
      <c r="BM62808" s="1025"/>
      <c r="BO62808" s="43"/>
    </row>
    <row r="62809" spans="65:67" ht="18.75" customHeight="1">
      <c r="BM62809" s="1025"/>
      <c r="BO62809" s="43"/>
    </row>
    <row r="62810" spans="65:67" ht="18.75" customHeight="1">
      <c r="BM62810" s="1025"/>
      <c r="BO62810" s="43"/>
    </row>
    <row r="62811" spans="65:67" ht="18.75" customHeight="1">
      <c r="BM62811" s="1025"/>
      <c r="BO62811" s="43"/>
    </row>
    <row r="62812" spans="65:67" ht="18.75" customHeight="1">
      <c r="BM62812" s="1025"/>
      <c r="BO62812" s="43"/>
    </row>
    <row r="62813" spans="65:67" ht="18.75" customHeight="1">
      <c r="BM62813" s="1025"/>
      <c r="BO62813" s="43"/>
    </row>
    <row r="62814" spans="65:67" ht="18.75" customHeight="1">
      <c r="BM62814" s="1025"/>
      <c r="BO62814" s="43"/>
    </row>
    <row r="62815" spans="65:67" ht="18.75" customHeight="1">
      <c r="BM62815" s="1025"/>
      <c r="BO62815" s="43"/>
    </row>
    <row r="62816" spans="65:67" ht="18.75" customHeight="1">
      <c r="BM62816" s="1025"/>
      <c r="BO62816" s="43"/>
    </row>
    <row r="62817" spans="65:67" ht="18.75" customHeight="1">
      <c r="BM62817" s="1025"/>
      <c r="BO62817" s="43"/>
    </row>
    <row r="62818" spans="65:67" ht="18.75" customHeight="1">
      <c r="BM62818" s="1025"/>
      <c r="BO62818" s="43"/>
    </row>
    <row r="62819" spans="65:67" ht="18.75" customHeight="1">
      <c r="BM62819" s="1025"/>
      <c r="BO62819" s="43"/>
    </row>
    <row r="62820" spans="65:67" ht="18.75" customHeight="1">
      <c r="BM62820" s="1025"/>
      <c r="BO62820" s="43"/>
    </row>
    <row r="62821" spans="65:67" ht="18.75" customHeight="1">
      <c r="BM62821" s="1025"/>
      <c r="BO62821" s="43"/>
    </row>
    <row r="62822" spans="65:67" ht="18.75" customHeight="1">
      <c r="BM62822" s="1025"/>
      <c r="BO62822" s="43"/>
    </row>
    <row r="62823" spans="65:67" ht="18.75" customHeight="1">
      <c r="BM62823" s="1025"/>
      <c r="BO62823" s="43"/>
    </row>
    <row r="62824" spans="65:67" ht="18.75" customHeight="1">
      <c r="BM62824" s="1025"/>
      <c r="BO62824" s="43"/>
    </row>
    <row r="62825" spans="65:67" ht="18.75" customHeight="1">
      <c r="BM62825" s="1025"/>
      <c r="BO62825" s="43"/>
    </row>
    <row r="62826" spans="65:67" ht="18.75" customHeight="1">
      <c r="BM62826" s="1025"/>
      <c r="BO62826" s="43"/>
    </row>
    <row r="62827" spans="65:67" ht="18.75" customHeight="1">
      <c r="BM62827" s="1025"/>
      <c r="BO62827" s="43"/>
    </row>
    <row r="62828" spans="65:67" ht="18.75" customHeight="1">
      <c r="BM62828" s="1025"/>
      <c r="BO62828" s="43"/>
    </row>
    <row r="62829" spans="65:67" ht="18.75" customHeight="1">
      <c r="BM62829" s="1025"/>
      <c r="BO62829" s="43"/>
    </row>
    <row r="62830" spans="65:67" ht="18.75" customHeight="1">
      <c r="BM62830" s="1025"/>
      <c r="BO62830" s="43"/>
    </row>
    <row r="62831" spans="65:67" ht="18.75" customHeight="1">
      <c r="BM62831" s="1025"/>
      <c r="BO62831" s="43"/>
    </row>
    <row r="62832" spans="65:67" ht="18.75" customHeight="1">
      <c r="BM62832" s="1025"/>
      <c r="BO62832" s="43"/>
    </row>
    <row r="62833" spans="65:67" ht="18.75" customHeight="1">
      <c r="BM62833" s="1025"/>
      <c r="BO62833" s="43"/>
    </row>
    <row r="62834" spans="65:67" ht="18.75" customHeight="1">
      <c r="BM62834" s="1025"/>
      <c r="BO62834" s="43"/>
    </row>
    <row r="62835" spans="65:67" ht="18.75" customHeight="1">
      <c r="BM62835" s="1025"/>
      <c r="BO62835" s="43"/>
    </row>
    <row r="62836" spans="65:67" ht="18.75" customHeight="1">
      <c r="BM62836" s="1025"/>
      <c r="BO62836" s="43"/>
    </row>
    <row r="62837" spans="65:67" ht="18.75" customHeight="1">
      <c r="BM62837" s="1025"/>
      <c r="BO62837" s="43"/>
    </row>
    <row r="62838" spans="65:67" ht="18.75" customHeight="1">
      <c r="BM62838" s="1025"/>
      <c r="BO62838" s="43"/>
    </row>
    <row r="62839" spans="65:67" ht="18.75" customHeight="1">
      <c r="BM62839" s="1025"/>
      <c r="BO62839" s="43"/>
    </row>
    <row r="62840" spans="65:67" ht="18.75" customHeight="1">
      <c r="BM62840" s="1025"/>
      <c r="BO62840" s="43"/>
    </row>
    <row r="62841" spans="65:67" ht="18.75" customHeight="1">
      <c r="BM62841" s="1025"/>
      <c r="BO62841" s="43"/>
    </row>
    <row r="62842" spans="65:67" ht="18.75" customHeight="1">
      <c r="BM62842" s="1025"/>
      <c r="BO62842" s="43"/>
    </row>
    <row r="62843" spans="65:67" ht="18.75" customHeight="1">
      <c r="BM62843" s="1025"/>
      <c r="BO62843" s="43"/>
    </row>
    <row r="62844" spans="65:67" ht="18.75" customHeight="1">
      <c r="BM62844" s="1025"/>
      <c r="BO62844" s="43"/>
    </row>
    <row r="62845" spans="65:67" ht="18.75" customHeight="1">
      <c r="BM62845" s="1025"/>
      <c r="BO62845" s="43"/>
    </row>
    <row r="62846" spans="65:67" ht="18.75" customHeight="1">
      <c r="BM62846" s="1025"/>
      <c r="BO62846" s="43"/>
    </row>
    <row r="62847" spans="65:67" ht="18.75" customHeight="1">
      <c r="BM62847" s="1025"/>
      <c r="BO62847" s="43"/>
    </row>
    <row r="62848" spans="65:67" ht="18.75" customHeight="1">
      <c r="BM62848" s="1025"/>
      <c r="BO62848" s="43"/>
    </row>
    <row r="62849" spans="65:67" ht="18.75" customHeight="1">
      <c r="BM62849" s="1025"/>
      <c r="BO62849" s="43"/>
    </row>
    <row r="62850" spans="65:67" ht="18.75" customHeight="1">
      <c r="BM62850" s="1025"/>
      <c r="BO62850" s="43"/>
    </row>
    <row r="62851" spans="65:67" ht="18.75" customHeight="1">
      <c r="BM62851" s="1025"/>
      <c r="BO62851" s="43"/>
    </row>
    <row r="62852" spans="65:67" ht="18.75" customHeight="1">
      <c r="BM62852" s="1025"/>
      <c r="BO62852" s="43"/>
    </row>
    <row r="62853" spans="65:67" ht="18.75" customHeight="1">
      <c r="BM62853" s="1025"/>
      <c r="BO62853" s="43"/>
    </row>
    <row r="62854" spans="65:67" ht="18.75" customHeight="1">
      <c r="BM62854" s="1025"/>
      <c r="BO62854" s="43"/>
    </row>
    <row r="62855" spans="65:67" ht="18.75" customHeight="1">
      <c r="BM62855" s="1025"/>
      <c r="BO62855" s="43"/>
    </row>
    <row r="62856" spans="65:67" ht="18.75" customHeight="1">
      <c r="BM62856" s="1025"/>
      <c r="BO62856" s="43"/>
    </row>
    <row r="62857" spans="65:67" ht="18.75" customHeight="1">
      <c r="BM62857" s="1025"/>
      <c r="BO62857" s="43"/>
    </row>
    <row r="62858" spans="65:67" ht="18.75" customHeight="1">
      <c r="BM62858" s="1025"/>
      <c r="BO62858" s="43"/>
    </row>
    <row r="62859" spans="65:67" ht="18.75" customHeight="1">
      <c r="BM62859" s="1025"/>
      <c r="BO62859" s="43"/>
    </row>
    <row r="62860" spans="65:67" ht="18.75" customHeight="1">
      <c r="BM62860" s="1025"/>
      <c r="BO62860" s="43"/>
    </row>
    <row r="62861" spans="65:67" ht="18.75" customHeight="1">
      <c r="BM62861" s="1025"/>
      <c r="BO62861" s="43"/>
    </row>
    <row r="62862" spans="65:67" ht="18.75" customHeight="1">
      <c r="BM62862" s="1025"/>
      <c r="BO62862" s="43"/>
    </row>
    <row r="62863" spans="65:67" ht="18.75" customHeight="1">
      <c r="BM62863" s="1025"/>
      <c r="BO62863" s="43"/>
    </row>
    <row r="62864" spans="65:67" ht="18.75" customHeight="1">
      <c r="BM62864" s="1025"/>
      <c r="BO62864" s="43"/>
    </row>
    <row r="62865" spans="65:67" ht="18.75" customHeight="1">
      <c r="BM62865" s="1025"/>
      <c r="BO62865" s="43"/>
    </row>
    <row r="62866" spans="65:67" ht="18.75" customHeight="1">
      <c r="BM62866" s="1025"/>
      <c r="BO62866" s="43"/>
    </row>
    <row r="62867" spans="65:67" ht="18.75" customHeight="1">
      <c r="BM62867" s="1025"/>
      <c r="BO62867" s="43"/>
    </row>
    <row r="62868" spans="65:67" ht="18.75" customHeight="1">
      <c r="BM62868" s="1025"/>
      <c r="BO62868" s="43"/>
    </row>
    <row r="62869" spans="65:67" ht="18.75" customHeight="1">
      <c r="BM62869" s="1025"/>
      <c r="BO62869" s="43"/>
    </row>
    <row r="62870" spans="65:67" ht="18.75" customHeight="1">
      <c r="BM62870" s="1025"/>
      <c r="BO62870" s="43"/>
    </row>
    <row r="62871" spans="65:67" ht="18.75" customHeight="1">
      <c r="BM62871" s="1025"/>
      <c r="BO62871" s="43"/>
    </row>
    <row r="62872" spans="65:67" ht="18.75" customHeight="1">
      <c r="BM62872" s="1025"/>
      <c r="BO62872" s="43"/>
    </row>
    <row r="62873" spans="65:67" ht="18.75" customHeight="1">
      <c r="BM62873" s="1025"/>
      <c r="BO62873" s="43"/>
    </row>
    <row r="62874" spans="65:67" ht="18.75" customHeight="1">
      <c r="BM62874" s="1025"/>
      <c r="BO62874" s="43"/>
    </row>
    <row r="62875" spans="65:67" ht="18.75" customHeight="1">
      <c r="BM62875" s="1025"/>
      <c r="BO62875" s="43"/>
    </row>
    <row r="62876" spans="65:67" ht="18.75" customHeight="1">
      <c r="BM62876" s="1025"/>
      <c r="BO62876" s="43"/>
    </row>
    <row r="62877" spans="65:67" ht="18.75" customHeight="1">
      <c r="BM62877" s="1025"/>
      <c r="BO62877" s="43"/>
    </row>
    <row r="62878" spans="65:67" ht="18.75" customHeight="1">
      <c r="BM62878" s="1025"/>
      <c r="BO62878" s="43"/>
    </row>
    <row r="62879" spans="65:67" ht="18.75" customHeight="1">
      <c r="BM62879" s="1025"/>
      <c r="BO62879" s="43"/>
    </row>
    <row r="62880" spans="65:67" ht="18.75" customHeight="1">
      <c r="BM62880" s="1025"/>
      <c r="BO62880" s="43"/>
    </row>
    <row r="62881" spans="65:67" ht="18.75" customHeight="1">
      <c r="BM62881" s="1025"/>
      <c r="BO62881" s="43"/>
    </row>
    <row r="62882" spans="65:67" ht="18.75" customHeight="1">
      <c r="BM62882" s="1025"/>
      <c r="BO62882" s="43"/>
    </row>
    <row r="62883" spans="65:67" ht="18.75" customHeight="1">
      <c r="BM62883" s="1025"/>
      <c r="BO62883" s="43"/>
    </row>
    <row r="62884" spans="65:67" ht="18.75" customHeight="1">
      <c r="BM62884" s="1025"/>
      <c r="BO62884" s="43"/>
    </row>
    <row r="62885" spans="65:67" ht="18.75" customHeight="1">
      <c r="BM62885" s="1025"/>
      <c r="BO62885" s="43"/>
    </row>
    <row r="62886" spans="65:67" ht="18.75" customHeight="1">
      <c r="BM62886" s="1025"/>
      <c r="BO62886" s="43"/>
    </row>
    <row r="62887" spans="65:67" ht="18.75" customHeight="1">
      <c r="BM62887" s="1025"/>
      <c r="BO62887" s="43"/>
    </row>
    <row r="62888" spans="65:67" ht="18.75" customHeight="1">
      <c r="BM62888" s="1025"/>
      <c r="BO62888" s="43"/>
    </row>
    <row r="62889" spans="65:67" ht="18.75" customHeight="1">
      <c r="BM62889" s="1025"/>
      <c r="BO62889" s="43"/>
    </row>
    <row r="62890" spans="65:67" ht="18.75" customHeight="1">
      <c r="BM62890" s="1025"/>
      <c r="BO62890" s="43"/>
    </row>
    <row r="62891" spans="65:67" ht="18.75" customHeight="1">
      <c r="BM62891" s="1025"/>
      <c r="BO62891" s="43"/>
    </row>
    <row r="62892" spans="65:67" ht="18.75" customHeight="1">
      <c r="BM62892" s="1025"/>
      <c r="BO62892" s="43"/>
    </row>
    <row r="62893" spans="65:67" ht="18.75" customHeight="1">
      <c r="BM62893" s="1025"/>
      <c r="BO62893" s="43"/>
    </row>
    <row r="62894" spans="65:67" ht="18.75" customHeight="1">
      <c r="BM62894" s="1025"/>
      <c r="BO62894" s="43"/>
    </row>
    <row r="62895" spans="65:67" ht="18.75" customHeight="1">
      <c r="BM62895" s="1025"/>
      <c r="BO62895" s="43"/>
    </row>
    <row r="62896" spans="65:67" ht="18.75" customHeight="1">
      <c r="BM62896" s="1025"/>
      <c r="BO62896" s="43"/>
    </row>
    <row r="62897" spans="65:67" ht="18.75" customHeight="1">
      <c r="BM62897" s="1025"/>
      <c r="BO62897" s="43"/>
    </row>
    <row r="62898" spans="65:67" ht="18.75" customHeight="1">
      <c r="BM62898" s="1025"/>
      <c r="BO62898" s="43"/>
    </row>
    <row r="62899" spans="65:67" ht="18.75" customHeight="1">
      <c r="BM62899" s="1025"/>
      <c r="BO62899" s="43"/>
    </row>
    <row r="62900" spans="65:67" ht="18.75" customHeight="1">
      <c r="BM62900" s="1025"/>
      <c r="BO62900" s="43"/>
    </row>
    <row r="62901" spans="65:67" ht="18.75" customHeight="1">
      <c r="BM62901" s="1025"/>
      <c r="BO62901" s="43"/>
    </row>
    <row r="62902" spans="65:67" ht="18.75" customHeight="1">
      <c r="BM62902" s="1025"/>
      <c r="BO62902" s="43"/>
    </row>
    <row r="62903" spans="65:67" ht="18.75" customHeight="1">
      <c r="BM62903" s="1025"/>
      <c r="BO62903" s="43"/>
    </row>
    <row r="62904" spans="65:67" ht="18.75" customHeight="1">
      <c r="BM62904" s="1025"/>
      <c r="BO62904" s="43"/>
    </row>
    <row r="62905" spans="65:67" ht="18.75" customHeight="1">
      <c r="BM62905" s="1025"/>
      <c r="BO62905" s="43"/>
    </row>
    <row r="62906" spans="65:67" ht="18.75" customHeight="1">
      <c r="BM62906" s="1025"/>
      <c r="BO62906" s="43"/>
    </row>
    <row r="62907" spans="65:67" ht="18.75" customHeight="1">
      <c r="BM62907" s="1025"/>
      <c r="BO62907" s="43"/>
    </row>
    <row r="62908" spans="65:67" ht="18.75" customHeight="1">
      <c r="BM62908" s="1025"/>
      <c r="BO62908" s="43"/>
    </row>
    <row r="62909" spans="65:67" ht="18.75" customHeight="1">
      <c r="BM62909" s="1025"/>
      <c r="BO62909" s="43"/>
    </row>
    <row r="62910" spans="65:67" ht="18.75" customHeight="1">
      <c r="BM62910" s="1025"/>
      <c r="BO62910" s="43"/>
    </row>
    <row r="62911" spans="65:67" ht="18.75" customHeight="1">
      <c r="BM62911" s="1025"/>
      <c r="BO62911" s="43"/>
    </row>
    <row r="62912" spans="65:67" ht="18.75" customHeight="1">
      <c r="BM62912" s="1025"/>
      <c r="BO62912" s="43"/>
    </row>
    <row r="62913" spans="65:67" ht="18.75" customHeight="1">
      <c r="BM62913" s="1025"/>
      <c r="BO62913" s="43"/>
    </row>
    <row r="62914" spans="65:67" ht="18.75" customHeight="1">
      <c r="BM62914" s="1025"/>
      <c r="BO62914" s="43"/>
    </row>
    <row r="62915" spans="65:67" ht="18.75" customHeight="1">
      <c r="BM62915" s="1025"/>
      <c r="BO62915" s="43"/>
    </row>
    <row r="62916" spans="65:67" ht="18.75" customHeight="1">
      <c r="BM62916" s="1025"/>
      <c r="BO62916" s="43"/>
    </row>
    <row r="62917" spans="65:67" ht="18.75" customHeight="1">
      <c r="BM62917" s="1025"/>
      <c r="BO62917" s="43"/>
    </row>
    <row r="62918" spans="65:67" ht="18.75" customHeight="1">
      <c r="BM62918" s="1025"/>
      <c r="BO62918" s="43"/>
    </row>
    <row r="62919" spans="65:67" ht="18.75" customHeight="1">
      <c r="BM62919" s="1025"/>
      <c r="BO62919" s="43"/>
    </row>
    <row r="62920" spans="65:67" ht="18.75" customHeight="1">
      <c r="BM62920" s="1025"/>
      <c r="BO62920" s="43"/>
    </row>
    <row r="62921" spans="65:67" ht="18.75" customHeight="1">
      <c r="BM62921" s="1025"/>
      <c r="BO62921" s="43"/>
    </row>
    <row r="62922" spans="65:67" ht="18.75" customHeight="1">
      <c r="BM62922" s="1025"/>
      <c r="BO62922" s="43"/>
    </row>
    <row r="62923" spans="65:67" ht="18.75" customHeight="1">
      <c r="BM62923" s="1025"/>
      <c r="BO62923" s="43"/>
    </row>
    <row r="62924" spans="65:67" ht="18.75" customHeight="1">
      <c r="BM62924" s="1025"/>
      <c r="BO62924" s="43"/>
    </row>
    <row r="62925" spans="65:67" ht="18.75" customHeight="1">
      <c r="BM62925" s="1025"/>
      <c r="BO62925" s="43"/>
    </row>
    <row r="62926" spans="65:67" ht="18.75" customHeight="1">
      <c r="BM62926" s="1025"/>
      <c r="BO62926" s="43"/>
    </row>
    <row r="62927" spans="65:67" ht="18.75" customHeight="1">
      <c r="BM62927" s="1025"/>
      <c r="BO62927" s="43"/>
    </row>
    <row r="62928" spans="65:67" ht="18.75" customHeight="1">
      <c r="BM62928" s="1025"/>
      <c r="BO62928" s="43"/>
    </row>
    <row r="62929" spans="65:67" ht="18.75" customHeight="1">
      <c r="BM62929" s="1025"/>
      <c r="BO62929" s="43"/>
    </row>
    <row r="62930" spans="65:67" ht="18.75" customHeight="1">
      <c r="BM62930" s="1025"/>
      <c r="BO62930" s="43"/>
    </row>
    <row r="62931" spans="65:67" ht="18.75" customHeight="1">
      <c r="BM62931" s="1025"/>
      <c r="BO62931" s="43"/>
    </row>
    <row r="62932" spans="65:67" ht="18.75" customHeight="1">
      <c r="BM62932" s="1025"/>
      <c r="BO62932" s="43"/>
    </row>
    <row r="62933" spans="65:67" ht="18.75" customHeight="1">
      <c r="BM62933" s="1025"/>
      <c r="BO62933" s="43"/>
    </row>
    <row r="62934" spans="65:67" ht="18.75" customHeight="1">
      <c r="BM62934" s="1025"/>
      <c r="BO62934" s="43"/>
    </row>
    <row r="62935" spans="65:67" ht="18.75" customHeight="1">
      <c r="BM62935" s="1025"/>
      <c r="BO62935" s="43"/>
    </row>
    <row r="62936" spans="65:67" ht="18.75" customHeight="1">
      <c r="BM62936" s="1025"/>
      <c r="BO62936" s="43"/>
    </row>
    <row r="62937" spans="65:67" ht="18.75" customHeight="1">
      <c r="BM62937" s="1025"/>
      <c r="BO62937" s="43"/>
    </row>
    <row r="62938" spans="65:67" ht="18.75" customHeight="1">
      <c r="BM62938" s="1025"/>
      <c r="BO62938" s="43"/>
    </row>
    <row r="62939" spans="65:67" ht="18.75" customHeight="1">
      <c r="BM62939" s="1025"/>
      <c r="BO62939" s="43"/>
    </row>
    <row r="62940" spans="65:67" ht="18.75" customHeight="1">
      <c r="BM62940" s="1025"/>
      <c r="BO62940" s="43"/>
    </row>
    <row r="62941" spans="65:67" ht="18.75" customHeight="1">
      <c r="BM62941" s="1025"/>
      <c r="BO62941" s="43"/>
    </row>
    <row r="62942" spans="65:67" ht="18.75" customHeight="1">
      <c r="BM62942" s="1025"/>
      <c r="BO62942" s="43"/>
    </row>
    <row r="62943" spans="65:67" ht="18.75" customHeight="1">
      <c r="BM62943" s="1025"/>
      <c r="BO62943" s="43"/>
    </row>
    <row r="62944" spans="65:67" ht="18.75" customHeight="1">
      <c r="BM62944" s="1025"/>
      <c r="BO62944" s="43"/>
    </row>
    <row r="62945" spans="65:67" ht="18.75" customHeight="1">
      <c r="BM62945" s="1025"/>
      <c r="BO62945" s="43"/>
    </row>
    <row r="62946" spans="65:67" ht="18.75" customHeight="1">
      <c r="BM62946" s="1025"/>
      <c r="BO62946" s="43"/>
    </row>
    <row r="62947" spans="65:67" ht="18.75" customHeight="1">
      <c r="BM62947" s="1025"/>
      <c r="BO62947" s="43"/>
    </row>
    <row r="62948" spans="65:67" ht="18.75" customHeight="1">
      <c r="BM62948" s="1025"/>
      <c r="BO62948" s="43"/>
    </row>
    <row r="62949" spans="65:67" ht="18.75" customHeight="1">
      <c r="BM62949" s="1025"/>
      <c r="BO62949" s="43"/>
    </row>
    <row r="62950" spans="65:67" ht="18.75" customHeight="1">
      <c r="BM62950" s="1025"/>
      <c r="BO62950" s="43"/>
    </row>
    <row r="62951" spans="65:67" ht="18.75" customHeight="1">
      <c r="BM62951" s="1025"/>
      <c r="BO62951" s="43"/>
    </row>
    <row r="62952" spans="65:67" ht="18.75" customHeight="1">
      <c r="BM62952" s="1025"/>
      <c r="BO62952" s="43"/>
    </row>
    <row r="62953" spans="65:67" ht="18.75" customHeight="1">
      <c r="BM62953" s="1025"/>
      <c r="BO62953" s="43"/>
    </row>
    <row r="62954" spans="65:67" ht="18.75" customHeight="1">
      <c r="BM62954" s="1025"/>
      <c r="BO62954" s="43"/>
    </row>
    <row r="62955" spans="65:67" ht="18.75" customHeight="1">
      <c r="BM62955" s="1025"/>
      <c r="BO62955" s="43"/>
    </row>
    <row r="62956" spans="65:67" ht="18.75" customHeight="1">
      <c r="BM62956" s="1025"/>
      <c r="BO62956" s="43"/>
    </row>
    <row r="62957" spans="65:67" ht="18.75" customHeight="1">
      <c r="BM62957" s="1025"/>
      <c r="BO62957" s="43"/>
    </row>
    <row r="62958" spans="65:67" ht="18.75" customHeight="1">
      <c r="BM62958" s="1025"/>
      <c r="BO62958" s="43"/>
    </row>
    <row r="62959" spans="65:67" ht="18.75" customHeight="1">
      <c r="BM62959" s="1025"/>
      <c r="BO62959" s="43"/>
    </row>
    <row r="62960" spans="65:67" ht="18.75" customHeight="1">
      <c r="BM62960" s="1025"/>
      <c r="BO62960" s="43"/>
    </row>
    <row r="62961" spans="65:67" ht="18.75" customHeight="1">
      <c r="BM62961" s="1025"/>
      <c r="BO62961" s="43"/>
    </row>
    <row r="62962" spans="65:67" ht="18.75" customHeight="1">
      <c r="BM62962" s="1025"/>
      <c r="BO62962" s="43"/>
    </row>
    <row r="62963" spans="65:67" ht="18.75" customHeight="1">
      <c r="BM62963" s="1025"/>
      <c r="BO62963" s="43"/>
    </row>
    <row r="62964" spans="65:67" ht="18.75" customHeight="1">
      <c r="BM62964" s="1025"/>
      <c r="BO62964" s="43"/>
    </row>
    <row r="62965" spans="65:67" ht="18.75" customHeight="1">
      <c r="BM62965" s="1025"/>
      <c r="BO62965" s="43"/>
    </row>
    <row r="62966" spans="65:67" ht="18.75" customHeight="1">
      <c r="BM62966" s="1025"/>
      <c r="BO62966" s="43"/>
    </row>
    <row r="62967" spans="65:67" ht="18.75" customHeight="1">
      <c r="BM62967" s="1025"/>
      <c r="BO62967" s="43"/>
    </row>
    <row r="62968" spans="65:67" ht="18.75" customHeight="1">
      <c r="BM62968" s="1025"/>
      <c r="BO62968" s="43"/>
    </row>
    <row r="62969" spans="65:67" ht="18.75" customHeight="1">
      <c r="BM62969" s="1025"/>
      <c r="BO62969" s="43"/>
    </row>
    <row r="62970" spans="65:67" ht="18.75" customHeight="1">
      <c r="BM62970" s="1025"/>
      <c r="BO62970" s="43"/>
    </row>
    <row r="62971" spans="65:67" ht="18.75" customHeight="1">
      <c r="BM62971" s="1025"/>
      <c r="BO62971" s="43"/>
    </row>
    <row r="62972" spans="65:67" ht="18.75" customHeight="1">
      <c r="BM62972" s="1025"/>
      <c r="BO62972" s="43"/>
    </row>
    <row r="62973" spans="65:67" ht="18.75" customHeight="1">
      <c r="BM62973" s="1025"/>
      <c r="BO62973" s="43"/>
    </row>
    <row r="62974" spans="65:67" ht="18.75" customHeight="1">
      <c r="BM62974" s="1025"/>
      <c r="BO62974" s="43"/>
    </row>
    <row r="62975" spans="65:67" ht="18.75" customHeight="1">
      <c r="BM62975" s="1025"/>
      <c r="BO62975" s="43"/>
    </row>
    <row r="62976" spans="65:67" ht="18.75" customHeight="1">
      <c r="BM62976" s="1025"/>
      <c r="BO62976" s="43"/>
    </row>
    <row r="62977" spans="65:67" ht="18.75" customHeight="1">
      <c r="BM62977" s="1025"/>
      <c r="BO62977" s="43"/>
    </row>
    <row r="62978" spans="65:67" ht="18.75" customHeight="1">
      <c r="BM62978" s="1025"/>
      <c r="BO62978" s="43"/>
    </row>
    <row r="62979" spans="65:67" ht="18.75" customHeight="1">
      <c r="BM62979" s="1025"/>
      <c r="BO62979" s="43"/>
    </row>
    <row r="62980" spans="65:67" ht="18.75" customHeight="1">
      <c r="BM62980" s="1025"/>
      <c r="BO62980" s="43"/>
    </row>
    <row r="62981" spans="65:67" ht="18.75" customHeight="1">
      <c r="BM62981" s="1025"/>
      <c r="BO62981" s="43"/>
    </row>
    <row r="62982" spans="65:67" ht="18.75" customHeight="1">
      <c r="BM62982" s="1025"/>
      <c r="BO62982" s="43"/>
    </row>
    <row r="62983" spans="65:67" ht="18.75" customHeight="1">
      <c r="BM62983" s="1025"/>
      <c r="BO62983" s="43"/>
    </row>
    <row r="62984" spans="65:67" ht="18.75" customHeight="1">
      <c r="BM62984" s="1025"/>
      <c r="BO62984" s="43"/>
    </row>
    <row r="62985" spans="65:67" ht="18.75" customHeight="1">
      <c r="BM62985" s="1025"/>
      <c r="BO62985" s="43"/>
    </row>
    <row r="62986" spans="65:67" ht="18.75" customHeight="1">
      <c r="BM62986" s="1025"/>
      <c r="BO62986" s="43"/>
    </row>
    <row r="62987" spans="65:67" ht="18.75" customHeight="1">
      <c r="BM62987" s="1025"/>
      <c r="BO62987" s="43"/>
    </row>
    <row r="62988" spans="65:67" ht="18.75" customHeight="1">
      <c r="BM62988" s="1025"/>
      <c r="BO62988" s="43"/>
    </row>
    <row r="62989" spans="65:67" ht="18.75" customHeight="1">
      <c r="BM62989" s="1025"/>
      <c r="BO62989" s="43"/>
    </row>
    <row r="62990" spans="65:67" ht="18.75" customHeight="1">
      <c r="BM62990" s="1025"/>
      <c r="BO62990" s="43"/>
    </row>
    <row r="62991" spans="65:67" ht="18.75" customHeight="1">
      <c r="BM62991" s="1025"/>
      <c r="BO62991" s="43"/>
    </row>
    <row r="62992" spans="65:67" ht="18.75" customHeight="1">
      <c r="BM62992" s="1025"/>
      <c r="BO62992" s="43"/>
    </row>
    <row r="62993" spans="65:67" ht="18.75" customHeight="1">
      <c r="BM62993" s="1025"/>
      <c r="BO62993" s="43"/>
    </row>
    <row r="62994" spans="65:67" ht="18.75" customHeight="1">
      <c r="BM62994" s="1025"/>
      <c r="BO62994" s="43"/>
    </row>
    <row r="62995" spans="65:67" ht="18.75" customHeight="1">
      <c r="BM62995" s="1025"/>
      <c r="BO62995" s="43"/>
    </row>
    <row r="62996" spans="65:67" ht="18.75" customHeight="1">
      <c r="BM62996" s="1025"/>
      <c r="BO62996" s="43"/>
    </row>
    <row r="62997" spans="65:67" ht="18.75" customHeight="1">
      <c r="BM62997" s="1025"/>
      <c r="BO62997" s="43"/>
    </row>
    <row r="62998" spans="65:67" ht="18.75" customHeight="1">
      <c r="BM62998" s="1025"/>
      <c r="BO62998" s="43"/>
    </row>
    <row r="62999" spans="65:67" ht="18.75" customHeight="1">
      <c r="BM62999" s="1025"/>
      <c r="BO62999" s="43"/>
    </row>
    <row r="63000" spans="65:67" ht="18.75" customHeight="1">
      <c r="BM63000" s="1025"/>
      <c r="BO63000" s="43"/>
    </row>
    <row r="63001" spans="65:67" ht="18.75" customHeight="1">
      <c r="BM63001" s="1025"/>
      <c r="BO63001" s="43"/>
    </row>
    <row r="63002" spans="65:67" ht="18.75" customHeight="1">
      <c r="BM63002" s="1025"/>
      <c r="BO63002" s="43"/>
    </row>
    <row r="63003" spans="65:67" ht="18.75" customHeight="1">
      <c r="BM63003" s="1025"/>
      <c r="BO63003" s="43"/>
    </row>
    <row r="63004" spans="65:67" ht="18.75" customHeight="1">
      <c r="BM63004" s="1025"/>
      <c r="BO63004" s="43"/>
    </row>
    <row r="63005" spans="65:67" ht="18.75" customHeight="1">
      <c r="BM63005" s="1025"/>
      <c r="BO63005" s="43"/>
    </row>
    <row r="63006" spans="65:67" ht="18.75" customHeight="1">
      <c r="BM63006" s="1025"/>
      <c r="BO63006" s="43"/>
    </row>
    <row r="63007" spans="65:67" ht="18.75" customHeight="1">
      <c r="BM63007" s="1025"/>
      <c r="BO63007" s="43"/>
    </row>
    <row r="63008" spans="65:67" ht="18.75" customHeight="1">
      <c r="BM63008" s="1025"/>
      <c r="BO63008" s="43"/>
    </row>
    <row r="63009" spans="65:67" ht="18.75" customHeight="1">
      <c r="BM63009" s="1025"/>
      <c r="BO63009" s="43"/>
    </row>
    <row r="63010" spans="65:67" ht="18.75" customHeight="1">
      <c r="BM63010" s="1025"/>
      <c r="BO63010" s="43"/>
    </row>
    <row r="63011" spans="65:67" ht="18.75" customHeight="1">
      <c r="BM63011" s="1025"/>
      <c r="BO63011" s="43"/>
    </row>
    <row r="63012" spans="65:67" ht="18.75" customHeight="1">
      <c r="BM63012" s="1025"/>
      <c r="BO63012" s="43"/>
    </row>
    <row r="63013" spans="65:67" ht="18.75" customHeight="1">
      <c r="BM63013" s="1025"/>
      <c r="BO63013" s="43"/>
    </row>
    <row r="63014" spans="65:67" ht="18.75" customHeight="1">
      <c r="BM63014" s="1025"/>
      <c r="BO63014" s="43"/>
    </row>
    <row r="63015" spans="65:67" ht="18.75" customHeight="1">
      <c r="BM63015" s="1025"/>
      <c r="BO63015" s="43"/>
    </row>
    <row r="63016" spans="65:67" ht="18.75" customHeight="1">
      <c r="BM63016" s="1025"/>
      <c r="BO63016" s="43"/>
    </row>
    <row r="63017" spans="65:67" ht="18.75" customHeight="1">
      <c r="BM63017" s="1025"/>
      <c r="BO63017" s="43"/>
    </row>
    <row r="63018" spans="65:67" ht="18.75" customHeight="1">
      <c r="BM63018" s="1025"/>
      <c r="BO63018" s="43"/>
    </row>
    <row r="63019" spans="65:67" ht="18.75" customHeight="1">
      <c r="BM63019" s="1025"/>
      <c r="BO63019" s="43"/>
    </row>
    <row r="63020" spans="65:67" ht="18.75" customHeight="1">
      <c r="BM63020" s="1025"/>
      <c r="BO63020" s="43"/>
    </row>
    <row r="63021" spans="65:67" ht="18.75" customHeight="1">
      <c r="BM63021" s="1025"/>
      <c r="BO63021" s="43"/>
    </row>
    <row r="63022" spans="65:67" ht="18.75" customHeight="1">
      <c r="BM63022" s="1025"/>
      <c r="BO63022" s="43"/>
    </row>
    <row r="63023" spans="65:67" ht="18.75" customHeight="1">
      <c r="BM63023" s="1025"/>
      <c r="BO63023" s="43"/>
    </row>
    <row r="63024" spans="65:67" ht="18.75" customHeight="1">
      <c r="BM63024" s="1025"/>
      <c r="BO63024" s="43"/>
    </row>
    <row r="63025" spans="65:67" ht="18.75" customHeight="1">
      <c r="BM63025" s="1025"/>
      <c r="BO63025" s="43"/>
    </row>
    <row r="63026" spans="65:67" ht="18.75" customHeight="1">
      <c r="BM63026" s="1025"/>
      <c r="BO63026" s="43"/>
    </row>
    <row r="63027" spans="65:67" ht="18.75" customHeight="1">
      <c r="BM63027" s="1025"/>
      <c r="BO63027" s="43"/>
    </row>
    <row r="63028" spans="65:67" ht="18.75" customHeight="1">
      <c r="BM63028" s="1025"/>
      <c r="BO63028" s="43"/>
    </row>
    <row r="63029" spans="65:67" ht="18.75" customHeight="1">
      <c r="BM63029" s="1025"/>
      <c r="BO63029" s="43"/>
    </row>
    <row r="63030" spans="65:67" ht="18.75" customHeight="1">
      <c r="BM63030" s="1025"/>
      <c r="BO63030" s="43"/>
    </row>
    <row r="63031" spans="65:67" ht="18.75" customHeight="1">
      <c r="BM63031" s="1025"/>
      <c r="BO63031" s="43"/>
    </row>
    <row r="63032" spans="65:67" ht="18.75" customHeight="1">
      <c r="BM63032" s="1025"/>
      <c r="BO63032" s="43"/>
    </row>
    <row r="63033" spans="65:67" ht="18.75" customHeight="1">
      <c r="BM63033" s="1025"/>
      <c r="BO63033" s="43"/>
    </row>
    <row r="63034" spans="65:67" ht="18.75" customHeight="1">
      <c r="BM63034" s="1025"/>
      <c r="BO63034" s="43"/>
    </row>
    <row r="63035" spans="65:67" ht="18.75" customHeight="1">
      <c r="BM63035" s="1025"/>
      <c r="BO63035" s="43"/>
    </row>
    <row r="63036" spans="65:67" ht="18.75" customHeight="1">
      <c r="BM63036" s="1025"/>
      <c r="BO63036" s="43"/>
    </row>
    <row r="63037" spans="65:67" ht="18.75" customHeight="1">
      <c r="BM63037" s="1025"/>
      <c r="BO63037" s="43"/>
    </row>
    <row r="63038" spans="65:67" ht="18.75" customHeight="1">
      <c r="BM63038" s="1025"/>
      <c r="BO63038" s="43"/>
    </row>
    <row r="63039" spans="65:67" ht="18.75" customHeight="1">
      <c r="BM63039" s="1025"/>
      <c r="BO63039" s="43"/>
    </row>
    <row r="63040" spans="65:67" ht="18.75" customHeight="1">
      <c r="BM63040" s="1025"/>
      <c r="BO63040" s="43"/>
    </row>
    <row r="63041" spans="65:67" ht="18.75" customHeight="1">
      <c r="BM63041" s="1025"/>
      <c r="BO63041" s="43"/>
    </row>
    <row r="63042" spans="65:67" ht="18.75" customHeight="1">
      <c r="BM63042" s="1025"/>
      <c r="BO63042" s="43"/>
    </row>
    <row r="63043" spans="65:67" ht="18.75" customHeight="1">
      <c r="BM63043" s="1025"/>
      <c r="BO63043" s="43"/>
    </row>
    <row r="63044" spans="65:67" ht="18.75" customHeight="1">
      <c r="BM63044" s="1025"/>
      <c r="BO63044" s="43"/>
    </row>
    <row r="63045" spans="65:67" ht="18.75" customHeight="1">
      <c r="BM63045" s="1025"/>
      <c r="BO63045" s="43"/>
    </row>
    <row r="63046" spans="65:67" ht="18.75" customHeight="1">
      <c r="BM63046" s="1025"/>
      <c r="BO63046" s="43"/>
    </row>
    <row r="63047" spans="65:67" ht="18.75" customHeight="1">
      <c r="BM63047" s="1025"/>
      <c r="BO63047" s="43"/>
    </row>
    <row r="63048" spans="65:67" ht="18.75" customHeight="1">
      <c r="BM63048" s="1025"/>
      <c r="BO63048" s="43"/>
    </row>
    <row r="63049" spans="65:67" ht="18.75" customHeight="1">
      <c r="BM63049" s="1025"/>
      <c r="BO63049" s="43"/>
    </row>
    <row r="63050" spans="65:67" ht="18.75" customHeight="1">
      <c r="BM63050" s="1025"/>
      <c r="BO63050" s="43"/>
    </row>
    <row r="63051" spans="65:67" ht="18.75" customHeight="1">
      <c r="BM63051" s="1025"/>
      <c r="BO63051" s="43"/>
    </row>
    <row r="63052" spans="65:67" ht="18.75" customHeight="1">
      <c r="BM63052" s="1025"/>
      <c r="BO63052" s="43"/>
    </row>
    <row r="63053" spans="65:67" ht="18.75" customHeight="1">
      <c r="BM63053" s="1025"/>
      <c r="BO63053" s="43"/>
    </row>
    <row r="63054" spans="65:67" ht="18.75" customHeight="1">
      <c r="BM63054" s="1025"/>
      <c r="BO63054" s="43"/>
    </row>
    <row r="63055" spans="65:67" ht="18.75" customHeight="1">
      <c r="BM63055" s="1025"/>
      <c r="BO63055" s="43"/>
    </row>
    <row r="63056" spans="65:67" ht="18.75" customHeight="1">
      <c r="BM63056" s="1025"/>
      <c r="BO63056" s="43"/>
    </row>
    <row r="63057" spans="65:67" ht="18.75" customHeight="1">
      <c r="BM63057" s="1025"/>
      <c r="BO63057" s="43"/>
    </row>
    <row r="63058" spans="65:67" ht="18.75" customHeight="1">
      <c r="BM63058" s="1025"/>
      <c r="BO63058" s="43"/>
    </row>
    <row r="63059" spans="65:67" ht="18.75" customHeight="1">
      <c r="BM63059" s="1025"/>
      <c r="BO63059" s="43"/>
    </row>
    <row r="63060" spans="65:67" ht="18.75" customHeight="1">
      <c r="BM63060" s="1025"/>
      <c r="BO63060" s="43"/>
    </row>
    <row r="63061" spans="65:67" ht="18.75" customHeight="1">
      <c r="BM63061" s="1025"/>
      <c r="BO63061" s="43"/>
    </row>
    <row r="63062" spans="65:67" ht="18.75" customHeight="1">
      <c r="BM63062" s="1025"/>
      <c r="BO63062" s="43"/>
    </row>
    <row r="63063" spans="65:67" ht="18.75" customHeight="1">
      <c r="BM63063" s="1025"/>
      <c r="BO63063" s="43"/>
    </row>
    <row r="63064" spans="65:67" ht="18.75" customHeight="1">
      <c r="BM63064" s="1025"/>
      <c r="BO63064" s="43"/>
    </row>
    <row r="63065" spans="65:67" ht="18.75" customHeight="1">
      <c r="BM63065" s="1025"/>
      <c r="BO63065" s="43"/>
    </row>
    <row r="63066" spans="65:67" ht="18.75" customHeight="1">
      <c r="BM63066" s="1025"/>
      <c r="BO63066" s="43"/>
    </row>
    <row r="63067" spans="65:67" ht="18.75" customHeight="1">
      <c r="BM63067" s="1025"/>
      <c r="BO63067" s="43"/>
    </row>
    <row r="63068" spans="65:67" ht="18.75" customHeight="1">
      <c r="BM63068" s="1025"/>
      <c r="BO63068" s="43"/>
    </row>
    <row r="63069" spans="65:67" ht="18.75" customHeight="1">
      <c r="BM63069" s="1025"/>
      <c r="BO63069" s="43"/>
    </row>
    <row r="63070" spans="65:67" ht="18.75" customHeight="1">
      <c r="BM63070" s="1025"/>
      <c r="BO63070" s="43"/>
    </row>
    <row r="63071" spans="65:67" ht="18.75" customHeight="1">
      <c r="BM63071" s="1025"/>
      <c r="BO63071" s="43"/>
    </row>
    <row r="63072" spans="65:67" ht="18.75" customHeight="1">
      <c r="BM63072" s="1025"/>
      <c r="BO63072" s="43"/>
    </row>
    <row r="63073" spans="65:67" ht="18.75" customHeight="1">
      <c r="BM63073" s="1025"/>
      <c r="BO63073" s="43"/>
    </row>
    <row r="63074" spans="65:67" ht="18.75" customHeight="1">
      <c r="BM63074" s="1025"/>
      <c r="BO63074" s="43"/>
    </row>
    <row r="63075" spans="65:67" ht="18.75" customHeight="1">
      <c r="BM63075" s="1025"/>
      <c r="BO63075" s="43"/>
    </row>
    <row r="63076" spans="65:67" ht="18.75" customHeight="1">
      <c r="BM63076" s="1025"/>
      <c r="BO63076" s="43"/>
    </row>
    <row r="63077" spans="65:67" ht="18.75" customHeight="1">
      <c r="BM63077" s="1025"/>
      <c r="BO63077" s="43"/>
    </row>
    <row r="63078" spans="65:67" ht="18.75" customHeight="1">
      <c r="BM63078" s="1025"/>
      <c r="BO63078" s="43"/>
    </row>
    <row r="63079" spans="65:67" ht="18.75" customHeight="1">
      <c r="BM63079" s="1025"/>
      <c r="BO63079" s="43"/>
    </row>
    <row r="63080" spans="65:67" ht="18.75" customHeight="1">
      <c r="BM63080" s="1025"/>
      <c r="BO63080" s="43"/>
    </row>
    <row r="63081" spans="65:67" ht="18.75" customHeight="1">
      <c r="BM63081" s="1025"/>
      <c r="BO63081" s="43"/>
    </row>
    <row r="63082" spans="65:67" ht="18.75" customHeight="1">
      <c r="BM63082" s="1025"/>
      <c r="BO63082" s="43"/>
    </row>
    <row r="63083" spans="65:67" ht="18.75" customHeight="1">
      <c r="BM63083" s="1025"/>
      <c r="BO63083" s="43"/>
    </row>
    <row r="63084" spans="65:67" ht="18.75" customHeight="1">
      <c r="BM63084" s="1025"/>
      <c r="BO63084" s="43"/>
    </row>
    <row r="63085" spans="65:67" ht="18.75" customHeight="1">
      <c r="BM63085" s="1025"/>
      <c r="BO63085" s="43"/>
    </row>
    <row r="63086" spans="65:67" ht="18.75" customHeight="1">
      <c r="BM63086" s="1025"/>
      <c r="BO63086" s="43"/>
    </row>
    <row r="63087" spans="65:67" ht="18.75" customHeight="1">
      <c r="BM63087" s="1025"/>
      <c r="BO63087" s="43"/>
    </row>
    <row r="63088" spans="65:67" ht="18.75" customHeight="1">
      <c r="BM63088" s="1025"/>
      <c r="BO63088" s="43"/>
    </row>
    <row r="63089" spans="65:67" ht="18.75" customHeight="1">
      <c r="BM63089" s="1025"/>
      <c r="BO63089" s="43"/>
    </row>
    <row r="63090" spans="65:67" ht="18.75" customHeight="1">
      <c r="BM63090" s="1025"/>
      <c r="BO63090" s="43"/>
    </row>
    <row r="63091" spans="65:67" ht="18.75" customHeight="1">
      <c r="BM63091" s="1025"/>
      <c r="BO63091" s="43"/>
    </row>
    <row r="63092" spans="65:67" ht="18.75" customHeight="1">
      <c r="BM63092" s="1025"/>
      <c r="BO63092" s="43"/>
    </row>
    <row r="63093" spans="65:67" ht="18.75" customHeight="1">
      <c r="BM63093" s="1025"/>
      <c r="BO63093" s="43"/>
    </row>
    <row r="63094" spans="65:67" ht="18.75" customHeight="1">
      <c r="BM63094" s="1025"/>
      <c r="BO63094" s="43"/>
    </row>
    <row r="63095" spans="65:67" ht="18.75" customHeight="1">
      <c r="BM63095" s="1025"/>
      <c r="BO63095" s="43"/>
    </row>
    <row r="63096" spans="65:67" ht="18.75" customHeight="1">
      <c r="BM63096" s="1025"/>
      <c r="BO63096" s="43"/>
    </row>
    <row r="63097" spans="65:67" ht="18.75" customHeight="1">
      <c r="BM63097" s="1025"/>
      <c r="BO63097" s="43"/>
    </row>
    <row r="63098" spans="65:67" ht="18.75" customHeight="1">
      <c r="BM63098" s="1025"/>
      <c r="BO63098" s="43"/>
    </row>
    <row r="63099" spans="65:67" ht="18.75" customHeight="1">
      <c r="BM63099" s="1025"/>
      <c r="BO63099" s="43"/>
    </row>
    <row r="63100" spans="65:67" ht="18.75" customHeight="1">
      <c r="BM63100" s="1025"/>
      <c r="BO63100" s="43"/>
    </row>
    <row r="63101" spans="65:67" ht="18.75" customHeight="1">
      <c r="BM63101" s="1025"/>
      <c r="BO63101" s="43"/>
    </row>
    <row r="63102" spans="65:67" ht="18.75" customHeight="1">
      <c r="BM63102" s="1025"/>
      <c r="BO63102" s="43"/>
    </row>
    <row r="63103" spans="65:67" ht="18.75" customHeight="1">
      <c r="BM63103" s="1025"/>
      <c r="BO63103" s="43"/>
    </row>
    <row r="63104" spans="65:67" ht="18.75" customHeight="1">
      <c r="BM63104" s="1025"/>
      <c r="BO63104" s="43"/>
    </row>
    <row r="63105" spans="65:67" ht="18.75" customHeight="1">
      <c r="BM63105" s="1025"/>
      <c r="BO63105" s="43"/>
    </row>
    <row r="63106" spans="65:67" ht="18.75" customHeight="1">
      <c r="BM63106" s="1025"/>
      <c r="BO63106" s="43"/>
    </row>
    <row r="63107" spans="65:67" ht="18.75" customHeight="1">
      <c r="BM63107" s="1025"/>
      <c r="BO63107" s="43"/>
    </row>
    <row r="63108" spans="65:67" ht="18.75" customHeight="1">
      <c r="BM63108" s="1025"/>
      <c r="BO63108" s="43"/>
    </row>
    <row r="63109" spans="65:67" ht="18.75" customHeight="1">
      <c r="BM63109" s="1025"/>
      <c r="BO63109" s="43"/>
    </row>
    <row r="63110" spans="65:67" ht="18.75" customHeight="1">
      <c r="BM63110" s="1025"/>
      <c r="BO63110" s="43"/>
    </row>
    <row r="63111" spans="65:67" ht="18.75" customHeight="1">
      <c r="BM63111" s="1025"/>
      <c r="BO63111" s="43"/>
    </row>
    <row r="63112" spans="65:67" ht="18.75" customHeight="1">
      <c r="BM63112" s="1025"/>
      <c r="BO63112" s="43"/>
    </row>
    <row r="63113" spans="65:67" ht="18.75" customHeight="1">
      <c r="BM63113" s="1025"/>
      <c r="BO63113" s="43"/>
    </row>
    <row r="63114" spans="65:67" ht="18.75" customHeight="1">
      <c r="BM63114" s="1025"/>
      <c r="BO63114" s="43"/>
    </row>
    <row r="63115" spans="65:67" ht="18.75" customHeight="1">
      <c r="BM63115" s="1025"/>
      <c r="BO63115" s="43"/>
    </row>
    <row r="63116" spans="65:67" ht="18.75" customHeight="1">
      <c r="BM63116" s="1025"/>
      <c r="BO63116" s="43"/>
    </row>
    <row r="63117" spans="65:67" ht="18.75" customHeight="1">
      <c r="BM63117" s="1025"/>
      <c r="BO63117" s="43"/>
    </row>
    <row r="63118" spans="65:67" ht="18.75" customHeight="1">
      <c r="BM63118" s="1025"/>
      <c r="BO63118" s="43"/>
    </row>
    <row r="63119" spans="65:67" ht="18.75" customHeight="1">
      <c r="BM63119" s="1025"/>
      <c r="BO63119" s="43"/>
    </row>
    <row r="63120" spans="65:67" ht="18.75" customHeight="1">
      <c r="BM63120" s="1025"/>
      <c r="BO63120" s="43"/>
    </row>
    <row r="63121" spans="65:67" ht="18.75" customHeight="1">
      <c r="BM63121" s="1025"/>
      <c r="BO63121" s="43"/>
    </row>
    <row r="63122" spans="65:67" ht="18.75" customHeight="1">
      <c r="BM63122" s="1025"/>
      <c r="BO63122" s="43"/>
    </row>
    <row r="63123" spans="65:67" ht="18.75" customHeight="1">
      <c r="BM63123" s="1025"/>
      <c r="BO63123" s="43"/>
    </row>
    <row r="63124" spans="65:67" ht="18.75" customHeight="1">
      <c r="BM63124" s="1025"/>
      <c r="BO63124" s="43"/>
    </row>
    <row r="63125" spans="65:67" ht="18.75" customHeight="1">
      <c r="BM63125" s="1025"/>
      <c r="BO63125" s="43"/>
    </row>
    <row r="63126" spans="65:67" ht="18.75" customHeight="1">
      <c r="BM63126" s="1025"/>
      <c r="BO63126" s="43"/>
    </row>
    <row r="63127" spans="65:67" ht="18.75" customHeight="1">
      <c r="BM63127" s="1025"/>
      <c r="BO63127" s="43"/>
    </row>
    <row r="63128" spans="65:67" ht="18.75" customHeight="1">
      <c r="BM63128" s="1025"/>
      <c r="BO63128" s="43"/>
    </row>
    <row r="63129" spans="65:67" ht="18.75" customHeight="1">
      <c r="BM63129" s="1025"/>
      <c r="BO63129" s="43"/>
    </row>
    <row r="63130" spans="65:67" ht="18.75" customHeight="1">
      <c r="BM63130" s="1025"/>
      <c r="BO63130" s="43"/>
    </row>
    <row r="63131" spans="65:67" ht="18.75" customHeight="1">
      <c r="BM63131" s="1025"/>
      <c r="BO63131" s="43"/>
    </row>
    <row r="63132" spans="65:67" ht="18.75" customHeight="1">
      <c r="BM63132" s="1025"/>
      <c r="BO63132" s="43"/>
    </row>
    <row r="63133" spans="65:67" ht="18.75" customHeight="1">
      <c r="BM63133" s="1025"/>
      <c r="BO63133" s="43"/>
    </row>
    <row r="63134" spans="65:67" ht="18.75" customHeight="1">
      <c r="BM63134" s="1025"/>
      <c r="BO63134" s="43"/>
    </row>
    <row r="63135" spans="65:67" ht="18.75" customHeight="1">
      <c r="BM63135" s="1025"/>
      <c r="BO63135" s="43"/>
    </row>
    <row r="63136" spans="65:67" ht="18.75" customHeight="1">
      <c r="BM63136" s="1025"/>
      <c r="BO63136" s="43"/>
    </row>
    <row r="63137" spans="65:67" ht="18.75" customHeight="1">
      <c r="BM63137" s="1025"/>
      <c r="BO63137" s="43"/>
    </row>
    <row r="63138" spans="65:67" ht="18.75" customHeight="1">
      <c r="BM63138" s="1025"/>
      <c r="BO63138" s="43"/>
    </row>
    <row r="63139" spans="65:67" ht="18.75" customHeight="1">
      <c r="BM63139" s="1025"/>
      <c r="BO63139" s="43"/>
    </row>
    <row r="63140" spans="65:67" ht="18.75" customHeight="1">
      <c r="BM63140" s="1025"/>
      <c r="BO63140" s="43"/>
    </row>
    <row r="63141" spans="65:67" ht="18.75" customHeight="1">
      <c r="BM63141" s="1025"/>
      <c r="BO63141" s="43"/>
    </row>
    <row r="63142" spans="65:67" ht="18.75" customHeight="1">
      <c r="BM63142" s="1025"/>
      <c r="BO63142" s="43"/>
    </row>
    <row r="63143" spans="65:67" ht="18.75" customHeight="1">
      <c r="BM63143" s="1025"/>
      <c r="BO63143" s="43"/>
    </row>
    <row r="63144" spans="65:67" ht="18.75" customHeight="1">
      <c r="BM63144" s="1025"/>
      <c r="BO63144" s="43"/>
    </row>
    <row r="63145" spans="65:67" ht="18.75" customHeight="1">
      <c r="BM63145" s="1025"/>
      <c r="BO63145" s="43"/>
    </row>
    <row r="63146" spans="65:67" ht="18.75" customHeight="1">
      <c r="BM63146" s="1025"/>
      <c r="BO63146" s="43"/>
    </row>
    <row r="63147" spans="65:67" ht="18.75" customHeight="1">
      <c r="BM63147" s="1025"/>
      <c r="BO63147" s="43"/>
    </row>
    <row r="63148" spans="65:67" ht="18.75" customHeight="1">
      <c r="BM63148" s="1025"/>
      <c r="BO63148" s="43"/>
    </row>
    <row r="63149" spans="65:67" ht="18.75" customHeight="1">
      <c r="BM63149" s="1025"/>
      <c r="BO63149" s="43"/>
    </row>
    <row r="63150" spans="65:67" ht="18.75" customHeight="1">
      <c r="BM63150" s="1025"/>
      <c r="BO63150" s="43"/>
    </row>
    <row r="63151" spans="65:67" ht="18.75" customHeight="1">
      <c r="BM63151" s="1025"/>
      <c r="BO63151" s="43"/>
    </row>
    <row r="63152" spans="65:67" ht="18.75" customHeight="1">
      <c r="BM63152" s="1025"/>
      <c r="BO63152" s="43"/>
    </row>
    <row r="63153" spans="65:67" ht="18.75" customHeight="1">
      <c r="BM63153" s="1025"/>
      <c r="BO63153" s="43"/>
    </row>
    <row r="63154" spans="65:67" ht="18.75" customHeight="1">
      <c r="BM63154" s="1025"/>
      <c r="BO63154" s="43"/>
    </row>
    <row r="63155" spans="65:67" ht="18.75" customHeight="1">
      <c r="BM63155" s="1025"/>
      <c r="BO63155" s="43"/>
    </row>
    <row r="63156" spans="65:67" ht="18.75" customHeight="1">
      <c r="BM63156" s="1025"/>
      <c r="BO63156" s="43"/>
    </row>
    <row r="63157" spans="65:67" ht="18.75" customHeight="1">
      <c r="BM63157" s="1025"/>
      <c r="BO63157" s="43"/>
    </row>
    <row r="63158" spans="65:67" ht="18.75" customHeight="1">
      <c r="BM63158" s="1025"/>
      <c r="BO63158" s="43"/>
    </row>
    <row r="63159" spans="65:67" ht="18.75" customHeight="1">
      <c r="BM63159" s="1025"/>
      <c r="BO63159" s="43"/>
    </row>
    <row r="63160" spans="65:67" ht="18.75" customHeight="1">
      <c r="BM63160" s="1025"/>
      <c r="BO63160" s="43"/>
    </row>
    <row r="63161" spans="65:67" ht="18.75" customHeight="1">
      <c r="BM63161" s="1025"/>
      <c r="BO63161" s="43"/>
    </row>
    <row r="63162" spans="65:67" ht="18.75" customHeight="1">
      <c r="BM63162" s="1025"/>
      <c r="BO63162" s="43"/>
    </row>
    <row r="63163" spans="65:67" ht="18.75" customHeight="1">
      <c r="BM63163" s="1025"/>
      <c r="BO63163" s="43"/>
    </row>
    <row r="63164" spans="65:67" ht="18.75" customHeight="1">
      <c r="BM63164" s="1025"/>
      <c r="BO63164" s="43"/>
    </row>
    <row r="63165" spans="65:67" ht="18.75" customHeight="1">
      <c r="BM63165" s="1025"/>
      <c r="BO63165" s="43"/>
    </row>
    <row r="63166" spans="65:67" ht="18.75" customHeight="1">
      <c r="BM63166" s="1025"/>
      <c r="BO63166" s="43"/>
    </row>
    <row r="63167" spans="65:67" ht="18.75" customHeight="1">
      <c r="BM63167" s="1025"/>
      <c r="BO63167" s="43"/>
    </row>
    <row r="63168" spans="65:67" ht="18.75" customHeight="1">
      <c r="BM63168" s="1025"/>
      <c r="BO63168" s="43"/>
    </row>
    <row r="63169" spans="65:67" ht="18.75" customHeight="1">
      <c r="BM63169" s="1025"/>
      <c r="BO63169" s="43"/>
    </row>
    <row r="63170" spans="65:67" ht="18.75" customHeight="1">
      <c r="BM63170" s="1025"/>
      <c r="BO63170" s="43"/>
    </row>
    <row r="63171" spans="65:67" ht="18.75" customHeight="1">
      <c r="BM63171" s="1025"/>
      <c r="BO63171" s="43"/>
    </row>
    <row r="63172" spans="65:67" ht="18.75" customHeight="1">
      <c r="BM63172" s="1025"/>
      <c r="BO63172" s="43"/>
    </row>
    <row r="63173" spans="65:67" ht="18.75" customHeight="1">
      <c r="BM63173" s="1025"/>
      <c r="BO63173" s="43"/>
    </row>
    <row r="63174" spans="65:67" ht="18.75" customHeight="1">
      <c r="BM63174" s="1025"/>
      <c r="BO63174" s="43"/>
    </row>
    <row r="63175" spans="65:67" ht="18.75" customHeight="1">
      <c r="BM63175" s="1025"/>
      <c r="BO63175" s="43"/>
    </row>
    <row r="63176" spans="65:67" ht="18.75" customHeight="1">
      <c r="BM63176" s="1025"/>
      <c r="BO63176" s="43"/>
    </row>
    <row r="63177" spans="65:67" ht="18.75" customHeight="1">
      <c r="BM63177" s="1025"/>
      <c r="BO63177" s="43"/>
    </row>
    <row r="63178" spans="65:67" ht="18.75" customHeight="1">
      <c r="BM63178" s="1025"/>
      <c r="BO63178" s="43"/>
    </row>
    <row r="63179" spans="65:67" ht="18.75" customHeight="1">
      <c r="BM63179" s="1025"/>
      <c r="BO63179" s="43"/>
    </row>
    <row r="63180" spans="65:67" ht="18.75" customHeight="1">
      <c r="BM63180" s="1025"/>
      <c r="BO63180" s="43"/>
    </row>
    <row r="63181" spans="65:67" ht="18.75" customHeight="1">
      <c r="BM63181" s="1025"/>
      <c r="BO63181" s="43"/>
    </row>
    <row r="63182" spans="65:67" ht="18.75" customHeight="1">
      <c r="BM63182" s="1025"/>
      <c r="BO63182" s="43"/>
    </row>
    <row r="63183" spans="65:67" ht="18.75" customHeight="1">
      <c r="BM63183" s="1025"/>
      <c r="BO63183" s="43"/>
    </row>
    <row r="63184" spans="65:67" ht="18.75" customHeight="1">
      <c r="BM63184" s="1025"/>
      <c r="BO63184" s="43"/>
    </row>
    <row r="63185" spans="65:67" ht="18.75" customHeight="1">
      <c r="BM63185" s="1025"/>
      <c r="BO63185" s="43"/>
    </row>
    <row r="63186" spans="65:67" ht="18.75" customHeight="1">
      <c r="BM63186" s="1025"/>
      <c r="BO63186" s="43"/>
    </row>
    <row r="63187" spans="65:67" ht="18.75" customHeight="1">
      <c r="BM63187" s="1025"/>
      <c r="BO63187" s="43"/>
    </row>
    <row r="63188" spans="65:67" ht="18.75" customHeight="1">
      <c r="BM63188" s="1025"/>
      <c r="BO63188" s="43"/>
    </row>
    <row r="63189" spans="65:67" ht="18.75" customHeight="1">
      <c r="BM63189" s="1025"/>
      <c r="BO63189" s="43"/>
    </row>
    <row r="63190" spans="65:67" ht="18.75" customHeight="1">
      <c r="BM63190" s="1025"/>
      <c r="BO63190" s="43"/>
    </row>
    <row r="63191" spans="65:67" ht="18.75" customHeight="1">
      <c r="BM63191" s="1025"/>
      <c r="BO63191" s="43"/>
    </row>
    <row r="63192" spans="65:67" ht="18.75" customHeight="1">
      <c r="BM63192" s="1025"/>
      <c r="BO63192" s="43"/>
    </row>
    <row r="63193" spans="65:67" ht="18.75" customHeight="1">
      <c r="BM63193" s="1025"/>
      <c r="BO63193" s="43"/>
    </row>
    <row r="63194" spans="65:67" ht="18.75" customHeight="1">
      <c r="BM63194" s="1025"/>
      <c r="BO63194" s="43"/>
    </row>
    <row r="63195" spans="65:67" ht="18.75" customHeight="1">
      <c r="BM63195" s="1025"/>
      <c r="BO63195" s="43"/>
    </row>
    <row r="63196" spans="65:67" ht="18.75" customHeight="1">
      <c r="BM63196" s="1025"/>
      <c r="BO63196" s="43"/>
    </row>
    <row r="63197" spans="65:67" ht="18.75" customHeight="1">
      <c r="BM63197" s="1025"/>
      <c r="BO63197" s="43"/>
    </row>
    <row r="63198" spans="65:67" ht="18.75" customHeight="1">
      <c r="BM63198" s="1025"/>
      <c r="BO63198" s="43"/>
    </row>
    <row r="63199" spans="65:67" ht="18.75" customHeight="1">
      <c r="BM63199" s="1025"/>
      <c r="BO63199" s="43"/>
    </row>
    <row r="63200" spans="65:67" ht="18.75" customHeight="1">
      <c r="BM63200" s="1025"/>
      <c r="BO63200" s="43"/>
    </row>
    <row r="63201" spans="65:67" ht="18.75" customHeight="1">
      <c r="BM63201" s="1025"/>
      <c r="BO63201" s="43"/>
    </row>
    <row r="63202" spans="65:67" ht="18.75" customHeight="1">
      <c r="BM63202" s="1025"/>
      <c r="BO63202" s="43"/>
    </row>
    <row r="63203" spans="65:67" ht="18.75" customHeight="1">
      <c r="BM63203" s="1025"/>
      <c r="BO63203" s="43"/>
    </row>
    <row r="63204" spans="65:67" ht="18.75" customHeight="1">
      <c r="BM63204" s="1025"/>
      <c r="BO63204" s="43"/>
    </row>
    <row r="63205" spans="65:67" ht="18.75" customHeight="1">
      <c r="BM63205" s="1025"/>
      <c r="BO63205" s="43"/>
    </row>
    <row r="63206" spans="65:67" ht="18.75" customHeight="1">
      <c r="BM63206" s="1025"/>
      <c r="BO63206" s="43"/>
    </row>
    <row r="63207" spans="65:67" ht="18.75" customHeight="1">
      <c r="BM63207" s="1025"/>
      <c r="BO63207" s="43"/>
    </row>
    <row r="63208" spans="65:67" ht="18.75" customHeight="1">
      <c r="BM63208" s="1025"/>
      <c r="BO63208" s="43"/>
    </row>
    <row r="63209" spans="65:67" ht="18.75" customHeight="1">
      <c r="BM63209" s="1025"/>
      <c r="BO63209" s="43"/>
    </row>
    <row r="63210" spans="65:67" ht="18.75" customHeight="1">
      <c r="BM63210" s="1025"/>
      <c r="BO63210" s="43"/>
    </row>
    <row r="63211" spans="65:67" ht="18.75" customHeight="1">
      <c r="BM63211" s="1025"/>
      <c r="BO63211" s="43"/>
    </row>
    <row r="63212" spans="65:67" ht="18.75" customHeight="1">
      <c r="BM63212" s="1025"/>
      <c r="BO63212" s="43"/>
    </row>
    <row r="63213" spans="65:67" ht="18.75" customHeight="1">
      <c r="BM63213" s="1025"/>
      <c r="BO63213" s="43"/>
    </row>
    <row r="63214" spans="65:67" ht="18.75" customHeight="1">
      <c r="BM63214" s="1025"/>
      <c r="BO63214" s="43"/>
    </row>
    <row r="63215" spans="65:67" ht="18.75" customHeight="1">
      <c r="BM63215" s="1025"/>
      <c r="BO63215" s="43"/>
    </row>
    <row r="63216" spans="65:67" ht="18.75" customHeight="1">
      <c r="BM63216" s="1025"/>
      <c r="BO63216" s="43"/>
    </row>
    <row r="63217" spans="65:67" ht="18.75" customHeight="1">
      <c r="BM63217" s="1025"/>
      <c r="BO63217" s="43"/>
    </row>
    <row r="63218" spans="65:67" ht="18.75" customHeight="1">
      <c r="BM63218" s="1025"/>
      <c r="BO63218" s="43"/>
    </row>
    <row r="63219" spans="65:67" ht="18.75" customHeight="1">
      <c r="BM63219" s="1025"/>
      <c r="BO63219" s="43"/>
    </row>
    <row r="63220" spans="65:67" ht="18.75" customHeight="1">
      <c r="BM63220" s="1025"/>
      <c r="BO63220" s="43"/>
    </row>
    <row r="63221" spans="65:67" ht="18.75" customHeight="1">
      <c r="BM63221" s="1025"/>
      <c r="BO63221" s="43"/>
    </row>
    <row r="63222" spans="65:67" ht="18.75" customHeight="1">
      <c r="BM63222" s="1025"/>
      <c r="BO63222" s="43"/>
    </row>
    <row r="63223" spans="65:67" ht="18.75" customHeight="1">
      <c r="BM63223" s="1025"/>
      <c r="BO63223" s="43"/>
    </row>
    <row r="63224" spans="65:67" ht="18.75" customHeight="1">
      <c r="BM63224" s="1025"/>
      <c r="BO63224" s="43"/>
    </row>
    <row r="63225" spans="65:67" ht="18.75" customHeight="1">
      <c r="BM63225" s="1025"/>
      <c r="BO63225" s="43"/>
    </row>
    <row r="63226" spans="65:67" ht="18.75" customHeight="1">
      <c r="BM63226" s="1025"/>
      <c r="BO63226" s="43"/>
    </row>
    <row r="63227" spans="65:67" ht="18.75" customHeight="1">
      <c r="BM63227" s="1025"/>
      <c r="BO63227" s="43"/>
    </row>
    <row r="63228" spans="65:67" ht="18.75" customHeight="1">
      <c r="BM63228" s="1025"/>
      <c r="BO63228" s="43"/>
    </row>
    <row r="63229" spans="65:67" ht="18.75" customHeight="1">
      <c r="BM63229" s="1025"/>
      <c r="BO63229" s="43"/>
    </row>
    <row r="63230" spans="65:67" ht="18.75" customHeight="1">
      <c r="BM63230" s="1025"/>
      <c r="BO63230" s="43"/>
    </row>
    <row r="63231" spans="65:67" ht="18.75" customHeight="1">
      <c r="BM63231" s="1025"/>
      <c r="BO63231" s="43"/>
    </row>
    <row r="63232" spans="65:67" ht="18.75" customHeight="1">
      <c r="BM63232" s="1025"/>
      <c r="BO63232" s="43"/>
    </row>
    <row r="63233" spans="65:67" ht="18.75" customHeight="1">
      <c r="BM63233" s="1025"/>
      <c r="BO63233" s="43"/>
    </row>
    <row r="63234" spans="65:67" ht="18.75" customHeight="1">
      <c r="BM63234" s="1025"/>
      <c r="BO63234" s="43"/>
    </row>
    <row r="63235" spans="65:67" ht="18.75" customHeight="1">
      <c r="BM63235" s="1025"/>
      <c r="BO63235" s="43"/>
    </row>
    <row r="63236" spans="65:67" ht="18.75" customHeight="1">
      <c r="BM63236" s="1025"/>
      <c r="BO63236" s="43"/>
    </row>
    <row r="63237" spans="65:67" ht="18.75" customHeight="1">
      <c r="BM63237" s="1025"/>
      <c r="BO63237" s="43"/>
    </row>
    <row r="63238" spans="65:67" ht="18.75" customHeight="1">
      <c r="BM63238" s="1025"/>
      <c r="BO63238" s="43"/>
    </row>
    <row r="63239" spans="65:67" ht="18.75" customHeight="1">
      <c r="BM63239" s="1025"/>
      <c r="BO63239" s="43"/>
    </row>
    <row r="63240" spans="65:67" ht="18.75" customHeight="1">
      <c r="BM63240" s="1025"/>
      <c r="BO63240" s="43"/>
    </row>
    <row r="63241" spans="65:67" ht="18.75" customHeight="1">
      <c r="BM63241" s="1025"/>
      <c r="BO63241" s="43"/>
    </row>
    <row r="63242" spans="65:67" ht="18.75" customHeight="1">
      <c r="BM63242" s="1025"/>
      <c r="BO63242" s="43"/>
    </row>
    <row r="63243" spans="65:67" ht="18.75" customHeight="1">
      <c r="BM63243" s="1025"/>
      <c r="BO63243" s="43"/>
    </row>
    <row r="63244" spans="65:67" ht="18.75" customHeight="1">
      <c r="BM63244" s="1025"/>
      <c r="BO63244" s="43"/>
    </row>
    <row r="63245" spans="65:67" ht="18.75" customHeight="1">
      <c r="BM63245" s="1025"/>
      <c r="BO63245" s="43"/>
    </row>
    <row r="63246" spans="65:67" ht="18.75" customHeight="1">
      <c r="BM63246" s="1025"/>
      <c r="BO63246" s="43"/>
    </row>
    <row r="63247" spans="65:67" ht="18.75" customHeight="1">
      <c r="BM63247" s="1025"/>
      <c r="BO63247" s="43"/>
    </row>
    <row r="63248" spans="65:67" ht="18.75" customHeight="1">
      <c r="BM63248" s="1025"/>
      <c r="BO63248" s="43"/>
    </row>
    <row r="63249" spans="65:67" ht="18.75" customHeight="1">
      <c r="BM63249" s="1025"/>
      <c r="BO63249" s="43"/>
    </row>
    <row r="63250" spans="65:67" ht="18.75" customHeight="1">
      <c r="BM63250" s="1025"/>
      <c r="BO63250" s="43"/>
    </row>
    <row r="63251" spans="65:67" ht="18.75" customHeight="1">
      <c r="BM63251" s="1025"/>
      <c r="BO63251" s="43"/>
    </row>
    <row r="63252" spans="65:67" ht="18.75" customHeight="1">
      <c r="BM63252" s="1025"/>
      <c r="BO63252" s="43"/>
    </row>
    <row r="63253" spans="65:67" ht="18.75" customHeight="1">
      <c r="BM63253" s="1025"/>
      <c r="BO63253" s="43"/>
    </row>
    <row r="63254" spans="65:67" ht="18.75" customHeight="1">
      <c r="BM63254" s="1025"/>
      <c r="BO63254" s="43"/>
    </row>
    <row r="63255" spans="65:67" ht="18.75" customHeight="1">
      <c r="BM63255" s="1025"/>
      <c r="BO63255" s="43"/>
    </row>
    <row r="63256" spans="65:67" ht="18.75" customHeight="1">
      <c r="BM63256" s="1025"/>
      <c r="BO63256" s="43"/>
    </row>
    <row r="63257" spans="65:67" ht="18.75" customHeight="1">
      <c r="BM63257" s="1025"/>
      <c r="BO63257" s="43"/>
    </row>
    <row r="63258" spans="65:67" ht="18.75" customHeight="1">
      <c r="BM63258" s="1025"/>
      <c r="BO63258" s="43"/>
    </row>
    <row r="63259" spans="65:67" ht="18.75" customHeight="1">
      <c r="BM63259" s="1025"/>
      <c r="BO63259" s="43"/>
    </row>
    <row r="63260" spans="65:67" ht="18.75" customHeight="1">
      <c r="BM63260" s="1025"/>
      <c r="BO63260" s="43"/>
    </row>
    <row r="63261" spans="65:67" ht="18.75" customHeight="1">
      <c r="BM63261" s="1025"/>
      <c r="BO63261" s="43"/>
    </row>
    <row r="63262" spans="65:67" ht="18.75" customHeight="1">
      <c r="BM63262" s="1025"/>
      <c r="BO63262" s="43"/>
    </row>
    <row r="63263" spans="65:67" ht="18.75" customHeight="1">
      <c r="BM63263" s="1025"/>
      <c r="BO63263" s="43"/>
    </row>
    <row r="63264" spans="65:67" ht="18.75" customHeight="1">
      <c r="BM63264" s="1025"/>
      <c r="BO63264" s="43"/>
    </row>
    <row r="63265" spans="65:67" ht="18.75" customHeight="1">
      <c r="BM63265" s="1025"/>
      <c r="BO63265" s="43"/>
    </row>
    <row r="63266" spans="65:67" ht="18.75" customHeight="1">
      <c r="BM63266" s="1025"/>
      <c r="BO63266" s="43"/>
    </row>
    <row r="63267" spans="65:67" ht="18.75" customHeight="1">
      <c r="BM63267" s="1025"/>
      <c r="BO63267" s="43"/>
    </row>
    <row r="63268" spans="65:67" ht="18.75" customHeight="1">
      <c r="BM63268" s="1025"/>
      <c r="BO63268" s="43"/>
    </row>
    <row r="63269" spans="65:67" ht="18.75" customHeight="1">
      <c r="BM63269" s="1025"/>
      <c r="BO63269" s="43"/>
    </row>
    <row r="63270" spans="65:67" ht="18.75" customHeight="1">
      <c r="BM63270" s="1025"/>
      <c r="BO63270" s="43"/>
    </row>
    <row r="63271" spans="65:67" ht="18.75" customHeight="1">
      <c r="BM63271" s="1025"/>
      <c r="BO63271" s="43"/>
    </row>
    <row r="63272" spans="65:67" ht="18.75" customHeight="1">
      <c r="BM63272" s="1025"/>
      <c r="BO63272" s="43"/>
    </row>
    <row r="63273" spans="65:67" ht="18.75" customHeight="1">
      <c r="BM63273" s="1025"/>
      <c r="BO63273" s="43"/>
    </row>
    <row r="63274" spans="65:67" ht="18.75" customHeight="1">
      <c r="BM63274" s="1025"/>
      <c r="BO63274" s="43"/>
    </row>
    <row r="63275" spans="65:67" ht="18.75" customHeight="1">
      <c r="BM63275" s="1025"/>
      <c r="BO63275" s="43"/>
    </row>
    <row r="63276" spans="65:67" ht="18.75" customHeight="1">
      <c r="BM63276" s="1025"/>
      <c r="BO63276" s="43"/>
    </row>
    <row r="63277" spans="65:67" ht="18.75" customHeight="1">
      <c r="BM63277" s="1025"/>
      <c r="BO63277" s="43"/>
    </row>
    <row r="63278" spans="65:67" ht="18.75" customHeight="1">
      <c r="BM63278" s="1025"/>
      <c r="BO63278" s="43"/>
    </row>
    <row r="63279" spans="65:67" ht="18.75" customHeight="1">
      <c r="BM63279" s="1025"/>
      <c r="BO63279" s="43"/>
    </row>
    <row r="63280" spans="65:67" ht="18.75" customHeight="1">
      <c r="BM63280" s="1025"/>
      <c r="BO63280" s="43"/>
    </row>
    <row r="63281" spans="65:67" ht="18.75" customHeight="1">
      <c r="BM63281" s="1025"/>
      <c r="BO63281" s="43"/>
    </row>
    <row r="63282" spans="65:67" ht="18.75" customHeight="1">
      <c r="BM63282" s="1025"/>
      <c r="BO63282" s="43"/>
    </row>
    <row r="63283" spans="65:67" ht="18.75" customHeight="1">
      <c r="BM63283" s="1025"/>
      <c r="BO63283" s="43"/>
    </row>
    <row r="63284" spans="65:67" ht="18.75" customHeight="1">
      <c r="BM63284" s="1025"/>
      <c r="BO63284" s="43"/>
    </row>
    <row r="63285" spans="65:67" ht="18.75" customHeight="1">
      <c r="BM63285" s="1025"/>
      <c r="BO63285" s="43"/>
    </row>
    <row r="63286" spans="65:67" ht="18.75" customHeight="1">
      <c r="BM63286" s="1025"/>
      <c r="BO63286" s="43"/>
    </row>
    <row r="63287" spans="65:67" ht="18.75" customHeight="1">
      <c r="BM63287" s="1025"/>
      <c r="BO63287" s="43"/>
    </row>
    <row r="63288" spans="65:67" ht="18.75" customHeight="1">
      <c r="BM63288" s="1025"/>
      <c r="BO63288" s="43"/>
    </row>
    <row r="63289" spans="65:67" ht="18.75" customHeight="1">
      <c r="BM63289" s="1025"/>
      <c r="BO63289" s="43"/>
    </row>
    <row r="63290" spans="65:67" ht="18.75" customHeight="1">
      <c r="BM63290" s="1025"/>
      <c r="BO63290" s="43"/>
    </row>
    <row r="63291" spans="65:67" ht="18.75" customHeight="1">
      <c r="BM63291" s="1025"/>
      <c r="BO63291" s="43"/>
    </row>
    <row r="63292" spans="65:67" ht="18.75" customHeight="1">
      <c r="BM63292" s="1025"/>
      <c r="BO63292" s="43"/>
    </row>
    <row r="63293" spans="65:67" ht="18.75" customHeight="1">
      <c r="BM63293" s="1025"/>
      <c r="BO63293" s="43"/>
    </row>
    <row r="63294" spans="65:67" ht="18.75" customHeight="1">
      <c r="BM63294" s="1025"/>
      <c r="BO63294" s="43"/>
    </row>
    <row r="63295" spans="65:67" ht="18.75" customHeight="1">
      <c r="BM63295" s="1025"/>
      <c r="BO63295" s="43"/>
    </row>
    <row r="63296" spans="65:67" ht="18.75" customHeight="1">
      <c r="BM63296" s="1025"/>
      <c r="BO63296" s="43"/>
    </row>
    <row r="63297" spans="65:67" ht="18.75" customHeight="1">
      <c r="BM63297" s="1025"/>
      <c r="BO63297" s="43"/>
    </row>
    <row r="63298" spans="65:67" ht="18.75" customHeight="1">
      <c r="BM63298" s="1025"/>
      <c r="BO63298" s="43"/>
    </row>
    <row r="63299" spans="65:67" ht="18.75" customHeight="1">
      <c r="BM63299" s="1025"/>
      <c r="BO63299" s="43"/>
    </row>
    <row r="63300" spans="65:67" ht="18.75" customHeight="1">
      <c r="BM63300" s="1025"/>
      <c r="BO63300" s="43"/>
    </row>
    <row r="63301" spans="65:67" ht="18.75" customHeight="1">
      <c r="BM63301" s="1025"/>
      <c r="BO63301" s="43"/>
    </row>
    <row r="63302" spans="65:67" ht="18.75" customHeight="1">
      <c r="BM63302" s="1025"/>
      <c r="BO63302" s="43"/>
    </row>
    <row r="63303" spans="65:67" ht="18.75" customHeight="1">
      <c r="BM63303" s="1025"/>
      <c r="BO63303" s="43"/>
    </row>
    <row r="63304" spans="65:67" ht="18.75" customHeight="1">
      <c r="BM63304" s="1025"/>
      <c r="BO63304" s="43"/>
    </row>
    <row r="63305" spans="65:67" ht="18.75" customHeight="1">
      <c r="BM63305" s="1025"/>
      <c r="BO63305" s="43"/>
    </row>
    <row r="63306" spans="65:67" ht="18.75" customHeight="1">
      <c r="BM63306" s="1025"/>
      <c r="BO63306" s="43"/>
    </row>
    <row r="63307" spans="65:67" ht="18.75" customHeight="1">
      <c r="BM63307" s="1025"/>
      <c r="BO63307" s="43"/>
    </row>
    <row r="63308" spans="65:67" ht="18.75" customHeight="1">
      <c r="BM63308" s="1025"/>
      <c r="BO63308" s="43"/>
    </row>
    <row r="63309" spans="65:67" ht="18.75" customHeight="1">
      <c r="BM63309" s="1025"/>
      <c r="BO63309" s="43"/>
    </row>
    <row r="63310" spans="65:67" ht="18.75" customHeight="1">
      <c r="BM63310" s="1025"/>
      <c r="BO63310" s="43"/>
    </row>
    <row r="63311" spans="65:67" ht="18.75" customHeight="1">
      <c r="BM63311" s="1025"/>
      <c r="BO63311" s="43"/>
    </row>
    <row r="63312" spans="65:67" ht="18.75" customHeight="1">
      <c r="BM63312" s="1025"/>
      <c r="BO63312" s="43"/>
    </row>
    <row r="63313" spans="65:67" ht="18.75" customHeight="1">
      <c r="BM63313" s="1025"/>
      <c r="BO63313" s="43"/>
    </row>
    <row r="63314" spans="65:67" ht="18.75" customHeight="1">
      <c r="BM63314" s="1025"/>
      <c r="BO63314" s="43"/>
    </row>
    <row r="63315" spans="65:67" ht="18.75" customHeight="1">
      <c r="BM63315" s="1025"/>
      <c r="BO63315" s="43"/>
    </row>
    <row r="63316" spans="65:67" ht="18.75" customHeight="1">
      <c r="BM63316" s="1025"/>
      <c r="BO63316" s="43"/>
    </row>
    <row r="63317" spans="65:67" ht="18.75" customHeight="1">
      <c r="BM63317" s="1025"/>
      <c r="BO63317" s="43"/>
    </row>
    <row r="63318" spans="65:67" ht="18.75" customHeight="1">
      <c r="BM63318" s="1025"/>
      <c r="BO63318" s="43"/>
    </row>
    <row r="63319" spans="65:67" ht="18.75" customHeight="1">
      <c r="BM63319" s="1025"/>
      <c r="BO63319" s="43"/>
    </row>
    <row r="63320" spans="65:67" ht="18.75" customHeight="1">
      <c r="BM63320" s="1025"/>
      <c r="BO63320" s="43"/>
    </row>
    <row r="63321" spans="65:67" ht="18.75" customHeight="1">
      <c r="BM63321" s="1025"/>
      <c r="BO63321" s="43"/>
    </row>
    <row r="63322" spans="65:67" ht="18.75" customHeight="1">
      <c r="BM63322" s="1025"/>
      <c r="BO63322" s="43"/>
    </row>
    <row r="63323" spans="65:67" ht="18.75" customHeight="1">
      <c r="BM63323" s="1025"/>
      <c r="BO63323" s="43"/>
    </row>
    <row r="63324" spans="65:67" ht="18.75" customHeight="1">
      <c r="BM63324" s="1025"/>
      <c r="BO63324" s="43"/>
    </row>
    <row r="63325" spans="65:67" ht="18.75" customHeight="1">
      <c r="BM63325" s="1025"/>
      <c r="BO63325" s="43"/>
    </row>
    <row r="63326" spans="65:67" ht="18.75" customHeight="1">
      <c r="BM63326" s="1025"/>
      <c r="BO63326" s="43"/>
    </row>
    <row r="63327" spans="65:67" ht="18.75" customHeight="1">
      <c r="BM63327" s="1025"/>
      <c r="BO63327" s="43"/>
    </row>
    <row r="63328" spans="65:67" ht="18.75" customHeight="1">
      <c r="BM63328" s="1025"/>
      <c r="BO63328" s="43"/>
    </row>
    <row r="63329" spans="65:67" ht="18.75" customHeight="1">
      <c r="BM63329" s="1025"/>
      <c r="BO63329" s="43"/>
    </row>
    <row r="63330" spans="65:67" ht="18.75" customHeight="1">
      <c r="BM63330" s="1025"/>
      <c r="BO63330" s="43"/>
    </row>
    <row r="63331" spans="65:67" ht="18.75" customHeight="1">
      <c r="BM63331" s="1025"/>
      <c r="BO63331" s="43"/>
    </row>
    <row r="63332" spans="65:67" ht="18.75" customHeight="1">
      <c r="BM63332" s="1025"/>
      <c r="BO63332" s="43"/>
    </row>
    <row r="63333" spans="65:67" ht="18.75" customHeight="1">
      <c r="BM63333" s="1025"/>
      <c r="BO63333" s="43"/>
    </row>
    <row r="63334" spans="65:67" ht="18.75" customHeight="1">
      <c r="BM63334" s="1025"/>
      <c r="BO63334" s="43"/>
    </row>
    <row r="63335" spans="65:67" ht="18.75" customHeight="1">
      <c r="BM63335" s="1025"/>
      <c r="BO63335" s="43"/>
    </row>
    <row r="63336" spans="65:67" ht="18.75" customHeight="1">
      <c r="BM63336" s="1025"/>
      <c r="BO63336" s="43"/>
    </row>
    <row r="63337" spans="65:67" ht="18.75" customHeight="1">
      <c r="BM63337" s="1025"/>
      <c r="BO63337" s="43"/>
    </row>
    <row r="63338" spans="65:67" ht="18.75" customHeight="1">
      <c r="BM63338" s="1025"/>
      <c r="BO63338" s="43"/>
    </row>
    <row r="63339" spans="65:67" ht="18.75" customHeight="1">
      <c r="BM63339" s="1025"/>
      <c r="BO63339" s="43"/>
    </row>
    <row r="63340" spans="65:67" ht="18.75" customHeight="1">
      <c r="BM63340" s="1025"/>
      <c r="BO63340" s="43"/>
    </row>
    <row r="63341" spans="65:67" ht="18.75" customHeight="1">
      <c r="BM63341" s="1025"/>
      <c r="BO63341" s="43"/>
    </row>
    <row r="63342" spans="65:67" ht="18.75" customHeight="1">
      <c r="BM63342" s="1025"/>
      <c r="BO63342" s="43"/>
    </row>
    <row r="63343" spans="65:67" ht="18.75" customHeight="1">
      <c r="BM63343" s="1025"/>
      <c r="BO63343" s="43"/>
    </row>
    <row r="63344" spans="65:67" ht="18.75" customHeight="1">
      <c r="BM63344" s="1025"/>
      <c r="BO63344" s="43"/>
    </row>
    <row r="63345" spans="65:67" ht="18.75" customHeight="1">
      <c r="BM63345" s="1025"/>
      <c r="BO63345" s="43"/>
    </row>
    <row r="63346" spans="65:67" ht="18.75" customHeight="1">
      <c r="BM63346" s="1025"/>
      <c r="BO63346" s="43"/>
    </row>
    <row r="63347" spans="65:67" ht="18.75" customHeight="1">
      <c r="BM63347" s="1025"/>
      <c r="BO63347" s="43"/>
    </row>
    <row r="63348" spans="65:67" ht="18.75" customHeight="1">
      <c r="BM63348" s="1025"/>
      <c r="BO63348" s="43"/>
    </row>
    <row r="63349" spans="65:67" ht="18.75" customHeight="1">
      <c r="BM63349" s="1025"/>
      <c r="BO63349" s="43"/>
    </row>
    <row r="63350" spans="65:67" ht="18.75" customHeight="1">
      <c r="BM63350" s="1025"/>
      <c r="BO63350" s="43"/>
    </row>
    <row r="63351" spans="65:67" ht="18.75" customHeight="1">
      <c r="BM63351" s="1025"/>
      <c r="BO63351" s="43"/>
    </row>
    <row r="63352" spans="65:67" ht="18.75" customHeight="1">
      <c r="BM63352" s="1025"/>
      <c r="BO63352" s="43"/>
    </row>
    <row r="63353" spans="65:67" ht="18.75" customHeight="1">
      <c r="BM63353" s="1025"/>
      <c r="BO63353" s="43"/>
    </row>
    <row r="63354" spans="65:67" ht="18.75" customHeight="1">
      <c r="BM63354" s="1025"/>
      <c r="BO63354" s="43"/>
    </row>
    <row r="63355" spans="65:67" ht="18.75" customHeight="1">
      <c r="BM63355" s="1025"/>
      <c r="BO63355" s="43"/>
    </row>
    <row r="63356" spans="65:67" ht="18.75" customHeight="1">
      <c r="BM63356" s="1025"/>
      <c r="BO63356" s="43"/>
    </row>
    <row r="63357" spans="65:67" ht="18.75" customHeight="1">
      <c r="BM63357" s="1025"/>
      <c r="BO63357" s="43"/>
    </row>
    <row r="63358" spans="65:67" ht="18.75" customHeight="1">
      <c r="BM63358" s="1025"/>
      <c r="BO63358" s="43"/>
    </row>
    <row r="63359" spans="65:67" ht="18.75" customHeight="1">
      <c r="BM63359" s="1025"/>
      <c r="BO63359" s="43"/>
    </row>
    <row r="63360" spans="65:67" ht="18.75" customHeight="1">
      <c r="BM63360" s="1025"/>
      <c r="BO63360" s="43"/>
    </row>
    <row r="63361" spans="65:67" ht="18.75" customHeight="1">
      <c r="BM63361" s="1025"/>
      <c r="BO63361" s="43"/>
    </row>
    <row r="63362" spans="65:67" ht="18.75" customHeight="1">
      <c r="BM63362" s="1025"/>
      <c r="BO63362" s="43"/>
    </row>
    <row r="63363" spans="65:67" ht="18.75" customHeight="1">
      <c r="BM63363" s="1025"/>
      <c r="BO63363" s="43"/>
    </row>
    <row r="63364" spans="65:67" ht="18.75" customHeight="1">
      <c r="BM63364" s="1025"/>
      <c r="BO63364" s="43"/>
    </row>
    <row r="63365" spans="65:67" ht="18.75" customHeight="1">
      <c r="BM63365" s="1025"/>
      <c r="BO63365" s="43"/>
    </row>
    <row r="63366" spans="65:67" ht="18.75" customHeight="1">
      <c r="BM63366" s="1025"/>
      <c r="BO63366" s="43"/>
    </row>
    <row r="63367" spans="65:67" ht="18.75" customHeight="1">
      <c r="BM63367" s="1025"/>
      <c r="BO63367" s="43"/>
    </row>
    <row r="63368" spans="65:67" ht="18.75" customHeight="1">
      <c r="BM63368" s="1025"/>
      <c r="BO63368" s="43"/>
    </row>
    <row r="63369" spans="65:67" ht="18.75" customHeight="1">
      <c r="BM63369" s="1025"/>
      <c r="BO63369" s="43"/>
    </row>
    <row r="63370" spans="65:67" ht="18.75" customHeight="1">
      <c r="BM63370" s="1025"/>
      <c r="BO63370" s="43"/>
    </row>
    <row r="63371" spans="65:67" ht="18.75" customHeight="1">
      <c r="BM63371" s="1025"/>
      <c r="BO63371" s="43"/>
    </row>
    <row r="63372" spans="65:67" ht="18.75" customHeight="1">
      <c r="BM63372" s="1025"/>
      <c r="BO63372" s="43"/>
    </row>
    <row r="63373" spans="65:67" ht="18.75" customHeight="1">
      <c r="BM63373" s="1025"/>
      <c r="BO63373" s="43"/>
    </row>
    <row r="63374" spans="65:67" ht="18.75" customHeight="1">
      <c r="BM63374" s="1025"/>
      <c r="BO63374" s="43"/>
    </row>
    <row r="63375" spans="65:67" ht="18.75" customHeight="1">
      <c r="BM63375" s="1025"/>
      <c r="BO63375" s="43"/>
    </row>
    <row r="63376" spans="65:67" ht="18.75" customHeight="1">
      <c r="BM63376" s="1025"/>
      <c r="BO63376" s="43"/>
    </row>
    <row r="63377" spans="65:67" ht="18.75" customHeight="1">
      <c r="BM63377" s="1025"/>
      <c r="BO63377" s="43"/>
    </row>
    <row r="63378" spans="65:67" ht="18.75" customHeight="1">
      <c r="BM63378" s="1025"/>
      <c r="BO63378" s="43"/>
    </row>
    <row r="63379" spans="65:67" ht="18.75" customHeight="1">
      <c r="BM63379" s="1025"/>
      <c r="BO63379" s="43"/>
    </row>
    <row r="63380" spans="65:67" ht="18.75" customHeight="1">
      <c r="BM63380" s="1025"/>
      <c r="BO63380" s="43"/>
    </row>
    <row r="63381" spans="65:67" ht="18.75" customHeight="1">
      <c r="BM63381" s="1025"/>
      <c r="BO63381" s="43"/>
    </row>
    <row r="63382" spans="65:67" ht="18.75" customHeight="1">
      <c r="BM63382" s="1025"/>
      <c r="BO63382" s="43"/>
    </row>
    <row r="63383" spans="65:67" ht="18.75" customHeight="1">
      <c r="BM63383" s="1025"/>
      <c r="BO63383" s="43"/>
    </row>
    <row r="63384" spans="65:67" ht="18.75" customHeight="1">
      <c r="BM63384" s="1025"/>
      <c r="BO63384" s="43"/>
    </row>
    <row r="63385" spans="65:67" ht="18.75" customHeight="1">
      <c r="BM63385" s="1025"/>
      <c r="BO63385" s="43"/>
    </row>
    <row r="63386" spans="65:67" ht="18.75" customHeight="1">
      <c r="BM63386" s="1025"/>
      <c r="BO63386" s="43"/>
    </row>
    <row r="63387" spans="65:67" ht="18.75" customHeight="1">
      <c r="BM63387" s="1025"/>
      <c r="BO63387" s="43"/>
    </row>
    <row r="63388" spans="65:67" ht="18.75" customHeight="1">
      <c r="BM63388" s="1025"/>
      <c r="BO63388" s="43"/>
    </row>
    <row r="63389" spans="65:67" ht="18.75" customHeight="1">
      <c r="BM63389" s="1025"/>
      <c r="BO63389" s="43"/>
    </row>
    <row r="63390" spans="65:67" ht="18.75" customHeight="1">
      <c r="BM63390" s="1025"/>
      <c r="BO63390" s="43"/>
    </row>
    <row r="63391" spans="65:67" ht="18.75" customHeight="1">
      <c r="BM63391" s="1025"/>
      <c r="BO63391" s="43"/>
    </row>
    <row r="63392" spans="65:67" ht="18.75" customHeight="1">
      <c r="BM63392" s="1025"/>
      <c r="BO63392" s="43"/>
    </row>
    <row r="63393" spans="65:67" ht="18.75" customHeight="1">
      <c r="BM63393" s="1025"/>
      <c r="BO63393" s="43"/>
    </row>
    <row r="63394" spans="65:67" ht="18.75" customHeight="1">
      <c r="BM63394" s="1025"/>
      <c r="BO63394" s="43"/>
    </row>
    <row r="63395" spans="65:67" ht="18.75" customHeight="1">
      <c r="BM63395" s="1025"/>
      <c r="BO63395" s="43"/>
    </row>
    <row r="63396" spans="65:67" ht="18.75" customHeight="1">
      <c r="BM63396" s="1025"/>
      <c r="BO63396" s="43"/>
    </row>
    <row r="63397" spans="65:67" ht="18.75" customHeight="1">
      <c r="BM63397" s="1025"/>
      <c r="BO63397" s="43"/>
    </row>
    <row r="63398" spans="65:67" ht="18.75" customHeight="1">
      <c r="BM63398" s="1025"/>
      <c r="BO63398" s="43"/>
    </row>
    <row r="63399" spans="65:67" ht="18.75" customHeight="1">
      <c r="BM63399" s="1025"/>
      <c r="BO63399" s="43"/>
    </row>
    <row r="63400" spans="65:67" ht="18.75" customHeight="1">
      <c r="BM63400" s="1025"/>
      <c r="BO63400" s="43"/>
    </row>
    <row r="63401" spans="65:67" ht="18.75" customHeight="1">
      <c r="BM63401" s="1025"/>
      <c r="BO63401" s="43"/>
    </row>
    <row r="63402" spans="65:67" ht="18.75" customHeight="1">
      <c r="BM63402" s="1025"/>
      <c r="BO63402" s="43"/>
    </row>
    <row r="63403" spans="65:67" ht="18.75" customHeight="1">
      <c r="BM63403" s="1025"/>
      <c r="BO63403" s="43"/>
    </row>
    <row r="63404" spans="65:67" ht="18.75" customHeight="1">
      <c r="BM63404" s="1025"/>
      <c r="BO63404" s="43"/>
    </row>
    <row r="63405" spans="65:67" ht="18.75" customHeight="1">
      <c r="BM63405" s="1025"/>
      <c r="BO63405" s="43"/>
    </row>
    <row r="63406" spans="65:67" ht="18.75" customHeight="1">
      <c r="BM63406" s="1025"/>
      <c r="BO63406" s="43"/>
    </row>
    <row r="63407" spans="65:67" ht="18.75" customHeight="1">
      <c r="BM63407" s="1025"/>
      <c r="BO63407" s="43"/>
    </row>
    <row r="63408" spans="65:67" ht="18.75" customHeight="1">
      <c r="BM63408" s="1025"/>
      <c r="BO63408" s="43"/>
    </row>
    <row r="63409" spans="65:67" ht="18.75" customHeight="1">
      <c r="BM63409" s="1025"/>
      <c r="BO63409" s="43"/>
    </row>
    <row r="63410" spans="65:67" ht="18.75" customHeight="1">
      <c r="BM63410" s="1025"/>
      <c r="BO63410" s="43"/>
    </row>
    <row r="63411" spans="65:67" ht="18.75" customHeight="1">
      <c r="BM63411" s="1025"/>
      <c r="BO63411" s="43"/>
    </row>
    <row r="63412" spans="65:67" ht="18.75" customHeight="1">
      <c r="BM63412" s="1025"/>
      <c r="BO63412" s="43"/>
    </row>
    <row r="63413" spans="65:67" ht="18.75" customHeight="1">
      <c r="BM63413" s="1025"/>
      <c r="BO63413" s="43"/>
    </row>
    <row r="63414" spans="65:67" ht="18.75" customHeight="1">
      <c r="BM63414" s="1025"/>
      <c r="BO63414" s="43"/>
    </row>
    <row r="63415" spans="65:67" ht="18.75" customHeight="1">
      <c r="BM63415" s="1025"/>
      <c r="BO63415" s="43"/>
    </row>
    <row r="63416" spans="65:67" ht="18.75" customHeight="1">
      <c r="BM63416" s="1025"/>
      <c r="BO63416" s="43"/>
    </row>
    <row r="63417" spans="65:67" ht="18.75" customHeight="1">
      <c r="BM63417" s="1025"/>
      <c r="BO63417" s="43"/>
    </row>
    <row r="63418" spans="65:67" ht="18.75" customHeight="1">
      <c r="BM63418" s="1025"/>
      <c r="BO63418" s="43"/>
    </row>
    <row r="63419" spans="65:67" ht="18.75" customHeight="1">
      <c r="BM63419" s="1025"/>
      <c r="BO63419" s="43"/>
    </row>
    <row r="63420" spans="65:67" ht="18.75" customHeight="1">
      <c r="BM63420" s="1025"/>
      <c r="BO63420" s="43"/>
    </row>
    <row r="63421" spans="65:67" ht="18.75" customHeight="1">
      <c r="BM63421" s="1025"/>
      <c r="BO63421" s="43"/>
    </row>
    <row r="63422" spans="65:67" ht="18.75" customHeight="1">
      <c r="BM63422" s="1025"/>
      <c r="BO63422" s="43"/>
    </row>
    <row r="63423" spans="65:67" ht="18.75" customHeight="1">
      <c r="BM63423" s="1025"/>
      <c r="BO63423" s="43"/>
    </row>
    <row r="63424" spans="65:67" ht="18.75" customHeight="1">
      <c r="BM63424" s="1025"/>
      <c r="BO63424" s="43"/>
    </row>
    <row r="63425" spans="65:67" ht="18.75" customHeight="1">
      <c r="BM63425" s="1025"/>
      <c r="BO63425" s="43"/>
    </row>
    <row r="63426" spans="65:67" ht="18.75" customHeight="1">
      <c r="BM63426" s="1025"/>
      <c r="BO63426" s="43"/>
    </row>
    <row r="63427" spans="65:67" ht="18.75" customHeight="1">
      <c r="BM63427" s="1025"/>
      <c r="BO63427" s="43"/>
    </row>
    <row r="63428" spans="65:67" ht="18.75" customHeight="1">
      <c r="BM63428" s="1025"/>
      <c r="BO63428" s="43"/>
    </row>
    <row r="63429" spans="65:67" ht="18.75" customHeight="1">
      <c r="BM63429" s="1025"/>
      <c r="BO63429" s="43"/>
    </row>
    <row r="63430" spans="65:67" ht="18.75" customHeight="1">
      <c r="BM63430" s="1025"/>
      <c r="BO63430" s="43"/>
    </row>
    <row r="63431" spans="65:67" ht="18.75" customHeight="1">
      <c r="BM63431" s="1025"/>
      <c r="BO63431" s="43"/>
    </row>
    <row r="63432" spans="65:67" ht="18.75" customHeight="1">
      <c r="BM63432" s="1025"/>
      <c r="BO63432" s="43"/>
    </row>
    <row r="63433" spans="65:67" ht="18.75" customHeight="1">
      <c r="BM63433" s="1025"/>
      <c r="BO63433" s="43"/>
    </row>
    <row r="63434" spans="65:67" ht="18.75" customHeight="1">
      <c r="BM63434" s="1025"/>
      <c r="BO63434" s="43"/>
    </row>
    <row r="63435" spans="65:67" ht="18.75" customHeight="1">
      <c r="BM63435" s="1025"/>
      <c r="BO63435" s="43"/>
    </row>
    <row r="63436" spans="65:67" ht="18.75" customHeight="1">
      <c r="BM63436" s="1025"/>
      <c r="BO63436" s="43"/>
    </row>
    <row r="63437" spans="65:67" ht="18.75" customHeight="1">
      <c r="BM63437" s="1025"/>
      <c r="BO63437" s="43"/>
    </row>
    <row r="63438" spans="65:67" ht="18.75" customHeight="1">
      <c r="BM63438" s="1025"/>
      <c r="BO63438" s="43"/>
    </row>
    <row r="63439" spans="65:67" ht="18.75" customHeight="1">
      <c r="BM63439" s="1025"/>
      <c r="BO63439" s="43"/>
    </row>
    <row r="63440" spans="65:67" ht="18.75" customHeight="1">
      <c r="BM63440" s="1025"/>
      <c r="BO63440" s="43"/>
    </row>
    <row r="63441" spans="65:67" ht="18.75" customHeight="1">
      <c r="BM63441" s="1025"/>
      <c r="BO63441" s="43"/>
    </row>
    <row r="63442" spans="65:67" ht="18.75" customHeight="1">
      <c r="BM63442" s="1025"/>
      <c r="BO63442" s="43"/>
    </row>
    <row r="63443" spans="65:67" ht="18.75" customHeight="1">
      <c r="BM63443" s="1025"/>
      <c r="BO63443" s="43"/>
    </row>
    <row r="63444" spans="65:67" ht="18.75" customHeight="1">
      <c r="BM63444" s="1025"/>
      <c r="BO63444" s="43"/>
    </row>
    <row r="63445" spans="65:67" ht="18.75" customHeight="1">
      <c r="BM63445" s="1025"/>
      <c r="BO63445" s="43"/>
    </row>
    <row r="63446" spans="65:67" ht="18.75" customHeight="1">
      <c r="BM63446" s="1025"/>
      <c r="BO63446" s="43"/>
    </row>
    <row r="63447" spans="65:67" ht="18.75" customHeight="1">
      <c r="BM63447" s="1025"/>
      <c r="BO63447" s="43"/>
    </row>
    <row r="63448" spans="65:67" ht="18.75" customHeight="1">
      <c r="BM63448" s="1025"/>
      <c r="BO63448" s="43"/>
    </row>
    <row r="63449" spans="65:67" ht="18.75" customHeight="1">
      <c r="BM63449" s="1025"/>
      <c r="BO63449" s="43"/>
    </row>
    <row r="63450" spans="65:67" ht="18.75" customHeight="1">
      <c r="BM63450" s="1025"/>
      <c r="BO63450" s="43"/>
    </row>
    <row r="63451" spans="65:67" ht="18.75" customHeight="1">
      <c r="BM63451" s="1025"/>
      <c r="BO63451" s="43"/>
    </row>
    <row r="63452" spans="65:67" ht="18.75" customHeight="1">
      <c r="BM63452" s="1025"/>
      <c r="BO63452" s="43"/>
    </row>
    <row r="63453" spans="65:67" ht="18.75" customHeight="1">
      <c r="BM63453" s="1025"/>
      <c r="BO63453" s="43"/>
    </row>
    <row r="63454" spans="65:67" ht="18.75" customHeight="1">
      <c r="BM63454" s="1025"/>
      <c r="BO63454" s="43"/>
    </row>
    <row r="63455" spans="65:67" ht="18.75" customHeight="1">
      <c r="BM63455" s="1025"/>
      <c r="BO63455" s="43"/>
    </row>
    <row r="63456" spans="65:67" ht="18.75" customHeight="1">
      <c r="BM63456" s="1025"/>
      <c r="BO63456" s="43"/>
    </row>
    <row r="63457" spans="65:67" ht="18.75" customHeight="1">
      <c r="BM63457" s="1025"/>
      <c r="BO63457" s="43"/>
    </row>
    <row r="63458" spans="65:67" ht="18.75" customHeight="1">
      <c r="BM63458" s="1025"/>
      <c r="BO63458" s="43"/>
    </row>
    <row r="63459" spans="65:67" ht="18.75" customHeight="1">
      <c r="BM63459" s="1025"/>
      <c r="BO63459" s="43"/>
    </row>
    <row r="63460" spans="65:67" ht="18.75" customHeight="1">
      <c r="BM63460" s="1025"/>
      <c r="BO63460" s="43"/>
    </row>
    <row r="63461" spans="65:67" ht="18.75" customHeight="1">
      <c r="BM63461" s="1025"/>
      <c r="BO63461" s="43"/>
    </row>
    <row r="63462" spans="65:67" ht="18.75" customHeight="1">
      <c r="BM63462" s="1025"/>
      <c r="BO63462" s="43"/>
    </row>
    <row r="63463" spans="65:67" ht="18.75" customHeight="1">
      <c r="BM63463" s="1025"/>
      <c r="BO63463" s="43"/>
    </row>
    <row r="63464" spans="65:67" ht="18.75" customHeight="1">
      <c r="BM63464" s="1025"/>
      <c r="BO63464" s="43"/>
    </row>
    <row r="63465" spans="65:67" ht="18.75" customHeight="1">
      <c r="BM63465" s="1025"/>
      <c r="BO63465" s="43"/>
    </row>
    <row r="63466" spans="65:67" ht="18.75" customHeight="1">
      <c r="BM63466" s="1025"/>
      <c r="BO63466" s="43"/>
    </row>
    <row r="63467" spans="65:67" ht="18.75" customHeight="1">
      <c r="BM63467" s="1025"/>
      <c r="BO63467" s="43"/>
    </row>
    <row r="63468" spans="65:67" ht="18.75" customHeight="1">
      <c r="BM63468" s="1025"/>
      <c r="BO63468" s="43"/>
    </row>
    <row r="63469" spans="65:67" ht="18.75" customHeight="1">
      <c r="BM63469" s="1025"/>
      <c r="BO63469" s="43"/>
    </row>
    <row r="63470" spans="65:67" ht="18.75" customHeight="1">
      <c r="BM63470" s="1025"/>
      <c r="BO63470" s="43"/>
    </row>
    <row r="63471" spans="65:67" ht="18.75" customHeight="1">
      <c r="BM63471" s="1025"/>
      <c r="BO63471" s="43"/>
    </row>
    <row r="63472" spans="65:67" ht="18.75" customHeight="1">
      <c r="BM63472" s="1025"/>
      <c r="BO63472" s="43"/>
    </row>
    <row r="63473" spans="65:67" ht="18.75" customHeight="1">
      <c r="BM63473" s="1025"/>
      <c r="BO63473" s="43"/>
    </row>
    <row r="63474" spans="65:67" ht="18.75" customHeight="1">
      <c r="BM63474" s="1025"/>
      <c r="BO63474" s="43"/>
    </row>
    <row r="63475" spans="65:67" ht="18.75" customHeight="1">
      <c r="BM63475" s="1025"/>
      <c r="BO63475" s="43"/>
    </row>
    <row r="63476" spans="65:67" ht="18.75" customHeight="1">
      <c r="BM63476" s="1025"/>
      <c r="BO63476" s="43"/>
    </row>
    <row r="63477" spans="65:67" ht="18.75" customHeight="1">
      <c r="BM63477" s="1025"/>
      <c r="BO63477" s="43"/>
    </row>
    <row r="63478" spans="65:67" ht="18.75" customHeight="1">
      <c r="BM63478" s="1025"/>
      <c r="BO63478" s="43"/>
    </row>
    <row r="63479" spans="65:67" ht="18.75" customHeight="1">
      <c r="BM63479" s="1025"/>
      <c r="BO63479" s="43"/>
    </row>
    <row r="63480" spans="65:67" ht="18.75" customHeight="1">
      <c r="BM63480" s="1025"/>
      <c r="BO63480" s="43"/>
    </row>
    <row r="63481" spans="65:67" ht="18.75" customHeight="1">
      <c r="BM63481" s="1025"/>
      <c r="BO63481" s="43"/>
    </row>
    <row r="63482" spans="65:67" ht="18.75" customHeight="1">
      <c r="BM63482" s="1025"/>
      <c r="BO63482" s="43"/>
    </row>
    <row r="63483" spans="65:67" ht="18.75" customHeight="1">
      <c r="BM63483" s="1025"/>
      <c r="BO63483" s="43"/>
    </row>
    <row r="63484" spans="65:67" ht="18.75" customHeight="1">
      <c r="BM63484" s="1025"/>
      <c r="BO63484" s="43"/>
    </row>
    <row r="63485" spans="65:67" ht="18.75" customHeight="1">
      <c r="BM63485" s="1025"/>
      <c r="BO63485" s="43"/>
    </row>
    <row r="63486" spans="65:67" ht="18.75" customHeight="1">
      <c r="BM63486" s="1025"/>
      <c r="BO63486" s="43"/>
    </row>
    <row r="63487" spans="65:67" ht="18.75" customHeight="1">
      <c r="BM63487" s="1025"/>
      <c r="BO63487" s="43"/>
    </row>
    <row r="63488" spans="65:67" ht="18.75" customHeight="1">
      <c r="BM63488" s="1025"/>
      <c r="BO63488" s="43"/>
    </row>
    <row r="63489" spans="65:67" ht="18.75" customHeight="1">
      <c r="BM63489" s="1025"/>
      <c r="BO63489" s="43"/>
    </row>
    <row r="63490" spans="65:67" ht="18.75" customHeight="1">
      <c r="BM63490" s="1025"/>
      <c r="BO63490" s="43"/>
    </row>
    <row r="63491" spans="65:67" ht="18.75" customHeight="1">
      <c r="BM63491" s="1025"/>
      <c r="BO63491" s="43"/>
    </row>
    <row r="63492" spans="65:67" ht="18.75" customHeight="1">
      <c r="BM63492" s="1025"/>
      <c r="BO63492" s="43"/>
    </row>
    <row r="63493" spans="65:67" ht="18.75" customHeight="1">
      <c r="BM63493" s="1025"/>
      <c r="BO63493" s="43"/>
    </row>
    <row r="63494" spans="65:67" ht="18.75" customHeight="1">
      <c r="BM63494" s="1025"/>
      <c r="BO63494" s="43"/>
    </row>
    <row r="63495" spans="65:67" ht="18.75" customHeight="1">
      <c r="BM63495" s="1025"/>
      <c r="BO63495" s="43"/>
    </row>
    <row r="63496" spans="65:67" ht="18.75" customHeight="1">
      <c r="BM63496" s="1025"/>
      <c r="BO63496" s="43"/>
    </row>
    <row r="63497" spans="65:67" ht="18.75" customHeight="1">
      <c r="BM63497" s="1025"/>
      <c r="BO63497" s="43"/>
    </row>
    <row r="63498" spans="65:67" ht="18.75" customHeight="1">
      <c r="BM63498" s="1025"/>
      <c r="BO63498" s="43"/>
    </row>
    <row r="63499" spans="65:67" ht="18.75" customHeight="1">
      <c r="BM63499" s="1025"/>
      <c r="BO63499" s="43"/>
    </row>
    <row r="63500" spans="65:67" ht="18.75" customHeight="1">
      <c r="BM63500" s="1025"/>
      <c r="BO63500" s="43"/>
    </row>
    <row r="63501" spans="65:67" ht="18.75" customHeight="1">
      <c r="BM63501" s="1025"/>
      <c r="BO63501" s="43"/>
    </row>
    <row r="63502" spans="65:67" ht="18.75" customHeight="1">
      <c r="BM63502" s="1025"/>
      <c r="BO63502" s="43"/>
    </row>
    <row r="63503" spans="65:67" ht="18.75" customHeight="1">
      <c r="BM63503" s="1025"/>
      <c r="BO63503" s="43"/>
    </row>
    <row r="63504" spans="65:67" ht="18.75" customHeight="1">
      <c r="BM63504" s="1025"/>
      <c r="BO63504" s="43"/>
    </row>
    <row r="63505" spans="65:67" ht="18.75" customHeight="1">
      <c r="BM63505" s="1025"/>
      <c r="BO63505" s="43"/>
    </row>
    <row r="63506" spans="65:67" ht="18.75" customHeight="1">
      <c r="BM63506" s="1025"/>
      <c r="BO63506" s="43"/>
    </row>
    <row r="63507" spans="65:67" ht="18.75" customHeight="1">
      <c r="BM63507" s="1025"/>
      <c r="BO63507" s="43"/>
    </row>
    <row r="63508" spans="65:67" ht="18.75" customHeight="1">
      <c r="BM63508" s="1025"/>
      <c r="BO63508" s="43"/>
    </row>
    <row r="63509" spans="65:67" ht="18.75" customHeight="1">
      <c r="BM63509" s="1025"/>
      <c r="BO63509" s="43"/>
    </row>
    <row r="63510" spans="65:67" ht="18.75" customHeight="1">
      <c r="BM63510" s="1025"/>
      <c r="BO63510" s="43"/>
    </row>
    <row r="63511" spans="65:67" ht="18.75" customHeight="1">
      <c r="BM63511" s="1025"/>
      <c r="BO63511" s="43"/>
    </row>
    <row r="63512" spans="65:67" ht="18.75" customHeight="1">
      <c r="BM63512" s="1025"/>
      <c r="BO63512" s="43"/>
    </row>
    <row r="63513" spans="65:67" ht="18.75" customHeight="1">
      <c r="BM63513" s="1025"/>
      <c r="BO63513" s="43"/>
    </row>
    <row r="63514" spans="65:67" ht="18.75" customHeight="1">
      <c r="BM63514" s="1025"/>
      <c r="BO63514" s="43"/>
    </row>
    <row r="63515" spans="65:67" ht="18.75" customHeight="1">
      <c r="BM63515" s="1025"/>
      <c r="BO63515" s="43"/>
    </row>
    <row r="63516" spans="65:67" ht="18.75" customHeight="1">
      <c r="BM63516" s="1025"/>
      <c r="BO63516" s="43"/>
    </row>
    <row r="63517" spans="65:67" ht="18.75" customHeight="1">
      <c r="BM63517" s="1025"/>
      <c r="BO63517" s="43"/>
    </row>
    <row r="63518" spans="65:67" ht="18.75" customHeight="1">
      <c r="BM63518" s="1025"/>
      <c r="BO63518" s="43"/>
    </row>
    <row r="63519" spans="65:67" ht="18.75" customHeight="1">
      <c r="BM63519" s="1025"/>
      <c r="BO63519" s="43"/>
    </row>
    <row r="63520" spans="65:67" ht="18.75" customHeight="1">
      <c r="BM63520" s="1025"/>
      <c r="BO63520" s="43"/>
    </row>
    <row r="63521" spans="65:67" ht="18.75" customHeight="1">
      <c r="BM63521" s="1025"/>
      <c r="BO63521" s="43"/>
    </row>
    <row r="63522" spans="65:67" ht="18.75" customHeight="1">
      <c r="BM63522" s="1025"/>
      <c r="BO63522" s="43"/>
    </row>
    <row r="63523" spans="65:67" ht="18.75" customHeight="1">
      <c r="BM63523" s="1025"/>
      <c r="BO63523" s="43"/>
    </row>
    <row r="63524" spans="65:67" ht="18.75" customHeight="1">
      <c r="BM63524" s="1025"/>
      <c r="BO63524" s="43"/>
    </row>
    <row r="63525" spans="65:67" ht="18.75" customHeight="1">
      <c r="BM63525" s="1025"/>
      <c r="BO63525" s="43"/>
    </row>
    <row r="63526" spans="65:67" ht="18.75" customHeight="1">
      <c r="BM63526" s="1025"/>
      <c r="BO63526" s="43"/>
    </row>
    <row r="63527" spans="65:67" ht="18.75" customHeight="1">
      <c r="BM63527" s="1025"/>
      <c r="BO63527" s="43"/>
    </row>
    <row r="63528" spans="65:67" ht="18.75" customHeight="1">
      <c r="BM63528" s="1025"/>
      <c r="BO63528" s="43"/>
    </row>
    <row r="63529" spans="65:67" ht="18.75" customHeight="1">
      <c r="BM63529" s="1025"/>
      <c r="BO63529" s="43"/>
    </row>
    <row r="63530" spans="65:67" ht="18.75" customHeight="1">
      <c r="BM63530" s="1025"/>
      <c r="BO63530" s="43"/>
    </row>
    <row r="63531" spans="65:67" ht="18.75" customHeight="1">
      <c r="BM63531" s="1025"/>
      <c r="BO63531" s="43"/>
    </row>
    <row r="63532" spans="65:67" ht="18.75" customHeight="1">
      <c r="BM63532" s="1025"/>
      <c r="BO63532" s="43"/>
    </row>
    <row r="63533" spans="65:67" ht="18.75" customHeight="1">
      <c r="BM63533" s="1025"/>
      <c r="BO63533" s="43"/>
    </row>
    <row r="63534" spans="65:67" ht="18.75" customHeight="1">
      <c r="BM63534" s="1025"/>
      <c r="BO63534" s="43"/>
    </row>
    <row r="63535" spans="65:67" ht="18.75" customHeight="1">
      <c r="BM63535" s="1025"/>
      <c r="BO63535" s="43"/>
    </row>
    <row r="63536" spans="65:67" ht="18.75" customHeight="1">
      <c r="BM63536" s="1025"/>
      <c r="BO63536" s="43"/>
    </row>
    <row r="63537" spans="65:67" ht="18.75" customHeight="1">
      <c r="BM63537" s="1025"/>
      <c r="BO63537" s="43"/>
    </row>
    <row r="63538" spans="65:67" ht="18.75" customHeight="1">
      <c r="BM63538" s="1025"/>
      <c r="BO63538" s="43"/>
    </row>
    <row r="63539" spans="65:67" ht="18.75" customHeight="1">
      <c r="BM63539" s="1025"/>
      <c r="BO63539" s="43"/>
    </row>
    <row r="63540" spans="65:67" ht="18.75" customHeight="1">
      <c r="BM63540" s="1025"/>
      <c r="BO63540" s="43"/>
    </row>
    <row r="63541" spans="65:67" ht="18.75" customHeight="1">
      <c r="BM63541" s="1025"/>
      <c r="BO63541" s="43"/>
    </row>
    <row r="63542" spans="65:67" ht="18.75" customHeight="1">
      <c r="BM63542" s="1025"/>
      <c r="BO63542" s="43"/>
    </row>
    <row r="63543" spans="65:67" ht="18.75" customHeight="1">
      <c r="BM63543" s="1025"/>
      <c r="BO63543" s="43"/>
    </row>
    <row r="63544" spans="65:67" ht="18.75" customHeight="1">
      <c r="BM63544" s="1025"/>
      <c r="BO63544" s="43"/>
    </row>
    <row r="63545" spans="65:67" ht="18.75" customHeight="1">
      <c r="BM63545" s="1025"/>
      <c r="BO63545" s="43"/>
    </row>
    <row r="63546" spans="65:67" ht="18.75" customHeight="1">
      <c r="BM63546" s="1025"/>
      <c r="BO63546" s="43"/>
    </row>
    <row r="63547" spans="65:67" ht="18.75" customHeight="1">
      <c r="BM63547" s="1025"/>
      <c r="BO63547" s="43"/>
    </row>
    <row r="63548" spans="65:67" ht="18.75" customHeight="1">
      <c r="BM63548" s="1025"/>
      <c r="BO63548" s="43"/>
    </row>
    <row r="63549" spans="65:67" ht="18.75" customHeight="1">
      <c r="BM63549" s="1025"/>
      <c r="BO63549" s="43"/>
    </row>
    <row r="63550" spans="65:67" ht="18.75" customHeight="1">
      <c r="BM63550" s="1025"/>
      <c r="BO63550" s="43"/>
    </row>
    <row r="63551" spans="65:67" ht="18.75" customHeight="1">
      <c r="BM63551" s="1025"/>
      <c r="BO63551" s="43"/>
    </row>
    <row r="63552" spans="65:67" ht="18.75" customHeight="1">
      <c r="BM63552" s="1025"/>
      <c r="BO63552" s="43"/>
    </row>
    <row r="63553" spans="65:67" ht="18.75" customHeight="1">
      <c r="BM63553" s="1025"/>
      <c r="BO63553" s="43"/>
    </row>
    <row r="63554" spans="65:67" ht="18.75" customHeight="1">
      <c r="BM63554" s="1025"/>
      <c r="BO63554" s="43"/>
    </row>
    <row r="63555" spans="65:67" ht="18.75" customHeight="1">
      <c r="BM63555" s="1025"/>
      <c r="BO63555" s="43"/>
    </row>
    <row r="63556" spans="65:67" ht="18.75" customHeight="1">
      <c r="BM63556" s="1025"/>
      <c r="BO63556" s="43"/>
    </row>
    <row r="63557" spans="65:67" ht="18.75" customHeight="1">
      <c r="BM63557" s="1025"/>
      <c r="BO63557" s="43"/>
    </row>
    <row r="63558" spans="65:67" ht="18.75" customHeight="1">
      <c r="BM63558" s="1025"/>
      <c r="BO63558" s="43"/>
    </row>
    <row r="63559" spans="65:67" ht="18.75" customHeight="1">
      <c r="BM63559" s="1025"/>
      <c r="BO63559" s="43"/>
    </row>
    <row r="63560" spans="65:67" ht="18.75" customHeight="1">
      <c r="BM63560" s="1025"/>
      <c r="BO63560" s="43"/>
    </row>
    <row r="63561" spans="65:67" ht="18.75" customHeight="1">
      <c r="BM63561" s="1025"/>
      <c r="BO63561" s="43"/>
    </row>
    <row r="63562" spans="65:67" ht="18.75" customHeight="1">
      <c r="BM63562" s="1025"/>
      <c r="BO63562" s="43"/>
    </row>
    <row r="63563" spans="65:67" ht="18.75" customHeight="1">
      <c r="BM63563" s="1025"/>
      <c r="BO63563" s="43"/>
    </row>
    <row r="63564" spans="65:67" ht="18.75" customHeight="1">
      <c r="BM63564" s="1025"/>
      <c r="BO63564" s="43"/>
    </row>
    <row r="63565" spans="65:67" ht="18.75" customHeight="1">
      <c r="BM63565" s="1025"/>
      <c r="BO63565" s="43"/>
    </row>
    <row r="63566" spans="65:67" ht="18.75" customHeight="1">
      <c r="BM63566" s="1025"/>
      <c r="BO63566" s="43"/>
    </row>
    <row r="63567" spans="65:67" ht="18.75" customHeight="1">
      <c r="BM63567" s="1025"/>
      <c r="BO63567" s="43"/>
    </row>
    <row r="63568" spans="65:67" ht="18.75" customHeight="1">
      <c r="BM63568" s="1025"/>
      <c r="BO63568" s="43"/>
    </row>
    <row r="63569" spans="65:67" ht="18.75" customHeight="1">
      <c r="BM63569" s="1025"/>
      <c r="BO63569" s="43"/>
    </row>
    <row r="63570" spans="65:67" ht="18.75" customHeight="1">
      <c r="BM63570" s="1025"/>
      <c r="BO63570" s="43"/>
    </row>
    <row r="63571" spans="65:67" ht="18.75" customHeight="1">
      <c r="BM63571" s="1025"/>
      <c r="BO63571" s="43"/>
    </row>
    <row r="63572" spans="65:67" ht="18.75" customHeight="1">
      <c r="BM63572" s="1025"/>
      <c r="BO63572" s="43"/>
    </row>
    <row r="63573" spans="65:67" ht="18.75" customHeight="1">
      <c r="BM63573" s="1025"/>
      <c r="BO63573" s="43"/>
    </row>
    <row r="63574" spans="65:67" ht="18.75" customHeight="1">
      <c r="BM63574" s="1025"/>
      <c r="BO63574" s="43"/>
    </row>
    <row r="63575" spans="65:67" ht="18.75" customHeight="1">
      <c r="BM63575" s="1025"/>
      <c r="BO63575" s="43"/>
    </row>
    <row r="63576" spans="65:67" ht="18.75" customHeight="1">
      <c r="BM63576" s="1025"/>
      <c r="BO63576" s="43"/>
    </row>
    <row r="63577" spans="65:67" ht="18.75" customHeight="1">
      <c r="BM63577" s="1025"/>
      <c r="BO63577" s="43"/>
    </row>
    <row r="63578" spans="65:67" ht="18.75" customHeight="1">
      <c r="BM63578" s="1025"/>
      <c r="BO63578" s="43"/>
    </row>
    <row r="63579" spans="65:67" ht="18.75" customHeight="1">
      <c r="BM63579" s="1025"/>
      <c r="BO63579" s="43"/>
    </row>
    <row r="63580" spans="65:67" ht="18.75" customHeight="1">
      <c r="BM63580" s="1025"/>
      <c r="BO63580" s="43"/>
    </row>
    <row r="63581" spans="65:67" ht="18.75" customHeight="1">
      <c r="BM63581" s="1025"/>
      <c r="BO63581" s="43"/>
    </row>
    <row r="63582" spans="65:67" ht="18.75" customHeight="1">
      <c r="BM63582" s="1025"/>
      <c r="BO63582" s="43"/>
    </row>
    <row r="63583" spans="65:67" ht="18.75" customHeight="1">
      <c r="BM63583" s="1025"/>
      <c r="BO63583" s="43"/>
    </row>
    <row r="63584" spans="65:67" ht="18.75" customHeight="1">
      <c r="BM63584" s="1025"/>
      <c r="BO63584" s="43"/>
    </row>
    <row r="63585" spans="65:67" ht="18.75" customHeight="1">
      <c r="BM63585" s="1025"/>
      <c r="BO63585" s="43"/>
    </row>
    <row r="63586" spans="65:67" ht="18.75" customHeight="1">
      <c r="BM63586" s="1025"/>
      <c r="BO63586" s="43"/>
    </row>
    <row r="63587" spans="65:67" ht="18.75" customHeight="1">
      <c r="BM63587" s="1025"/>
      <c r="BO63587" s="43"/>
    </row>
    <row r="63588" spans="65:67" ht="18.75" customHeight="1">
      <c r="BM63588" s="1025"/>
      <c r="BO63588" s="43"/>
    </row>
    <row r="63589" spans="65:67" ht="18.75" customHeight="1">
      <c r="BM63589" s="1025"/>
      <c r="BO63589" s="43"/>
    </row>
    <row r="63590" spans="65:67" ht="18.75" customHeight="1">
      <c r="BM63590" s="1025"/>
      <c r="BO63590" s="43"/>
    </row>
    <row r="63591" spans="65:67" ht="18.75" customHeight="1">
      <c r="BM63591" s="1025"/>
      <c r="BO63591" s="43"/>
    </row>
    <row r="63592" spans="65:67" ht="18.75" customHeight="1">
      <c r="BM63592" s="1025"/>
      <c r="BO63592" s="43"/>
    </row>
    <row r="63593" spans="65:67" ht="18.75" customHeight="1">
      <c r="BM63593" s="1025"/>
      <c r="BO63593" s="43"/>
    </row>
    <row r="63594" spans="65:67" ht="18.75" customHeight="1">
      <c r="BM63594" s="1025"/>
      <c r="BO63594" s="43"/>
    </row>
    <row r="63595" spans="65:67" ht="18.75" customHeight="1">
      <c r="BM63595" s="1025"/>
      <c r="BO63595" s="43"/>
    </row>
    <row r="63596" spans="65:67" ht="18.75" customHeight="1">
      <c r="BM63596" s="1025"/>
      <c r="BO63596" s="43"/>
    </row>
    <row r="63597" spans="65:67" ht="18.75" customHeight="1">
      <c r="BM63597" s="1025"/>
      <c r="BO63597" s="43"/>
    </row>
    <row r="63598" spans="65:67" ht="18.75" customHeight="1">
      <c r="BM63598" s="1025"/>
      <c r="BO63598" s="43"/>
    </row>
    <row r="63599" spans="65:67" ht="18.75" customHeight="1">
      <c r="BM63599" s="1025"/>
      <c r="BO63599" s="43"/>
    </row>
    <row r="63600" spans="65:67" ht="18.75" customHeight="1">
      <c r="BM63600" s="1025"/>
      <c r="BO63600" s="43"/>
    </row>
    <row r="63601" spans="65:67" ht="18.75" customHeight="1">
      <c r="BM63601" s="1025"/>
      <c r="BO63601" s="43"/>
    </row>
    <row r="63602" spans="65:67" ht="18.75" customHeight="1">
      <c r="BM63602" s="1025"/>
      <c r="BO63602" s="43"/>
    </row>
    <row r="63603" spans="65:67" ht="18.75" customHeight="1">
      <c r="BM63603" s="1025"/>
      <c r="BO63603" s="43"/>
    </row>
    <row r="63604" spans="65:67" ht="18.75" customHeight="1">
      <c r="BM63604" s="1025"/>
      <c r="BO63604" s="43"/>
    </row>
    <row r="63605" spans="65:67" ht="18.75" customHeight="1">
      <c r="BM63605" s="1025"/>
      <c r="BO63605" s="43"/>
    </row>
    <row r="63606" spans="65:67" ht="18.75" customHeight="1">
      <c r="BM63606" s="1025"/>
      <c r="BO63606" s="43"/>
    </row>
    <row r="63607" spans="65:67" ht="18.75" customHeight="1">
      <c r="BM63607" s="1025"/>
      <c r="BO63607" s="43"/>
    </row>
    <row r="63608" spans="65:67" ht="18.75" customHeight="1">
      <c r="BM63608" s="1025"/>
      <c r="BO63608" s="43"/>
    </row>
    <row r="63609" spans="65:67" ht="18.75" customHeight="1">
      <c r="BM63609" s="1025"/>
      <c r="BO63609" s="43"/>
    </row>
    <row r="63610" spans="65:67" ht="18.75" customHeight="1">
      <c r="BM63610" s="1025"/>
      <c r="BO63610" s="43"/>
    </row>
    <row r="63611" spans="65:67" ht="18.75" customHeight="1">
      <c r="BM63611" s="1025"/>
      <c r="BO63611" s="43"/>
    </row>
    <row r="63612" spans="65:67" ht="18.75" customHeight="1">
      <c r="BM63612" s="1025"/>
      <c r="BO63612" s="43"/>
    </row>
    <row r="63613" spans="65:67" ht="18.75" customHeight="1">
      <c r="BM63613" s="1025"/>
      <c r="BO63613" s="43"/>
    </row>
    <row r="63614" spans="65:67" ht="18.75" customHeight="1">
      <c r="BM63614" s="1025"/>
      <c r="BO63614" s="43"/>
    </row>
    <row r="63615" spans="65:67" ht="18.75" customHeight="1">
      <c r="BM63615" s="1025"/>
      <c r="BO63615" s="43"/>
    </row>
    <row r="63616" spans="65:67" ht="18.75" customHeight="1">
      <c r="BM63616" s="1025"/>
      <c r="BO63616" s="43"/>
    </row>
    <row r="63617" spans="65:67" ht="18.75" customHeight="1">
      <c r="BM63617" s="1025"/>
      <c r="BO63617" s="43"/>
    </row>
    <row r="63618" spans="65:67" ht="18.75" customHeight="1">
      <c r="BM63618" s="1025"/>
      <c r="BO63618" s="43"/>
    </row>
    <row r="63619" spans="65:67" ht="18.75" customHeight="1">
      <c r="BM63619" s="1025"/>
      <c r="BO63619" s="43"/>
    </row>
    <row r="63620" spans="65:67" ht="18.75" customHeight="1">
      <c r="BM63620" s="1025"/>
      <c r="BO63620" s="43"/>
    </row>
    <row r="63621" spans="65:67" ht="18.75" customHeight="1">
      <c r="BM63621" s="1025"/>
      <c r="BO63621" s="43"/>
    </row>
    <row r="63622" spans="65:67" ht="18.75" customHeight="1">
      <c r="BM63622" s="1025"/>
      <c r="BO63622" s="43"/>
    </row>
    <row r="63623" spans="65:67" ht="18.75" customHeight="1">
      <c r="BM63623" s="1025"/>
      <c r="BO63623" s="43"/>
    </row>
    <row r="63624" spans="65:67" ht="18.75" customHeight="1">
      <c r="BM63624" s="1025"/>
      <c r="BO63624" s="43"/>
    </row>
    <row r="63625" spans="65:67" ht="18.75" customHeight="1">
      <c r="BM63625" s="1025"/>
      <c r="BO63625" s="43"/>
    </row>
    <row r="63626" spans="65:67" ht="18.75" customHeight="1">
      <c r="BM63626" s="1025"/>
      <c r="BO63626" s="43"/>
    </row>
    <row r="63627" spans="65:67" ht="18.75" customHeight="1">
      <c r="BM63627" s="1025"/>
      <c r="BO63627" s="43"/>
    </row>
    <row r="63628" spans="65:67" ht="18.75" customHeight="1">
      <c r="BM63628" s="1025"/>
      <c r="BO63628" s="43"/>
    </row>
    <row r="63629" spans="65:67" ht="18.75" customHeight="1">
      <c r="BM63629" s="1025"/>
      <c r="BO63629" s="43"/>
    </row>
    <row r="63630" spans="65:67" ht="18.75" customHeight="1">
      <c r="BM63630" s="1025"/>
      <c r="BO63630" s="43"/>
    </row>
    <row r="63631" spans="65:67" ht="18.75" customHeight="1">
      <c r="BM63631" s="1025"/>
      <c r="BO63631" s="43"/>
    </row>
    <row r="63632" spans="65:67" ht="18.75" customHeight="1">
      <c r="BM63632" s="1025"/>
      <c r="BO63632" s="43"/>
    </row>
    <row r="63633" spans="65:67" ht="18.75" customHeight="1">
      <c r="BM63633" s="1025"/>
      <c r="BO63633" s="43"/>
    </row>
    <row r="63634" spans="65:67" ht="18.75" customHeight="1">
      <c r="BM63634" s="1025"/>
      <c r="BO63634" s="43"/>
    </row>
    <row r="63635" spans="65:67" ht="18.75" customHeight="1">
      <c r="BM63635" s="1025"/>
      <c r="BO63635" s="43"/>
    </row>
    <row r="63636" spans="65:67" ht="18.75" customHeight="1">
      <c r="BM63636" s="1025"/>
      <c r="BO63636" s="43"/>
    </row>
    <row r="63637" spans="65:67" ht="18.75" customHeight="1">
      <c r="BM63637" s="1025"/>
      <c r="BO63637" s="43"/>
    </row>
    <row r="63638" spans="65:67" ht="18.75" customHeight="1">
      <c r="BM63638" s="1025"/>
      <c r="BO63638" s="43"/>
    </row>
    <row r="63639" spans="65:67" ht="18.75" customHeight="1">
      <c r="BM63639" s="1025"/>
      <c r="BO63639" s="43"/>
    </row>
    <row r="63640" spans="65:67" ht="18.75" customHeight="1">
      <c r="BM63640" s="1025"/>
      <c r="BO63640" s="43"/>
    </row>
    <row r="63641" spans="65:67" ht="18.75" customHeight="1">
      <c r="BM63641" s="1025"/>
      <c r="BO63641" s="43"/>
    </row>
    <row r="63642" spans="65:67" ht="18.75" customHeight="1">
      <c r="BM63642" s="1025"/>
      <c r="BO63642" s="43"/>
    </row>
    <row r="63643" spans="65:67" ht="18.75" customHeight="1">
      <c r="BM63643" s="1025"/>
      <c r="BO63643" s="43"/>
    </row>
    <row r="63644" spans="65:67" ht="18.75" customHeight="1">
      <c r="BM63644" s="1025"/>
      <c r="BO63644" s="43"/>
    </row>
    <row r="63645" spans="65:67" ht="18.75" customHeight="1">
      <c r="BM63645" s="1025"/>
      <c r="BO63645" s="43"/>
    </row>
    <row r="63646" spans="65:67" ht="18.75" customHeight="1">
      <c r="BM63646" s="1025"/>
      <c r="BO63646" s="43"/>
    </row>
    <row r="63647" spans="65:67" ht="18.75" customHeight="1">
      <c r="BM63647" s="1025"/>
      <c r="BO63647" s="43"/>
    </row>
    <row r="63648" spans="65:67" ht="18.75" customHeight="1">
      <c r="BM63648" s="1025"/>
      <c r="BO63648" s="43"/>
    </row>
    <row r="63649" spans="65:67" ht="18.75" customHeight="1">
      <c r="BM63649" s="1025"/>
      <c r="BO63649" s="43"/>
    </row>
    <row r="63650" spans="65:67" ht="18.75" customHeight="1">
      <c r="BM63650" s="1025"/>
      <c r="BO63650" s="43"/>
    </row>
    <row r="63651" spans="65:67" ht="18.75" customHeight="1">
      <c r="BM63651" s="1025"/>
      <c r="BO63651" s="43"/>
    </row>
    <row r="63652" spans="65:67" ht="18.75" customHeight="1">
      <c r="BM63652" s="1025"/>
      <c r="BO63652" s="43"/>
    </row>
    <row r="63653" spans="65:67" ht="18.75" customHeight="1">
      <c r="BM63653" s="1025"/>
      <c r="BO63653" s="43"/>
    </row>
    <row r="63654" spans="65:67" ht="18.75" customHeight="1">
      <c r="BM63654" s="1025"/>
      <c r="BO63654" s="43"/>
    </row>
    <row r="63655" spans="65:67" ht="18.75" customHeight="1">
      <c r="BM63655" s="1025"/>
      <c r="BO63655" s="43"/>
    </row>
    <row r="63656" spans="65:67" ht="18.75" customHeight="1">
      <c r="BM63656" s="1025"/>
      <c r="BO63656" s="43"/>
    </row>
    <row r="63657" spans="65:67" ht="18.75" customHeight="1">
      <c r="BM63657" s="1025"/>
      <c r="BO63657" s="43"/>
    </row>
    <row r="63658" spans="65:67" ht="18.75" customHeight="1">
      <c r="BM63658" s="1025"/>
      <c r="BO63658" s="43"/>
    </row>
    <row r="63659" spans="65:67" ht="18.75" customHeight="1">
      <c r="BM63659" s="1025"/>
      <c r="BO63659" s="43"/>
    </row>
    <row r="63660" spans="65:67" ht="18.75" customHeight="1">
      <c r="BM63660" s="1025"/>
      <c r="BO63660" s="43"/>
    </row>
    <row r="63661" spans="65:67" ht="18.75" customHeight="1">
      <c r="BM63661" s="1025"/>
      <c r="BO63661" s="43"/>
    </row>
    <row r="63662" spans="65:67" ht="18.75" customHeight="1">
      <c r="BM63662" s="1025"/>
      <c r="BO63662" s="43"/>
    </row>
    <row r="63663" spans="65:67" ht="18.75" customHeight="1">
      <c r="BM63663" s="1025"/>
      <c r="BO63663" s="43"/>
    </row>
    <row r="63664" spans="65:67" ht="18.75" customHeight="1">
      <c r="BM63664" s="1025"/>
      <c r="BO63664" s="43"/>
    </row>
    <row r="63665" spans="65:67" ht="18.75" customHeight="1">
      <c r="BM63665" s="1025"/>
      <c r="BO63665" s="43"/>
    </row>
    <row r="63666" spans="65:67" ht="18.75" customHeight="1">
      <c r="BM63666" s="1025"/>
      <c r="BO63666" s="43"/>
    </row>
    <row r="63667" spans="65:67" ht="18.75" customHeight="1">
      <c r="BM63667" s="1025"/>
      <c r="BO63667" s="43"/>
    </row>
    <row r="63668" spans="65:67" ht="18.75" customHeight="1">
      <c r="BM63668" s="1025"/>
      <c r="BO63668" s="43"/>
    </row>
    <row r="63669" spans="65:67" ht="18.75" customHeight="1">
      <c r="BM63669" s="1025"/>
      <c r="BO63669" s="43"/>
    </row>
    <row r="63670" spans="65:67" ht="18.75" customHeight="1">
      <c r="BM63670" s="1025"/>
      <c r="BO63670" s="43"/>
    </row>
    <row r="63671" spans="65:67" ht="18.75" customHeight="1">
      <c r="BM63671" s="1025"/>
      <c r="BO63671" s="43"/>
    </row>
    <row r="63672" spans="65:67" ht="18.75" customHeight="1">
      <c r="BM63672" s="1025"/>
      <c r="BO63672" s="43"/>
    </row>
    <row r="63673" spans="65:67" ht="18.75" customHeight="1">
      <c r="BM63673" s="1025"/>
      <c r="BO63673" s="43"/>
    </row>
    <row r="63674" spans="65:67" ht="18.75" customHeight="1">
      <c r="BM63674" s="1025"/>
      <c r="BO63674" s="43"/>
    </row>
    <row r="63675" spans="65:67" ht="18.75" customHeight="1">
      <c r="BM63675" s="1025"/>
      <c r="BO63675" s="43"/>
    </row>
    <row r="63676" spans="65:67" ht="18.75" customHeight="1">
      <c r="BM63676" s="1025"/>
      <c r="BO63676" s="43"/>
    </row>
    <row r="63677" spans="65:67" ht="18.75" customHeight="1">
      <c r="BM63677" s="1025"/>
      <c r="BO63677" s="43"/>
    </row>
    <row r="63678" spans="65:67" ht="18.75" customHeight="1">
      <c r="BM63678" s="1025"/>
      <c r="BO63678" s="43"/>
    </row>
    <row r="63679" spans="65:67" ht="18.75" customHeight="1">
      <c r="BM63679" s="1025"/>
      <c r="BO63679" s="43"/>
    </row>
    <row r="63680" spans="65:67" ht="18.75" customHeight="1">
      <c r="BM63680" s="1025"/>
      <c r="BO63680" s="43"/>
    </row>
    <row r="63681" spans="65:67" ht="18.75" customHeight="1">
      <c r="BM63681" s="1025"/>
      <c r="BO63681" s="43"/>
    </row>
    <row r="63682" spans="65:67" ht="18.75" customHeight="1">
      <c r="BM63682" s="1025"/>
      <c r="BO63682" s="43"/>
    </row>
    <row r="63683" spans="65:67" ht="18.75" customHeight="1">
      <c r="BM63683" s="1025"/>
      <c r="BO63683" s="43"/>
    </row>
    <row r="63684" spans="65:67" ht="18.75" customHeight="1">
      <c r="BM63684" s="1025"/>
      <c r="BO63684" s="43"/>
    </row>
    <row r="63685" spans="65:67" ht="18.75" customHeight="1">
      <c r="BM63685" s="1025"/>
      <c r="BO63685" s="43"/>
    </row>
    <row r="63686" spans="65:67" ht="18.75" customHeight="1">
      <c r="BM63686" s="1025"/>
      <c r="BO63686" s="43"/>
    </row>
    <row r="63687" spans="65:67" ht="18.75" customHeight="1">
      <c r="BM63687" s="1025"/>
      <c r="BO63687" s="43"/>
    </row>
    <row r="63688" spans="65:67" ht="18.75" customHeight="1">
      <c r="BM63688" s="1025"/>
      <c r="BO63688" s="43"/>
    </row>
    <row r="63689" spans="65:67" ht="18.75" customHeight="1">
      <c r="BM63689" s="1025"/>
      <c r="BO63689" s="43"/>
    </row>
    <row r="63690" spans="65:67" ht="18.75" customHeight="1">
      <c r="BM63690" s="1025"/>
      <c r="BO63690" s="43"/>
    </row>
    <row r="63691" spans="65:67" ht="18.75" customHeight="1">
      <c r="BM63691" s="1025"/>
      <c r="BO63691" s="43"/>
    </row>
    <row r="63692" spans="65:67" ht="18.75" customHeight="1">
      <c r="BM63692" s="1025"/>
      <c r="BO63692" s="43"/>
    </row>
    <row r="63693" spans="65:67" ht="18.75" customHeight="1">
      <c r="BM63693" s="1025"/>
      <c r="BO63693" s="43"/>
    </row>
    <row r="63694" spans="65:67" ht="18.75" customHeight="1">
      <c r="BM63694" s="1025"/>
      <c r="BO63694" s="43"/>
    </row>
    <row r="63695" spans="65:67" ht="18.75" customHeight="1">
      <c r="BM63695" s="1025"/>
      <c r="BO63695" s="43"/>
    </row>
    <row r="63696" spans="65:67" ht="18.75" customHeight="1">
      <c r="BM63696" s="1025"/>
      <c r="BO63696" s="43"/>
    </row>
    <row r="63697" spans="65:67" ht="18.75" customHeight="1">
      <c r="BM63697" s="1025"/>
      <c r="BO63697" s="43"/>
    </row>
    <row r="63698" spans="65:67" ht="18.75" customHeight="1">
      <c r="BM63698" s="1025"/>
      <c r="BO63698" s="43"/>
    </row>
    <row r="63699" spans="65:67" ht="18.75" customHeight="1">
      <c r="BM63699" s="1025"/>
      <c r="BO63699" s="43"/>
    </row>
    <row r="63700" spans="65:67" ht="18.75" customHeight="1">
      <c r="BM63700" s="1025"/>
      <c r="BO63700" s="43"/>
    </row>
    <row r="63701" spans="65:67" ht="18.75" customHeight="1">
      <c r="BM63701" s="1025"/>
      <c r="BO63701" s="43"/>
    </row>
    <row r="63702" spans="65:67" ht="18.75" customHeight="1">
      <c r="BM63702" s="1025"/>
      <c r="BO63702" s="43"/>
    </row>
    <row r="63703" spans="65:67" ht="18.75" customHeight="1">
      <c r="BM63703" s="1025"/>
      <c r="BO63703" s="43"/>
    </row>
    <row r="63704" spans="65:67" ht="18.75" customHeight="1">
      <c r="BM63704" s="1025"/>
      <c r="BO63704" s="43"/>
    </row>
    <row r="63705" spans="65:67" ht="18.75" customHeight="1">
      <c r="BM63705" s="1025"/>
      <c r="BO63705" s="43"/>
    </row>
    <row r="63706" spans="65:67" ht="18.75" customHeight="1">
      <c r="BM63706" s="1025"/>
      <c r="BO63706" s="43"/>
    </row>
    <row r="63707" spans="65:67" ht="18.75" customHeight="1">
      <c r="BM63707" s="1025"/>
      <c r="BO63707" s="43"/>
    </row>
    <row r="63708" spans="65:67" ht="18.75" customHeight="1">
      <c r="BM63708" s="1025"/>
      <c r="BO63708" s="43"/>
    </row>
    <row r="63709" spans="65:67" ht="18.75" customHeight="1">
      <c r="BM63709" s="1025"/>
      <c r="BO63709" s="43"/>
    </row>
    <row r="63710" spans="65:67" ht="18.75" customHeight="1">
      <c r="BM63710" s="1025"/>
      <c r="BO63710" s="43"/>
    </row>
    <row r="63711" spans="65:67" ht="18.75" customHeight="1">
      <c r="BM63711" s="1025"/>
      <c r="BO63711" s="43"/>
    </row>
    <row r="63712" spans="65:67" ht="18.75" customHeight="1">
      <c r="BM63712" s="1025"/>
      <c r="BO63712" s="43"/>
    </row>
    <row r="63713" spans="65:67" ht="18.75" customHeight="1">
      <c r="BM63713" s="1025"/>
      <c r="BO63713" s="43"/>
    </row>
    <row r="63714" spans="65:67" ht="18.75" customHeight="1">
      <c r="BM63714" s="1025"/>
      <c r="BO63714" s="43"/>
    </row>
    <row r="63715" spans="65:67" ht="18.75" customHeight="1">
      <c r="BM63715" s="1025"/>
      <c r="BO63715" s="43"/>
    </row>
    <row r="63716" spans="65:67" ht="18.75" customHeight="1">
      <c r="BM63716" s="1025"/>
      <c r="BO63716" s="43"/>
    </row>
    <row r="63717" spans="65:67" ht="18.75" customHeight="1">
      <c r="BM63717" s="1025"/>
      <c r="BO63717" s="43"/>
    </row>
    <row r="63718" spans="65:67" ht="18.75" customHeight="1">
      <c r="BM63718" s="1025"/>
      <c r="BO63718" s="43"/>
    </row>
    <row r="63719" spans="65:67" ht="18.75" customHeight="1">
      <c r="BM63719" s="1025"/>
      <c r="BO63719" s="43"/>
    </row>
    <row r="63720" spans="65:67" ht="18.75" customHeight="1">
      <c r="BM63720" s="1025"/>
      <c r="BO63720" s="43"/>
    </row>
    <row r="63721" spans="65:67" ht="18.75" customHeight="1">
      <c r="BM63721" s="1025"/>
      <c r="BO63721" s="43"/>
    </row>
    <row r="63722" spans="65:67" ht="18.75" customHeight="1">
      <c r="BM63722" s="1025"/>
      <c r="BO63722" s="43"/>
    </row>
    <row r="63723" spans="65:67" ht="18.75" customHeight="1">
      <c r="BM63723" s="1025"/>
      <c r="BO63723" s="43"/>
    </row>
    <row r="63724" spans="65:67" ht="18.75" customHeight="1">
      <c r="BM63724" s="1025"/>
      <c r="BO63724" s="43"/>
    </row>
    <row r="63725" spans="65:67" ht="18.75" customHeight="1">
      <c r="BM63725" s="1025"/>
      <c r="BO63725" s="43"/>
    </row>
    <row r="63726" spans="65:67" ht="18.75" customHeight="1">
      <c r="BM63726" s="1025"/>
      <c r="BO63726" s="43"/>
    </row>
    <row r="63727" spans="65:67" ht="18.75" customHeight="1">
      <c r="BM63727" s="1025"/>
      <c r="BO63727" s="43"/>
    </row>
    <row r="63728" spans="65:67" ht="18.75" customHeight="1">
      <c r="BM63728" s="1025"/>
      <c r="BO63728" s="43"/>
    </row>
    <row r="63729" spans="65:67" ht="18.75" customHeight="1">
      <c r="BM63729" s="1025"/>
      <c r="BO63729" s="43"/>
    </row>
    <row r="63730" spans="65:67" ht="18.75" customHeight="1">
      <c r="BM63730" s="1025"/>
      <c r="BO63730" s="43"/>
    </row>
    <row r="63731" spans="65:67" ht="18.75" customHeight="1">
      <c r="BM63731" s="1025"/>
      <c r="BO63731" s="43"/>
    </row>
    <row r="63732" spans="65:67" ht="18.75" customHeight="1">
      <c r="BM63732" s="1025"/>
      <c r="BO63732" s="43"/>
    </row>
    <row r="63733" spans="65:67" ht="18.75" customHeight="1">
      <c r="BM63733" s="1025"/>
      <c r="BO63733" s="43"/>
    </row>
    <row r="63734" spans="65:67" ht="18.75" customHeight="1">
      <c r="BM63734" s="1025"/>
      <c r="BO63734" s="43"/>
    </row>
    <row r="63735" spans="65:67" ht="18.75" customHeight="1">
      <c r="BM63735" s="1025"/>
      <c r="BO63735" s="43"/>
    </row>
    <row r="63736" spans="65:67" ht="18.75" customHeight="1">
      <c r="BM63736" s="1025"/>
      <c r="BO63736" s="43"/>
    </row>
    <row r="63737" spans="65:67" ht="18.75" customHeight="1">
      <c r="BM63737" s="1025"/>
      <c r="BO63737" s="43"/>
    </row>
    <row r="63738" spans="65:67" ht="18.75" customHeight="1">
      <c r="BM63738" s="1025"/>
      <c r="BO63738" s="43"/>
    </row>
    <row r="63739" spans="65:67" ht="18.75" customHeight="1">
      <c r="BM63739" s="1025"/>
      <c r="BO63739" s="43"/>
    </row>
    <row r="63740" spans="65:67" ht="18.75" customHeight="1">
      <c r="BM63740" s="1025"/>
      <c r="BO63740" s="43"/>
    </row>
    <row r="63741" spans="65:67" ht="18.75" customHeight="1">
      <c r="BM63741" s="1025"/>
      <c r="BO63741" s="43"/>
    </row>
    <row r="63742" spans="65:67" ht="18.75" customHeight="1">
      <c r="BM63742" s="1025"/>
      <c r="BO63742" s="43"/>
    </row>
    <row r="63743" spans="65:67" ht="18.75" customHeight="1">
      <c r="BM63743" s="1025"/>
      <c r="BO63743" s="43"/>
    </row>
    <row r="63744" spans="65:67" ht="18.75" customHeight="1">
      <c r="BM63744" s="1025"/>
      <c r="BO63744" s="43"/>
    </row>
    <row r="63745" spans="65:67" ht="18.75" customHeight="1">
      <c r="BM63745" s="1025"/>
      <c r="BO63745" s="43"/>
    </row>
    <row r="63746" spans="65:67" ht="18.75" customHeight="1">
      <c r="BM63746" s="1025"/>
      <c r="BO63746" s="43"/>
    </row>
    <row r="63747" spans="65:67" ht="18.75" customHeight="1">
      <c r="BM63747" s="1025"/>
      <c r="BO63747" s="43"/>
    </row>
    <row r="63748" spans="65:67" ht="18.75" customHeight="1">
      <c r="BM63748" s="1025"/>
      <c r="BO63748" s="43"/>
    </row>
    <row r="63749" spans="65:67" ht="18.75" customHeight="1">
      <c r="BM63749" s="1025"/>
      <c r="BO63749" s="43"/>
    </row>
    <row r="63750" spans="65:67" ht="18.75" customHeight="1">
      <c r="BM63750" s="1025"/>
      <c r="BO63750" s="43"/>
    </row>
    <row r="63751" spans="65:67" ht="18.75" customHeight="1">
      <c r="BM63751" s="1025"/>
      <c r="BO63751" s="43"/>
    </row>
    <row r="63752" spans="65:67" ht="18.75" customHeight="1">
      <c r="BM63752" s="1025"/>
      <c r="BO63752" s="43"/>
    </row>
    <row r="63753" spans="65:67" ht="18.75" customHeight="1">
      <c r="BM63753" s="1025"/>
      <c r="BO63753" s="43"/>
    </row>
    <row r="63754" spans="65:67" ht="18.75" customHeight="1">
      <c r="BM63754" s="1025"/>
      <c r="BO63754" s="43"/>
    </row>
    <row r="63755" spans="65:67" ht="18.75" customHeight="1">
      <c r="BM63755" s="1025"/>
      <c r="BO63755" s="43"/>
    </row>
    <row r="63756" spans="65:67" ht="18.75" customHeight="1">
      <c r="BM63756" s="1025"/>
      <c r="BO63756" s="43"/>
    </row>
    <row r="63757" spans="65:67" ht="18.75" customHeight="1">
      <c r="BM63757" s="1025"/>
      <c r="BO63757" s="43"/>
    </row>
    <row r="63758" spans="65:67" ht="18.75" customHeight="1">
      <c r="BM63758" s="1025"/>
      <c r="BO63758" s="43"/>
    </row>
    <row r="63759" spans="65:67" ht="18.75" customHeight="1">
      <c r="BM63759" s="1025"/>
      <c r="BO63759" s="43"/>
    </row>
    <row r="63760" spans="65:67" ht="18.75" customHeight="1">
      <c r="BM63760" s="1025"/>
      <c r="BO63760" s="43"/>
    </row>
    <row r="63761" spans="65:67" ht="18.75" customHeight="1">
      <c r="BM63761" s="1025"/>
      <c r="BO63761" s="43"/>
    </row>
    <row r="63762" spans="65:67" ht="18.75" customHeight="1">
      <c r="BM63762" s="1025"/>
      <c r="BO63762" s="43"/>
    </row>
    <row r="63763" spans="65:67" ht="18.75" customHeight="1">
      <c r="BM63763" s="1025"/>
      <c r="BO63763" s="43"/>
    </row>
    <row r="63764" spans="65:67" ht="18.75" customHeight="1">
      <c r="BM63764" s="1025"/>
      <c r="BO63764" s="43"/>
    </row>
    <row r="63765" spans="65:67" ht="18.75" customHeight="1">
      <c r="BM63765" s="1025"/>
      <c r="BO63765" s="43"/>
    </row>
    <row r="63766" spans="65:67" ht="18.75" customHeight="1">
      <c r="BM63766" s="1025"/>
      <c r="BO63766" s="43"/>
    </row>
    <row r="63767" spans="65:67" ht="18.75" customHeight="1">
      <c r="BM63767" s="1025"/>
      <c r="BO63767" s="43"/>
    </row>
    <row r="63768" spans="65:67" ht="18.75" customHeight="1">
      <c r="BM63768" s="1025"/>
      <c r="BO63768" s="43"/>
    </row>
    <row r="63769" spans="65:67" ht="18.75" customHeight="1">
      <c r="BM63769" s="1025"/>
      <c r="BO63769" s="43"/>
    </row>
    <row r="63770" spans="65:67" ht="18.75" customHeight="1">
      <c r="BM63770" s="1025"/>
      <c r="BO63770" s="43"/>
    </row>
    <row r="63771" spans="65:67" ht="18.75" customHeight="1">
      <c r="BM63771" s="1025"/>
      <c r="BO63771" s="43"/>
    </row>
    <row r="63772" spans="65:67" ht="18.75" customHeight="1">
      <c r="BM63772" s="1025"/>
      <c r="BO63772" s="43"/>
    </row>
    <row r="63773" spans="65:67" ht="18.75" customHeight="1">
      <c r="BM63773" s="1025"/>
      <c r="BO63773" s="43"/>
    </row>
    <row r="63774" spans="65:67" ht="18.75" customHeight="1">
      <c r="BM63774" s="1025"/>
      <c r="BO63774" s="43"/>
    </row>
    <row r="63775" spans="65:67" ht="18.75" customHeight="1">
      <c r="BM63775" s="1025"/>
      <c r="BO63775" s="43"/>
    </row>
    <row r="63776" spans="65:67" ht="18.75" customHeight="1">
      <c r="BM63776" s="1025"/>
      <c r="BO63776" s="43"/>
    </row>
    <row r="63777" spans="65:67" ht="18.75" customHeight="1">
      <c r="BM63777" s="1025"/>
      <c r="BO63777" s="43"/>
    </row>
    <row r="63778" spans="65:67" ht="18.75" customHeight="1">
      <c r="BM63778" s="1025"/>
      <c r="BO63778" s="43"/>
    </row>
    <row r="63779" spans="65:67" ht="18.75" customHeight="1">
      <c r="BM63779" s="1025"/>
      <c r="BO63779" s="43"/>
    </row>
    <row r="63780" spans="65:67" ht="18.75" customHeight="1">
      <c r="BM63780" s="1025"/>
      <c r="BO63780" s="43"/>
    </row>
    <row r="63781" spans="65:67" ht="18.75" customHeight="1">
      <c r="BM63781" s="1025"/>
      <c r="BO63781" s="43"/>
    </row>
    <row r="63782" spans="65:67" ht="18.75" customHeight="1">
      <c r="BM63782" s="1025"/>
      <c r="BO63782" s="43"/>
    </row>
    <row r="63783" spans="65:67" ht="18.75" customHeight="1">
      <c r="BM63783" s="1025"/>
      <c r="BO63783" s="43"/>
    </row>
    <row r="63784" spans="65:67" ht="18.75" customHeight="1">
      <c r="BM63784" s="1025"/>
      <c r="BO63784" s="43"/>
    </row>
    <row r="63785" spans="65:67" ht="18.75" customHeight="1">
      <c r="BM63785" s="1025"/>
      <c r="BO63785" s="43"/>
    </row>
    <row r="63786" spans="65:67" ht="18.75" customHeight="1">
      <c r="BM63786" s="1025"/>
      <c r="BO63786" s="43"/>
    </row>
    <row r="63787" spans="65:67" ht="18.75" customHeight="1">
      <c r="BM63787" s="1025"/>
      <c r="BO63787" s="43"/>
    </row>
    <row r="63788" spans="65:67" ht="18.75" customHeight="1">
      <c r="BM63788" s="1025"/>
      <c r="BO63788" s="43"/>
    </row>
    <row r="63789" spans="65:67" ht="18.75" customHeight="1">
      <c r="BM63789" s="1025"/>
      <c r="BO63789" s="43"/>
    </row>
    <row r="63790" spans="65:67" ht="18.75" customHeight="1">
      <c r="BM63790" s="1025"/>
      <c r="BO63790" s="43"/>
    </row>
    <row r="63791" spans="65:67" ht="18.75" customHeight="1">
      <c r="BM63791" s="1025"/>
      <c r="BO63791" s="43"/>
    </row>
    <row r="63792" spans="65:67" ht="18.75" customHeight="1">
      <c r="BM63792" s="1025"/>
      <c r="BO63792" s="43"/>
    </row>
    <row r="63793" spans="65:67" ht="18.75" customHeight="1">
      <c r="BM63793" s="1025"/>
      <c r="BO63793" s="43"/>
    </row>
    <row r="63794" spans="65:67" ht="18.75" customHeight="1">
      <c r="BM63794" s="1025"/>
      <c r="BO63794" s="43"/>
    </row>
    <row r="63795" spans="65:67" ht="18.75" customHeight="1">
      <c r="BM63795" s="1025"/>
      <c r="BO63795" s="43"/>
    </row>
    <row r="63796" spans="65:67" ht="18.75" customHeight="1">
      <c r="BM63796" s="1025"/>
      <c r="BO63796" s="43"/>
    </row>
    <row r="63797" spans="65:67" ht="18.75" customHeight="1">
      <c r="BM63797" s="1025"/>
      <c r="BO63797" s="43"/>
    </row>
    <row r="63798" spans="65:67" ht="18.75" customHeight="1">
      <c r="BM63798" s="1025"/>
      <c r="BO63798" s="43"/>
    </row>
    <row r="63799" spans="65:67" ht="18.75" customHeight="1">
      <c r="BM63799" s="1025"/>
      <c r="BO63799" s="43"/>
    </row>
    <row r="63800" spans="65:67" ht="18.75" customHeight="1">
      <c r="BM63800" s="1025"/>
      <c r="BO63800" s="43"/>
    </row>
    <row r="63801" spans="65:67" ht="18.75" customHeight="1">
      <c r="BM63801" s="1025"/>
      <c r="BO63801" s="43"/>
    </row>
    <row r="63802" spans="65:67" ht="18.75" customHeight="1">
      <c r="BM63802" s="1025"/>
      <c r="BO63802" s="43"/>
    </row>
    <row r="63803" spans="65:67" ht="18.75" customHeight="1">
      <c r="BM63803" s="1025"/>
      <c r="BO63803" s="43"/>
    </row>
    <row r="63804" spans="65:67" ht="18.75" customHeight="1">
      <c r="BM63804" s="1025"/>
      <c r="BO63804" s="43"/>
    </row>
    <row r="63805" spans="65:67" ht="18.75" customHeight="1">
      <c r="BM63805" s="1025"/>
      <c r="BO63805" s="43"/>
    </row>
    <row r="63806" spans="65:67" ht="18.75" customHeight="1">
      <c r="BM63806" s="1025"/>
      <c r="BO63806" s="43"/>
    </row>
    <row r="63807" spans="65:67" ht="18.75" customHeight="1">
      <c r="BM63807" s="1025"/>
      <c r="BO63807" s="43"/>
    </row>
    <row r="63808" spans="65:67" ht="18.75" customHeight="1">
      <c r="BM63808" s="1025"/>
      <c r="BO63808" s="43"/>
    </row>
    <row r="63809" spans="65:67" ht="18.75" customHeight="1">
      <c r="BM63809" s="1025"/>
      <c r="BO63809" s="43"/>
    </row>
    <row r="63810" spans="65:67" ht="18.75" customHeight="1">
      <c r="BM63810" s="1025"/>
      <c r="BO63810" s="43"/>
    </row>
    <row r="63811" spans="65:67" ht="18.75" customHeight="1">
      <c r="BM63811" s="1025"/>
      <c r="BO63811" s="43"/>
    </row>
    <row r="63812" spans="65:67" ht="18.75" customHeight="1">
      <c r="BM63812" s="1025"/>
      <c r="BO63812" s="43"/>
    </row>
    <row r="63813" spans="65:67" ht="18.75" customHeight="1">
      <c r="BM63813" s="1025"/>
      <c r="BO63813" s="43"/>
    </row>
    <row r="63814" spans="65:67" ht="18.75" customHeight="1">
      <c r="BM63814" s="1025"/>
      <c r="BO63814" s="43"/>
    </row>
    <row r="63815" spans="65:67" ht="18.75" customHeight="1">
      <c r="BM63815" s="1025"/>
      <c r="BO63815" s="43"/>
    </row>
    <row r="63816" spans="65:67" ht="18.75" customHeight="1">
      <c r="BM63816" s="1025"/>
      <c r="BO63816" s="43"/>
    </row>
    <row r="63817" spans="65:67" ht="18.75" customHeight="1">
      <c r="BM63817" s="1025"/>
      <c r="BO63817" s="43"/>
    </row>
    <row r="63818" spans="65:67" ht="18.75" customHeight="1">
      <c r="BM63818" s="1025"/>
      <c r="BO63818" s="43"/>
    </row>
    <row r="63819" spans="65:67" ht="18.75" customHeight="1">
      <c r="BM63819" s="1025"/>
      <c r="BO63819" s="43"/>
    </row>
    <row r="63820" spans="65:67" ht="18.75" customHeight="1">
      <c r="BM63820" s="1025"/>
      <c r="BO63820" s="43"/>
    </row>
    <row r="63821" spans="65:67" ht="18.75" customHeight="1">
      <c r="BM63821" s="1025"/>
      <c r="BO63821" s="43"/>
    </row>
    <row r="63822" spans="65:67" ht="18.75" customHeight="1">
      <c r="BM63822" s="1025"/>
      <c r="BO63822" s="43"/>
    </row>
    <row r="63823" spans="65:67" ht="18.75" customHeight="1">
      <c r="BM63823" s="1025"/>
      <c r="BO63823" s="43"/>
    </row>
    <row r="63824" spans="65:67" ht="18.75" customHeight="1">
      <c r="BM63824" s="1025"/>
      <c r="BO63824" s="43"/>
    </row>
    <row r="63825" spans="65:67" ht="18.75" customHeight="1">
      <c r="BM63825" s="1025"/>
      <c r="BO63825" s="43"/>
    </row>
    <row r="63826" spans="65:67" ht="18.75" customHeight="1">
      <c r="BM63826" s="1025"/>
      <c r="BO63826" s="43"/>
    </row>
    <row r="63827" spans="65:67" ht="18.75" customHeight="1">
      <c r="BM63827" s="1025"/>
      <c r="BO63827" s="43"/>
    </row>
    <row r="63828" spans="65:67" ht="18.75" customHeight="1">
      <c r="BM63828" s="1025"/>
      <c r="BO63828" s="43"/>
    </row>
    <row r="63829" spans="65:67" ht="18.75" customHeight="1">
      <c r="BM63829" s="1025"/>
      <c r="BO63829" s="43"/>
    </row>
    <row r="63830" spans="65:67" ht="18.75" customHeight="1">
      <c r="BM63830" s="1025"/>
      <c r="BO63830" s="43"/>
    </row>
    <row r="63831" spans="65:67" ht="18.75" customHeight="1">
      <c r="BM63831" s="1025"/>
      <c r="BO63831" s="43"/>
    </row>
    <row r="63832" spans="65:67" ht="18.75" customHeight="1">
      <c r="BM63832" s="1025"/>
      <c r="BO63832" s="43"/>
    </row>
    <row r="63833" spans="65:67" ht="18.75" customHeight="1">
      <c r="BM63833" s="1025"/>
      <c r="BO63833" s="43"/>
    </row>
    <row r="63834" spans="65:67" ht="18.75" customHeight="1">
      <c r="BM63834" s="1025"/>
      <c r="BO63834" s="43"/>
    </row>
    <row r="63835" spans="65:67" ht="18.75" customHeight="1">
      <c r="BM63835" s="1025"/>
      <c r="BO63835" s="43"/>
    </row>
    <row r="63836" spans="65:67" ht="18.75" customHeight="1">
      <c r="BM63836" s="1025"/>
      <c r="BO63836" s="43"/>
    </row>
    <row r="63837" spans="65:67" ht="18.75" customHeight="1">
      <c r="BM63837" s="1025"/>
      <c r="BO63837" s="43"/>
    </row>
    <row r="63838" spans="65:67" ht="18.75" customHeight="1">
      <c r="BM63838" s="1025"/>
      <c r="BO63838" s="43"/>
    </row>
    <row r="63839" spans="65:67" ht="18.75" customHeight="1">
      <c r="BM63839" s="1025"/>
      <c r="BO63839" s="43"/>
    </row>
    <row r="63840" spans="65:67" ht="18.75" customHeight="1">
      <c r="BM63840" s="1025"/>
      <c r="BO63840" s="43"/>
    </row>
    <row r="63841" spans="65:67" ht="18.75" customHeight="1">
      <c r="BM63841" s="1025"/>
      <c r="BO63841" s="43"/>
    </row>
    <row r="63842" spans="65:67" ht="18.75" customHeight="1">
      <c r="BM63842" s="1025"/>
      <c r="BO63842" s="43"/>
    </row>
    <row r="63843" spans="65:67" ht="18.75" customHeight="1">
      <c r="BM63843" s="1025"/>
      <c r="BO63843" s="43"/>
    </row>
    <row r="63844" spans="65:67" ht="18.75" customHeight="1">
      <c r="BM63844" s="1025"/>
      <c r="BO63844" s="43"/>
    </row>
    <row r="63845" spans="65:67" ht="18.75" customHeight="1">
      <c r="BM63845" s="1025"/>
      <c r="BO63845" s="43"/>
    </row>
    <row r="63846" spans="65:67" ht="18.75" customHeight="1">
      <c r="BM63846" s="1025"/>
      <c r="BO63846" s="43"/>
    </row>
    <row r="63847" spans="65:67" ht="18.75" customHeight="1">
      <c r="BM63847" s="1025"/>
      <c r="BO63847" s="43"/>
    </row>
    <row r="63848" spans="65:67" ht="18.75" customHeight="1">
      <c r="BM63848" s="1025"/>
      <c r="BO63848" s="43"/>
    </row>
    <row r="63849" spans="65:67" ht="18.75" customHeight="1">
      <c r="BM63849" s="1025"/>
      <c r="BO63849" s="43"/>
    </row>
    <row r="63850" spans="65:67" ht="18.75" customHeight="1">
      <c r="BM63850" s="1025"/>
      <c r="BO63850" s="43"/>
    </row>
    <row r="63851" spans="65:67" ht="18.75" customHeight="1">
      <c r="BM63851" s="1025"/>
      <c r="BO63851" s="43"/>
    </row>
    <row r="63852" spans="65:67" ht="18.75" customHeight="1">
      <c r="BM63852" s="1025"/>
      <c r="BO63852" s="43"/>
    </row>
    <row r="63853" spans="65:67" ht="18.75" customHeight="1">
      <c r="BM63853" s="1025"/>
      <c r="BO63853" s="43"/>
    </row>
    <row r="63854" spans="65:67" ht="18.75" customHeight="1">
      <c r="BM63854" s="1025"/>
      <c r="BO63854" s="43"/>
    </row>
    <row r="63855" spans="65:67" ht="18.75" customHeight="1">
      <c r="BM63855" s="1025"/>
      <c r="BO63855" s="43"/>
    </row>
    <row r="63856" spans="65:67" ht="18.75" customHeight="1">
      <c r="BM63856" s="1025"/>
      <c r="BO63856" s="43"/>
    </row>
    <row r="63857" spans="65:67" ht="18.75" customHeight="1">
      <c r="BM63857" s="1025"/>
      <c r="BO63857" s="43"/>
    </row>
    <row r="63858" spans="65:67" ht="18.75" customHeight="1">
      <c r="BM63858" s="1025"/>
      <c r="BO63858" s="43"/>
    </row>
    <row r="63859" spans="65:67" ht="18.75" customHeight="1">
      <c r="BM63859" s="1025"/>
      <c r="BO63859" s="43"/>
    </row>
    <row r="63860" spans="65:67" ht="18.75" customHeight="1">
      <c r="BM63860" s="1025"/>
      <c r="BO63860" s="43"/>
    </row>
    <row r="63861" spans="65:67" ht="18.75" customHeight="1">
      <c r="BM63861" s="1025"/>
      <c r="BO63861" s="43"/>
    </row>
    <row r="63862" spans="65:67" ht="18.75" customHeight="1">
      <c r="BM63862" s="1025"/>
      <c r="BO63862" s="43"/>
    </row>
    <row r="63863" spans="65:67" ht="18.75" customHeight="1">
      <c r="BM63863" s="1025"/>
      <c r="BO63863" s="43"/>
    </row>
    <row r="63864" spans="65:67" ht="18.75" customHeight="1">
      <c r="BM63864" s="1025"/>
      <c r="BO63864" s="43"/>
    </row>
    <row r="63865" spans="65:67" ht="18.75" customHeight="1">
      <c r="BM63865" s="1025"/>
      <c r="BO63865" s="43"/>
    </row>
    <row r="63866" spans="65:67" ht="18.75" customHeight="1">
      <c r="BM63866" s="1025"/>
      <c r="BO63866" s="43"/>
    </row>
    <row r="63867" spans="65:67" ht="18.75" customHeight="1">
      <c r="BM63867" s="1025"/>
      <c r="BO63867" s="43"/>
    </row>
    <row r="63868" spans="65:67" ht="18.75" customHeight="1">
      <c r="BM63868" s="1025"/>
      <c r="BO63868" s="43"/>
    </row>
    <row r="63869" spans="65:67" ht="18.75" customHeight="1">
      <c r="BM63869" s="1025"/>
      <c r="BO63869" s="43"/>
    </row>
    <row r="63870" spans="65:67" ht="18.75" customHeight="1">
      <c r="BM63870" s="1025"/>
      <c r="BO63870" s="43"/>
    </row>
    <row r="63871" spans="65:67" ht="18.75" customHeight="1">
      <c r="BM63871" s="1025"/>
      <c r="BO63871" s="43"/>
    </row>
    <row r="63872" spans="65:67" ht="18.75" customHeight="1">
      <c r="BM63872" s="1025"/>
      <c r="BO63872" s="43"/>
    </row>
    <row r="63873" spans="65:67" ht="18.75" customHeight="1">
      <c r="BM63873" s="1025"/>
      <c r="BO63873" s="43"/>
    </row>
    <row r="63874" spans="65:67" ht="18.75" customHeight="1">
      <c r="BM63874" s="1025"/>
      <c r="BO63874" s="43"/>
    </row>
    <row r="63875" spans="65:67" ht="18.75" customHeight="1">
      <c r="BM63875" s="1025"/>
      <c r="BO63875" s="43"/>
    </row>
    <row r="63876" spans="65:67" ht="18.75" customHeight="1">
      <c r="BM63876" s="1025"/>
      <c r="BO63876" s="43"/>
    </row>
    <row r="63877" spans="65:67" ht="18.75" customHeight="1">
      <c r="BM63877" s="1025"/>
      <c r="BO63877" s="43"/>
    </row>
    <row r="63878" spans="65:67" ht="18.75" customHeight="1">
      <c r="BM63878" s="1025"/>
      <c r="BO63878" s="43"/>
    </row>
    <row r="63879" spans="65:67" ht="18.75" customHeight="1">
      <c r="BM63879" s="1025"/>
      <c r="BO63879" s="43"/>
    </row>
    <row r="63880" spans="65:67" ht="18.75" customHeight="1">
      <c r="BM63880" s="1025"/>
      <c r="BO63880" s="43"/>
    </row>
    <row r="63881" spans="65:67" ht="18.75" customHeight="1">
      <c r="BM63881" s="1025"/>
      <c r="BO63881" s="43"/>
    </row>
    <row r="63882" spans="65:67" ht="18.75" customHeight="1">
      <c r="BM63882" s="1025"/>
      <c r="BO63882" s="43"/>
    </row>
    <row r="63883" spans="65:67" ht="18.75" customHeight="1">
      <c r="BM63883" s="1025"/>
      <c r="BO63883" s="43"/>
    </row>
    <row r="63884" spans="65:67" ht="18.75" customHeight="1">
      <c r="BM63884" s="1025"/>
      <c r="BO63884" s="43"/>
    </row>
    <row r="63885" spans="65:67" ht="18.75" customHeight="1">
      <c r="BM63885" s="1025"/>
      <c r="BO63885" s="43"/>
    </row>
    <row r="63886" spans="65:67" ht="18.75" customHeight="1">
      <c r="BM63886" s="1025"/>
      <c r="BO63886" s="43"/>
    </row>
    <row r="63887" spans="65:67" ht="18.75" customHeight="1">
      <c r="BM63887" s="1025"/>
      <c r="BO63887" s="43"/>
    </row>
    <row r="63888" spans="65:67" ht="18.75" customHeight="1">
      <c r="BM63888" s="1025"/>
      <c r="BO63888" s="43"/>
    </row>
    <row r="63889" spans="65:67" ht="18.75" customHeight="1">
      <c r="BM63889" s="1025"/>
      <c r="BO63889" s="43"/>
    </row>
    <row r="63890" spans="65:67" ht="18.75" customHeight="1">
      <c r="BM63890" s="1025"/>
      <c r="BO63890" s="43"/>
    </row>
    <row r="63891" spans="65:67" ht="18.75" customHeight="1">
      <c r="BM63891" s="1025"/>
      <c r="BO63891" s="43"/>
    </row>
    <row r="63892" spans="65:67" ht="18.75" customHeight="1">
      <c r="BM63892" s="1025"/>
      <c r="BO63892" s="43"/>
    </row>
    <row r="63893" spans="65:67" ht="18.75" customHeight="1">
      <c r="BM63893" s="1025"/>
      <c r="BO63893" s="43"/>
    </row>
    <row r="63894" spans="65:67" ht="18.75" customHeight="1">
      <c r="BM63894" s="1025"/>
      <c r="BO63894" s="43"/>
    </row>
    <row r="63895" spans="65:67" ht="18.75" customHeight="1">
      <c r="BM63895" s="1025"/>
      <c r="BO63895" s="43"/>
    </row>
    <row r="63896" spans="65:67" ht="18.75" customHeight="1">
      <c r="BM63896" s="1025"/>
      <c r="BO63896" s="43"/>
    </row>
    <row r="63897" spans="65:67" ht="18.75" customHeight="1">
      <c r="BM63897" s="1025"/>
      <c r="BO63897" s="43"/>
    </row>
    <row r="63898" spans="65:67" ht="18.75" customHeight="1">
      <c r="BM63898" s="1025"/>
      <c r="BO63898" s="43"/>
    </row>
    <row r="63899" spans="65:67" ht="18.75" customHeight="1">
      <c r="BM63899" s="1025"/>
      <c r="BO63899" s="43"/>
    </row>
    <row r="63900" spans="65:67" ht="18.75" customHeight="1">
      <c r="BM63900" s="1025"/>
      <c r="BO63900" s="43"/>
    </row>
    <row r="63901" spans="65:67" ht="18.75" customHeight="1">
      <c r="BM63901" s="1025"/>
      <c r="BO63901" s="43"/>
    </row>
    <row r="63902" spans="65:67" ht="18.75" customHeight="1">
      <c r="BM63902" s="1025"/>
      <c r="BO63902" s="43"/>
    </row>
    <row r="63903" spans="65:67" ht="18.75" customHeight="1">
      <c r="BM63903" s="1025"/>
      <c r="BO63903" s="43"/>
    </row>
    <row r="63904" spans="65:67" ht="18.75" customHeight="1">
      <c r="BM63904" s="1025"/>
      <c r="BO63904" s="43"/>
    </row>
    <row r="63905" spans="65:67" ht="18.75" customHeight="1">
      <c r="BM63905" s="1025"/>
      <c r="BO63905" s="43"/>
    </row>
    <row r="63906" spans="65:67" ht="18.75" customHeight="1">
      <c r="BM63906" s="1025"/>
      <c r="BO63906" s="43"/>
    </row>
    <row r="63907" spans="65:67" ht="18.75" customHeight="1">
      <c r="BM63907" s="1025"/>
      <c r="BO63907" s="43"/>
    </row>
    <row r="63908" spans="65:67" ht="18.75" customHeight="1">
      <c r="BM63908" s="1025"/>
      <c r="BO63908" s="43"/>
    </row>
    <row r="63909" spans="65:67" ht="18.75" customHeight="1">
      <c r="BM63909" s="1025"/>
      <c r="BO63909" s="43"/>
    </row>
    <row r="63910" spans="65:67" ht="18.75" customHeight="1">
      <c r="BM63910" s="1025"/>
      <c r="BO63910" s="43"/>
    </row>
    <row r="63911" spans="65:67" ht="18.75" customHeight="1">
      <c r="BM63911" s="1025"/>
      <c r="BO63911" s="43"/>
    </row>
    <row r="63912" spans="65:67" ht="18.75" customHeight="1">
      <c r="BM63912" s="1025"/>
      <c r="BO63912" s="43"/>
    </row>
    <row r="63913" spans="65:67" ht="18.75" customHeight="1">
      <c r="BM63913" s="1025"/>
      <c r="BO63913" s="43"/>
    </row>
    <row r="63914" spans="65:67" ht="18.75" customHeight="1">
      <c r="BM63914" s="1025"/>
      <c r="BO63914" s="43"/>
    </row>
    <row r="63915" spans="65:67" ht="18.75" customHeight="1">
      <c r="BM63915" s="1025"/>
      <c r="BO63915" s="43"/>
    </row>
    <row r="63916" spans="65:67" ht="18.75" customHeight="1">
      <c r="BM63916" s="1025"/>
      <c r="BO63916" s="43"/>
    </row>
    <row r="63917" spans="65:67" ht="18.75" customHeight="1">
      <c r="BM63917" s="1025"/>
      <c r="BO63917" s="43"/>
    </row>
    <row r="63918" spans="65:67" ht="18.75" customHeight="1">
      <c r="BM63918" s="1025"/>
      <c r="BO63918" s="43"/>
    </row>
    <row r="63919" spans="65:67" ht="18.75" customHeight="1">
      <c r="BM63919" s="1025"/>
      <c r="BO63919" s="43"/>
    </row>
    <row r="63920" spans="65:67" ht="18.75" customHeight="1">
      <c r="BM63920" s="1025"/>
      <c r="BO63920" s="43"/>
    </row>
    <row r="63921" spans="65:67" ht="18.75" customHeight="1">
      <c r="BM63921" s="1025"/>
      <c r="BO63921" s="43"/>
    </row>
    <row r="63922" spans="65:67" ht="18.75" customHeight="1">
      <c r="BM63922" s="1025"/>
      <c r="BO63922" s="43"/>
    </row>
    <row r="63923" spans="65:67" ht="18.75" customHeight="1">
      <c r="BM63923" s="1025"/>
      <c r="BO63923" s="43"/>
    </row>
    <row r="63924" spans="65:67" ht="18.75" customHeight="1">
      <c r="BM63924" s="1025"/>
      <c r="BO63924" s="43"/>
    </row>
    <row r="63925" spans="65:67" ht="18.75" customHeight="1">
      <c r="BM63925" s="1025"/>
      <c r="BO63925" s="43"/>
    </row>
    <row r="63926" spans="65:67" ht="18.75" customHeight="1">
      <c r="BM63926" s="1025"/>
      <c r="BO63926" s="43"/>
    </row>
    <row r="63927" spans="65:67" ht="18.75" customHeight="1">
      <c r="BM63927" s="1025"/>
      <c r="BO63927" s="43"/>
    </row>
    <row r="63928" spans="65:67" ht="18.75" customHeight="1">
      <c r="BM63928" s="1025"/>
      <c r="BO63928" s="43"/>
    </row>
    <row r="63929" spans="65:67" ht="18.75" customHeight="1">
      <c r="BM63929" s="1025"/>
      <c r="BO63929" s="43"/>
    </row>
    <row r="63930" spans="65:67" ht="18.75" customHeight="1">
      <c r="BM63930" s="1025"/>
      <c r="BO63930" s="43"/>
    </row>
    <row r="63931" spans="65:67" ht="18.75" customHeight="1">
      <c r="BM63931" s="1025"/>
      <c r="BO63931" s="43"/>
    </row>
    <row r="63932" spans="65:67" ht="18.75" customHeight="1">
      <c r="BM63932" s="1025"/>
      <c r="BO63932" s="43"/>
    </row>
    <row r="63933" spans="65:67" ht="18.75" customHeight="1">
      <c r="BM63933" s="1025"/>
      <c r="BO63933" s="43"/>
    </row>
    <row r="63934" spans="65:67" ht="18.75" customHeight="1">
      <c r="BM63934" s="1025"/>
      <c r="BO63934" s="43"/>
    </row>
    <row r="63935" spans="65:67" ht="18.75" customHeight="1">
      <c r="BM63935" s="1025"/>
      <c r="BO63935" s="43"/>
    </row>
    <row r="63936" spans="65:67" ht="18.75" customHeight="1">
      <c r="BM63936" s="1025"/>
      <c r="BO63936" s="43"/>
    </row>
    <row r="63937" spans="65:67" ht="18.75" customHeight="1">
      <c r="BM63937" s="1025"/>
      <c r="BO63937" s="43"/>
    </row>
    <row r="63938" spans="65:67" ht="18.75" customHeight="1">
      <c r="BM63938" s="1025"/>
      <c r="BO63938" s="43"/>
    </row>
    <row r="63939" spans="65:67" ht="18.75" customHeight="1">
      <c r="BM63939" s="1025"/>
      <c r="BO63939" s="43"/>
    </row>
    <row r="63940" spans="65:67" ht="18.75" customHeight="1">
      <c r="BM63940" s="1025"/>
      <c r="BO63940" s="43"/>
    </row>
    <row r="63941" spans="65:67" ht="18.75" customHeight="1">
      <c r="BM63941" s="1025"/>
      <c r="BO63941" s="43"/>
    </row>
    <row r="63942" spans="65:67" ht="18.75" customHeight="1">
      <c r="BM63942" s="1025"/>
      <c r="BO63942" s="43"/>
    </row>
    <row r="63943" spans="65:67" ht="18.75" customHeight="1">
      <c r="BM63943" s="1025"/>
      <c r="BO63943" s="43"/>
    </row>
    <row r="63944" spans="65:67" ht="18.75" customHeight="1">
      <c r="BM63944" s="1025"/>
      <c r="BO63944" s="43"/>
    </row>
    <row r="63945" spans="65:67" ht="18.75" customHeight="1">
      <c r="BM63945" s="1025"/>
      <c r="BO63945" s="43"/>
    </row>
    <row r="63946" spans="65:67" ht="18.75" customHeight="1">
      <c r="BM63946" s="1025"/>
      <c r="BO63946" s="43"/>
    </row>
    <row r="63947" spans="65:67" ht="18.75" customHeight="1">
      <c r="BM63947" s="1025"/>
      <c r="BO63947" s="43"/>
    </row>
    <row r="63948" spans="65:67" ht="18.75" customHeight="1">
      <c r="BM63948" s="1025"/>
      <c r="BO63948" s="43"/>
    </row>
    <row r="63949" spans="65:67" ht="18.75" customHeight="1">
      <c r="BM63949" s="1025"/>
      <c r="BO63949" s="43"/>
    </row>
    <row r="63950" spans="65:67" ht="18.75" customHeight="1">
      <c r="BM63950" s="1025"/>
      <c r="BO63950" s="43"/>
    </row>
    <row r="63951" spans="65:67" ht="18.75" customHeight="1">
      <c r="BM63951" s="1025"/>
      <c r="BO63951" s="43"/>
    </row>
    <row r="63952" spans="65:67" ht="18.75" customHeight="1">
      <c r="BM63952" s="1025"/>
      <c r="BO63952" s="43"/>
    </row>
    <row r="63953" spans="65:67" ht="18.75" customHeight="1">
      <c r="BM63953" s="1025"/>
      <c r="BO63953" s="43"/>
    </row>
    <row r="63954" spans="65:67" ht="18.75" customHeight="1">
      <c r="BM63954" s="1025"/>
      <c r="BO63954" s="43"/>
    </row>
    <row r="63955" spans="65:67" ht="18.75" customHeight="1">
      <c r="BM63955" s="1025"/>
      <c r="BO63955" s="43"/>
    </row>
    <row r="63956" spans="65:67" ht="18.75" customHeight="1">
      <c r="BM63956" s="1025"/>
      <c r="BO63956" s="43"/>
    </row>
    <row r="63957" spans="65:67" ht="18.75" customHeight="1">
      <c r="BM63957" s="1025"/>
      <c r="BO63957" s="43"/>
    </row>
    <row r="63958" spans="65:67" ht="18.75" customHeight="1">
      <c r="BM63958" s="1025"/>
      <c r="BO63958" s="43"/>
    </row>
    <row r="63959" spans="65:67" ht="18.75" customHeight="1">
      <c r="BM63959" s="1025"/>
      <c r="BO63959" s="43"/>
    </row>
    <row r="63960" spans="65:67" ht="18.75" customHeight="1">
      <c r="BM63960" s="1025"/>
      <c r="BO63960" s="43"/>
    </row>
    <row r="63961" spans="65:67" ht="18.75" customHeight="1">
      <c r="BM63961" s="1025"/>
      <c r="BO63961" s="43"/>
    </row>
    <row r="63962" spans="65:67" ht="18.75" customHeight="1">
      <c r="BM63962" s="1025"/>
      <c r="BO63962" s="43"/>
    </row>
    <row r="63963" spans="65:67" ht="18.75" customHeight="1">
      <c r="BM63963" s="1025"/>
      <c r="BO63963" s="43"/>
    </row>
    <row r="63964" spans="65:67" ht="18.75" customHeight="1">
      <c r="BM63964" s="1025"/>
      <c r="BO63964" s="43"/>
    </row>
    <row r="63965" spans="65:67" ht="18.75" customHeight="1">
      <c r="BM63965" s="1025"/>
      <c r="BO63965" s="43"/>
    </row>
    <row r="63966" spans="65:67" ht="18.75" customHeight="1">
      <c r="BM63966" s="1025"/>
      <c r="BO63966" s="43"/>
    </row>
    <row r="63967" spans="65:67" ht="18.75" customHeight="1">
      <c r="BM63967" s="1025"/>
      <c r="BO63967" s="43"/>
    </row>
    <row r="63968" spans="65:67" ht="18.75" customHeight="1">
      <c r="BM63968" s="1025"/>
      <c r="BO63968" s="43"/>
    </row>
    <row r="63969" spans="65:67" ht="18.75" customHeight="1">
      <c r="BM63969" s="1025"/>
      <c r="BO63969" s="43"/>
    </row>
    <row r="63970" spans="65:67" ht="18.75" customHeight="1">
      <c r="BM63970" s="1025"/>
      <c r="BO63970" s="43"/>
    </row>
    <row r="63971" spans="65:67" ht="18.75" customHeight="1">
      <c r="BM63971" s="1025"/>
      <c r="BO63971" s="43"/>
    </row>
    <row r="63972" spans="65:67" ht="18.75" customHeight="1">
      <c r="BM63972" s="1025"/>
      <c r="BO63972" s="43"/>
    </row>
    <row r="63973" spans="65:67" ht="18.75" customHeight="1">
      <c r="BM63973" s="1025"/>
      <c r="BO63973" s="43"/>
    </row>
    <row r="63974" spans="65:67" ht="18.75" customHeight="1">
      <c r="BM63974" s="1025"/>
      <c r="BO63974" s="43"/>
    </row>
    <row r="63975" spans="65:67" ht="18.75" customHeight="1">
      <c r="BM63975" s="1025"/>
      <c r="BO63975" s="43"/>
    </row>
    <row r="63976" spans="65:67" ht="18.75" customHeight="1">
      <c r="BM63976" s="1025"/>
      <c r="BO63976" s="43"/>
    </row>
    <row r="63977" spans="65:67" ht="18.75" customHeight="1">
      <c r="BM63977" s="1025"/>
      <c r="BO63977" s="43"/>
    </row>
    <row r="63978" spans="65:67" ht="18.75" customHeight="1">
      <c r="BM63978" s="1025"/>
      <c r="BO63978" s="43"/>
    </row>
    <row r="63979" spans="65:67" ht="18.75" customHeight="1">
      <c r="BM63979" s="1025"/>
      <c r="BO63979" s="43"/>
    </row>
    <row r="63980" spans="65:67" ht="18.75" customHeight="1">
      <c r="BM63980" s="1025"/>
      <c r="BO63980" s="43"/>
    </row>
    <row r="63981" spans="65:67" ht="18.75" customHeight="1">
      <c r="BM63981" s="1025"/>
      <c r="BO63981" s="43"/>
    </row>
    <row r="63982" spans="65:67" ht="18.75" customHeight="1">
      <c r="BM63982" s="1025"/>
      <c r="BO63982" s="43"/>
    </row>
    <row r="63983" spans="65:67" ht="18.75" customHeight="1">
      <c r="BM63983" s="1025"/>
      <c r="BO63983" s="43"/>
    </row>
    <row r="63984" spans="65:67" ht="18.75" customHeight="1">
      <c r="BM63984" s="1025"/>
      <c r="BO63984" s="43"/>
    </row>
    <row r="63985" spans="65:67" ht="18.75" customHeight="1">
      <c r="BM63985" s="1025"/>
      <c r="BO63985" s="43"/>
    </row>
    <row r="63986" spans="65:67" ht="18.75" customHeight="1">
      <c r="BM63986" s="1025"/>
      <c r="BO63986" s="43"/>
    </row>
    <row r="63987" spans="65:67" ht="18.75" customHeight="1">
      <c r="BM63987" s="1025"/>
      <c r="BO63987" s="43"/>
    </row>
    <row r="63988" spans="65:67" ht="18.75" customHeight="1">
      <c r="BM63988" s="1025"/>
      <c r="BO63988" s="43"/>
    </row>
    <row r="63989" spans="65:67" ht="18.75" customHeight="1">
      <c r="BM63989" s="1025"/>
      <c r="BO63989" s="43"/>
    </row>
    <row r="63990" spans="65:67" ht="18.75" customHeight="1">
      <c r="BM63990" s="1025"/>
      <c r="BO63990" s="43"/>
    </row>
    <row r="63991" spans="65:67" ht="18.75" customHeight="1">
      <c r="BM63991" s="1025"/>
      <c r="BO63991" s="43"/>
    </row>
    <row r="63992" spans="65:67" ht="18.75" customHeight="1">
      <c r="BM63992" s="1025"/>
      <c r="BO63992" s="43"/>
    </row>
    <row r="63993" spans="65:67" ht="18.75" customHeight="1">
      <c r="BM63993" s="1025"/>
      <c r="BO63993" s="43"/>
    </row>
    <row r="63994" spans="65:67" ht="18.75" customHeight="1">
      <c r="BM63994" s="1025"/>
      <c r="BO63994" s="43"/>
    </row>
    <row r="63995" spans="65:67" ht="18.75" customHeight="1">
      <c r="BM63995" s="1025"/>
      <c r="BO63995" s="43"/>
    </row>
    <row r="63996" spans="65:67" ht="18.75" customHeight="1">
      <c r="BM63996" s="1025"/>
      <c r="BO63996" s="43"/>
    </row>
    <row r="63997" spans="65:67" ht="18.75" customHeight="1">
      <c r="BM63997" s="1025"/>
      <c r="BO63997" s="43"/>
    </row>
    <row r="63998" spans="65:67" ht="18.75" customHeight="1">
      <c r="BM63998" s="1025"/>
      <c r="BO63998" s="43"/>
    </row>
    <row r="63999" spans="65:67" ht="18.75" customHeight="1">
      <c r="BM63999" s="1025"/>
      <c r="BO63999" s="43"/>
    </row>
    <row r="64000" spans="65:67" ht="18.75" customHeight="1">
      <c r="BM64000" s="1025"/>
      <c r="BO64000" s="43"/>
    </row>
    <row r="64001" spans="65:67" ht="18.75" customHeight="1">
      <c r="BM64001" s="1025"/>
      <c r="BO64001" s="43"/>
    </row>
    <row r="64002" spans="65:67" ht="18.75" customHeight="1">
      <c r="BM64002" s="1025"/>
      <c r="BO64002" s="43"/>
    </row>
    <row r="64003" spans="65:67" ht="18.75" customHeight="1">
      <c r="BM64003" s="1025"/>
      <c r="BO64003" s="43"/>
    </row>
    <row r="64004" spans="65:67" ht="18.75" customHeight="1">
      <c r="BM64004" s="1025"/>
      <c r="BO64004" s="43"/>
    </row>
    <row r="64005" spans="65:67" ht="18.75" customHeight="1">
      <c r="BM64005" s="1025"/>
      <c r="BO64005" s="43"/>
    </row>
    <row r="64006" spans="65:67" ht="18.75" customHeight="1">
      <c r="BM64006" s="1025"/>
      <c r="BO64006" s="43"/>
    </row>
    <row r="64007" spans="65:67" ht="18.75" customHeight="1">
      <c r="BM64007" s="1025"/>
      <c r="BO64007" s="43"/>
    </row>
    <row r="64008" spans="65:67" ht="18.75" customHeight="1">
      <c r="BM64008" s="1025"/>
      <c r="BO64008" s="43"/>
    </row>
    <row r="64009" spans="65:67" ht="18.75" customHeight="1">
      <c r="BM64009" s="1025"/>
      <c r="BO64009" s="43"/>
    </row>
    <row r="64010" spans="65:67" ht="18.75" customHeight="1">
      <c r="BM64010" s="1025"/>
      <c r="BO64010" s="43"/>
    </row>
    <row r="64011" spans="65:67" ht="18.75" customHeight="1">
      <c r="BM64011" s="1025"/>
      <c r="BO64011" s="43"/>
    </row>
    <row r="64012" spans="65:67" ht="18.75" customHeight="1">
      <c r="BM64012" s="1025"/>
      <c r="BO64012" s="43"/>
    </row>
    <row r="64013" spans="65:67" ht="18.75" customHeight="1">
      <c r="BM64013" s="1025"/>
      <c r="BO64013" s="43"/>
    </row>
    <row r="64014" spans="65:67" ht="18.75" customHeight="1">
      <c r="BM64014" s="1025"/>
      <c r="BO64014" s="43"/>
    </row>
    <row r="64015" spans="65:67" ht="18.75" customHeight="1">
      <c r="BM64015" s="1025"/>
      <c r="BO64015" s="43"/>
    </row>
    <row r="64016" spans="65:67" ht="18.75" customHeight="1">
      <c r="BM64016" s="1025"/>
      <c r="BO64016" s="43"/>
    </row>
    <row r="64017" spans="65:67" ht="18.75" customHeight="1">
      <c r="BM64017" s="1025"/>
      <c r="BO64017" s="43"/>
    </row>
    <row r="64018" spans="65:67" ht="18.75" customHeight="1">
      <c r="BM64018" s="1025"/>
      <c r="BO64018" s="43"/>
    </row>
    <row r="64019" spans="65:67" ht="18.75" customHeight="1">
      <c r="BM64019" s="1025"/>
      <c r="BO64019" s="43"/>
    </row>
    <row r="64020" spans="65:67" ht="18.75" customHeight="1">
      <c r="BM64020" s="1025"/>
      <c r="BO64020" s="43"/>
    </row>
    <row r="64021" spans="65:67" ht="18.75" customHeight="1">
      <c r="BM64021" s="1025"/>
      <c r="BO64021" s="43"/>
    </row>
    <row r="64022" spans="65:67" ht="18.75" customHeight="1">
      <c r="BM64022" s="1025"/>
      <c r="BO64022" s="43"/>
    </row>
    <row r="64023" spans="65:67" ht="18.75" customHeight="1">
      <c r="BM64023" s="1025"/>
      <c r="BO64023" s="43"/>
    </row>
    <row r="64024" spans="65:67" ht="18.75" customHeight="1">
      <c r="BM64024" s="1025"/>
      <c r="BO64024" s="43"/>
    </row>
    <row r="64025" spans="65:67" ht="18.75" customHeight="1">
      <c r="BM64025" s="1025"/>
      <c r="BO64025" s="43"/>
    </row>
    <row r="64026" spans="65:67" ht="18.75" customHeight="1">
      <c r="BM64026" s="1025"/>
      <c r="BO64026" s="43"/>
    </row>
    <row r="64027" spans="65:67" ht="18.75" customHeight="1">
      <c r="BM64027" s="1025"/>
      <c r="BO64027" s="43"/>
    </row>
    <row r="64028" spans="65:67" ht="18.75" customHeight="1">
      <c r="BM64028" s="1025"/>
      <c r="BO64028" s="43"/>
    </row>
    <row r="64029" spans="65:67" ht="18.75" customHeight="1">
      <c r="BM64029" s="1025"/>
      <c r="BO64029" s="43"/>
    </row>
    <row r="64030" spans="65:67" ht="18.75" customHeight="1">
      <c r="BM64030" s="1025"/>
      <c r="BO64030" s="43"/>
    </row>
    <row r="64031" spans="65:67" ht="18.75" customHeight="1">
      <c r="BM64031" s="1025"/>
      <c r="BO64031" s="43"/>
    </row>
    <row r="64032" spans="65:67" ht="18.75" customHeight="1">
      <c r="BM64032" s="1025"/>
      <c r="BO64032" s="43"/>
    </row>
    <row r="64033" spans="65:67" ht="18.75" customHeight="1">
      <c r="BM64033" s="1025"/>
      <c r="BO64033" s="43"/>
    </row>
    <row r="64034" spans="65:67" ht="18.75" customHeight="1">
      <c r="BM64034" s="1025"/>
      <c r="BO64034" s="43"/>
    </row>
    <row r="64035" spans="65:67" ht="18.75" customHeight="1">
      <c r="BM64035" s="1025"/>
      <c r="BO64035" s="43"/>
    </row>
    <row r="64036" spans="65:67" ht="18.75" customHeight="1">
      <c r="BM64036" s="1025"/>
      <c r="BO64036" s="43"/>
    </row>
    <row r="64037" spans="65:67" ht="18.75" customHeight="1">
      <c r="BM64037" s="1025"/>
      <c r="BO64037" s="43"/>
    </row>
    <row r="64038" spans="65:67" ht="18.75" customHeight="1">
      <c r="BM64038" s="1025"/>
      <c r="BO64038" s="43"/>
    </row>
    <row r="64039" spans="65:67" ht="18.75" customHeight="1">
      <c r="BM64039" s="1025"/>
      <c r="BO64039" s="43"/>
    </row>
    <row r="64040" spans="65:67" ht="18.75" customHeight="1">
      <c r="BM64040" s="1025"/>
      <c r="BO64040" s="43"/>
    </row>
    <row r="64041" spans="65:67" ht="18.75" customHeight="1">
      <c r="BM64041" s="1025"/>
      <c r="BO64041" s="43"/>
    </row>
    <row r="64042" spans="65:67" ht="18.75" customHeight="1">
      <c r="BM64042" s="1025"/>
      <c r="BO64042" s="43"/>
    </row>
    <row r="64043" spans="65:67" ht="18.75" customHeight="1">
      <c r="BM64043" s="1025"/>
      <c r="BO64043" s="43"/>
    </row>
    <row r="64044" spans="65:67" ht="18.75" customHeight="1">
      <c r="BM64044" s="1025"/>
      <c r="BO64044" s="43"/>
    </row>
    <row r="64045" spans="65:67" ht="18.75" customHeight="1">
      <c r="BM64045" s="1025"/>
      <c r="BO64045" s="43"/>
    </row>
    <row r="64046" spans="65:67" ht="18.75" customHeight="1">
      <c r="BM64046" s="1025"/>
      <c r="BO64046" s="43"/>
    </row>
    <row r="64047" spans="65:67" ht="18.75" customHeight="1">
      <c r="BM64047" s="1025"/>
      <c r="BO64047" s="43"/>
    </row>
    <row r="64048" spans="65:67" ht="18.75" customHeight="1">
      <c r="BM64048" s="1025"/>
      <c r="BO64048" s="43"/>
    </row>
    <row r="64049" spans="65:67" ht="18.75" customHeight="1">
      <c r="BM64049" s="1025"/>
      <c r="BO64049" s="43"/>
    </row>
    <row r="64050" spans="65:67" ht="18.75" customHeight="1">
      <c r="BM64050" s="1025"/>
      <c r="BO64050" s="43"/>
    </row>
    <row r="64051" spans="65:67" ht="18.75" customHeight="1">
      <c r="BM64051" s="1025"/>
      <c r="BO64051" s="43"/>
    </row>
    <row r="64052" spans="65:67" ht="18.75" customHeight="1">
      <c r="BM64052" s="1025"/>
      <c r="BO64052" s="43"/>
    </row>
    <row r="64053" spans="65:67" ht="18.75" customHeight="1">
      <c r="BM64053" s="1025"/>
      <c r="BO64053" s="43"/>
    </row>
    <row r="64054" spans="65:67" ht="18.75" customHeight="1">
      <c r="BM64054" s="1025"/>
      <c r="BO64054" s="43"/>
    </row>
    <row r="64055" spans="65:67" ht="18.75" customHeight="1">
      <c r="BM64055" s="1025"/>
      <c r="BO64055" s="43"/>
    </row>
    <row r="64056" spans="65:67" ht="18.75" customHeight="1">
      <c r="BM64056" s="1025"/>
      <c r="BO64056" s="43"/>
    </row>
    <row r="64057" spans="65:67" ht="18.75" customHeight="1">
      <c r="BM64057" s="1025"/>
      <c r="BO64057" s="43"/>
    </row>
    <row r="64058" spans="65:67" ht="18.75" customHeight="1">
      <c r="BM64058" s="1025"/>
      <c r="BO64058" s="43"/>
    </row>
    <row r="64059" spans="65:67" ht="18.75" customHeight="1">
      <c r="BM64059" s="1025"/>
      <c r="BO64059" s="43"/>
    </row>
    <row r="64060" spans="65:67" ht="18.75" customHeight="1">
      <c r="BM64060" s="1025"/>
      <c r="BO64060" s="43"/>
    </row>
    <row r="64061" spans="65:67" ht="18.75" customHeight="1">
      <c r="BM64061" s="1025"/>
      <c r="BO64061" s="43"/>
    </row>
    <row r="64062" spans="65:67" ht="18.75" customHeight="1">
      <c r="BM64062" s="1025"/>
      <c r="BO64062" s="43"/>
    </row>
    <row r="64063" spans="65:67" ht="18.75" customHeight="1">
      <c r="BM64063" s="1025"/>
      <c r="BO64063" s="43"/>
    </row>
    <row r="64064" spans="65:67" ht="18.75" customHeight="1">
      <c r="BM64064" s="1025"/>
      <c r="BO64064" s="43"/>
    </row>
    <row r="64065" spans="65:67" ht="18.75" customHeight="1">
      <c r="BM64065" s="1025"/>
      <c r="BO64065" s="43"/>
    </row>
    <row r="64066" spans="65:67" ht="18.75" customHeight="1">
      <c r="BM64066" s="1025"/>
      <c r="BO64066" s="43"/>
    </row>
    <row r="64067" spans="65:67" ht="18.75" customHeight="1">
      <c r="BM64067" s="1025"/>
      <c r="BO64067" s="43"/>
    </row>
    <row r="64068" spans="65:67" ht="18.75" customHeight="1">
      <c r="BM64068" s="1025"/>
      <c r="BO64068" s="43"/>
    </row>
    <row r="64069" spans="65:67" ht="18.75" customHeight="1">
      <c r="BM64069" s="1025"/>
      <c r="BO64069" s="43"/>
    </row>
    <row r="64070" spans="65:67" ht="18.75" customHeight="1">
      <c r="BM64070" s="1025"/>
      <c r="BO64070" s="43"/>
    </row>
    <row r="64071" spans="65:67" ht="18.75" customHeight="1">
      <c r="BM64071" s="1025"/>
      <c r="BO64071" s="43"/>
    </row>
    <row r="64072" spans="65:67" ht="18.75" customHeight="1">
      <c r="BM64072" s="1025"/>
      <c r="BO64072" s="43"/>
    </row>
    <row r="64073" spans="65:67" ht="18.75" customHeight="1">
      <c r="BM64073" s="1025"/>
      <c r="BO64073" s="43"/>
    </row>
    <row r="64074" spans="65:67" ht="18.75" customHeight="1">
      <c r="BM64074" s="1025"/>
      <c r="BO64074" s="43"/>
    </row>
    <row r="64075" spans="65:67" ht="18.75" customHeight="1">
      <c r="BM64075" s="1025"/>
      <c r="BO64075" s="43"/>
    </row>
    <row r="64076" spans="65:67" ht="18.75" customHeight="1">
      <c r="BM64076" s="1025"/>
      <c r="BO64076" s="43"/>
    </row>
    <row r="64077" spans="65:67" ht="18.75" customHeight="1">
      <c r="BM64077" s="1025"/>
      <c r="BO64077" s="43"/>
    </row>
    <row r="64078" spans="65:67" ht="18.75" customHeight="1">
      <c r="BM64078" s="1025"/>
      <c r="BO64078" s="43"/>
    </row>
    <row r="64079" spans="65:67" ht="18.75" customHeight="1">
      <c r="BM64079" s="1025"/>
      <c r="BO64079" s="43"/>
    </row>
    <row r="64080" spans="65:67" ht="18.75" customHeight="1">
      <c r="BM64080" s="1025"/>
      <c r="BO64080" s="43"/>
    </row>
    <row r="64081" spans="65:67" ht="18.75" customHeight="1">
      <c r="BM64081" s="1025"/>
      <c r="BO64081" s="43"/>
    </row>
    <row r="64082" spans="65:67" ht="18.75" customHeight="1">
      <c r="BM64082" s="1025"/>
      <c r="BO64082" s="43"/>
    </row>
    <row r="64083" spans="65:67" ht="18.75" customHeight="1">
      <c r="BM64083" s="1025"/>
      <c r="BO64083" s="43"/>
    </row>
    <row r="64084" spans="65:67" ht="18.75" customHeight="1">
      <c r="BM64084" s="1025"/>
      <c r="BO64084" s="43"/>
    </row>
    <row r="64085" spans="65:67" ht="18.75" customHeight="1">
      <c r="BM64085" s="1025"/>
      <c r="BO64085" s="43"/>
    </row>
    <row r="64086" spans="65:67" ht="18.75" customHeight="1">
      <c r="BM64086" s="1025"/>
      <c r="BO64086" s="43"/>
    </row>
    <row r="64087" spans="65:67" ht="18.75" customHeight="1">
      <c r="BM64087" s="1025"/>
      <c r="BO64087" s="43"/>
    </row>
    <row r="64088" spans="65:67" ht="18.75" customHeight="1">
      <c r="BM64088" s="1025"/>
      <c r="BO64088" s="43"/>
    </row>
    <row r="64089" spans="65:67" ht="18.75" customHeight="1">
      <c r="BM64089" s="1025"/>
      <c r="BO64089" s="43"/>
    </row>
    <row r="64090" spans="65:67" ht="18.75" customHeight="1">
      <c r="BM64090" s="1025"/>
      <c r="BO64090" s="43"/>
    </row>
    <row r="64091" spans="65:67" ht="18.75" customHeight="1">
      <c r="BM64091" s="1025"/>
      <c r="BO64091" s="43"/>
    </row>
    <row r="64092" spans="65:67" ht="18.75" customHeight="1">
      <c r="BM64092" s="1025"/>
      <c r="BO64092" s="43"/>
    </row>
    <row r="64093" spans="65:67" ht="18.75" customHeight="1">
      <c r="BM64093" s="1025"/>
      <c r="BO64093" s="43"/>
    </row>
    <row r="64094" spans="65:67" ht="18.75" customHeight="1">
      <c r="BM64094" s="1025"/>
      <c r="BO64094" s="43"/>
    </row>
    <row r="64095" spans="65:67" ht="18.75" customHeight="1">
      <c r="BM64095" s="1025"/>
      <c r="BO64095" s="43"/>
    </row>
    <row r="64096" spans="65:67" ht="18.75" customHeight="1">
      <c r="BM64096" s="1025"/>
      <c r="BO64096" s="43"/>
    </row>
    <row r="64097" spans="65:67" ht="18.75" customHeight="1">
      <c r="BM64097" s="1025"/>
      <c r="BO64097" s="43"/>
    </row>
    <row r="64098" spans="65:67" ht="18.75" customHeight="1">
      <c r="BM64098" s="1025"/>
      <c r="BO64098" s="43"/>
    </row>
    <row r="64099" spans="65:67" ht="18.75" customHeight="1">
      <c r="BM64099" s="1025"/>
      <c r="BO64099" s="43"/>
    </row>
    <row r="64100" spans="65:67" ht="18.75" customHeight="1">
      <c r="BM64100" s="1025"/>
      <c r="BO64100" s="43"/>
    </row>
    <row r="64101" spans="65:67" ht="18.75" customHeight="1">
      <c r="BM64101" s="1025"/>
      <c r="BO64101" s="43"/>
    </row>
    <row r="64102" spans="65:67" ht="18.75" customHeight="1">
      <c r="BM64102" s="1025"/>
      <c r="BO64102" s="43"/>
    </row>
    <row r="64103" spans="65:67" ht="18.75" customHeight="1">
      <c r="BM64103" s="1025"/>
      <c r="BO64103" s="43"/>
    </row>
    <row r="64104" spans="65:67" ht="18.75" customHeight="1">
      <c r="BM64104" s="1025"/>
      <c r="BO64104" s="43"/>
    </row>
    <row r="64105" spans="65:67" ht="18.75" customHeight="1">
      <c r="BM64105" s="1025"/>
      <c r="BO64105" s="43"/>
    </row>
    <row r="64106" spans="65:67" ht="18.75" customHeight="1">
      <c r="BM64106" s="1025"/>
      <c r="BO64106" s="43"/>
    </row>
    <row r="64107" spans="65:67" ht="18.75" customHeight="1">
      <c r="BM64107" s="1025"/>
      <c r="BO64107" s="43"/>
    </row>
    <row r="64108" spans="65:67" ht="18.75" customHeight="1">
      <c r="BM64108" s="1025"/>
      <c r="BO64108" s="43"/>
    </row>
    <row r="64109" spans="65:67" ht="18.75" customHeight="1">
      <c r="BM64109" s="1025"/>
      <c r="BO64109" s="43"/>
    </row>
    <row r="64110" spans="65:67" ht="18.75" customHeight="1">
      <c r="BM64110" s="1025"/>
      <c r="BO64110" s="43"/>
    </row>
    <row r="64111" spans="65:67" ht="18.75" customHeight="1">
      <c r="BM64111" s="1025"/>
      <c r="BO64111" s="43"/>
    </row>
    <row r="64112" spans="65:67" ht="18.75" customHeight="1">
      <c r="BM64112" s="1025"/>
      <c r="BO64112" s="43"/>
    </row>
    <row r="64113" spans="65:67" ht="18.75" customHeight="1">
      <c r="BM64113" s="1025"/>
      <c r="BO64113" s="43"/>
    </row>
    <row r="64114" spans="65:67" ht="18.75" customHeight="1">
      <c r="BM64114" s="1025"/>
      <c r="BO64114" s="43"/>
    </row>
    <row r="64115" spans="65:67" ht="18.75" customHeight="1">
      <c r="BM64115" s="1025"/>
      <c r="BO64115" s="43"/>
    </row>
    <row r="64116" spans="65:67" ht="18.75" customHeight="1">
      <c r="BM64116" s="1025"/>
      <c r="BO64116" s="43"/>
    </row>
    <row r="64117" spans="65:67" ht="18.75" customHeight="1">
      <c r="BM64117" s="1025"/>
      <c r="BO64117" s="43"/>
    </row>
    <row r="64118" spans="65:67" ht="18.75" customHeight="1">
      <c r="BM64118" s="1025"/>
      <c r="BO64118" s="43"/>
    </row>
    <row r="64119" spans="65:67" ht="18.75" customHeight="1">
      <c r="BM64119" s="1025"/>
      <c r="BO64119" s="43"/>
    </row>
    <row r="64120" spans="65:67" ht="18.75" customHeight="1">
      <c r="BM64120" s="1025"/>
      <c r="BO64120" s="43"/>
    </row>
    <row r="64121" spans="65:67" ht="18.75" customHeight="1">
      <c r="BM64121" s="1025"/>
      <c r="BO64121" s="43"/>
    </row>
    <row r="64122" spans="65:67" ht="18.75" customHeight="1">
      <c r="BM64122" s="1025"/>
      <c r="BO64122" s="43"/>
    </row>
    <row r="64123" spans="65:67" ht="18.75" customHeight="1">
      <c r="BM64123" s="1025"/>
      <c r="BO64123" s="43"/>
    </row>
    <row r="64124" spans="65:67" ht="18.75" customHeight="1">
      <c r="BM64124" s="1025"/>
      <c r="BO64124" s="43"/>
    </row>
    <row r="64125" spans="65:67" ht="18.75" customHeight="1">
      <c r="BM64125" s="1025"/>
      <c r="BO64125" s="43"/>
    </row>
    <row r="64126" spans="65:67" ht="18.75" customHeight="1">
      <c r="BM64126" s="1025"/>
      <c r="BO64126" s="43"/>
    </row>
    <row r="64127" spans="65:67" ht="18.75" customHeight="1">
      <c r="BM64127" s="1025"/>
      <c r="BO64127" s="43"/>
    </row>
    <row r="64128" spans="65:67" ht="18.75" customHeight="1">
      <c r="BM64128" s="1025"/>
      <c r="BO64128" s="43"/>
    </row>
    <row r="64129" spans="65:67" ht="18.75" customHeight="1">
      <c r="BM64129" s="1025"/>
      <c r="BO64129" s="43"/>
    </row>
    <row r="64130" spans="65:67" ht="18.75" customHeight="1">
      <c r="BM64130" s="1025"/>
      <c r="BO64130" s="43"/>
    </row>
    <row r="64131" spans="65:67" ht="18.75" customHeight="1">
      <c r="BM64131" s="1025"/>
      <c r="BO64131" s="43"/>
    </row>
    <row r="64132" spans="65:67" ht="18.75" customHeight="1">
      <c r="BM64132" s="1025"/>
      <c r="BO64132" s="43"/>
    </row>
    <row r="64133" spans="65:67" ht="18.75" customHeight="1">
      <c r="BM64133" s="1025"/>
      <c r="BO64133" s="43"/>
    </row>
    <row r="64134" spans="65:67" ht="18.75" customHeight="1">
      <c r="BM64134" s="1025"/>
      <c r="BO64134" s="43"/>
    </row>
    <row r="64135" spans="65:67" ht="18.75" customHeight="1">
      <c r="BM64135" s="1025"/>
      <c r="BO64135" s="43"/>
    </row>
    <row r="64136" spans="65:67" ht="18.75" customHeight="1">
      <c r="BM64136" s="1025"/>
      <c r="BO64136" s="43"/>
    </row>
    <row r="64137" spans="65:67" ht="18.75" customHeight="1">
      <c r="BM64137" s="1025"/>
      <c r="BO64137" s="43"/>
    </row>
    <row r="64138" spans="65:67" ht="18.75" customHeight="1">
      <c r="BM64138" s="1025"/>
      <c r="BO64138" s="43"/>
    </row>
    <row r="64139" spans="65:67" ht="18.75" customHeight="1">
      <c r="BM64139" s="1025"/>
      <c r="BO64139" s="43"/>
    </row>
    <row r="64140" spans="65:67" ht="18.75" customHeight="1">
      <c r="BM64140" s="1025"/>
      <c r="BO64140" s="43"/>
    </row>
    <row r="64141" spans="65:67" ht="18.75" customHeight="1">
      <c r="BM64141" s="1025"/>
      <c r="BO64141" s="43"/>
    </row>
    <row r="64142" spans="65:67" ht="18.75" customHeight="1">
      <c r="BM64142" s="1025"/>
      <c r="BO64142" s="43"/>
    </row>
    <row r="64143" spans="65:67" ht="18.75" customHeight="1">
      <c r="BM64143" s="1025"/>
      <c r="BO64143" s="43"/>
    </row>
    <row r="64144" spans="65:67" ht="18.75" customHeight="1">
      <c r="BM64144" s="1025"/>
      <c r="BO64144" s="43"/>
    </row>
    <row r="64145" spans="65:67" ht="18.75" customHeight="1">
      <c r="BM64145" s="1025"/>
      <c r="BO64145" s="43"/>
    </row>
    <row r="64146" spans="65:67" ht="18.75" customHeight="1">
      <c r="BM64146" s="1025"/>
      <c r="BO64146" s="43"/>
    </row>
    <row r="64147" spans="65:67" ht="18.75" customHeight="1">
      <c r="BM64147" s="1025"/>
      <c r="BO64147" s="43"/>
    </row>
    <row r="64148" spans="65:67" ht="18.75" customHeight="1">
      <c r="BM64148" s="1025"/>
      <c r="BO64148" s="43"/>
    </row>
    <row r="64149" spans="65:67" ht="18.75" customHeight="1">
      <c r="BM64149" s="1025"/>
      <c r="BO64149" s="43"/>
    </row>
    <row r="64150" spans="65:67" ht="18.75" customHeight="1">
      <c r="BM64150" s="1025"/>
      <c r="BO64150" s="43"/>
    </row>
    <row r="64151" spans="65:67" ht="18.75" customHeight="1">
      <c r="BM64151" s="1025"/>
      <c r="BO64151" s="43"/>
    </row>
    <row r="64152" spans="65:67" ht="18.75" customHeight="1">
      <c r="BM64152" s="1025"/>
      <c r="BO64152" s="43"/>
    </row>
    <row r="64153" spans="65:67" ht="18.75" customHeight="1">
      <c r="BM64153" s="1025"/>
      <c r="BO64153" s="43"/>
    </row>
    <row r="64154" spans="65:67" ht="18.75" customHeight="1">
      <c r="BM64154" s="1025"/>
      <c r="BO64154" s="43"/>
    </row>
    <row r="64155" spans="65:67" ht="18.75" customHeight="1">
      <c r="BM64155" s="1025"/>
      <c r="BO64155" s="43"/>
    </row>
    <row r="64156" spans="65:67" ht="18.75" customHeight="1">
      <c r="BM64156" s="1025"/>
      <c r="BO64156" s="43"/>
    </row>
    <row r="64157" spans="65:67" ht="18.75" customHeight="1">
      <c r="BM64157" s="1025"/>
      <c r="BO64157" s="43"/>
    </row>
    <row r="64158" spans="65:67" ht="18.75" customHeight="1">
      <c r="BM64158" s="1025"/>
      <c r="BO64158" s="43"/>
    </row>
    <row r="64159" spans="65:67" ht="18.75" customHeight="1">
      <c r="BM64159" s="1025"/>
      <c r="BO64159" s="43"/>
    </row>
    <row r="64160" spans="65:67" ht="18.75" customHeight="1">
      <c r="BM64160" s="1025"/>
      <c r="BO64160" s="43"/>
    </row>
    <row r="64161" spans="65:67" ht="18.75" customHeight="1">
      <c r="BM64161" s="1025"/>
      <c r="BO64161" s="43"/>
    </row>
    <row r="64162" spans="65:67" ht="18.75" customHeight="1">
      <c r="BM64162" s="1025"/>
      <c r="BO64162" s="43"/>
    </row>
    <row r="64163" spans="65:67" ht="18.75" customHeight="1">
      <c r="BM64163" s="1025"/>
      <c r="BO64163" s="43"/>
    </row>
    <row r="64164" spans="65:67" ht="18.75" customHeight="1">
      <c r="BM64164" s="1025"/>
      <c r="BO64164" s="43"/>
    </row>
    <row r="64165" spans="65:67" ht="18.75" customHeight="1">
      <c r="BM64165" s="1025"/>
      <c r="BO64165" s="43"/>
    </row>
    <row r="64166" spans="65:67" ht="18.75" customHeight="1">
      <c r="BM64166" s="1025"/>
      <c r="BO64166" s="43"/>
    </row>
    <row r="64167" spans="65:67" ht="18.75" customHeight="1">
      <c r="BM64167" s="1025"/>
      <c r="BO64167" s="43"/>
    </row>
    <row r="64168" spans="65:67" ht="18.75" customHeight="1">
      <c r="BM64168" s="1025"/>
      <c r="BO64168" s="43"/>
    </row>
    <row r="64169" spans="65:67" ht="18.75" customHeight="1">
      <c r="BM64169" s="1025"/>
      <c r="BO64169" s="43"/>
    </row>
    <row r="64170" spans="65:67" ht="18.75" customHeight="1">
      <c r="BM64170" s="1025"/>
      <c r="BO64170" s="43"/>
    </row>
    <row r="64171" spans="65:67" ht="18.75" customHeight="1">
      <c r="BM64171" s="1025"/>
      <c r="BO64171" s="43"/>
    </row>
    <row r="64172" spans="65:67" ht="18.75" customHeight="1">
      <c r="BM64172" s="1025"/>
      <c r="BO64172" s="43"/>
    </row>
    <row r="64173" spans="65:67" ht="18.75" customHeight="1">
      <c r="BM64173" s="1025"/>
      <c r="BO64173" s="43"/>
    </row>
    <row r="64174" spans="65:67" ht="18.75" customHeight="1">
      <c r="BM64174" s="1025"/>
      <c r="BO64174" s="43"/>
    </row>
    <row r="64175" spans="65:67" ht="18.75" customHeight="1">
      <c r="BM64175" s="1025"/>
      <c r="BO64175" s="43"/>
    </row>
    <row r="64176" spans="65:67" ht="18.75" customHeight="1">
      <c r="BM64176" s="1025"/>
      <c r="BO64176" s="43"/>
    </row>
    <row r="64177" spans="65:67" ht="18.75" customHeight="1">
      <c r="BM64177" s="1025"/>
      <c r="BO64177" s="43"/>
    </row>
    <row r="64178" spans="65:67" ht="18.75" customHeight="1">
      <c r="BM64178" s="1025"/>
      <c r="BO64178" s="43"/>
    </row>
    <row r="64179" spans="65:67" ht="18.75" customHeight="1">
      <c r="BM64179" s="1025"/>
      <c r="BO64179" s="43"/>
    </row>
    <row r="64180" spans="65:67" ht="18.75" customHeight="1">
      <c r="BM64180" s="1025"/>
      <c r="BO64180" s="43"/>
    </row>
    <row r="64181" spans="65:67" ht="18.75" customHeight="1">
      <c r="BM64181" s="1025"/>
      <c r="BO64181" s="43"/>
    </row>
    <row r="64182" spans="65:67" ht="18.75" customHeight="1">
      <c r="BM64182" s="1025"/>
      <c r="BO64182" s="43"/>
    </row>
    <row r="64183" spans="65:67" ht="18.75" customHeight="1">
      <c r="BM64183" s="1025"/>
      <c r="BO64183" s="43"/>
    </row>
    <row r="64184" spans="65:67" ht="18.75" customHeight="1">
      <c r="BM64184" s="1025"/>
      <c r="BO64184" s="43"/>
    </row>
    <row r="64185" spans="65:67" ht="18.75" customHeight="1">
      <c r="BM64185" s="1025"/>
      <c r="BO64185" s="43"/>
    </row>
    <row r="64186" spans="65:67" ht="18.75" customHeight="1">
      <c r="BM64186" s="1025"/>
      <c r="BO64186" s="43"/>
    </row>
    <row r="64187" spans="65:67" ht="18.75" customHeight="1">
      <c r="BM64187" s="1025"/>
      <c r="BO64187" s="43"/>
    </row>
    <row r="64188" spans="65:67" ht="18.75" customHeight="1">
      <c r="BM64188" s="1025"/>
      <c r="BO64188" s="43"/>
    </row>
    <row r="64189" spans="65:67" ht="18.75" customHeight="1">
      <c r="BM64189" s="1025"/>
      <c r="BO64189" s="43"/>
    </row>
    <row r="64190" spans="65:67" ht="18.75" customHeight="1">
      <c r="BM64190" s="1025"/>
      <c r="BO64190" s="43"/>
    </row>
    <row r="64191" spans="65:67" ht="18.75" customHeight="1">
      <c r="BM64191" s="1025"/>
      <c r="BO64191" s="43"/>
    </row>
    <row r="64192" spans="65:67" ht="18.75" customHeight="1">
      <c r="BM64192" s="1025"/>
      <c r="BO64192" s="43"/>
    </row>
    <row r="64193" spans="65:67" ht="18.75" customHeight="1">
      <c r="BM64193" s="1025"/>
      <c r="BO64193" s="43"/>
    </row>
    <row r="64194" spans="65:67" ht="18.75" customHeight="1">
      <c r="BM64194" s="1025"/>
      <c r="BO64194" s="43"/>
    </row>
    <row r="64195" spans="65:67" ht="18.75" customHeight="1">
      <c r="BM64195" s="1025"/>
      <c r="BO64195" s="43"/>
    </row>
    <row r="64196" spans="65:67" ht="18.75" customHeight="1">
      <c r="BM64196" s="1025"/>
      <c r="BO64196" s="43"/>
    </row>
    <row r="64197" spans="65:67" ht="18.75" customHeight="1">
      <c r="BM64197" s="1025"/>
      <c r="BO64197" s="43"/>
    </row>
    <row r="64198" spans="65:67" ht="18.75" customHeight="1">
      <c r="BM64198" s="1025"/>
      <c r="BO64198" s="43"/>
    </row>
    <row r="64199" spans="65:67" ht="18.75" customHeight="1">
      <c r="BM64199" s="1025"/>
      <c r="BO64199" s="43"/>
    </row>
    <row r="64200" spans="65:67" ht="18.75" customHeight="1">
      <c r="BM64200" s="1025"/>
      <c r="BO64200" s="43"/>
    </row>
    <row r="64201" spans="65:67" ht="18.75" customHeight="1">
      <c r="BM64201" s="1025"/>
      <c r="BO64201" s="43"/>
    </row>
    <row r="64202" spans="65:67" ht="18.75" customHeight="1">
      <c r="BM64202" s="1025"/>
      <c r="BO64202" s="43"/>
    </row>
    <row r="64203" spans="65:67" ht="18.75" customHeight="1">
      <c r="BM64203" s="1025"/>
      <c r="BO64203" s="43"/>
    </row>
    <row r="64204" spans="65:67" ht="18.75" customHeight="1">
      <c r="BM64204" s="1025"/>
      <c r="BO64204" s="43"/>
    </row>
    <row r="64205" spans="65:67" ht="18.75" customHeight="1">
      <c r="BM64205" s="1025"/>
      <c r="BO64205" s="43"/>
    </row>
    <row r="64206" spans="65:67" ht="18.75" customHeight="1">
      <c r="BM64206" s="1025"/>
      <c r="BO64206" s="43"/>
    </row>
    <row r="64207" spans="65:67" ht="18.75" customHeight="1">
      <c r="BM64207" s="1025"/>
      <c r="BO64207" s="43"/>
    </row>
    <row r="64208" spans="65:67" ht="18.75" customHeight="1">
      <c r="BM64208" s="1025"/>
      <c r="BO64208" s="43"/>
    </row>
    <row r="64209" spans="65:67" ht="18.75" customHeight="1">
      <c r="BM64209" s="1025"/>
      <c r="BO64209" s="43"/>
    </row>
    <row r="64210" spans="65:67" ht="18.75" customHeight="1">
      <c r="BM64210" s="1025"/>
      <c r="BO64210" s="43"/>
    </row>
    <row r="64211" spans="65:67" ht="18.75" customHeight="1">
      <c r="BM64211" s="1025"/>
      <c r="BO64211" s="43"/>
    </row>
    <row r="64212" spans="65:67" ht="18.75" customHeight="1">
      <c r="BM64212" s="1025"/>
      <c r="BO64212" s="43"/>
    </row>
    <row r="64213" spans="65:67" ht="18.75" customHeight="1">
      <c r="BM64213" s="1025"/>
      <c r="BO64213" s="43"/>
    </row>
    <row r="64214" spans="65:67" ht="18.75" customHeight="1">
      <c r="BM64214" s="1025"/>
      <c r="BO64214" s="43"/>
    </row>
    <row r="64215" spans="65:67" ht="18.75" customHeight="1">
      <c r="BM64215" s="1025"/>
      <c r="BO64215" s="43"/>
    </row>
    <row r="64216" spans="65:67" ht="18.75" customHeight="1">
      <c r="BM64216" s="1025"/>
      <c r="BO64216" s="43"/>
    </row>
    <row r="64217" spans="65:67" ht="18.75" customHeight="1">
      <c r="BM64217" s="1025"/>
      <c r="BO64217" s="43"/>
    </row>
    <row r="64218" spans="65:67" ht="18.75" customHeight="1">
      <c r="BM64218" s="1025"/>
      <c r="BO64218" s="43"/>
    </row>
    <row r="64219" spans="65:67" ht="18.75" customHeight="1">
      <c r="BM64219" s="1025"/>
      <c r="BO64219" s="43"/>
    </row>
    <row r="64220" spans="65:67" ht="18.75" customHeight="1">
      <c r="BM64220" s="1025"/>
      <c r="BO64220" s="43"/>
    </row>
    <row r="64221" spans="65:67" ht="18.75" customHeight="1">
      <c r="BM64221" s="1025"/>
      <c r="BO64221" s="43"/>
    </row>
    <row r="64222" spans="65:67" ht="18.75" customHeight="1">
      <c r="BM64222" s="1025"/>
      <c r="BO64222" s="43"/>
    </row>
    <row r="64223" spans="65:67" ht="18.75" customHeight="1">
      <c r="BM64223" s="1025"/>
      <c r="BO64223" s="43"/>
    </row>
    <row r="64224" spans="65:67" ht="18.75" customHeight="1">
      <c r="BM64224" s="1025"/>
      <c r="BO64224" s="43"/>
    </row>
    <row r="64225" spans="65:67" ht="18.75" customHeight="1">
      <c r="BM64225" s="1025"/>
      <c r="BO64225" s="43"/>
    </row>
    <row r="64226" spans="65:67" ht="18.75" customHeight="1">
      <c r="BM64226" s="1025"/>
      <c r="BO64226" s="43"/>
    </row>
    <row r="64227" spans="65:67" ht="18.75" customHeight="1">
      <c r="BM64227" s="1025"/>
      <c r="BO64227" s="43"/>
    </row>
    <row r="64228" spans="65:67" ht="18.75" customHeight="1">
      <c r="BM64228" s="1025"/>
      <c r="BO64228" s="43"/>
    </row>
    <row r="64229" spans="65:67" ht="18.75" customHeight="1">
      <c r="BM64229" s="1025"/>
      <c r="BO64229" s="43"/>
    </row>
    <row r="64230" spans="65:67" ht="18.75" customHeight="1">
      <c r="BM64230" s="1025"/>
      <c r="BO64230" s="43"/>
    </row>
    <row r="64231" spans="65:67" ht="18.75" customHeight="1">
      <c r="BM64231" s="1025"/>
      <c r="BO64231" s="43"/>
    </row>
    <row r="64232" spans="65:67" ht="18.75" customHeight="1">
      <c r="BM64232" s="1025"/>
      <c r="BO64232" s="43"/>
    </row>
    <row r="64233" spans="65:67" ht="18.75" customHeight="1">
      <c r="BM64233" s="1025"/>
      <c r="BO64233" s="43"/>
    </row>
    <row r="64234" spans="65:67" ht="18.75" customHeight="1">
      <c r="BM64234" s="1025"/>
      <c r="BO64234" s="43"/>
    </row>
    <row r="64235" spans="65:67" ht="18.75" customHeight="1">
      <c r="BM64235" s="1025"/>
      <c r="BO64235" s="43"/>
    </row>
    <row r="64236" spans="65:67" ht="18.75" customHeight="1">
      <c r="BM64236" s="1025"/>
      <c r="BO64236" s="43"/>
    </row>
    <row r="64237" spans="65:67" ht="18.75" customHeight="1">
      <c r="BM64237" s="1025"/>
      <c r="BO64237" s="43"/>
    </row>
    <row r="64238" spans="65:67" ht="18.75" customHeight="1">
      <c r="BM64238" s="1025"/>
      <c r="BO64238" s="43"/>
    </row>
    <row r="64239" spans="65:67" ht="18.75" customHeight="1">
      <c r="BM64239" s="1025"/>
      <c r="BO64239" s="43"/>
    </row>
    <row r="64240" spans="65:67" ht="18.75" customHeight="1">
      <c r="BM64240" s="1025"/>
      <c r="BO64240" s="43"/>
    </row>
    <row r="64241" spans="65:67" ht="18.75" customHeight="1">
      <c r="BM64241" s="1025"/>
      <c r="BO64241" s="43"/>
    </row>
    <row r="64242" spans="65:67" ht="18.75" customHeight="1">
      <c r="BM64242" s="1025"/>
      <c r="BO64242" s="43"/>
    </row>
    <row r="64243" spans="65:67" ht="18.75" customHeight="1">
      <c r="BM64243" s="1025"/>
      <c r="BO64243" s="43"/>
    </row>
    <row r="64244" spans="65:67" ht="18.75" customHeight="1">
      <c r="BM64244" s="1025"/>
      <c r="BO64244" s="43"/>
    </row>
    <row r="64245" spans="65:67" ht="18.75" customHeight="1">
      <c r="BM64245" s="1025"/>
      <c r="BO64245" s="43"/>
    </row>
    <row r="64246" spans="65:67" ht="18.75" customHeight="1">
      <c r="BM64246" s="1025"/>
      <c r="BO64246" s="43"/>
    </row>
    <row r="64247" spans="65:67" ht="18.75" customHeight="1">
      <c r="BM64247" s="1025"/>
      <c r="BO64247" s="43"/>
    </row>
    <row r="64248" spans="65:67" ht="18.75" customHeight="1">
      <c r="BM64248" s="1025"/>
      <c r="BO64248" s="43"/>
    </row>
    <row r="64249" spans="65:67" ht="18.75" customHeight="1">
      <c r="BM64249" s="1025"/>
      <c r="BO64249" s="43"/>
    </row>
    <row r="64250" spans="65:67" ht="18.75" customHeight="1">
      <c r="BM64250" s="1025"/>
      <c r="BO64250" s="43"/>
    </row>
    <row r="64251" spans="65:67" ht="18.75" customHeight="1">
      <c r="BM64251" s="1025"/>
      <c r="BO64251" s="43"/>
    </row>
    <row r="64252" spans="65:67" ht="18.75" customHeight="1">
      <c r="BM64252" s="1025"/>
      <c r="BO64252" s="43"/>
    </row>
    <row r="64253" spans="65:67" ht="18.75" customHeight="1">
      <c r="BM64253" s="1025"/>
      <c r="BO64253" s="43"/>
    </row>
    <row r="64254" spans="65:67" ht="18.75" customHeight="1">
      <c r="BM64254" s="1025"/>
      <c r="BO64254" s="43"/>
    </row>
    <row r="64255" spans="65:67" ht="18.75" customHeight="1">
      <c r="BM64255" s="1025"/>
      <c r="BO64255" s="43"/>
    </row>
    <row r="64256" spans="65:67" ht="18.75" customHeight="1">
      <c r="BM64256" s="1025"/>
      <c r="BO64256" s="43"/>
    </row>
    <row r="64257" spans="65:67" ht="18.75" customHeight="1">
      <c r="BM64257" s="1025"/>
      <c r="BO64257" s="43"/>
    </row>
    <row r="64258" spans="65:67" ht="18.75" customHeight="1">
      <c r="BM64258" s="1025"/>
      <c r="BO64258" s="43"/>
    </row>
    <row r="64259" spans="65:67" ht="18.75" customHeight="1">
      <c r="BM64259" s="1025"/>
      <c r="BO64259" s="43"/>
    </row>
    <row r="64260" spans="65:67" ht="18.75" customHeight="1">
      <c r="BM64260" s="1025"/>
      <c r="BO64260" s="43"/>
    </row>
    <row r="64261" spans="65:67" ht="18.75" customHeight="1">
      <c r="BM64261" s="1025"/>
      <c r="BO64261" s="43"/>
    </row>
    <row r="64262" spans="65:67" ht="18.75" customHeight="1">
      <c r="BM64262" s="1025"/>
      <c r="BO64262" s="43"/>
    </row>
    <row r="64263" spans="65:67" ht="18.75" customHeight="1">
      <c r="BM64263" s="1025"/>
      <c r="BO64263" s="43"/>
    </row>
    <row r="64264" spans="65:67" ht="18.75" customHeight="1">
      <c r="BM64264" s="1025"/>
      <c r="BO64264" s="43"/>
    </row>
    <row r="64265" spans="65:67" ht="18.75" customHeight="1">
      <c r="BM64265" s="1025"/>
      <c r="BO64265" s="43"/>
    </row>
    <row r="64266" spans="65:67" ht="18.75" customHeight="1">
      <c r="BM64266" s="1025"/>
      <c r="BO64266" s="43"/>
    </row>
    <row r="64267" spans="65:67" ht="18.75" customHeight="1">
      <c r="BM64267" s="1025"/>
      <c r="BO64267" s="43"/>
    </row>
    <row r="64268" spans="65:67" ht="18.75" customHeight="1">
      <c r="BM64268" s="1025"/>
      <c r="BO64268" s="43"/>
    </row>
    <row r="64269" spans="65:67" ht="18.75" customHeight="1">
      <c r="BM64269" s="1025"/>
      <c r="BO64269" s="43"/>
    </row>
    <row r="64270" spans="65:67" ht="18.75" customHeight="1">
      <c r="BM64270" s="1025"/>
      <c r="BO64270" s="43"/>
    </row>
    <row r="64271" spans="65:67" ht="18.75" customHeight="1">
      <c r="BM64271" s="1025"/>
      <c r="BO64271" s="43"/>
    </row>
    <row r="64272" spans="65:67" ht="18.75" customHeight="1">
      <c r="BM64272" s="1025"/>
      <c r="BO64272" s="43"/>
    </row>
    <row r="64273" spans="65:67" ht="18.75" customHeight="1">
      <c r="BM64273" s="1025"/>
      <c r="BO64273" s="43"/>
    </row>
    <row r="64274" spans="65:67" ht="18.75" customHeight="1">
      <c r="BM64274" s="1025"/>
      <c r="BO64274" s="43"/>
    </row>
    <row r="64275" spans="65:67" ht="18.75" customHeight="1">
      <c r="BM64275" s="1025"/>
      <c r="BO64275" s="43"/>
    </row>
    <row r="64276" spans="65:67" ht="18.75" customHeight="1">
      <c r="BM64276" s="1025"/>
      <c r="BO64276" s="43"/>
    </row>
    <row r="64277" spans="65:67" ht="18.75" customHeight="1">
      <c r="BM64277" s="1025"/>
      <c r="BO64277" s="43"/>
    </row>
    <row r="64278" spans="65:67" ht="18.75" customHeight="1">
      <c r="BM64278" s="1025"/>
      <c r="BO64278" s="43"/>
    </row>
    <row r="64279" spans="65:67" ht="18.75" customHeight="1">
      <c r="BM64279" s="1025"/>
      <c r="BO64279" s="43"/>
    </row>
    <row r="64280" spans="65:67" ht="18.75" customHeight="1">
      <c r="BM64280" s="1025"/>
      <c r="BO64280" s="43"/>
    </row>
    <row r="64281" spans="65:67" ht="18.75" customHeight="1">
      <c r="BM64281" s="1025"/>
      <c r="BO64281" s="43"/>
    </row>
    <row r="64282" spans="65:67" ht="18.75" customHeight="1">
      <c r="BM64282" s="1025"/>
      <c r="BO64282" s="43"/>
    </row>
    <row r="64283" spans="65:67" ht="18.75" customHeight="1">
      <c r="BM64283" s="1025"/>
      <c r="BO64283" s="43"/>
    </row>
    <row r="64284" spans="65:67" ht="18.75" customHeight="1">
      <c r="BM64284" s="1025"/>
      <c r="BO64284" s="43"/>
    </row>
    <row r="64285" spans="65:67" ht="18.75" customHeight="1">
      <c r="BM64285" s="1025"/>
      <c r="BO64285" s="43"/>
    </row>
    <row r="64286" spans="65:67" ht="18.75" customHeight="1">
      <c r="BM64286" s="1025"/>
      <c r="BO64286" s="43"/>
    </row>
    <row r="64287" spans="65:67" ht="18.75" customHeight="1">
      <c r="BM64287" s="1025"/>
      <c r="BO64287" s="43"/>
    </row>
    <row r="64288" spans="65:67" ht="18.75" customHeight="1">
      <c r="BM64288" s="1025"/>
      <c r="BO64288" s="43"/>
    </row>
    <row r="64289" spans="65:67" ht="18.75" customHeight="1">
      <c r="BM64289" s="1025"/>
      <c r="BO64289" s="43"/>
    </row>
    <row r="64290" spans="65:67" ht="18.75" customHeight="1">
      <c r="BM64290" s="1025"/>
      <c r="BO64290" s="43"/>
    </row>
    <row r="64291" spans="65:67" ht="18.75" customHeight="1">
      <c r="BM64291" s="1025"/>
      <c r="BO64291" s="43"/>
    </row>
    <row r="64292" spans="65:67" ht="18.75" customHeight="1">
      <c r="BM64292" s="1025"/>
      <c r="BO64292" s="43"/>
    </row>
    <row r="64293" spans="65:67" ht="18.75" customHeight="1">
      <c r="BM64293" s="1025"/>
      <c r="BO64293" s="43"/>
    </row>
    <row r="64294" spans="65:67" ht="18.75" customHeight="1">
      <c r="BM64294" s="1025"/>
      <c r="BO64294" s="43"/>
    </row>
    <row r="64295" spans="65:67" ht="18.75" customHeight="1">
      <c r="BM64295" s="1025"/>
      <c r="BO64295" s="43"/>
    </row>
    <row r="64296" spans="65:67" ht="18.75" customHeight="1">
      <c r="BM64296" s="1025"/>
      <c r="BO64296" s="43"/>
    </row>
    <row r="64297" spans="65:67" ht="18.75" customHeight="1">
      <c r="BM64297" s="1025"/>
      <c r="BO64297" s="43"/>
    </row>
    <row r="64298" spans="65:67" ht="18.75" customHeight="1">
      <c r="BM64298" s="1025"/>
      <c r="BO64298" s="43"/>
    </row>
    <row r="64299" spans="65:67" ht="18.75" customHeight="1">
      <c r="BM64299" s="1025"/>
      <c r="BO64299" s="43"/>
    </row>
    <row r="64300" spans="65:67" ht="18.75" customHeight="1">
      <c r="BM64300" s="1025"/>
      <c r="BO64300" s="43"/>
    </row>
    <row r="64301" spans="65:67" ht="18.75" customHeight="1">
      <c r="BM64301" s="1025"/>
      <c r="BO64301" s="43"/>
    </row>
    <row r="64302" spans="65:67" ht="18.75" customHeight="1">
      <c r="BM64302" s="1025"/>
      <c r="BO64302" s="43"/>
    </row>
    <row r="64303" spans="65:67" ht="18.75" customHeight="1">
      <c r="BM64303" s="1025"/>
      <c r="BO64303" s="43"/>
    </row>
    <row r="64304" spans="65:67" ht="18.75" customHeight="1">
      <c r="BM64304" s="1025"/>
      <c r="BO64304" s="43"/>
    </row>
    <row r="64305" spans="65:67" ht="18.75" customHeight="1">
      <c r="BM64305" s="1025"/>
      <c r="BO64305" s="43"/>
    </row>
    <row r="64306" spans="65:67" ht="18.75" customHeight="1">
      <c r="BM64306" s="1025"/>
      <c r="BO64306" s="43"/>
    </row>
    <row r="64307" spans="65:67" ht="18.75" customHeight="1">
      <c r="BM64307" s="1025"/>
      <c r="BO64307" s="43"/>
    </row>
    <row r="64308" spans="65:67" ht="18.75" customHeight="1">
      <c r="BM64308" s="1025"/>
      <c r="BO64308" s="43"/>
    </row>
    <row r="64309" spans="65:67" ht="18.75" customHeight="1">
      <c r="BM64309" s="1025"/>
      <c r="BO64309" s="43"/>
    </row>
    <row r="64310" spans="65:67" ht="18.75" customHeight="1">
      <c r="BM64310" s="1025"/>
      <c r="BO64310" s="43"/>
    </row>
    <row r="64311" spans="65:67" ht="18.75" customHeight="1">
      <c r="BM64311" s="1025"/>
      <c r="BO64311" s="43"/>
    </row>
    <row r="64312" spans="65:67" ht="18.75" customHeight="1">
      <c r="BM64312" s="1025"/>
      <c r="BO64312" s="43"/>
    </row>
    <row r="64313" spans="65:67" ht="18.75" customHeight="1">
      <c r="BM64313" s="1025"/>
      <c r="BO64313" s="43"/>
    </row>
    <row r="64314" spans="65:67" ht="18.75" customHeight="1">
      <c r="BM64314" s="1025"/>
      <c r="BO64314" s="43"/>
    </row>
    <row r="64315" spans="65:67" ht="18.75" customHeight="1">
      <c r="BM64315" s="1025"/>
      <c r="BO64315" s="43"/>
    </row>
    <row r="64316" spans="65:67" ht="18.75" customHeight="1">
      <c r="BM64316" s="1025"/>
      <c r="BO64316" s="43"/>
    </row>
    <row r="64317" spans="65:67" ht="18.75" customHeight="1">
      <c r="BM64317" s="1025"/>
      <c r="BO64317" s="43"/>
    </row>
    <row r="64318" spans="65:67" ht="18.75" customHeight="1">
      <c r="BM64318" s="1025"/>
      <c r="BO64318" s="43"/>
    </row>
    <row r="64319" spans="65:67" ht="18.75" customHeight="1">
      <c r="BM64319" s="1025"/>
      <c r="BO64319" s="43"/>
    </row>
    <row r="64320" spans="65:67" ht="18.75" customHeight="1">
      <c r="BM64320" s="1025"/>
      <c r="BO64320" s="43"/>
    </row>
    <row r="64321" spans="65:67" ht="18.75" customHeight="1">
      <c r="BM64321" s="1025"/>
      <c r="BO64321" s="43"/>
    </row>
    <row r="64322" spans="65:67" ht="18.75" customHeight="1">
      <c r="BM64322" s="1025"/>
      <c r="BO64322" s="43"/>
    </row>
    <row r="64323" spans="65:67" ht="18.75" customHeight="1">
      <c r="BM64323" s="1025"/>
      <c r="BO64323" s="43"/>
    </row>
    <row r="64324" spans="65:67" ht="18.75" customHeight="1">
      <c r="BM64324" s="1025"/>
      <c r="BO64324" s="43"/>
    </row>
    <row r="64325" spans="65:67" ht="18.75" customHeight="1">
      <c r="BM64325" s="1025"/>
      <c r="BO64325" s="43"/>
    </row>
    <row r="64326" spans="65:67" ht="18.75" customHeight="1">
      <c r="BM64326" s="1025"/>
      <c r="BO64326" s="43"/>
    </row>
    <row r="64327" spans="65:67" ht="18.75" customHeight="1">
      <c r="BM64327" s="1025"/>
      <c r="BO64327" s="43"/>
    </row>
    <row r="64328" spans="65:67" ht="18.75" customHeight="1">
      <c r="BM64328" s="1025"/>
      <c r="BO64328" s="43"/>
    </row>
    <row r="64329" spans="65:67" ht="18.75" customHeight="1">
      <c r="BM64329" s="1025"/>
      <c r="BO64329" s="43"/>
    </row>
    <row r="64330" spans="65:67" ht="18.75" customHeight="1">
      <c r="BM64330" s="1025"/>
      <c r="BO64330" s="43"/>
    </row>
    <row r="64331" spans="65:67" ht="18.75" customHeight="1">
      <c r="BM64331" s="1025"/>
      <c r="BO64331" s="43"/>
    </row>
    <row r="64332" spans="65:67" ht="18.75" customHeight="1">
      <c r="BM64332" s="1025"/>
      <c r="BO64332" s="43"/>
    </row>
    <row r="64333" spans="65:67" ht="18.75" customHeight="1">
      <c r="BM64333" s="1025"/>
      <c r="BO64333" s="43"/>
    </row>
    <row r="64334" spans="65:67" ht="18.75" customHeight="1">
      <c r="BM64334" s="1025"/>
      <c r="BO64334" s="43"/>
    </row>
    <row r="64335" spans="65:67" ht="18.75" customHeight="1">
      <c r="BM64335" s="1025"/>
      <c r="BO64335" s="43"/>
    </row>
    <row r="64336" spans="65:67" ht="18.75" customHeight="1">
      <c r="BM64336" s="1025"/>
      <c r="BO64336" s="43"/>
    </row>
    <row r="64337" spans="65:67" ht="18.75" customHeight="1">
      <c r="BM64337" s="1025"/>
      <c r="BO64337" s="43"/>
    </row>
    <row r="64338" spans="65:67" ht="18.75" customHeight="1">
      <c r="BM64338" s="1025"/>
      <c r="BO64338" s="43"/>
    </row>
    <row r="64339" spans="65:67" ht="18.75" customHeight="1">
      <c r="BM64339" s="1025"/>
      <c r="BO64339" s="43"/>
    </row>
    <row r="64340" spans="65:67" ht="18.75" customHeight="1">
      <c r="BM64340" s="1025"/>
      <c r="BO64340" s="43"/>
    </row>
    <row r="64341" spans="65:67" ht="18.75" customHeight="1">
      <c r="BM64341" s="1025"/>
      <c r="BO64341" s="43"/>
    </row>
    <row r="64342" spans="65:67" ht="18.75" customHeight="1">
      <c r="BM64342" s="1025"/>
      <c r="BO64342" s="43"/>
    </row>
    <row r="64343" spans="65:67" ht="18.75" customHeight="1">
      <c r="BM64343" s="1025"/>
      <c r="BO64343" s="43"/>
    </row>
    <row r="64344" spans="65:67" ht="18.75" customHeight="1">
      <c r="BM64344" s="1025"/>
      <c r="BO64344" s="43"/>
    </row>
    <row r="64345" spans="65:67" ht="18.75" customHeight="1">
      <c r="BM64345" s="1025"/>
      <c r="BO64345" s="43"/>
    </row>
    <row r="64346" spans="65:67" ht="18.75" customHeight="1">
      <c r="BM64346" s="1025"/>
      <c r="BO64346" s="43"/>
    </row>
    <row r="64347" spans="65:67" ht="18.75" customHeight="1">
      <c r="BM64347" s="1025"/>
      <c r="BO64347" s="43"/>
    </row>
    <row r="64348" spans="65:67" ht="18.75" customHeight="1">
      <c r="BM64348" s="1025"/>
      <c r="BO64348" s="43"/>
    </row>
    <row r="64349" spans="65:67" ht="18.75" customHeight="1">
      <c r="BM64349" s="1025"/>
      <c r="BO64349" s="43"/>
    </row>
    <row r="64350" spans="65:67" ht="18.75" customHeight="1">
      <c r="BM64350" s="1025"/>
      <c r="BO64350" s="43"/>
    </row>
    <row r="64351" spans="65:67" ht="18.75" customHeight="1">
      <c r="BM64351" s="1025"/>
      <c r="BO64351" s="43"/>
    </row>
    <row r="64352" spans="65:67" ht="18.75" customHeight="1">
      <c r="BM64352" s="1025"/>
      <c r="BO64352" s="43"/>
    </row>
    <row r="64353" spans="65:67" ht="18.75" customHeight="1">
      <c r="BM64353" s="1025"/>
      <c r="BO64353" s="43"/>
    </row>
    <row r="64354" spans="65:67" ht="18.75" customHeight="1">
      <c r="BM64354" s="1025"/>
      <c r="BO64354" s="43"/>
    </row>
    <row r="64355" spans="65:67" ht="18.75" customHeight="1">
      <c r="BM64355" s="1025"/>
      <c r="BO64355" s="43"/>
    </row>
    <row r="64356" spans="65:67" ht="18.75" customHeight="1">
      <c r="BM64356" s="1025"/>
      <c r="BO64356" s="43"/>
    </row>
    <row r="64357" spans="65:67" ht="18.75" customHeight="1">
      <c r="BM64357" s="1025"/>
      <c r="BO64357" s="43"/>
    </row>
    <row r="64358" spans="65:67" ht="18.75" customHeight="1">
      <c r="BM64358" s="1025"/>
      <c r="BO64358" s="43"/>
    </row>
    <row r="64359" spans="65:67" ht="18.75" customHeight="1">
      <c r="BM64359" s="1025"/>
      <c r="BO64359" s="43"/>
    </row>
    <row r="64360" spans="65:67" ht="18.75" customHeight="1">
      <c r="BM64360" s="1025"/>
      <c r="BO64360" s="43"/>
    </row>
    <row r="64361" spans="65:67" ht="18.75" customHeight="1">
      <c r="BM64361" s="1025"/>
      <c r="BO64361" s="43"/>
    </row>
    <row r="64362" spans="65:67" ht="18.75" customHeight="1">
      <c r="BM64362" s="1025"/>
      <c r="BO64362" s="43"/>
    </row>
    <row r="64363" spans="65:67" ht="18.75" customHeight="1">
      <c r="BM64363" s="1025"/>
      <c r="BO64363" s="43"/>
    </row>
    <row r="64364" spans="65:67" ht="18.75" customHeight="1">
      <c r="BM64364" s="1025"/>
      <c r="BO64364" s="43"/>
    </row>
    <row r="64365" spans="65:67" ht="18.75" customHeight="1">
      <c r="BM64365" s="1025"/>
      <c r="BO64365" s="43"/>
    </row>
    <row r="64366" spans="65:67" ht="18.75" customHeight="1">
      <c r="BM64366" s="1025"/>
      <c r="BO64366" s="43"/>
    </row>
    <row r="64367" spans="65:67" ht="18.75" customHeight="1">
      <c r="BM64367" s="1025"/>
      <c r="BO64367" s="43"/>
    </row>
    <row r="64368" spans="65:67" ht="18.75" customHeight="1">
      <c r="BM64368" s="1025"/>
      <c r="BO64368" s="43"/>
    </row>
    <row r="64369" spans="65:67" ht="18.75" customHeight="1">
      <c r="BM64369" s="1025"/>
      <c r="BO64369" s="43"/>
    </row>
    <row r="64370" spans="65:67" ht="18.75" customHeight="1">
      <c r="BM64370" s="1025"/>
      <c r="BO64370" s="43"/>
    </row>
    <row r="64371" spans="65:67" ht="18.75" customHeight="1">
      <c r="BM64371" s="1025"/>
      <c r="BO64371" s="43"/>
    </row>
    <row r="64372" spans="65:67" ht="18.75" customHeight="1">
      <c r="BM64372" s="1025"/>
      <c r="BO64372" s="43"/>
    </row>
    <row r="64373" spans="65:67" ht="18.75" customHeight="1">
      <c r="BM64373" s="1025"/>
      <c r="BO64373" s="43"/>
    </row>
    <row r="64374" spans="65:67" ht="18.75" customHeight="1">
      <c r="BM64374" s="1025"/>
      <c r="BO64374" s="43"/>
    </row>
    <row r="64375" spans="65:67" ht="18.75" customHeight="1">
      <c r="BM64375" s="1025"/>
      <c r="BO64375" s="43"/>
    </row>
    <row r="64376" spans="65:67" ht="18.75" customHeight="1">
      <c r="BM64376" s="1025"/>
      <c r="BO64376" s="43"/>
    </row>
    <row r="64377" spans="65:67" ht="18.75" customHeight="1">
      <c r="BM64377" s="1025"/>
      <c r="BO64377" s="43"/>
    </row>
    <row r="64378" spans="65:67" ht="18.75" customHeight="1">
      <c r="BM64378" s="1025"/>
      <c r="BO64378" s="43"/>
    </row>
    <row r="64379" spans="65:67" ht="18.75" customHeight="1">
      <c r="BM64379" s="1025"/>
      <c r="BO64379" s="43"/>
    </row>
    <row r="64380" spans="65:67" ht="18.75" customHeight="1">
      <c r="BM64380" s="1025"/>
      <c r="BO64380" s="43"/>
    </row>
    <row r="64381" spans="65:67" ht="18.75" customHeight="1">
      <c r="BM64381" s="1025"/>
      <c r="BO64381" s="43"/>
    </row>
    <row r="64382" spans="65:67" ht="18.75" customHeight="1">
      <c r="BM64382" s="1025"/>
      <c r="BO64382" s="43"/>
    </row>
    <row r="64383" spans="65:67" ht="18.75" customHeight="1">
      <c r="BM64383" s="1025"/>
      <c r="BO64383" s="43"/>
    </row>
    <row r="64384" spans="65:67" ht="18.75" customHeight="1">
      <c r="BM64384" s="1025"/>
      <c r="BO64384" s="43"/>
    </row>
    <row r="64385" spans="65:67" ht="18.75" customHeight="1">
      <c r="BM64385" s="1025"/>
      <c r="BO64385" s="43"/>
    </row>
    <row r="64386" spans="65:67" ht="18.75" customHeight="1">
      <c r="BM64386" s="1025"/>
      <c r="BO64386" s="43"/>
    </row>
    <row r="64387" spans="65:67" ht="18.75" customHeight="1">
      <c r="BM64387" s="1025"/>
      <c r="BO64387" s="43"/>
    </row>
    <row r="64388" spans="65:67" ht="18.75" customHeight="1">
      <c r="BM64388" s="1025"/>
      <c r="BO64388" s="43"/>
    </row>
    <row r="64389" spans="65:67" ht="18.75" customHeight="1">
      <c r="BM64389" s="1025"/>
      <c r="BO64389" s="43"/>
    </row>
    <row r="64390" spans="65:67" ht="18.75" customHeight="1">
      <c r="BM64390" s="1025"/>
      <c r="BO64390" s="43"/>
    </row>
    <row r="64391" spans="65:67" ht="18.75" customHeight="1">
      <c r="BM64391" s="1025"/>
      <c r="BO64391" s="43"/>
    </row>
    <row r="64392" spans="65:67" ht="18.75" customHeight="1">
      <c r="BM64392" s="1025"/>
      <c r="BO64392" s="43"/>
    </row>
    <row r="64393" spans="65:67" ht="18.75" customHeight="1">
      <c r="BM64393" s="1025"/>
      <c r="BO64393" s="43"/>
    </row>
    <row r="64394" spans="65:67" ht="18.75" customHeight="1">
      <c r="BM64394" s="1025"/>
      <c r="BO64394" s="43"/>
    </row>
    <row r="64395" spans="65:67" ht="18.75" customHeight="1">
      <c r="BM64395" s="1025"/>
      <c r="BO64395" s="43"/>
    </row>
    <row r="64396" spans="65:67" ht="18.75" customHeight="1">
      <c r="BM64396" s="1025"/>
      <c r="BO64396" s="43"/>
    </row>
    <row r="64397" spans="65:67" ht="18.75" customHeight="1">
      <c r="BM64397" s="1025"/>
      <c r="BO64397" s="43"/>
    </row>
    <row r="64398" spans="65:67" ht="18.75" customHeight="1">
      <c r="BM64398" s="1025"/>
      <c r="BO64398" s="43"/>
    </row>
    <row r="64399" spans="65:67" ht="18.75" customHeight="1">
      <c r="BM64399" s="1025"/>
      <c r="BO64399" s="43"/>
    </row>
    <row r="64400" spans="65:67" ht="18.75" customHeight="1">
      <c r="BM64400" s="1025"/>
      <c r="BO64400" s="43"/>
    </row>
    <row r="64401" spans="65:67" ht="18.75" customHeight="1">
      <c r="BM64401" s="1025"/>
      <c r="BO64401" s="43"/>
    </row>
    <row r="64402" spans="65:67" ht="18.75" customHeight="1">
      <c r="BM64402" s="1025"/>
      <c r="BO64402" s="43"/>
    </row>
    <row r="64403" spans="65:67" ht="18.75" customHeight="1">
      <c r="BM64403" s="1025"/>
      <c r="BO64403" s="43"/>
    </row>
    <row r="64404" spans="65:67" ht="18.75" customHeight="1">
      <c r="BM64404" s="1025"/>
      <c r="BO64404" s="43"/>
    </row>
    <row r="64405" spans="65:67" ht="18.75" customHeight="1">
      <c r="BM64405" s="1025"/>
      <c r="BO64405" s="43"/>
    </row>
    <row r="64406" spans="65:67" ht="18.75" customHeight="1">
      <c r="BM64406" s="1025"/>
      <c r="BO64406" s="43"/>
    </row>
    <row r="64407" spans="65:67" ht="18.75" customHeight="1">
      <c r="BM64407" s="1025"/>
      <c r="BO64407" s="43"/>
    </row>
    <row r="64408" spans="65:67" ht="18.75" customHeight="1">
      <c r="BM64408" s="1025"/>
      <c r="BO64408" s="43"/>
    </row>
    <row r="64409" spans="65:67" ht="18.75" customHeight="1">
      <c r="BM64409" s="1025"/>
      <c r="BO64409" s="43"/>
    </row>
    <row r="64410" spans="65:67" ht="18.75" customHeight="1">
      <c r="BM64410" s="1025"/>
      <c r="BO64410" s="43"/>
    </row>
    <row r="64411" spans="65:67" ht="18.75" customHeight="1">
      <c r="BM64411" s="1025"/>
      <c r="BO64411" s="43"/>
    </row>
    <row r="64412" spans="65:67" ht="18.75" customHeight="1">
      <c r="BM64412" s="1025"/>
      <c r="BO64412" s="43"/>
    </row>
    <row r="64413" spans="65:67" ht="18.75" customHeight="1">
      <c r="BM64413" s="1025"/>
      <c r="BO64413" s="43"/>
    </row>
    <row r="64414" spans="65:67" ht="18.75" customHeight="1">
      <c r="BM64414" s="1025"/>
      <c r="BO64414" s="43"/>
    </row>
    <row r="64415" spans="65:67" ht="18.75" customHeight="1">
      <c r="BM64415" s="1025"/>
      <c r="BO64415" s="43"/>
    </row>
    <row r="64416" spans="65:67" ht="18.75" customHeight="1">
      <c r="BM64416" s="1025"/>
      <c r="BO64416" s="43"/>
    </row>
    <row r="64417" spans="65:67" ht="18.75" customHeight="1">
      <c r="BM64417" s="1025"/>
      <c r="BO64417" s="43"/>
    </row>
    <row r="64418" spans="65:67" ht="18.75" customHeight="1">
      <c r="BM64418" s="1025"/>
      <c r="BO64418" s="43"/>
    </row>
    <row r="64419" spans="65:67" ht="18.75" customHeight="1">
      <c r="BM64419" s="1025"/>
      <c r="BO64419" s="43"/>
    </row>
    <row r="64420" spans="65:67" ht="18.75" customHeight="1">
      <c r="BM64420" s="1025"/>
      <c r="BO64420" s="43"/>
    </row>
    <row r="64421" spans="65:67" ht="18.75" customHeight="1">
      <c r="BM64421" s="1025"/>
      <c r="BO64421" s="43"/>
    </row>
    <row r="64422" spans="65:67" ht="18.75" customHeight="1">
      <c r="BM64422" s="1025"/>
      <c r="BO64422" s="43"/>
    </row>
    <row r="64423" spans="65:67" ht="18.75" customHeight="1">
      <c r="BM64423" s="1025"/>
      <c r="BO64423" s="43"/>
    </row>
    <row r="64424" spans="65:67" ht="18.75" customHeight="1">
      <c r="BM64424" s="1025"/>
      <c r="BO64424" s="43"/>
    </row>
    <row r="64425" spans="65:67" ht="18.75" customHeight="1">
      <c r="BM64425" s="1025"/>
      <c r="BO64425" s="43"/>
    </row>
    <row r="64426" spans="65:67" ht="18.75" customHeight="1">
      <c r="BM64426" s="1025"/>
      <c r="BO64426" s="43"/>
    </row>
    <row r="64427" spans="65:67" ht="18.75" customHeight="1">
      <c r="BM64427" s="1025"/>
      <c r="BO64427" s="43"/>
    </row>
    <row r="64428" spans="65:67" ht="18.75" customHeight="1">
      <c r="BM64428" s="1025"/>
      <c r="BO64428" s="43"/>
    </row>
    <row r="64429" spans="65:67" ht="18.75" customHeight="1">
      <c r="BM64429" s="1025"/>
      <c r="BO64429" s="43"/>
    </row>
    <row r="64430" spans="65:67" ht="18.75" customHeight="1">
      <c r="BM64430" s="1025"/>
      <c r="BO64430" s="43"/>
    </row>
    <row r="64431" spans="65:67" ht="18.75" customHeight="1">
      <c r="BM64431" s="1025"/>
      <c r="BO64431" s="43"/>
    </row>
    <row r="64432" spans="65:67" ht="18.75" customHeight="1">
      <c r="BM64432" s="1025"/>
      <c r="BO64432" s="43"/>
    </row>
    <row r="64433" spans="65:67" ht="18.75" customHeight="1">
      <c r="BM64433" s="1025"/>
      <c r="BO64433" s="43"/>
    </row>
    <row r="64434" spans="65:67" ht="18.75" customHeight="1">
      <c r="BM64434" s="1025"/>
      <c r="BO64434" s="43"/>
    </row>
    <row r="64435" spans="65:67" ht="18.75" customHeight="1">
      <c r="BM64435" s="1025"/>
      <c r="BO64435" s="43"/>
    </row>
    <row r="64436" spans="65:67" ht="18.75" customHeight="1">
      <c r="BM64436" s="1025"/>
      <c r="BO64436" s="43"/>
    </row>
    <row r="64437" spans="65:67" ht="18.75" customHeight="1">
      <c r="BM64437" s="1025"/>
      <c r="BO64437" s="43"/>
    </row>
    <row r="64438" spans="65:67" ht="18.75" customHeight="1">
      <c r="BM64438" s="1025"/>
      <c r="BO64438" s="43"/>
    </row>
    <row r="64439" spans="65:67" ht="18.75" customHeight="1">
      <c r="BM64439" s="1025"/>
      <c r="BO64439" s="43"/>
    </row>
    <row r="64440" spans="65:67" ht="18.75" customHeight="1">
      <c r="BM64440" s="1025"/>
      <c r="BO64440" s="43"/>
    </row>
    <row r="64441" spans="65:67" ht="18.75" customHeight="1">
      <c r="BM64441" s="1025"/>
      <c r="BO64441" s="43"/>
    </row>
    <row r="64442" spans="65:67" ht="18.75" customHeight="1">
      <c r="BM64442" s="1025"/>
      <c r="BO64442" s="43"/>
    </row>
    <row r="64443" spans="65:67" ht="18.75" customHeight="1">
      <c r="BM64443" s="1025"/>
      <c r="BO64443" s="43"/>
    </row>
    <row r="64444" spans="65:67" ht="18.75" customHeight="1">
      <c r="BM64444" s="1025"/>
      <c r="BO64444" s="43"/>
    </row>
    <row r="64445" spans="65:67" ht="18.75" customHeight="1">
      <c r="BM64445" s="1025"/>
      <c r="BO64445" s="43"/>
    </row>
    <row r="64446" spans="65:67" ht="18.75" customHeight="1">
      <c r="BM64446" s="1025"/>
      <c r="BO64446" s="43"/>
    </row>
    <row r="64447" spans="65:67" ht="18.75" customHeight="1">
      <c r="BM64447" s="1025"/>
      <c r="BO64447" s="43"/>
    </row>
    <row r="64448" spans="65:67" ht="18.75" customHeight="1">
      <c r="BM64448" s="1025"/>
      <c r="BO64448" s="43"/>
    </row>
    <row r="64449" spans="65:67" ht="18.75" customHeight="1">
      <c r="BM64449" s="1025"/>
      <c r="BO64449" s="43"/>
    </row>
    <row r="64450" spans="65:67" ht="18.75" customHeight="1">
      <c r="BM64450" s="1025"/>
      <c r="BO64450" s="43"/>
    </row>
    <row r="64451" spans="65:67" ht="18.75" customHeight="1">
      <c r="BM64451" s="1025"/>
      <c r="BO64451" s="43"/>
    </row>
    <row r="64452" spans="65:67" ht="18.75" customHeight="1">
      <c r="BM64452" s="1025"/>
      <c r="BO64452" s="43"/>
    </row>
    <row r="64453" spans="65:67" ht="18.75" customHeight="1">
      <c r="BM64453" s="1025"/>
      <c r="BO64453" s="43"/>
    </row>
    <row r="64454" spans="65:67" ht="18.75" customHeight="1">
      <c r="BM64454" s="1025"/>
      <c r="BO64454" s="43"/>
    </row>
    <row r="64455" spans="65:67" ht="18.75" customHeight="1">
      <c r="BM64455" s="1025"/>
      <c r="BO64455" s="43"/>
    </row>
    <row r="64456" spans="65:67" ht="18.75" customHeight="1">
      <c r="BM64456" s="1025"/>
      <c r="BO64456" s="43"/>
    </row>
    <row r="64457" spans="65:67" ht="18.75" customHeight="1">
      <c r="BM64457" s="1025"/>
      <c r="BO64457" s="43"/>
    </row>
    <row r="64458" spans="65:67" ht="18.75" customHeight="1">
      <c r="BM64458" s="1025"/>
      <c r="BO64458" s="43"/>
    </row>
    <row r="64459" spans="65:67" ht="18.75" customHeight="1">
      <c r="BM64459" s="1025"/>
      <c r="BO64459" s="43"/>
    </row>
    <row r="64460" spans="65:67" ht="18.75" customHeight="1">
      <c r="BM64460" s="1025"/>
      <c r="BO64460" s="43"/>
    </row>
    <row r="64461" spans="65:67" ht="18.75" customHeight="1">
      <c r="BM64461" s="1025"/>
      <c r="BO64461" s="43"/>
    </row>
    <row r="64462" spans="65:67" ht="18.75" customHeight="1">
      <c r="BM64462" s="1025"/>
      <c r="BO64462" s="43"/>
    </row>
    <row r="64463" spans="65:67" ht="18.75" customHeight="1">
      <c r="BM64463" s="1025"/>
      <c r="BO64463" s="43"/>
    </row>
    <row r="64464" spans="65:67" ht="18.75" customHeight="1">
      <c r="BM64464" s="1025"/>
      <c r="BO64464" s="43"/>
    </row>
    <row r="64465" spans="65:67" ht="18.75" customHeight="1">
      <c r="BM64465" s="1025"/>
      <c r="BO64465" s="43"/>
    </row>
    <row r="64466" spans="65:67" ht="18.75" customHeight="1">
      <c r="BM64466" s="1025"/>
      <c r="BO64466" s="43"/>
    </row>
    <row r="64467" spans="65:67" ht="18.75" customHeight="1">
      <c r="BM64467" s="1025"/>
      <c r="BO64467" s="43"/>
    </row>
    <row r="64468" spans="65:67" ht="18.75" customHeight="1">
      <c r="BM64468" s="1025"/>
      <c r="BO64468" s="43"/>
    </row>
    <row r="64469" spans="65:67" ht="18.75" customHeight="1">
      <c r="BM64469" s="1025"/>
      <c r="BO64469" s="43"/>
    </row>
    <row r="64470" spans="65:67" ht="18.75" customHeight="1">
      <c r="BM64470" s="1025"/>
      <c r="BO64470" s="43"/>
    </row>
    <row r="64471" spans="65:67" ht="18.75" customHeight="1">
      <c r="BM64471" s="1025"/>
      <c r="BO64471" s="43"/>
    </row>
    <row r="64472" spans="65:67" ht="18.75" customHeight="1">
      <c r="BM64472" s="1025"/>
      <c r="BO64472" s="43"/>
    </row>
    <row r="64473" spans="65:67" ht="18.75" customHeight="1">
      <c r="BM64473" s="1025"/>
      <c r="BO64473" s="43"/>
    </row>
    <row r="64474" spans="65:67" ht="18.75" customHeight="1">
      <c r="BM64474" s="1025"/>
      <c r="BO64474" s="43"/>
    </row>
    <row r="64475" spans="65:67" ht="18.75" customHeight="1">
      <c r="BM64475" s="1025"/>
      <c r="BO64475" s="43"/>
    </row>
    <row r="64476" spans="65:67" ht="18.75" customHeight="1">
      <c r="BM64476" s="1025"/>
      <c r="BO64476" s="43"/>
    </row>
    <row r="64477" spans="65:67" ht="18.75" customHeight="1">
      <c r="BM64477" s="1025"/>
      <c r="BO64477" s="43"/>
    </row>
    <row r="64478" spans="65:67" ht="18.75" customHeight="1">
      <c r="BM64478" s="1025"/>
      <c r="BO64478" s="43"/>
    </row>
    <row r="64479" spans="65:67" ht="18.75" customHeight="1">
      <c r="BM64479" s="1025"/>
      <c r="BO64479" s="43"/>
    </row>
    <row r="64480" spans="65:67" ht="18.75" customHeight="1">
      <c r="BM64480" s="1025"/>
      <c r="BO64480" s="43"/>
    </row>
    <row r="64481" spans="65:67" ht="18.75" customHeight="1">
      <c r="BM64481" s="1025"/>
      <c r="BO64481" s="43"/>
    </row>
    <row r="64482" spans="65:67" ht="18.75" customHeight="1">
      <c r="BM64482" s="1025"/>
      <c r="BO64482" s="43"/>
    </row>
    <row r="64483" spans="65:67" ht="18.75" customHeight="1">
      <c r="BM64483" s="1025"/>
      <c r="BO64483" s="43"/>
    </row>
    <row r="64484" spans="65:67" ht="18.75" customHeight="1">
      <c r="BM64484" s="1025"/>
      <c r="BO64484" s="43"/>
    </row>
    <row r="64485" spans="65:67" ht="18.75" customHeight="1">
      <c r="BM64485" s="1025"/>
      <c r="BO64485" s="43"/>
    </row>
    <row r="64486" spans="65:67" ht="18.75" customHeight="1">
      <c r="BM64486" s="1025"/>
      <c r="BO64486" s="43"/>
    </row>
    <row r="64487" spans="65:67" ht="18.75" customHeight="1">
      <c r="BM64487" s="1025"/>
      <c r="BO64487" s="43"/>
    </row>
    <row r="64488" spans="65:67" ht="18.75" customHeight="1">
      <c r="BM64488" s="1025"/>
      <c r="BO64488" s="43"/>
    </row>
    <row r="64489" spans="65:67" ht="18.75" customHeight="1">
      <c r="BM64489" s="1025"/>
      <c r="BO64489" s="43"/>
    </row>
    <row r="64490" spans="65:67" ht="18.75" customHeight="1">
      <c r="BM64490" s="1025"/>
      <c r="BO64490" s="43"/>
    </row>
    <row r="64491" spans="65:67" ht="18.75" customHeight="1">
      <c r="BM64491" s="1025"/>
      <c r="BO64491" s="43"/>
    </row>
    <row r="64492" spans="65:67" ht="18.75" customHeight="1">
      <c r="BM64492" s="1025"/>
      <c r="BO64492" s="43"/>
    </row>
    <row r="64493" spans="65:67" ht="18.75" customHeight="1">
      <c r="BM64493" s="1025"/>
      <c r="BO64493" s="43"/>
    </row>
    <row r="64494" spans="65:67" ht="18.75" customHeight="1">
      <c r="BM64494" s="1025"/>
      <c r="BO64494" s="43"/>
    </row>
    <row r="64495" spans="65:67" ht="18.75" customHeight="1">
      <c r="BM64495" s="1025"/>
      <c r="BO64495" s="43"/>
    </row>
    <row r="64496" spans="65:67" ht="18.75" customHeight="1">
      <c r="BM64496" s="1025"/>
      <c r="BO64496" s="43"/>
    </row>
    <row r="64497" spans="65:67" ht="18.75" customHeight="1">
      <c r="BM64497" s="1025"/>
      <c r="BO64497" s="43"/>
    </row>
    <row r="64498" spans="65:67" ht="18.75" customHeight="1">
      <c r="BM64498" s="1025"/>
      <c r="BO64498" s="43"/>
    </row>
    <row r="64499" spans="65:67" ht="18.75" customHeight="1">
      <c r="BM64499" s="1025"/>
      <c r="BO64499" s="43"/>
    </row>
    <row r="64500" spans="65:67" ht="18.75" customHeight="1">
      <c r="BM64500" s="1025"/>
      <c r="BO64500" s="43"/>
    </row>
    <row r="64501" spans="65:67" ht="18.75" customHeight="1">
      <c r="BM64501" s="1025"/>
      <c r="BO64501" s="43"/>
    </row>
    <row r="64502" spans="65:67" ht="18.75" customHeight="1">
      <c r="BM64502" s="1025"/>
      <c r="BO64502" s="43"/>
    </row>
    <row r="64503" spans="65:67" ht="18.75" customHeight="1">
      <c r="BM64503" s="1025"/>
      <c r="BO64503" s="43"/>
    </row>
    <row r="64504" spans="65:67" ht="18.75" customHeight="1">
      <c r="BM64504" s="1025"/>
      <c r="BO64504" s="43"/>
    </row>
    <row r="64505" spans="65:67" ht="18.75" customHeight="1">
      <c r="BM64505" s="1025"/>
      <c r="BO64505" s="43"/>
    </row>
    <row r="64506" spans="65:67" ht="18.75" customHeight="1">
      <c r="BM64506" s="1025"/>
      <c r="BO64506" s="43"/>
    </row>
    <row r="64507" spans="65:67" ht="18.75" customHeight="1">
      <c r="BM64507" s="1025"/>
      <c r="BO64507" s="43"/>
    </row>
    <row r="64508" spans="65:67" ht="18.75" customHeight="1">
      <c r="BM64508" s="1025"/>
      <c r="BO64508" s="43"/>
    </row>
    <row r="64509" spans="65:67" ht="18.75" customHeight="1">
      <c r="BM64509" s="1025"/>
      <c r="BO64509" s="43"/>
    </row>
    <row r="64510" spans="65:67" ht="18.75" customHeight="1">
      <c r="BM64510" s="1025"/>
      <c r="BO64510" s="43"/>
    </row>
    <row r="64511" spans="65:67" ht="18.75" customHeight="1">
      <c r="BM64511" s="1025"/>
      <c r="BO64511" s="43"/>
    </row>
    <row r="64512" spans="65:67" ht="18.75" customHeight="1">
      <c r="BM64512" s="1025"/>
      <c r="BO64512" s="43"/>
    </row>
    <row r="64513" spans="65:67" ht="18.75" customHeight="1">
      <c r="BM64513" s="1025"/>
      <c r="BO64513" s="43"/>
    </row>
    <row r="64514" spans="65:67" ht="18.75" customHeight="1">
      <c r="BM64514" s="1025"/>
      <c r="BO64514" s="43"/>
    </row>
    <row r="64515" spans="65:67" ht="18.75" customHeight="1">
      <c r="BM64515" s="1025"/>
      <c r="BO64515" s="43"/>
    </row>
    <row r="64516" spans="65:67" ht="18.75" customHeight="1">
      <c r="BM64516" s="1025"/>
      <c r="BO64516" s="43"/>
    </row>
    <row r="64517" spans="65:67" ht="18.75" customHeight="1">
      <c r="BM64517" s="1025"/>
      <c r="BO64517" s="43"/>
    </row>
    <row r="64518" spans="65:67" ht="18.75" customHeight="1">
      <c r="BM64518" s="1025"/>
      <c r="BO64518" s="43"/>
    </row>
    <row r="64519" spans="65:67" ht="18.75" customHeight="1">
      <c r="BM64519" s="1025"/>
      <c r="BO64519" s="43"/>
    </row>
    <row r="64520" spans="65:67" ht="18.75" customHeight="1">
      <c r="BM64520" s="1025"/>
      <c r="BO64520" s="43"/>
    </row>
    <row r="64521" spans="65:67" ht="18.75" customHeight="1">
      <c r="BM64521" s="1025"/>
      <c r="BO64521" s="43"/>
    </row>
    <row r="64522" spans="65:67" ht="18.75" customHeight="1">
      <c r="BM64522" s="1025"/>
      <c r="BO64522" s="43"/>
    </row>
    <row r="64523" spans="65:67" ht="18.75" customHeight="1">
      <c r="BM64523" s="1025"/>
      <c r="BO64523" s="43"/>
    </row>
    <row r="64524" spans="65:67" ht="18.75" customHeight="1">
      <c r="BM64524" s="1025"/>
      <c r="BO64524" s="43"/>
    </row>
    <row r="64525" spans="65:67" ht="18.75" customHeight="1">
      <c r="BM64525" s="1025"/>
      <c r="BO64525" s="43"/>
    </row>
    <row r="64526" spans="65:67" ht="18.75" customHeight="1">
      <c r="BM64526" s="1025"/>
      <c r="BO64526" s="43"/>
    </row>
    <row r="64527" spans="65:67" ht="18.75" customHeight="1">
      <c r="BM64527" s="1025"/>
      <c r="BO64527" s="43"/>
    </row>
    <row r="64528" spans="65:67" ht="18.75" customHeight="1">
      <c r="BM64528" s="1025"/>
      <c r="BO64528" s="43"/>
    </row>
    <row r="64529" spans="65:67" ht="18.75" customHeight="1">
      <c r="BM64529" s="1025"/>
      <c r="BO64529" s="43"/>
    </row>
    <row r="64530" spans="65:67" ht="18.75" customHeight="1">
      <c r="BM64530" s="1025"/>
      <c r="BO64530" s="43"/>
    </row>
    <row r="64531" spans="65:67" ht="18.75" customHeight="1">
      <c r="BM64531" s="1025"/>
      <c r="BO64531" s="43"/>
    </row>
    <row r="64532" spans="65:67" ht="18.75" customHeight="1">
      <c r="BM64532" s="1025"/>
      <c r="BO64532" s="43"/>
    </row>
    <row r="64533" spans="65:67" ht="18.75" customHeight="1">
      <c r="BM64533" s="1025"/>
      <c r="BO64533" s="43"/>
    </row>
    <row r="64534" spans="65:67" ht="18.75" customHeight="1">
      <c r="BM64534" s="1025"/>
      <c r="BO64534" s="43"/>
    </row>
    <row r="64535" spans="65:67" ht="18.75" customHeight="1">
      <c r="BM64535" s="1025"/>
      <c r="BO64535" s="43"/>
    </row>
    <row r="64536" spans="65:67" ht="18.75" customHeight="1">
      <c r="BM64536" s="1025"/>
      <c r="BO64536" s="43"/>
    </row>
    <row r="64537" spans="65:67" ht="18.75" customHeight="1">
      <c r="BM64537" s="1025"/>
      <c r="BO64537" s="43"/>
    </row>
    <row r="64538" spans="65:67" ht="18.75" customHeight="1">
      <c r="BM64538" s="1025"/>
      <c r="BO64538" s="43"/>
    </row>
    <row r="64539" spans="65:67" ht="18.75" customHeight="1">
      <c r="BM64539" s="1025"/>
      <c r="BO64539" s="43"/>
    </row>
    <row r="64540" spans="65:67" ht="18.75" customHeight="1">
      <c r="BM64540" s="1025"/>
      <c r="BO64540" s="43"/>
    </row>
    <row r="64541" spans="65:67" ht="18.75" customHeight="1">
      <c r="BM64541" s="1025"/>
      <c r="BO64541" s="43"/>
    </row>
    <row r="64542" spans="65:67" ht="18.75" customHeight="1">
      <c r="BM64542" s="1025"/>
      <c r="BO64542" s="43"/>
    </row>
    <row r="64543" spans="65:67" ht="18.75" customHeight="1">
      <c r="BM64543" s="1025"/>
      <c r="BO64543" s="43"/>
    </row>
    <row r="64544" spans="65:67" ht="18.75" customHeight="1">
      <c r="BM64544" s="1025"/>
      <c r="BO64544" s="43"/>
    </row>
    <row r="64545" spans="65:67" ht="18.75" customHeight="1">
      <c r="BM64545" s="1025"/>
      <c r="BO64545" s="43"/>
    </row>
    <row r="64546" spans="65:67" ht="18.75" customHeight="1">
      <c r="BM64546" s="1025"/>
      <c r="BO64546" s="43"/>
    </row>
    <row r="64547" spans="65:67" ht="18.75" customHeight="1">
      <c r="BM64547" s="1025"/>
      <c r="BO64547" s="43"/>
    </row>
    <row r="64548" spans="65:67" ht="18.75" customHeight="1">
      <c r="BM64548" s="1025"/>
      <c r="BO64548" s="43"/>
    </row>
    <row r="64549" spans="65:67" ht="18.75" customHeight="1">
      <c r="BM64549" s="1025"/>
      <c r="BO64549" s="43"/>
    </row>
    <row r="64550" spans="65:67" ht="18.75" customHeight="1">
      <c r="BM64550" s="1025"/>
      <c r="BO64550" s="43"/>
    </row>
    <row r="64551" spans="65:67" ht="18.75" customHeight="1">
      <c r="BM64551" s="1025"/>
      <c r="BO64551" s="43"/>
    </row>
    <row r="64552" spans="65:67" ht="18.75" customHeight="1">
      <c r="BM64552" s="1025"/>
      <c r="BO64552" s="43"/>
    </row>
    <row r="64553" spans="65:67" ht="18.75" customHeight="1">
      <c r="BM64553" s="1025"/>
      <c r="BO64553" s="43"/>
    </row>
    <row r="64554" spans="65:67" ht="18.75" customHeight="1">
      <c r="BM64554" s="1025"/>
      <c r="BO64554" s="43"/>
    </row>
    <row r="64555" spans="65:67" ht="18.75" customHeight="1">
      <c r="BM64555" s="1025"/>
      <c r="BO64555" s="43"/>
    </row>
    <row r="64556" spans="65:67" ht="18.75" customHeight="1">
      <c r="BM64556" s="1025"/>
      <c r="BO64556" s="43"/>
    </row>
    <row r="64557" spans="65:67" ht="18.75" customHeight="1">
      <c r="BM64557" s="1025"/>
      <c r="BO64557" s="43"/>
    </row>
    <row r="64558" spans="65:67" ht="18.75" customHeight="1">
      <c r="BM64558" s="1025"/>
      <c r="BO64558" s="43"/>
    </row>
    <row r="64559" spans="65:67" ht="18.75" customHeight="1">
      <c r="BM64559" s="1025"/>
      <c r="BO64559" s="43"/>
    </row>
    <row r="64560" spans="65:67" ht="18.75" customHeight="1">
      <c r="BM64560" s="1025"/>
      <c r="BO64560" s="43"/>
    </row>
    <row r="64561" spans="65:67" ht="18.75" customHeight="1">
      <c r="BM64561" s="1025"/>
      <c r="BO64561" s="43"/>
    </row>
    <row r="64562" spans="65:67" ht="18.75" customHeight="1">
      <c r="BM64562" s="1025"/>
      <c r="BO64562" s="43"/>
    </row>
    <row r="64563" spans="65:67" ht="18.75" customHeight="1">
      <c r="BM64563" s="1025"/>
      <c r="BO64563" s="43"/>
    </row>
    <row r="64564" spans="65:67" ht="18.75" customHeight="1">
      <c r="BM64564" s="1025"/>
      <c r="BO64564" s="43"/>
    </row>
    <row r="64565" spans="65:67" ht="18.75" customHeight="1">
      <c r="BM64565" s="1025"/>
      <c r="BO64565" s="43"/>
    </row>
    <row r="64566" spans="65:67" ht="18.75" customHeight="1">
      <c r="BM64566" s="1025"/>
      <c r="BO64566" s="43"/>
    </row>
    <row r="64567" spans="65:67" ht="18.75" customHeight="1">
      <c r="BM64567" s="1025"/>
      <c r="BO64567" s="43"/>
    </row>
    <row r="64568" spans="65:67" ht="18.75" customHeight="1">
      <c r="BM64568" s="1025"/>
      <c r="BO64568" s="43"/>
    </row>
    <row r="64569" spans="65:67" ht="18.75" customHeight="1">
      <c r="BM64569" s="1025"/>
      <c r="BO64569" s="43"/>
    </row>
    <row r="64570" spans="65:67" ht="18.75" customHeight="1">
      <c r="BM64570" s="1025"/>
      <c r="BO64570" s="43"/>
    </row>
    <row r="64571" spans="65:67" ht="18.75" customHeight="1">
      <c r="BM64571" s="1025"/>
      <c r="BO64571" s="43"/>
    </row>
    <row r="64572" spans="65:67" ht="18.75" customHeight="1">
      <c r="BM64572" s="1025"/>
      <c r="BO64572" s="43"/>
    </row>
    <row r="64573" spans="65:67" ht="18.75" customHeight="1">
      <c r="BM64573" s="1025"/>
      <c r="BO64573" s="43"/>
    </row>
    <row r="64574" spans="65:67" ht="18.75" customHeight="1">
      <c r="BM64574" s="1025"/>
      <c r="BO64574" s="43"/>
    </row>
    <row r="64575" spans="65:67" ht="18.75" customHeight="1">
      <c r="BM64575" s="1025"/>
      <c r="BO64575" s="43"/>
    </row>
    <row r="64576" spans="65:67" ht="18.75" customHeight="1">
      <c r="BM64576" s="1025"/>
      <c r="BO64576" s="43"/>
    </row>
    <row r="64577" spans="65:67" ht="18.75" customHeight="1">
      <c r="BM64577" s="1025"/>
      <c r="BO64577" s="43"/>
    </row>
    <row r="64578" spans="65:67" ht="18.75" customHeight="1">
      <c r="BM64578" s="1025"/>
      <c r="BO64578" s="43"/>
    </row>
    <row r="64579" spans="65:67" ht="18.75" customHeight="1">
      <c r="BM64579" s="1025"/>
      <c r="BO64579" s="43"/>
    </row>
    <row r="64580" spans="65:67" ht="18.75" customHeight="1">
      <c r="BM64580" s="1025"/>
      <c r="BO64580" s="43"/>
    </row>
    <row r="64581" spans="65:67" ht="18.75" customHeight="1">
      <c r="BM64581" s="1025"/>
      <c r="BO64581" s="43"/>
    </row>
    <row r="64582" spans="65:67" ht="18.75" customHeight="1">
      <c r="BM64582" s="1025"/>
      <c r="BO64582" s="43"/>
    </row>
    <row r="64583" spans="65:67" ht="18.75" customHeight="1">
      <c r="BM64583" s="1025"/>
      <c r="BO64583" s="43"/>
    </row>
    <row r="64584" spans="65:67" ht="18.75" customHeight="1">
      <c r="BM64584" s="1025"/>
      <c r="BO64584" s="43"/>
    </row>
    <row r="64585" spans="65:67" ht="18.75" customHeight="1">
      <c r="BM64585" s="1025"/>
      <c r="BO64585" s="43"/>
    </row>
    <row r="64586" spans="65:67" ht="18.75" customHeight="1">
      <c r="BM64586" s="1025"/>
      <c r="BO64586" s="43"/>
    </row>
    <row r="64587" spans="65:67" ht="18.75" customHeight="1">
      <c r="BM64587" s="1025"/>
      <c r="BO64587" s="43"/>
    </row>
    <row r="64588" spans="65:67" ht="18.75" customHeight="1">
      <c r="BM64588" s="1025"/>
      <c r="BO64588" s="43"/>
    </row>
    <row r="64589" spans="65:67" ht="18.75" customHeight="1">
      <c r="BM64589" s="1025"/>
      <c r="BO64589" s="43"/>
    </row>
    <row r="64590" spans="65:67" ht="18.75" customHeight="1">
      <c r="BM64590" s="1025"/>
      <c r="BO64590" s="43"/>
    </row>
    <row r="64591" spans="65:67" ht="18.75" customHeight="1">
      <c r="BM64591" s="1025"/>
      <c r="BO64591" s="43"/>
    </row>
    <row r="64592" spans="65:67" ht="18.75" customHeight="1">
      <c r="BM64592" s="1025"/>
      <c r="BO64592" s="43"/>
    </row>
    <row r="64593" spans="65:67" ht="18.75" customHeight="1">
      <c r="BM64593" s="1025"/>
      <c r="BO64593" s="43"/>
    </row>
    <row r="64594" spans="65:67" ht="18.75" customHeight="1">
      <c r="BM64594" s="1025"/>
      <c r="BO64594" s="43"/>
    </row>
    <row r="64595" spans="65:67" ht="18.75" customHeight="1">
      <c r="BM64595" s="1025"/>
      <c r="BO64595" s="43"/>
    </row>
    <row r="64596" spans="65:67" ht="18.75" customHeight="1">
      <c r="BM64596" s="1025"/>
      <c r="BO64596" s="43"/>
    </row>
    <row r="64597" spans="65:67" ht="18.75" customHeight="1">
      <c r="BM64597" s="1025"/>
      <c r="BO64597" s="43"/>
    </row>
    <row r="64598" spans="65:67" ht="18.75" customHeight="1">
      <c r="BM64598" s="1025"/>
      <c r="BO64598" s="43"/>
    </row>
    <row r="64599" spans="65:67" ht="18.75" customHeight="1">
      <c r="BM64599" s="1025"/>
      <c r="BO64599" s="43"/>
    </row>
    <row r="64600" spans="65:67" ht="18.75" customHeight="1">
      <c r="BM64600" s="1025"/>
      <c r="BO64600" s="43"/>
    </row>
    <row r="64601" spans="65:67" ht="18.75" customHeight="1">
      <c r="BM64601" s="1025"/>
      <c r="BO64601" s="43"/>
    </row>
    <row r="64602" spans="65:67" ht="18.75" customHeight="1">
      <c r="BM64602" s="1025"/>
      <c r="BO64602" s="43"/>
    </row>
    <row r="64603" spans="65:67" ht="18.75" customHeight="1">
      <c r="BM64603" s="1025"/>
      <c r="BO64603" s="43"/>
    </row>
    <row r="64604" spans="65:67" ht="18.75" customHeight="1">
      <c r="BM64604" s="1025"/>
      <c r="BO64604" s="43"/>
    </row>
    <row r="64605" spans="65:67" ht="18.75" customHeight="1">
      <c r="BM64605" s="1025"/>
      <c r="BO64605" s="43"/>
    </row>
    <row r="64606" spans="65:67" ht="18.75" customHeight="1">
      <c r="BM64606" s="1025"/>
      <c r="BO64606" s="43"/>
    </row>
    <row r="64607" spans="65:67" ht="18.75" customHeight="1">
      <c r="BM64607" s="1025"/>
      <c r="BO64607" s="43"/>
    </row>
    <row r="64608" spans="65:67" ht="18.75" customHeight="1">
      <c r="BM64608" s="1025"/>
      <c r="BO64608" s="43"/>
    </row>
    <row r="64609" spans="65:67" ht="18.75" customHeight="1">
      <c r="BM64609" s="1025"/>
      <c r="BO64609" s="43"/>
    </row>
    <row r="64610" spans="65:67" ht="18.75" customHeight="1">
      <c r="BM64610" s="1025"/>
      <c r="BO64610" s="43"/>
    </row>
    <row r="64611" spans="65:67" ht="18.75" customHeight="1">
      <c r="BM64611" s="1025"/>
      <c r="BO64611" s="43"/>
    </row>
    <row r="64612" spans="65:67" ht="18.75" customHeight="1">
      <c r="BM64612" s="1025"/>
      <c r="BO64612" s="43"/>
    </row>
    <row r="64613" spans="65:67" ht="18.75" customHeight="1">
      <c r="BM64613" s="1025"/>
      <c r="BO64613" s="43"/>
    </row>
    <row r="64614" spans="65:67" ht="18.75" customHeight="1">
      <c r="BM64614" s="1025"/>
      <c r="BO64614" s="43"/>
    </row>
    <row r="64615" spans="65:67" ht="18.75" customHeight="1">
      <c r="BM64615" s="1025"/>
      <c r="BO64615" s="43"/>
    </row>
    <row r="64616" spans="65:67" ht="18.75" customHeight="1">
      <c r="BM64616" s="1025"/>
      <c r="BO64616" s="43"/>
    </row>
    <row r="64617" spans="65:67" ht="18.75" customHeight="1">
      <c r="BM64617" s="1025"/>
      <c r="BO64617" s="43"/>
    </row>
    <row r="64618" spans="65:67" ht="18.75" customHeight="1">
      <c r="BM64618" s="1025"/>
      <c r="BO64618" s="43"/>
    </row>
    <row r="64619" spans="65:67" ht="18.75" customHeight="1">
      <c r="BM64619" s="1025"/>
      <c r="BO64619" s="43"/>
    </row>
    <row r="64620" spans="65:67" ht="18.75" customHeight="1">
      <c r="BM64620" s="1025"/>
      <c r="BO64620" s="43"/>
    </row>
    <row r="64621" spans="65:67" ht="18.75" customHeight="1">
      <c r="BM64621" s="1025"/>
      <c r="BO64621" s="43"/>
    </row>
    <row r="64622" spans="65:67" ht="18.75" customHeight="1">
      <c r="BM64622" s="1025"/>
      <c r="BO64622" s="43"/>
    </row>
    <row r="64623" spans="65:67" ht="18.75" customHeight="1">
      <c r="BM64623" s="1025"/>
      <c r="BO64623" s="43"/>
    </row>
    <row r="64624" spans="65:67" ht="18.75" customHeight="1">
      <c r="BM64624" s="1025"/>
      <c r="BO64624" s="43"/>
    </row>
    <row r="64625" spans="65:67" ht="18.75" customHeight="1">
      <c r="BM64625" s="1025"/>
      <c r="BO64625" s="43"/>
    </row>
    <row r="64626" spans="65:67" ht="18.75" customHeight="1">
      <c r="BM64626" s="1025"/>
      <c r="BO64626" s="43"/>
    </row>
    <row r="64627" spans="65:67" ht="18.75" customHeight="1">
      <c r="BM64627" s="1025"/>
      <c r="BO64627" s="43"/>
    </row>
    <row r="64628" spans="65:67" ht="18.75" customHeight="1">
      <c r="BM64628" s="1025"/>
      <c r="BO64628" s="43"/>
    </row>
    <row r="64629" spans="65:67" ht="18.75" customHeight="1">
      <c r="BM64629" s="1025"/>
      <c r="BO64629" s="43"/>
    </row>
    <row r="64630" spans="65:67" ht="18.75" customHeight="1">
      <c r="BM64630" s="1025"/>
      <c r="BO64630" s="43"/>
    </row>
    <row r="64631" spans="65:67" ht="18.75" customHeight="1">
      <c r="BM64631" s="1025"/>
      <c r="BO64631" s="43"/>
    </row>
    <row r="64632" spans="65:67" ht="18.75" customHeight="1">
      <c r="BM64632" s="1025"/>
      <c r="BO64632" s="43"/>
    </row>
    <row r="64633" spans="65:67" ht="18.75" customHeight="1">
      <c r="BM64633" s="1025"/>
      <c r="BO64633" s="43"/>
    </row>
    <row r="64634" spans="65:67" ht="18.75" customHeight="1">
      <c r="BM64634" s="1025"/>
      <c r="BO64634" s="43"/>
    </row>
    <row r="64635" spans="65:67" ht="18.75" customHeight="1">
      <c r="BM64635" s="1025"/>
      <c r="BO64635" s="43"/>
    </row>
    <row r="64636" spans="65:67" ht="18.75" customHeight="1">
      <c r="BM64636" s="1025"/>
      <c r="BO64636" s="43"/>
    </row>
    <row r="64637" spans="65:67" ht="18.75" customHeight="1">
      <c r="BM64637" s="1025"/>
      <c r="BO64637" s="43"/>
    </row>
    <row r="64638" spans="65:67" ht="18.75" customHeight="1">
      <c r="BM64638" s="1025"/>
      <c r="BO64638" s="43"/>
    </row>
    <row r="64639" spans="65:67" ht="18.75" customHeight="1">
      <c r="BM64639" s="1025"/>
      <c r="BO64639" s="43"/>
    </row>
    <row r="64640" spans="65:67" ht="18.75" customHeight="1">
      <c r="BM64640" s="1025"/>
      <c r="BO64640" s="43"/>
    </row>
    <row r="64641" spans="65:67" ht="18.75" customHeight="1">
      <c r="BM64641" s="1025"/>
      <c r="BO64641" s="43"/>
    </row>
    <row r="64642" spans="65:67" ht="18.75" customHeight="1">
      <c r="BM64642" s="1025"/>
      <c r="BO64642" s="43"/>
    </row>
    <row r="64643" spans="65:67" ht="18.75" customHeight="1">
      <c r="BM64643" s="1025"/>
      <c r="BO64643" s="43"/>
    </row>
    <row r="64644" spans="65:67" ht="18.75" customHeight="1">
      <c r="BM64644" s="1025"/>
      <c r="BO64644" s="43"/>
    </row>
    <row r="64645" spans="65:67" ht="18.75" customHeight="1">
      <c r="BM64645" s="1025"/>
      <c r="BO64645" s="43"/>
    </row>
    <row r="64646" spans="65:67" ht="18.75" customHeight="1">
      <c r="BM64646" s="1025"/>
      <c r="BO64646" s="43"/>
    </row>
    <row r="64647" spans="65:67" ht="18.75" customHeight="1">
      <c r="BM64647" s="1025"/>
      <c r="BO64647" s="43"/>
    </row>
    <row r="64648" spans="65:67" ht="18.75" customHeight="1">
      <c r="BM64648" s="1025"/>
      <c r="BO64648" s="43"/>
    </row>
    <row r="64649" spans="65:67" ht="18.75" customHeight="1">
      <c r="BM64649" s="1025"/>
      <c r="BO64649" s="43"/>
    </row>
    <row r="64650" spans="65:67" ht="18.75" customHeight="1">
      <c r="BM64650" s="1025"/>
      <c r="BO64650" s="43"/>
    </row>
    <row r="64651" spans="65:67" ht="18.75" customHeight="1">
      <c r="BM64651" s="1025"/>
      <c r="BO64651" s="43"/>
    </row>
    <row r="64652" spans="65:67" ht="18.75" customHeight="1">
      <c r="BM64652" s="1025"/>
      <c r="BO64652" s="43"/>
    </row>
    <row r="64653" spans="65:67" ht="18.75" customHeight="1">
      <c r="BM64653" s="1025"/>
      <c r="BO64653" s="43"/>
    </row>
    <row r="64654" spans="65:67" ht="18.75" customHeight="1">
      <c r="BM64654" s="1025"/>
      <c r="BO64654" s="43"/>
    </row>
    <row r="64655" spans="65:67" ht="18.75" customHeight="1">
      <c r="BM64655" s="1025"/>
      <c r="BO64655" s="43"/>
    </row>
    <row r="64656" spans="65:67" ht="18.75" customHeight="1">
      <c r="BM64656" s="1025"/>
      <c r="BO64656" s="43"/>
    </row>
    <row r="64657" spans="65:67" ht="18.75" customHeight="1">
      <c r="BM64657" s="1025"/>
      <c r="BO64657" s="43"/>
    </row>
    <row r="64658" spans="65:67" ht="18.75" customHeight="1">
      <c r="BM64658" s="1025"/>
      <c r="BO64658" s="43"/>
    </row>
    <row r="64659" spans="65:67" ht="18.75" customHeight="1">
      <c r="BM64659" s="1025"/>
      <c r="BO64659" s="43"/>
    </row>
    <row r="64660" spans="65:67" ht="18.75" customHeight="1">
      <c r="BM64660" s="1025"/>
      <c r="BO64660" s="43"/>
    </row>
    <row r="64661" spans="65:67" ht="18.75" customHeight="1">
      <c r="BM64661" s="1025"/>
      <c r="BO64661" s="43"/>
    </row>
    <row r="64662" spans="65:67" ht="18.75" customHeight="1">
      <c r="BM64662" s="1025"/>
      <c r="BO64662" s="43"/>
    </row>
    <row r="64663" spans="65:67" ht="18.75" customHeight="1">
      <c r="BM64663" s="1025"/>
      <c r="BO64663" s="43"/>
    </row>
    <row r="64664" spans="65:67" ht="18.75" customHeight="1">
      <c r="BM64664" s="1025"/>
      <c r="BO64664" s="43"/>
    </row>
    <row r="64665" spans="65:67" ht="18.75" customHeight="1">
      <c r="BM64665" s="1025"/>
      <c r="BO64665" s="43"/>
    </row>
    <row r="64666" spans="65:67" ht="18.75" customHeight="1">
      <c r="BM64666" s="1025"/>
      <c r="BO64666" s="43"/>
    </row>
    <row r="64667" spans="65:67" ht="18.75" customHeight="1">
      <c r="BM64667" s="1025"/>
      <c r="BO64667" s="43"/>
    </row>
    <row r="64668" spans="65:67" ht="18.75" customHeight="1">
      <c r="BM64668" s="1025"/>
      <c r="BO64668" s="43"/>
    </row>
    <row r="64669" spans="65:67" ht="18.75" customHeight="1">
      <c r="BM64669" s="1025"/>
      <c r="BO64669" s="43"/>
    </row>
    <row r="64670" spans="65:67" ht="18.75" customHeight="1">
      <c r="BM64670" s="1025"/>
      <c r="BO64670" s="43"/>
    </row>
    <row r="64671" spans="65:67" ht="18.75" customHeight="1">
      <c r="BM64671" s="1025"/>
      <c r="BO64671" s="43"/>
    </row>
    <row r="64672" spans="65:67" ht="18.75" customHeight="1">
      <c r="BM64672" s="1025"/>
      <c r="BO64672" s="43"/>
    </row>
    <row r="64673" spans="65:67" ht="18.75" customHeight="1">
      <c r="BM64673" s="1025"/>
      <c r="BO64673" s="43"/>
    </row>
    <row r="64674" spans="65:67" ht="18.75" customHeight="1">
      <c r="BM64674" s="1025"/>
      <c r="BO64674" s="43"/>
    </row>
    <row r="64675" spans="65:67" ht="18.75" customHeight="1">
      <c r="BM64675" s="1025"/>
      <c r="BO64675" s="43"/>
    </row>
    <row r="64676" spans="65:67" ht="18.75" customHeight="1">
      <c r="BM64676" s="1025"/>
      <c r="BO64676" s="43"/>
    </row>
    <row r="64677" spans="65:67" ht="18.75" customHeight="1">
      <c r="BM64677" s="1025"/>
      <c r="BO64677" s="43"/>
    </row>
    <row r="64678" spans="65:67" ht="18.75" customHeight="1">
      <c r="BM64678" s="1025"/>
      <c r="BO64678" s="43"/>
    </row>
    <row r="64679" spans="65:67" ht="18.75" customHeight="1">
      <c r="BM64679" s="1025"/>
      <c r="BO64679" s="43"/>
    </row>
    <row r="64680" spans="65:67" ht="18.75" customHeight="1">
      <c r="BM64680" s="1025"/>
      <c r="BO64680" s="43"/>
    </row>
    <row r="64681" spans="65:67" ht="18.75" customHeight="1">
      <c r="BM64681" s="1025"/>
      <c r="BO64681" s="43"/>
    </row>
    <row r="64682" spans="65:67" ht="18.75" customHeight="1">
      <c r="BM64682" s="1025"/>
      <c r="BO64682" s="43"/>
    </row>
    <row r="64683" spans="65:67" ht="18.75" customHeight="1">
      <c r="BM64683" s="1025"/>
      <c r="BO64683" s="43"/>
    </row>
    <row r="64684" spans="65:67" ht="18.75" customHeight="1">
      <c r="BM64684" s="1025"/>
      <c r="BO64684" s="43"/>
    </row>
    <row r="64685" spans="65:67" ht="18.75" customHeight="1">
      <c r="BM64685" s="1025"/>
      <c r="BO64685" s="43"/>
    </row>
    <row r="64686" spans="65:67" ht="18.75" customHeight="1">
      <c r="BM64686" s="1025"/>
      <c r="BO64686" s="43"/>
    </row>
    <row r="64687" spans="65:67" ht="18.75" customHeight="1">
      <c r="BM64687" s="1025"/>
      <c r="BO64687" s="43"/>
    </row>
    <row r="64688" spans="65:67" ht="18.75" customHeight="1">
      <c r="BM64688" s="1025"/>
      <c r="BO64688" s="43"/>
    </row>
    <row r="64689" spans="65:67" ht="18.75" customHeight="1">
      <c r="BM64689" s="1025"/>
      <c r="BO64689" s="43"/>
    </row>
    <row r="64690" spans="65:67" ht="18.75" customHeight="1">
      <c r="BM64690" s="1025"/>
      <c r="BO64690" s="43"/>
    </row>
    <row r="64691" spans="65:67" ht="18.75" customHeight="1">
      <c r="BM64691" s="1025"/>
      <c r="BO64691" s="43"/>
    </row>
    <row r="64692" spans="65:67" ht="18.75" customHeight="1">
      <c r="BM64692" s="1025"/>
      <c r="BO64692" s="43"/>
    </row>
    <row r="64693" spans="65:67" ht="18.75" customHeight="1">
      <c r="BM64693" s="1025"/>
      <c r="BO64693" s="43"/>
    </row>
    <row r="64694" spans="65:67" ht="18.75" customHeight="1">
      <c r="BM64694" s="1025"/>
      <c r="BO64694" s="43"/>
    </row>
    <row r="64695" spans="65:67" ht="18.75" customHeight="1">
      <c r="BM64695" s="1025"/>
      <c r="BO64695" s="43"/>
    </row>
    <row r="64696" spans="65:67" ht="18.75" customHeight="1">
      <c r="BM64696" s="1025"/>
      <c r="BO64696" s="43"/>
    </row>
    <row r="64697" spans="65:67" ht="18.75" customHeight="1">
      <c r="BM64697" s="1025"/>
      <c r="BO64697" s="43"/>
    </row>
    <row r="64698" spans="65:67" ht="18.75" customHeight="1">
      <c r="BM64698" s="1025"/>
      <c r="BO64698" s="43"/>
    </row>
    <row r="64699" spans="65:67" ht="18.75" customHeight="1">
      <c r="BM64699" s="1025"/>
      <c r="BO64699" s="43"/>
    </row>
    <row r="64700" spans="65:67" ht="18.75" customHeight="1">
      <c r="BM64700" s="1025"/>
      <c r="BO64700" s="43"/>
    </row>
    <row r="64701" spans="65:67" ht="18.75" customHeight="1">
      <c r="BM64701" s="1025"/>
      <c r="BO64701" s="43"/>
    </row>
    <row r="64702" spans="65:67" ht="18.75" customHeight="1">
      <c r="BM64702" s="1025"/>
      <c r="BO64702" s="43"/>
    </row>
    <row r="64703" spans="65:67" ht="18.75" customHeight="1">
      <c r="BM64703" s="1025"/>
      <c r="BO64703" s="43"/>
    </row>
    <row r="64704" spans="65:67" ht="18.75" customHeight="1">
      <c r="BM64704" s="1025"/>
      <c r="BO64704" s="43"/>
    </row>
    <row r="64705" spans="65:67" ht="18.75" customHeight="1">
      <c r="BM64705" s="1025"/>
      <c r="BO64705" s="43"/>
    </row>
    <row r="64706" spans="65:67" ht="18.75" customHeight="1">
      <c r="BM64706" s="1025"/>
      <c r="BO64706" s="43"/>
    </row>
    <row r="64707" spans="65:67" ht="18.75" customHeight="1">
      <c r="BM64707" s="1025"/>
      <c r="BO64707" s="43"/>
    </row>
    <row r="64708" spans="65:67" ht="18.75" customHeight="1">
      <c r="BM64708" s="1025"/>
      <c r="BO64708" s="43"/>
    </row>
    <row r="64709" spans="65:67" ht="18.75" customHeight="1">
      <c r="BM64709" s="1025"/>
      <c r="BO64709" s="43"/>
    </row>
    <row r="64710" spans="65:67" ht="18.75" customHeight="1">
      <c r="BM64710" s="1025"/>
      <c r="BO64710" s="43"/>
    </row>
    <row r="64711" spans="65:67" ht="18.75" customHeight="1">
      <c r="BM64711" s="1025"/>
      <c r="BO64711" s="43"/>
    </row>
    <row r="64712" spans="65:67" ht="18.75" customHeight="1">
      <c r="BM64712" s="1025"/>
      <c r="BO64712" s="43"/>
    </row>
    <row r="64713" spans="65:67" ht="18.75" customHeight="1">
      <c r="BM64713" s="1025"/>
      <c r="BO64713" s="43"/>
    </row>
    <row r="64714" spans="65:67" ht="18.75" customHeight="1">
      <c r="BM64714" s="1025"/>
      <c r="BO64714" s="43"/>
    </row>
    <row r="64715" spans="65:67" ht="18.75" customHeight="1">
      <c r="BM64715" s="1025"/>
      <c r="BO64715" s="43"/>
    </row>
    <row r="64716" spans="65:67" ht="18.75" customHeight="1">
      <c r="BM64716" s="1025"/>
      <c r="BO64716" s="43"/>
    </row>
    <row r="64717" spans="65:67" ht="18.75" customHeight="1">
      <c r="BM64717" s="1025"/>
      <c r="BO64717" s="43"/>
    </row>
    <row r="64718" spans="65:67" ht="18.75" customHeight="1">
      <c r="BM64718" s="1025"/>
      <c r="BO64718" s="43"/>
    </row>
    <row r="64719" spans="65:67" ht="18.75" customHeight="1">
      <c r="BM64719" s="1025"/>
      <c r="BO64719" s="43"/>
    </row>
    <row r="64720" spans="65:67" ht="18.75" customHeight="1">
      <c r="BM64720" s="1025"/>
      <c r="BO64720" s="43"/>
    </row>
    <row r="64721" spans="65:67" ht="18.75" customHeight="1">
      <c r="BM64721" s="1025"/>
      <c r="BO64721" s="43"/>
    </row>
    <row r="64722" spans="65:67" ht="18.75" customHeight="1">
      <c r="BM64722" s="1025"/>
      <c r="BO64722" s="43"/>
    </row>
    <row r="64723" spans="65:67" ht="18.75" customHeight="1">
      <c r="BM64723" s="1025"/>
      <c r="BO64723" s="43"/>
    </row>
    <row r="64724" spans="65:67" ht="18.75" customHeight="1">
      <c r="BM64724" s="1025"/>
      <c r="BO64724" s="43"/>
    </row>
    <row r="64725" spans="65:67" ht="18.75" customHeight="1">
      <c r="BM64725" s="1025"/>
      <c r="BO64725" s="43"/>
    </row>
    <row r="64726" spans="65:67" ht="18.75" customHeight="1">
      <c r="BM64726" s="1025"/>
      <c r="BO64726" s="43"/>
    </row>
    <row r="64727" spans="65:67" ht="18.75" customHeight="1">
      <c r="BM64727" s="1025"/>
      <c r="BO64727" s="43"/>
    </row>
    <row r="64728" spans="65:67" ht="18.75" customHeight="1">
      <c r="BM64728" s="1025"/>
      <c r="BO64728" s="43"/>
    </row>
    <row r="64729" spans="65:67" ht="18.75" customHeight="1">
      <c r="BM64729" s="1025"/>
      <c r="BO64729" s="43"/>
    </row>
    <row r="64730" spans="65:67" ht="18.75" customHeight="1">
      <c r="BM64730" s="1025"/>
      <c r="BO64730" s="43"/>
    </row>
    <row r="64731" spans="65:67" ht="18.75" customHeight="1">
      <c r="BM64731" s="1025"/>
      <c r="BO64731" s="43"/>
    </row>
    <row r="64732" spans="65:67" ht="18.75" customHeight="1">
      <c r="BM64732" s="1025"/>
      <c r="BO64732" s="43"/>
    </row>
    <row r="64733" spans="65:67" ht="18.75" customHeight="1">
      <c r="BM64733" s="1025"/>
      <c r="BO64733" s="43"/>
    </row>
    <row r="64734" spans="65:67" ht="18.75" customHeight="1">
      <c r="BM64734" s="1025"/>
      <c r="BO64734" s="43"/>
    </row>
    <row r="64735" spans="65:67" ht="18.75" customHeight="1">
      <c r="BM64735" s="1025"/>
      <c r="BO64735" s="43"/>
    </row>
    <row r="64736" spans="65:67" ht="18.75" customHeight="1">
      <c r="BM64736" s="1025"/>
      <c r="BO64736" s="43"/>
    </row>
    <row r="64737" spans="65:67" ht="18.75" customHeight="1">
      <c r="BM64737" s="1025"/>
      <c r="BO64737" s="43"/>
    </row>
    <row r="64738" spans="65:67" ht="18.75" customHeight="1">
      <c r="BM64738" s="1025"/>
      <c r="BO64738" s="43"/>
    </row>
    <row r="64739" spans="65:67" ht="18.75" customHeight="1">
      <c r="BM64739" s="1025"/>
      <c r="BO64739" s="43"/>
    </row>
    <row r="64740" spans="65:67" ht="18.75" customHeight="1">
      <c r="BM64740" s="1025"/>
      <c r="BO64740" s="43"/>
    </row>
    <row r="64741" spans="65:67" ht="18.75" customHeight="1">
      <c r="BM64741" s="1025"/>
      <c r="BO64741" s="43"/>
    </row>
    <row r="64742" spans="65:67" ht="18.75" customHeight="1">
      <c r="BM64742" s="1025"/>
      <c r="BO64742" s="43"/>
    </row>
    <row r="64743" spans="65:67" ht="18.75" customHeight="1">
      <c r="BM64743" s="1025"/>
      <c r="BO64743" s="43"/>
    </row>
    <row r="64744" spans="65:67" ht="18.75" customHeight="1">
      <c r="BM64744" s="1025"/>
      <c r="BO64744" s="43"/>
    </row>
    <row r="64745" spans="65:67" ht="18.75" customHeight="1">
      <c r="BM64745" s="1025"/>
      <c r="BO64745" s="43"/>
    </row>
    <row r="64746" spans="65:67" ht="18.75" customHeight="1">
      <c r="BM64746" s="1025"/>
      <c r="BO64746" s="43"/>
    </row>
    <row r="64747" spans="65:67" ht="18.75" customHeight="1">
      <c r="BM64747" s="1025"/>
      <c r="BO64747" s="43"/>
    </row>
    <row r="64748" spans="65:67" ht="18.75" customHeight="1">
      <c r="BM64748" s="1025"/>
      <c r="BO64748" s="43"/>
    </row>
    <row r="64749" spans="65:67" ht="18.75" customHeight="1">
      <c r="BM64749" s="1025"/>
      <c r="BO64749" s="43"/>
    </row>
    <row r="64750" spans="65:67" ht="18.75" customHeight="1">
      <c r="BM64750" s="1025"/>
      <c r="BO64750" s="43"/>
    </row>
    <row r="64751" spans="65:67" ht="18.75" customHeight="1">
      <c r="BM64751" s="1025"/>
      <c r="BO64751" s="43"/>
    </row>
    <row r="64752" spans="65:67" ht="18.75" customHeight="1">
      <c r="BM64752" s="1025"/>
      <c r="BO64752" s="43"/>
    </row>
    <row r="64753" spans="65:67" ht="18.75" customHeight="1">
      <c r="BM64753" s="1025"/>
      <c r="BO64753" s="43"/>
    </row>
    <row r="64754" spans="65:67" ht="18.75" customHeight="1">
      <c r="BM64754" s="1025"/>
      <c r="BO64754" s="43"/>
    </row>
    <row r="64755" spans="65:67" ht="18.75" customHeight="1">
      <c r="BM64755" s="1025"/>
      <c r="BO64755" s="43"/>
    </row>
    <row r="64756" spans="65:67" ht="18.75" customHeight="1">
      <c r="BM64756" s="1025"/>
      <c r="BO64756" s="43"/>
    </row>
    <row r="64757" spans="65:67" ht="18.75" customHeight="1">
      <c r="BM64757" s="1025"/>
      <c r="BO64757" s="43"/>
    </row>
    <row r="64758" spans="65:67" ht="18.75" customHeight="1">
      <c r="BM64758" s="1025"/>
      <c r="BO64758" s="43"/>
    </row>
    <row r="64759" spans="65:67" ht="18.75" customHeight="1">
      <c r="BM64759" s="1025"/>
      <c r="BO64759" s="43"/>
    </row>
    <row r="64760" spans="65:67" ht="18.75" customHeight="1">
      <c r="BM64760" s="1025"/>
      <c r="BO64760" s="43"/>
    </row>
    <row r="64761" spans="65:67" ht="18.75" customHeight="1">
      <c r="BM64761" s="1025"/>
      <c r="BO64761" s="43"/>
    </row>
    <row r="64762" spans="65:67" ht="18.75" customHeight="1">
      <c r="BM64762" s="1025"/>
      <c r="BO64762" s="43"/>
    </row>
    <row r="64763" spans="65:67" ht="18.75" customHeight="1">
      <c r="BM64763" s="1025"/>
      <c r="BO64763" s="43"/>
    </row>
    <row r="64764" spans="65:67" ht="18.75" customHeight="1">
      <c r="BM64764" s="1025"/>
      <c r="BO64764" s="43"/>
    </row>
    <row r="64765" spans="65:67" ht="18.75" customHeight="1">
      <c r="BM64765" s="1025"/>
      <c r="BO64765" s="43"/>
    </row>
    <row r="64766" spans="65:67" ht="18.75" customHeight="1">
      <c r="BM64766" s="1025"/>
      <c r="BO64766" s="43"/>
    </row>
    <row r="64767" spans="65:67" ht="18.75" customHeight="1">
      <c r="BM64767" s="1025"/>
      <c r="BO64767" s="43"/>
    </row>
    <row r="64768" spans="65:67" ht="18.75" customHeight="1">
      <c r="BM64768" s="1025"/>
      <c r="BO64768" s="43"/>
    </row>
    <row r="64769" spans="65:67" ht="18.75" customHeight="1">
      <c r="BM64769" s="1025"/>
      <c r="BO64769" s="43"/>
    </row>
    <row r="64770" spans="65:67" ht="18.75" customHeight="1">
      <c r="BM64770" s="1025"/>
      <c r="BO64770" s="43"/>
    </row>
    <row r="64771" spans="65:67" ht="18.75" customHeight="1">
      <c r="BM64771" s="1025"/>
      <c r="BO64771" s="43"/>
    </row>
    <row r="64772" spans="65:67" ht="18.75" customHeight="1">
      <c r="BM64772" s="1025"/>
      <c r="BO64772" s="43"/>
    </row>
    <row r="64773" spans="65:67" ht="18.75" customHeight="1">
      <c r="BM64773" s="1025"/>
      <c r="BO64773" s="43"/>
    </row>
    <row r="64774" spans="65:67" ht="18.75" customHeight="1">
      <c r="BM64774" s="1025"/>
      <c r="BO64774" s="43"/>
    </row>
    <row r="64775" spans="65:67" ht="18.75" customHeight="1">
      <c r="BM64775" s="1025"/>
      <c r="BO64775" s="43"/>
    </row>
    <row r="64776" spans="65:67" ht="18.75" customHeight="1">
      <c r="BM64776" s="1025"/>
      <c r="BO64776" s="43"/>
    </row>
    <row r="64777" spans="65:67" ht="18.75" customHeight="1">
      <c r="BM64777" s="1025"/>
      <c r="BO64777" s="43"/>
    </row>
    <row r="64778" spans="65:67" ht="18.75" customHeight="1">
      <c r="BM64778" s="1025"/>
      <c r="BO64778" s="43"/>
    </row>
    <row r="64779" spans="65:67" ht="18.75" customHeight="1">
      <c r="BM64779" s="1025"/>
      <c r="BO64779" s="43"/>
    </row>
    <row r="64780" spans="65:67" ht="18.75" customHeight="1">
      <c r="BM64780" s="1025"/>
      <c r="BO64780" s="43"/>
    </row>
    <row r="64781" spans="65:67" ht="18.75" customHeight="1">
      <c r="BM64781" s="1025"/>
      <c r="BO64781" s="43"/>
    </row>
    <row r="64782" spans="65:67" ht="18.75" customHeight="1">
      <c r="BM64782" s="1025"/>
      <c r="BO64782" s="43"/>
    </row>
    <row r="64783" spans="65:67" ht="18.75" customHeight="1">
      <c r="BM64783" s="1025"/>
      <c r="BO64783" s="43"/>
    </row>
    <row r="64784" spans="65:67" ht="18.75" customHeight="1">
      <c r="BM64784" s="1025"/>
      <c r="BO64784" s="43"/>
    </row>
    <row r="64785" spans="65:67" ht="18.75" customHeight="1">
      <c r="BM64785" s="1025"/>
      <c r="BO64785" s="43"/>
    </row>
    <row r="64786" spans="65:67" ht="18.75" customHeight="1">
      <c r="BM64786" s="1025"/>
      <c r="BO64786" s="43"/>
    </row>
    <row r="64787" spans="65:67" ht="18.75" customHeight="1">
      <c r="BM64787" s="1025"/>
      <c r="BO64787" s="43"/>
    </row>
    <row r="64788" spans="65:67" ht="18.75" customHeight="1">
      <c r="BM64788" s="1025"/>
      <c r="BO64788" s="43"/>
    </row>
    <row r="64789" spans="65:67" ht="18.75" customHeight="1">
      <c r="BM64789" s="1025"/>
      <c r="BO64789" s="43"/>
    </row>
    <row r="64790" spans="65:67" ht="18.75" customHeight="1">
      <c r="BM64790" s="1025"/>
      <c r="BO64790" s="43"/>
    </row>
    <row r="64791" spans="65:67" ht="18.75" customHeight="1">
      <c r="BM64791" s="1025"/>
      <c r="BO64791" s="43"/>
    </row>
    <row r="64792" spans="65:67" ht="18.75" customHeight="1">
      <c r="BM64792" s="1025"/>
      <c r="BO64792" s="43"/>
    </row>
    <row r="64793" spans="65:67" ht="18.75" customHeight="1">
      <c r="BM64793" s="1025"/>
      <c r="BO64793" s="43"/>
    </row>
    <row r="64794" spans="65:67" ht="18.75" customHeight="1">
      <c r="BM64794" s="1025"/>
      <c r="BO64794" s="43"/>
    </row>
    <row r="64795" spans="65:67" ht="18.75" customHeight="1">
      <c r="BM64795" s="1025"/>
      <c r="BO64795" s="43"/>
    </row>
    <row r="64796" spans="65:67" ht="18.75" customHeight="1">
      <c r="BM64796" s="1025"/>
      <c r="BO64796" s="43"/>
    </row>
    <row r="64797" spans="65:67" ht="18.75" customHeight="1">
      <c r="BM64797" s="1025"/>
      <c r="BO64797" s="43"/>
    </row>
    <row r="64798" spans="65:67" ht="18.75" customHeight="1">
      <c r="BM64798" s="1025"/>
      <c r="BO64798" s="43"/>
    </row>
    <row r="64799" spans="65:67" ht="18.75" customHeight="1">
      <c r="BM64799" s="1025"/>
      <c r="BO64799" s="43"/>
    </row>
    <row r="64800" spans="65:67" ht="18.75" customHeight="1">
      <c r="BM64800" s="1025"/>
      <c r="BO64800" s="43"/>
    </row>
    <row r="64801" spans="65:67" ht="18.75" customHeight="1">
      <c r="BM64801" s="1025"/>
      <c r="BO64801" s="43"/>
    </row>
    <row r="64802" spans="65:67" ht="18.75" customHeight="1">
      <c r="BM64802" s="1025"/>
      <c r="BO64802" s="43"/>
    </row>
    <row r="64803" spans="65:67" ht="18.75" customHeight="1">
      <c r="BM64803" s="1025"/>
      <c r="BO64803" s="43"/>
    </row>
    <row r="64804" spans="65:67" ht="18.75" customHeight="1">
      <c r="BM64804" s="1025"/>
      <c r="BO64804" s="43"/>
    </row>
    <row r="64805" spans="65:67" ht="18.75" customHeight="1">
      <c r="BM64805" s="1025"/>
      <c r="BO64805" s="43"/>
    </row>
    <row r="64806" spans="65:67" ht="18.75" customHeight="1">
      <c r="BM64806" s="1025"/>
      <c r="BO64806" s="43"/>
    </row>
    <row r="64807" spans="65:67" ht="18.75" customHeight="1">
      <c r="BM64807" s="1025"/>
      <c r="BO64807" s="43"/>
    </row>
    <row r="64808" spans="65:67" ht="18.75" customHeight="1">
      <c r="BM64808" s="1025"/>
      <c r="BO64808" s="43"/>
    </row>
    <row r="64809" spans="65:67" ht="18.75" customHeight="1">
      <c r="BM64809" s="1025"/>
      <c r="BO64809" s="43"/>
    </row>
    <row r="64810" spans="65:67" ht="18.75" customHeight="1">
      <c r="BM64810" s="1025"/>
      <c r="BO64810" s="43"/>
    </row>
    <row r="64811" spans="65:67" ht="18.75" customHeight="1">
      <c r="BM64811" s="1025"/>
      <c r="BO64811" s="43"/>
    </row>
    <row r="64812" spans="65:67" ht="18.75" customHeight="1">
      <c r="BM64812" s="1025"/>
      <c r="BO64812" s="43"/>
    </row>
    <row r="64813" spans="65:67" ht="18.75" customHeight="1">
      <c r="BM64813" s="1025"/>
      <c r="BO64813" s="43"/>
    </row>
    <row r="64814" spans="65:67" ht="18.75" customHeight="1">
      <c r="BM64814" s="1025"/>
      <c r="BO64814" s="43"/>
    </row>
    <row r="64815" spans="65:67" ht="18.75" customHeight="1">
      <c r="BM64815" s="1025"/>
      <c r="BO64815" s="43"/>
    </row>
    <row r="64816" spans="65:67" ht="18.75" customHeight="1">
      <c r="BM64816" s="1025"/>
      <c r="BO64816" s="43"/>
    </row>
    <row r="64817" spans="65:67" ht="18.75" customHeight="1">
      <c r="BM64817" s="1025"/>
      <c r="BO64817" s="43"/>
    </row>
    <row r="64818" spans="65:67" ht="18.75" customHeight="1">
      <c r="BM64818" s="1025"/>
      <c r="BO64818" s="43"/>
    </row>
    <row r="64819" spans="65:67" ht="18.75" customHeight="1">
      <c r="BM64819" s="1025"/>
      <c r="BO64819" s="43"/>
    </row>
    <row r="64820" spans="65:67" ht="18.75" customHeight="1">
      <c r="BM64820" s="1025"/>
      <c r="BO64820" s="43"/>
    </row>
    <row r="64821" spans="65:67" ht="18.75" customHeight="1">
      <c r="BM64821" s="1025"/>
      <c r="BO64821" s="43"/>
    </row>
    <row r="64822" spans="65:67" ht="18.75" customHeight="1">
      <c r="BM64822" s="1025"/>
      <c r="BO64822" s="43"/>
    </row>
    <row r="64823" spans="65:67" ht="18.75" customHeight="1">
      <c r="BM64823" s="1025"/>
      <c r="BO64823" s="43"/>
    </row>
    <row r="64824" spans="65:67" ht="18.75" customHeight="1">
      <c r="BM64824" s="1025"/>
      <c r="BO64824" s="43"/>
    </row>
    <row r="64825" spans="65:67" ht="18.75" customHeight="1">
      <c r="BM64825" s="1025"/>
      <c r="BO64825" s="43"/>
    </row>
    <row r="64826" spans="65:67" ht="18.75" customHeight="1">
      <c r="BM64826" s="1025"/>
      <c r="BO64826" s="43"/>
    </row>
    <row r="64827" spans="65:67" ht="18.75" customHeight="1">
      <c r="BM64827" s="1025"/>
      <c r="BO64827" s="43"/>
    </row>
    <row r="64828" spans="65:67" ht="18.75" customHeight="1">
      <c r="BM64828" s="1025"/>
      <c r="BO64828" s="43"/>
    </row>
    <row r="64829" spans="65:67" ht="18.75" customHeight="1">
      <c r="BM64829" s="1025"/>
      <c r="BO64829" s="43"/>
    </row>
    <row r="64830" spans="65:67" ht="18.75" customHeight="1">
      <c r="BM64830" s="1025"/>
      <c r="BO64830" s="43"/>
    </row>
    <row r="64831" spans="65:67" ht="18.75" customHeight="1">
      <c r="BM64831" s="1025"/>
      <c r="BO64831" s="43"/>
    </row>
    <row r="64832" spans="65:67" ht="18.75" customHeight="1">
      <c r="BM64832" s="1025"/>
      <c r="BO64832" s="43"/>
    </row>
    <row r="64833" spans="65:67" ht="18.75" customHeight="1">
      <c r="BM64833" s="1025"/>
      <c r="BO64833" s="43"/>
    </row>
    <row r="64834" spans="65:67" ht="18.75" customHeight="1">
      <c r="BM64834" s="1025"/>
      <c r="BO64834" s="43"/>
    </row>
    <row r="64835" spans="65:67" ht="18.75" customHeight="1">
      <c r="BM64835" s="1025"/>
      <c r="BO64835" s="43"/>
    </row>
    <row r="64836" spans="65:67" ht="18.75" customHeight="1">
      <c r="BM64836" s="1025"/>
      <c r="BO64836" s="43"/>
    </row>
    <row r="64837" spans="65:67" ht="18.75" customHeight="1">
      <c r="BM64837" s="1025"/>
      <c r="BO64837" s="43"/>
    </row>
    <row r="64838" spans="65:67" ht="18.75" customHeight="1">
      <c r="BM64838" s="1025"/>
      <c r="BO64838" s="43"/>
    </row>
    <row r="64839" spans="65:67" ht="18.75" customHeight="1">
      <c r="BM64839" s="1025"/>
      <c r="BO64839" s="43"/>
    </row>
    <row r="64840" spans="65:67" ht="18.75" customHeight="1">
      <c r="BM64840" s="1025"/>
      <c r="BO64840" s="43"/>
    </row>
    <row r="64841" spans="65:67" ht="18.75" customHeight="1">
      <c r="BM64841" s="1025"/>
      <c r="BO64841" s="43"/>
    </row>
    <row r="64842" spans="65:67" ht="18.75" customHeight="1">
      <c r="BM64842" s="1025"/>
      <c r="BO64842" s="43"/>
    </row>
    <row r="64843" spans="65:67" ht="18.75" customHeight="1">
      <c r="BM64843" s="1025"/>
      <c r="BO64843" s="43"/>
    </row>
    <row r="64844" spans="65:67" ht="18.75" customHeight="1">
      <c r="BM64844" s="1025"/>
      <c r="BO64844" s="43"/>
    </row>
    <row r="64845" spans="65:67" ht="18.75" customHeight="1">
      <c r="BM64845" s="1025"/>
      <c r="BO64845" s="43"/>
    </row>
    <row r="64846" spans="65:67" ht="18.75" customHeight="1">
      <c r="BM64846" s="1025"/>
      <c r="BO64846" s="43"/>
    </row>
    <row r="64847" spans="65:67" ht="18.75" customHeight="1">
      <c r="BM64847" s="1025"/>
      <c r="BO64847" s="43"/>
    </row>
    <row r="64848" spans="65:67" ht="18.75" customHeight="1">
      <c r="BM64848" s="1025"/>
      <c r="BO64848" s="43"/>
    </row>
    <row r="64849" spans="65:67" ht="18.75" customHeight="1">
      <c r="BM64849" s="1025"/>
      <c r="BO64849" s="43"/>
    </row>
    <row r="64850" spans="65:67" ht="18.75" customHeight="1">
      <c r="BM64850" s="1025"/>
      <c r="BO64850" s="43"/>
    </row>
    <row r="64851" spans="65:67" ht="18.75" customHeight="1">
      <c r="BM64851" s="1025"/>
      <c r="BO64851" s="43"/>
    </row>
    <row r="64852" spans="65:67" ht="18.75" customHeight="1">
      <c r="BM64852" s="1025"/>
      <c r="BO64852" s="43"/>
    </row>
    <row r="64853" spans="65:67" ht="18.75" customHeight="1">
      <c r="BM64853" s="1025"/>
      <c r="BO64853" s="43"/>
    </row>
    <row r="64854" spans="65:67" ht="18.75" customHeight="1">
      <c r="BM64854" s="1025"/>
      <c r="BO64854" s="43"/>
    </row>
    <row r="64855" spans="65:67" ht="18.75" customHeight="1">
      <c r="BM64855" s="1025"/>
      <c r="BO64855" s="43"/>
    </row>
    <row r="64856" spans="65:67" ht="18.75" customHeight="1">
      <c r="BM64856" s="1025"/>
      <c r="BO64856" s="43"/>
    </row>
    <row r="64857" spans="65:67" ht="18.75" customHeight="1">
      <c r="BM64857" s="1025"/>
      <c r="BO64857" s="43"/>
    </row>
    <row r="64858" spans="65:67" ht="18.75" customHeight="1">
      <c r="BM64858" s="1025"/>
      <c r="BO64858" s="43"/>
    </row>
    <row r="64859" spans="65:67" ht="18.75" customHeight="1">
      <c r="BM64859" s="1025"/>
      <c r="BO64859" s="43"/>
    </row>
    <row r="64860" spans="65:67" ht="18.75" customHeight="1">
      <c r="BM64860" s="1025"/>
      <c r="BO64860" s="43"/>
    </row>
    <row r="64861" spans="65:67" ht="18.75" customHeight="1">
      <c r="BM64861" s="1025"/>
      <c r="BO64861" s="43"/>
    </row>
    <row r="64862" spans="65:67" ht="18.75" customHeight="1">
      <c r="BM64862" s="1025"/>
      <c r="BO64862" s="43"/>
    </row>
    <row r="64863" spans="65:67" ht="18.75" customHeight="1">
      <c r="BM64863" s="1025"/>
      <c r="BO64863" s="43"/>
    </row>
    <row r="64864" spans="65:67" ht="18.75" customHeight="1">
      <c r="BM64864" s="1025"/>
      <c r="BO64864" s="43"/>
    </row>
    <row r="64865" spans="65:67" ht="18.75" customHeight="1">
      <c r="BM64865" s="1025"/>
      <c r="BO64865" s="43"/>
    </row>
    <row r="64866" spans="65:67" ht="18.75" customHeight="1">
      <c r="BM64866" s="1025"/>
      <c r="BO64866" s="43"/>
    </row>
    <row r="64867" spans="65:67" ht="18.75" customHeight="1">
      <c r="BM64867" s="1025"/>
      <c r="BO64867" s="43"/>
    </row>
    <row r="64868" spans="65:67" ht="18.75" customHeight="1">
      <c r="BM64868" s="1025"/>
      <c r="BO64868" s="43"/>
    </row>
    <row r="64869" spans="65:67" ht="18.75" customHeight="1">
      <c r="BM64869" s="1025"/>
      <c r="BO64869" s="43"/>
    </row>
    <row r="64870" spans="65:67" ht="18.75" customHeight="1">
      <c r="BM64870" s="1025"/>
      <c r="BO64870" s="43"/>
    </row>
    <row r="64871" spans="65:67" ht="18.75" customHeight="1">
      <c r="BM64871" s="1025"/>
      <c r="BO64871" s="43"/>
    </row>
    <row r="64872" spans="65:67" ht="18.75" customHeight="1">
      <c r="BM64872" s="1025"/>
      <c r="BO64872" s="43"/>
    </row>
    <row r="64873" spans="65:67" ht="18.75" customHeight="1">
      <c r="BM64873" s="1025"/>
      <c r="BO64873" s="43"/>
    </row>
    <row r="64874" spans="65:67" ht="18.75" customHeight="1">
      <c r="BM64874" s="1025"/>
      <c r="BO64874" s="43"/>
    </row>
    <row r="64875" spans="65:67" ht="18.75" customHeight="1">
      <c r="BM64875" s="1025"/>
      <c r="BO64875" s="43"/>
    </row>
    <row r="64876" spans="65:67" ht="18.75" customHeight="1">
      <c r="BM64876" s="1025"/>
      <c r="BO64876" s="43"/>
    </row>
    <row r="64877" spans="65:67" ht="18.75" customHeight="1">
      <c r="BM64877" s="1025"/>
      <c r="BO64877" s="43"/>
    </row>
    <row r="64878" spans="65:67" ht="18.75" customHeight="1">
      <c r="BM64878" s="1025"/>
      <c r="BO64878" s="43"/>
    </row>
    <row r="64879" spans="65:67" ht="18.75" customHeight="1">
      <c r="BM64879" s="1025"/>
      <c r="BO64879" s="43"/>
    </row>
    <row r="64880" spans="65:67" ht="18.75" customHeight="1">
      <c r="BM64880" s="1025"/>
      <c r="BO64880" s="43"/>
    </row>
    <row r="64881" spans="65:67" ht="18.75" customHeight="1">
      <c r="BM64881" s="1025"/>
      <c r="BO64881" s="43"/>
    </row>
    <row r="64882" spans="65:67" ht="18.75" customHeight="1">
      <c r="BM64882" s="1025"/>
      <c r="BO64882" s="43"/>
    </row>
    <row r="64883" spans="65:67" ht="18.75" customHeight="1">
      <c r="BM64883" s="1025"/>
      <c r="BO64883" s="43"/>
    </row>
    <row r="64884" spans="65:67" ht="18.75" customHeight="1">
      <c r="BM64884" s="1025"/>
      <c r="BO64884" s="43"/>
    </row>
    <row r="64885" spans="65:67" ht="18.75" customHeight="1">
      <c r="BM64885" s="1025"/>
      <c r="BO64885" s="43"/>
    </row>
    <row r="64886" spans="65:67" ht="18.75" customHeight="1">
      <c r="BM64886" s="1025"/>
      <c r="BO64886" s="43"/>
    </row>
    <row r="64887" spans="65:67" ht="18.75" customHeight="1">
      <c r="BM64887" s="1025"/>
      <c r="BO64887" s="43"/>
    </row>
    <row r="64888" spans="65:67" ht="18.75" customHeight="1">
      <c r="BM64888" s="1025"/>
      <c r="BO64888" s="43"/>
    </row>
    <row r="64889" spans="65:67" ht="18.75" customHeight="1">
      <c r="BM64889" s="1025"/>
      <c r="BO64889" s="43"/>
    </row>
    <row r="64890" spans="65:67" ht="18.75" customHeight="1">
      <c r="BM64890" s="1025"/>
      <c r="BO64890" s="43"/>
    </row>
    <row r="64891" spans="65:67" ht="18.75" customHeight="1">
      <c r="BM64891" s="1025"/>
      <c r="BO64891" s="43"/>
    </row>
    <row r="64892" spans="65:67" ht="18.75" customHeight="1">
      <c r="BM64892" s="1025"/>
      <c r="BO64892" s="43"/>
    </row>
    <row r="64893" spans="65:67" ht="18.75" customHeight="1">
      <c r="BM64893" s="1025"/>
      <c r="BO64893" s="43"/>
    </row>
    <row r="64894" spans="65:67" ht="18.75" customHeight="1">
      <c r="BM64894" s="1025"/>
      <c r="BO64894" s="43"/>
    </row>
    <row r="64895" spans="65:67" ht="18.75" customHeight="1">
      <c r="BM64895" s="1025"/>
      <c r="BO64895" s="43"/>
    </row>
    <row r="64896" spans="65:67" ht="18.75" customHeight="1">
      <c r="BM64896" s="1025"/>
      <c r="BO64896" s="43"/>
    </row>
    <row r="64897" spans="65:67" ht="18.75" customHeight="1">
      <c r="BM64897" s="1025"/>
      <c r="BO64897" s="43"/>
    </row>
    <row r="64898" spans="65:67" ht="18.75" customHeight="1">
      <c r="BM64898" s="1025"/>
      <c r="BO64898" s="43"/>
    </row>
    <row r="64899" spans="65:67" ht="18.75" customHeight="1">
      <c r="BM64899" s="1025"/>
      <c r="BO64899" s="43"/>
    </row>
    <row r="64900" spans="65:67" ht="18.75" customHeight="1">
      <c r="BM64900" s="1025"/>
      <c r="BO64900" s="43"/>
    </row>
    <row r="64901" spans="65:67" ht="18.75" customHeight="1">
      <c r="BM64901" s="1025"/>
      <c r="BO64901" s="43"/>
    </row>
    <row r="64902" spans="65:67" ht="18.75" customHeight="1">
      <c r="BM64902" s="1025"/>
      <c r="BO64902" s="43"/>
    </row>
    <row r="64903" spans="65:67" ht="18.75" customHeight="1">
      <c r="BM64903" s="1025"/>
      <c r="BO64903" s="43"/>
    </row>
    <row r="64904" spans="65:67" ht="18.75" customHeight="1">
      <c r="BM64904" s="1025"/>
      <c r="BO64904" s="43"/>
    </row>
    <row r="64905" spans="65:67" ht="18.75" customHeight="1">
      <c r="BM64905" s="1025"/>
      <c r="BO64905" s="43"/>
    </row>
    <row r="64906" spans="65:67" ht="18.75" customHeight="1">
      <c r="BM64906" s="1025"/>
      <c r="BO64906" s="43"/>
    </row>
    <row r="64907" spans="65:67" ht="18.75" customHeight="1">
      <c r="BM64907" s="1025"/>
      <c r="BO64907" s="43"/>
    </row>
    <row r="64908" spans="65:67" ht="18.75" customHeight="1">
      <c r="BM64908" s="1025"/>
      <c r="BO64908" s="43"/>
    </row>
    <row r="64909" spans="65:67" ht="18.75" customHeight="1">
      <c r="BM64909" s="1025"/>
      <c r="BO64909" s="43"/>
    </row>
    <row r="64910" spans="65:67" ht="18.75" customHeight="1">
      <c r="BM64910" s="1025"/>
      <c r="BO64910" s="43"/>
    </row>
    <row r="64911" spans="65:67" ht="18.75" customHeight="1">
      <c r="BM64911" s="1025"/>
      <c r="BO64911" s="43"/>
    </row>
    <row r="64912" spans="65:67" ht="18.75" customHeight="1">
      <c r="BM64912" s="1025"/>
      <c r="BO64912" s="43"/>
    </row>
    <row r="64913" spans="65:67" ht="18.75" customHeight="1">
      <c r="BM64913" s="1025"/>
      <c r="BO64913" s="43"/>
    </row>
    <row r="64914" spans="65:67" ht="18.75" customHeight="1">
      <c r="BM64914" s="1025"/>
      <c r="BO64914" s="43"/>
    </row>
    <row r="64915" spans="65:67" ht="18.75" customHeight="1">
      <c r="BM64915" s="1025"/>
      <c r="BO64915" s="43"/>
    </row>
    <row r="64916" spans="65:67" ht="18.75" customHeight="1">
      <c r="BM64916" s="1025"/>
      <c r="BO64916" s="43"/>
    </row>
    <row r="64917" spans="65:67" ht="18.75" customHeight="1">
      <c r="BM64917" s="1025"/>
      <c r="BO64917" s="43"/>
    </row>
    <row r="64918" spans="65:67" ht="18.75" customHeight="1">
      <c r="BM64918" s="1025"/>
      <c r="BO64918" s="43"/>
    </row>
    <row r="64919" spans="65:67" ht="18.75" customHeight="1">
      <c r="BM64919" s="1025"/>
      <c r="BO64919" s="43"/>
    </row>
    <row r="64920" spans="65:67" ht="18.75" customHeight="1">
      <c r="BM64920" s="1025"/>
      <c r="BO64920" s="43"/>
    </row>
    <row r="64921" spans="65:67" ht="18.75" customHeight="1">
      <c r="BM64921" s="1025"/>
      <c r="BO64921" s="43"/>
    </row>
    <row r="64922" spans="65:67" ht="18.75" customHeight="1">
      <c r="BM64922" s="1025"/>
      <c r="BO64922" s="43"/>
    </row>
    <row r="64923" spans="65:67" ht="18.75" customHeight="1">
      <c r="BM64923" s="1025"/>
      <c r="BO64923" s="43"/>
    </row>
    <row r="64924" spans="65:67" ht="18.75" customHeight="1">
      <c r="BM64924" s="1025"/>
      <c r="BO64924" s="43"/>
    </row>
    <row r="64925" spans="65:67" ht="18.75" customHeight="1">
      <c r="BM64925" s="1025"/>
      <c r="BO64925" s="43"/>
    </row>
    <row r="64926" spans="65:67" ht="18.75" customHeight="1">
      <c r="BM64926" s="1025"/>
      <c r="BO64926" s="43"/>
    </row>
    <row r="64927" spans="65:67" ht="18.75" customHeight="1">
      <c r="BM64927" s="1025"/>
      <c r="BO64927" s="43"/>
    </row>
    <row r="64928" spans="65:67" ht="18.75" customHeight="1">
      <c r="BM64928" s="1025"/>
      <c r="BO64928" s="43"/>
    </row>
    <row r="64929" spans="65:67" ht="18.75" customHeight="1">
      <c r="BM64929" s="1025"/>
      <c r="BO64929" s="43"/>
    </row>
    <row r="64930" spans="65:67" ht="18.75" customHeight="1">
      <c r="BM64930" s="1025"/>
      <c r="BO64930" s="43"/>
    </row>
    <row r="64931" spans="65:67" ht="18.75" customHeight="1">
      <c r="BM64931" s="1025"/>
      <c r="BO64931" s="43"/>
    </row>
    <row r="64932" spans="65:67" ht="18.75" customHeight="1">
      <c r="BM64932" s="1025"/>
      <c r="BO64932" s="43"/>
    </row>
    <row r="64933" spans="65:67" ht="18.75" customHeight="1">
      <c r="BM64933" s="1025"/>
      <c r="BO64933" s="43"/>
    </row>
    <row r="64934" spans="65:67" ht="18.75" customHeight="1">
      <c r="BM64934" s="1025"/>
      <c r="BO64934" s="43"/>
    </row>
    <row r="64935" spans="65:67" ht="18.75" customHeight="1">
      <c r="BM64935" s="1025"/>
      <c r="BO64935" s="43"/>
    </row>
    <row r="64936" spans="65:67" ht="18.75" customHeight="1">
      <c r="BM64936" s="1025"/>
      <c r="BO64936" s="43"/>
    </row>
    <row r="64937" spans="65:67" ht="18.75" customHeight="1">
      <c r="BM64937" s="1025"/>
      <c r="BO64937" s="43"/>
    </row>
    <row r="64938" spans="65:67" ht="18.75" customHeight="1">
      <c r="BM64938" s="1025"/>
      <c r="BO64938" s="43"/>
    </row>
    <row r="64939" spans="65:67" ht="18.75" customHeight="1">
      <c r="BM64939" s="1025"/>
      <c r="BO64939" s="43"/>
    </row>
    <row r="64940" spans="65:67" ht="18.75" customHeight="1">
      <c r="BM64940" s="1025"/>
      <c r="BO64940" s="43"/>
    </row>
    <row r="64941" spans="65:67" ht="18.75" customHeight="1">
      <c r="BM64941" s="1025"/>
      <c r="BO64941" s="43"/>
    </row>
    <row r="64942" spans="65:67" ht="18.75" customHeight="1">
      <c r="BM64942" s="1025"/>
      <c r="BO64942" s="43"/>
    </row>
    <row r="64943" spans="65:67" ht="18.75" customHeight="1">
      <c r="BM64943" s="1025"/>
      <c r="BO64943" s="43"/>
    </row>
    <row r="64944" spans="65:67" ht="18.75" customHeight="1">
      <c r="BM64944" s="1025"/>
      <c r="BO64944" s="43"/>
    </row>
    <row r="64945" spans="65:67" ht="18.75" customHeight="1">
      <c r="BM64945" s="1025"/>
      <c r="BO64945" s="43"/>
    </row>
    <row r="64946" spans="65:67" ht="18.75" customHeight="1">
      <c r="BM64946" s="1025"/>
      <c r="BO64946" s="43"/>
    </row>
    <row r="64947" spans="65:67" ht="18.75" customHeight="1">
      <c r="BM64947" s="1025"/>
      <c r="BO64947" s="43"/>
    </row>
    <row r="64948" spans="65:67" ht="18.75" customHeight="1">
      <c r="BM64948" s="1025"/>
      <c r="BO64948" s="43"/>
    </row>
    <row r="64949" spans="65:67" ht="18.75" customHeight="1">
      <c r="BM64949" s="1025"/>
      <c r="BO64949" s="43"/>
    </row>
    <row r="64950" spans="65:67" ht="18.75" customHeight="1">
      <c r="BM64950" s="1025"/>
      <c r="BO64950" s="43"/>
    </row>
    <row r="64951" spans="65:67" ht="18.75" customHeight="1">
      <c r="BM64951" s="1025"/>
      <c r="BO64951" s="43"/>
    </row>
    <row r="64952" spans="65:67" ht="18.75" customHeight="1">
      <c r="BM64952" s="1025"/>
      <c r="BO64952" s="43"/>
    </row>
    <row r="64953" spans="65:67" ht="18.75" customHeight="1">
      <c r="BM64953" s="1025"/>
      <c r="BO64953" s="43"/>
    </row>
    <row r="64954" spans="65:67" ht="18.75" customHeight="1">
      <c r="BM64954" s="1025"/>
      <c r="BO64954" s="43"/>
    </row>
    <row r="64955" spans="65:67" ht="18.75" customHeight="1">
      <c r="BM64955" s="1025"/>
      <c r="BO64955" s="43"/>
    </row>
    <row r="64956" spans="65:67" ht="18.75" customHeight="1">
      <c r="BM64956" s="1025"/>
      <c r="BO64956" s="43"/>
    </row>
    <row r="64957" spans="65:67" ht="18.75" customHeight="1">
      <c r="BM64957" s="1025"/>
      <c r="BO64957" s="43"/>
    </row>
    <row r="64958" spans="65:67" ht="18.75" customHeight="1">
      <c r="BM64958" s="1025"/>
      <c r="BO64958" s="43"/>
    </row>
    <row r="64959" spans="65:67" ht="18.75" customHeight="1">
      <c r="BM64959" s="1025"/>
      <c r="BO64959" s="43"/>
    </row>
    <row r="64960" spans="65:67" ht="18.75" customHeight="1">
      <c r="BM64960" s="1025"/>
      <c r="BO64960" s="43"/>
    </row>
    <row r="64961" spans="65:67" ht="18.75" customHeight="1">
      <c r="BM64961" s="1025"/>
      <c r="BO64961" s="43"/>
    </row>
    <row r="64962" spans="65:67" ht="18.75" customHeight="1">
      <c r="BM64962" s="1025"/>
      <c r="BO64962" s="43"/>
    </row>
    <row r="64963" spans="65:67" ht="18.75" customHeight="1">
      <c r="BM64963" s="1025"/>
      <c r="BO64963" s="43"/>
    </row>
    <row r="64964" spans="65:67" ht="18.75" customHeight="1">
      <c r="BM64964" s="1025"/>
      <c r="BO64964" s="43"/>
    </row>
    <row r="64965" spans="65:67" ht="18.75" customHeight="1">
      <c r="BM64965" s="1025"/>
      <c r="BO64965" s="43"/>
    </row>
    <row r="64966" spans="65:67" ht="18.75" customHeight="1">
      <c r="BM64966" s="1025"/>
      <c r="BO64966" s="43"/>
    </row>
    <row r="64967" spans="65:67" ht="18.75" customHeight="1">
      <c r="BM64967" s="1025"/>
      <c r="BO64967" s="43"/>
    </row>
    <row r="64968" spans="65:67" ht="18.75" customHeight="1">
      <c r="BM64968" s="1025"/>
      <c r="BO64968" s="43"/>
    </row>
    <row r="64969" spans="65:67" ht="18.75" customHeight="1">
      <c r="BM64969" s="1025"/>
      <c r="BO64969" s="43"/>
    </row>
    <row r="64970" spans="65:67" ht="18.75" customHeight="1">
      <c r="BM64970" s="1025"/>
      <c r="BO64970" s="43"/>
    </row>
    <row r="64971" spans="65:67" ht="18.75" customHeight="1">
      <c r="BM64971" s="1025"/>
      <c r="BO64971" s="43"/>
    </row>
    <row r="64972" spans="65:67" ht="18.75" customHeight="1">
      <c r="BM64972" s="1025"/>
      <c r="BO64972" s="43"/>
    </row>
    <row r="64973" spans="65:67" ht="18.75" customHeight="1">
      <c r="BM64973" s="1025"/>
      <c r="BO64973" s="43"/>
    </row>
    <row r="64974" spans="65:67" ht="18.75" customHeight="1">
      <c r="BM64974" s="1025"/>
      <c r="BO64974" s="43"/>
    </row>
    <row r="64975" spans="65:67" ht="18.75" customHeight="1">
      <c r="BM64975" s="1025"/>
      <c r="BO64975" s="43"/>
    </row>
    <row r="64976" spans="65:67" ht="18.75" customHeight="1">
      <c r="BM64976" s="1025"/>
      <c r="BO64976" s="43"/>
    </row>
    <row r="64977" spans="65:67" ht="18.75" customHeight="1">
      <c r="BM64977" s="1025"/>
      <c r="BO64977" s="43"/>
    </row>
    <row r="64978" spans="65:67" ht="18.75" customHeight="1">
      <c r="BM64978" s="1025"/>
      <c r="BO64978" s="43"/>
    </row>
    <row r="64979" spans="65:67" ht="18.75" customHeight="1">
      <c r="BM64979" s="1025"/>
      <c r="BO64979" s="43"/>
    </row>
    <row r="64980" spans="65:67" ht="18.75" customHeight="1">
      <c r="BM64980" s="1025"/>
      <c r="BO64980" s="43"/>
    </row>
    <row r="64981" spans="65:67" ht="18.75" customHeight="1">
      <c r="BM64981" s="1025"/>
      <c r="BO64981" s="43"/>
    </row>
    <row r="64982" spans="65:67" ht="18.75" customHeight="1">
      <c r="BM64982" s="1025"/>
      <c r="BO64982" s="43"/>
    </row>
    <row r="64983" spans="65:67" ht="18.75" customHeight="1">
      <c r="BM64983" s="1025"/>
      <c r="BO64983" s="43"/>
    </row>
    <row r="64984" spans="65:67" ht="18.75" customHeight="1">
      <c r="BM64984" s="1025"/>
      <c r="BO64984" s="43"/>
    </row>
    <row r="64985" spans="65:67" ht="18.75" customHeight="1">
      <c r="BM64985" s="1025"/>
      <c r="BO64985" s="43"/>
    </row>
    <row r="64986" spans="65:67" ht="18.75" customHeight="1">
      <c r="BM64986" s="1025"/>
      <c r="BO64986" s="43"/>
    </row>
    <row r="64987" spans="65:67" ht="18.75" customHeight="1">
      <c r="BM64987" s="1025"/>
      <c r="BO64987" s="43"/>
    </row>
    <row r="64988" spans="65:67" ht="18.75" customHeight="1">
      <c r="BM64988" s="1025"/>
      <c r="BO64988" s="43"/>
    </row>
    <row r="64989" spans="65:67" ht="18.75" customHeight="1">
      <c r="BM64989" s="1025"/>
      <c r="BO64989" s="43"/>
    </row>
    <row r="64990" spans="65:67" ht="18.75" customHeight="1">
      <c r="BM64990" s="1025"/>
      <c r="BO64990" s="43"/>
    </row>
    <row r="64991" spans="65:67" ht="18.75" customHeight="1">
      <c r="BM64991" s="1025"/>
      <c r="BO64991" s="43"/>
    </row>
    <row r="64992" spans="65:67" ht="18.75" customHeight="1">
      <c r="BM64992" s="1025"/>
      <c r="BO64992" s="43"/>
    </row>
    <row r="64993" spans="65:67" ht="18.75" customHeight="1">
      <c r="BM64993" s="1025"/>
      <c r="BO64993" s="43"/>
    </row>
    <row r="64994" spans="65:67" ht="18.75" customHeight="1">
      <c r="BM64994" s="1025"/>
      <c r="BO64994" s="43"/>
    </row>
    <row r="64995" spans="65:67" ht="18.75" customHeight="1">
      <c r="BM64995" s="1025"/>
      <c r="BO64995" s="43"/>
    </row>
    <row r="64996" spans="65:67" ht="18.75" customHeight="1">
      <c r="BM64996" s="1025"/>
      <c r="BO64996" s="43"/>
    </row>
    <row r="64997" spans="65:67" ht="18.75" customHeight="1">
      <c r="BM64997" s="1025"/>
      <c r="BO64997" s="43"/>
    </row>
    <row r="64998" spans="65:67" ht="18.75" customHeight="1">
      <c r="BM64998" s="1025"/>
      <c r="BO64998" s="43"/>
    </row>
    <row r="64999" spans="65:67" ht="18.75" customHeight="1">
      <c r="BM64999" s="1025"/>
      <c r="BO64999" s="43"/>
    </row>
    <row r="65000" spans="65:67" ht="18.75" customHeight="1">
      <c r="BM65000" s="1025"/>
      <c r="BO65000" s="43"/>
    </row>
    <row r="65001" spans="65:67" ht="18.75" customHeight="1">
      <c r="BM65001" s="1025"/>
      <c r="BO65001" s="43"/>
    </row>
    <row r="65002" spans="65:67" ht="18.75" customHeight="1">
      <c r="BM65002" s="1025"/>
      <c r="BO65002" s="43"/>
    </row>
    <row r="65003" spans="65:67" ht="18.75" customHeight="1">
      <c r="BM65003" s="1025"/>
      <c r="BO65003" s="43"/>
    </row>
    <row r="65004" spans="65:67" ht="18.75" customHeight="1">
      <c r="BM65004" s="1025"/>
      <c r="BO65004" s="43"/>
    </row>
    <row r="65005" spans="65:67" ht="18.75" customHeight="1">
      <c r="BM65005" s="1025"/>
      <c r="BO65005" s="43"/>
    </row>
    <row r="65006" spans="65:67" ht="18.75" customHeight="1">
      <c r="BM65006" s="1025"/>
      <c r="BO65006" s="43"/>
    </row>
    <row r="65007" spans="65:67" ht="18.75" customHeight="1">
      <c r="BM65007" s="1025"/>
      <c r="BO65007" s="43"/>
    </row>
    <row r="65008" spans="65:67" ht="18.75" customHeight="1">
      <c r="BM65008" s="1025"/>
      <c r="BO65008" s="43"/>
    </row>
    <row r="65009" spans="65:67" ht="18.75" customHeight="1">
      <c r="BM65009" s="1025"/>
      <c r="BO65009" s="43"/>
    </row>
    <row r="65010" spans="65:67" ht="18.75" customHeight="1">
      <c r="BM65010" s="1025"/>
      <c r="BO65010" s="43"/>
    </row>
    <row r="65011" spans="65:67" ht="18.75" customHeight="1">
      <c r="BM65011" s="1025"/>
      <c r="BO65011" s="43"/>
    </row>
    <row r="65012" spans="65:67" ht="18.75" customHeight="1">
      <c r="BM65012" s="1025"/>
      <c r="BO65012" s="43"/>
    </row>
    <row r="65013" spans="65:67" ht="18.75" customHeight="1">
      <c r="BM65013" s="1025"/>
      <c r="BO65013" s="43"/>
    </row>
    <row r="65014" spans="65:67" ht="18.75" customHeight="1">
      <c r="BM65014" s="1025"/>
      <c r="BO65014" s="43"/>
    </row>
    <row r="65015" spans="65:67" ht="18.75" customHeight="1">
      <c r="BM65015" s="1025"/>
      <c r="BO65015" s="43"/>
    </row>
    <row r="65016" spans="65:67" ht="18.75" customHeight="1">
      <c r="BM65016" s="1025"/>
      <c r="BO65016" s="43"/>
    </row>
    <row r="65017" spans="65:67" ht="18.75" customHeight="1">
      <c r="BM65017" s="1025"/>
      <c r="BO65017" s="43"/>
    </row>
    <row r="65018" spans="65:67" ht="18.75" customHeight="1">
      <c r="BM65018" s="1025"/>
      <c r="BO65018" s="43"/>
    </row>
    <row r="65019" spans="65:67" ht="18.75" customHeight="1">
      <c r="BM65019" s="1025"/>
      <c r="BO65019" s="43"/>
    </row>
    <row r="65020" spans="65:67" ht="18.75" customHeight="1">
      <c r="BM65020" s="1025"/>
      <c r="BO65020" s="43"/>
    </row>
    <row r="65021" spans="65:67" ht="18.75" customHeight="1">
      <c r="BM65021" s="1025"/>
      <c r="BO65021" s="43"/>
    </row>
    <row r="65022" spans="65:67" ht="18.75" customHeight="1">
      <c r="BM65022" s="1025"/>
      <c r="BO65022" s="43"/>
    </row>
    <row r="65023" spans="65:67" ht="18.75" customHeight="1">
      <c r="BM65023" s="1025"/>
      <c r="BO65023" s="43"/>
    </row>
    <row r="65024" spans="65:67" ht="18.75" customHeight="1">
      <c r="BM65024" s="1025"/>
      <c r="BO65024" s="43"/>
    </row>
    <row r="65025" spans="65:67" ht="18.75" customHeight="1">
      <c r="BM65025" s="1025"/>
      <c r="BO65025" s="43"/>
    </row>
    <row r="65026" spans="65:67" ht="18.75" customHeight="1">
      <c r="BM65026" s="1025"/>
      <c r="BO65026" s="43"/>
    </row>
    <row r="65027" spans="65:67" ht="18.75" customHeight="1">
      <c r="BM65027" s="1025"/>
      <c r="BO65027" s="43"/>
    </row>
    <row r="65028" spans="65:67" ht="18.75" customHeight="1">
      <c r="BM65028" s="1025"/>
      <c r="BO65028" s="43"/>
    </row>
    <row r="65029" spans="65:67" ht="18.75" customHeight="1">
      <c r="BM65029" s="1025"/>
      <c r="BO65029" s="43"/>
    </row>
    <row r="65030" spans="65:67" ht="18.75" customHeight="1">
      <c r="BM65030" s="1025"/>
      <c r="BO65030" s="43"/>
    </row>
    <row r="65031" spans="65:67" ht="18.75" customHeight="1">
      <c r="BM65031" s="1025"/>
      <c r="BO65031" s="43"/>
    </row>
    <row r="65032" spans="65:67" ht="18.75" customHeight="1">
      <c r="BM65032" s="1025"/>
      <c r="BO65032" s="43"/>
    </row>
    <row r="65033" spans="65:67" ht="18.75" customHeight="1">
      <c r="BM65033" s="1025"/>
      <c r="BO65033" s="43"/>
    </row>
    <row r="65034" spans="65:67" ht="18.75" customHeight="1">
      <c r="BM65034" s="1025"/>
      <c r="BO65034" s="43"/>
    </row>
    <row r="65035" spans="65:67" ht="18.75" customHeight="1">
      <c r="BM65035" s="1025"/>
      <c r="BO65035" s="43"/>
    </row>
    <row r="65036" spans="65:67" ht="18.75" customHeight="1">
      <c r="BM65036" s="1025"/>
      <c r="BO65036" s="43"/>
    </row>
    <row r="65037" spans="65:67" ht="18.75" customHeight="1">
      <c r="BM65037" s="1025"/>
      <c r="BO65037" s="43"/>
    </row>
    <row r="65038" spans="65:67" ht="18.75" customHeight="1">
      <c r="BM65038" s="1025"/>
      <c r="BO65038" s="43"/>
    </row>
    <row r="65039" spans="65:67" ht="18.75" customHeight="1">
      <c r="BM65039" s="1025"/>
      <c r="BO65039" s="43"/>
    </row>
    <row r="65040" spans="65:67" ht="18.75" customHeight="1">
      <c r="BM65040" s="1025"/>
      <c r="BO65040" s="43"/>
    </row>
    <row r="65041" spans="65:67" ht="18.75" customHeight="1">
      <c r="BM65041" s="1025"/>
      <c r="BO65041" s="43"/>
    </row>
    <row r="65042" spans="65:67" ht="18.75" customHeight="1">
      <c r="BM65042" s="1025"/>
      <c r="BO65042" s="43"/>
    </row>
    <row r="65043" spans="65:67" ht="18.75" customHeight="1">
      <c r="BM65043" s="1025"/>
      <c r="BO65043" s="43"/>
    </row>
    <row r="65044" spans="65:67" ht="18.75" customHeight="1">
      <c r="BM65044" s="1025"/>
      <c r="BO65044" s="43"/>
    </row>
    <row r="65045" spans="65:67" ht="18.75" customHeight="1">
      <c r="BM65045" s="1025"/>
      <c r="BO65045" s="43"/>
    </row>
    <row r="65046" spans="65:67" ht="18.75" customHeight="1">
      <c r="BM65046" s="1025"/>
      <c r="BO65046" s="43"/>
    </row>
    <row r="65047" spans="65:67" ht="18.75" customHeight="1">
      <c r="BM65047" s="1025"/>
      <c r="BO65047" s="43"/>
    </row>
    <row r="65048" spans="65:67" ht="18.75" customHeight="1">
      <c r="BM65048" s="1025"/>
      <c r="BO65048" s="43"/>
    </row>
    <row r="65049" spans="65:67" ht="18.75" customHeight="1">
      <c r="BM65049" s="1025"/>
      <c r="BO65049" s="43"/>
    </row>
    <row r="65050" spans="65:67" ht="18.75" customHeight="1">
      <c r="BM65050" s="1025"/>
      <c r="BO65050" s="43"/>
    </row>
    <row r="65051" spans="65:67" ht="18.75" customHeight="1">
      <c r="BM65051" s="1025"/>
      <c r="BO65051" s="43"/>
    </row>
    <row r="65052" spans="65:67" ht="18.75" customHeight="1">
      <c r="BM65052" s="1025"/>
      <c r="BO65052" s="43"/>
    </row>
    <row r="65053" spans="65:67" ht="18.75" customHeight="1">
      <c r="BM65053" s="1025"/>
      <c r="BO65053" s="43"/>
    </row>
    <row r="65054" spans="65:67" ht="18.75" customHeight="1">
      <c r="BM65054" s="1025"/>
      <c r="BO65054" s="43"/>
    </row>
    <row r="65055" spans="65:67" ht="18.75" customHeight="1">
      <c r="BM65055" s="1025"/>
      <c r="BO65055" s="43"/>
    </row>
    <row r="65056" spans="65:67" ht="18.75" customHeight="1">
      <c r="BM65056" s="1025"/>
      <c r="BO65056" s="43"/>
    </row>
    <row r="65057" spans="65:67" ht="18.75" customHeight="1">
      <c r="BM65057" s="1025"/>
      <c r="BO65057" s="43"/>
    </row>
    <row r="65058" spans="65:67" ht="18.75" customHeight="1">
      <c r="BM65058" s="1025"/>
      <c r="BO65058" s="43"/>
    </row>
    <row r="65059" spans="65:67" ht="18.75" customHeight="1">
      <c r="BM65059" s="1025"/>
      <c r="BO65059" s="43"/>
    </row>
    <row r="65060" spans="65:67" ht="18.75" customHeight="1">
      <c r="BM65060" s="1025"/>
      <c r="BO65060" s="43"/>
    </row>
    <row r="65061" spans="65:67" ht="18.75" customHeight="1">
      <c r="BM65061" s="1025"/>
      <c r="BO65061" s="43"/>
    </row>
    <row r="65062" spans="65:67" ht="18.75" customHeight="1">
      <c r="BM65062" s="1025"/>
      <c r="BO65062" s="43"/>
    </row>
    <row r="65063" spans="65:67" ht="18.75" customHeight="1">
      <c r="BM65063" s="1025"/>
      <c r="BO65063" s="43"/>
    </row>
    <row r="65064" spans="65:67" ht="18.75" customHeight="1">
      <c r="BM65064" s="1025"/>
      <c r="BO65064" s="43"/>
    </row>
    <row r="65065" spans="65:67" ht="18.75" customHeight="1">
      <c r="BM65065" s="1025"/>
      <c r="BO65065" s="43"/>
    </row>
    <row r="65066" spans="65:67" ht="18.75" customHeight="1">
      <c r="BM65066" s="1025"/>
      <c r="BO65066" s="43"/>
    </row>
    <row r="65067" spans="65:67" ht="18.75" customHeight="1">
      <c r="BM65067" s="1025"/>
      <c r="BO65067" s="43"/>
    </row>
    <row r="65068" spans="65:67" ht="18.75" customHeight="1">
      <c r="BM65068" s="1025"/>
      <c r="BO65068" s="43"/>
    </row>
    <row r="65069" spans="65:67" ht="18.75" customHeight="1">
      <c r="BM65069" s="1025"/>
      <c r="BO65069" s="43"/>
    </row>
    <row r="65070" spans="65:67" ht="18.75" customHeight="1">
      <c r="BM65070" s="1025"/>
      <c r="BO65070" s="43"/>
    </row>
    <row r="65071" spans="65:67" ht="18.75" customHeight="1">
      <c r="BM65071" s="1025"/>
      <c r="BO65071" s="43"/>
    </row>
    <row r="65072" spans="65:67" ht="18.75" customHeight="1">
      <c r="BM65072" s="1025"/>
      <c r="BO65072" s="43"/>
    </row>
    <row r="65073" spans="65:67" ht="18.75" customHeight="1">
      <c r="BM65073" s="1025"/>
      <c r="BO65073" s="43"/>
    </row>
    <row r="65074" spans="65:67" ht="18.75" customHeight="1">
      <c r="BM65074" s="1025"/>
      <c r="BO65074" s="43"/>
    </row>
    <row r="65075" spans="65:67" ht="18.75" customHeight="1">
      <c r="BM65075" s="1025"/>
      <c r="BO65075" s="43"/>
    </row>
    <row r="65076" spans="65:67" ht="18.75" customHeight="1">
      <c r="BM65076" s="1025"/>
      <c r="BO65076" s="43"/>
    </row>
    <row r="65077" spans="65:67" ht="18.75" customHeight="1">
      <c r="BM65077" s="1025"/>
      <c r="BO65077" s="43"/>
    </row>
    <row r="65078" spans="65:67" ht="18.75" customHeight="1">
      <c r="BM65078" s="1025"/>
      <c r="BO65078" s="43"/>
    </row>
    <row r="65079" spans="65:67" ht="18.75" customHeight="1">
      <c r="BM65079" s="1025"/>
      <c r="BO65079" s="43"/>
    </row>
    <row r="65080" spans="65:67" ht="18.75" customHeight="1">
      <c r="BM65080" s="1025"/>
      <c r="BO65080" s="43"/>
    </row>
    <row r="65081" spans="65:67" ht="18.75" customHeight="1">
      <c r="BM65081" s="1025"/>
      <c r="BO65081" s="43"/>
    </row>
    <row r="65082" spans="65:67" ht="18.75" customHeight="1">
      <c r="BM65082" s="1025"/>
      <c r="BO65082" s="43"/>
    </row>
    <row r="65083" spans="65:67" ht="18.75" customHeight="1">
      <c r="BM65083" s="1025"/>
      <c r="BO65083" s="43"/>
    </row>
    <row r="65084" spans="65:67" ht="18.75" customHeight="1">
      <c r="BM65084" s="1025"/>
      <c r="BO65084" s="43"/>
    </row>
    <row r="65085" spans="65:67" ht="18.75" customHeight="1">
      <c r="BM65085" s="1025"/>
      <c r="BO65085" s="43"/>
    </row>
    <row r="65086" spans="65:67" ht="18.75" customHeight="1">
      <c r="BM65086" s="1025"/>
      <c r="BO65086" s="43"/>
    </row>
    <row r="65087" spans="65:67" ht="18.75" customHeight="1">
      <c r="BM65087" s="1025"/>
      <c r="BO65087" s="43"/>
    </row>
    <row r="65088" spans="65:67" ht="18.75" customHeight="1">
      <c r="BM65088" s="1025"/>
      <c r="BO65088" s="43"/>
    </row>
    <row r="65089" spans="65:67" ht="18.75" customHeight="1">
      <c r="BM65089" s="1025"/>
      <c r="BO65089" s="43"/>
    </row>
    <row r="65090" spans="65:67" ht="18.75" customHeight="1">
      <c r="BM65090" s="1025"/>
      <c r="BO65090" s="43"/>
    </row>
    <row r="65091" spans="65:67" ht="18.75" customHeight="1">
      <c r="BM65091" s="1025"/>
      <c r="BO65091" s="43"/>
    </row>
    <row r="65092" spans="65:67" ht="18.75" customHeight="1">
      <c r="BM65092" s="1025"/>
      <c r="BO65092" s="43"/>
    </row>
    <row r="65093" spans="65:67" ht="18.75" customHeight="1">
      <c r="BM65093" s="1025"/>
      <c r="BO65093" s="43"/>
    </row>
    <row r="65094" spans="65:67" ht="18.75" customHeight="1">
      <c r="BM65094" s="1025"/>
      <c r="BO65094" s="43"/>
    </row>
    <row r="65095" spans="65:67" ht="18.75" customHeight="1">
      <c r="BM65095" s="1025"/>
      <c r="BO65095" s="43"/>
    </row>
    <row r="65096" spans="65:67" ht="18.75" customHeight="1">
      <c r="BM65096" s="1025"/>
      <c r="BO65096" s="43"/>
    </row>
    <row r="65097" spans="65:67" ht="18.75" customHeight="1">
      <c r="BM65097" s="1025"/>
      <c r="BO65097" s="43"/>
    </row>
    <row r="65098" spans="65:67" ht="18.75" customHeight="1">
      <c r="BM65098" s="1025"/>
      <c r="BO65098" s="43"/>
    </row>
    <row r="65099" spans="65:67" ht="18.75" customHeight="1">
      <c r="BM65099" s="1025"/>
      <c r="BO65099" s="43"/>
    </row>
    <row r="65100" spans="65:67" ht="18.75" customHeight="1">
      <c r="BM65100" s="1025"/>
      <c r="BO65100" s="43"/>
    </row>
    <row r="65101" spans="65:67" ht="18.75" customHeight="1">
      <c r="BM65101" s="1025"/>
      <c r="BO65101" s="43"/>
    </row>
    <row r="65102" spans="65:67" ht="18.75" customHeight="1">
      <c r="BM65102" s="1025"/>
      <c r="BO65102" s="43"/>
    </row>
    <row r="65103" spans="65:67" ht="18.75" customHeight="1">
      <c r="BM65103" s="1025"/>
      <c r="BO65103" s="43"/>
    </row>
    <row r="65104" spans="65:67" ht="18.75" customHeight="1">
      <c r="BM65104" s="1025"/>
      <c r="BO65104" s="43"/>
    </row>
    <row r="65105" spans="65:67" ht="18.75" customHeight="1">
      <c r="BM65105" s="1025"/>
      <c r="BO65105" s="43"/>
    </row>
    <row r="65106" spans="65:67" ht="18.75" customHeight="1">
      <c r="BM65106" s="1025"/>
      <c r="BO65106" s="43"/>
    </row>
    <row r="65107" spans="65:67" ht="18.75" customHeight="1">
      <c r="BM65107" s="1025"/>
      <c r="BO65107" s="43"/>
    </row>
    <row r="65108" spans="65:67" ht="18.75" customHeight="1">
      <c r="BM65108" s="1025"/>
      <c r="BO65108" s="43"/>
    </row>
    <row r="65109" spans="65:67" ht="18.75" customHeight="1">
      <c r="BM65109" s="1025"/>
      <c r="BO65109" s="43"/>
    </row>
    <row r="65110" spans="65:67" ht="18.75" customHeight="1">
      <c r="BM65110" s="1025"/>
      <c r="BO65110" s="43"/>
    </row>
    <row r="65111" spans="65:67" ht="18.75" customHeight="1">
      <c r="BM65111" s="1025"/>
      <c r="BO65111" s="43"/>
    </row>
    <row r="65112" spans="65:67" ht="18.75" customHeight="1">
      <c r="BM65112" s="1025"/>
      <c r="BO65112" s="43"/>
    </row>
    <row r="65113" spans="65:67" ht="18.75" customHeight="1">
      <c r="BM65113" s="1025"/>
      <c r="BO65113" s="43"/>
    </row>
    <row r="65114" spans="65:67" ht="18.75" customHeight="1">
      <c r="BM65114" s="1025"/>
      <c r="BO65114" s="43"/>
    </row>
    <row r="65115" spans="65:67" ht="18.75" customHeight="1">
      <c r="BM65115" s="1025"/>
      <c r="BO65115" s="43"/>
    </row>
    <row r="65116" spans="65:67" ht="18.75" customHeight="1">
      <c r="BM65116" s="1025"/>
      <c r="BO65116" s="43"/>
    </row>
    <row r="65117" spans="65:67" ht="18.75" customHeight="1">
      <c r="BM65117" s="1025"/>
      <c r="BO65117" s="43"/>
    </row>
    <row r="65118" spans="65:67" ht="18.75" customHeight="1">
      <c r="BM65118" s="1025"/>
      <c r="BO65118" s="43"/>
    </row>
    <row r="65119" spans="65:67" ht="18.75" customHeight="1">
      <c r="BM65119" s="1025"/>
      <c r="BO65119" s="43"/>
    </row>
    <row r="65120" spans="65:67" ht="18.75" customHeight="1">
      <c r="BM65120" s="1025"/>
      <c r="BO65120" s="43"/>
    </row>
    <row r="65121" spans="65:67" ht="18.75" customHeight="1">
      <c r="BM65121" s="1025"/>
      <c r="BO65121" s="43"/>
    </row>
    <row r="65122" spans="65:67" ht="18.75" customHeight="1">
      <c r="BM65122" s="1025"/>
      <c r="BO65122" s="43"/>
    </row>
    <row r="65123" spans="65:67" ht="18.75" customHeight="1">
      <c r="BM65123" s="1025"/>
      <c r="BO65123" s="43"/>
    </row>
    <row r="65124" spans="65:67" ht="18.75" customHeight="1">
      <c r="BM65124" s="1025"/>
      <c r="BO65124" s="43"/>
    </row>
    <row r="65125" spans="65:67" ht="18.75" customHeight="1">
      <c r="BM65125" s="1025"/>
      <c r="BO65125" s="43"/>
    </row>
    <row r="65126" spans="65:67" ht="18.75" customHeight="1">
      <c r="BM65126" s="1025"/>
      <c r="BO65126" s="43"/>
    </row>
    <row r="65127" spans="65:67" ht="18.75" customHeight="1">
      <c r="BM65127" s="1025"/>
      <c r="BO65127" s="43"/>
    </row>
    <row r="65128" spans="65:67" ht="18.75" customHeight="1">
      <c r="BM65128" s="1025"/>
      <c r="BO65128" s="43"/>
    </row>
    <row r="65129" spans="65:67" ht="18.75" customHeight="1">
      <c r="BM65129" s="1025"/>
      <c r="BO65129" s="43"/>
    </row>
    <row r="65130" spans="65:67" ht="18.75" customHeight="1">
      <c r="BM65130" s="1025"/>
      <c r="BO65130" s="43"/>
    </row>
    <row r="65131" spans="65:67" ht="18.75" customHeight="1">
      <c r="BM65131" s="1025"/>
      <c r="BO65131" s="43"/>
    </row>
    <row r="65132" spans="65:67" ht="18.75" customHeight="1">
      <c r="BM65132" s="1025"/>
      <c r="BO65132" s="43"/>
    </row>
    <row r="65133" spans="65:67" ht="18.75" customHeight="1">
      <c r="BM65133" s="1025"/>
      <c r="BO65133" s="43"/>
    </row>
    <row r="65134" spans="65:67" ht="18.75" customHeight="1">
      <c r="BM65134" s="1025"/>
      <c r="BO65134" s="43"/>
    </row>
    <row r="65135" spans="65:67" ht="18.75" customHeight="1">
      <c r="BM65135" s="1025"/>
      <c r="BO65135" s="43"/>
    </row>
    <row r="65136" spans="65:67" ht="18.75" customHeight="1">
      <c r="BM65136" s="1025"/>
      <c r="BO65136" s="43"/>
    </row>
    <row r="65137" spans="65:67" ht="18.75" customHeight="1">
      <c r="BM65137" s="1025"/>
      <c r="BO65137" s="43"/>
    </row>
    <row r="65138" spans="65:67" ht="18.75" customHeight="1">
      <c r="BM65138" s="1025"/>
      <c r="BO65138" s="43"/>
    </row>
    <row r="65139" spans="65:67" ht="18.75" customHeight="1">
      <c r="BM65139" s="1025"/>
      <c r="BO65139" s="43"/>
    </row>
    <row r="65140" spans="65:67" ht="18.75" customHeight="1">
      <c r="BM65140" s="1025"/>
      <c r="BO65140" s="43"/>
    </row>
    <row r="65141" spans="65:67" ht="18.75" customHeight="1">
      <c r="BM65141" s="1025"/>
      <c r="BO65141" s="43"/>
    </row>
    <row r="65142" spans="65:67" ht="18.75" customHeight="1">
      <c r="BM65142" s="1025"/>
      <c r="BO65142" s="43"/>
    </row>
    <row r="65143" spans="65:67" ht="18.75" customHeight="1">
      <c r="BM65143" s="1025"/>
      <c r="BO65143" s="43"/>
    </row>
    <row r="65144" spans="65:67" ht="18.75" customHeight="1">
      <c r="BM65144" s="1025"/>
      <c r="BO65144" s="43"/>
    </row>
    <row r="65145" spans="65:67" ht="18.75" customHeight="1">
      <c r="BM65145" s="1025"/>
      <c r="BO65145" s="43"/>
    </row>
    <row r="65146" spans="65:67" ht="18.75" customHeight="1">
      <c r="BM65146" s="1025"/>
      <c r="BO65146" s="43"/>
    </row>
    <row r="65147" spans="65:67" ht="18.75" customHeight="1">
      <c r="BM65147" s="1025"/>
      <c r="BO65147" s="43"/>
    </row>
    <row r="65148" spans="65:67" ht="18.75" customHeight="1">
      <c r="BM65148" s="1025"/>
      <c r="BO65148" s="43"/>
    </row>
    <row r="65149" spans="65:67" ht="18.75" customHeight="1">
      <c r="BM65149" s="1025"/>
      <c r="BO65149" s="43"/>
    </row>
    <row r="65150" spans="65:67" ht="18.75" customHeight="1">
      <c r="BM65150" s="1025"/>
      <c r="BO65150" s="43"/>
    </row>
    <row r="65151" spans="65:67" ht="18.75" customHeight="1">
      <c r="BM65151" s="1025"/>
      <c r="BO65151" s="43"/>
    </row>
    <row r="65152" spans="65:67" ht="18.75" customHeight="1">
      <c r="BM65152" s="1025"/>
      <c r="BO65152" s="43"/>
    </row>
    <row r="65153" spans="65:67" ht="18.75" customHeight="1">
      <c r="BM65153" s="1025"/>
      <c r="BO65153" s="43"/>
    </row>
    <row r="65154" spans="65:67" ht="18.75" customHeight="1">
      <c r="BM65154" s="1025"/>
      <c r="BO65154" s="43"/>
    </row>
    <row r="65155" spans="65:67" ht="18.75" customHeight="1">
      <c r="BM65155" s="1025"/>
      <c r="BO65155" s="43"/>
    </row>
    <row r="65156" spans="65:67" ht="18.75" customHeight="1">
      <c r="BM65156" s="1025"/>
      <c r="BO65156" s="43"/>
    </row>
    <row r="65157" spans="65:67" ht="18.75" customHeight="1">
      <c r="BM65157" s="1025"/>
      <c r="BO65157" s="43"/>
    </row>
    <row r="65158" spans="65:67" ht="18.75" customHeight="1">
      <c r="BM65158" s="1025"/>
      <c r="BO65158" s="43"/>
    </row>
    <row r="65159" spans="65:67" ht="18.75" customHeight="1">
      <c r="BM65159" s="1025"/>
      <c r="BO65159" s="43"/>
    </row>
    <row r="65160" spans="65:67" ht="18.75" customHeight="1">
      <c r="BM65160" s="1025"/>
      <c r="BO65160" s="43"/>
    </row>
    <row r="65161" spans="65:67" ht="18.75" customHeight="1">
      <c r="BM65161" s="1025"/>
      <c r="BO65161" s="43"/>
    </row>
    <row r="65162" spans="65:67" ht="18.75" customHeight="1">
      <c r="BM65162" s="1025"/>
      <c r="BO65162" s="43"/>
    </row>
    <row r="65163" spans="65:67" ht="18.75" customHeight="1">
      <c r="BM65163" s="1025"/>
      <c r="BO65163" s="43"/>
    </row>
    <row r="65164" spans="65:67" ht="18.75" customHeight="1">
      <c r="BM65164" s="1025"/>
      <c r="BO65164" s="43"/>
    </row>
    <row r="65165" spans="65:67" ht="18.75" customHeight="1">
      <c r="BM65165" s="1025"/>
      <c r="BO65165" s="43"/>
    </row>
    <row r="65166" spans="65:67" ht="18.75" customHeight="1">
      <c r="BM65166" s="1025"/>
      <c r="BO65166" s="43"/>
    </row>
    <row r="65167" spans="65:67" ht="18.75" customHeight="1">
      <c r="BM65167" s="1025"/>
      <c r="BO65167" s="43"/>
    </row>
    <row r="65168" spans="65:67" ht="18.75" customHeight="1">
      <c r="BM65168" s="1025"/>
      <c r="BO65168" s="43"/>
    </row>
    <row r="65169" spans="65:67" ht="18.75" customHeight="1">
      <c r="BM65169" s="1025"/>
      <c r="BO65169" s="43"/>
    </row>
    <row r="65170" spans="65:67" ht="18.75" customHeight="1">
      <c r="BM65170" s="1025"/>
      <c r="BO65170" s="43"/>
    </row>
    <row r="65171" spans="65:67" ht="18.75" customHeight="1">
      <c r="BM65171" s="1025"/>
      <c r="BO65171" s="43"/>
    </row>
    <row r="65172" spans="65:67" ht="18.75" customHeight="1">
      <c r="BM65172" s="1025"/>
      <c r="BO65172" s="43"/>
    </row>
    <row r="65173" spans="65:67" ht="18.75" customHeight="1">
      <c r="BM65173" s="1025"/>
      <c r="BO65173" s="43"/>
    </row>
    <row r="65174" spans="65:67" ht="18.75" customHeight="1">
      <c r="BM65174" s="1025"/>
      <c r="BO65174" s="43"/>
    </row>
    <row r="65175" spans="65:67" ht="18.75" customHeight="1">
      <c r="BM65175" s="1025"/>
      <c r="BO65175" s="43"/>
    </row>
    <row r="65176" spans="65:67" ht="18.75" customHeight="1">
      <c r="BM65176" s="1025"/>
      <c r="BO65176" s="43"/>
    </row>
    <row r="65177" spans="65:67" ht="18.75" customHeight="1">
      <c r="BM65177" s="1025"/>
      <c r="BO65177" s="43"/>
    </row>
    <row r="65178" spans="65:67" ht="18.75" customHeight="1">
      <c r="BM65178" s="1025"/>
      <c r="BO65178" s="43"/>
    </row>
    <row r="65179" spans="65:67" ht="18.75" customHeight="1">
      <c r="BM65179" s="1025"/>
      <c r="BO65179" s="43"/>
    </row>
    <row r="65180" spans="65:67" ht="18.75" customHeight="1">
      <c r="BM65180" s="1025"/>
      <c r="BO65180" s="43"/>
    </row>
    <row r="65181" spans="65:67" ht="18.75" customHeight="1">
      <c r="BM65181" s="1025"/>
      <c r="BO65181" s="43"/>
    </row>
    <row r="65182" spans="65:67" ht="18.75" customHeight="1">
      <c r="BM65182" s="1025"/>
      <c r="BO65182" s="43"/>
    </row>
    <row r="65183" spans="65:67" ht="18.75" customHeight="1">
      <c r="BM65183" s="1025"/>
      <c r="BO65183" s="43"/>
    </row>
    <row r="65184" spans="65:67" ht="18.75" customHeight="1">
      <c r="BM65184" s="1025"/>
      <c r="BO65184" s="43"/>
    </row>
    <row r="65185" spans="65:67" ht="18.75" customHeight="1">
      <c r="BM65185" s="1025"/>
      <c r="BO65185" s="43"/>
    </row>
    <row r="65186" spans="65:67" ht="18.75" customHeight="1">
      <c r="BM65186" s="1025"/>
      <c r="BO65186" s="43"/>
    </row>
    <row r="65187" spans="65:67" ht="18.75" customHeight="1">
      <c r="BM65187" s="1025"/>
      <c r="BO65187" s="43"/>
    </row>
    <row r="65188" spans="65:67" ht="18.75" customHeight="1">
      <c r="BM65188" s="1025"/>
      <c r="BO65188" s="43"/>
    </row>
    <row r="65189" spans="65:67" ht="18.75" customHeight="1">
      <c r="BM65189" s="1025"/>
      <c r="BO65189" s="43"/>
    </row>
    <row r="65190" spans="65:67" ht="18.75" customHeight="1">
      <c r="BM65190" s="1025"/>
      <c r="BO65190" s="43"/>
    </row>
    <row r="65191" spans="65:67" ht="18.75" customHeight="1">
      <c r="BM65191" s="1025"/>
      <c r="BO65191" s="43"/>
    </row>
    <row r="65192" spans="65:67" ht="18.75" customHeight="1">
      <c r="BM65192" s="1025"/>
      <c r="BO65192" s="43"/>
    </row>
    <row r="65193" spans="65:67" ht="18.75" customHeight="1">
      <c r="BM65193" s="1025"/>
      <c r="BO65193" s="43"/>
    </row>
    <row r="65194" spans="65:67" ht="18.75" customHeight="1">
      <c r="BM65194" s="1025"/>
      <c r="BO65194" s="43"/>
    </row>
    <row r="65195" spans="65:67" ht="18.75" customHeight="1">
      <c r="BM65195" s="1025"/>
      <c r="BO65195" s="43"/>
    </row>
    <row r="65196" spans="65:67" ht="18.75" customHeight="1">
      <c r="BM65196" s="1025"/>
      <c r="BO65196" s="43"/>
    </row>
    <row r="65197" spans="65:67" ht="18.75" customHeight="1">
      <c r="BM65197" s="1025"/>
      <c r="BO65197" s="43"/>
    </row>
    <row r="65198" spans="65:67" ht="18.75" customHeight="1">
      <c r="BM65198" s="1025"/>
      <c r="BO65198" s="43"/>
    </row>
    <row r="65199" spans="65:67" ht="18.75" customHeight="1">
      <c r="BM65199" s="1025"/>
      <c r="BO65199" s="43"/>
    </row>
    <row r="65200" spans="65:67" ht="18.75" customHeight="1">
      <c r="BM65200" s="1025"/>
      <c r="BO65200" s="43"/>
    </row>
    <row r="65201" spans="65:67" ht="18.75" customHeight="1">
      <c r="BM65201" s="1025"/>
      <c r="BO65201" s="43"/>
    </row>
    <row r="65202" spans="65:67" ht="18.75" customHeight="1">
      <c r="BM65202" s="1025"/>
      <c r="BO65202" s="43"/>
    </row>
    <row r="65203" spans="65:67" ht="18.75" customHeight="1">
      <c r="BM65203" s="1025"/>
      <c r="BO65203" s="43"/>
    </row>
    <row r="65204" spans="65:67" ht="18.75" customHeight="1">
      <c r="BM65204" s="1025"/>
      <c r="BO65204" s="43"/>
    </row>
    <row r="65205" spans="65:67" ht="18.75" customHeight="1">
      <c r="BM65205" s="1025"/>
      <c r="BO65205" s="43"/>
    </row>
    <row r="65206" spans="65:67" ht="18.75" customHeight="1">
      <c r="BM65206" s="1025"/>
      <c r="BO65206" s="43"/>
    </row>
    <row r="65207" spans="65:67" ht="18.75" customHeight="1">
      <c r="BM65207" s="1025"/>
      <c r="BO65207" s="43"/>
    </row>
    <row r="65208" spans="65:67" ht="18.75" customHeight="1">
      <c r="BM65208" s="1025"/>
      <c r="BO65208" s="43"/>
    </row>
    <row r="65209" spans="65:67" ht="18.75" customHeight="1">
      <c r="BM65209" s="1025"/>
      <c r="BO65209" s="43"/>
    </row>
    <row r="65210" spans="65:67" ht="18.75" customHeight="1">
      <c r="BM65210" s="1025"/>
      <c r="BO65210" s="43"/>
    </row>
    <row r="65211" spans="65:67" ht="18.75" customHeight="1">
      <c r="BM65211" s="1025"/>
      <c r="BO65211" s="43"/>
    </row>
    <row r="65212" spans="65:67" ht="18.75" customHeight="1">
      <c r="BM65212" s="1025"/>
      <c r="BO65212" s="43"/>
    </row>
    <row r="65213" spans="65:67" ht="18.75" customHeight="1">
      <c r="BM65213" s="1025"/>
      <c r="BO65213" s="43"/>
    </row>
    <row r="65214" spans="65:67" ht="18.75" customHeight="1">
      <c r="BM65214" s="1025"/>
      <c r="BO65214" s="43"/>
    </row>
    <row r="65215" spans="65:67" ht="18.75" customHeight="1">
      <c r="BM65215" s="1025"/>
      <c r="BO65215" s="43"/>
    </row>
    <row r="65216" spans="65:67" ht="18.75" customHeight="1">
      <c r="BM65216" s="1025"/>
      <c r="BO65216" s="43"/>
    </row>
    <row r="65217" spans="65:67" ht="18.75" customHeight="1">
      <c r="BM65217" s="1025"/>
      <c r="BO65217" s="43"/>
    </row>
    <row r="65218" spans="65:67" ht="18.75" customHeight="1">
      <c r="BM65218" s="1025"/>
      <c r="BO65218" s="43"/>
    </row>
    <row r="65219" spans="65:67" ht="18.75" customHeight="1">
      <c r="BM65219" s="1025"/>
      <c r="BO65219" s="43"/>
    </row>
    <row r="65220" spans="65:67" ht="18.75" customHeight="1">
      <c r="BM65220" s="1025"/>
      <c r="BO65220" s="43"/>
    </row>
    <row r="65221" spans="65:67" ht="18.75" customHeight="1">
      <c r="BM65221" s="1025"/>
      <c r="BO65221" s="43"/>
    </row>
    <row r="65222" spans="65:67" ht="18.75" customHeight="1">
      <c r="BM65222" s="1025"/>
      <c r="BO65222" s="43"/>
    </row>
    <row r="65223" spans="65:67" ht="18.75" customHeight="1">
      <c r="BM65223" s="1025"/>
      <c r="BO65223" s="43"/>
    </row>
    <row r="65224" spans="65:67" ht="18.75" customHeight="1">
      <c r="BM65224" s="1025"/>
      <c r="BO65224" s="43"/>
    </row>
    <row r="65225" spans="65:67" ht="18.75" customHeight="1">
      <c r="BM65225" s="1025"/>
      <c r="BO65225" s="43"/>
    </row>
    <row r="65226" spans="65:67" ht="18.75" customHeight="1">
      <c r="BM65226" s="1025"/>
      <c r="BO65226" s="43"/>
    </row>
    <row r="65227" spans="65:67" ht="18.75" customHeight="1">
      <c r="BM65227" s="1025"/>
      <c r="BO65227" s="43"/>
    </row>
    <row r="65228" spans="65:67" ht="18.75" customHeight="1">
      <c r="BM65228" s="1025"/>
      <c r="BO65228" s="43"/>
    </row>
    <row r="65229" spans="65:67" ht="18.75" customHeight="1">
      <c r="BM65229" s="1025"/>
      <c r="BO65229" s="43"/>
    </row>
    <row r="65230" spans="65:67" ht="18.75" customHeight="1">
      <c r="BM65230" s="1025"/>
      <c r="BO65230" s="43"/>
    </row>
    <row r="65231" spans="65:67" ht="18.75" customHeight="1">
      <c r="BM65231" s="1025"/>
      <c r="BO65231" s="43"/>
    </row>
    <row r="65232" spans="65:67" ht="18.75" customHeight="1">
      <c r="BM65232" s="1025"/>
      <c r="BO65232" s="43"/>
    </row>
    <row r="65233" spans="65:67" ht="18.75" customHeight="1">
      <c r="BM65233" s="1025"/>
      <c r="BO65233" s="43"/>
    </row>
    <row r="65234" spans="65:67" ht="18.75" customHeight="1">
      <c r="BM65234" s="1025"/>
      <c r="BO65234" s="43"/>
    </row>
    <row r="65235" spans="65:67" ht="18.75" customHeight="1">
      <c r="BM65235" s="1025"/>
      <c r="BO65235" s="43"/>
    </row>
    <row r="65236" spans="65:67" ht="18.75" customHeight="1">
      <c r="BM65236" s="1025"/>
      <c r="BO65236" s="43"/>
    </row>
    <row r="65237" spans="65:67" ht="18.75" customHeight="1">
      <c r="BM65237" s="1025"/>
      <c r="BO65237" s="43"/>
    </row>
    <row r="65238" spans="65:67" ht="18.75" customHeight="1">
      <c r="BM65238" s="1025"/>
      <c r="BO65238" s="43"/>
    </row>
    <row r="65239" spans="65:67" ht="18.75" customHeight="1">
      <c r="BM65239" s="1025"/>
      <c r="BO65239" s="43"/>
    </row>
    <row r="65240" spans="65:67" ht="18.75" customHeight="1">
      <c r="BM65240" s="1025"/>
      <c r="BO65240" s="43"/>
    </row>
    <row r="65241" spans="65:67" ht="18.75" customHeight="1">
      <c r="BM65241" s="1025"/>
      <c r="BO65241" s="43"/>
    </row>
    <row r="65242" spans="65:67" ht="18.75" customHeight="1">
      <c r="BM65242" s="1025"/>
      <c r="BO65242" s="43"/>
    </row>
    <row r="65243" spans="65:67" ht="18.75" customHeight="1">
      <c r="BM65243" s="1025"/>
      <c r="BO65243" s="43"/>
    </row>
    <row r="65244" spans="65:67" ht="18.75" customHeight="1">
      <c r="BM65244" s="1025"/>
      <c r="BO65244" s="43"/>
    </row>
    <row r="65245" spans="65:67" ht="18.75" customHeight="1">
      <c r="BM65245" s="1025"/>
      <c r="BO65245" s="43"/>
    </row>
    <row r="65246" spans="65:67" ht="18.75" customHeight="1">
      <c r="BM65246" s="1025"/>
      <c r="BO65246" s="43"/>
    </row>
    <row r="65247" spans="65:67" ht="18.75" customHeight="1">
      <c r="BM65247" s="1025"/>
      <c r="BO65247" s="43"/>
    </row>
    <row r="65248" spans="65:67" ht="18.75" customHeight="1">
      <c r="BM65248" s="1025"/>
      <c r="BO65248" s="43"/>
    </row>
    <row r="65249" spans="65:67" ht="18.75" customHeight="1">
      <c r="BM65249" s="1025"/>
      <c r="BO65249" s="43"/>
    </row>
    <row r="65250" spans="65:67" ht="18.75" customHeight="1">
      <c r="BM65250" s="1025"/>
      <c r="BO65250" s="43"/>
    </row>
    <row r="65251" spans="65:67" ht="18.75" customHeight="1">
      <c r="BM65251" s="1025"/>
      <c r="BO65251" s="43"/>
    </row>
    <row r="65252" spans="65:67" ht="18.75" customHeight="1">
      <c r="BM65252" s="1025"/>
      <c r="BO65252" s="43"/>
    </row>
    <row r="65253" spans="65:67" ht="18.75" customHeight="1">
      <c r="BM65253" s="1025"/>
      <c r="BO65253" s="43"/>
    </row>
    <row r="65254" spans="65:67" ht="18.75" customHeight="1">
      <c r="BM65254" s="1025"/>
      <c r="BO65254" s="43"/>
    </row>
    <row r="65255" spans="65:67" ht="18.75" customHeight="1">
      <c r="BM65255" s="1025"/>
      <c r="BO65255" s="43"/>
    </row>
    <row r="65256" spans="65:67" ht="18.75" customHeight="1">
      <c r="BM65256" s="1025"/>
      <c r="BO65256" s="43"/>
    </row>
    <row r="65257" spans="65:67" ht="18.75" customHeight="1">
      <c r="BM65257" s="1025"/>
      <c r="BO65257" s="43"/>
    </row>
    <row r="65258" spans="65:67" ht="18.75" customHeight="1">
      <c r="BM65258" s="1025"/>
      <c r="BO65258" s="43"/>
    </row>
    <row r="65259" spans="65:67" ht="18.75" customHeight="1">
      <c r="BM65259" s="1025"/>
      <c r="BO65259" s="43"/>
    </row>
    <row r="65260" spans="65:67" ht="18.75" customHeight="1">
      <c r="BM65260" s="1025"/>
      <c r="BO65260" s="43"/>
    </row>
    <row r="65261" spans="65:67" ht="18.75" customHeight="1">
      <c r="BM65261" s="1025"/>
      <c r="BO65261" s="43"/>
    </row>
    <row r="65262" spans="65:67" ht="18.75" customHeight="1">
      <c r="BM65262" s="1025"/>
      <c r="BO65262" s="43"/>
    </row>
    <row r="65263" spans="65:67" ht="18.75" customHeight="1">
      <c r="BM65263" s="1025"/>
      <c r="BO65263" s="43"/>
    </row>
    <row r="65264" spans="65:67" ht="18.75" customHeight="1">
      <c r="BM65264" s="1025"/>
      <c r="BO65264" s="43"/>
    </row>
    <row r="65265" spans="65:67" ht="18.75" customHeight="1">
      <c r="BM65265" s="1025"/>
      <c r="BO65265" s="43"/>
    </row>
    <row r="65266" spans="65:67" ht="18.75" customHeight="1">
      <c r="BM65266" s="1025"/>
      <c r="BO65266" s="43"/>
    </row>
    <row r="65267" spans="65:67" ht="18.75" customHeight="1">
      <c r="BM65267" s="1025"/>
      <c r="BO65267" s="43"/>
    </row>
    <row r="65268" spans="65:67" ht="18.75" customHeight="1">
      <c r="BM65268" s="1025"/>
      <c r="BO65268" s="43"/>
    </row>
    <row r="65269" spans="65:67" ht="18.75" customHeight="1">
      <c r="BM65269" s="1025"/>
      <c r="BO65269" s="43"/>
    </row>
    <row r="65270" spans="65:67" ht="18.75" customHeight="1">
      <c r="BM65270" s="1025"/>
      <c r="BO65270" s="43"/>
    </row>
    <row r="65271" spans="65:67" ht="18.75" customHeight="1">
      <c r="BM65271" s="1025"/>
      <c r="BO65271" s="43"/>
    </row>
    <row r="65272" spans="65:67" ht="18.75" customHeight="1">
      <c r="BM65272" s="1025"/>
      <c r="BO65272" s="43"/>
    </row>
    <row r="65273" spans="65:67" ht="18.75" customHeight="1">
      <c r="BM65273" s="1025"/>
      <c r="BO65273" s="43"/>
    </row>
    <row r="65274" spans="65:67" ht="18.75" customHeight="1">
      <c r="BM65274" s="1025"/>
      <c r="BO65274" s="43"/>
    </row>
    <row r="65275" spans="65:67" ht="18.75" customHeight="1">
      <c r="BM65275" s="1025"/>
      <c r="BO65275" s="43"/>
    </row>
    <row r="65276" spans="65:67" ht="18.75" customHeight="1">
      <c r="BM65276" s="1025"/>
      <c r="BO65276" s="43"/>
    </row>
    <row r="65277" spans="65:67" ht="18.75" customHeight="1">
      <c r="BM65277" s="1025"/>
      <c r="BO65277" s="43"/>
    </row>
    <row r="65278" spans="65:67" ht="18.75" customHeight="1">
      <c r="BM65278" s="1025"/>
      <c r="BO65278" s="43"/>
    </row>
    <row r="65279" spans="65:67" ht="18.75" customHeight="1">
      <c r="BM65279" s="1025"/>
      <c r="BO65279" s="43"/>
    </row>
    <row r="65280" spans="65:67" ht="18.75" customHeight="1">
      <c r="BM65280" s="1025"/>
      <c r="BO65280" s="43"/>
    </row>
    <row r="65281" spans="65:67" ht="18.75" customHeight="1">
      <c r="BM65281" s="1025"/>
      <c r="BO65281" s="43"/>
    </row>
    <row r="65282" spans="65:67" ht="18.75" customHeight="1">
      <c r="BM65282" s="1025"/>
      <c r="BO65282" s="43"/>
    </row>
    <row r="65283" spans="65:67" ht="18.75" customHeight="1">
      <c r="BM65283" s="1025"/>
      <c r="BO65283" s="43"/>
    </row>
    <row r="65284" spans="65:67" ht="18.75" customHeight="1">
      <c r="BM65284" s="1025"/>
      <c r="BO65284" s="43"/>
    </row>
    <row r="65285" spans="65:67" ht="18.75" customHeight="1">
      <c r="BM65285" s="1025"/>
      <c r="BO65285" s="43"/>
    </row>
    <row r="65286" spans="65:67" ht="18.75" customHeight="1">
      <c r="BM65286" s="1025"/>
      <c r="BO65286" s="43"/>
    </row>
    <row r="65287" spans="65:67" ht="18.75" customHeight="1">
      <c r="BM65287" s="1025"/>
      <c r="BO65287" s="43"/>
    </row>
    <row r="65288" spans="65:67" ht="18.75" customHeight="1">
      <c r="BM65288" s="1025"/>
      <c r="BO65288" s="43"/>
    </row>
    <row r="65289" spans="65:67" ht="18.75" customHeight="1">
      <c r="BM65289" s="1025"/>
      <c r="BO65289" s="43"/>
    </row>
    <row r="65290" spans="65:67" ht="18.75" customHeight="1">
      <c r="BM65290" s="1025"/>
      <c r="BO65290" s="43"/>
    </row>
    <row r="65291" spans="65:67" ht="18.75" customHeight="1">
      <c r="BM65291" s="1025"/>
      <c r="BO65291" s="43"/>
    </row>
    <row r="65292" spans="65:67" ht="18.75" customHeight="1">
      <c r="BM65292" s="1025"/>
      <c r="BO65292" s="43"/>
    </row>
    <row r="65293" spans="65:67" ht="18.75" customHeight="1">
      <c r="BM65293" s="1025"/>
      <c r="BO65293" s="43"/>
    </row>
    <row r="65294" spans="65:67" ht="18.75" customHeight="1">
      <c r="BM65294" s="1025"/>
      <c r="BO65294" s="43"/>
    </row>
    <row r="65295" spans="65:67" ht="18.75" customHeight="1">
      <c r="BM65295" s="1025"/>
      <c r="BO65295" s="43"/>
    </row>
    <row r="65296" spans="65:67" ht="18.75" customHeight="1">
      <c r="BM65296" s="1025"/>
      <c r="BO65296" s="43"/>
    </row>
    <row r="65297" spans="65:67" ht="18.75" customHeight="1">
      <c r="BM65297" s="1025"/>
      <c r="BO65297" s="43"/>
    </row>
    <row r="65298" spans="65:67" ht="18.75" customHeight="1">
      <c r="BM65298" s="1025"/>
      <c r="BO65298" s="43"/>
    </row>
    <row r="65299" spans="65:67" ht="18.75" customHeight="1">
      <c r="BM65299" s="1025"/>
      <c r="BO65299" s="43"/>
    </row>
    <row r="65300" spans="65:67" ht="18.75" customHeight="1">
      <c r="BM65300" s="1025"/>
      <c r="BO65300" s="43"/>
    </row>
    <row r="65301" spans="65:67" ht="18.75" customHeight="1">
      <c r="BM65301" s="1025"/>
      <c r="BO65301" s="43"/>
    </row>
    <row r="65302" spans="65:67" ht="18.75" customHeight="1">
      <c r="BM65302" s="1025"/>
      <c r="BO65302" s="43"/>
    </row>
    <row r="65303" spans="65:67" ht="18.75" customHeight="1">
      <c r="BM65303" s="1025"/>
      <c r="BO65303" s="43"/>
    </row>
    <row r="65304" spans="65:67" ht="18.75" customHeight="1">
      <c r="BM65304" s="1025"/>
      <c r="BO65304" s="43"/>
    </row>
    <row r="65305" spans="65:67" ht="18.75" customHeight="1">
      <c r="BM65305" s="1025"/>
      <c r="BO65305" s="43"/>
    </row>
    <row r="65306" spans="65:67" ht="18.75" customHeight="1">
      <c r="BM65306" s="1025"/>
      <c r="BO65306" s="43"/>
    </row>
    <row r="65307" spans="65:67" ht="18.75" customHeight="1">
      <c r="BM65307" s="1025"/>
      <c r="BO65307" s="43"/>
    </row>
    <row r="65308" spans="65:67" ht="18.75" customHeight="1">
      <c r="BM65308" s="1025"/>
      <c r="BO65308" s="43"/>
    </row>
    <row r="65309" spans="65:67" ht="18.75" customHeight="1">
      <c r="BM65309" s="1025"/>
      <c r="BO65309" s="43"/>
    </row>
    <row r="65310" spans="65:67" ht="18.75" customHeight="1">
      <c r="BM65310" s="1025"/>
      <c r="BO65310" s="43"/>
    </row>
    <row r="65311" spans="65:67" ht="18.75" customHeight="1">
      <c r="BM65311" s="1025"/>
      <c r="BO65311" s="43"/>
    </row>
    <row r="65312" spans="65:67" ht="18.75" customHeight="1">
      <c r="BM65312" s="1025"/>
      <c r="BO65312" s="43"/>
    </row>
    <row r="65313" spans="65:67" ht="18.75" customHeight="1">
      <c r="BM65313" s="1025"/>
      <c r="BO65313" s="43"/>
    </row>
    <row r="65314" spans="65:67" ht="18.75" customHeight="1">
      <c r="BM65314" s="1025"/>
      <c r="BO65314" s="43"/>
    </row>
    <row r="65315" spans="65:67" ht="18.75" customHeight="1">
      <c r="BM65315" s="1025"/>
      <c r="BO65315" s="43"/>
    </row>
    <row r="65316" spans="65:67" ht="18.75" customHeight="1">
      <c r="BM65316" s="1025"/>
      <c r="BO65316" s="43"/>
    </row>
    <row r="65317" spans="65:67" ht="18.75" customHeight="1">
      <c r="BM65317" s="1025"/>
      <c r="BO65317" s="43"/>
    </row>
    <row r="65318" spans="65:67" ht="18.75" customHeight="1">
      <c r="BM65318" s="1025"/>
      <c r="BO65318" s="43"/>
    </row>
    <row r="65319" spans="65:67" ht="18.75" customHeight="1">
      <c r="BM65319" s="1025"/>
      <c r="BO65319" s="43"/>
    </row>
    <row r="65320" spans="65:67" ht="18.75" customHeight="1">
      <c r="BM65320" s="1025"/>
      <c r="BO65320" s="43"/>
    </row>
    <row r="65321" spans="65:67" ht="18.75" customHeight="1">
      <c r="BM65321" s="1025"/>
      <c r="BO65321" s="43"/>
    </row>
    <row r="65322" spans="65:67" ht="18.75" customHeight="1">
      <c r="BM65322" s="1025"/>
      <c r="BO65322" s="43"/>
    </row>
    <row r="65323" spans="65:67" ht="18.75" customHeight="1">
      <c r="BM65323" s="1025"/>
      <c r="BO65323" s="43"/>
    </row>
    <row r="65324" spans="65:67" ht="18.75" customHeight="1">
      <c r="BM65324" s="1025"/>
      <c r="BO65324" s="43"/>
    </row>
    <row r="65325" spans="65:67" ht="18.75" customHeight="1">
      <c r="BM65325" s="1025"/>
      <c r="BO65325" s="43"/>
    </row>
    <row r="65326" spans="65:67" ht="18.75" customHeight="1">
      <c r="BM65326" s="1025"/>
      <c r="BO65326" s="43"/>
    </row>
    <row r="65327" spans="65:67" ht="18.75" customHeight="1">
      <c r="BM65327" s="1025"/>
      <c r="BO65327" s="43"/>
    </row>
    <row r="65328" spans="65:67" ht="18.75" customHeight="1">
      <c r="BM65328" s="1025"/>
      <c r="BO65328" s="43"/>
    </row>
    <row r="65329" spans="65:67" ht="18.75" customHeight="1">
      <c r="BM65329" s="1025"/>
      <c r="BO65329" s="43"/>
    </row>
    <row r="65330" spans="65:67" ht="18.75" customHeight="1">
      <c r="BM65330" s="1025"/>
      <c r="BO65330" s="43"/>
    </row>
    <row r="65331" spans="65:67" ht="18.75" customHeight="1">
      <c r="BM65331" s="1025"/>
      <c r="BO65331" s="43"/>
    </row>
    <row r="65332" spans="65:67" ht="18.75" customHeight="1">
      <c r="BM65332" s="1025"/>
      <c r="BO65332" s="43"/>
    </row>
    <row r="65333" spans="65:67" ht="18.75" customHeight="1">
      <c r="BM65333" s="1025"/>
      <c r="BO65333" s="43"/>
    </row>
    <row r="65334" spans="65:67" ht="18.75" customHeight="1">
      <c r="BM65334" s="1025"/>
      <c r="BO65334" s="43"/>
    </row>
    <row r="65335" spans="65:67" ht="18.75" customHeight="1">
      <c r="BM65335" s="1025"/>
      <c r="BO65335" s="43"/>
    </row>
    <row r="65336" spans="65:67" ht="18.75" customHeight="1">
      <c r="BM65336" s="1025"/>
      <c r="BO65336" s="43"/>
    </row>
    <row r="65337" spans="65:67" ht="18.75" customHeight="1">
      <c r="BM65337" s="1025"/>
      <c r="BO65337" s="43"/>
    </row>
    <row r="65338" spans="65:67" ht="18.75" customHeight="1">
      <c r="BM65338" s="1025"/>
      <c r="BO65338" s="43"/>
    </row>
    <row r="65339" spans="65:67" ht="18.75" customHeight="1">
      <c r="BM65339" s="1025"/>
      <c r="BO65339" s="43"/>
    </row>
    <row r="65340" spans="65:67" ht="18.75" customHeight="1">
      <c r="BM65340" s="1025"/>
      <c r="BO65340" s="43"/>
    </row>
    <row r="65341" spans="65:67" ht="18.75" customHeight="1">
      <c r="BM65341" s="1025"/>
      <c r="BO65341" s="43"/>
    </row>
    <row r="65342" spans="65:67" ht="18.75" customHeight="1">
      <c r="BM65342" s="1025"/>
      <c r="BO65342" s="43"/>
    </row>
    <row r="65343" spans="65:67" ht="18.75" customHeight="1">
      <c r="BM65343" s="1025"/>
      <c r="BO65343" s="43"/>
    </row>
    <row r="65344" spans="65:67" ht="18.75" customHeight="1">
      <c r="BM65344" s="1025"/>
      <c r="BO65344" s="43"/>
    </row>
    <row r="65345" spans="65:67" ht="18.75" customHeight="1">
      <c r="BM65345" s="1025"/>
      <c r="BO65345" s="43"/>
    </row>
    <row r="65346" spans="65:67" ht="18.75" customHeight="1">
      <c r="BM65346" s="1025"/>
      <c r="BO65346" s="43"/>
    </row>
    <row r="65347" spans="65:67" ht="18.75" customHeight="1">
      <c r="BM65347" s="1025"/>
      <c r="BO65347" s="43"/>
    </row>
    <row r="65348" spans="65:67" ht="18.75" customHeight="1">
      <c r="BM65348" s="1025"/>
      <c r="BO65348" s="43"/>
    </row>
    <row r="65349" spans="65:67" ht="18.75" customHeight="1">
      <c r="BM65349" s="1025"/>
      <c r="BO65349" s="43"/>
    </row>
    <row r="65350" spans="65:67" ht="18.75" customHeight="1">
      <c r="BM65350" s="1025"/>
      <c r="BO65350" s="43"/>
    </row>
    <row r="65351" spans="65:67" ht="18.75" customHeight="1">
      <c r="BM65351" s="1025"/>
      <c r="BO65351" s="43"/>
    </row>
    <row r="65352" spans="65:67" ht="18.75" customHeight="1">
      <c r="BM65352" s="1025"/>
      <c r="BO65352" s="43"/>
    </row>
    <row r="65353" spans="65:67" ht="18.75" customHeight="1">
      <c r="BM65353" s="1025"/>
      <c r="BO65353" s="43"/>
    </row>
    <row r="65354" spans="65:67" ht="18.75" customHeight="1">
      <c r="BM65354" s="1025"/>
      <c r="BO65354" s="43"/>
    </row>
    <row r="65355" spans="65:67" ht="18.75" customHeight="1">
      <c r="BM65355" s="1025"/>
      <c r="BO65355" s="43"/>
    </row>
    <row r="65356" spans="65:67" ht="18.75" customHeight="1">
      <c r="BM65356" s="1025"/>
      <c r="BO65356" s="43"/>
    </row>
    <row r="65357" spans="65:67" ht="18.75" customHeight="1">
      <c r="BM65357" s="1025"/>
      <c r="BO65357" s="43"/>
    </row>
    <row r="65358" spans="65:67" ht="18.75" customHeight="1">
      <c r="BM65358" s="1025"/>
      <c r="BO65358" s="43"/>
    </row>
    <row r="65359" spans="65:67" ht="18.75" customHeight="1">
      <c r="BM65359" s="1025"/>
      <c r="BO65359" s="43"/>
    </row>
    <row r="65360" spans="65:67" ht="18.75" customHeight="1">
      <c r="BM65360" s="1025"/>
      <c r="BO65360" s="43"/>
    </row>
    <row r="65361" spans="65:67" ht="18.75" customHeight="1">
      <c r="BM65361" s="1025"/>
      <c r="BO65361" s="43"/>
    </row>
    <row r="65362" spans="65:67" ht="18.75" customHeight="1">
      <c r="BM65362" s="1025"/>
      <c r="BO65362" s="43"/>
    </row>
    <row r="65363" spans="65:67" ht="18.75" customHeight="1">
      <c r="BM65363" s="1025"/>
      <c r="BO65363" s="43"/>
    </row>
    <row r="65364" spans="65:67" ht="18.75" customHeight="1">
      <c r="BM65364" s="1025"/>
      <c r="BO65364" s="43"/>
    </row>
    <row r="65365" spans="65:67" ht="18.75" customHeight="1">
      <c r="BM65365" s="1025"/>
      <c r="BO65365" s="43"/>
    </row>
    <row r="65366" spans="65:67" ht="18.75" customHeight="1">
      <c r="BM65366" s="1025"/>
      <c r="BO65366" s="43"/>
    </row>
    <row r="65367" spans="65:67" ht="18.75" customHeight="1">
      <c r="BM65367" s="1025"/>
      <c r="BO65367" s="43"/>
    </row>
    <row r="65368" spans="65:67" ht="18.75" customHeight="1">
      <c r="BM65368" s="1025"/>
      <c r="BO65368" s="43"/>
    </row>
    <row r="65369" spans="65:67" ht="18.75" customHeight="1">
      <c r="BM65369" s="1025"/>
      <c r="BO65369" s="43"/>
    </row>
    <row r="65370" spans="65:67" ht="18.75" customHeight="1">
      <c r="BM65370" s="1025"/>
      <c r="BO65370" s="43"/>
    </row>
    <row r="65371" spans="65:67" ht="18.75" customHeight="1">
      <c r="BM65371" s="1025"/>
      <c r="BO65371" s="43"/>
    </row>
    <row r="65372" spans="65:67" ht="18.75" customHeight="1">
      <c r="BM65372" s="1025"/>
      <c r="BO65372" s="43"/>
    </row>
    <row r="65373" spans="65:67" ht="18.75" customHeight="1">
      <c r="BM65373" s="1025"/>
      <c r="BO65373" s="43"/>
    </row>
    <row r="65374" spans="65:67" ht="18.75" customHeight="1">
      <c r="BM65374" s="1025"/>
      <c r="BO65374" s="43"/>
    </row>
    <row r="65375" spans="65:67" ht="18.75" customHeight="1">
      <c r="BM65375" s="1025"/>
      <c r="BO65375" s="43"/>
    </row>
    <row r="65376" spans="65:67" ht="18.75" customHeight="1">
      <c r="BM65376" s="1025"/>
      <c r="BO65376" s="43"/>
    </row>
    <row r="65377" spans="65:67" ht="18.75" customHeight="1">
      <c r="BM65377" s="1025"/>
      <c r="BO65377" s="43"/>
    </row>
    <row r="65378" spans="65:67" ht="18.75" customHeight="1">
      <c r="BM65378" s="1025"/>
      <c r="BO65378" s="43"/>
    </row>
    <row r="65379" spans="65:67" ht="18.75" customHeight="1">
      <c r="BM65379" s="1025"/>
      <c r="BO65379" s="43"/>
    </row>
    <row r="65380" spans="65:67" ht="18.75" customHeight="1">
      <c r="BM65380" s="1025"/>
      <c r="BO65380" s="43"/>
    </row>
    <row r="65381" spans="65:67" ht="18.75" customHeight="1">
      <c r="BM65381" s="1025"/>
      <c r="BO65381" s="43"/>
    </row>
    <row r="65382" spans="65:67" ht="18.75" customHeight="1">
      <c r="BM65382" s="1025"/>
      <c r="BO65382" s="43"/>
    </row>
    <row r="65383" spans="65:67" ht="18.75" customHeight="1">
      <c r="BM65383" s="1025"/>
      <c r="BO65383" s="43"/>
    </row>
    <row r="65384" spans="65:67" ht="18.75" customHeight="1">
      <c r="BM65384" s="1025"/>
      <c r="BO65384" s="43"/>
    </row>
    <row r="65385" spans="65:67" ht="18.75" customHeight="1">
      <c r="BM65385" s="1025"/>
      <c r="BO65385" s="43"/>
    </row>
    <row r="65386" spans="65:67" ht="18.75" customHeight="1">
      <c r="BM65386" s="1025"/>
      <c r="BO65386" s="43"/>
    </row>
    <row r="65387" spans="65:67" ht="18.75" customHeight="1">
      <c r="BM65387" s="1025"/>
      <c r="BO65387" s="43"/>
    </row>
    <row r="65388" spans="65:67" ht="18.75" customHeight="1">
      <c r="BM65388" s="1025"/>
      <c r="BO65388" s="43"/>
    </row>
    <row r="65389" spans="65:67" ht="18.75" customHeight="1">
      <c r="BM65389" s="1025"/>
      <c r="BO65389" s="43"/>
    </row>
    <row r="65390" spans="65:67" ht="18.75" customHeight="1">
      <c r="BM65390" s="1025"/>
      <c r="BO65390" s="43"/>
    </row>
    <row r="65391" spans="65:67" ht="18.75" customHeight="1">
      <c r="BM65391" s="1025"/>
      <c r="BO65391" s="43"/>
    </row>
    <row r="65392" spans="65:67" ht="18.75" customHeight="1">
      <c r="BM65392" s="1025"/>
      <c r="BO65392" s="43"/>
    </row>
    <row r="65393" spans="65:67" ht="18.75" customHeight="1">
      <c r="BM65393" s="1025"/>
      <c r="BO65393" s="43"/>
    </row>
    <row r="65394" spans="65:67" ht="18.75" customHeight="1">
      <c r="BM65394" s="1025"/>
      <c r="BO65394" s="43"/>
    </row>
    <row r="65395" spans="65:67" ht="18.75" customHeight="1">
      <c r="BM65395" s="1025"/>
      <c r="BO65395" s="43"/>
    </row>
    <row r="65396" spans="65:67" ht="18.75" customHeight="1">
      <c r="BM65396" s="1025"/>
      <c r="BO65396" s="43"/>
    </row>
    <row r="65397" spans="65:67" ht="18.75" customHeight="1">
      <c r="BM65397" s="1025"/>
      <c r="BO65397" s="43"/>
    </row>
    <row r="65398" spans="65:67" ht="18.75" customHeight="1">
      <c r="BM65398" s="1025"/>
      <c r="BO65398" s="43"/>
    </row>
    <row r="65399" spans="65:67" ht="18.75" customHeight="1">
      <c r="BM65399" s="1025"/>
      <c r="BO65399" s="43"/>
    </row>
    <row r="65400" spans="65:67" ht="18.75" customHeight="1">
      <c r="BM65400" s="1025"/>
      <c r="BO65400" s="43"/>
    </row>
    <row r="65401" spans="65:67" ht="18.75" customHeight="1">
      <c r="BM65401" s="1025"/>
      <c r="BO65401" s="43"/>
    </row>
    <row r="65402" spans="65:67" ht="18.75" customHeight="1">
      <c r="BM65402" s="1025"/>
      <c r="BO65402" s="43"/>
    </row>
    <row r="65403" spans="65:67" ht="18.75" customHeight="1">
      <c r="BM65403" s="1025"/>
      <c r="BO65403" s="43"/>
    </row>
    <row r="65404" spans="65:67" ht="18.75" customHeight="1">
      <c r="BM65404" s="1025"/>
      <c r="BO65404" s="43"/>
    </row>
    <row r="65405" spans="65:67" ht="18.75" customHeight="1">
      <c r="BM65405" s="1025"/>
      <c r="BO65405" s="43"/>
    </row>
    <row r="65406" spans="65:67" ht="18.75" customHeight="1">
      <c r="BM65406" s="1025"/>
      <c r="BO65406" s="43"/>
    </row>
    <row r="65407" spans="65:67" ht="18.75" customHeight="1">
      <c r="BM65407" s="1025"/>
      <c r="BO65407" s="43"/>
    </row>
    <row r="65408" spans="65:67" ht="18.75" customHeight="1">
      <c r="BM65408" s="1025"/>
      <c r="BO65408" s="43"/>
    </row>
    <row r="65409" spans="65:67" ht="18.75" customHeight="1">
      <c r="BM65409" s="1025"/>
      <c r="BO65409" s="43"/>
    </row>
    <row r="65410" spans="65:67" ht="18.75" customHeight="1">
      <c r="BM65410" s="1025"/>
      <c r="BO65410" s="43"/>
    </row>
    <row r="65411" spans="65:67" ht="18.75" customHeight="1">
      <c r="BM65411" s="1025"/>
      <c r="BO65411" s="43"/>
    </row>
    <row r="65412" spans="65:67" ht="18.75" customHeight="1">
      <c r="BM65412" s="1025"/>
      <c r="BO65412" s="43"/>
    </row>
    <row r="65413" spans="65:67" ht="18.75" customHeight="1">
      <c r="BM65413" s="1025"/>
      <c r="BO65413" s="43"/>
    </row>
    <row r="65414" spans="65:67" ht="18.75" customHeight="1">
      <c r="BM65414" s="1025"/>
      <c r="BO65414" s="43"/>
    </row>
    <row r="65415" spans="65:67" ht="18.75" customHeight="1">
      <c r="BM65415" s="1025"/>
      <c r="BO65415" s="43"/>
    </row>
    <row r="65416" spans="65:67" ht="18.75" customHeight="1">
      <c r="BM65416" s="1025"/>
      <c r="BO65416" s="43"/>
    </row>
    <row r="65417" spans="65:67" ht="18.75" customHeight="1">
      <c r="BM65417" s="1025"/>
      <c r="BO65417" s="43"/>
    </row>
    <row r="65418" spans="65:67" ht="18.75" customHeight="1">
      <c r="BM65418" s="1025"/>
      <c r="BO65418" s="43"/>
    </row>
    <row r="65419" spans="65:67" ht="18.75" customHeight="1">
      <c r="BM65419" s="1025"/>
      <c r="BO65419" s="43"/>
    </row>
    <row r="65420" spans="65:67" ht="18.75" customHeight="1">
      <c r="BM65420" s="1025"/>
      <c r="BO65420" s="43"/>
    </row>
    <row r="65421" spans="65:67" ht="18.75" customHeight="1">
      <c r="BM65421" s="1025"/>
      <c r="BO65421" s="43"/>
    </row>
    <row r="65422" spans="65:67" ht="18.75" customHeight="1">
      <c r="BM65422" s="1025"/>
      <c r="BO65422" s="43"/>
    </row>
    <row r="65423" spans="65:67" ht="18.75" customHeight="1">
      <c r="BM65423" s="1025"/>
      <c r="BO65423" s="43"/>
    </row>
    <row r="65424" spans="65:67" ht="18.75" customHeight="1">
      <c r="BM65424" s="1025"/>
      <c r="BO65424" s="43"/>
    </row>
    <row r="65425" spans="65:67" ht="18.75" customHeight="1">
      <c r="BM65425" s="1025"/>
      <c r="BO65425" s="43"/>
    </row>
    <row r="65426" spans="65:67" ht="18.75" customHeight="1">
      <c r="BM65426" s="1025"/>
      <c r="BO65426" s="43"/>
    </row>
    <row r="65427" spans="65:67" ht="18.75" customHeight="1">
      <c r="BM65427" s="1025"/>
      <c r="BO65427" s="43"/>
    </row>
    <row r="65428" spans="65:67" ht="18.75" customHeight="1">
      <c r="BM65428" s="1025"/>
      <c r="BO65428" s="43"/>
    </row>
    <row r="65429" spans="65:67" ht="18.75" customHeight="1">
      <c r="BM65429" s="1025"/>
      <c r="BO65429" s="43"/>
    </row>
    <row r="65430" spans="65:67" ht="18.75" customHeight="1">
      <c r="BM65430" s="1025"/>
      <c r="BO65430" s="43"/>
    </row>
    <row r="65431" spans="65:67" ht="18.75" customHeight="1">
      <c r="BM65431" s="1025"/>
      <c r="BO65431" s="43"/>
    </row>
    <row r="65432" spans="65:67" ht="18.75" customHeight="1">
      <c r="BM65432" s="1025"/>
      <c r="BO65432" s="43"/>
    </row>
    <row r="65433" spans="65:67" ht="18.75" customHeight="1">
      <c r="BM65433" s="1025"/>
      <c r="BO65433" s="43"/>
    </row>
    <row r="65434" spans="65:67" ht="18.75" customHeight="1">
      <c r="BM65434" s="1025"/>
      <c r="BO65434" s="43"/>
    </row>
    <row r="65435" spans="65:67" ht="18.75" customHeight="1">
      <c r="BM65435" s="1025"/>
      <c r="BO65435" s="43"/>
    </row>
    <row r="65436" spans="65:67" ht="18.75" customHeight="1">
      <c r="BM65436" s="1025"/>
      <c r="BO65436" s="43"/>
    </row>
    <row r="65437" spans="65:67" ht="18.75" customHeight="1">
      <c r="BM65437" s="1025"/>
      <c r="BO65437" s="43"/>
    </row>
    <row r="65438" spans="65:67" ht="18.75" customHeight="1">
      <c r="BM65438" s="1025"/>
      <c r="BO65438" s="43"/>
    </row>
    <row r="65439" spans="65:67" ht="18.75" customHeight="1">
      <c r="BM65439" s="1025"/>
      <c r="BO65439" s="43"/>
    </row>
    <row r="65440" spans="65:67" ht="18.75" customHeight="1">
      <c r="BM65440" s="1025"/>
      <c r="BO65440" s="43"/>
    </row>
    <row r="65441" spans="65:67" ht="18.75" customHeight="1">
      <c r="BM65441" s="1025"/>
      <c r="BO65441" s="43"/>
    </row>
    <row r="65442" spans="65:67" ht="18.75" customHeight="1">
      <c r="BM65442" s="1025"/>
      <c r="BO65442" s="43"/>
    </row>
    <row r="65443" spans="65:67" ht="18.75" customHeight="1">
      <c r="BM65443" s="1025"/>
      <c r="BO65443" s="43"/>
    </row>
    <row r="65444" spans="65:67" ht="18.75" customHeight="1">
      <c r="BM65444" s="1025"/>
      <c r="BO65444" s="43"/>
    </row>
    <row r="65445" spans="65:67" ht="18.75" customHeight="1">
      <c r="BM65445" s="1025"/>
      <c r="BO65445" s="43"/>
    </row>
    <row r="65446" spans="65:67" ht="18.75" customHeight="1">
      <c r="BM65446" s="1025"/>
      <c r="BO65446" s="43"/>
    </row>
    <row r="65447" spans="65:67" ht="18.75" customHeight="1">
      <c r="BM65447" s="1025"/>
      <c r="BO65447" s="43"/>
    </row>
    <row r="65448" spans="65:67" ht="18.75" customHeight="1">
      <c r="BM65448" s="1025"/>
      <c r="BO65448" s="43"/>
    </row>
    <row r="65449" spans="65:67" ht="18.75" customHeight="1">
      <c r="BM65449" s="1025"/>
      <c r="BO65449" s="43"/>
    </row>
    <row r="65450" spans="65:67" ht="18.75" customHeight="1">
      <c r="BM65450" s="1025"/>
      <c r="BO65450" s="43"/>
    </row>
    <row r="65451" spans="65:67" ht="18.75" customHeight="1">
      <c r="BM65451" s="1025"/>
      <c r="BO65451" s="43"/>
    </row>
    <row r="65452" spans="65:67" ht="18.75" customHeight="1">
      <c r="BM65452" s="1025"/>
      <c r="BO65452" s="43"/>
    </row>
    <row r="65453" spans="65:67" ht="18.75" customHeight="1">
      <c r="BM65453" s="1025"/>
      <c r="BO65453" s="43"/>
    </row>
    <row r="65454" spans="65:67" ht="18.75" customHeight="1">
      <c r="BM65454" s="1025"/>
      <c r="BO65454" s="43"/>
    </row>
    <row r="65455" spans="65:67" ht="18.75" customHeight="1">
      <c r="BM65455" s="1025"/>
      <c r="BO65455" s="43"/>
    </row>
    <row r="65456" spans="65:67" ht="18.75" customHeight="1">
      <c r="BM65456" s="1025"/>
      <c r="BO65456" s="43"/>
    </row>
    <row r="65457" spans="65:67" ht="18.75" customHeight="1">
      <c r="BM65457" s="1025"/>
      <c r="BO65457" s="43"/>
    </row>
    <row r="65458" spans="65:67" ht="18.75" customHeight="1">
      <c r="BM65458" s="1025"/>
      <c r="BO65458" s="43"/>
    </row>
    <row r="65459" spans="65:67" ht="18.75" customHeight="1">
      <c r="BM65459" s="1025"/>
      <c r="BO65459" s="43"/>
    </row>
    <row r="65460" spans="65:67" ht="18.75" customHeight="1">
      <c r="BM65460" s="1025"/>
      <c r="BO65460" s="43"/>
    </row>
    <row r="65461" spans="65:67" ht="18.75" customHeight="1">
      <c r="BM65461" s="1025"/>
      <c r="BO65461" s="43"/>
    </row>
    <row r="65462" spans="65:67" ht="18.75" customHeight="1">
      <c r="BM65462" s="1025"/>
      <c r="BO65462" s="43"/>
    </row>
    <row r="65463" spans="65:67" ht="18.75" customHeight="1">
      <c r="BM65463" s="1025"/>
      <c r="BO65463" s="43"/>
    </row>
    <row r="65464" spans="65:67" ht="18.75" customHeight="1">
      <c r="BM65464" s="1025"/>
      <c r="BO65464" s="43"/>
    </row>
    <row r="65465" spans="65:67" ht="18.75" customHeight="1">
      <c r="BM65465" s="1025"/>
      <c r="BO65465" s="43"/>
    </row>
    <row r="65466" spans="65:67" ht="18.75" customHeight="1">
      <c r="BM65466" s="1025"/>
      <c r="BO65466" s="43"/>
    </row>
    <row r="65467" spans="65:67" ht="18.75" customHeight="1">
      <c r="BM65467" s="1025"/>
      <c r="BO65467" s="43"/>
    </row>
    <row r="65468" spans="65:67" ht="18.75" customHeight="1">
      <c r="BM65468" s="1025"/>
      <c r="BO65468" s="43"/>
    </row>
    <row r="65469" spans="65:67" ht="18.75" customHeight="1">
      <c r="BM65469" s="1025"/>
      <c r="BO65469" s="43"/>
    </row>
    <row r="65470" spans="65:67" ht="18.75" customHeight="1">
      <c r="BM65470" s="1025"/>
      <c r="BO65470" s="43"/>
    </row>
    <row r="65471" spans="65:67" ht="18.75" customHeight="1">
      <c r="BM65471" s="1025"/>
      <c r="BO65471" s="43"/>
    </row>
    <row r="65472" spans="65:67" ht="18.75" customHeight="1">
      <c r="BM65472" s="1025"/>
      <c r="BO65472" s="43"/>
    </row>
    <row r="65473" spans="65:67" ht="18.75" customHeight="1">
      <c r="BM65473" s="1025"/>
      <c r="BO65473" s="43"/>
    </row>
    <row r="65474" spans="65:67" ht="18.75" customHeight="1">
      <c r="BM65474" s="1025"/>
      <c r="BO65474" s="43"/>
    </row>
    <row r="65475" spans="65:67" ht="18.75" customHeight="1">
      <c r="BM65475" s="1025"/>
      <c r="BO65475" s="43"/>
    </row>
    <row r="65476" spans="65:67" ht="18.75" customHeight="1">
      <c r="BM65476" s="1025"/>
      <c r="BO65476" s="43"/>
    </row>
    <row r="65477" spans="65:67" ht="18.75" customHeight="1">
      <c r="BM65477" s="1025"/>
      <c r="BO65477" s="43"/>
    </row>
    <row r="65478" spans="65:67" ht="18.75" customHeight="1">
      <c r="BM65478" s="1025"/>
      <c r="BO65478" s="43"/>
    </row>
    <row r="65479" spans="65:67" ht="18.75" customHeight="1">
      <c r="BM65479" s="1025"/>
      <c r="BO65479" s="43"/>
    </row>
    <row r="65480" spans="65:67" ht="18.75" customHeight="1">
      <c r="BM65480" s="1025"/>
      <c r="BO65480" s="43"/>
    </row>
    <row r="65481" spans="65:67" ht="18.75" customHeight="1">
      <c r="BM65481" s="1025"/>
      <c r="BO65481" s="43"/>
    </row>
    <row r="65482" spans="65:67" ht="18.75" customHeight="1">
      <c r="BM65482" s="1025"/>
      <c r="BO65482" s="43"/>
    </row>
    <row r="65483" spans="65:67" ht="18.75" customHeight="1">
      <c r="BM65483" s="1025"/>
      <c r="BO65483" s="43"/>
    </row>
    <row r="65484" spans="65:67" ht="18.75" customHeight="1">
      <c r="BM65484" s="1025"/>
      <c r="BO65484" s="43"/>
    </row>
    <row r="65485" spans="65:67" ht="18.75" customHeight="1">
      <c r="BM65485" s="1025"/>
      <c r="BO65485" s="43"/>
    </row>
    <row r="65486" spans="65:67" ht="18.75" customHeight="1">
      <c r="BM65486" s="1025"/>
      <c r="BO65486" s="43"/>
    </row>
    <row r="65487" spans="65:67" ht="18.75" customHeight="1">
      <c r="BM65487" s="1025"/>
      <c r="BO65487" s="43"/>
    </row>
    <row r="65488" spans="65:67" ht="18.75" customHeight="1">
      <c r="BM65488" s="1025"/>
      <c r="BO65488" s="43"/>
    </row>
    <row r="65489" spans="65:67" ht="18.75" customHeight="1">
      <c r="BM65489" s="1025"/>
      <c r="BO65489" s="43"/>
    </row>
    <row r="65490" spans="65:67" ht="18.75" customHeight="1">
      <c r="BM65490" s="1025"/>
      <c r="BO65490" s="43"/>
    </row>
    <row r="65491" spans="65:67" ht="18.75" customHeight="1">
      <c r="BM65491" s="1025"/>
      <c r="BO65491" s="43"/>
    </row>
    <row r="65492" spans="65:67" ht="18.75" customHeight="1">
      <c r="BM65492" s="1025"/>
      <c r="BO65492" s="43"/>
    </row>
    <row r="65493" spans="65:67" ht="18.75" customHeight="1">
      <c r="BM65493" s="1025"/>
      <c r="BO65493" s="43"/>
    </row>
    <row r="65494" spans="65:67" ht="18.75" customHeight="1">
      <c r="BM65494" s="1025"/>
      <c r="BO65494" s="43"/>
    </row>
    <row r="65495" spans="65:67" ht="18.75" customHeight="1">
      <c r="BM65495" s="1025"/>
      <c r="BO65495" s="43"/>
    </row>
    <row r="65496" spans="65:67" ht="18.75" customHeight="1">
      <c r="BM65496" s="1025"/>
      <c r="BO65496" s="43"/>
    </row>
    <row r="65497" spans="65:67" ht="18.75" customHeight="1">
      <c r="BM65497" s="1025"/>
      <c r="BO65497" s="43"/>
    </row>
    <row r="65498" spans="65:67" ht="18.75" customHeight="1">
      <c r="BM65498" s="1025"/>
      <c r="BO65498" s="43"/>
    </row>
    <row r="65499" spans="65:67" ht="18.75" customHeight="1">
      <c r="BM65499" s="1025"/>
      <c r="BO65499" s="43"/>
    </row>
    <row r="65500" spans="65:67" ht="18.75" customHeight="1">
      <c r="BM65500" s="1025"/>
      <c r="BO65500" s="43"/>
    </row>
    <row r="65501" spans="65:67" ht="18.75" customHeight="1">
      <c r="BM65501" s="1025"/>
      <c r="BO65501" s="43"/>
    </row>
    <row r="65502" spans="65:67" ht="18.75" customHeight="1">
      <c r="BM65502" s="1025"/>
      <c r="BO65502" s="43"/>
    </row>
    <row r="65503" spans="65:67" ht="18.75" customHeight="1">
      <c r="BM65503" s="1025"/>
      <c r="BO65503" s="43"/>
    </row>
    <row r="65504" spans="65:67" ht="18.75" customHeight="1">
      <c r="BM65504" s="1025"/>
      <c r="BO65504" s="43"/>
    </row>
    <row r="65505" spans="65:67" ht="18.75" customHeight="1">
      <c r="BM65505" s="1025"/>
      <c r="BO65505" s="43"/>
    </row>
    <row r="65506" spans="65:67" ht="18.75" customHeight="1">
      <c r="BM65506" s="1025"/>
      <c r="BO65506" s="43"/>
    </row>
    <row r="65507" spans="65:67" ht="18.75" customHeight="1">
      <c r="BM65507" s="1025"/>
      <c r="BO65507" s="43"/>
    </row>
    <row r="65508" spans="65:67" ht="18.75" customHeight="1">
      <c r="BM65508" s="1025"/>
      <c r="BO65508" s="43"/>
    </row>
    <row r="65509" spans="65:67" ht="18.75" customHeight="1">
      <c r="BM65509" s="1025"/>
      <c r="BO65509" s="43"/>
    </row>
    <row r="65510" spans="65:67" ht="18.75" customHeight="1">
      <c r="BM65510" s="1025"/>
      <c r="BO65510" s="43"/>
    </row>
    <row r="65511" spans="65:67" ht="18.75" customHeight="1">
      <c r="BM65511" s="1025"/>
      <c r="BO65511" s="43"/>
    </row>
    <row r="65512" spans="65:67" ht="18.75" customHeight="1">
      <c r="BM65512" s="1025"/>
      <c r="BO65512" s="43"/>
    </row>
    <row r="65513" spans="65:67" ht="18.75" customHeight="1">
      <c r="BM65513" s="1025"/>
      <c r="BO65513" s="43"/>
    </row>
    <row r="65514" spans="65:67" ht="18.75" customHeight="1">
      <c r="BM65514" s="1025"/>
      <c r="BO65514" s="43"/>
    </row>
    <row r="65515" spans="65:67" ht="18.75" customHeight="1">
      <c r="BM65515" s="1025"/>
      <c r="BO65515" s="43"/>
    </row>
    <row r="65516" spans="65:67" ht="18.75" customHeight="1">
      <c r="BM65516" s="1025"/>
      <c r="BO65516" s="43"/>
    </row>
    <row r="65517" spans="65:67" ht="18.75" customHeight="1">
      <c r="BM65517" s="1025"/>
      <c r="BO65517" s="43"/>
    </row>
    <row r="65518" spans="65:67" ht="18.75" customHeight="1">
      <c r="BM65518" s="1025"/>
      <c r="BO65518" s="43"/>
    </row>
    <row r="65519" spans="65:67" ht="18.75" customHeight="1">
      <c r="BM65519" s="1025"/>
      <c r="BO65519" s="43"/>
    </row>
    <row r="65520" spans="65:67" ht="18.75" customHeight="1">
      <c r="BM65520" s="1025"/>
      <c r="BO65520" s="43"/>
    </row>
    <row r="65521" spans="65:67" ht="18.75" customHeight="1">
      <c r="BM65521" s="1025"/>
      <c r="BO65521" s="43"/>
    </row>
    <row r="65522" spans="65:67" ht="18.75" customHeight="1">
      <c r="BM65522" s="1025"/>
      <c r="BO65522" s="43"/>
    </row>
    <row r="65523" spans="65:67" ht="18.75" customHeight="1">
      <c r="BM65523" s="1025"/>
      <c r="BO65523" s="43"/>
    </row>
    <row r="65524" spans="65:67" ht="18.75" customHeight="1">
      <c r="BM65524" s="1025"/>
      <c r="BO65524" s="43"/>
    </row>
    <row r="65525" spans="65:67" ht="18.75" customHeight="1">
      <c r="BM65525" s="1025"/>
      <c r="BO65525" s="43"/>
    </row>
    <row r="65526" spans="65:67" ht="18.75" customHeight="1">
      <c r="BM65526" s="1025"/>
      <c r="BO65526" s="43"/>
    </row>
    <row r="65527" spans="65:67" ht="18.75" customHeight="1">
      <c r="BM65527" s="1025"/>
      <c r="BO65527" s="43"/>
    </row>
    <row r="65528" spans="65:67" ht="18.75" customHeight="1">
      <c r="BM65528" s="1025"/>
      <c r="BO65528" s="43"/>
    </row>
    <row r="65529" spans="65:67" ht="18.75" customHeight="1">
      <c r="BM65529" s="1025"/>
      <c r="BO65529" s="43"/>
    </row>
    <row r="65530" spans="65:67" ht="18.75" customHeight="1">
      <c r="BM65530" s="1025"/>
      <c r="BO65530" s="43"/>
    </row>
    <row r="65531" spans="65:67" ht="18.75" customHeight="1">
      <c r="BM65531" s="1025"/>
      <c r="BO65531" s="43"/>
    </row>
    <row r="65532" spans="65:67" ht="18.75" customHeight="1">
      <c r="BM65532" s="1025"/>
      <c r="BO65532" s="43"/>
    </row>
    <row r="65533" spans="65:67" ht="18.75" customHeight="1">
      <c r="BM65533" s="1025"/>
      <c r="BO65533" s="43"/>
    </row>
    <row r="65534" spans="65:67" ht="18.75" customHeight="1">
      <c r="BM65534" s="1025"/>
      <c r="BO65534" s="43"/>
    </row>
    <row r="65535" spans="65:67" ht="18.75" customHeight="1">
      <c r="BM65535" s="1025"/>
      <c r="BO65535" s="43"/>
    </row>
    <row r="65536" spans="65:67" ht="18.75" customHeight="1">
      <c r="BM65536" s="1025"/>
      <c r="BO65536" s="43"/>
    </row>
  </sheetData>
  <mergeCells count="18">
    <mergeCell ref="AU7:AW7"/>
    <mergeCell ref="AX7:AZ7"/>
    <mergeCell ref="CW9:CZ9"/>
    <mergeCell ref="AI7:AN7"/>
    <mergeCell ref="AQ8:AS8"/>
    <mergeCell ref="AQ7:AS7"/>
    <mergeCell ref="CD9:CF9"/>
    <mergeCell ref="CA9:CC9"/>
    <mergeCell ref="CT9:CU9"/>
    <mergeCell ref="AU8:AZ8"/>
    <mergeCell ref="CR9:CS9"/>
    <mergeCell ref="AX9:AZ9"/>
    <mergeCell ref="V9:Y9"/>
    <mergeCell ref="BB9:BD9"/>
    <mergeCell ref="AU9:AW9"/>
    <mergeCell ref="E9:I9"/>
    <mergeCell ref="BS9:BU9"/>
    <mergeCell ref="BW9:BY9"/>
  </mergeCells>
  <pageMargins left="0.33" right="0.28000000000000003" top="0.65" bottom="0.55000000000000004" header="0.39" footer="0.26"/>
  <pageSetup paperSize="5" scale="30" fitToWidth="2" fitToHeight="6" orientation="landscape" horizontalDpi="1200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78</vt:i4>
      </vt:variant>
    </vt:vector>
  </HeadingPairs>
  <TitlesOfParts>
    <vt:vector size="97" baseType="lpstr">
      <vt:lpstr>NY Curve</vt:lpstr>
      <vt:lpstr>Michigan Curve</vt:lpstr>
      <vt:lpstr>FX</vt:lpstr>
      <vt:lpstr>Int Curves</vt:lpstr>
      <vt:lpstr>WC </vt:lpstr>
      <vt:lpstr>BS</vt:lpstr>
      <vt:lpstr>CF</vt:lpstr>
      <vt:lpstr>IS</vt:lpstr>
      <vt:lpstr>Debt Amort</vt:lpstr>
      <vt:lpstr>Temp Tax Diff</vt:lpstr>
      <vt:lpstr>Tax</vt:lpstr>
      <vt:lpstr>O &amp; M</vt:lpstr>
      <vt:lpstr>SemiAnnual IRR</vt:lpstr>
      <vt:lpstr>Construction</vt:lpstr>
      <vt:lpstr>Operational Detail</vt:lpstr>
      <vt:lpstr>Cashflow</vt:lpstr>
      <vt:lpstr>Tables</vt:lpstr>
      <vt:lpstr>Assumptions</vt:lpstr>
      <vt:lpstr>Monthly Table</vt:lpstr>
      <vt:lpstr>CapacityColumn</vt:lpstr>
      <vt:lpstr>CapacityRow</vt:lpstr>
      <vt:lpstr>CapacityTable</vt:lpstr>
      <vt:lpstr>CashflowColumn</vt:lpstr>
      <vt:lpstr>CashflowRow</vt:lpstr>
      <vt:lpstr>CashflowTable</vt:lpstr>
      <vt:lpstr>Column</vt:lpstr>
      <vt:lpstr>DebtReserveColumn</vt:lpstr>
      <vt:lpstr>DebtReserveRow</vt:lpstr>
      <vt:lpstr>DebtReserveTable</vt:lpstr>
      <vt:lpstr>DepnColumn</vt:lpstr>
      <vt:lpstr>DepnRow</vt:lpstr>
      <vt:lpstr>DepnTable</vt:lpstr>
      <vt:lpstr>FedTaxColumn</vt:lpstr>
      <vt:lpstr>FedTaxRow</vt:lpstr>
      <vt:lpstr>FedTaxTable</vt:lpstr>
      <vt:lpstr>BS!FirstYr</vt:lpstr>
      <vt:lpstr>fxcurve</vt:lpstr>
      <vt:lpstr>Gas_Price_Table</vt:lpstr>
      <vt:lpstr>GasColumn</vt:lpstr>
      <vt:lpstr>GasRow</vt:lpstr>
      <vt:lpstr>Income_Statement</vt:lpstr>
      <vt:lpstr>IntDate</vt:lpstr>
      <vt:lpstr>InterestColumn</vt:lpstr>
      <vt:lpstr>InterestRateCurve</vt:lpstr>
      <vt:lpstr>InterestRow</vt:lpstr>
      <vt:lpstr>InterestTable</vt:lpstr>
      <vt:lpstr>ISColumn</vt:lpstr>
      <vt:lpstr>ISRow</vt:lpstr>
      <vt:lpstr>LngTermDebtColumn</vt:lpstr>
      <vt:lpstr>MichiganCurve</vt:lpstr>
      <vt:lpstr>MichiganRow</vt:lpstr>
      <vt:lpstr>NYCurve</vt:lpstr>
      <vt:lpstr>NYRow</vt:lpstr>
      <vt:lpstr>O_MColumn</vt:lpstr>
      <vt:lpstr>O_MRow</vt:lpstr>
      <vt:lpstr>O_MTable</vt:lpstr>
      <vt:lpstr>ODColumn</vt:lpstr>
      <vt:lpstr>ODRow</vt:lpstr>
      <vt:lpstr>OpCashColumn</vt:lpstr>
      <vt:lpstr>OpCashRow</vt:lpstr>
      <vt:lpstr>OperatingCash</vt:lpstr>
      <vt:lpstr>OperationalDetail</vt:lpstr>
      <vt:lpstr>Assumptions!Print_Area</vt:lpstr>
      <vt:lpstr>BS!Print_Area</vt:lpstr>
      <vt:lpstr>Cashflow!Print_Area</vt:lpstr>
      <vt:lpstr>CF!Print_Area</vt:lpstr>
      <vt:lpstr>Construction!Print_Area</vt:lpstr>
      <vt:lpstr>'Debt Amort'!Print_Area</vt:lpstr>
      <vt:lpstr>'Michigan Curve'!Print_Area</vt:lpstr>
      <vt:lpstr>'Monthly Table'!Print_Area</vt:lpstr>
      <vt:lpstr>'NY Curve'!Print_Area</vt:lpstr>
      <vt:lpstr>'Operational Detail'!Print_Area</vt:lpstr>
      <vt:lpstr>'SemiAnnual IRR'!Print_Area</vt:lpstr>
      <vt:lpstr>Tax!Print_Area</vt:lpstr>
      <vt:lpstr>'WC '!Print_Area</vt:lpstr>
      <vt:lpstr>BS!Print_Titles</vt:lpstr>
      <vt:lpstr>Construction!Print_Titles</vt:lpstr>
      <vt:lpstr>IS!Print_Titles</vt:lpstr>
      <vt:lpstr>'O &amp; M'!Print_Titles</vt:lpstr>
      <vt:lpstr>'WC '!Print_Titles</vt:lpstr>
      <vt:lpstr>ProvTaxColumn</vt:lpstr>
      <vt:lpstr>ProvTaxRow</vt:lpstr>
      <vt:lpstr>ProvTaxTable</vt:lpstr>
      <vt:lpstr>Row</vt:lpstr>
      <vt:lpstr>RunHours</vt:lpstr>
      <vt:lpstr>'Michigan Curve'!ScalarTable</vt:lpstr>
      <vt:lpstr>ScalarTable</vt:lpstr>
      <vt:lpstr>'Michigan Curve'!SeasonTable</vt:lpstr>
      <vt:lpstr>SeasonTable</vt:lpstr>
      <vt:lpstr>TaxColumn</vt:lpstr>
      <vt:lpstr>TaxRow</vt:lpstr>
      <vt:lpstr>TaxTable</vt:lpstr>
      <vt:lpstr>Tier2Column</vt:lpstr>
      <vt:lpstr>Tier2Debt</vt:lpstr>
      <vt:lpstr>Tier2Row</vt:lpstr>
      <vt:lpstr>WC</vt:lpstr>
      <vt:lpstr>'WC '!WorkingCapital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>Peaker</dc:subject>
  <dc:creator>KChaney</dc:creator>
  <cp:lastModifiedBy>Jan Havlíček</cp:lastModifiedBy>
  <cp:lastPrinted>2000-04-05T16:26:59Z</cp:lastPrinted>
  <dcterms:created xsi:type="dcterms:W3CDTF">1998-01-14T23:44:11Z</dcterms:created>
  <dcterms:modified xsi:type="dcterms:W3CDTF">2023-09-13T22:05:30Z</dcterms:modified>
</cp:coreProperties>
</file>